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90" yWindow="165" windowWidth="4515" windowHeight="5040" tabRatio="852" firstSheet="1" activeTab="1"/>
  </bookViews>
  <sheets>
    <sheet name="__FDSCACHE__" sheetId="464" state="veryHidden" r:id="rId1"/>
    <sheet name="ImportantDisclosures" sheetId="492" r:id="rId2"/>
    <sheet name="Biz Transition Scenarios" sheetId="484" r:id="rId3"/>
    <sheet name="Metrics" sheetId="4" r:id="rId4"/>
    <sheet name="Model" sheetId="1" r:id="rId5"/>
    <sheet name="BS" sheetId="2" r:id="rId6"/>
    <sheet name="CF" sheetId="3" r:id="rId7"/>
    <sheet name="IndexInformation" sheetId="493" r:id="rId8"/>
    <sheet name="ModPubIndex" sheetId="494" r:id="rId9"/>
    <sheet name="MW-Cache" sheetId="457" state="veryHidden" r:id="rId10"/>
  </sheets>
  <functionGroups builtInGroupCount="17"/>
  <definedNames>
    <definedName name="__FDS_HYPERLINK_TOGGLE_STATE__" hidden="1">"ON"</definedName>
    <definedName name="_1c00">Model!$AA$6:$AA$65556</definedName>
    <definedName name="_1c01">Model!$AG$6:$AG$65556</definedName>
    <definedName name="_1c02">Model!$AM$6:$AM$65556</definedName>
    <definedName name="_1c03">Model!$AS$6:$AS$65556</definedName>
    <definedName name="_1c04">Model!$AY$6:$AY$65556</definedName>
    <definedName name="_1c05">Model!$BE$6:$BE$65556</definedName>
    <definedName name="_1c06">Model!$BK$6:$BK$65556</definedName>
    <definedName name="_1c07">Model!$BQ$6:$BQ$65556</definedName>
    <definedName name="_1c08">Model!$BW$6:$BW$65556</definedName>
    <definedName name="_1c09">Model!$CC:$CC</definedName>
    <definedName name="_1c10">Model!$CI:$CI</definedName>
    <definedName name="_1c11">Model!$CO$6:$CO$65556</definedName>
    <definedName name="_1c96">Model!$C:$C</definedName>
    <definedName name="_1c97">Model!$I$6:$I$65556</definedName>
    <definedName name="_1c98">Model!$O$6:$O$65556</definedName>
    <definedName name="_1c99">Model!$U$6:$U$65556</definedName>
    <definedName name="_2c00">Model!$AB$6:$AB$65556</definedName>
    <definedName name="_2c01">Model!$AH$6:$AH$65556</definedName>
    <definedName name="_2c02">Model!$AN$6:$AN$65556</definedName>
    <definedName name="_2c03">Model!$AT$6:$AT$65556</definedName>
    <definedName name="_2c04">Model!$AZ$6:$AZ$65556</definedName>
    <definedName name="_2c05">Model!$BF$6:$BF$65556</definedName>
    <definedName name="_2c06">Model!$BL$6:$BL$65556</definedName>
    <definedName name="_2c07">Model!$BR$6:$BR$65556</definedName>
    <definedName name="_2c08">Model!$BX$6:$BX$65556</definedName>
    <definedName name="_2c09">Model!$CD:$CD</definedName>
    <definedName name="_2c10">Model!$CJ:$CJ</definedName>
    <definedName name="_2c11">Model!$CP$6:$CP$65556</definedName>
    <definedName name="_2c96">Model!$D:$D</definedName>
    <definedName name="_2c97">Model!$J$6:$J$65556</definedName>
    <definedName name="_2c98">Model!$P$6:$P$65556</definedName>
    <definedName name="_2c99">Model!$V$6:$V$65556</definedName>
    <definedName name="_3c00">Model!$AC$6:$AC$65556</definedName>
    <definedName name="_3c01">Model!$AI$6:$AI$65556</definedName>
    <definedName name="_3c02">Model!$AO$6:$AO$65556</definedName>
    <definedName name="_3c03">Model!$AU$6:$AU$65556</definedName>
    <definedName name="_3c04">Model!$BA$6:$BA$65556</definedName>
    <definedName name="_3c05">Model!$BG$6:$BG$65556</definedName>
    <definedName name="_3c06">Model!$BM$6:$BM$65556</definedName>
    <definedName name="_3c07">Model!$BS$6:$BS$65556</definedName>
    <definedName name="_3c08">Model!$BY$6:$BY$65556</definedName>
    <definedName name="_3c09">Model!$CE:$CE</definedName>
    <definedName name="_3c10">Model!$CK:$CK</definedName>
    <definedName name="_3c11">Model!$CQ$6:$CQ$65556</definedName>
    <definedName name="_3c96">Model!$E:$E</definedName>
    <definedName name="_3c97">Model!$K$6:$K$65556</definedName>
    <definedName name="_3c98">Model!$Q$6:$Q$65556</definedName>
    <definedName name="_3c99">Model!$W$6:$W$65556</definedName>
    <definedName name="_4c00">Model!$AD$6:$AD$65556</definedName>
    <definedName name="_4c01">Model!$AJ$6:$AJ$65556</definedName>
    <definedName name="_4c02">Model!$AP$6:$AP$65556</definedName>
    <definedName name="_4c03">Model!$AV$6:$AV$65556</definedName>
    <definedName name="_4c04">Model!$BB$6:$BB$65556</definedName>
    <definedName name="_4c05">Model!$BH$6:$BH$65556</definedName>
    <definedName name="_4c06">Model!$BN$6:$BN$65556</definedName>
    <definedName name="_4c07">Model!$BT$6:$BT$65556</definedName>
    <definedName name="_4c08">Model!$BZ$6:$BZ$65556</definedName>
    <definedName name="_4c09">Model!$CF:$CF</definedName>
    <definedName name="_4c10">Model!$CL:$CL</definedName>
    <definedName name="_4c11">Model!$CR$6:$CR$65556</definedName>
    <definedName name="_4c96">Model!$F$6:$F$65556</definedName>
    <definedName name="_4c97">Model!$L$6:$L$65556</definedName>
    <definedName name="_4c98">Model!$R$6:$R$65556</definedName>
    <definedName name="_4c99">Model!$X$6:$X$65556</definedName>
    <definedName name="_bdm.00002DDFFCAF42F987CE7AD8ED452DBC.edm" localSheetId="4" hidden="1">Model!$A$4:$CY$193</definedName>
    <definedName name="_bdm.03A509718D944028BFC6CA2EA6272CD8.edm" localSheetId="4" hidden="1">Model!$A$202:$CG$251</definedName>
    <definedName name="_bdm.03BAE13A57E34B9582FBF64206967653.edm" localSheetId="5" hidden="1">BS!$A$3:$BU$51</definedName>
    <definedName name="_bdm.062C029B54974DDBAC692ED09FB17CA9.edm" localSheetId="3" hidden="1">Metrics!$A$4:$CM$84</definedName>
    <definedName name="_bdm.07812311068A41BEA5DC2643DCB721A8.edm" localSheetId="6" hidden="1">CF!$A$79:$BO$150</definedName>
    <definedName name="_bdm.0D6566D9339246BEBD678CD8A4F6D9B5.edm" localSheetId="3" hidden="1">Metrics!$A$4:$BO$53</definedName>
    <definedName name="_bdm.0EBA0235A8F547F99660E1A537910C14.edm" localSheetId="3" hidden="1">Metrics!$A$5:$CM$84</definedName>
    <definedName name="_bdm.188D47EC62354EEC8360B31EC45BC602.edm" localSheetId="3" hidden="1">Metrics!$A$1:$BO$416</definedName>
    <definedName name="_bdm.194E801697844F6587FAA563CE259196.edm" localSheetId="3" hidden="1">Metrics!$A$4:$CG$386</definedName>
    <definedName name="_bdm.1AF5094372034522AC4B3969C56A810C.edm" localSheetId="6" hidden="1">CF!$A$79:$CA$150</definedName>
    <definedName name="_bdm.2708427AE53C4F72AD0DAD3378B9AA75.edm" localSheetId="4" hidden="1">Model!$A$4:$CG$193</definedName>
    <definedName name="_bdm.27A4BF9F29BF406B8668DBCABF5529F2.edm" localSheetId="5" hidden="1">BS!$A$1:$BO$50</definedName>
    <definedName name="_bdm.2803F6BCAF1940ABB94B38CCBCEB7EDF.edm" localSheetId="3" hidden="1">Metrics!$A$5:$CI$84</definedName>
    <definedName name="_bdm.2D76C1D463304FC99F90ADD9834612EC.edm" localSheetId="6" hidden="1">CF!$A$79:$CS$144</definedName>
    <definedName name="_bdm.2E4D6A4FB9394C71A5B68BD84192158A.edm" localSheetId="4" hidden="1">Model!$A$4:$CY$193</definedName>
    <definedName name="_bdm.2E914C8580664C1FA2E8E580095CD33A.edm" localSheetId="3" hidden="1">Metrics!$A$6:$CD$141</definedName>
    <definedName name="_bdm.32F3A7CF0CF24181A369248687089776.edm" localSheetId="4" hidden="1">Model!$A$4:$CS$193</definedName>
    <definedName name="_bdm.34D886DA614E4E46AB7109F86C235D75.edm" hidden="1">Metrics!$1:$1048576</definedName>
    <definedName name="_bdm.36116038D5F74DA8B2A8DA4C7F9E6176.edm" localSheetId="3" hidden="1">Metrics!$A$5:$CJ$84</definedName>
    <definedName name="_bdm.373C5FCDE5BA4894B1883C1AB21B41F4.edm" localSheetId="3" hidden="1">Metrics!$A$56:$CG$84</definedName>
    <definedName name="_bdm.37580470F3B14A0287876C4A87EF231F.edm" localSheetId="6" hidden="1">CF!$A$79:$CY$143</definedName>
    <definedName name="_bdm.38373D532679481F938C7B8E9D3D4E79.edm" localSheetId="5" hidden="1">BS!$A$3:$CG$50</definedName>
    <definedName name="_bdm.39EE0962AEEA45318E60ECAF3E17FEDF.edm" localSheetId="3" hidden="1">Metrics!$A$4:$CQ$267</definedName>
    <definedName name="_bdm.3C07A12F13A842AFBCA24C5AD1316CF1.edm" localSheetId="3" hidden="1">Metrics!$A$5:$CP$267</definedName>
    <definedName name="_bdm.40FB99A6F9024632B8C425E03E58F48A.edm" localSheetId="4" hidden="1">Model!$A$1:$BO$195</definedName>
    <definedName name="_bdm.4236D01D2F9D4D8EBBF48948B944770B.edm" localSheetId="3" hidden="1">Metrics!$A$5:$CO$267</definedName>
    <definedName name="_bdm.4F59A9188F0F44A0883F35291B205CA5.edm" localSheetId="3" hidden="1">Metrics!$A$4:$CK$379</definedName>
    <definedName name="_bdm.556CA029DA3245FD895F482B0FCB39B8.edm" localSheetId="3" hidden="1">Metrics!$A$4:$CG$384</definedName>
    <definedName name="_bdm.6276C48EB21949429E15FE226CF162EC.edm" localSheetId="5" hidden="1">BS!$A$3:$CG$52</definedName>
    <definedName name="_bdm.652D5E6B70CD41538B96B8F623F168B0.edm" localSheetId="3" hidden="1">Metrics!$A$5:$CO$85</definedName>
    <definedName name="_bdm.67CC29B10EA4421BAB9EBF39FD25236C.edm" localSheetId="3" hidden="1">Metrics!$A$4:$CQ$379</definedName>
    <definedName name="_bdm.6D454E2246F243399CF2EB0CDC4877C1.edm" localSheetId="6" hidden="1">CF!$A$79:$CS$144</definedName>
    <definedName name="_bdm.6E846E2F0E574548B15E0E5419106A56.edm" localSheetId="4" hidden="1">Model!$A$4:$BU$196</definedName>
    <definedName name="_bdm.6EDF16D2A7EF486288371F62A14B1837.edm" localSheetId="3" hidden="1">Metrics!$A$3:$CG$386</definedName>
    <definedName name="_bdm.719740DCDB99404BB0D4AFAAAF5CE1F5.edm" hidden="1">Model!$1:$1048576</definedName>
    <definedName name="_bdm.76F8BF6080494D849827ED9383928BCF.edm" localSheetId="3" hidden="1">Metrics!$A$56:$CF$84</definedName>
    <definedName name="_bdm.772DCD89BD99498E81E168B5553FB970.edm" localSheetId="6" hidden="1">CF!$A$79:$DR$144</definedName>
    <definedName name="_bdm.777E383096B04604A8907760E365598D.edm" hidden="1">CF!$1:$1048576</definedName>
    <definedName name="_bdm.7C8E629712B3409C8AF6D8AE867C2A13.edm" localSheetId="4" hidden="1">Model!$A$202:$CA$250</definedName>
    <definedName name="_bdm.7E7CC606FA5445108E3F49AE2993596F.edm" localSheetId="6" hidden="1">CF!$A$4:$CY$71</definedName>
    <definedName name="_bdm.811BEF97C7094F47925F8D3367E6F402.edm" localSheetId="4" hidden="1">Model!$A$4:$CY$193</definedName>
    <definedName name="_bdm.8654B65DE73743BFB807BCBA52DA3258.edm" localSheetId="5" hidden="1">BS!$A$3:$CY$50</definedName>
    <definedName name="_bdm.88AC29A191084709AAFF575FB400EA94.edm" localSheetId="4" hidden="1">Model!$A$4:$CA$198</definedName>
    <definedName name="_bdm.8A80902319BB489BACCD703E19F79AD4.edm" localSheetId="3" hidden="1">Metrics!$A$6:$CG$84</definedName>
    <definedName name="_bdm.8BF8529E8CD34D068D093E9CEE454FC6.edm" localSheetId="4" hidden="1">Model!$A$4:$CS$196</definedName>
    <definedName name="_bdm.8ED098BB71144D20A2F300BEB0BD39D2.edm" localSheetId="4" hidden="1">Model!$A$4:$CY$153</definedName>
    <definedName name="_bdm.9F03F3970EBC4461A7B90EBAECD30B6B.edm" localSheetId="6" hidden="1">CF!$A$79:$CS$143</definedName>
    <definedName name="_bdm.9FDD546341814A06A6947559877EBBEA.edm" localSheetId="4" hidden="1">Model!$A$4:$CY$114</definedName>
    <definedName name="_bdm.9FFEF2A6666D426B9665AF9F0B60BBE6.edm" localSheetId="3" hidden="1">Metrics!$A$4:$CO$416</definedName>
    <definedName name="_bdm.A345AE9D8F4448499C3405CF7FAEA5CB.edm" localSheetId="6" hidden="1">CF!$A$4:$CY$143</definedName>
    <definedName name="_bdm.A46DF2474D514503BACA090D69390CF6.edm" localSheetId="5" hidden="1">BS!$A$3:$CA$50</definedName>
    <definedName name="_bdm.A63AAB03E5A44C228A2E6A9828BB9DC0.edm" localSheetId="3" hidden="1">Metrics!$A$4:$CP$84</definedName>
    <definedName name="_bdm.AAB0B2343A024354AEA890C0769E752C.edm" localSheetId="6" hidden="1">CF!$A$79:$BU$150</definedName>
    <definedName name="_bdm.AC120EEEDC1D420CAF86BD5ADF5FCED3.edm" localSheetId="3" hidden="1">Metrics!$A$5:$CA$141</definedName>
    <definedName name="_bdm.ACEB6428A4684B7D9AA8E73567E4AC4A.edm" localSheetId="3" hidden="1">Metrics!$A$5:$CC$141</definedName>
    <definedName name="_bdm.ADC367C4BF6343678691E39AD225D025.edm" localSheetId="3" hidden="1">Metrics!$A$5:$CK$84</definedName>
    <definedName name="_bdm.B7955AB9A2274D8C93330C13192578BA.edm" localSheetId="5" hidden="1">BS!$A$3:$DR$51</definedName>
    <definedName name="_bdm.BC68C0D3B4F04C9FA514A9E9B0E58E5B.edm" localSheetId="3" hidden="1">Metrics!$A$4:$CG$379</definedName>
    <definedName name="_bdm.BE1A11F3702B462FBA9668C94E44CCF8.edm" localSheetId="3" hidden="1">Metrics!$A$4:$CM$384</definedName>
    <definedName name="_bdm.BE89CA6DF8D74848AAF6BA30C13FF039.edm" localSheetId="3" hidden="1">Metrics!$A$4:$CQ$380</definedName>
    <definedName name="_bdm.BFE8C3F6880246D4B9EB160B16DAA9B7.edm" localSheetId="4" hidden="1">Model!$A$202:$BU$250</definedName>
    <definedName name="_bdm.C0965DD7EAB74C30BFD06D112DB948E0.edm" hidden="1">BS!$1:$1048576</definedName>
    <definedName name="_bdm.C14ED1D6BD164967AFFE3B88BEF678FE.edm" localSheetId="4" hidden="1">Model!$A$200:$BO$250</definedName>
    <definedName name="_bdm.C1AC3B1D3EF64D16B76B60AB0FB77836.edm" localSheetId="3" hidden="1">Metrics!$A$4:$CP$267</definedName>
    <definedName name="_bdm.C352E710CB1F4E4EAE65B85851EC0485.edm" localSheetId="3" hidden="1">Metrics!$A$1:$BO$428</definedName>
    <definedName name="_bdm.C3BBFBFD3A7F4856A9896878EB573E0B.edm" localSheetId="4" hidden="1">Model!$A$4:$CA$196</definedName>
    <definedName name="_bdm.C480753E10CA47B1A5EC658D8351EB11.edm" localSheetId="6" hidden="1">CF!$A$4:$CY$71</definedName>
    <definedName name="_bdm.C6325B10E3BD4851B204873D4B1B39E1.edm" localSheetId="3" hidden="1">Metrics!$A$6:$CE$141</definedName>
    <definedName name="_bdm.C75122F4A51B4B558E30094E3A5BD1D9.edm" localSheetId="3" hidden="1">Metrics!$A$55:$CI$84</definedName>
    <definedName name="_bdm.CFC9592C970C4766AFC78FFB6631A47F.edm" localSheetId="3" hidden="1">Metrics!$A$4:$CQ$84</definedName>
    <definedName name="_bdm.D51B3C44F4064E4D848FAE0292F41EAB.edm" localSheetId="3" hidden="1">Metrics!$A$55:$CI$91</definedName>
    <definedName name="_bdm.D65F4E40DB384CDEB1F33443FB515E02.edm" localSheetId="4" hidden="1">Model!$A$4:$CA$197</definedName>
    <definedName name="_bdm.D7D3A37429164ADBBAA1A4A4EA7CF42B.edm" localSheetId="6" hidden="1">CF!$A$76:$BO$150</definedName>
    <definedName name="_bdm.DA391F5B476E4AD79B83ACD732CFB496.edm" localSheetId="3" hidden="1">Metrics!$A$4:$CP$379</definedName>
    <definedName name="_bdm.DFBAF54BF9754EBCBFC9ADA8481E7B45.edm" localSheetId="6" hidden="1">CF!$A$79:$CG$144</definedName>
    <definedName name="_bdm.E1BCA66F0C254D67BDD441973A7F67DB.edm" localSheetId="5" hidden="1">BS!$A$3:$CY$50</definedName>
    <definedName name="_bdm.E36521862059487E8DE96EAA64296D7B.edm" localSheetId="5" hidden="1">BS!$A$3:$BU$50</definedName>
    <definedName name="_bdm.ECE80974A21E43D099E9603C8774A1DB.edm" localSheetId="3" hidden="1">Metrics!$A$4:$CM$379</definedName>
    <definedName name="_bdm.EF86926D67944873928763CDE6B78D00.edm" localSheetId="5" hidden="1">BS!$A$3:$CG$51</definedName>
    <definedName name="_bdm.F1F42E32EAE04568A707C6DC332FCA5E.edm" localSheetId="6" hidden="1">CF!$A$79:$CG$150</definedName>
    <definedName name="_bdm.F3246155D23C4834A5F177B2AA174E2B.edm" localSheetId="4" hidden="1">Model!$A$4:$CG$196</definedName>
    <definedName name="_bdm.F6961A778C9F478588431343F5B70CF7.edm" localSheetId="3" hidden="1">Metrics!$A$4:$CO$380</definedName>
    <definedName name="_bdm.F84C3A8C47AC4D01AC4BF79566F9C7E1.edm" localSheetId="3" hidden="1">Metrics!$A$4:$CM$388</definedName>
    <definedName name="_bdm.FA79B48377CE4AACB8550D80EA5EE203.edm" localSheetId="5" hidden="1">BS!$A$3:$CS$50</definedName>
    <definedName name="_bdm.FF25DE6360054D6B9F1EB279AC900CA8.edm" localSheetId="4" hidden="1">Model!$A$202:$CG$250</definedName>
    <definedName name="_BS">BS!$A$3:$BU$50</definedName>
    <definedName name="_CF">CF!$A$79:$BU$150</definedName>
    <definedName name="_fy00">Model!$Y$6:$Y$65556</definedName>
    <definedName name="_fy01">Model!$AE$6:$AE$65556</definedName>
    <definedName name="_fy02">Model!$AK$6:$AK$65556</definedName>
    <definedName name="_fy03">Model!$AQ$6:$AQ$65556</definedName>
    <definedName name="_fy04">Model!$AW$6:$AW$65556</definedName>
    <definedName name="_fy05">Model!$BC$6:$BC$65556</definedName>
    <definedName name="_fy06">Model!$BI$6:$BI$65556</definedName>
    <definedName name="_fy07">Model!$BO$6:$BO$65556</definedName>
    <definedName name="_fy08">Model!$BU$6:$BU$65556</definedName>
    <definedName name="_fy09">Model!$CA:$CA</definedName>
    <definedName name="_fy10">Model!$CG:$CG</definedName>
    <definedName name="_fy11">Model!$CM:$CM</definedName>
    <definedName name="_fy12">Model!$CS$6:$CS$65556</definedName>
    <definedName name="_fy97">Model!$G$6:$G$65556</definedName>
    <definedName name="_fy98">Model!$M$6:$M$65556</definedName>
    <definedName name="_fy99">Model!$S$6:$S$65556</definedName>
    <definedName name="_IS">Model!$A$4:$BU$195</definedName>
    <definedName name="_ISA">Model!$A$202:$BU$250</definedName>
    <definedName name="_orgcc">Metrics!$A$1:$BU$53</definedName>
    <definedName name="acadrev">Model!$305:$305</definedName>
    <definedName name="AdditionalInstructions">IndexInformation!$B$42</definedName>
    <definedName name="Address" localSheetId="1">ImportantDisclosures!$A$2:$A$2</definedName>
    <definedName name="ANA" localSheetId="8">ModPubIndex!$A$7</definedName>
    <definedName name="apac">Model!$C$256:$JT$256</definedName>
    <definedName name="AssetsCurrentAccountsReceivableAllowance">0</definedName>
    <definedName name="AssetsCurrentAccountsReceivableGross">0</definedName>
    <definedName name="AssetsCurrentDeferredIncomeTaxes">0</definedName>
    <definedName name="AssetsCurrentOther">0</definedName>
    <definedName name="AssetsCurrentPrepaidExpenses">0</definedName>
    <definedName name="AssetsCurrentShortTermInvestments">0</definedName>
    <definedName name="AssetsIntangiblesAccumulatedAmortization">0</definedName>
    <definedName name="AssetsIntangiblesGross">0</definedName>
    <definedName name="AssetsOtherAccumulatedAmortization">0</definedName>
    <definedName name="AssetsOtherGross">0</definedName>
    <definedName name="AssetsOtherNet">0</definedName>
    <definedName name="Authors" localSheetId="1">ImportantDisclosures!$A$7</definedName>
    <definedName name="Authors" localSheetId="7">IndexInformation!$B$18</definedName>
    <definedName name="BRO" localSheetId="8">ModPubIndex!$A$1</definedName>
    <definedName name="capex">Model!$C$284:$JT$284</definedName>
    <definedName name="cash">Model!$C$280:$JT$280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crevgr">Model!$C$258:$JT$258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e" localSheetId="1">ImportantDisclosures!$A$8</definedName>
    <definedName name="dcfdna">Model!$C$288:$JT$288</definedName>
    <definedName name="debt">Model!$281:$281</definedName>
    <definedName name="defrev">Model!$C$278:$JT$278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1">ImportantDisclosures!#REF!</definedName>
    <definedName name="DistTablePreamble" localSheetId="1">ImportantDisclosures!#REF!</definedName>
    <definedName name="div">Model!$B$194:$JT$194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dom">Model!$C$253:$JT$253</definedName>
    <definedName name="dso">Model!$C$289:$JT$289</definedName>
    <definedName name="dvds">Model!$B$194</definedName>
    <definedName name="EMAIL_ALERT" localSheetId="8">ModPubIndex!$A$10</definedName>
    <definedName name="EmailAlert" localSheetId="7">IndexInformation!$B$28</definedName>
    <definedName name="emea">Model!$C$255:$JT$255</definedName>
    <definedName name="eps">Model!$C$107:$JT$107</definedName>
    <definedName name="EquityAdjustments">0</definedName>
    <definedName name="EquityEmployeeStockOwnershipPlan">0</definedName>
    <definedName name="EquityPaidInCapital">0</definedName>
    <definedName name="EquityTreasuryStock">0</definedName>
    <definedName name="fcf">Model!$286:$286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gna">Model!$B$62:$JT$62</definedName>
    <definedName name="grinc">Model!$B$50:$JT$50</definedName>
    <definedName name="grmgn">Model!$B$51:$JT$51</definedName>
    <definedName name="grp">Model!$50:$50</definedName>
    <definedName name="hc">Model!$C$291:$JT$291</definedName>
    <definedName name="HL" localSheetId="8">ModPubIndex!$A$8</definedName>
    <definedName name="ib_acad">Model!$295:$295</definedName>
    <definedName name="ib_acad_new">Model!$296:$296</definedName>
    <definedName name="ib_acad_sa">Model!$299:$299</definedName>
    <definedName name="ib_archdesk">Model!$302:$302</definedName>
    <definedName name="ib_inven">Model!$297:$297</definedName>
    <definedName name="ib_inven_new">Model!$298:$298</definedName>
    <definedName name="ib_landdesk">Model!$303:$303</definedName>
    <definedName name="ib_lt">Model!$304:$304</definedName>
    <definedName name="ib_map">Model!$301:$301</definedName>
    <definedName name="ib_mechdesk">Model!$300:$300</definedName>
    <definedName name="IncomeEPSFullyDiluted">0</definedName>
    <definedName name="IncomeEPSPrimary">0</definedName>
    <definedName name="IncomeEPSRegular">0</definedName>
    <definedName name="IND" localSheetId="8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ntl">Model!$C$254:$JT$254</definedName>
    <definedName name="KeepVersions" localSheetId="7">IndexInformation!$B$8</definedName>
    <definedName name="LanguageCode">IndexInformation!$B$38</definedName>
    <definedName name="LastCell" localSheetId="1">ImportantDisclosures!$A$22</definedName>
    <definedName name="LiabilitiesCurrentAccruedLiabilities">0</definedName>
    <definedName name="LiabilitiesCurrentNotesPayable">0</definedName>
    <definedName name="LiabilitiesDeferredIncomeTaxes">0</definedName>
    <definedName name="LiabilitiesOther">0</definedName>
    <definedName name="LiabilitiesUnamortizedInvestmentTaxCredits">0</definedName>
    <definedName name="liccost">Model!$C$36:$JT$36</definedName>
    <definedName name="Linking_11">Metrics!$DG$270:$DQ$289</definedName>
    <definedName name="Linking_12">Metrics!$A$270:$DQ$289</definedName>
    <definedName name="Linking_14">Metrics!$A$4:$DQ$267</definedName>
    <definedName name="Linking_17">'Biz Transition Scenarios'!$B$372:$P$379</definedName>
    <definedName name="Linking_18">'Biz Transition Scenarios'!$B$383:$P$385</definedName>
    <definedName name="Linking_19">'Biz Transition Scenarios'!$B$369:$P$382</definedName>
    <definedName name="Linking_20">'Biz Transition Scenarios'!$B$401:$P$411</definedName>
    <definedName name="Linking_21">'Biz Transition Scenarios'!$B$372:$P$382</definedName>
    <definedName name="Linking_22">'Biz Transition Scenarios'!$B$386:$P$396</definedName>
    <definedName name="Linking_23">'Biz Transition Scenarios'!$B$3:$P$84</definedName>
    <definedName name="Linking_24">'Biz Transition Scenarios'!$B$126:$P$196</definedName>
    <definedName name="Linking_25">'Biz Transition Scenarios'!$B$195:$P$239</definedName>
    <definedName name="Linking_26">'Biz Transition Scenarios'!$B$239:$P$277</definedName>
    <definedName name="Linking_27">'Biz Transition Scenarios'!$B$239:$P$293</definedName>
    <definedName name="Linking_29">CF!$A$4:$EC$70</definedName>
    <definedName name="Linking_30">Metrics!$A$55:$DQ$267</definedName>
    <definedName name="Linking_31">Metrics!$A$270:$DQ$324</definedName>
    <definedName name="Linking_33">BS!$A$3:$EC$50</definedName>
    <definedName name="Linking_34">Metrics!$A$270:$DQ$303</definedName>
    <definedName name="Linking_35">BS!$A$3:$EI$50</definedName>
    <definedName name="Linking_36">CF!$A$79:$EI$145</definedName>
    <definedName name="Linking_37">'Biz Transition Scenarios'!$B$126:$Q$195</definedName>
    <definedName name="Linking_38">'Biz Transition Scenarios'!$B$195:$Q$240</definedName>
    <definedName name="Linking_39">'Biz Transition Scenarios'!$B$239:$Q$293</definedName>
    <definedName name="Linking_40">Model!$A$4:$EI$108</definedName>
    <definedName name="Linking_41">Metrics!$A$4:$EI$286</definedName>
    <definedName name="Linking_42">CF!$A$4:$EI$70</definedName>
    <definedName name="Linking_45">Metrics!$A$270:$DW$324</definedName>
    <definedName name="Linking_46">Metrics!$A$4:$DW$267</definedName>
    <definedName name="Linking_47">BS!$A$3:$EI$48</definedName>
    <definedName name="Linking_48">Metrics!$A$5:$DW$267</definedName>
    <definedName name="Linking_49">Metrics!$A$3:$DW$92</definedName>
    <definedName name="Linking_50">'Biz Transition Scenarios'!$B$372:$Q$383</definedName>
    <definedName name="Linking_51">'Biz Transition Scenarios'!$B$401:$Q$412</definedName>
    <definedName name="Linking_52">'Biz Transition Scenarios'!$B$386:$Q$397</definedName>
    <definedName name="Linking_61">Model!$A$4:$EO$108</definedName>
    <definedName name="Linking_62">BS!$A$3:$EO$50</definedName>
    <definedName name="Linking_63">CF!$A$79:$EO$145</definedName>
    <definedName name="Linking_65">Model!$A$4:$EO$193</definedName>
    <definedName name="Linking_66">CF!$A$78:$EO$145</definedName>
    <definedName name="Linking_67">Model!$A$4:$EO$109</definedName>
    <definedName name="Linking_69">Model!$A$6:$EO$109</definedName>
    <definedName name="Linking_71">'Biz Transition Scenarios'!$B$30:$Q$196</definedName>
    <definedName name="Linking_72">Model!$A$6:$EO$108</definedName>
    <definedName name="Linking_8">Metrics!$A$4:$EC$289</definedName>
    <definedName name="Linking_9">CF!$A$79:$EC$143</definedName>
    <definedName name="Linking_Range_11">Metrics!$A$4:$CU$92</definedName>
    <definedName name="Linking_Range_12">Metrics!$A$4:$CU$267</definedName>
    <definedName name="Linking_Range_13">Model!$A$4:$DK$114</definedName>
    <definedName name="Linking_Range_14">Metrics!$A$4:$CY$379</definedName>
    <definedName name="Linking_Range_15">BS!$A$3:$DK$50</definedName>
    <definedName name="Linking_Range_16">CF!$A$4:$DK$71</definedName>
    <definedName name="Linking_Range_17">Metrics!$A$4:$CV$92</definedName>
    <definedName name="Linking_Range_18">Metrics!$A$4:$CV$267</definedName>
    <definedName name="Linking_Range_19">Model!$A$4:$DK$109</definedName>
    <definedName name="Linking_Range_2">Metrics!$A$5:$CS$267</definedName>
    <definedName name="Linking_Range_20">Metrics!$A$4:$CV$379</definedName>
    <definedName name="Linking_Range_21">CF!$A$4:$DK$70</definedName>
    <definedName name="Linking_Range_22">CF!$A$4:$DK$145</definedName>
    <definedName name="Linking_Range_23">CF!$A$4:$DK$72</definedName>
    <definedName name="Linking_Range_26">Metrics!$A$4:$CW$379</definedName>
    <definedName name="Linking_Range_29">Metrics!$A$4:$CW$92</definedName>
    <definedName name="Linking_Range_3">Metrics!$A$4:$CS$84</definedName>
    <definedName name="Linking_Range_30">Metrics!$A$4:$CY$92</definedName>
    <definedName name="Linking_Range_31">Metrics!$A$4:$CY$267</definedName>
    <definedName name="Linking_Range_35">Metrics!$A$4:$DA$92</definedName>
    <definedName name="Linking_Range_36">Metrics!$A$4:$DA$267</definedName>
    <definedName name="Linking_Range_38">Model!$A$4:$DQ$108</definedName>
    <definedName name="Linking_Range_39">Metrics!$A$4:$DE$379</definedName>
    <definedName name="Linking_Range_40">CF!$A$4:$DQ$71</definedName>
    <definedName name="Linking_Range_41">Metrics!$A$4:$DB$92</definedName>
    <definedName name="Linking_Range_42">Model!$A$4:$DK$108</definedName>
    <definedName name="Linking_Range_43">Metrics!$A$4:$DB$379</definedName>
    <definedName name="Linking_Range_44">CF!$A$79:$DK$146</definedName>
    <definedName name="Linking_Range_46">CF!$A$78:$DR$148</definedName>
    <definedName name="Linking_Range_47">Model!$A$4:$DQ$107</definedName>
    <definedName name="Linking_Range_48">Metrics!$A$4:$DB$380</definedName>
    <definedName name="Linking_Range_49">BS!$A$3:$DQ$50</definedName>
    <definedName name="Linking_Range_5">Model!$A$4:$DE$114</definedName>
    <definedName name="Linking_Range_50">Metrics!$A$4:$DC$92</definedName>
    <definedName name="Linking_Range_51">Metrics!$A$6:$DC$267</definedName>
    <definedName name="Linking_Range_52">Metrics!$A$4:$DE$267</definedName>
    <definedName name="Linking_Range_53">CF!$A$77:$DQ$146</definedName>
    <definedName name="Linking_Range_54">CF!$A$79:$DQ$146</definedName>
    <definedName name="Linking_Range_56">Metrics!$A$4:$DE$92</definedName>
    <definedName name="Linking_Range_57">Metrics!$A$256:$DE$267</definedName>
    <definedName name="Linking_Range_59">Metrics!$A$4:$DG$92</definedName>
    <definedName name="Linking_Range_6">Metrics!$A$4:$CS$380</definedName>
    <definedName name="Linking_Range_60">Metrics!$A$4:$DG$267</definedName>
    <definedName name="Linking_Range_62">Metrics!$A$4:$DK$92</definedName>
    <definedName name="Linking_Range_63">Metrics!$A$256:$DK$267</definedName>
    <definedName name="Linking_Range_64">Metrics!$A$4:$DK$267</definedName>
    <definedName name="Linking_Range_65">Metrics!$A$4:$DK$280</definedName>
    <definedName name="Linking_Range_66">CF!$A$79:$DQ$145</definedName>
    <definedName name="Linking_Range_67">CF!$A$4:$DQ$70</definedName>
    <definedName name="Linking_Range_7">BS!$A$3:$DE$50</definedName>
    <definedName name="Linking_Range_79">Metrics!$A$4:$DK$285</definedName>
    <definedName name="Linking_Range_8">CF!$A$4:$DE$71</definedName>
    <definedName name="Linking_Range_82">Metrics!$A$270:$DK$289</definedName>
    <definedName name="Linking_Range_83">Model!$A$4:$EC$108</definedName>
    <definedName name="Linking_Range_84">BS!$A$3:$EC$48</definedName>
    <definedName name="Linking_Range_85">CF!$A$79:$EC$145</definedName>
    <definedName name="Linking_Range_89">Model!$A$4:$EC$109</definedName>
    <definedName name="Linking_Range_90">Metrics!$A$4:$DQ$289</definedName>
    <definedName name="Linking_Range_91">CF!$A$79:$EC$144</definedName>
    <definedName name="Linking_Text_1">CF!$CP$15</definedName>
    <definedName name="lrev">Model!$C$10:$JT$10</definedName>
    <definedName name="lrevemp">Model!$C$293:$JT$293</definedName>
    <definedName name="ltmeps">Model!$C$268:$JT$268</definedName>
    <definedName name="ltmexp">Model!$C$263:$JT$263</definedName>
    <definedName name="ltmfcf">Model!$B$270:$JT$270</definedName>
    <definedName name="ltmfcfextb">Model!$B$272:$JT$272</definedName>
    <definedName name="ltmlrev">Model!$C$260:$JT$260</definedName>
    <definedName name="ltmopcash">Model!$C$269:$JT$269</definedName>
    <definedName name="LTMopinc">Model!$265:$265</definedName>
    <definedName name="ltmopmgn">Model!$C$266:$JT$266</definedName>
    <definedName name="ltmrev">Model!$C$261:$JT$261</definedName>
    <definedName name="ltmrnd">Model!$C$267:$JT$267</definedName>
    <definedName name="ltmtb">Model!$B$271:$JT$271</definedName>
    <definedName name="MacroVersion" localSheetId="7">IndexInformation!$B$1</definedName>
    <definedName name="ModelPrice" localSheetId="1">ImportantDisclosures!$A$14</definedName>
    <definedName name="mrev">Model!$C$14:$GG$14</definedName>
    <definedName name="Multiplier" localSheetId="7">IndexInformation!$B$35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ni">Model!$B$105:$JT$105</definedName>
    <definedName name="nirep">Model!$C$147:$JT$147</definedName>
    <definedName name="nopat">Model!$274:$274</definedName>
    <definedName name="Normalized_Income_Statement">"IS_Annual"</definedName>
    <definedName name="ObjectType">IndexInformation!$B$37</definedName>
    <definedName name="op">Model!$B$85:$JT$85</definedName>
    <definedName name="opcash">Model!$C$285:$JT$285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>0</definedName>
    <definedName name="opmgn">Model!$B$86:$JT$86</definedName>
    <definedName name="OtherExEquityIncome">0</definedName>
    <definedName name="OtherExGainOnSale">0</definedName>
    <definedName name="OtherExInterestIncome">0</definedName>
    <definedName name="OtherExMinorityInterest">0</definedName>
    <definedName name="OtherExTotal">0</definedName>
    <definedName name="othinc">Model!$B$93:$JT$93</definedName>
    <definedName name="PANA" localSheetId="8">ModPubIndex!$A$11</definedName>
    <definedName name="PathName" localSheetId="7">IndexInformation!$B$25</definedName>
    <definedName name="_xlnm.Print_Area" localSheetId="5">BS!$A$1:$DR$51</definedName>
    <definedName name="_xlnm.Print_Area" localSheetId="6">CF!$A$76:$DR$146</definedName>
    <definedName name="_xlnm.Print_Area" localSheetId="3">Metrics!$A$1:$DE$416</definedName>
    <definedName name="_xlnm.Print_Area" localSheetId="4">Model!$A$1:$DE$193</definedName>
    <definedName name="_xlnm.Print_Area">#REF!</definedName>
    <definedName name="_xlnm.Print_Titles">#REF!</definedName>
    <definedName name="PRODUCT" localSheetId="8">ModPubIndex!$A$6</definedName>
    <definedName name="PSYM" localSheetId="8">ModPubIndex!$A$4</definedName>
    <definedName name="PublishDate" localSheetId="7">IndexInformation!$B$2</definedName>
    <definedName name="Rating" localSheetId="7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portGroup" hidden="1">0</definedName>
    <definedName name="repurch">Model!$B$283</definedName>
    <definedName name="ResearchTopic" localSheetId="7">IndexInformation!$B$4</definedName>
    <definedName name="rev">Model!$C$31:$JT$31</definedName>
    <definedName name="revemp">Model!$C$292:$JT$292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7">IndexInformation!$B$21</definedName>
    <definedName name="rnd">Model!$B$58:$JT$58</definedName>
    <definedName name="SECSettlement" localSheetId="1">ImportantDisclosures!#REF!</definedName>
    <definedName name="SEDOL" localSheetId="7">IndexInformation!$B$22</definedName>
    <definedName name="servicecost">Model!$C$39:$JT$39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hs">Model!$C$153:$JT$153</definedName>
    <definedName name="snm">Model!$B$54:$JT$54</definedName>
    <definedName name="SourceDefined" localSheetId="1">ImportantDisclosures!$A$19</definedName>
    <definedName name="srev">Model!$C$14:$JT$14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1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1">ImportantDisclosures!$A$15</definedName>
    <definedName name="taxbeni">Model!$B$287:$JT$287</definedName>
    <definedName name="taxes">Model!$B$100:$JT$100</definedName>
    <definedName name="taxrate">Model!$B$101:$JT$101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7">IndexInformation!$B$19</definedName>
    <definedName name="toteq">Model!$C$282:$JT$282</definedName>
    <definedName name="totexp">Model!$B$79:$JT$79</definedName>
    <definedName name="totrec">Model!$C$279:$JT$279</definedName>
    <definedName name="UpdateReason" localSheetId="7">IndexInformation!$B$17</definedName>
    <definedName name="urev">Model!$276:$276</definedName>
    <definedName name="USRegDisclosures" localSheetId="1">ImportantDisclosures!#REF!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  <definedName name="Z_5A095E4E_6841_4715_B354_198715F5FF0A_.wvu.Cols" localSheetId="6" hidden="1">CF!$B:$F,CF!$H:$L,CF!$N:$R,CF!$T:$X,CF!$Z:$AD,CF!$AF:$AJ,CF!$AL:$AP,CF!$AS:$AV,CF!$AX:$BB,CF!$BD:$BH,CF!$BJ:$BN</definedName>
    <definedName name="Z_5A095E4E_6841_4715_B354_198715F5FF0A_.wvu.Cols" localSheetId="3" hidden="1">Metrics!$B:$F,Metrics!$H:$L,Metrics!$N:$R,Metrics!$T:$X,Metrics!$Z:$AD,Metrics!$AF:$AJ,Metrics!$AL:$AP,Metrics!$AS:$AV,Metrics!$AX:$BB,Metrics!$BD:$BH,Metrics!$BJ:$BN</definedName>
    <definedName name="Z_5A095E4E_6841_4715_B354_198715F5FF0A_.wvu.Cols" localSheetId="4" hidden="1">Model!$B:$F,Model!$H:$L,Model!$N:$R,Model!$T:$X,Model!$Z:$AD,Model!$AF:$AJ,Model!$AL:$AP,Model!$AS:$AV,Model!$AX:$BB,Model!$BD:$BH,Model!$BJ:$BN</definedName>
    <definedName name="Z_5A095E4E_6841_4715_B354_198715F5FF0A_.wvu.Rows" localSheetId="6" hidden="1">CF!$5:$5,CF!$80:$80</definedName>
    <definedName name="Z_5A095E4E_6841_4715_B354_198715F5FF0A_.wvu.Rows" localSheetId="3" hidden="1">Metrics!$10:$28,Metrics!$34:$51</definedName>
    <definedName name="Z_7ADDAC9C_E12E_468B_A7D0_D44A9895D58E_.wvu.Cols" localSheetId="5" hidden="1">BS!$B:$AX</definedName>
    <definedName name="Z_7ADDAC9C_E12E_468B_A7D0_D44A9895D58E_.wvu.Cols" localSheetId="6" hidden="1">CF!$B:$AX</definedName>
    <definedName name="Z_7ADDAC9C_E12E_468B_A7D0_D44A9895D58E_.wvu.Cols" localSheetId="3" hidden="1">Metrics!$B:$AX</definedName>
    <definedName name="Z_7ADDAC9C_E12E_468B_A7D0_D44A9895D58E_.wvu.Cols" localSheetId="4" hidden="1">Model!$B:$AX</definedName>
    <definedName name="Z_7ADDAC9C_E12E_468B_A7D0_D44A9895D58E_.wvu.Rows" localSheetId="6" hidden="1">CF!$5:$5,CF!$80:$80</definedName>
    <definedName name="Z_7ADDAC9C_E12E_468B_A7D0_D44A9895D58E_.wvu.Rows" localSheetId="3" hidden="1">Metrics!$10:$28,Metrics!$34:$51</definedName>
  </definedNames>
  <calcPr calcId="145621"/>
  <customWorkbookViews>
    <customWorkbookView name="Qtr" guid="{7ADDAC9C-E12E-468B-A7D0-D44A9895D58E}" includePrintSettings="0" maximized="1" windowWidth="1020" windowHeight="543" tabRatio="722" activeSheetId="1"/>
    <customWorkbookView name="Annual" guid="{5A095E4E-6841-4715-B354-198715F5FF0A}" includePrintSettings="0" maximized="1" windowWidth="1020" windowHeight="543" tabRatio="722" activeSheetId="1"/>
  </customWorkbookViews>
</workbook>
</file>

<file path=xl/calcChain.xml><?xml version="1.0" encoding="utf-8"?>
<calcChain xmlns="http://schemas.openxmlformats.org/spreadsheetml/2006/main">
  <c r="EB83" i="4" l="1"/>
  <c r="EB82" i="4"/>
  <c r="EB78" i="4"/>
  <c r="EB77" i="4"/>
  <c r="EB74" i="4"/>
  <c r="EB73" i="4"/>
  <c r="EB70" i="4"/>
  <c r="EB69" i="4"/>
  <c r="EB66" i="4"/>
  <c r="EB65" i="4"/>
  <c r="EB60" i="4"/>
  <c r="EB61" i="4" s="1"/>
  <c r="EB56" i="4" l="1"/>
  <c r="EB57" i="4" s="1"/>
  <c r="EB62" i="4"/>
  <c r="EB58" i="4" l="1"/>
  <c r="EB90" i="4"/>
  <c r="EB71" i="4" s="1"/>
  <c r="EB59" i="4"/>
  <c r="EB67" i="4" l="1"/>
  <c r="EB79" i="4"/>
  <c r="EB75" i="4"/>
  <c r="EB63" i="4"/>
  <c r="EB84" i="4"/>
  <c r="EQ314" i="4" l="1"/>
  <c r="ER314" i="4"/>
  <c r="ES314" i="4"/>
  <c r="ES315" i="4"/>
  <c r="EQ318" i="4"/>
  <c r="ER318" i="4"/>
  <c r="ES318" i="4"/>
  <c r="ET318" i="4"/>
  <c r="EQ319" i="4"/>
  <c r="ES319" i="4"/>
  <c r="ET319" i="4"/>
  <c r="EN58" i="2"/>
  <c r="ET58" i="2" s="1"/>
  <c r="EH56" i="2"/>
  <c r="EN56" i="2"/>
  <c r="ET56" i="2" s="1"/>
  <c r="EC36" i="2"/>
  <c r="EB144" i="2"/>
  <c r="EB145" i="2" s="1"/>
  <c r="EB143" i="2"/>
  <c r="EB138" i="2"/>
  <c r="EB137" i="2"/>
  <c r="EB133" i="2"/>
  <c r="EB140" i="2" s="1"/>
  <c r="EB132" i="2"/>
  <c r="EB126" i="2"/>
  <c r="EB124" i="2"/>
  <c r="EB125" i="2" s="1"/>
  <c r="EB118" i="2"/>
  <c r="EB119" i="2" s="1"/>
  <c r="EH119" i="2" s="1"/>
  <c r="EN119" i="2" s="1"/>
  <c r="ET119" i="2" s="1"/>
  <c r="EB102" i="2"/>
  <c r="EB92" i="2"/>
  <c r="EB91" i="2"/>
  <c r="EB90" i="2"/>
  <c r="EB87" i="2"/>
  <c r="EB84" i="2"/>
  <c r="EB81" i="2"/>
  <c r="EB79" i="2"/>
  <c r="EB80" i="2" s="1"/>
  <c r="EB77" i="2"/>
  <c r="EB76" i="2"/>
  <c r="EB75" i="2"/>
  <c r="EB72" i="2"/>
  <c r="EB71" i="2"/>
  <c r="EB171" i="2"/>
  <c r="EB168" i="2" s="1"/>
  <c r="EB48" i="2"/>
  <c r="P323" i="484"/>
  <c r="H300" i="484"/>
  <c r="R323" i="484"/>
  <c r="Q323" i="484"/>
  <c r="Q318" i="484"/>
  <c r="R318" i="484"/>
  <c r="R321" i="484"/>
  <c r="P311" i="484"/>
  <c r="Q311" i="484"/>
  <c r="R311" i="484"/>
  <c r="N266" i="484"/>
  <c r="Q327" i="484"/>
  <c r="P327" i="484"/>
  <c r="EU285" i="2"/>
  <c r="EU275" i="2"/>
  <c r="EU272" i="2"/>
  <c r="ET272" i="2"/>
  <c r="ES272" i="2"/>
  <c r="ER272" i="2"/>
  <c r="EQ272" i="2"/>
  <c r="EU271" i="2"/>
  <c r="ER223" i="2"/>
  <c r="ES223" i="2" s="1"/>
  <c r="ET223" i="2" s="1"/>
  <c r="EU223" i="2" s="1"/>
  <c r="EQ223" i="2"/>
  <c r="ER222" i="2"/>
  <c r="ES222" i="2" s="1"/>
  <c r="ET222" i="2" s="1"/>
  <c r="EU222" i="2" s="1"/>
  <c r="EQ222" i="2"/>
  <c r="ES221" i="2"/>
  <c r="ET221" i="2" s="1"/>
  <c r="EU221" i="2" s="1"/>
  <c r="ER221" i="2"/>
  <c r="EQ221" i="2"/>
  <c r="EU214" i="2"/>
  <c r="ES214" i="2" s="1"/>
  <c r="ES201" i="2" s="1"/>
  <c r="ET214" i="2"/>
  <c r="ET201" i="2" s="1"/>
  <c r="EQ214" i="2"/>
  <c r="EU205" i="2"/>
  <c r="EQ201" i="2"/>
  <c r="EU164" i="2"/>
  <c r="EU136" i="2"/>
  <c r="ET133" i="2"/>
  <c r="ET203" i="2" s="1"/>
  <c r="ES133" i="2"/>
  <c r="ES203" i="2" s="1"/>
  <c r="ER133" i="2"/>
  <c r="EQ133" i="2"/>
  <c r="ER46" i="2"/>
  <c r="ES46" i="2" s="1"/>
  <c r="ET46" i="2" s="1"/>
  <c r="EU46" i="2" s="1"/>
  <c r="EU162" i="2" s="1"/>
  <c r="EQ46" i="2"/>
  <c r="EQ41" i="2"/>
  <c r="ER41" i="2" s="1"/>
  <c r="ES41" i="2" s="1"/>
  <c r="ET41" i="2" s="1"/>
  <c r="EU41" i="2" s="1"/>
  <c r="EQ40" i="2"/>
  <c r="ER40" i="2" s="1"/>
  <c r="ES40" i="2" s="1"/>
  <c r="ET40" i="2" s="1"/>
  <c r="EU40" i="2" s="1"/>
  <c r="EQ39" i="2"/>
  <c r="ER39" i="2" s="1"/>
  <c r="ES39" i="2" s="1"/>
  <c r="ET39" i="2" s="1"/>
  <c r="EU39" i="2" s="1"/>
  <c r="EQ38" i="2"/>
  <c r="ER38" i="2" s="1"/>
  <c r="ES38" i="2" s="1"/>
  <c r="ET38" i="2" s="1"/>
  <c r="EU38" i="2" s="1"/>
  <c r="EQ36" i="2"/>
  <c r="ER36" i="2" s="1"/>
  <c r="EU32" i="2"/>
  <c r="EU31" i="2"/>
  <c r="EQ29" i="2"/>
  <c r="ER29" i="2" s="1"/>
  <c r="ES29" i="2" s="1"/>
  <c r="ET29" i="2" s="1"/>
  <c r="ER22" i="2"/>
  <c r="ES22" i="2" s="1"/>
  <c r="ET22" i="2" s="1"/>
  <c r="EU22" i="2" s="1"/>
  <c r="EQ22" i="2"/>
  <c r="EQ21" i="2"/>
  <c r="ER21" i="2" s="1"/>
  <c r="ES21" i="2" s="1"/>
  <c r="ET21" i="2" s="1"/>
  <c r="EU21" i="2" s="1"/>
  <c r="ER18" i="2"/>
  <c r="ES18" i="2" s="1"/>
  <c r="ET18" i="2" s="1"/>
  <c r="EU18" i="2" s="1"/>
  <c r="EQ18" i="2"/>
  <c r="EU14" i="2"/>
  <c r="ER13" i="2"/>
  <c r="ES13" i="2" s="1"/>
  <c r="ET13" i="2" s="1"/>
  <c r="EU13" i="2" s="1"/>
  <c r="EQ13" i="2"/>
  <c r="EQ10" i="2"/>
  <c r="ER10" i="2" s="1"/>
  <c r="ES10" i="2" s="1"/>
  <c r="ET10" i="2" s="1"/>
  <c r="EU10" i="2" s="1"/>
  <c r="EU6" i="2"/>
  <c r="ET6" i="2"/>
  <c r="ES6" i="2"/>
  <c r="ER6" i="2"/>
  <c r="EQ6" i="2"/>
  <c r="EQ5" i="2"/>
  <c r="EE56" i="2"/>
  <c r="EH87" i="2"/>
  <c r="EB56" i="2"/>
  <c r="EB57" i="2"/>
  <c r="EB58" i="2"/>
  <c r="EF87" i="2"/>
  <c r="EG87" i="2"/>
  <c r="EG56" i="2"/>
  <c r="EF56" i="2"/>
  <c r="EP346" i="1"/>
  <c r="EP345" i="1"/>
  <c r="EP325" i="1"/>
  <c r="ET315" i="1"/>
  <c r="ES315" i="1"/>
  <c r="ER315" i="1"/>
  <c r="EQ314" i="1"/>
  <c r="ER314" i="1" s="1"/>
  <c r="EQ313" i="1"/>
  <c r="EU305" i="1"/>
  <c r="ET305" i="1"/>
  <c r="ES305" i="1"/>
  <c r="ER305" i="1"/>
  <c r="EQ305" i="1"/>
  <c r="EU304" i="1"/>
  <c r="ET304" i="1"/>
  <c r="ES304" i="1"/>
  <c r="ER304" i="1"/>
  <c r="EQ304" i="1"/>
  <c r="EU303" i="1"/>
  <c r="ET303" i="1"/>
  <c r="ES303" i="1"/>
  <c r="ER303" i="1"/>
  <c r="EQ303" i="1"/>
  <c r="EU302" i="1"/>
  <c r="ET302" i="1"/>
  <c r="ES302" i="1"/>
  <c r="ER302" i="1"/>
  <c r="EQ302" i="1"/>
  <c r="EU301" i="1"/>
  <c r="ET301" i="1"/>
  <c r="ES301" i="1"/>
  <c r="ER301" i="1"/>
  <c r="EQ301" i="1"/>
  <c r="EU300" i="1"/>
  <c r="ET300" i="1"/>
  <c r="ES300" i="1"/>
  <c r="ER300" i="1"/>
  <c r="EQ300" i="1"/>
  <c r="EU299" i="1"/>
  <c r="ET299" i="1"/>
  <c r="ES299" i="1"/>
  <c r="ER299" i="1"/>
  <c r="EQ299" i="1"/>
  <c r="EU298" i="1"/>
  <c r="ET298" i="1"/>
  <c r="ES298" i="1"/>
  <c r="ER298" i="1"/>
  <c r="EQ298" i="1"/>
  <c r="EU297" i="1"/>
  <c r="ET297" i="1"/>
  <c r="ES297" i="1"/>
  <c r="ER297" i="1"/>
  <c r="EQ297" i="1"/>
  <c r="EU296" i="1"/>
  <c r="ET296" i="1"/>
  <c r="ES296" i="1"/>
  <c r="ER296" i="1"/>
  <c r="EQ296" i="1"/>
  <c r="EU295" i="1"/>
  <c r="ET295" i="1"/>
  <c r="ES295" i="1"/>
  <c r="ER295" i="1"/>
  <c r="EQ295" i="1"/>
  <c r="EU291" i="1"/>
  <c r="ET291" i="1"/>
  <c r="ES291" i="1"/>
  <c r="ER291" i="1"/>
  <c r="EQ291" i="1"/>
  <c r="EU287" i="1"/>
  <c r="ET287" i="1"/>
  <c r="ES287" i="1"/>
  <c r="ER287" i="1"/>
  <c r="EQ287" i="1"/>
  <c r="ET271" i="1"/>
  <c r="ES271" i="1"/>
  <c r="ER271" i="1"/>
  <c r="EQ271" i="1"/>
  <c r="ET260" i="1"/>
  <c r="ET293" i="1" s="1"/>
  <c r="EU293" i="1" s="1"/>
  <c r="ES260" i="1"/>
  <c r="ES293" i="1" s="1"/>
  <c r="ER260" i="1"/>
  <c r="ER293" i="1" s="1"/>
  <c r="EQ260" i="1"/>
  <c r="EQ293" i="1" s="1"/>
  <c r="ET227" i="1"/>
  <c r="ES227" i="1"/>
  <c r="ER227" i="1"/>
  <c r="EQ227" i="1"/>
  <c r="ET226" i="1"/>
  <c r="ES226" i="1"/>
  <c r="ER226" i="1"/>
  <c r="EQ226" i="1"/>
  <c r="ET223" i="1"/>
  <c r="ES223" i="1"/>
  <c r="ER223" i="1"/>
  <c r="EQ223" i="1"/>
  <c r="ET222" i="1"/>
  <c r="ES222" i="1"/>
  <c r="ER222" i="1"/>
  <c r="EQ222" i="1"/>
  <c r="EU211" i="1"/>
  <c r="ET211" i="1"/>
  <c r="ES211" i="1"/>
  <c r="ER211" i="1"/>
  <c r="EQ211" i="1"/>
  <c r="EU210" i="1"/>
  <c r="ET210" i="1"/>
  <c r="ES210" i="1"/>
  <c r="ER210" i="1"/>
  <c r="EQ210" i="1"/>
  <c r="EU207" i="1"/>
  <c r="ET207" i="1"/>
  <c r="ES207" i="1"/>
  <c r="ER207" i="1"/>
  <c r="EQ207" i="1"/>
  <c r="EU206" i="1"/>
  <c r="ET206" i="1"/>
  <c r="ES206" i="1"/>
  <c r="ER206" i="1"/>
  <c r="EQ206" i="1"/>
  <c r="EU203" i="1"/>
  <c r="ET203" i="1"/>
  <c r="ES203" i="1"/>
  <c r="ER203" i="1"/>
  <c r="EQ203" i="1"/>
  <c r="EQ202" i="1"/>
  <c r="EU172" i="1"/>
  <c r="ET168" i="1"/>
  <c r="ET66" i="1" s="1"/>
  <c r="ES168" i="1"/>
  <c r="ES66" i="1" s="1"/>
  <c r="ER168" i="1"/>
  <c r="EQ168" i="1"/>
  <c r="ET146" i="1"/>
  <c r="ES146" i="1"/>
  <c r="ER146" i="1"/>
  <c r="EQ146" i="1"/>
  <c r="EU146" i="1" s="1"/>
  <c r="ET141" i="1"/>
  <c r="ER141" i="1"/>
  <c r="EU103" i="1"/>
  <c r="ER101" i="1"/>
  <c r="ES101" i="1" s="1"/>
  <c r="ET101" i="1" s="1"/>
  <c r="EU96" i="1"/>
  <c r="ET95" i="1"/>
  <c r="ES95" i="1"/>
  <c r="ER95" i="1"/>
  <c r="EQ95" i="1"/>
  <c r="EU95" i="1" s="1"/>
  <c r="EU75" i="1"/>
  <c r="EU74" i="1"/>
  <c r="EU73" i="1"/>
  <c r="EU72" i="1"/>
  <c r="ER66" i="1"/>
  <c r="EQ66" i="1"/>
  <c r="EQ76" i="1" s="1"/>
  <c r="ER47" i="1"/>
  <c r="ES47" i="1" s="1"/>
  <c r="ET47" i="1" s="1"/>
  <c r="ER44" i="1"/>
  <c r="ES44" i="1" s="1"/>
  <c r="EQ44" i="1"/>
  <c r="ER30" i="1"/>
  <c r="EQ30" i="1"/>
  <c r="ES29" i="1"/>
  <c r="ER29" i="1"/>
  <c r="ET28" i="1"/>
  <c r="ES28" i="1"/>
  <c r="ER28" i="1"/>
  <c r="EQ28" i="1"/>
  <c r="EQ43" i="1" s="1"/>
  <c r="EN55" i="1"/>
  <c r="ET55" i="1" s="1"/>
  <c r="EH55" i="1"/>
  <c r="EG59" i="1"/>
  <c r="EM59" i="1" s="1"/>
  <c r="ES59" i="1" s="1"/>
  <c r="EF59" i="1"/>
  <c r="EL59" i="1" s="1"/>
  <c r="ER59" i="1" s="1"/>
  <c r="EH63" i="1"/>
  <c r="EN63" i="1" s="1"/>
  <c r="ET63" i="1" s="1"/>
  <c r="EG63" i="1"/>
  <c r="EF63" i="1"/>
  <c r="EH59" i="1"/>
  <c r="EN59" i="1" s="1"/>
  <c r="ET59" i="1" s="1"/>
  <c r="EF55" i="1"/>
  <c r="EH71" i="1"/>
  <c r="EG71" i="1"/>
  <c r="EF71" i="1"/>
  <c r="EE71" i="1"/>
  <c r="EE63" i="1"/>
  <c r="EE55" i="1"/>
  <c r="ER361" i="4"/>
  <c r="ES361" i="4"/>
  <c r="EQ361" i="4"/>
  <c r="L322" i="484"/>
  <c r="Q270" i="484"/>
  <c r="R270" i="484" s="1"/>
  <c r="N312" i="484"/>
  <c r="M237" i="484"/>
  <c r="M92" i="484"/>
  <c r="M312" i="484"/>
  <c r="M54" i="484"/>
  <c r="N54" i="484"/>
  <c r="EU225" i="2"/>
  <c r="ER225" i="2"/>
  <c r="EQ225" i="2"/>
  <c r="ET225" i="2"/>
  <c r="ES225" i="2"/>
  <c r="EU113" i="1"/>
  <c r="EU112" i="1"/>
  <c r="EU114" i="1"/>
  <c r="EB135" i="2" l="1"/>
  <c r="ER319" i="4"/>
  <c r="ER315" i="4"/>
  <c r="EU29" i="2"/>
  <c r="ES36" i="2"/>
  <c r="ET36" i="2" s="1"/>
  <c r="EU36" i="2"/>
  <c r="EU165" i="2"/>
  <c r="EU166" i="2" s="1"/>
  <c r="EU277" i="2"/>
  <c r="EQ203" i="2"/>
  <c r="ER214" i="2"/>
  <c r="ER201" i="2" s="1"/>
  <c r="EU133" i="2"/>
  <c r="ER203" i="2"/>
  <c r="EU201" i="2"/>
  <c r="ET69" i="1"/>
  <c r="ES76" i="1"/>
  <c r="ES325" i="1" s="1"/>
  <c r="ES69" i="1"/>
  <c r="ET44" i="1"/>
  <c r="ES43" i="1"/>
  <c r="ET29" i="1"/>
  <c r="ES30" i="1"/>
  <c r="ET30" i="1"/>
  <c r="EQ325" i="1"/>
  <c r="ER43" i="1"/>
  <c r="ET43" i="1"/>
  <c r="EQ29" i="1"/>
  <c r="ER76" i="1"/>
  <c r="ER325" i="1" s="1"/>
  <c r="ES314" i="1"/>
  <c r="ER313" i="1"/>
  <c r="EU66" i="1"/>
  <c r="ER69" i="1"/>
  <c r="ET76" i="1"/>
  <c r="ET325" i="1" s="1"/>
  <c r="EU28" i="1"/>
  <c r="EU29" i="1" s="1"/>
  <c r="L290" i="484"/>
  <c r="L266" i="484"/>
  <c r="L260" i="484"/>
  <c r="L235" i="484"/>
  <c r="M235" i="484" s="1"/>
  <c r="EU228" i="2" l="1"/>
  <c r="ET314" i="1"/>
  <c r="ES313" i="1"/>
  <c r="EU76" i="1"/>
  <c r="EU325" i="1" s="1"/>
  <c r="EU43" i="1"/>
  <c r="EU44" i="1" s="1"/>
  <c r="L237" i="484"/>
  <c r="EC361" i="4"/>
  <c r="EC351" i="4"/>
  <c r="EC346" i="4"/>
  <c r="L199" i="484"/>
  <c r="N92" i="484"/>
  <c r="ET313" i="1" l="1"/>
  <c r="L312" i="484"/>
  <c r="EE603" i="4"/>
  <c r="EE602" i="4"/>
  <c r="EC413" i="4"/>
  <c r="EC412" i="4"/>
  <c r="EB391" i="4"/>
  <c r="EB409" i="4"/>
  <c r="EB396" i="4"/>
  <c r="EB395" i="4"/>
  <c r="EB397" i="4" s="1"/>
  <c r="EB392" i="4"/>
  <c r="EB59" i="3"/>
  <c r="EB43" i="3"/>
  <c r="EB17" i="3"/>
  <c r="EB18" i="3"/>
  <c r="EB19" i="3"/>
  <c r="EB20" i="3"/>
  <c r="EC20" i="3" s="1"/>
  <c r="EC63" i="3"/>
  <c r="EB60" i="3"/>
  <c r="EC60" i="3" s="1"/>
  <c r="EC59" i="3"/>
  <c r="EB58" i="3"/>
  <c r="EC58" i="3" s="1"/>
  <c r="EC57" i="3"/>
  <c r="EB61" i="3"/>
  <c r="EC61" i="3" s="1"/>
  <c r="EC55" i="3"/>
  <c r="EC51" i="3"/>
  <c r="EC50" i="3"/>
  <c r="EC49" i="3"/>
  <c r="EC48" i="3"/>
  <c r="EC47" i="3"/>
  <c r="EC46" i="3"/>
  <c r="EC45" i="3"/>
  <c r="EC44" i="3"/>
  <c r="EC43" i="3"/>
  <c r="EC37" i="3"/>
  <c r="EC36" i="3"/>
  <c r="EC35" i="3"/>
  <c r="EC34" i="3"/>
  <c r="EC33" i="3"/>
  <c r="EC32" i="3"/>
  <c r="EC31" i="3"/>
  <c r="EB30" i="3"/>
  <c r="EC30" i="3" s="1"/>
  <c r="EC28" i="3"/>
  <c r="EB27" i="3"/>
  <c r="EC27" i="3" s="1"/>
  <c r="EB26" i="3"/>
  <c r="EC26" i="3" s="1"/>
  <c r="EB25" i="3"/>
  <c r="EC25" i="3" s="1"/>
  <c r="EB24" i="3"/>
  <c r="EC24" i="3" s="1"/>
  <c r="EB23" i="3"/>
  <c r="EC23" i="3" s="1"/>
  <c r="EB22" i="3"/>
  <c r="EC22" i="3" s="1"/>
  <c r="EB21" i="3"/>
  <c r="EC21" i="3" s="1"/>
  <c r="EC19" i="3"/>
  <c r="EC18" i="3"/>
  <c r="EC17" i="3"/>
  <c r="EC16" i="3"/>
  <c r="EC15" i="3"/>
  <c r="EC14" i="3"/>
  <c r="EC13" i="3"/>
  <c r="EB39" i="2"/>
  <c r="M153" i="484"/>
  <c r="EB150" i="2"/>
  <c r="EB34" i="2"/>
  <c r="EB42" i="2" s="1"/>
  <c r="EB16" i="2"/>
  <c r="EB24" i="2" s="1"/>
  <c r="EB363" i="4"/>
  <c r="EB362" i="4"/>
  <c r="EB361" i="4"/>
  <c r="EB353" i="4"/>
  <c r="EB352" i="4"/>
  <c r="EB351" i="4"/>
  <c r="EB348" i="4"/>
  <c r="EB347" i="4"/>
  <c r="EB346" i="4"/>
  <c r="EB356" i="4" s="1"/>
  <c r="EB72" i="1"/>
  <c r="EB71" i="1"/>
  <c r="ET137" i="3"/>
  <c r="ES137" i="3"/>
  <c r="ER137" i="3"/>
  <c r="EQ137" i="3"/>
  <c r="EU137" i="3" s="1"/>
  <c r="EQ136" i="3"/>
  <c r="EQ133" i="3"/>
  <c r="EQ124" i="3"/>
  <c r="EQ123" i="3"/>
  <c r="EQ122" i="3"/>
  <c r="EQ121" i="3"/>
  <c r="EQ120" i="3"/>
  <c r="EQ119" i="3"/>
  <c r="EQ116" i="3"/>
  <c r="EQ103" i="3"/>
  <c r="EQ102" i="3"/>
  <c r="EQ101" i="3"/>
  <c r="EQ100" i="3"/>
  <c r="EQ99" i="3"/>
  <c r="EQ98" i="3"/>
  <c r="EQ97" i="3"/>
  <c r="EQ96" i="3"/>
  <c r="EQ95" i="3"/>
  <c r="EQ94" i="3"/>
  <c r="EQ93" i="3"/>
  <c r="EQ92" i="3"/>
  <c r="ET90" i="3"/>
  <c r="ES90" i="3"/>
  <c r="ER90" i="3"/>
  <c r="EQ90" i="3"/>
  <c r="EU90" i="3" s="1"/>
  <c r="ET63" i="3"/>
  <c r="ET136" i="3" s="1"/>
  <c r="ES63" i="3"/>
  <c r="ES136" i="3" s="1"/>
  <c r="ER63" i="3"/>
  <c r="ER136" i="3" s="1"/>
  <c r="ER60" i="3"/>
  <c r="ER133" i="3" s="1"/>
  <c r="EQ59" i="3"/>
  <c r="ER59" i="3" s="1"/>
  <c r="ER58" i="3"/>
  <c r="ES58" i="3" s="1"/>
  <c r="EQ58" i="3"/>
  <c r="EQ131" i="3" s="1"/>
  <c r="ER57" i="3"/>
  <c r="ER130" i="3" s="1"/>
  <c r="EQ57" i="3"/>
  <c r="EQ130" i="3" s="1"/>
  <c r="ES51" i="3"/>
  <c r="ET51" i="3" s="1"/>
  <c r="ER51" i="3"/>
  <c r="ER124" i="3" s="1"/>
  <c r="ES50" i="3"/>
  <c r="ET50" i="3" s="1"/>
  <c r="ER50" i="3"/>
  <c r="ER123" i="3" s="1"/>
  <c r="ES49" i="3"/>
  <c r="ER49" i="3"/>
  <c r="ER122" i="3" s="1"/>
  <c r="ES48" i="3"/>
  <c r="ER48" i="3"/>
  <c r="ER121" i="3" s="1"/>
  <c r="ES47" i="3"/>
  <c r="ER47" i="3"/>
  <c r="ER120" i="3" s="1"/>
  <c r="ES46" i="3"/>
  <c r="ER46" i="3"/>
  <c r="ER119" i="3" s="1"/>
  <c r="ES43" i="3"/>
  <c r="ER43" i="3"/>
  <c r="ER116" i="3" s="1"/>
  <c r="ER28" i="3"/>
  <c r="ER103" i="3" s="1"/>
  <c r="ER27" i="3"/>
  <c r="ER102" i="3" s="1"/>
  <c r="ER26" i="3"/>
  <c r="ER101" i="3" s="1"/>
  <c r="ER25" i="3"/>
  <c r="ER100" i="3" s="1"/>
  <c r="ER24" i="3"/>
  <c r="ER99" i="3" s="1"/>
  <c r="ER23" i="3"/>
  <c r="ER98" i="3" s="1"/>
  <c r="ER22" i="3"/>
  <c r="ER97" i="3" s="1"/>
  <c r="ER21" i="3"/>
  <c r="ER96" i="3" s="1"/>
  <c r="ER20" i="3"/>
  <c r="ER95" i="3" s="1"/>
  <c r="ER19" i="3"/>
  <c r="ER94" i="3" s="1"/>
  <c r="ER18" i="3"/>
  <c r="ER93" i="3" s="1"/>
  <c r="ER17" i="3"/>
  <c r="ER92" i="3" s="1"/>
  <c r="EQ16" i="3"/>
  <c r="EQ91" i="3" s="1"/>
  <c r="EU15" i="3"/>
  <c r="EQ14" i="3"/>
  <c r="EQ89" i="3" s="1"/>
  <c r="EQ137" i="2" s="1"/>
  <c r="EU7" i="3"/>
  <c r="EU82" i="3" s="1"/>
  <c r="ET7" i="3"/>
  <c r="ET82" i="3" s="1"/>
  <c r="ES7" i="3"/>
  <c r="ES82" i="3" s="1"/>
  <c r="ER7" i="3"/>
  <c r="ER82" i="3" s="1"/>
  <c r="EQ7" i="3"/>
  <c r="EQ82" i="3" s="1"/>
  <c r="EQ6" i="3"/>
  <c r="EQ81" i="3" s="1"/>
  <c r="EQ419" i="4"/>
  <c r="EQ420" i="4" s="1"/>
  <c r="ET415" i="4"/>
  <c r="ES415" i="4"/>
  <c r="ER415" i="4"/>
  <c r="EQ415" i="4"/>
  <c r="ES354" i="4"/>
  <c r="ER354" i="4"/>
  <c r="ER328" i="4"/>
  <c r="ES328" i="4" s="1"/>
  <c r="ET286" i="4"/>
  <c r="EU46" i="4"/>
  <c r="EU45" i="4"/>
  <c r="EU44" i="4"/>
  <c r="EU43" i="4"/>
  <c r="EU42" i="4"/>
  <c r="EU41" i="4"/>
  <c r="EU40" i="4"/>
  <c r="EU39" i="4"/>
  <c r="EU38" i="4"/>
  <c r="EU37" i="4"/>
  <c r="EU35" i="4"/>
  <c r="ET34" i="4"/>
  <c r="ET36" i="4" s="1"/>
  <c r="ET51" i="4" s="1"/>
  <c r="ES34" i="4"/>
  <c r="ES36" i="4" s="1"/>
  <c r="ES51" i="4" s="1"/>
  <c r="ER34" i="4"/>
  <c r="ER36" i="4" s="1"/>
  <c r="ER51" i="4" s="1"/>
  <c r="EQ34" i="4"/>
  <c r="EQ36" i="4" s="1"/>
  <c r="EQ51" i="4" s="1"/>
  <c r="EU24" i="4"/>
  <c r="EU23" i="4"/>
  <c r="EU22" i="4"/>
  <c r="EU21" i="4"/>
  <c r="EU20" i="4"/>
  <c r="EU19" i="4"/>
  <c r="EU18" i="4"/>
  <c r="EU17" i="4"/>
  <c r="EU16" i="4"/>
  <c r="EU15" i="4"/>
  <c r="EU14" i="4"/>
  <c r="EU13" i="4"/>
  <c r="EU11" i="4"/>
  <c r="ET11" i="4"/>
  <c r="ES11" i="4"/>
  <c r="ER11" i="4"/>
  <c r="EQ11" i="4"/>
  <c r="ET10" i="4"/>
  <c r="ET12" i="4" s="1"/>
  <c r="ET27" i="4" s="1"/>
  <c r="ES10" i="4"/>
  <c r="ES12" i="4" s="1"/>
  <c r="ES27" i="4" s="1"/>
  <c r="ER10" i="4"/>
  <c r="EQ10" i="4"/>
  <c r="EU6" i="4"/>
  <c r="EU271" i="4" s="1"/>
  <c r="ET6" i="4"/>
  <c r="ET271" i="4" s="1"/>
  <c r="ES6" i="4"/>
  <c r="ES271" i="4" s="1"/>
  <c r="ER6" i="4"/>
  <c r="ER271" i="4" s="1"/>
  <c r="EQ6" i="4"/>
  <c r="EQ271" i="4" s="1"/>
  <c r="EQ5" i="4"/>
  <c r="EQ270" i="4" s="1"/>
  <c r="EC278" i="4"/>
  <c r="EB100" i="1"/>
  <c r="EB93" i="1"/>
  <c r="EB70" i="1"/>
  <c r="EB62" i="1"/>
  <c r="EB58" i="1"/>
  <c r="EB54" i="1"/>
  <c r="EB46" i="1"/>
  <c r="EB43" i="1"/>
  <c r="EB44" i="1" s="1"/>
  <c r="EC168" i="1"/>
  <c r="EB156" i="1"/>
  <c r="EC155" i="1"/>
  <c r="EC153" i="1"/>
  <c r="EB146" i="1"/>
  <c r="EC140" i="1"/>
  <c r="EC138" i="1"/>
  <c r="EB66" i="1"/>
  <c r="EB76" i="1" s="1"/>
  <c r="EB30" i="1"/>
  <c r="EB29" i="1"/>
  <c r="EB24" i="1"/>
  <c r="EB23" i="1"/>
  <c r="EB22" i="1"/>
  <c r="EB20" i="1"/>
  <c r="EB19" i="1"/>
  <c r="EC293" i="4"/>
  <c r="EB288" i="4"/>
  <c r="EB287" i="4"/>
  <c r="EB306" i="4"/>
  <c r="EB308" i="4" s="1"/>
  <c r="EB303" i="4"/>
  <c r="EB302" i="4"/>
  <c r="EB298" i="4"/>
  <c r="EB297" i="4"/>
  <c r="EC291" i="4"/>
  <c r="EB291" i="4"/>
  <c r="EB292" i="4" s="1"/>
  <c r="EB285" i="4"/>
  <c r="EC285" i="4" s="1"/>
  <c r="EB282" i="4"/>
  <c r="EC282" i="4" s="1"/>
  <c r="EB281" i="4"/>
  <c r="EB314" i="4" s="1"/>
  <c r="EC277" i="4"/>
  <c r="EC276" i="4"/>
  <c r="EC273" i="4"/>
  <c r="ES57" i="3" l="1"/>
  <c r="ET57" i="3" s="1"/>
  <c r="EU57" i="3" s="1"/>
  <c r="EB393" i="4"/>
  <c r="EB398" i="4"/>
  <c r="EB412" i="4"/>
  <c r="EB408" i="4"/>
  <c r="EB410" i="4" s="1"/>
  <c r="EB52" i="3"/>
  <c r="EC52" i="3" s="1"/>
  <c r="EC56" i="3"/>
  <c r="EB39" i="3"/>
  <c r="EB50" i="2"/>
  <c r="EB358" i="4"/>
  <c r="EB366" i="4"/>
  <c r="EB357" i="4"/>
  <c r="EB359" i="4"/>
  <c r="ER14" i="3"/>
  <c r="ET47" i="3"/>
  <c r="ES120" i="3"/>
  <c r="ES122" i="3"/>
  <c r="ET49" i="3"/>
  <c r="EU51" i="3"/>
  <c r="ET124" i="3"/>
  <c r="ES59" i="3"/>
  <c r="ER132" i="3"/>
  <c r="ER16" i="3"/>
  <c r="ET46" i="3"/>
  <c r="ES119" i="3"/>
  <c r="ES121" i="3"/>
  <c r="ET48" i="3"/>
  <c r="EU50" i="3"/>
  <c r="ET123" i="3"/>
  <c r="ES17" i="3"/>
  <c r="ES18" i="3"/>
  <c r="ES19" i="3"/>
  <c r="ES20" i="3"/>
  <c r="ES21" i="3"/>
  <c r="ES22" i="3"/>
  <c r="ES23" i="3"/>
  <c r="ES24" i="3"/>
  <c r="ES25" i="3"/>
  <c r="ES26" i="3"/>
  <c r="ES27" i="3"/>
  <c r="ES28" i="3"/>
  <c r="ET58" i="3"/>
  <c r="ES131" i="3"/>
  <c r="EU136" i="3"/>
  <c r="ET43" i="3"/>
  <c r="ES123" i="3"/>
  <c r="EU123" i="3" s="1"/>
  <c r="ES116" i="3"/>
  <c r="ES124" i="3"/>
  <c r="EU124" i="3" s="1"/>
  <c r="ER131" i="3"/>
  <c r="EQ132" i="3"/>
  <c r="EU63" i="3"/>
  <c r="ES60" i="3"/>
  <c r="EU10" i="4"/>
  <c r="EU12" i="4" s="1"/>
  <c r="EU27" i="4" s="1"/>
  <c r="EQ12" i="4"/>
  <c r="EQ27" i="4" s="1"/>
  <c r="ET328" i="4"/>
  <c r="ER12" i="4"/>
  <c r="ER27" i="4" s="1"/>
  <c r="EU34" i="4"/>
  <c r="EQ426" i="4"/>
  <c r="EQ427" i="4"/>
  <c r="ER419" i="4"/>
  <c r="EB47" i="1"/>
  <c r="EC156" i="1"/>
  <c r="EB31" i="1"/>
  <c r="EB48" i="1"/>
  <c r="EB307" i="4"/>
  <c r="EB318" i="4"/>
  <c r="EB319" i="4" s="1"/>
  <c r="EC281" i="4"/>
  <c r="EB316" i="4"/>
  <c r="EB315" i="4"/>
  <c r="EB293" i="4"/>
  <c r="EB310" i="4"/>
  <c r="EB280" i="4"/>
  <c r="EC280" i="4" s="1"/>
  <c r="ES130" i="3" l="1"/>
  <c r="EU130" i="3" s="1"/>
  <c r="ET130" i="3"/>
  <c r="EB415" i="4"/>
  <c r="EB414" i="4"/>
  <c r="EB413" i="4"/>
  <c r="EB66" i="3"/>
  <c r="EB40" i="3"/>
  <c r="EB368" i="4"/>
  <c r="EB367" i="4"/>
  <c r="ES99" i="3"/>
  <c r="ET24" i="3"/>
  <c r="ET116" i="3"/>
  <c r="EU43" i="3"/>
  <c r="ET131" i="3"/>
  <c r="EU131" i="3" s="1"/>
  <c r="EU58" i="3"/>
  <c r="ES102" i="3"/>
  <c r="ET27" i="3"/>
  <c r="ES98" i="3"/>
  <c r="ET23" i="3"/>
  <c r="ES94" i="3"/>
  <c r="ET19" i="3"/>
  <c r="EU46" i="3"/>
  <c r="ET119" i="3"/>
  <c r="EU119" i="3" s="1"/>
  <c r="ES101" i="3"/>
  <c r="ET26" i="3"/>
  <c r="ES97" i="3"/>
  <c r="ET22" i="3"/>
  <c r="ES93" i="3"/>
  <c r="ET18" i="3"/>
  <c r="ET121" i="3"/>
  <c r="EU121" i="3" s="1"/>
  <c r="EU48" i="3"/>
  <c r="EU47" i="3"/>
  <c r="ET120" i="3"/>
  <c r="EU120" i="3" s="1"/>
  <c r="ES100" i="3"/>
  <c r="ET25" i="3"/>
  <c r="ES96" i="3"/>
  <c r="ET21" i="3"/>
  <c r="ES92" i="3"/>
  <c r="ET17" i="3"/>
  <c r="EU49" i="3"/>
  <c r="ET122" i="3"/>
  <c r="EU122" i="3" s="1"/>
  <c r="ES133" i="3"/>
  <c r="ET60" i="3"/>
  <c r="ES103" i="3"/>
  <c r="ET28" i="3"/>
  <c r="ES95" i="3"/>
  <c r="ET20" i="3"/>
  <c r="ER91" i="3"/>
  <c r="ES16" i="3"/>
  <c r="ES132" i="3"/>
  <c r="ET59" i="3"/>
  <c r="ER89" i="3"/>
  <c r="ER137" i="2" s="1"/>
  <c r="ES14" i="3"/>
  <c r="ER427" i="4"/>
  <c r="ER426" i="4"/>
  <c r="ER420" i="4"/>
  <c r="ES419" i="4"/>
  <c r="EU36" i="4"/>
  <c r="EU51" i="4" s="1"/>
  <c r="EB55" i="1"/>
  <c r="EB63" i="1"/>
  <c r="EB59" i="1"/>
  <c r="EB67" i="1"/>
  <c r="EB50" i="1"/>
  <c r="EB51" i="1" s="1"/>
  <c r="EB27" i="1"/>
  <c r="EB322" i="4"/>
  <c r="EB324" i="4" s="1"/>
  <c r="EB320" i="4"/>
  <c r="EB312" i="4"/>
  <c r="EB311" i="4"/>
  <c r="EC66" i="3" l="1"/>
  <c r="ES89" i="3"/>
  <c r="ES137" i="2" s="1"/>
  <c r="ET14" i="3"/>
  <c r="ES91" i="3"/>
  <c r="ET16" i="3"/>
  <c r="ET95" i="3"/>
  <c r="EU20" i="3"/>
  <c r="ET96" i="3"/>
  <c r="EU21" i="3"/>
  <c r="ET97" i="3"/>
  <c r="EU97" i="3" s="1"/>
  <c r="EU22" i="3"/>
  <c r="EU94" i="3"/>
  <c r="EU102" i="3"/>
  <c r="EU93" i="3"/>
  <c r="ET94" i="3"/>
  <c r="EU19" i="3"/>
  <c r="ET99" i="3"/>
  <c r="EU99" i="3" s="1"/>
  <c r="EU24" i="3"/>
  <c r="EU59" i="3"/>
  <c r="ET132" i="3"/>
  <c r="EU132" i="3" s="1"/>
  <c r="EU95" i="3"/>
  <c r="EU96" i="3"/>
  <c r="ET98" i="3"/>
  <c r="EU98" i="3" s="1"/>
  <c r="EU23" i="3"/>
  <c r="ET102" i="3"/>
  <c r="EU27" i="3"/>
  <c r="ET103" i="3"/>
  <c r="EU103" i="3" s="1"/>
  <c r="EU28" i="3"/>
  <c r="ET133" i="3"/>
  <c r="EU133" i="3" s="1"/>
  <c r="EU60" i="3"/>
  <c r="ET92" i="3"/>
  <c r="EU92" i="3" s="1"/>
  <c r="EU17" i="3"/>
  <c r="ET100" i="3"/>
  <c r="EU100" i="3" s="1"/>
  <c r="EU25" i="3"/>
  <c r="ET93" i="3"/>
  <c r="EU18" i="3"/>
  <c r="ET101" i="3"/>
  <c r="EU101" i="3" s="1"/>
  <c r="EU26" i="3"/>
  <c r="EU116" i="3"/>
  <c r="ES426" i="4"/>
  <c r="ES420" i="4"/>
  <c r="ET419" i="4"/>
  <c r="ES427" i="4"/>
  <c r="EB323" i="4"/>
  <c r="ET89" i="3" l="1"/>
  <c r="EU14" i="3"/>
  <c r="ET91" i="3"/>
  <c r="EU91" i="3" s="1"/>
  <c r="EU16" i="3"/>
  <c r="ET420" i="4"/>
  <c r="EU419" i="4"/>
  <c r="ET427" i="4"/>
  <c r="EU427" i="4" s="1"/>
  <c r="ET426" i="4"/>
  <c r="EU426" i="4" s="1"/>
  <c r="O316" i="484"/>
  <c r="P316" i="484"/>
  <c r="Q316" i="484"/>
  <c r="R316" i="484"/>
  <c r="H299" i="484"/>
  <c r="EU89" i="3" l="1"/>
  <c r="ET137" i="2"/>
  <c r="EU137" i="2" s="1"/>
  <c r="EU420" i="4"/>
  <c r="R246" i="484"/>
  <c r="R31" i="484"/>
  <c r="R53" i="484"/>
  <c r="R62" i="484"/>
  <c r="R61" i="484" s="1"/>
  <c r="R68" i="484"/>
  <c r="R69" i="484"/>
  <c r="R116" i="484"/>
  <c r="R118" i="484"/>
  <c r="R120" i="484"/>
  <c r="R188" i="484"/>
  <c r="R206" i="484"/>
  <c r="R233" i="484"/>
  <c r="R306" i="484"/>
  <c r="R308" i="484"/>
  <c r="R63" i="484" l="1"/>
  <c r="EH92" i="2" l="1"/>
  <c r="EA157" i="1"/>
  <c r="DU43" i="1"/>
  <c r="DU44" i="1" s="1"/>
  <c r="DU46" i="1"/>
  <c r="DT287" i="4"/>
  <c r="DU287" i="4"/>
  <c r="DV287" i="4"/>
  <c r="DS287" i="4"/>
  <c r="N153" i="484"/>
  <c r="EA419" i="4"/>
  <c r="EA420" i="4" s="1"/>
  <c r="EA398" i="4"/>
  <c r="EA397" i="4"/>
  <c r="EA396" i="4"/>
  <c r="EA391" i="4"/>
  <c r="EA63" i="3"/>
  <c r="EA59" i="3"/>
  <c r="EA43" i="3"/>
  <c r="EA52" i="3" s="1"/>
  <c r="EA60" i="3"/>
  <c r="EA30" i="3"/>
  <c r="EA39" i="3" s="1"/>
  <c r="EA144" i="2"/>
  <c r="EA145" i="2" s="1"/>
  <c r="EA133" i="2"/>
  <c r="EA140" i="2" s="1"/>
  <c r="EA102" i="2"/>
  <c r="EA79" i="2"/>
  <c r="EA77" i="2"/>
  <c r="EA76" i="2"/>
  <c r="EA75" i="2"/>
  <c r="EA72" i="2"/>
  <c r="EA71" i="2"/>
  <c r="EA39" i="2"/>
  <c r="EA48" i="2"/>
  <c r="EA34" i="2"/>
  <c r="EA42" i="2" s="1"/>
  <c r="EA16" i="2"/>
  <c r="EA24" i="2" s="1"/>
  <c r="EA346" i="4"/>
  <c r="EA351" i="4"/>
  <c r="EA361" i="4"/>
  <c r="EA100" i="1"/>
  <c r="EA93" i="1"/>
  <c r="EA71" i="1"/>
  <c r="EA126" i="2" s="1"/>
  <c r="EA62" i="1"/>
  <c r="EB65" i="1" s="1"/>
  <c r="EA58" i="1"/>
  <c r="EB61" i="1" s="1"/>
  <c r="EA54" i="1"/>
  <c r="EB57" i="1" s="1"/>
  <c r="EA46" i="1"/>
  <c r="EA43" i="1"/>
  <c r="EA44" i="1" s="1"/>
  <c r="EA156" i="1"/>
  <c r="EA146" i="1"/>
  <c r="EA83" i="4"/>
  <c r="EA82" i="4"/>
  <c r="EA78" i="4"/>
  <c r="EA77" i="4"/>
  <c r="EA74" i="4"/>
  <c r="EA73" i="4"/>
  <c r="EA70" i="4"/>
  <c r="EA69" i="4"/>
  <c r="EA66" i="4"/>
  <c r="EA65" i="4"/>
  <c r="EA60" i="4"/>
  <c r="EA306" i="4"/>
  <c r="EA308" i="4" s="1"/>
  <c r="EA171" i="2" l="1"/>
  <c r="EA168" i="2" s="1"/>
  <c r="EB169" i="2" s="1"/>
  <c r="EA50" i="2"/>
  <c r="EA408" i="4"/>
  <c r="EB157" i="1"/>
  <c r="EE157" i="1" s="1"/>
  <c r="EF157" i="1" s="1"/>
  <c r="EG157" i="1" s="1"/>
  <c r="EH157" i="1" s="1"/>
  <c r="EK157" i="1" s="1"/>
  <c r="EL157" i="1" s="1"/>
  <c r="EM157" i="1" s="1"/>
  <c r="EN157" i="1" s="1"/>
  <c r="EQ157" i="1" s="1"/>
  <c r="EA356" i="4"/>
  <c r="EA366" i="4" s="1"/>
  <c r="DU48" i="1"/>
  <c r="EA61" i="3"/>
  <c r="EA66" i="3" s="1"/>
  <c r="EA40" i="3"/>
  <c r="EA48" i="1"/>
  <c r="EA61" i="4"/>
  <c r="EA62" i="4"/>
  <c r="EA56" i="4"/>
  <c r="EA307" i="4"/>
  <c r="EA310" i="4"/>
  <c r="EQ200" i="2" l="1"/>
  <c r="EQ155" i="1"/>
  <c r="ER157" i="1"/>
  <c r="EQ158" i="1"/>
  <c r="EC157" i="1"/>
  <c r="EA90" i="4"/>
  <c r="EA57" i="4"/>
  <c r="EA58" i="4"/>
  <c r="EA312" i="4"/>
  <c r="EA311" i="4"/>
  <c r="EA59" i="4" l="1"/>
  <c r="EB92" i="4"/>
  <c r="EQ195" i="1"/>
  <c r="ER200" i="2"/>
  <c r="ER158" i="1"/>
  <c r="ER155" i="1"/>
  <c r="ES157" i="1"/>
  <c r="EA79" i="4"/>
  <c r="EA75" i="4"/>
  <c r="EA84" i="4"/>
  <c r="EA67" i="4"/>
  <c r="EA71" i="4"/>
  <c r="EA63" i="4"/>
  <c r="ES200" i="2" l="1"/>
  <c r="ES158" i="1"/>
  <c r="ET157" i="1"/>
  <c r="ES155" i="1"/>
  <c r="ER195" i="1"/>
  <c r="ES195" i="1" l="1"/>
  <c r="ET200" i="2"/>
  <c r="EU157" i="1"/>
  <c r="ET155" i="1"/>
  <c r="ET158" i="1"/>
  <c r="DZ314" i="4"/>
  <c r="ET195" i="1" l="1"/>
  <c r="EU155" i="1"/>
  <c r="EU195" i="1" l="1"/>
  <c r="EU200" i="2"/>
  <c r="P318" i="484"/>
  <c r="O318" i="484"/>
  <c r="N318" i="484"/>
  <c r="P321" i="484"/>
  <c r="N316" i="484"/>
  <c r="Q321" i="484"/>
  <c r="EL354" i="4"/>
  <c r="EM354" i="4"/>
  <c r="EK354" i="4"/>
  <c r="EQ354" i="4" s="1"/>
  <c r="EL415" i="4"/>
  <c r="EM415" i="4"/>
  <c r="EN415" i="4"/>
  <c r="EK415" i="4"/>
  <c r="DZ148" i="2"/>
  <c r="DU31" i="1"/>
  <c r="DU50" i="1" s="1"/>
  <c r="DU51" i="1" s="1"/>
  <c r="EU210" i="2" l="1"/>
  <c r="EU212" i="2"/>
  <c r="EU208" i="2"/>
  <c r="DZ391" i="4"/>
  <c r="DZ398" i="4"/>
  <c r="DZ396" i="4"/>
  <c r="DZ346" i="4"/>
  <c r="EA348" i="4" s="1"/>
  <c r="DZ351" i="4"/>
  <c r="DZ361" i="4"/>
  <c r="EA363" i="4" s="1"/>
  <c r="DZ322" i="4"/>
  <c r="DZ324" i="4" s="1"/>
  <c r="DZ318" i="4"/>
  <c r="DZ319" i="4" s="1"/>
  <c r="DZ316" i="4"/>
  <c r="DZ315" i="4"/>
  <c r="DY62" i="4"/>
  <c r="DY58" i="4"/>
  <c r="DY83" i="4"/>
  <c r="DY78" i="4"/>
  <c r="DY74" i="4"/>
  <c r="DY70" i="4"/>
  <c r="DZ69" i="4"/>
  <c r="DY66" i="4"/>
  <c r="DZ65" i="4"/>
  <c r="DZ60" i="4"/>
  <c r="DZ56" i="4" s="1"/>
  <c r="DZ90" i="4" s="1"/>
  <c r="EA92" i="4" s="1"/>
  <c r="DZ83" i="4"/>
  <c r="DZ82" i="4"/>
  <c r="DZ78" i="4"/>
  <c r="DZ77" i="4"/>
  <c r="DZ74" i="4"/>
  <c r="DZ73" i="4"/>
  <c r="DZ70" i="4"/>
  <c r="DZ66" i="4"/>
  <c r="DZ59" i="3"/>
  <c r="DZ60" i="3"/>
  <c r="DZ43" i="3"/>
  <c r="DZ52" i="3"/>
  <c r="DZ30" i="3"/>
  <c r="DZ144" i="2"/>
  <c r="EA143" i="2" s="1"/>
  <c r="DZ133" i="2"/>
  <c r="DZ140" i="2" s="1"/>
  <c r="DZ79" i="2"/>
  <c r="DZ77" i="2"/>
  <c r="DZ76" i="2"/>
  <c r="DZ75" i="2"/>
  <c r="DZ72" i="2"/>
  <c r="DZ71" i="2"/>
  <c r="DZ39" i="2"/>
  <c r="DZ48" i="2"/>
  <c r="DZ34" i="2"/>
  <c r="DZ16" i="2"/>
  <c r="DZ24" i="2" s="1"/>
  <c r="DZ72" i="1"/>
  <c r="DZ71" i="1"/>
  <c r="DZ126" i="2" s="1"/>
  <c r="DZ100" i="1"/>
  <c r="DZ93" i="1"/>
  <c r="DZ62" i="1"/>
  <c r="DZ58" i="1"/>
  <c r="DZ54" i="1"/>
  <c r="DT46" i="1"/>
  <c r="DT43" i="1"/>
  <c r="DZ42" i="2" l="1"/>
  <c r="EA81" i="2"/>
  <c r="DZ408" i="4"/>
  <c r="EA410" i="4" s="1"/>
  <c r="EA393" i="4"/>
  <c r="DZ356" i="4"/>
  <c r="EA358" i="4" s="1"/>
  <c r="EA353" i="4"/>
  <c r="DZ320" i="4"/>
  <c r="DZ323" i="4"/>
  <c r="DZ62" i="4"/>
  <c r="DZ61" i="4"/>
  <c r="DZ58" i="4"/>
  <c r="DZ57" i="4"/>
  <c r="DZ71" i="4"/>
  <c r="DZ63" i="4"/>
  <c r="DZ75" i="4"/>
  <c r="DZ79" i="4"/>
  <c r="DZ67" i="4"/>
  <c r="DZ84" i="4"/>
  <c r="DZ59" i="4"/>
  <c r="DZ50" i="2"/>
  <c r="DZ366" i="4" l="1"/>
  <c r="EA368" i="4" s="1"/>
  <c r="DZ46" i="1"/>
  <c r="DZ43" i="1"/>
  <c r="DT48" i="1"/>
  <c r="DZ156" i="1"/>
  <c r="DZ146" i="1"/>
  <c r="DZ70" i="1"/>
  <c r="DZ66" i="1"/>
  <c r="DZ48" i="1" l="1"/>
  <c r="DT44" i="1"/>
  <c r="DZ76" i="1"/>
  <c r="DZ44" i="1"/>
  <c r="DY20" i="1" l="1"/>
  <c r="DY19" i="1"/>
  <c r="DY23" i="1"/>
  <c r="DY22" i="1"/>
  <c r="DY30" i="1"/>
  <c r="DY29" i="1"/>
  <c r="DS363" i="4"/>
  <c r="DV362" i="4"/>
  <c r="DU362" i="4"/>
  <c r="DT362" i="4"/>
  <c r="DS362" i="4"/>
  <c r="DW362" i="4"/>
  <c r="DS368" i="4"/>
  <c r="DV367" i="4"/>
  <c r="DU367" i="4"/>
  <c r="DT367" i="4"/>
  <c r="DS367" i="4"/>
  <c r="DW367" i="4"/>
  <c r="DW357" i="4"/>
  <c r="DW352" i="4"/>
  <c r="DW347" i="4"/>
  <c r="DY361" i="4"/>
  <c r="DZ363" i="4" s="1"/>
  <c r="DT361" i="4"/>
  <c r="DU361" i="4"/>
  <c r="EA362" i="4" s="1"/>
  <c r="DV361" i="4"/>
  <c r="DS361" i="4"/>
  <c r="G419" i="4"/>
  <c r="M419" i="4"/>
  <c r="R419" i="4"/>
  <c r="U421" i="4" s="1"/>
  <c r="Y419" i="4"/>
  <c r="AE419" i="4"/>
  <c r="AK419" i="4"/>
  <c r="AQ419" i="4"/>
  <c r="AW419" i="4"/>
  <c r="BC420" i="4" s="1"/>
  <c r="BC419" i="4"/>
  <c r="BG419" i="4"/>
  <c r="BG420" i="4" s="1"/>
  <c r="BI419" i="4"/>
  <c r="BO419" i="4"/>
  <c r="BU419" i="4"/>
  <c r="CA419" i="4"/>
  <c r="CG420" i="4" s="1"/>
  <c r="CC419" i="4"/>
  <c r="CD419" i="4" s="1"/>
  <c r="CI419" i="4"/>
  <c r="CM419" i="4"/>
  <c r="CM420" i="4" s="1"/>
  <c r="CO419" i="4"/>
  <c r="I420" i="4"/>
  <c r="J420" i="4"/>
  <c r="K420" i="4"/>
  <c r="L420" i="4"/>
  <c r="O420" i="4"/>
  <c r="P420" i="4"/>
  <c r="Q420" i="4"/>
  <c r="U420" i="4"/>
  <c r="V420" i="4"/>
  <c r="W420" i="4"/>
  <c r="AA420" i="4"/>
  <c r="AB420" i="4"/>
  <c r="AC420" i="4"/>
  <c r="AD420" i="4"/>
  <c r="AG420" i="4"/>
  <c r="AH420" i="4"/>
  <c r="AI420" i="4"/>
  <c r="AJ420" i="4"/>
  <c r="AM420" i="4"/>
  <c r="AN420" i="4"/>
  <c r="AO420" i="4"/>
  <c r="AP420" i="4"/>
  <c r="AS420" i="4"/>
  <c r="AT420" i="4"/>
  <c r="AU420" i="4"/>
  <c r="AV420" i="4"/>
  <c r="AY420" i="4"/>
  <c r="AZ420" i="4"/>
  <c r="BA420" i="4"/>
  <c r="BB420" i="4"/>
  <c r="BE420" i="4"/>
  <c r="BH420" i="4"/>
  <c r="BN420" i="4"/>
  <c r="BT420" i="4"/>
  <c r="BZ420" i="4"/>
  <c r="CF420" i="4"/>
  <c r="CL420" i="4"/>
  <c r="D421" i="4"/>
  <c r="E421" i="4"/>
  <c r="F421" i="4"/>
  <c r="I421" i="4"/>
  <c r="J421" i="4"/>
  <c r="K421" i="4"/>
  <c r="L421" i="4"/>
  <c r="O421" i="4"/>
  <c r="P421" i="4"/>
  <c r="Q421" i="4"/>
  <c r="V421" i="4"/>
  <c r="W421" i="4"/>
  <c r="X421" i="4"/>
  <c r="AA421" i="4"/>
  <c r="AB421" i="4"/>
  <c r="AC421" i="4"/>
  <c r="AD421" i="4"/>
  <c r="AG421" i="4"/>
  <c r="AH421" i="4"/>
  <c r="AI421" i="4"/>
  <c r="AJ421" i="4"/>
  <c r="AM421" i="4"/>
  <c r="AN421" i="4"/>
  <c r="AO421" i="4"/>
  <c r="AP421" i="4"/>
  <c r="AS421" i="4"/>
  <c r="AT421" i="4"/>
  <c r="AU421" i="4"/>
  <c r="AV421" i="4"/>
  <c r="AY421" i="4"/>
  <c r="AZ421" i="4"/>
  <c r="BA421" i="4"/>
  <c r="BB421" i="4"/>
  <c r="BE421" i="4"/>
  <c r="D422" i="4"/>
  <c r="E422" i="4"/>
  <c r="F422" i="4"/>
  <c r="I422" i="4"/>
  <c r="J422" i="4"/>
  <c r="K422" i="4"/>
  <c r="L422" i="4"/>
  <c r="O422" i="4"/>
  <c r="P422" i="4"/>
  <c r="Q422" i="4"/>
  <c r="V422" i="4"/>
  <c r="W422" i="4"/>
  <c r="X422" i="4"/>
  <c r="AA422" i="4"/>
  <c r="AB422" i="4"/>
  <c r="AC422" i="4"/>
  <c r="AD422" i="4"/>
  <c r="AG422" i="4"/>
  <c r="AH422" i="4"/>
  <c r="AI422" i="4"/>
  <c r="AJ422" i="4"/>
  <c r="AM422" i="4"/>
  <c r="AN422" i="4"/>
  <c r="AO422" i="4"/>
  <c r="AP422" i="4"/>
  <c r="AS422" i="4"/>
  <c r="AT422" i="4"/>
  <c r="AU422" i="4"/>
  <c r="AV422" i="4"/>
  <c r="AY422" i="4"/>
  <c r="AZ422" i="4"/>
  <c r="BA422" i="4"/>
  <c r="BB422" i="4"/>
  <c r="BE422" i="4"/>
  <c r="C425" i="4"/>
  <c r="D425" i="4"/>
  <c r="E425" i="4"/>
  <c r="F425" i="4"/>
  <c r="I425" i="4"/>
  <c r="J425" i="4"/>
  <c r="K425" i="4"/>
  <c r="L425" i="4"/>
  <c r="O425" i="4"/>
  <c r="P425" i="4"/>
  <c r="Q425" i="4"/>
  <c r="U425" i="4"/>
  <c r="V425" i="4"/>
  <c r="W425" i="4"/>
  <c r="X425" i="4"/>
  <c r="AA425" i="4"/>
  <c r="AB425" i="4"/>
  <c r="AC425" i="4"/>
  <c r="AD425" i="4"/>
  <c r="AG426" i="4"/>
  <c r="AH426" i="4"/>
  <c r="AI426" i="4"/>
  <c r="AJ426" i="4"/>
  <c r="AM426" i="4"/>
  <c r="AN426" i="4"/>
  <c r="AO426" i="4"/>
  <c r="AP426" i="4"/>
  <c r="AS426" i="4"/>
  <c r="AT426" i="4"/>
  <c r="AU426" i="4"/>
  <c r="AV426" i="4"/>
  <c r="AY426" i="4"/>
  <c r="AZ426" i="4"/>
  <c r="BA426" i="4"/>
  <c r="BB426" i="4"/>
  <c r="BE426" i="4"/>
  <c r="BG426" i="4"/>
  <c r="BH426" i="4"/>
  <c r="BN426" i="4"/>
  <c r="BT426" i="4"/>
  <c r="BW426" i="4"/>
  <c r="BX426" i="4"/>
  <c r="BY426" i="4"/>
  <c r="BZ426" i="4"/>
  <c r="CC426" i="4"/>
  <c r="CF426" i="4"/>
  <c r="CL426" i="4"/>
  <c r="AG427" i="4"/>
  <c r="AH427" i="4"/>
  <c r="AI427" i="4"/>
  <c r="AJ427" i="4"/>
  <c r="AM427" i="4"/>
  <c r="AN427" i="4"/>
  <c r="AO427" i="4"/>
  <c r="AP427" i="4"/>
  <c r="AS427" i="4"/>
  <c r="AT427" i="4"/>
  <c r="AU427" i="4"/>
  <c r="AV427" i="4"/>
  <c r="AY427" i="4"/>
  <c r="AZ427" i="4"/>
  <c r="BA427" i="4"/>
  <c r="BB427" i="4"/>
  <c r="BE427" i="4"/>
  <c r="BH427" i="4"/>
  <c r="BN427" i="4"/>
  <c r="BT427" i="4"/>
  <c r="BW427" i="4"/>
  <c r="BX427" i="4"/>
  <c r="BY427" i="4"/>
  <c r="BZ427" i="4"/>
  <c r="CC427" i="4"/>
  <c r="CF427" i="4"/>
  <c r="CL427" i="4"/>
  <c r="DS358" i="4"/>
  <c r="DV357" i="4"/>
  <c r="DU357" i="4"/>
  <c r="DT357" i="4"/>
  <c r="DS357" i="4"/>
  <c r="DS353" i="4"/>
  <c r="DV352" i="4"/>
  <c r="DU352" i="4"/>
  <c r="DT352" i="4"/>
  <c r="DS352" i="4"/>
  <c r="DS348" i="4"/>
  <c r="DV347" i="4"/>
  <c r="DU347" i="4"/>
  <c r="DT347" i="4"/>
  <c r="DS347" i="4"/>
  <c r="DY351" i="4"/>
  <c r="DZ353" i="4" s="1"/>
  <c r="DY346" i="4"/>
  <c r="DZ348" i="4" s="1"/>
  <c r="DV351" i="4"/>
  <c r="DU351" i="4"/>
  <c r="EA352" i="4" s="1"/>
  <c r="DT351" i="4"/>
  <c r="DZ352" i="4" s="1"/>
  <c r="DS351" i="4"/>
  <c r="DT346" i="4"/>
  <c r="DZ347" i="4" s="1"/>
  <c r="DU346" i="4"/>
  <c r="DV346" i="4"/>
  <c r="DS346" i="4"/>
  <c r="DS356" i="4" s="1"/>
  <c r="DU356" i="4" l="1"/>
  <c r="EA347" i="4"/>
  <c r="DV363" i="4"/>
  <c r="DW361" i="4"/>
  <c r="DV364" i="4" s="1"/>
  <c r="DZ362" i="4"/>
  <c r="DY352" i="4"/>
  <c r="DY363" i="4"/>
  <c r="DY353" i="4"/>
  <c r="DZ20" i="1"/>
  <c r="DZ19" i="1"/>
  <c r="DT363" i="4"/>
  <c r="DY362" i="4"/>
  <c r="DU363" i="4"/>
  <c r="DW351" i="4"/>
  <c r="DW346" i="4"/>
  <c r="DS349" i="4" s="1"/>
  <c r="DS366" i="4"/>
  <c r="CI427" i="4"/>
  <c r="CO426" i="4"/>
  <c r="CO427" i="4"/>
  <c r="BG427" i="4"/>
  <c r="BI420" i="4"/>
  <c r="CI426" i="4"/>
  <c r="M420" i="4"/>
  <c r="BU420" i="4"/>
  <c r="AW420" i="4"/>
  <c r="R422" i="4"/>
  <c r="CA427" i="4"/>
  <c r="R425" i="4"/>
  <c r="S425" i="4" s="1"/>
  <c r="U422" i="4"/>
  <c r="CC420" i="4"/>
  <c r="AW427" i="4"/>
  <c r="AQ427" i="4"/>
  <c r="M425" i="4"/>
  <c r="G425" i="4"/>
  <c r="CI420" i="4"/>
  <c r="CA420" i="4"/>
  <c r="BK419" i="4"/>
  <c r="CJ419" i="4"/>
  <c r="CK419" i="4" s="1"/>
  <c r="BO420" i="4"/>
  <c r="AQ426" i="4"/>
  <c r="AK426" i="4"/>
  <c r="CO420" i="4"/>
  <c r="DV353" i="4"/>
  <c r="AW426" i="4"/>
  <c r="AE425" i="4"/>
  <c r="Y425" i="4"/>
  <c r="R421" i="4"/>
  <c r="BQ419" i="4"/>
  <c r="AK427" i="4"/>
  <c r="BC426" i="4"/>
  <c r="BF419" i="4"/>
  <c r="AQ420" i="4"/>
  <c r="BC427" i="4"/>
  <c r="CA426" i="4"/>
  <c r="X420" i="4"/>
  <c r="R420" i="4"/>
  <c r="CE419" i="4"/>
  <c r="CD427" i="4"/>
  <c r="CD426" i="4"/>
  <c r="CD420" i="4"/>
  <c r="S419" i="4"/>
  <c r="CP419" i="4"/>
  <c r="DY356" i="4"/>
  <c r="DV356" i="4"/>
  <c r="DY348" i="4"/>
  <c r="DU353" i="4"/>
  <c r="DU348" i="4"/>
  <c r="DT353" i="4"/>
  <c r="DT356" i="4"/>
  <c r="DV348" i="4"/>
  <c r="DY347" i="4"/>
  <c r="DT348" i="4"/>
  <c r="DT364" i="4" l="1"/>
  <c r="DU364" i="4"/>
  <c r="DS364" i="4"/>
  <c r="DY358" i="4"/>
  <c r="DU366" i="4"/>
  <c r="EA367" i="4" s="1"/>
  <c r="EA357" i="4"/>
  <c r="DT366" i="4"/>
  <c r="DT368" i="4" s="1"/>
  <c r="DZ357" i="4"/>
  <c r="DY357" i="4"/>
  <c r="DZ358" i="4"/>
  <c r="DU349" i="4"/>
  <c r="DZ23" i="1"/>
  <c r="DZ22" i="1"/>
  <c r="DY366" i="4"/>
  <c r="DZ368" i="4" s="1"/>
  <c r="DU354" i="4"/>
  <c r="DT349" i="4"/>
  <c r="DV354" i="4"/>
  <c r="DS354" i="4"/>
  <c r="DT354" i="4"/>
  <c r="DV349" i="4"/>
  <c r="DW356" i="4"/>
  <c r="DV358" i="4"/>
  <c r="DV366" i="4"/>
  <c r="CJ420" i="4"/>
  <c r="CJ426" i="4"/>
  <c r="BK420" i="4"/>
  <c r="BK426" i="4"/>
  <c r="BK427" i="4"/>
  <c r="BL419" i="4"/>
  <c r="BF420" i="4"/>
  <c r="BF426" i="4"/>
  <c r="BI426" i="4" s="1"/>
  <c r="BF427" i="4"/>
  <c r="BI427" i="4" s="1"/>
  <c r="BQ420" i="4"/>
  <c r="BR419" i="4"/>
  <c r="BW420" i="4"/>
  <c r="BQ426" i="4"/>
  <c r="BQ427" i="4"/>
  <c r="CK426" i="4"/>
  <c r="CK420" i="4"/>
  <c r="CK427" i="4"/>
  <c r="CE420" i="4"/>
  <c r="CE427" i="4"/>
  <c r="CG427" i="4" s="1"/>
  <c r="CE426" i="4"/>
  <c r="CG426" i="4" s="1"/>
  <c r="CP426" i="4"/>
  <c r="CP420" i="4"/>
  <c r="CQ419" i="4"/>
  <c r="CP427" i="4"/>
  <c r="DU358" i="4"/>
  <c r="DT358" i="4"/>
  <c r="DU368" i="4" l="1"/>
  <c r="DZ367" i="4"/>
  <c r="DV368" i="4"/>
  <c r="DY368" i="4"/>
  <c r="DY367" i="4"/>
  <c r="DZ30" i="1"/>
  <c r="DZ29" i="1"/>
  <c r="DW366" i="4"/>
  <c r="CM426" i="4"/>
  <c r="BL427" i="4"/>
  <c r="BL426" i="4"/>
  <c r="BM419" i="4"/>
  <c r="BL420" i="4"/>
  <c r="BS419" i="4"/>
  <c r="BR420" i="4"/>
  <c r="BX420" i="4"/>
  <c r="BR426" i="4"/>
  <c r="BR427" i="4"/>
  <c r="CR419" i="4"/>
  <c r="CQ427" i="4"/>
  <c r="CQ426" i="4"/>
  <c r="CQ420" i="4"/>
  <c r="BM427" i="4" l="1"/>
  <c r="BO427" i="4" s="1"/>
  <c r="BM426" i="4"/>
  <c r="BO426" i="4" s="1"/>
  <c r="BM420" i="4"/>
  <c r="BS426" i="4"/>
  <c r="BU426" i="4" s="1"/>
  <c r="BS427" i="4"/>
  <c r="BU427" i="4" s="1"/>
  <c r="BY420" i="4"/>
  <c r="BS420" i="4"/>
  <c r="CS419" i="4"/>
  <c r="CS420" i="4" s="1"/>
  <c r="CR427" i="4"/>
  <c r="CS427" i="4" s="1"/>
  <c r="CU419" i="4"/>
  <c r="CR426" i="4"/>
  <c r="CS426" i="4" s="1"/>
  <c r="CR420" i="4"/>
  <c r="CU426" i="4" l="1"/>
  <c r="CU420" i="4"/>
  <c r="CV419" i="4"/>
  <c r="CU427" i="4"/>
  <c r="CW419" i="4" l="1"/>
  <c r="CV427" i="4"/>
  <c r="CV426" i="4"/>
  <c r="CV420" i="4"/>
  <c r="CX419" i="4" l="1"/>
  <c r="CW427" i="4"/>
  <c r="CW426" i="4"/>
  <c r="CW420" i="4"/>
  <c r="CX420" i="4" l="1"/>
  <c r="CY419" i="4"/>
  <c r="CY420" i="4" s="1"/>
  <c r="CX427" i="4"/>
  <c r="CY427" i="4" s="1"/>
  <c r="DA419" i="4"/>
  <c r="CX426" i="4"/>
  <c r="CY426" i="4" s="1"/>
  <c r="EH415" i="4"/>
  <c r="DB419" i="4" l="1"/>
  <c r="DA427" i="4"/>
  <c r="DA426" i="4"/>
  <c r="DA420" i="4"/>
  <c r="DC419" i="4" l="1"/>
  <c r="DB427" i="4"/>
  <c r="DB426" i="4"/>
  <c r="DB420" i="4"/>
  <c r="DC420" i="4" l="1"/>
  <c r="DD419" i="4"/>
  <c r="DC427" i="4"/>
  <c r="DC426" i="4"/>
  <c r="DY5" i="2"/>
  <c r="DG419" i="4" l="1"/>
  <c r="DD420" i="4"/>
  <c r="DE419" i="4"/>
  <c r="DE420" i="4" s="1"/>
  <c r="DD427" i="4"/>
  <c r="DE427" i="4" s="1"/>
  <c r="DH419" i="4" l="1"/>
  <c r="DG427" i="4"/>
  <c r="DG426" i="4"/>
  <c r="DG420" i="4"/>
  <c r="DH420" i="4" l="1"/>
  <c r="DI419" i="4"/>
  <c r="DH427" i="4"/>
  <c r="DH426" i="4"/>
  <c r="DI426" i="4" l="1"/>
  <c r="DI420" i="4"/>
  <c r="DJ419" i="4"/>
  <c r="DI427" i="4"/>
  <c r="DK419" i="4" l="1"/>
  <c r="DK420" i="4" s="1"/>
  <c r="DJ427" i="4"/>
  <c r="DK427" i="4" s="1"/>
  <c r="DM419" i="4"/>
  <c r="DJ426" i="4"/>
  <c r="DK426" i="4" s="1"/>
  <c r="DJ420" i="4"/>
  <c r="DM420" i="4" l="1"/>
  <c r="DN419" i="4"/>
  <c r="DM427" i="4"/>
  <c r="DM426" i="4"/>
  <c r="DN426" i="4" l="1"/>
  <c r="DN420" i="4"/>
  <c r="DO419" i="4"/>
  <c r="DN427" i="4"/>
  <c r="DP419" i="4" l="1"/>
  <c r="DO427" i="4"/>
  <c r="DO426" i="4"/>
  <c r="DO420" i="4"/>
  <c r="DQ419" i="4" l="1"/>
  <c r="DQ420" i="4" s="1"/>
  <c r="DP427" i="4"/>
  <c r="DQ427" i="4" s="1"/>
  <c r="DS419" i="4"/>
  <c r="DP426" i="4"/>
  <c r="DQ426" i="4" s="1"/>
  <c r="DP420" i="4"/>
  <c r="BC142" i="3"/>
  <c r="BB142" i="3"/>
  <c r="BA142" i="3"/>
  <c r="AZ142" i="3"/>
  <c r="AY142" i="3"/>
  <c r="AW142" i="3"/>
  <c r="AV142" i="3"/>
  <c r="AU142" i="3"/>
  <c r="AT142" i="3"/>
  <c r="AS142" i="3"/>
  <c r="AQ142" i="3"/>
  <c r="AP142" i="3"/>
  <c r="AO142" i="3"/>
  <c r="AN142" i="3"/>
  <c r="AM142" i="3"/>
  <c r="AK142" i="3"/>
  <c r="AJ142" i="3"/>
  <c r="AI142" i="3"/>
  <c r="AH142" i="3"/>
  <c r="AG142" i="3"/>
  <c r="AG141" i="3"/>
  <c r="O141" i="3"/>
  <c r="EN137" i="3"/>
  <c r="EM137" i="3"/>
  <c r="EL137" i="3"/>
  <c r="EK137" i="3"/>
  <c r="EO137" i="3" s="1"/>
  <c r="EK136" i="3"/>
  <c r="EH137" i="3"/>
  <c r="EG137" i="3"/>
  <c r="EF137" i="3"/>
  <c r="EE137" i="3"/>
  <c r="EE136" i="3"/>
  <c r="EB137" i="3"/>
  <c r="EA137" i="3"/>
  <c r="DZ137" i="3"/>
  <c r="DY137" i="3"/>
  <c r="EC137" i="3" s="1"/>
  <c r="DY136" i="3"/>
  <c r="DV137" i="3"/>
  <c r="DU137" i="3"/>
  <c r="DT137" i="3"/>
  <c r="DS137" i="3"/>
  <c r="DW137" i="3" s="1"/>
  <c r="DS136" i="3"/>
  <c r="DP137" i="3"/>
  <c r="DO137" i="3"/>
  <c r="DN137" i="3"/>
  <c r="DM137" i="3"/>
  <c r="DQ137" i="3" s="1"/>
  <c r="DP136" i="3"/>
  <c r="DO136" i="3"/>
  <c r="DN136" i="3"/>
  <c r="DM136" i="3"/>
  <c r="DQ136" i="3" s="1"/>
  <c r="DJ137" i="3"/>
  <c r="DI137" i="3"/>
  <c r="DH137" i="3"/>
  <c r="DG137" i="3"/>
  <c r="DJ136" i="3"/>
  <c r="DI136" i="3"/>
  <c r="DH136" i="3"/>
  <c r="DG136" i="3"/>
  <c r="DK136" i="3" s="1"/>
  <c r="DD137" i="3"/>
  <c r="DC137" i="3"/>
  <c r="DB137" i="3"/>
  <c r="DA137" i="3"/>
  <c r="DE137" i="3" s="1"/>
  <c r="DD136" i="3"/>
  <c r="DA136" i="3"/>
  <c r="CX137" i="3"/>
  <c r="CW137" i="3"/>
  <c r="CV137" i="3"/>
  <c r="CU137" i="3"/>
  <c r="CX136" i="3"/>
  <c r="CW136" i="3"/>
  <c r="CV136" i="3"/>
  <c r="CU136" i="3"/>
  <c r="CR137" i="3"/>
  <c r="CQ137" i="3"/>
  <c r="CP137" i="3"/>
  <c r="CO137" i="3"/>
  <c r="CS137" i="3" s="1"/>
  <c r="CR136" i="3"/>
  <c r="CQ136" i="3"/>
  <c r="CP136" i="3"/>
  <c r="CO136" i="3"/>
  <c r="CS136" i="3" s="1"/>
  <c r="CL137" i="3"/>
  <c r="CK137" i="3"/>
  <c r="CJ137" i="3"/>
  <c r="CI137" i="3"/>
  <c r="CM137" i="3" s="1"/>
  <c r="CL136" i="3"/>
  <c r="CK136" i="3"/>
  <c r="CJ136" i="3"/>
  <c r="CI136" i="3"/>
  <c r="CM136" i="3" s="1"/>
  <c r="CF137" i="3"/>
  <c r="CE137" i="3"/>
  <c r="CD137" i="3"/>
  <c r="CC137" i="3"/>
  <c r="CG137" i="3" s="1"/>
  <c r="CF136" i="3"/>
  <c r="CE136" i="3"/>
  <c r="CD136" i="3"/>
  <c r="CC136" i="3"/>
  <c r="CG136" i="3" s="1"/>
  <c r="BZ137" i="3"/>
  <c r="BY137" i="3"/>
  <c r="BX137" i="3"/>
  <c r="BW137" i="3"/>
  <c r="BZ136" i="3"/>
  <c r="BY136" i="3"/>
  <c r="BX136" i="3"/>
  <c r="BW136" i="3"/>
  <c r="BT137" i="3"/>
  <c r="BS137" i="3"/>
  <c r="BR137" i="3"/>
  <c r="BQ137" i="3"/>
  <c r="BU137" i="3" s="1"/>
  <c r="BR136" i="3"/>
  <c r="BQ136" i="3"/>
  <c r="BN137" i="3"/>
  <c r="BM137" i="3"/>
  <c r="BL137" i="3"/>
  <c r="BK137" i="3"/>
  <c r="BK136" i="3"/>
  <c r="BH137" i="3"/>
  <c r="BG137" i="3"/>
  <c r="BF137" i="3"/>
  <c r="BE137" i="3"/>
  <c r="BI137" i="3" s="1"/>
  <c r="BE136" i="3"/>
  <c r="BB137" i="3"/>
  <c r="BA137" i="3"/>
  <c r="AZ137" i="3"/>
  <c r="AY137" i="3"/>
  <c r="AY136" i="3"/>
  <c r="AV137" i="3"/>
  <c r="AU137" i="3"/>
  <c r="AT137" i="3"/>
  <c r="AS137" i="3"/>
  <c r="AW137" i="3" s="1"/>
  <c r="AV136" i="3"/>
  <c r="AU136" i="3"/>
  <c r="AT136" i="3"/>
  <c r="AS136" i="3"/>
  <c r="AW136" i="3" s="1"/>
  <c r="AP137" i="3"/>
  <c r="AO137" i="3"/>
  <c r="AN137" i="3"/>
  <c r="AM137" i="3"/>
  <c r="AP136" i="3"/>
  <c r="AO136" i="3"/>
  <c r="AN136" i="3"/>
  <c r="AM136" i="3"/>
  <c r="AQ136" i="3" s="1"/>
  <c r="AJ137" i="3"/>
  <c r="AI137" i="3"/>
  <c r="AH137" i="3"/>
  <c r="AG137" i="3"/>
  <c r="AK137" i="3" s="1"/>
  <c r="AJ136" i="3"/>
  <c r="AI136" i="3"/>
  <c r="AH136" i="3"/>
  <c r="AG136" i="3"/>
  <c r="AK136" i="3" s="1"/>
  <c r="AD137" i="3"/>
  <c r="AC137" i="3"/>
  <c r="AB137" i="3"/>
  <c r="AA137" i="3"/>
  <c r="AD136" i="3"/>
  <c r="AC136" i="3"/>
  <c r="AB136" i="3"/>
  <c r="AA136" i="3"/>
  <c r="AE136" i="3" s="1"/>
  <c r="X137" i="3"/>
  <c r="W137" i="3"/>
  <c r="V137" i="3"/>
  <c r="U137" i="3"/>
  <c r="Y137" i="3" s="1"/>
  <c r="X136" i="3"/>
  <c r="W136" i="3"/>
  <c r="V136" i="3"/>
  <c r="U136" i="3"/>
  <c r="Y136" i="3" s="1"/>
  <c r="R137" i="3"/>
  <c r="Q137" i="3"/>
  <c r="P137" i="3"/>
  <c r="O137" i="3"/>
  <c r="S137" i="3" s="1"/>
  <c r="R136" i="3"/>
  <c r="Q136" i="3"/>
  <c r="P136" i="3"/>
  <c r="O136" i="3"/>
  <c r="S136" i="3" s="1"/>
  <c r="AV133" i="3"/>
  <c r="AU133" i="3"/>
  <c r="AT133" i="3"/>
  <c r="AS133" i="3"/>
  <c r="AW133" i="3" s="1"/>
  <c r="AV132" i="3"/>
  <c r="AU132" i="3"/>
  <c r="AT132" i="3"/>
  <c r="AS132" i="3"/>
  <c r="AW132" i="3" s="1"/>
  <c r="AV131" i="3"/>
  <c r="AU131" i="3"/>
  <c r="AT131" i="3"/>
  <c r="AS131" i="3"/>
  <c r="AW131" i="3" s="1"/>
  <c r="AP133" i="3"/>
  <c r="AO133" i="3"/>
  <c r="AN133" i="3"/>
  <c r="AM133" i="3"/>
  <c r="AQ133" i="3" s="1"/>
  <c r="AP132" i="3"/>
  <c r="AO132" i="3"/>
  <c r="AN132" i="3"/>
  <c r="AM132" i="3"/>
  <c r="AQ132" i="3" s="1"/>
  <c r="AP131" i="3"/>
  <c r="AO131" i="3"/>
  <c r="AN131" i="3"/>
  <c r="AM131" i="3"/>
  <c r="AQ131" i="3" s="1"/>
  <c r="AJ133" i="3"/>
  <c r="AI133" i="3"/>
  <c r="AH133" i="3"/>
  <c r="AG133" i="3"/>
  <c r="AK133" i="3" s="1"/>
  <c r="AJ132" i="3"/>
  <c r="AI132" i="3"/>
  <c r="AH132" i="3"/>
  <c r="AG132" i="3"/>
  <c r="AK132" i="3" s="1"/>
  <c r="AJ131" i="3"/>
  <c r="AI131" i="3"/>
  <c r="AH131" i="3"/>
  <c r="AG131" i="3"/>
  <c r="AK131" i="3" s="1"/>
  <c r="AD133" i="3"/>
  <c r="AC133" i="3"/>
  <c r="AB133" i="3"/>
  <c r="AA133" i="3"/>
  <c r="AE133" i="3" s="1"/>
  <c r="AD132" i="3"/>
  <c r="AC132" i="3"/>
  <c r="AB132" i="3"/>
  <c r="AA132" i="3"/>
  <c r="AE132" i="3" s="1"/>
  <c r="AD131" i="3"/>
  <c r="AC131" i="3"/>
  <c r="AB131" i="3"/>
  <c r="AA131" i="3"/>
  <c r="AE131" i="3" s="1"/>
  <c r="X133" i="3"/>
  <c r="W133" i="3"/>
  <c r="V133" i="3"/>
  <c r="U133" i="3"/>
  <c r="Y133" i="3" s="1"/>
  <c r="W132" i="3"/>
  <c r="V132" i="3"/>
  <c r="U132" i="3"/>
  <c r="X131" i="3"/>
  <c r="W131" i="3"/>
  <c r="V131" i="3"/>
  <c r="U131" i="3"/>
  <c r="Y131" i="3" s="1"/>
  <c r="R133" i="3"/>
  <c r="Q133" i="3"/>
  <c r="P133" i="3"/>
  <c r="O133" i="3"/>
  <c r="S133" i="3" s="1"/>
  <c r="Q132" i="3"/>
  <c r="P132" i="3"/>
  <c r="O132" i="3"/>
  <c r="R131" i="3"/>
  <c r="Q131" i="3"/>
  <c r="P131" i="3"/>
  <c r="O131" i="3"/>
  <c r="S131" i="3" s="1"/>
  <c r="EK133" i="3"/>
  <c r="EE133" i="3"/>
  <c r="DY133" i="3"/>
  <c r="DY132" i="3"/>
  <c r="DY130" i="3"/>
  <c r="DY129" i="3"/>
  <c r="DY128" i="3"/>
  <c r="DS133" i="3"/>
  <c r="DV132" i="3"/>
  <c r="DU132" i="3"/>
  <c r="DV130" i="3"/>
  <c r="DU130" i="3"/>
  <c r="DU129" i="3"/>
  <c r="DV128" i="3"/>
  <c r="DU128" i="3"/>
  <c r="DT128" i="3"/>
  <c r="DS128" i="3"/>
  <c r="DM133" i="3"/>
  <c r="DM132" i="3"/>
  <c r="DM130" i="3"/>
  <c r="DO129" i="3"/>
  <c r="DN129" i="3"/>
  <c r="DM129" i="3"/>
  <c r="DP128" i="3"/>
  <c r="DO128" i="3"/>
  <c r="DN128" i="3"/>
  <c r="DM128" i="3"/>
  <c r="DG133" i="3"/>
  <c r="DJ132" i="3"/>
  <c r="DI132" i="3"/>
  <c r="DH132" i="3"/>
  <c r="DG132" i="3"/>
  <c r="DK132" i="3" s="1"/>
  <c r="DJ130" i="3"/>
  <c r="DI130" i="3"/>
  <c r="DH130" i="3"/>
  <c r="DG130" i="3"/>
  <c r="DJ129" i="3"/>
  <c r="DI129" i="3"/>
  <c r="DH129" i="3"/>
  <c r="DG129" i="3"/>
  <c r="DJ128" i="3"/>
  <c r="DI128" i="3"/>
  <c r="DH128" i="3"/>
  <c r="DG128" i="3"/>
  <c r="DA133" i="3"/>
  <c r="DB132" i="3"/>
  <c r="DA132" i="3"/>
  <c r="DD130" i="3"/>
  <c r="DC130" i="3"/>
  <c r="DB130" i="3"/>
  <c r="DA130" i="3"/>
  <c r="DE130" i="3" s="1"/>
  <c r="DD129" i="3"/>
  <c r="DC129" i="3"/>
  <c r="DB129" i="3"/>
  <c r="DA129" i="3"/>
  <c r="DD128" i="3"/>
  <c r="DC128" i="3"/>
  <c r="DB128" i="3"/>
  <c r="DA128" i="3"/>
  <c r="DE128" i="3" s="1"/>
  <c r="CU133" i="3"/>
  <c r="CX130" i="3"/>
  <c r="CW130" i="3"/>
  <c r="CV130" i="3"/>
  <c r="CU130" i="3"/>
  <c r="CY130" i="3" s="1"/>
  <c r="CX129" i="3"/>
  <c r="CW129" i="3"/>
  <c r="CV129" i="3"/>
  <c r="CU129" i="3"/>
  <c r="CW128" i="3"/>
  <c r="CV128" i="3"/>
  <c r="CU128" i="3"/>
  <c r="CO133" i="3"/>
  <c r="CP132" i="3"/>
  <c r="CO132" i="3"/>
  <c r="CR130" i="3"/>
  <c r="CQ130" i="3"/>
  <c r="CP130" i="3"/>
  <c r="CO130" i="3"/>
  <c r="CR129" i="3"/>
  <c r="CQ129" i="3"/>
  <c r="CP129" i="3"/>
  <c r="CO129" i="3"/>
  <c r="CR128" i="3"/>
  <c r="CQ128" i="3"/>
  <c r="CP128" i="3"/>
  <c r="CO128" i="3"/>
  <c r="CI133" i="3"/>
  <c r="CL132" i="3"/>
  <c r="CI132" i="3"/>
  <c r="CL130" i="3"/>
  <c r="CI130" i="3"/>
  <c r="CL129" i="3"/>
  <c r="CK129" i="3"/>
  <c r="CJ129" i="3"/>
  <c r="CI129" i="3"/>
  <c r="CL128" i="3"/>
  <c r="CK128" i="3"/>
  <c r="CJ128" i="3"/>
  <c r="CI128" i="3"/>
  <c r="CM128" i="3" s="1"/>
  <c r="CC133" i="3"/>
  <c r="CF130" i="3"/>
  <c r="CC130" i="3"/>
  <c r="CF129" i="3"/>
  <c r="CC129" i="3"/>
  <c r="CF128" i="3"/>
  <c r="CE128" i="3"/>
  <c r="CD128" i="3"/>
  <c r="CC128" i="3"/>
  <c r="CG128" i="3" s="1"/>
  <c r="BW133" i="3"/>
  <c r="BW132" i="3"/>
  <c r="BZ130" i="3"/>
  <c r="BY130" i="3"/>
  <c r="BX130" i="3"/>
  <c r="BW130" i="3"/>
  <c r="CA130" i="3" s="1"/>
  <c r="BZ129" i="3"/>
  <c r="BY129" i="3"/>
  <c r="BX129" i="3"/>
  <c r="BW129" i="3"/>
  <c r="BZ128" i="3"/>
  <c r="BY128" i="3"/>
  <c r="BX128" i="3"/>
  <c r="BW128" i="3"/>
  <c r="CA128" i="3" s="1"/>
  <c r="BQ133" i="3"/>
  <c r="BQ132" i="3"/>
  <c r="BT131" i="3"/>
  <c r="BS131" i="3"/>
  <c r="BR131" i="3"/>
  <c r="BQ131" i="3"/>
  <c r="BU131" i="3" s="1"/>
  <c r="BT130" i="3"/>
  <c r="BS130" i="3"/>
  <c r="BR130" i="3"/>
  <c r="BQ130" i="3"/>
  <c r="BU130" i="3" s="1"/>
  <c r="BT129" i="3"/>
  <c r="BS129" i="3"/>
  <c r="BR129" i="3"/>
  <c r="BQ129" i="3"/>
  <c r="BT128" i="3"/>
  <c r="BS128" i="3"/>
  <c r="BR128" i="3"/>
  <c r="BQ128" i="3"/>
  <c r="BU128" i="3" s="1"/>
  <c r="BK133" i="3"/>
  <c r="BK132" i="3"/>
  <c r="BM130" i="3"/>
  <c r="BL130" i="3"/>
  <c r="BK130" i="3"/>
  <c r="BK129" i="3"/>
  <c r="BK128" i="3"/>
  <c r="BF133" i="3"/>
  <c r="BE133" i="3"/>
  <c r="BF132" i="3"/>
  <c r="BE132" i="3"/>
  <c r="BE131" i="3"/>
  <c r="BF130" i="3"/>
  <c r="BE130" i="3"/>
  <c r="BE129" i="3"/>
  <c r="BE134" i="3" s="1"/>
  <c r="BE128" i="3"/>
  <c r="BB133" i="3"/>
  <c r="BA133" i="3"/>
  <c r="AZ133" i="3"/>
  <c r="AY133" i="3"/>
  <c r="BC133" i="3" s="1"/>
  <c r="BA132" i="3"/>
  <c r="AZ132" i="3"/>
  <c r="AY132" i="3"/>
  <c r="AY131" i="3"/>
  <c r="BB130" i="3"/>
  <c r="BA130" i="3"/>
  <c r="AZ130" i="3"/>
  <c r="AY130" i="3"/>
  <c r="BC130" i="3" s="1"/>
  <c r="AY129" i="3"/>
  <c r="AY128" i="3"/>
  <c r="AD129" i="3"/>
  <c r="AC129" i="3"/>
  <c r="AB129" i="3"/>
  <c r="AA129" i="3"/>
  <c r="AE129" i="3" s="1"/>
  <c r="AD128" i="3"/>
  <c r="AD134" i="3" s="1"/>
  <c r="AC128" i="3"/>
  <c r="AC134" i="3" s="1"/>
  <c r="AB128" i="3"/>
  <c r="AA128" i="3"/>
  <c r="X129" i="3"/>
  <c r="W129" i="3"/>
  <c r="V129" i="3"/>
  <c r="U129" i="3"/>
  <c r="Y129" i="3" s="1"/>
  <c r="X128" i="3"/>
  <c r="W128" i="3"/>
  <c r="V128" i="3"/>
  <c r="V134" i="3" s="1"/>
  <c r="U128" i="3"/>
  <c r="U134" i="3" s="1"/>
  <c r="R129" i="3"/>
  <c r="Q129" i="3"/>
  <c r="P129" i="3"/>
  <c r="O129" i="3"/>
  <c r="S129" i="3" s="1"/>
  <c r="R128" i="3"/>
  <c r="Q128" i="3"/>
  <c r="Q134" i="3" s="1"/>
  <c r="P128" i="3"/>
  <c r="O128" i="3"/>
  <c r="AV129" i="3"/>
  <c r="AU129" i="3"/>
  <c r="AT129" i="3"/>
  <c r="AS129" i="3"/>
  <c r="AW129" i="3" s="1"/>
  <c r="AV128" i="3"/>
  <c r="AU128" i="3"/>
  <c r="AT128" i="3"/>
  <c r="AS128" i="3"/>
  <c r="AW128" i="3" s="1"/>
  <c r="AW127" i="3"/>
  <c r="AV127" i="3"/>
  <c r="AU127" i="3"/>
  <c r="AU134" i="3" s="1"/>
  <c r="AT127" i="3"/>
  <c r="AT134" i="3" s="1"/>
  <c r="AS127" i="3"/>
  <c r="AP129" i="3"/>
  <c r="AO129" i="3"/>
  <c r="AN129" i="3"/>
  <c r="AM129" i="3"/>
  <c r="AQ129" i="3" s="1"/>
  <c r="AP128" i="3"/>
  <c r="AO128" i="3"/>
  <c r="AN128" i="3"/>
  <c r="AM128" i="3"/>
  <c r="AQ128" i="3" s="1"/>
  <c r="AQ127" i="3"/>
  <c r="AP127" i="3"/>
  <c r="AO127" i="3"/>
  <c r="AN127" i="3"/>
  <c r="AN134" i="3" s="1"/>
  <c r="AM127" i="3"/>
  <c r="AM134" i="3" s="1"/>
  <c r="AJ129" i="3"/>
  <c r="AI129" i="3"/>
  <c r="AH129" i="3"/>
  <c r="AG129" i="3"/>
  <c r="AJ128" i="3"/>
  <c r="AI128" i="3"/>
  <c r="AH128" i="3"/>
  <c r="AG128" i="3"/>
  <c r="AK127" i="3"/>
  <c r="AJ127" i="3"/>
  <c r="AJ134" i="3" s="1"/>
  <c r="AI127" i="3"/>
  <c r="AH127" i="3"/>
  <c r="AG127" i="3"/>
  <c r="AG134" i="3" s="1"/>
  <c r="EK124" i="3"/>
  <c r="EK123" i="3"/>
  <c r="EK122" i="3"/>
  <c r="EK121" i="3"/>
  <c r="EK120" i="3"/>
  <c r="EK119" i="3"/>
  <c r="EK116" i="3"/>
  <c r="EE124" i="3"/>
  <c r="EE123" i="3"/>
  <c r="EE122" i="3"/>
  <c r="EE121" i="3"/>
  <c r="EE120" i="3"/>
  <c r="EE119" i="3"/>
  <c r="EE116" i="3"/>
  <c r="DY124" i="3"/>
  <c r="DY123" i="3"/>
  <c r="DY122" i="3"/>
  <c r="DY121" i="3"/>
  <c r="DY120" i="3"/>
  <c r="DY119" i="3"/>
  <c r="DY118" i="3"/>
  <c r="DY117" i="3"/>
  <c r="DV124" i="3"/>
  <c r="DU124" i="3"/>
  <c r="DT124" i="3"/>
  <c r="DS124" i="3"/>
  <c r="DW124" i="3" s="1"/>
  <c r="DV123" i="3"/>
  <c r="DU123" i="3"/>
  <c r="DT123" i="3"/>
  <c r="DS123" i="3"/>
  <c r="DW123" i="3" s="1"/>
  <c r="DV122" i="3"/>
  <c r="DU122" i="3"/>
  <c r="DT122" i="3"/>
  <c r="DS122" i="3"/>
  <c r="DW122" i="3" s="1"/>
  <c r="DV121" i="3"/>
  <c r="DU121" i="3"/>
  <c r="DT121" i="3"/>
  <c r="DS121" i="3"/>
  <c r="DW121" i="3" s="1"/>
  <c r="DV120" i="3"/>
  <c r="DU120" i="3"/>
  <c r="DT120" i="3"/>
  <c r="DS120" i="3"/>
  <c r="DW120" i="3" s="1"/>
  <c r="DV119" i="3"/>
  <c r="DU119" i="3"/>
  <c r="DT119" i="3"/>
  <c r="DS119" i="3"/>
  <c r="DW119" i="3" s="1"/>
  <c r="DV118" i="3"/>
  <c r="DU118" i="3"/>
  <c r="DT118" i="3"/>
  <c r="DS118" i="3"/>
  <c r="DV117" i="3"/>
  <c r="DU117" i="3"/>
  <c r="DT117" i="3"/>
  <c r="DS117" i="3"/>
  <c r="DP124" i="3"/>
  <c r="DO124" i="3"/>
  <c r="DN124" i="3"/>
  <c r="DM124" i="3"/>
  <c r="DQ124" i="3" s="1"/>
  <c r="DM123" i="3"/>
  <c r="DM122" i="3"/>
  <c r="DM121" i="3"/>
  <c r="DN120" i="3"/>
  <c r="DM120" i="3"/>
  <c r="DP119" i="3"/>
  <c r="DO119" i="3"/>
  <c r="DN119" i="3"/>
  <c r="DM119" i="3"/>
  <c r="DP118" i="3"/>
  <c r="DO118" i="3"/>
  <c r="DN118" i="3"/>
  <c r="DM118" i="3"/>
  <c r="DQ118" i="3" s="1"/>
  <c r="DP117" i="3"/>
  <c r="DO117" i="3"/>
  <c r="DN117" i="3"/>
  <c r="DM117" i="3"/>
  <c r="DQ117" i="3" s="1"/>
  <c r="DJ124" i="3"/>
  <c r="DI124" i="3"/>
  <c r="DH124" i="3"/>
  <c r="DG124" i="3"/>
  <c r="DK124" i="3" s="1"/>
  <c r="DG123" i="3"/>
  <c r="DG122" i="3"/>
  <c r="DG121" i="3"/>
  <c r="DJ120" i="3"/>
  <c r="DI120" i="3"/>
  <c r="DH120" i="3"/>
  <c r="DG120" i="3"/>
  <c r="DK120" i="3" s="1"/>
  <c r="DJ119" i="3"/>
  <c r="DI119" i="3"/>
  <c r="DH119" i="3"/>
  <c r="DG119" i="3"/>
  <c r="DK119" i="3" s="1"/>
  <c r="DJ118" i="3"/>
  <c r="DI118" i="3"/>
  <c r="DH118" i="3"/>
  <c r="DG118" i="3"/>
  <c r="DK118" i="3" s="1"/>
  <c r="DJ117" i="3"/>
  <c r="DI117" i="3"/>
  <c r="DH117" i="3"/>
  <c r="DG117" i="3"/>
  <c r="DD124" i="3"/>
  <c r="DC124" i="3"/>
  <c r="DB124" i="3"/>
  <c r="DA124" i="3"/>
  <c r="DE124" i="3" s="1"/>
  <c r="DA123" i="3"/>
  <c r="DA122" i="3"/>
  <c r="DA121" i="3"/>
  <c r="DD120" i="3"/>
  <c r="DA120" i="3"/>
  <c r="DD119" i="3"/>
  <c r="DC119" i="3"/>
  <c r="DD118" i="3"/>
  <c r="DC118" i="3"/>
  <c r="DB118" i="3"/>
  <c r="DA118" i="3"/>
  <c r="DE118" i="3" s="1"/>
  <c r="DD117" i="3"/>
  <c r="DC117" i="3"/>
  <c r="CX124" i="3"/>
  <c r="CW124" i="3"/>
  <c r="CV124" i="3"/>
  <c r="CU124" i="3"/>
  <c r="CY124" i="3" s="1"/>
  <c r="CU123" i="3"/>
  <c r="CU122" i="3"/>
  <c r="CU121" i="3"/>
  <c r="CX120" i="3"/>
  <c r="CW120" i="3"/>
  <c r="CV120" i="3"/>
  <c r="CU120" i="3"/>
  <c r="CY120" i="3" s="1"/>
  <c r="CV119" i="3"/>
  <c r="CU119" i="3"/>
  <c r="CX118" i="3"/>
  <c r="CW118" i="3"/>
  <c r="CV118" i="3"/>
  <c r="CU118" i="3"/>
  <c r="CY118" i="3" s="1"/>
  <c r="CV117" i="3"/>
  <c r="CU117" i="3"/>
  <c r="CQ124" i="3"/>
  <c r="CP124" i="3"/>
  <c r="CO124" i="3"/>
  <c r="CO123" i="3"/>
  <c r="CO122" i="3"/>
  <c r="CO121" i="3"/>
  <c r="CR120" i="3"/>
  <c r="CQ120" i="3"/>
  <c r="CP120" i="3"/>
  <c r="CO120" i="3"/>
  <c r="CS120" i="3" s="1"/>
  <c r="CR119" i="3"/>
  <c r="CQ119" i="3"/>
  <c r="CP119" i="3"/>
  <c r="CO119" i="3"/>
  <c r="CR118" i="3"/>
  <c r="CQ118" i="3"/>
  <c r="CP118" i="3"/>
  <c r="CO118" i="3"/>
  <c r="CS118" i="3" s="1"/>
  <c r="CR117" i="3"/>
  <c r="CQ117" i="3"/>
  <c r="CP117" i="3"/>
  <c r="CO117" i="3"/>
  <c r="CS117" i="3" s="1"/>
  <c r="CL124" i="3"/>
  <c r="CI124" i="3"/>
  <c r="CI123" i="3"/>
  <c r="CI122" i="3"/>
  <c r="CI121" i="3"/>
  <c r="CL120" i="3"/>
  <c r="CI120" i="3"/>
  <c r="CL119" i="3"/>
  <c r="CI119" i="3"/>
  <c r="CL118" i="3"/>
  <c r="CK118" i="3"/>
  <c r="CJ118" i="3"/>
  <c r="CI118" i="3"/>
  <c r="CM118" i="3" s="1"/>
  <c r="CL117" i="3"/>
  <c r="CK117" i="3"/>
  <c r="CJ117" i="3"/>
  <c r="CI117" i="3"/>
  <c r="CC124" i="3"/>
  <c r="CC123" i="3"/>
  <c r="CC122" i="3"/>
  <c r="CC121" i="3"/>
  <c r="CC120" i="3"/>
  <c r="CE119" i="3"/>
  <c r="CD119" i="3"/>
  <c r="CC119" i="3"/>
  <c r="CD118" i="3"/>
  <c r="CC118" i="3"/>
  <c r="CF117" i="3"/>
  <c r="CE117" i="3"/>
  <c r="CD117" i="3"/>
  <c r="CC117" i="3"/>
  <c r="CG117" i="3" s="1"/>
  <c r="BW124" i="3"/>
  <c r="BW123" i="3"/>
  <c r="BW122" i="3"/>
  <c r="BW121" i="3"/>
  <c r="BW120" i="3"/>
  <c r="BZ119" i="3"/>
  <c r="BY119" i="3"/>
  <c r="BX119" i="3"/>
  <c r="BW119" i="3"/>
  <c r="CA119" i="3" s="1"/>
  <c r="BZ118" i="3"/>
  <c r="BY118" i="3"/>
  <c r="BX118" i="3"/>
  <c r="BW118" i="3"/>
  <c r="CA118" i="3" s="1"/>
  <c r="BZ117" i="3"/>
  <c r="BY117" i="3"/>
  <c r="BX117" i="3"/>
  <c r="BW117" i="3"/>
  <c r="CA117" i="3" s="1"/>
  <c r="BT124" i="3"/>
  <c r="BS124" i="3"/>
  <c r="BR124" i="3"/>
  <c r="BQ124" i="3"/>
  <c r="BU124" i="3" s="1"/>
  <c r="BT123" i="3"/>
  <c r="BS123" i="3"/>
  <c r="BR123" i="3"/>
  <c r="BQ123" i="3"/>
  <c r="BU123" i="3" s="1"/>
  <c r="BT122" i="3"/>
  <c r="BS122" i="3"/>
  <c r="BR122" i="3"/>
  <c r="BQ122" i="3"/>
  <c r="BU122" i="3" s="1"/>
  <c r="BT121" i="3"/>
  <c r="BS121" i="3"/>
  <c r="BR121" i="3"/>
  <c r="BQ121" i="3"/>
  <c r="BU121" i="3" s="1"/>
  <c r="BT120" i="3"/>
  <c r="BS120" i="3"/>
  <c r="BR120" i="3"/>
  <c r="BQ120" i="3"/>
  <c r="BU120" i="3" s="1"/>
  <c r="BT119" i="3"/>
  <c r="BS119" i="3"/>
  <c r="BR119" i="3"/>
  <c r="BQ119" i="3"/>
  <c r="BU119" i="3" s="1"/>
  <c r="BT118" i="3"/>
  <c r="BS118" i="3"/>
  <c r="BR118" i="3"/>
  <c r="BQ118" i="3"/>
  <c r="BU118" i="3" s="1"/>
  <c r="BT117" i="3"/>
  <c r="BS117" i="3"/>
  <c r="BR117" i="3"/>
  <c r="BQ117" i="3"/>
  <c r="BU117" i="3" s="1"/>
  <c r="BK124" i="3"/>
  <c r="BK123" i="3"/>
  <c r="BK122" i="3"/>
  <c r="BK121" i="3"/>
  <c r="BK120" i="3"/>
  <c r="BK119" i="3"/>
  <c r="BN118" i="3"/>
  <c r="BM118" i="3"/>
  <c r="BL118" i="3"/>
  <c r="BK118" i="3"/>
  <c r="BO118" i="3" s="1"/>
  <c r="BK117" i="3"/>
  <c r="BK116" i="3"/>
  <c r="BG124" i="3"/>
  <c r="BF124" i="3"/>
  <c r="BE124" i="3"/>
  <c r="BF123" i="3"/>
  <c r="BE123" i="3"/>
  <c r="BF122" i="3"/>
  <c r="BE122" i="3"/>
  <c r="BF121" i="3"/>
  <c r="BE121" i="3"/>
  <c r="BF120" i="3"/>
  <c r="BE120" i="3"/>
  <c r="BE119" i="3"/>
  <c r="BH118" i="3"/>
  <c r="BG118" i="3"/>
  <c r="BF118" i="3"/>
  <c r="BE118" i="3"/>
  <c r="BI118" i="3" s="1"/>
  <c r="BE117" i="3"/>
  <c r="BE125" i="3" s="1"/>
  <c r="BE116" i="3"/>
  <c r="AY124" i="3"/>
  <c r="BB123" i="3"/>
  <c r="BA123" i="3"/>
  <c r="AZ123" i="3"/>
  <c r="AY123" i="3"/>
  <c r="BC123" i="3" s="1"/>
  <c r="BB122" i="3"/>
  <c r="BA122" i="3"/>
  <c r="AZ122" i="3"/>
  <c r="AY122" i="3"/>
  <c r="BC122" i="3" s="1"/>
  <c r="BB121" i="3"/>
  <c r="BA121" i="3"/>
  <c r="AZ121" i="3"/>
  <c r="AY121" i="3"/>
  <c r="BC121" i="3" s="1"/>
  <c r="BB120" i="3"/>
  <c r="BA120" i="3"/>
  <c r="AZ120" i="3"/>
  <c r="AY120" i="3"/>
  <c r="BC120" i="3" s="1"/>
  <c r="AY119" i="3"/>
  <c r="BB118" i="3"/>
  <c r="BA118" i="3"/>
  <c r="AZ118" i="3"/>
  <c r="AY118" i="3"/>
  <c r="BC118" i="3" s="1"/>
  <c r="AY117" i="3"/>
  <c r="AY116" i="3"/>
  <c r="AV124" i="3"/>
  <c r="AU124" i="3"/>
  <c r="AT124" i="3"/>
  <c r="AS124" i="3"/>
  <c r="AW124" i="3" s="1"/>
  <c r="AV123" i="3"/>
  <c r="AU123" i="3"/>
  <c r="AT123" i="3"/>
  <c r="AS123" i="3"/>
  <c r="AW123" i="3" s="1"/>
  <c r="AV122" i="3"/>
  <c r="AU122" i="3"/>
  <c r="AT122" i="3"/>
  <c r="AS122" i="3"/>
  <c r="AW122" i="3" s="1"/>
  <c r="AV121" i="3"/>
  <c r="AU121" i="3"/>
  <c r="AT121" i="3"/>
  <c r="AS121" i="3"/>
  <c r="AW121" i="3" s="1"/>
  <c r="AV120" i="3"/>
  <c r="AU120" i="3"/>
  <c r="AT120" i="3"/>
  <c r="AS120" i="3"/>
  <c r="AW120" i="3" s="1"/>
  <c r="AV119" i="3"/>
  <c r="AU119" i="3"/>
  <c r="AT119" i="3"/>
  <c r="AS119" i="3"/>
  <c r="AW119" i="3" s="1"/>
  <c r="AV118" i="3"/>
  <c r="AU118" i="3"/>
  <c r="AT118" i="3"/>
  <c r="AS118" i="3"/>
  <c r="AW118" i="3" s="1"/>
  <c r="AV117" i="3"/>
  <c r="AV125" i="3" s="1"/>
  <c r="AU117" i="3"/>
  <c r="AT117" i="3"/>
  <c r="AS117" i="3"/>
  <c r="AS125" i="3" s="1"/>
  <c r="AV116" i="3"/>
  <c r="AU116" i="3"/>
  <c r="AU125" i="3" s="1"/>
  <c r="AT116" i="3"/>
  <c r="AT125" i="3" s="1"/>
  <c r="AS116" i="3"/>
  <c r="AW116" i="3" s="1"/>
  <c r="AP124" i="3"/>
  <c r="AO124" i="3"/>
  <c r="AN124" i="3"/>
  <c r="AM124" i="3"/>
  <c r="AQ124" i="3" s="1"/>
  <c r="AP123" i="3"/>
  <c r="AO123" i="3"/>
  <c r="AN123" i="3"/>
  <c r="AM123" i="3"/>
  <c r="AQ123" i="3" s="1"/>
  <c r="AP122" i="3"/>
  <c r="AO122" i="3"/>
  <c r="AN122" i="3"/>
  <c r="AM122" i="3"/>
  <c r="AQ122" i="3" s="1"/>
  <c r="AP121" i="3"/>
  <c r="AO121" i="3"/>
  <c r="AN121" i="3"/>
  <c r="AM121" i="3"/>
  <c r="AQ121" i="3" s="1"/>
  <c r="AP120" i="3"/>
  <c r="AO120" i="3"/>
  <c r="AN120" i="3"/>
  <c r="AM120" i="3"/>
  <c r="AQ120" i="3" s="1"/>
  <c r="AP119" i="3"/>
  <c r="AO119" i="3"/>
  <c r="AN119" i="3"/>
  <c r="AM119" i="3"/>
  <c r="AQ119" i="3" s="1"/>
  <c r="AP118" i="3"/>
  <c r="AO118" i="3"/>
  <c r="AN118" i="3"/>
  <c r="AM118" i="3"/>
  <c r="AQ118" i="3" s="1"/>
  <c r="AP117" i="3"/>
  <c r="AO117" i="3"/>
  <c r="AO125" i="3" s="1"/>
  <c r="AN117" i="3"/>
  <c r="AN125" i="3" s="1"/>
  <c r="AM117" i="3"/>
  <c r="AQ117" i="3" s="1"/>
  <c r="AO116" i="3"/>
  <c r="AN116" i="3"/>
  <c r="AM116" i="3"/>
  <c r="AJ124" i="3"/>
  <c r="AI124" i="3"/>
  <c r="AH124" i="3"/>
  <c r="AG124" i="3"/>
  <c r="AK124" i="3" s="1"/>
  <c r="AJ123" i="3"/>
  <c r="AI123" i="3"/>
  <c r="AH123" i="3"/>
  <c r="AG123" i="3"/>
  <c r="AK123" i="3" s="1"/>
  <c r="AJ122" i="3"/>
  <c r="AI122" i="3"/>
  <c r="AH122" i="3"/>
  <c r="AG122" i="3"/>
  <c r="AK122" i="3" s="1"/>
  <c r="AJ121" i="3"/>
  <c r="AI121" i="3"/>
  <c r="AH121" i="3"/>
  <c r="AG121" i="3"/>
  <c r="AK121" i="3" s="1"/>
  <c r="AJ120" i="3"/>
  <c r="AI120" i="3"/>
  <c r="AH120" i="3"/>
  <c r="AG120" i="3"/>
  <c r="AK120" i="3" s="1"/>
  <c r="AJ119" i="3"/>
  <c r="AI119" i="3"/>
  <c r="AH119" i="3"/>
  <c r="AG119" i="3"/>
  <c r="AK119" i="3" s="1"/>
  <c r="AJ118" i="3"/>
  <c r="AI118" i="3"/>
  <c r="AH118" i="3"/>
  <c r="AG118" i="3"/>
  <c r="AK118" i="3" s="1"/>
  <c r="AJ117" i="3"/>
  <c r="AJ125" i="3" s="1"/>
  <c r="AI117" i="3"/>
  <c r="AH117" i="3"/>
  <c r="AG117" i="3"/>
  <c r="AG125" i="3" s="1"/>
  <c r="AJ116" i="3"/>
  <c r="AI116" i="3"/>
  <c r="AI125" i="3" s="1"/>
  <c r="AH116" i="3"/>
  <c r="AH125" i="3" s="1"/>
  <c r="AG116" i="3"/>
  <c r="AK116" i="3" s="1"/>
  <c r="AD124" i="3"/>
  <c r="AC124" i="3"/>
  <c r="AB124" i="3"/>
  <c r="AA124" i="3"/>
  <c r="AE124" i="3" s="1"/>
  <c r="AD123" i="3"/>
  <c r="AC123" i="3"/>
  <c r="AB123" i="3"/>
  <c r="AA123" i="3"/>
  <c r="AE123" i="3" s="1"/>
  <c r="AD122" i="3"/>
  <c r="AC122" i="3"/>
  <c r="AB122" i="3"/>
  <c r="AA122" i="3"/>
  <c r="AE122" i="3" s="1"/>
  <c r="AD121" i="3"/>
  <c r="AC121" i="3"/>
  <c r="AB121" i="3"/>
  <c r="AA121" i="3"/>
  <c r="AE121" i="3" s="1"/>
  <c r="AD120" i="3"/>
  <c r="AC120" i="3"/>
  <c r="AB120" i="3"/>
  <c r="AA120" i="3"/>
  <c r="AE120" i="3" s="1"/>
  <c r="AD119" i="3"/>
  <c r="AC119" i="3"/>
  <c r="AB119" i="3"/>
  <c r="AA119" i="3"/>
  <c r="AE119" i="3" s="1"/>
  <c r="AD118" i="3"/>
  <c r="AC118" i="3"/>
  <c r="AB118" i="3"/>
  <c r="AA118" i="3"/>
  <c r="AE118" i="3" s="1"/>
  <c r="AD117" i="3"/>
  <c r="AC117" i="3"/>
  <c r="AC125" i="3" s="1"/>
  <c r="AB117" i="3"/>
  <c r="AB125" i="3" s="1"/>
  <c r="AA117" i="3"/>
  <c r="AE117" i="3" s="1"/>
  <c r="AC116" i="3"/>
  <c r="AB116" i="3"/>
  <c r="AA116" i="3"/>
  <c r="X124" i="3"/>
  <c r="W124" i="3"/>
  <c r="V124" i="3"/>
  <c r="U124" i="3"/>
  <c r="X123" i="3"/>
  <c r="W123" i="3"/>
  <c r="V123" i="3"/>
  <c r="U123" i="3"/>
  <c r="X122" i="3"/>
  <c r="W122" i="3"/>
  <c r="V122" i="3"/>
  <c r="U122" i="3"/>
  <c r="X121" i="3"/>
  <c r="W121" i="3"/>
  <c r="V121" i="3"/>
  <c r="U121" i="3"/>
  <c r="Y121" i="3" s="1"/>
  <c r="X120" i="3"/>
  <c r="W120" i="3"/>
  <c r="V120" i="3"/>
  <c r="U120" i="3"/>
  <c r="Y120" i="3" s="1"/>
  <c r="X119" i="3"/>
  <c r="W119" i="3"/>
  <c r="V119" i="3"/>
  <c r="U119" i="3"/>
  <c r="X118" i="3"/>
  <c r="W118" i="3"/>
  <c r="V118" i="3"/>
  <c r="U118" i="3"/>
  <c r="X117" i="3"/>
  <c r="W117" i="3"/>
  <c r="V117" i="3"/>
  <c r="U117" i="3"/>
  <c r="Y117" i="3" s="1"/>
  <c r="W116" i="3"/>
  <c r="W125" i="3" s="1"/>
  <c r="V116" i="3"/>
  <c r="U116" i="3"/>
  <c r="R124" i="3"/>
  <c r="Q124" i="3"/>
  <c r="P124" i="3"/>
  <c r="O124" i="3"/>
  <c r="R123" i="3"/>
  <c r="Q123" i="3"/>
  <c r="P123" i="3"/>
  <c r="O123" i="3"/>
  <c r="S123" i="3" s="1"/>
  <c r="R122" i="3"/>
  <c r="Q122" i="3"/>
  <c r="P122" i="3"/>
  <c r="O122" i="3"/>
  <c r="S122" i="3" s="1"/>
  <c r="R121" i="3"/>
  <c r="Q121" i="3"/>
  <c r="P121" i="3"/>
  <c r="O121" i="3"/>
  <c r="S121" i="3" s="1"/>
  <c r="R120" i="3"/>
  <c r="Q120" i="3"/>
  <c r="P120" i="3"/>
  <c r="O120" i="3"/>
  <c r="S120" i="3" s="1"/>
  <c r="R119" i="3"/>
  <c r="Q119" i="3"/>
  <c r="P119" i="3"/>
  <c r="O119" i="3"/>
  <c r="S119" i="3" s="1"/>
  <c r="R118" i="3"/>
  <c r="Q118" i="3"/>
  <c r="P118" i="3"/>
  <c r="O118" i="3"/>
  <c r="R117" i="3"/>
  <c r="Q117" i="3"/>
  <c r="Q125" i="3" s="1"/>
  <c r="P117" i="3"/>
  <c r="P125" i="3" s="1"/>
  <c r="O117" i="3"/>
  <c r="Q116" i="3"/>
  <c r="P116" i="3"/>
  <c r="O116" i="3"/>
  <c r="DY112" i="3"/>
  <c r="DY111" i="3"/>
  <c r="DY110" i="3"/>
  <c r="DY109" i="3"/>
  <c r="DY108" i="3"/>
  <c r="DY107" i="3"/>
  <c r="DY106" i="3"/>
  <c r="DV112" i="3"/>
  <c r="DU112" i="3"/>
  <c r="DT112" i="3"/>
  <c r="DS112" i="3"/>
  <c r="DV111" i="3"/>
  <c r="DU111" i="3"/>
  <c r="DT111" i="3"/>
  <c r="DS111" i="3"/>
  <c r="DV110" i="3"/>
  <c r="DU110" i="3"/>
  <c r="DT110" i="3"/>
  <c r="DS110" i="3"/>
  <c r="DV109" i="3"/>
  <c r="DU109" i="3"/>
  <c r="DT109" i="3"/>
  <c r="DS109" i="3"/>
  <c r="DV108" i="3"/>
  <c r="DU108" i="3"/>
  <c r="DT108" i="3"/>
  <c r="DS108" i="3"/>
  <c r="DV107" i="3"/>
  <c r="DU107" i="3"/>
  <c r="DT107" i="3"/>
  <c r="DS107" i="3"/>
  <c r="DV106" i="3"/>
  <c r="DV105" i="3" s="1"/>
  <c r="DU106" i="3"/>
  <c r="DT106" i="3"/>
  <c r="DS106" i="3"/>
  <c r="DS105" i="3" s="1"/>
  <c r="DP112" i="3"/>
  <c r="DP111" i="3"/>
  <c r="DP110" i="3"/>
  <c r="DP109" i="3"/>
  <c r="DP108" i="3"/>
  <c r="DP107" i="3"/>
  <c r="DP106" i="3"/>
  <c r="BT112" i="3"/>
  <c r="BU112" i="3" s="1"/>
  <c r="BT111" i="3"/>
  <c r="BU111" i="3" s="1"/>
  <c r="BT110" i="3"/>
  <c r="BU110" i="3" s="1"/>
  <c r="BT109" i="3"/>
  <c r="BU109" i="3" s="1"/>
  <c r="BT108" i="3"/>
  <c r="BU108" i="3" s="1"/>
  <c r="BT107" i="3"/>
  <c r="BU107" i="3" s="1"/>
  <c r="BT106" i="3"/>
  <c r="BU106" i="3" s="1"/>
  <c r="BT105" i="3"/>
  <c r="BS105" i="3"/>
  <c r="BR105" i="3"/>
  <c r="BQ105" i="3"/>
  <c r="BU105" i="3" s="1"/>
  <c r="BN112" i="3"/>
  <c r="BN111" i="3"/>
  <c r="BN110" i="3"/>
  <c r="BN109" i="3"/>
  <c r="BN108" i="3"/>
  <c r="BN107" i="3"/>
  <c r="BN106" i="3"/>
  <c r="BK105" i="3"/>
  <c r="BE105" i="3"/>
  <c r="AY105" i="3"/>
  <c r="AU105" i="3"/>
  <c r="AT105" i="3"/>
  <c r="AS105" i="3"/>
  <c r="AP112" i="3"/>
  <c r="AQ112" i="3" s="1"/>
  <c r="AP111" i="3"/>
  <c r="AQ111" i="3" s="1"/>
  <c r="AP110" i="3"/>
  <c r="AQ110" i="3" s="1"/>
  <c r="AP109" i="3"/>
  <c r="AQ109" i="3" s="1"/>
  <c r="AP108" i="3"/>
  <c r="AQ108" i="3" s="1"/>
  <c r="AP107" i="3"/>
  <c r="AQ107" i="3" s="1"/>
  <c r="AP106" i="3"/>
  <c r="AQ106" i="3" s="1"/>
  <c r="AO105" i="3"/>
  <c r="AN105" i="3"/>
  <c r="AM105" i="3"/>
  <c r="AJ105" i="3"/>
  <c r="AI105" i="3"/>
  <c r="AH105" i="3"/>
  <c r="AG105" i="3"/>
  <c r="AK105" i="3" s="1"/>
  <c r="AC105" i="3"/>
  <c r="AB105" i="3"/>
  <c r="AA105" i="3"/>
  <c r="W105" i="3"/>
  <c r="V105" i="3"/>
  <c r="U105" i="3"/>
  <c r="Q105" i="3"/>
  <c r="P105" i="3"/>
  <c r="O105" i="3"/>
  <c r="EK103" i="3"/>
  <c r="EK102" i="3"/>
  <c r="EK101" i="3"/>
  <c r="EK100" i="3"/>
  <c r="EK99" i="3"/>
  <c r="EK98" i="3"/>
  <c r="EK97" i="3"/>
  <c r="EK96" i="3"/>
  <c r="EK95" i="3"/>
  <c r="EK94" i="3"/>
  <c r="EK93" i="3"/>
  <c r="EK92" i="3"/>
  <c r="EN90" i="3"/>
  <c r="EM90" i="3"/>
  <c r="EL90" i="3"/>
  <c r="EK90" i="3"/>
  <c r="EO90" i="3" s="1"/>
  <c r="EE103" i="3"/>
  <c r="EE102" i="3"/>
  <c r="EE101" i="3"/>
  <c r="EE100" i="3"/>
  <c r="EE99" i="3"/>
  <c r="EE98" i="3"/>
  <c r="EE97" i="3"/>
  <c r="EE96" i="3"/>
  <c r="EE95" i="3"/>
  <c r="EE94" i="3"/>
  <c r="EE93" i="3"/>
  <c r="EE92" i="3"/>
  <c r="EH90" i="3"/>
  <c r="EG90" i="3"/>
  <c r="EF90" i="3"/>
  <c r="EE90" i="3"/>
  <c r="EI90" i="3" s="1"/>
  <c r="DY103" i="3"/>
  <c r="DY102" i="3"/>
  <c r="DY101" i="3"/>
  <c r="DY100" i="3"/>
  <c r="DY99" i="3"/>
  <c r="DY98" i="3"/>
  <c r="DY97" i="3"/>
  <c r="DY96" i="3"/>
  <c r="DY95" i="3"/>
  <c r="DY94" i="3"/>
  <c r="DY93" i="3"/>
  <c r="DY92" i="3"/>
  <c r="DY91" i="3"/>
  <c r="EB90" i="3"/>
  <c r="EA90" i="3"/>
  <c r="DZ90" i="3"/>
  <c r="DY90" i="3"/>
  <c r="DY89" i="3"/>
  <c r="DY88" i="3"/>
  <c r="DV103" i="3"/>
  <c r="DU103" i="3"/>
  <c r="DT103" i="3"/>
  <c r="DS103" i="3"/>
  <c r="DW103" i="3" s="1"/>
  <c r="DU102" i="3"/>
  <c r="DT102" i="3"/>
  <c r="DS102" i="3"/>
  <c r="DU101" i="3"/>
  <c r="DT101" i="3"/>
  <c r="DS101" i="3"/>
  <c r="DU100" i="3"/>
  <c r="DT100" i="3"/>
  <c r="DS100" i="3"/>
  <c r="DU99" i="3"/>
  <c r="DT99" i="3"/>
  <c r="DS99" i="3"/>
  <c r="DU98" i="3"/>
  <c r="DT98" i="3"/>
  <c r="DS98" i="3"/>
  <c r="DU97" i="3"/>
  <c r="DT97" i="3"/>
  <c r="DS97" i="3"/>
  <c r="DU96" i="3"/>
  <c r="DT96" i="3"/>
  <c r="DS96" i="3"/>
  <c r="DU95" i="3"/>
  <c r="DT95" i="3"/>
  <c r="DS95" i="3"/>
  <c r="DU94" i="3"/>
  <c r="DT94" i="3"/>
  <c r="DS94" i="3"/>
  <c r="DU93" i="3"/>
  <c r="DT93" i="3"/>
  <c r="DS93" i="3"/>
  <c r="DU92" i="3"/>
  <c r="DT92" i="3"/>
  <c r="DS92" i="3"/>
  <c r="DV91" i="3"/>
  <c r="DU91" i="3"/>
  <c r="DT91" i="3"/>
  <c r="DS91" i="3"/>
  <c r="DW91" i="3" s="1"/>
  <c r="DV90" i="3"/>
  <c r="DU90" i="3"/>
  <c r="DT90" i="3"/>
  <c r="DS90" i="3"/>
  <c r="DW90" i="3" s="1"/>
  <c r="DV89" i="3"/>
  <c r="DU89" i="3"/>
  <c r="DT89" i="3"/>
  <c r="DS89" i="3"/>
  <c r="DW89" i="3" s="1"/>
  <c r="DV88" i="3"/>
  <c r="DU88" i="3"/>
  <c r="DT88" i="3"/>
  <c r="DS88" i="3"/>
  <c r="DW88" i="3" s="1"/>
  <c r="DP103" i="3"/>
  <c r="DO103" i="3"/>
  <c r="DN103" i="3"/>
  <c r="DM103" i="3"/>
  <c r="DQ103" i="3" s="1"/>
  <c r="DM102" i="3"/>
  <c r="DM101" i="3"/>
  <c r="DM100" i="3"/>
  <c r="DM99" i="3"/>
  <c r="DM98" i="3"/>
  <c r="DM97" i="3"/>
  <c r="DM96" i="3"/>
  <c r="DM95" i="3"/>
  <c r="DM94" i="3"/>
  <c r="DM93" i="3"/>
  <c r="DM92" i="3"/>
  <c r="DM91" i="3"/>
  <c r="DP90" i="3"/>
  <c r="DO90" i="3"/>
  <c r="DN90" i="3"/>
  <c r="DM90" i="3"/>
  <c r="DQ90" i="3" s="1"/>
  <c r="DP89" i="3"/>
  <c r="DO89" i="3"/>
  <c r="DN89" i="3"/>
  <c r="DM89" i="3"/>
  <c r="DQ89" i="3" s="1"/>
  <c r="DP88" i="3"/>
  <c r="DO88" i="3"/>
  <c r="DN88" i="3"/>
  <c r="DM88" i="3"/>
  <c r="DQ88" i="3" s="1"/>
  <c r="DJ103" i="3"/>
  <c r="DI103" i="3"/>
  <c r="DH103" i="3"/>
  <c r="DG103" i="3"/>
  <c r="DK103" i="3" s="1"/>
  <c r="DJ102" i="3"/>
  <c r="DI102" i="3"/>
  <c r="DH102" i="3"/>
  <c r="DG102" i="3"/>
  <c r="DK102" i="3" s="1"/>
  <c r="DJ101" i="3"/>
  <c r="DI101" i="3"/>
  <c r="DH101" i="3"/>
  <c r="DG101" i="3"/>
  <c r="DK101" i="3" s="1"/>
  <c r="DJ100" i="3"/>
  <c r="DI100" i="3"/>
  <c r="DH100" i="3"/>
  <c r="DG100" i="3"/>
  <c r="DK100" i="3" s="1"/>
  <c r="DJ99" i="3"/>
  <c r="DI99" i="3"/>
  <c r="DH99" i="3"/>
  <c r="DG99" i="3"/>
  <c r="DK99" i="3" s="1"/>
  <c r="DJ98" i="3"/>
  <c r="DI98" i="3"/>
  <c r="DH98" i="3"/>
  <c r="DG98" i="3"/>
  <c r="DK98" i="3" s="1"/>
  <c r="DJ97" i="3"/>
  <c r="DI97" i="3"/>
  <c r="DH97" i="3"/>
  <c r="DG97" i="3"/>
  <c r="DK97" i="3" s="1"/>
  <c r="DJ96" i="3"/>
  <c r="DI96" i="3"/>
  <c r="DH96" i="3"/>
  <c r="DG96" i="3"/>
  <c r="DK96" i="3" s="1"/>
  <c r="DJ95" i="3"/>
  <c r="DI95" i="3"/>
  <c r="DH95" i="3"/>
  <c r="DG95" i="3"/>
  <c r="DK95" i="3" s="1"/>
  <c r="DJ94" i="3"/>
  <c r="DI94" i="3"/>
  <c r="DH94" i="3"/>
  <c r="DG94" i="3"/>
  <c r="DK94" i="3" s="1"/>
  <c r="DJ93" i="3"/>
  <c r="DI93" i="3"/>
  <c r="DH93" i="3"/>
  <c r="DG93" i="3"/>
  <c r="DK93" i="3" s="1"/>
  <c r="DJ92" i="3"/>
  <c r="DI92" i="3"/>
  <c r="DH92" i="3"/>
  <c r="DG92" i="3"/>
  <c r="DK92" i="3" s="1"/>
  <c r="DJ91" i="3"/>
  <c r="DI91" i="3"/>
  <c r="DH91" i="3"/>
  <c r="DG91" i="3"/>
  <c r="DK91" i="3" s="1"/>
  <c r="DJ90" i="3"/>
  <c r="DI90" i="3"/>
  <c r="DH90" i="3"/>
  <c r="DG90" i="3"/>
  <c r="DK90" i="3" s="1"/>
  <c r="DJ89" i="3"/>
  <c r="DI89" i="3"/>
  <c r="DH89" i="3"/>
  <c r="DG89" i="3"/>
  <c r="DK89" i="3" s="1"/>
  <c r="DJ88" i="3"/>
  <c r="DI88" i="3"/>
  <c r="DH88" i="3"/>
  <c r="DG88" i="3"/>
  <c r="DK88" i="3" s="1"/>
  <c r="DB103" i="3"/>
  <c r="DA103" i="3"/>
  <c r="DA102" i="3"/>
  <c r="DA101" i="3"/>
  <c r="DA100" i="3"/>
  <c r="DA99" i="3"/>
  <c r="DA98" i="3"/>
  <c r="DA97" i="3"/>
  <c r="DA96" i="3"/>
  <c r="DA95" i="3"/>
  <c r="DA94" i="3"/>
  <c r="DA93" i="3"/>
  <c r="DA92" i="3"/>
  <c r="DD91" i="3"/>
  <c r="DC91" i="3"/>
  <c r="DB91" i="3"/>
  <c r="DA91" i="3"/>
  <c r="DE91" i="3" s="1"/>
  <c r="DD90" i="3"/>
  <c r="DC90" i="3"/>
  <c r="DB90" i="3"/>
  <c r="DA90" i="3"/>
  <c r="DE90" i="3" s="1"/>
  <c r="DD89" i="3"/>
  <c r="DC89" i="3"/>
  <c r="DB89" i="3"/>
  <c r="DA89" i="3"/>
  <c r="DE89" i="3" s="1"/>
  <c r="DD88" i="3"/>
  <c r="DC88" i="3"/>
  <c r="DB88" i="3"/>
  <c r="DA88" i="3"/>
  <c r="DE88" i="3" s="1"/>
  <c r="CX103" i="3"/>
  <c r="CW103" i="3"/>
  <c r="CV103" i="3"/>
  <c r="CU103" i="3"/>
  <c r="CY103" i="3" s="1"/>
  <c r="CX102" i="3"/>
  <c r="CU102" i="3"/>
  <c r="CX101" i="3"/>
  <c r="CU101" i="3"/>
  <c r="CX100" i="3"/>
  <c r="CU100" i="3"/>
  <c r="CX99" i="3"/>
  <c r="CU99" i="3"/>
  <c r="CX98" i="3"/>
  <c r="CU98" i="3"/>
  <c r="CX97" i="3"/>
  <c r="CU97" i="3"/>
  <c r="CX96" i="3"/>
  <c r="CU96" i="3"/>
  <c r="CX95" i="3"/>
  <c r="CU95" i="3"/>
  <c r="CX94" i="3"/>
  <c r="CU94" i="3"/>
  <c r="CX93" i="3"/>
  <c r="CU93" i="3"/>
  <c r="CX92" i="3"/>
  <c r="CW92" i="3"/>
  <c r="CV92" i="3"/>
  <c r="CU92" i="3"/>
  <c r="CY92" i="3" s="1"/>
  <c r="CX91" i="3"/>
  <c r="CW91" i="3"/>
  <c r="CV91" i="3"/>
  <c r="CU91" i="3"/>
  <c r="CY91" i="3" s="1"/>
  <c r="CX90" i="3"/>
  <c r="CW90" i="3"/>
  <c r="CV90" i="3"/>
  <c r="CU90" i="3"/>
  <c r="CY90" i="3" s="1"/>
  <c r="CX89" i="3"/>
  <c r="CW89" i="3"/>
  <c r="CV89" i="3"/>
  <c r="CU89" i="3"/>
  <c r="CY89" i="3" s="1"/>
  <c r="CX88" i="3"/>
  <c r="CW88" i="3"/>
  <c r="CV88" i="3"/>
  <c r="CU88" i="3"/>
  <c r="CY88" i="3" s="1"/>
  <c r="CP102" i="3"/>
  <c r="CO102" i="3"/>
  <c r="CP101" i="3"/>
  <c r="CO101" i="3"/>
  <c r="CP100" i="3"/>
  <c r="CO100" i="3"/>
  <c r="CP99" i="3"/>
  <c r="CO99" i="3"/>
  <c r="CP98" i="3"/>
  <c r="CO98" i="3"/>
  <c r="CP97" i="3"/>
  <c r="CO97" i="3"/>
  <c r="CP96" i="3"/>
  <c r="CO96" i="3"/>
  <c r="CP95" i="3"/>
  <c r="CO95" i="3"/>
  <c r="CQ94" i="3"/>
  <c r="CP94" i="3"/>
  <c r="CO94" i="3"/>
  <c r="CQ93" i="3"/>
  <c r="CP93" i="3"/>
  <c r="CO93" i="3"/>
  <c r="CQ92" i="3"/>
  <c r="CP92" i="3"/>
  <c r="CO92" i="3"/>
  <c r="CR91" i="3"/>
  <c r="CQ91" i="3"/>
  <c r="CP91" i="3"/>
  <c r="CO91" i="3"/>
  <c r="CS91" i="3" s="1"/>
  <c r="CR90" i="3"/>
  <c r="CQ90" i="3"/>
  <c r="CP90" i="3"/>
  <c r="CO90" i="3"/>
  <c r="CS90" i="3" s="1"/>
  <c r="CR89" i="3"/>
  <c r="CQ89" i="3"/>
  <c r="CP89" i="3"/>
  <c r="CO89" i="3"/>
  <c r="CS89" i="3" s="1"/>
  <c r="CR88" i="3"/>
  <c r="CQ88" i="3"/>
  <c r="CP88" i="3"/>
  <c r="CO88" i="3"/>
  <c r="CS88" i="3" s="1"/>
  <c r="CL102" i="3"/>
  <c r="CK102" i="3"/>
  <c r="CJ102" i="3"/>
  <c r="CI102" i="3"/>
  <c r="CM102" i="3" s="1"/>
  <c r="CL101" i="3"/>
  <c r="CK101" i="3"/>
  <c r="CJ101" i="3"/>
  <c r="CI101" i="3"/>
  <c r="CM101" i="3" s="1"/>
  <c r="CL100" i="3"/>
  <c r="CK100" i="3"/>
  <c r="CJ100" i="3"/>
  <c r="CI100" i="3"/>
  <c r="CM100" i="3" s="1"/>
  <c r="CL99" i="3"/>
  <c r="CK99" i="3"/>
  <c r="CJ99" i="3"/>
  <c r="CI99" i="3"/>
  <c r="CM99" i="3" s="1"/>
  <c r="CL98" i="3"/>
  <c r="CK98" i="3"/>
  <c r="CJ98" i="3"/>
  <c r="CI98" i="3"/>
  <c r="CM98" i="3" s="1"/>
  <c r="CL97" i="3"/>
  <c r="CK97" i="3"/>
  <c r="CJ97" i="3"/>
  <c r="CI97" i="3"/>
  <c r="CM97" i="3" s="1"/>
  <c r="CL96" i="3"/>
  <c r="CK96" i="3"/>
  <c r="CJ96" i="3"/>
  <c r="CI96" i="3"/>
  <c r="CM96" i="3" s="1"/>
  <c r="CL95" i="3"/>
  <c r="CK95" i="3"/>
  <c r="CJ95" i="3"/>
  <c r="CI95" i="3"/>
  <c r="CM95" i="3" s="1"/>
  <c r="CL94" i="3"/>
  <c r="CK94" i="3"/>
  <c r="CJ94" i="3"/>
  <c r="CI94" i="3"/>
  <c r="CM94" i="3" s="1"/>
  <c r="CL93" i="3"/>
  <c r="CK93" i="3"/>
  <c r="CJ93" i="3"/>
  <c r="CI93" i="3"/>
  <c r="CM93" i="3" s="1"/>
  <c r="CL92" i="3"/>
  <c r="CK92" i="3"/>
  <c r="CJ92" i="3"/>
  <c r="CI92" i="3"/>
  <c r="CM92" i="3" s="1"/>
  <c r="CL91" i="3"/>
  <c r="CK91" i="3"/>
  <c r="CJ91" i="3"/>
  <c r="CI91" i="3"/>
  <c r="CM91" i="3" s="1"/>
  <c r="CL90" i="3"/>
  <c r="CK90" i="3"/>
  <c r="CJ90" i="3"/>
  <c r="CI90" i="3"/>
  <c r="CM90" i="3" s="1"/>
  <c r="CL89" i="3"/>
  <c r="CK89" i="3"/>
  <c r="CJ89" i="3"/>
  <c r="CI89" i="3"/>
  <c r="CM89" i="3" s="1"/>
  <c r="CL88" i="3"/>
  <c r="CK88" i="3"/>
  <c r="CJ88" i="3"/>
  <c r="CI88" i="3"/>
  <c r="CM88" i="3" s="1"/>
  <c r="CF102" i="3"/>
  <c r="CC101" i="3"/>
  <c r="CC100" i="3"/>
  <c r="CC99" i="3"/>
  <c r="CC98" i="3"/>
  <c r="CF97" i="3"/>
  <c r="CC97" i="3"/>
  <c r="CC96" i="3"/>
  <c r="CC95" i="3"/>
  <c r="CF94" i="3"/>
  <c r="CE94" i="3"/>
  <c r="CD94" i="3"/>
  <c r="CC94" i="3"/>
  <c r="CG94" i="3" s="1"/>
  <c r="CC93" i="3"/>
  <c r="CC92" i="3"/>
  <c r="CF91" i="3"/>
  <c r="CE91" i="3"/>
  <c r="CD91" i="3"/>
  <c r="CC91" i="3"/>
  <c r="CG91" i="3" s="1"/>
  <c r="CF90" i="3"/>
  <c r="CE90" i="3"/>
  <c r="CD90" i="3"/>
  <c r="CC90" i="3"/>
  <c r="CG90" i="3" s="1"/>
  <c r="CF89" i="3"/>
  <c r="CE89" i="3"/>
  <c r="CD89" i="3"/>
  <c r="CC89" i="3"/>
  <c r="CG89" i="3" s="1"/>
  <c r="CF88" i="3"/>
  <c r="CE88" i="3"/>
  <c r="CD88" i="3"/>
  <c r="CC88" i="3"/>
  <c r="CG88" i="3" s="1"/>
  <c r="BW102" i="3"/>
  <c r="BW101" i="3"/>
  <c r="BW100" i="3"/>
  <c r="BW99" i="3"/>
  <c r="BW98" i="3"/>
  <c r="BW97" i="3"/>
  <c r="BW96" i="3"/>
  <c r="BW95" i="3"/>
  <c r="BZ94" i="3"/>
  <c r="BY94" i="3"/>
  <c r="BX94" i="3"/>
  <c r="BW94" i="3"/>
  <c r="CA94" i="3" s="1"/>
  <c r="BW93" i="3"/>
  <c r="BW92" i="3"/>
  <c r="BW91" i="3"/>
  <c r="BZ90" i="3"/>
  <c r="BY90" i="3"/>
  <c r="BX90" i="3"/>
  <c r="BW90" i="3"/>
  <c r="CA90" i="3" s="1"/>
  <c r="BZ89" i="3"/>
  <c r="BY89" i="3"/>
  <c r="BX89" i="3"/>
  <c r="BW89" i="3"/>
  <c r="CA89" i="3" s="1"/>
  <c r="BZ88" i="3"/>
  <c r="BY88" i="3"/>
  <c r="BX88" i="3"/>
  <c r="BW88" i="3"/>
  <c r="CA88" i="3" s="1"/>
  <c r="BT102" i="3"/>
  <c r="BS102" i="3"/>
  <c r="BR102" i="3"/>
  <c r="BQ102" i="3"/>
  <c r="BU102" i="3" s="1"/>
  <c r="BT101" i="3"/>
  <c r="BS101" i="3"/>
  <c r="BR101" i="3"/>
  <c r="BQ101" i="3"/>
  <c r="BU101" i="3" s="1"/>
  <c r="BT100" i="3"/>
  <c r="BS100" i="3"/>
  <c r="BR100" i="3"/>
  <c r="BQ100" i="3"/>
  <c r="BU100" i="3" s="1"/>
  <c r="BT99" i="3"/>
  <c r="BS99" i="3"/>
  <c r="BR99" i="3"/>
  <c r="BQ99" i="3"/>
  <c r="BU99" i="3" s="1"/>
  <c r="BT98" i="3"/>
  <c r="BS98" i="3"/>
  <c r="BR98" i="3"/>
  <c r="BQ98" i="3"/>
  <c r="BU98" i="3" s="1"/>
  <c r="BT97" i="3"/>
  <c r="BS97" i="3"/>
  <c r="BR97" i="3"/>
  <c r="BQ97" i="3"/>
  <c r="BU97" i="3" s="1"/>
  <c r="BT96" i="3"/>
  <c r="BS96" i="3"/>
  <c r="BR96" i="3"/>
  <c r="BQ96" i="3"/>
  <c r="BU96" i="3" s="1"/>
  <c r="BT95" i="3"/>
  <c r="BS95" i="3"/>
  <c r="BR95" i="3"/>
  <c r="BQ95" i="3"/>
  <c r="BU95" i="3" s="1"/>
  <c r="BT94" i="3"/>
  <c r="BS94" i="3"/>
  <c r="BR94" i="3"/>
  <c r="BQ94" i="3"/>
  <c r="BU94" i="3" s="1"/>
  <c r="BT93" i="3"/>
  <c r="BS93" i="3"/>
  <c r="BR93" i="3"/>
  <c r="BQ93" i="3"/>
  <c r="BU93" i="3" s="1"/>
  <c r="BT92" i="3"/>
  <c r="BS92" i="3"/>
  <c r="BR92" i="3"/>
  <c r="BQ92" i="3"/>
  <c r="BU92" i="3" s="1"/>
  <c r="BT91" i="3"/>
  <c r="BS91" i="3"/>
  <c r="BR91" i="3"/>
  <c r="BQ91" i="3"/>
  <c r="BU91" i="3" s="1"/>
  <c r="BT90" i="3"/>
  <c r="BS90" i="3"/>
  <c r="BR90" i="3"/>
  <c r="BQ90" i="3"/>
  <c r="BU90" i="3" s="1"/>
  <c r="BT89" i="3"/>
  <c r="BS89" i="3"/>
  <c r="BR89" i="3"/>
  <c r="BQ89" i="3"/>
  <c r="BU89" i="3" s="1"/>
  <c r="BT88" i="3"/>
  <c r="BS88" i="3"/>
  <c r="BR88" i="3"/>
  <c r="BQ88" i="3"/>
  <c r="BU88" i="3" s="1"/>
  <c r="BK102" i="3"/>
  <c r="BK101" i="3"/>
  <c r="BK100" i="3"/>
  <c r="BK99" i="3"/>
  <c r="BK98" i="3"/>
  <c r="BK97" i="3"/>
  <c r="BK96" i="3"/>
  <c r="BK95" i="3"/>
  <c r="BK94" i="3"/>
  <c r="BK93" i="3"/>
  <c r="BK92" i="3"/>
  <c r="BL91" i="3"/>
  <c r="BK91" i="3"/>
  <c r="BN90" i="3"/>
  <c r="BM90" i="3"/>
  <c r="BL90" i="3"/>
  <c r="BK90" i="3"/>
  <c r="BO90" i="3" s="1"/>
  <c r="BK89" i="3"/>
  <c r="BK88" i="3"/>
  <c r="BF102" i="3"/>
  <c r="BE102" i="3"/>
  <c r="BF101" i="3"/>
  <c r="BE101" i="3"/>
  <c r="BF100" i="3"/>
  <c r="BE100" i="3"/>
  <c r="BF99" i="3"/>
  <c r="BE99" i="3"/>
  <c r="BF98" i="3"/>
  <c r="BE98" i="3"/>
  <c r="BH97" i="3"/>
  <c r="BG97" i="3"/>
  <c r="BF97" i="3"/>
  <c r="BE97" i="3"/>
  <c r="BI97" i="3" s="1"/>
  <c r="BF96" i="3"/>
  <c r="BE96" i="3"/>
  <c r="BF95" i="3"/>
  <c r="BE95" i="3"/>
  <c r="BF94" i="3"/>
  <c r="BE94" i="3"/>
  <c r="BF93" i="3"/>
  <c r="BE93" i="3"/>
  <c r="BF92" i="3"/>
  <c r="BE92" i="3"/>
  <c r="BF91" i="3"/>
  <c r="BE91" i="3"/>
  <c r="BE90" i="3"/>
  <c r="BE89" i="3"/>
  <c r="BE88" i="3"/>
  <c r="BB102" i="3"/>
  <c r="BA102" i="3"/>
  <c r="AZ102" i="3"/>
  <c r="AY102" i="3"/>
  <c r="BC102" i="3" s="1"/>
  <c r="BB101" i="3"/>
  <c r="BA101" i="3"/>
  <c r="AZ101" i="3"/>
  <c r="AY101" i="3"/>
  <c r="BC101" i="3" s="1"/>
  <c r="BB100" i="3"/>
  <c r="BA100" i="3"/>
  <c r="AZ100" i="3"/>
  <c r="AY100" i="3"/>
  <c r="BC100" i="3" s="1"/>
  <c r="BB99" i="3"/>
  <c r="BA99" i="3"/>
  <c r="AZ99" i="3"/>
  <c r="AY99" i="3"/>
  <c r="BC99" i="3" s="1"/>
  <c r="BB98" i="3"/>
  <c r="BA98" i="3"/>
  <c r="AZ98" i="3"/>
  <c r="AY98" i="3"/>
  <c r="BC98" i="3" s="1"/>
  <c r="BB97" i="3"/>
  <c r="BA97" i="3"/>
  <c r="AZ97" i="3"/>
  <c r="AY97" i="3"/>
  <c r="BC97" i="3" s="1"/>
  <c r="BB96" i="3"/>
  <c r="BA96" i="3"/>
  <c r="AZ96" i="3"/>
  <c r="AY96" i="3"/>
  <c r="BC96" i="3" s="1"/>
  <c r="BB95" i="3"/>
  <c r="BA95" i="3"/>
  <c r="AZ95" i="3"/>
  <c r="AY95" i="3"/>
  <c r="BC95" i="3" s="1"/>
  <c r="BB94" i="3"/>
  <c r="BA94" i="3"/>
  <c r="AZ94" i="3"/>
  <c r="AY94" i="3"/>
  <c r="BC94" i="3" s="1"/>
  <c r="BB93" i="3"/>
  <c r="BA93" i="3"/>
  <c r="AZ93" i="3"/>
  <c r="AY93" i="3"/>
  <c r="BC93" i="3" s="1"/>
  <c r="BB92" i="3"/>
  <c r="BA92" i="3"/>
  <c r="AZ92" i="3"/>
  <c r="AY92" i="3"/>
  <c r="BC92" i="3" s="1"/>
  <c r="AY91" i="3"/>
  <c r="AY90" i="3"/>
  <c r="AY89" i="3"/>
  <c r="AY88" i="3"/>
  <c r="AV102" i="3"/>
  <c r="AU102" i="3"/>
  <c r="AT102" i="3"/>
  <c r="AS102" i="3"/>
  <c r="AW102" i="3" s="1"/>
  <c r="AV101" i="3"/>
  <c r="AU101" i="3"/>
  <c r="AT101" i="3"/>
  <c r="AS101" i="3"/>
  <c r="AW101" i="3" s="1"/>
  <c r="AV100" i="3"/>
  <c r="AU100" i="3"/>
  <c r="AT100" i="3"/>
  <c r="AS100" i="3"/>
  <c r="AW100" i="3" s="1"/>
  <c r="AV99" i="3"/>
  <c r="AU99" i="3"/>
  <c r="AT99" i="3"/>
  <c r="AS99" i="3"/>
  <c r="AW99" i="3" s="1"/>
  <c r="AV98" i="3"/>
  <c r="AU98" i="3"/>
  <c r="AT98" i="3"/>
  <c r="AS98" i="3"/>
  <c r="AW98" i="3" s="1"/>
  <c r="AV97" i="3"/>
  <c r="AU97" i="3"/>
  <c r="AT97" i="3"/>
  <c r="AS97" i="3"/>
  <c r="AW97" i="3" s="1"/>
  <c r="AV96" i="3"/>
  <c r="AU96" i="3"/>
  <c r="AT96" i="3"/>
  <c r="AS96" i="3"/>
  <c r="AW96" i="3" s="1"/>
  <c r="AV95" i="3"/>
  <c r="AU95" i="3"/>
  <c r="AT95" i="3"/>
  <c r="AS95" i="3"/>
  <c r="AW95" i="3" s="1"/>
  <c r="AV94" i="3"/>
  <c r="AU94" i="3"/>
  <c r="AT94" i="3"/>
  <c r="AS94" i="3"/>
  <c r="AW94" i="3" s="1"/>
  <c r="AV93" i="3"/>
  <c r="AU93" i="3"/>
  <c r="AT93" i="3"/>
  <c r="AS93" i="3"/>
  <c r="AW93" i="3" s="1"/>
  <c r="AV92" i="3"/>
  <c r="AU92" i="3"/>
  <c r="AT92" i="3"/>
  <c r="AS92" i="3"/>
  <c r="AW92" i="3" s="1"/>
  <c r="AV91" i="3"/>
  <c r="AU91" i="3"/>
  <c r="AT91" i="3"/>
  <c r="AS91" i="3"/>
  <c r="AW91" i="3" s="1"/>
  <c r="AV90" i="3"/>
  <c r="AU90" i="3"/>
  <c r="AT90" i="3"/>
  <c r="AS90" i="3"/>
  <c r="AW90" i="3" s="1"/>
  <c r="AV89" i="3"/>
  <c r="AU89" i="3"/>
  <c r="AT89" i="3"/>
  <c r="AS89" i="3"/>
  <c r="AW89" i="3" s="1"/>
  <c r="AV88" i="3"/>
  <c r="AU88" i="3"/>
  <c r="AT88" i="3"/>
  <c r="AS88" i="3"/>
  <c r="AW88" i="3" s="1"/>
  <c r="AP102" i="3"/>
  <c r="AO102" i="3"/>
  <c r="AN102" i="3"/>
  <c r="AM102" i="3"/>
  <c r="AQ102" i="3" s="1"/>
  <c r="AP101" i="3"/>
  <c r="AO101" i="3"/>
  <c r="AN101" i="3"/>
  <c r="AM101" i="3"/>
  <c r="AQ101" i="3" s="1"/>
  <c r="AP100" i="3"/>
  <c r="AO100" i="3"/>
  <c r="AN100" i="3"/>
  <c r="AM100" i="3"/>
  <c r="AQ100" i="3" s="1"/>
  <c r="AP99" i="3"/>
  <c r="AO99" i="3"/>
  <c r="AN99" i="3"/>
  <c r="AM99" i="3"/>
  <c r="AQ99" i="3" s="1"/>
  <c r="AP98" i="3"/>
  <c r="AO98" i="3"/>
  <c r="AN98" i="3"/>
  <c r="AM98" i="3"/>
  <c r="AQ98" i="3" s="1"/>
  <c r="AP97" i="3"/>
  <c r="AO97" i="3"/>
  <c r="AN97" i="3"/>
  <c r="AM97" i="3"/>
  <c r="AQ97" i="3" s="1"/>
  <c r="AP96" i="3"/>
  <c r="AO96" i="3"/>
  <c r="AN96" i="3"/>
  <c r="AM96" i="3"/>
  <c r="AQ96" i="3" s="1"/>
  <c r="AP95" i="3"/>
  <c r="AO95" i="3"/>
  <c r="AN95" i="3"/>
  <c r="AM95" i="3"/>
  <c r="AQ95" i="3" s="1"/>
  <c r="AP94" i="3"/>
  <c r="AO94" i="3"/>
  <c r="AN94" i="3"/>
  <c r="AM94" i="3"/>
  <c r="AQ94" i="3" s="1"/>
  <c r="AP93" i="3"/>
  <c r="AO93" i="3"/>
  <c r="AN93" i="3"/>
  <c r="AM93" i="3"/>
  <c r="AQ93" i="3" s="1"/>
  <c r="AP92" i="3"/>
  <c r="AO92" i="3"/>
  <c r="AN92" i="3"/>
  <c r="AM92" i="3"/>
  <c r="AQ92" i="3" s="1"/>
  <c r="AO91" i="3"/>
  <c r="AN91" i="3"/>
  <c r="AM91" i="3"/>
  <c r="AO90" i="3"/>
  <c r="AN90" i="3"/>
  <c r="AM90" i="3"/>
  <c r="AP89" i="3"/>
  <c r="AO89" i="3"/>
  <c r="AN89" i="3"/>
  <c r="AM89" i="3"/>
  <c r="AQ89" i="3" s="1"/>
  <c r="AP88" i="3"/>
  <c r="AO88" i="3"/>
  <c r="AN88" i="3"/>
  <c r="AM88" i="3"/>
  <c r="AQ88" i="3" s="1"/>
  <c r="AJ102" i="3"/>
  <c r="AI102" i="3"/>
  <c r="AH102" i="3"/>
  <c r="AG102" i="3"/>
  <c r="AK102" i="3" s="1"/>
  <c r="AJ101" i="3"/>
  <c r="AI101" i="3"/>
  <c r="AH101" i="3"/>
  <c r="AG101" i="3"/>
  <c r="AK101" i="3" s="1"/>
  <c r="AJ100" i="3"/>
  <c r="AI100" i="3"/>
  <c r="AH100" i="3"/>
  <c r="AG100" i="3"/>
  <c r="AK100" i="3" s="1"/>
  <c r="AJ99" i="3"/>
  <c r="AI99" i="3"/>
  <c r="AH99" i="3"/>
  <c r="AG99" i="3"/>
  <c r="AK99" i="3" s="1"/>
  <c r="AJ98" i="3"/>
  <c r="AI98" i="3"/>
  <c r="AH98" i="3"/>
  <c r="AG98" i="3"/>
  <c r="AK98" i="3" s="1"/>
  <c r="AJ97" i="3"/>
  <c r="AI97" i="3"/>
  <c r="AH97" i="3"/>
  <c r="AG97" i="3"/>
  <c r="AK97" i="3" s="1"/>
  <c r="AJ96" i="3"/>
  <c r="AI96" i="3"/>
  <c r="AH96" i="3"/>
  <c r="AG96" i="3"/>
  <c r="AK96" i="3" s="1"/>
  <c r="AJ95" i="3"/>
  <c r="AI95" i="3"/>
  <c r="AH95" i="3"/>
  <c r="AG95" i="3"/>
  <c r="AK95" i="3" s="1"/>
  <c r="AJ94" i="3"/>
  <c r="AI94" i="3"/>
  <c r="AH94" i="3"/>
  <c r="AG94" i="3"/>
  <c r="AK94" i="3" s="1"/>
  <c r="AJ93" i="3"/>
  <c r="AI93" i="3"/>
  <c r="AH93" i="3"/>
  <c r="AG93" i="3"/>
  <c r="AK93" i="3" s="1"/>
  <c r="AJ92" i="3"/>
  <c r="AI92" i="3"/>
  <c r="AH92" i="3"/>
  <c r="AG92" i="3"/>
  <c r="AK92" i="3" s="1"/>
  <c r="AJ91" i="3"/>
  <c r="AI91" i="3"/>
  <c r="AH91" i="3"/>
  <c r="AG91" i="3"/>
  <c r="AK91" i="3" s="1"/>
  <c r="AJ90" i="3"/>
  <c r="AI90" i="3"/>
  <c r="AH90" i="3"/>
  <c r="AG90" i="3"/>
  <c r="AK90" i="3" s="1"/>
  <c r="AJ89" i="3"/>
  <c r="AI89" i="3"/>
  <c r="AH89" i="3"/>
  <c r="AG89" i="3"/>
  <c r="AK89" i="3" s="1"/>
  <c r="AJ88" i="3"/>
  <c r="AI88" i="3"/>
  <c r="AH88" i="3"/>
  <c r="AG88" i="3"/>
  <c r="AK88" i="3" s="1"/>
  <c r="AD102" i="3"/>
  <c r="AC102" i="3"/>
  <c r="AB102" i="3"/>
  <c r="AA102" i="3"/>
  <c r="AE102" i="3" s="1"/>
  <c r="AD101" i="3"/>
  <c r="AC101" i="3"/>
  <c r="AB101" i="3"/>
  <c r="AA101" i="3"/>
  <c r="AE101" i="3" s="1"/>
  <c r="AD100" i="3"/>
  <c r="AC100" i="3"/>
  <c r="AB100" i="3"/>
  <c r="AA100" i="3"/>
  <c r="AE100" i="3" s="1"/>
  <c r="AD99" i="3"/>
  <c r="AC99" i="3"/>
  <c r="AB99" i="3"/>
  <c r="AA99" i="3"/>
  <c r="AE99" i="3" s="1"/>
  <c r="AD98" i="3"/>
  <c r="AC98" i="3"/>
  <c r="AB98" i="3"/>
  <c r="AA98" i="3"/>
  <c r="AE98" i="3" s="1"/>
  <c r="AD97" i="3"/>
  <c r="AC97" i="3"/>
  <c r="AB97" i="3"/>
  <c r="AA97" i="3"/>
  <c r="AE97" i="3" s="1"/>
  <c r="AD96" i="3"/>
  <c r="AC96" i="3"/>
  <c r="AB96" i="3"/>
  <c r="AA96" i="3"/>
  <c r="AE96" i="3" s="1"/>
  <c r="AD95" i="3"/>
  <c r="AC95" i="3"/>
  <c r="AB95" i="3"/>
  <c r="AA95" i="3"/>
  <c r="AE95" i="3" s="1"/>
  <c r="AD94" i="3"/>
  <c r="AC94" i="3"/>
  <c r="AB94" i="3"/>
  <c r="AA94" i="3"/>
  <c r="AE94" i="3" s="1"/>
  <c r="AD93" i="3"/>
  <c r="AC93" i="3"/>
  <c r="AB93" i="3"/>
  <c r="AA93" i="3"/>
  <c r="AE93" i="3" s="1"/>
  <c r="AD92" i="3"/>
  <c r="AC92" i="3"/>
  <c r="AB92" i="3"/>
  <c r="AA92" i="3"/>
  <c r="AE92" i="3" s="1"/>
  <c r="AD91" i="3"/>
  <c r="AC91" i="3"/>
  <c r="AB91" i="3"/>
  <c r="AA91" i="3"/>
  <c r="AE91" i="3" s="1"/>
  <c r="AD90" i="3"/>
  <c r="AC90" i="3"/>
  <c r="AB90" i="3"/>
  <c r="AA90" i="3"/>
  <c r="AE90" i="3" s="1"/>
  <c r="AD89" i="3"/>
  <c r="AC89" i="3"/>
  <c r="AB89" i="3"/>
  <c r="AA89" i="3"/>
  <c r="AE89" i="3" s="1"/>
  <c r="AD88" i="3"/>
  <c r="AC88" i="3"/>
  <c r="AB88" i="3"/>
  <c r="AA88" i="3"/>
  <c r="AE88" i="3" s="1"/>
  <c r="X102" i="3"/>
  <c r="W102" i="3"/>
  <c r="V102" i="3"/>
  <c r="U102" i="3"/>
  <c r="Y102" i="3" s="1"/>
  <c r="X101" i="3"/>
  <c r="W101" i="3"/>
  <c r="V101" i="3"/>
  <c r="U101" i="3"/>
  <c r="Y101" i="3" s="1"/>
  <c r="X100" i="3"/>
  <c r="W100" i="3"/>
  <c r="V100" i="3"/>
  <c r="U100" i="3"/>
  <c r="Y100" i="3" s="1"/>
  <c r="X99" i="3"/>
  <c r="W99" i="3"/>
  <c r="V99" i="3"/>
  <c r="U99" i="3"/>
  <c r="Y99" i="3" s="1"/>
  <c r="X98" i="3"/>
  <c r="W98" i="3"/>
  <c r="V98" i="3"/>
  <c r="U98" i="3"/>
  <c r="Y98" i="3" s="1"/>
  <c r="X97" i="3"/>
  <c r="W97" i="3"/>
  <c r="V97" i="3"/>
  <c r="U97" i="3"/>
  <c r="Y97" i="3" s="1"/>
  <c r="X96" i="3"/>
  <c r="W96" i="3"/>
  <c r="V96" i="3"/>
  <c r="U96" i="3"/>
  <c r="Y96" i="3" s="1"/>
  <c r="X95" i="3"/>
  <c r="W95" i="3"/>
  <c r="V95" i="3"/>
  <c r="U95" i="3"/>
  <c r="Y95" i="3" s="1"/>
  <c r="X94" i="3"/>
  <c r="W94" i="3"/>
  <c r="V94" i="3"/>
  <c r="U94" i="3"/>
  <c r="Y94" i="3" s="1"/>
  <c r="X93" i="3"/>
  <c r="W93" i="3"/>
  <c r="V93" i="3"/>
  <c r="U93" i="3"/>
  <c r="Y93" i="3" s="1"/>
  <c r="X92" i="3"/>
  <c r="W92" i="3"/>
  <c r="V92" i="3"/>
  <c r="U92" i="3"/>
  <c r="Y92" i="3" s="1"/>
  <c r="X91" i="3"/>
  <c r="W91" i="3"/>
  <c r="V91" i="3"/>
  <c r="U91" i="3"/>
  <c r="Y91" i="3" s="1"/>
  <c r="X90" i="3"/>
  <c r="W90" i="3"/>
  <c r="V90" i="3"/>
  <c r="U90" i="3"/>
  <c r="Y90" i="3" s="1"/>
  <c r="X89" i="3"/>
  <c r="W89" i="3"/>
  <c r="V89" i="3"/>
  <c r="U89" i="3"/>
  <c r="Y89" i="3" s="1"/>
  <c r="X88" i="3"/>
  <c r="W88" i="3"/>
  <c r="V88" i="3"/>
  <c r="U88" i="3"/>
  <c r="Y88" i="3" s="1"/>
  <c r="R102" i="3"/>
  <c r="Q102" i="3"/>
  <c r="P102" i="3"/>
  <c r="O102" i="3"/>
  <c r="S102" i="3" s="1"/>
  <c r="R101" i="3"/>
  <c r="Q101" i="3"/>
  <c r="P101" i="3"/>
  <c r="O101" i="3"/>
  <c r="S101" i="3" s="1"/>
  <c r="R100" i="3"/>
  <c r="Q100" i="3"/>
  <c r="P100" i="3"/>
  <c r="O100" i="3"/>
  <c r="S100" i="3" s="1"/>
  <c r="R99" i="3"/>
  <c r="Q99" i="3"/>
  <c r="P99" i="3"/>
  <c r="O99" i="3"/>
  <c r="S99" i="3" s="1"/>
  <c r="R98" i="3"/>
  <c r="Q98" i="3"/>
  <c r="P98" i="3"/>
  <c r="O98" i="3"/>
  <c r="S98" i="3" s="1"/>
  <c r="R97" i="3"/>
  <c r="Q97" i="3"/>
  <c r="P97" i="3"/>
  <c r="O97" i="3"/>
  <c r="S97" i="3" s="1"/>
  <c r="R96" i="3"/>
  <c r="Q96" i="3"/>
  <c r="P96" i="3"/>
  <c r="O96" i="3"/>
  <c r="S96" i="3" s="1"/>
  <c r="R95" i="3"/>
  <c r="Q95" i="3"/>
  <c r="P95" i="3"/>
  <c r="O95" i="3"/>
  <c r="S95" i="3" s="1"/>
  <c r="R94" i="3"/>
  <c r="Q94" i="3"/>
  <c r="P94" i="3"/>
  <c r="O94" i="3"/>
  <c r="S94" i="3" s="1"/>
  <c r="R93" i="3"/>
  <c r="Q93" i="3"/>
  <c r="P93" i="3"/>
  <c r="O93" i="3"/>
  <c r="S93" i="3" s="1"/>
  <c r="R92" i="3"/>
  <c r="Q92" i="3"/>
  <c r="P92" i="3"/>
  <c r="O92" i="3"/>
  <c r="S92" i="3" s="1"/>
  <c r="R91" i="3"/>
  <c r="Q91" i="3"/>
  <c r="P91" i="3"/>
  <c r="O91" i="3"/>
  <c r="S91" i="3" s="1"/>
  <c r="R90" i="3"/>
  <c r="Q90" i="3"/>
  <c r="P90" i="3"/>
  <c r="O90" i="3"/>
  <c r="S90" i="3" s="1"/>
  <c r="R89" i="3"/>
  <c r="Q89" i="3"/>
  <c r="P89" i="3"/>
  <c r="O89" i="3"/>
  <c r="S89" i="3" s="1"/>
  <c r="R88" i="3"/>
  <c r="Q88" i="3"/>
  <c r="P88" i="3"/>
  <c r="O88" i="3"/>
  <c r="S88" i="3" s="1"/>
  <c r="A87" i="3"/>
  <c r="DV85" i="3"/>
  <c r="DU85" i="3"/>
  <c r="DT85" i="3"/>
  <c r="DS85" i="3"/>
  <c r="DP85" i="3"/>
  <c r="DO85" i="3"/>
  <c r="DN85" i="3"/>
  <c r="DM85" i="3"/>
  <c r="DJ85" i="3"/>
  <c r="DI85" i="3"/>
  <c r="DH85" i="3"/>
  <c r="DG85" i="3"/>
  <c r="DD85" i="3"/>
  <c r="DC85" i="3"/>
  <c r="DB85" i="3"/>
  <c r="DA85" i="3"/>
  <c r="CX85" i="3"/>
  <c r="CW85" i="3"/>
  <c r="CV85" i="3"/>
  <c r="CU85" i="3"/>
  <c r="CR85" i="3"/>
  <c r="CQ85" i="3"/>
  <c r="CP85" i="3"/>
  <c r="CO85" i="3"/>
  <c r="CL85" i="3"/>
  <c r="CK85" i="3"/>
  <c r="CJ85" i="3"/>
  <c r="CI85" i="3"/>
  <c r="CF85" i="3"/>
  <c r="CE85" i="3"/>
  <c r="CD85" i="3"/>
  <c r="CC85" i="3"/>
  <c r="BZ85" i="3"/>
  <c r="BY85" i="3"/>
  <c r="BX85" i="3"/>
  <c r="BW85" i="3"/>
  <c r="AK68" i="3"/>
  <c r="AK141" i="3" s="1"/>
  <c r="S68" i="3"/>
  <c r="Y68" i="3" s="1"/>
  <c r="O68" i="3"/>
  <c r="P68" i="3" s="1"/>
  <c r="Q68" i="3" s="1"/>
  <c r="R68" i="3" s="1"/>
  <c r="BI64" i="3"/>
  <c r="Y64" i="3"/>
  <c r="Y63" i="3"/>
  <c r="EM63" i="3"/>
  <c r="EM136" i="3" s="1"/>
  <c r="EL63" i="3"/>
  <c r="EL136" i="3" s="1"/>
  <c r="EG63" i="3"/>
  <c r="EG136" i="3" s="1"/>
  <c r="EF63" i="3"/>
  <c r="EF136" i="3" s="1"/>
  <c r="EA136" i="3"/>
  <c r="DZ136" i="3"/>
  <c r="DW63" i="3"/>
  <c r="DU63" i="3"/>
  <c r="DT63" i="3"/>
  <c r="DT136" i="3" s="1"/>
  <c r="DQ63" i="3"/>
  <c r="DK63" i="3"/>
  <c r="DE63" i="3"/>
  <c r="DB63" i="3"/>
  <c r="CY63" i="3"/>
  <c r="CS63" i="3"/>
  <c r="CM63" i="3"/>
  <c r="CG63" i="3"/>
  <c r="CA63" i="3"/>
  <c r="BU63" i="3"/>
  <c r="BS63" i="3"/>
  <c r="BL63" i="3"/>
  <c r="BL136" i="3" s="1"/>
  <c r="BF63" i="3"/>
  <c r="BF136" i="3" s="1"/>
  <c r="AZ63" i="3"/>
  <c r="AZ136" i="3" s="1"/>
  <c r="AW63" i="3"/>
  <c r="AQ63" i="3"/>
  <c r="AK63" i="3"/>
  <c r="AE63" i="3"/>
  <c r="S63" i="3"/>
  <c r="BQ61" i="3"/>
  <c r="BK61" i="3"/>
  <c r="BE61" i="3"/>
  <c r="AY61" i="3"/>
  <c r="AV61" i="3"/>
  <c r="AU61" i="3"/>
  <c r="AT61" i="3"/>
  <c r="AS61" i="3"/>
  <c r="AP61" i="3"/>
  <c r="AO61" i="3"/>
  <c r="AN61" i="3"/>
  <c r="AM61" i="3"/>
  <c r="AJ61" i="3"/>
  <c r="AI61" i="3"/>
  <c r="AH61" i="3"/>
  <c r="AG61" i="3"/>
  <c r="AD61" i="3"/>
  <c r="AC61" i="3"/>
  <c r="AB61" i="3"/>
  <c r="AA61" i="3"/>
  <c r="W61" i="3"/>
  <c r="V61" i="3"/>
  <c r="U61" i="3"/>
  <c r="R61" i="3"/>
  <c r="S61" i="3" s="1"/>
  <c r="Q61" i="3"/>
  <c r="P61" i="3"/>
  <c r="O61" i="3"/>
  <c r="DU60" i="3"/>
  <c r="DU133" i="3" s="1"/>
  <c r="DT60" i="3"/>
  <c r="DT133" i="3" s="1"/>
  <c r="DI60" i="3"/>
  <c r="DI133" i="3" s="1"/>
  <c r="DH60" i="3"/>
  <c r="DH133" i="3" s="1"/>
  <c r="DC60" i="3"/>
  <c r="DC133" i="3" s="1"/>
  <c r="DB60" i="3"/>
  <c r="DB133" i="3" s="1"/>
  <c r="CW60" i="3"/>
  <c r="CW133" i="3" s="1"/>
  <c r="CV60" i="3"/>
  <c r="CV133" i="3" s="1"/>
  <c r="CQ60" i="3"/>
  <c r="CQ133" i="3" s="1"/>
  <c r="CP60" i="3"/>
  <c r="CP133" i="3" s="1"/>
  <c r="CK60" i="3"/>
  <c r="CK133" i="3" s="1"/>
  <c r="CJ60" i="3"/>
  <c r="CJ133" i="3" s="1"/>
  <c r="BG60" i="3"/>
  <c r="BG133" i="3" s="1"/>
  <c r="BC60" i="3"/>
  <c r="BC57" i="3"/>
  <c r="AW60" i="3"/>
  <c r="AW59" i="3"/>
  <c r="AW58" i="3"/>
  <c r="AQ60" i="3"/>
  <c r="AQ59" i="3"/>
  <c r="AQ58" i="3"/>
  <c r="AK60" i="3"/>
  <c r="AK59" i="3"/>
  <c r="AK58" i="3"/>
  <c r="AE60" i="3"/>
  <c r="AE59" i="3"/>
  <c r="AE58" i="3"/>
  <c r="Y60" i="3"/>
  <c r="Y58" i="3"/>
  <c r="S60" i="3"/>
  <c r="S59" i="3"/>
  <c r="S58" i="3"/>
  <c r="EK59" i="3"/>
  <c r="EK132" i="3" s="1"/>
  <c r="EK58" i="3"/>
  <c r="EK131" i="3" s="1"/>
  <c r="EK57" i="3"/>
  <c r="EK130" i="3" s="1"/>
  <c r="EE59" i="3"/>
  <c r="EE132" i="3" s="1"/>
  <c r="EE58" i="3"/>
  <c r="EE131" i="3" s="1"/>
  <c r="EE57" i="3"/>
  <c r="EE130" i="3" s="1"/>
  <c r="DW59" i="3"/>
  <c r="DW57" i="3"/>
  <c r="DW56" i="3"/>
  <c r="DW55" i="3"/>
  <c r="DS59" i="3"/>
  <c r="DS58" i="3"/>
  <c r="DS131" i="3" s="1"/>
  <c r="DS57" i="3"/>
  <c r="DS56" i="3"/>
  <c r="DK59" i="3"/>
  <c r="DK57" i="3"/>
  <c r="DK56" i="3"/>
  <c r="DK55" i="3"/>
  <c r="CU59" i="3"/>
  <c r="CU132" i="3" s="1"/>
  <c r="CS59" i="3"/>
  <c r="CS57" i="3"/>
  <c r="CS56" i="3"/>
  <c r="CS55" i="3"/>
  <c r="CQ59" i="3"/>
  <c r="CM59" i="3"/>
  <c r="CM57" i="3"/>
  <c r="CM56" i="3"/>
  <c r="CM55" i="3"/>
  <c r="CJ59" i="3"/>
  <c r="CC59" i="3"/>
  <c r="CC132" i="3" s="1"/>
  <c r="CC58" i="3"/>
  <c r="CC131" i="3" s="1"/>
  <c r="BR60" i="3"/>
  <c r="BR133" i="3" s="1"/>
  <c r="BR59" i="3"/>
  <c r="BR132" i="3" s="1"/>
  <c r="BI59" i="3"/>
  <c r="BI58" i="3"/>
  <c r="BI57" i="3"/>
  <c r="BG59" i="3"/>
  <c r="BG57" i="3"/>
  <c r="BG56" i="3"/>
  <c r="BG129" i="3" s="1"/>
  <c r="BB59" i="3"/>
  <c r="BB132" i="3" s="1"/>
  <c r="X59" i="3"/>
  <c r="R59" i="3"/>
  <c r="R132" i="3" s="1"/>
  <c r="DY58" i="3"/>
  <c r="DV58" i="3"/>
  <c r="DV131" i="3" s="1"/>
  <c r="DM58" i="3"/>
  <c r="DM131" i="3" s="1"/>
  <c r="DG58" i="3"/>
  <c r="DG131" i="3" s="1"/>
  <c r="DC59" i="3"/>
  <c r="DA58" i="3"/>
  <c r="DA131" i="3" s="1"/>
  <c r="CX59" i="3"/>
  <c r="CX132" i="3" s="1"/>
  <c r="CU58" i="3"/>
  <c r="CO58" i="3"/>
  <c r="CO131" i="3" s="1"/>
  <c r="CI58" i="3"/>
  <c r="CI131" i="3" s="1"/>
  <c r="CD60" i="3"/>
  <c r="CD133" i="3" s="1"/>
  <c r="CF59" i="3"/>
  <c r="CE59" i="3"/>
  <c r="CD59" i="3"/>
  <c r="CD132" i="3" s="1"/>
  <c r="BX60" i="3"/>
  <c r="BX133" i="3" s="1"/>
  <c r="BZ59" i="3"/>
  <c r="BY59" i="3"/>
  <c r="BX59" i="3"/>
  <c r="BX132" i="3" s="1"/>
  <c r="BW58" i="3"/>
  <c r="BW131" i="3" s="1"/>
  <c r="BU58" i="3"/>
  <c r="BU57" i="3"/>
  <c r="BU56" i="3"/>
  <c r="BU55" i="3"/>
  <c r="BL60" i="3"/>
  <c r="BL133" i="3" s="1"/>
  <c r="BL59" i="3"/>
  <c r="BL132" i="3" s="1"/>
  <c r="BL58" i="3"/>
  <c r="BK131" i="3" s="1"/>
  <c r="BF58" i="3"/>
  <c r="AZ58" i="3"/>
  <c r="AZ131" i="3" s="1"/>
  <c r="DN60" i="3"/>
  <c r="DN133" i="3" s="1"/>
  <c r="DP59" i="3"/>
  <c r="DO59" i="3"/>
  <c r="DN59" i="3"/>
  <c r="DN132" i="3" s="1"/>
  <c r="DN57" i="3"/>
  <c r="DN130" i="3" s="1"/>
  <c r="DE57" i="3"/>
  <c r="DE56" i="3"/>
  <c r="DE55" i="3"/>
  <c r="CY57" i="3"/>
  <c r="CY56" i="3"/>
  <c r="CY55" i="3"/>
  <c r="CG57" i="3"/>
  <c r="CG56" i="3"/>
  <c r="CG55" i="3"/>
  <c r="CD56" i="3"/>
  <c r="CA57" i="3"/>
  <c r="CA56" i="3"/>
  <c r="CA55" i="3"/>
  <c r="DV56" i="3"/>
  <c r="DV129" i="3" s="1"/>
  <c r="DP56" i="3"/>
  <c r="DP129" i="3" s="1"/>
  <c r="BF56" i="3"/>
  <c r="BF129" i="3" s="1"/>
  <c r="BF55" i="3"/>
  <c r="BF128" i="3" s="1"/>
  <c r="AW56" i="3"/>
  <c r="AW61" i="3" s="1"/>
  <c r="AW55" i="3"/>
  <c r="AQ56" i="3"/>
  <c r="AQ55" i="3"/>
  <c r="AQ61" i="3" s="1"/>
  <c r="AK56" i="3"/>
  <c r="AK61" i="3" s="1"/>
  <c r="AK55" i="3"/>
  <c r="AE56" i="3"/>
  <c r="AE55" i="3"/>
  <c r="AE61" i="3" s="1"/>
  <c r="Y56" i="3"/>
  <c r="Y55" i="3"/>
  <c r="S56" i="3"/>
  <c r="S55" i="3"/>
  <c r="EL60" i="3"/>
  <c r="EL133" i="3" s="1"/>
  <c r="EF60" i="3"/>
  <c r="EF133" i="3" s="1"/>
  <c r="EF59" i="3"/>
  <c r="EF132" i="3" s="1"/>
  <c r="DZ133" i="3"/>
  <c r="DZ132" i="3"/>
  <c r="DQ55" i="3"/>
  <c r="CX55" i="3"/>
  <c r="CX128" i="3" s="1"/>
  <c r="BN57" i="3"/>
  <c r="BM56" i="3"/>
  <c r="BL56" i="3"/>
  <c r="BL129" i="3" s="1"/>
  <c r="BL55" i="3"/>
  <c r="AZ56" i="3"/>
  <c r="AZ129" i="3" s="1"/>
  <c r="BA55" i="3"/>
  <c r="AZ55" i="3"/>
  <c r="AZ128" i="3" s="1"/>
  <c r="CC52" i="3"/>
  <c r="BK52" i="3"/>
  <c r="BE52" i="3"/>
  <c r="AY52" i="3"/>
  <c r="AV52" i="3"/>
  <c r="AW52" i="3" s="1"/>
  <c r="AU52" i="3"/>
  <c r="AT52" i="3"/>
  <c r="AS52" i="3"/>
  <c r="AO52" i="3"/>
  <c r="AN52" i="3"/>
  <c r="AM52" i="3"/>
  <c r="AJ52" i="3"/>
  <c r="AI52" i="3"/>
  <c r="AH52" i="3"/>
  <c r="AG52" i="3"/>
  <c r="AC52" i="3"/>
  <c r="AB52" i="3"/>
  <c r="AA52" i="3"/>
  <c r="W52" i="3"/>
  <c r="V52" i="3"/>
  <c r="U52" i="3"/>
  <c r="Q52" i="3"/>
  <c r="P52" i="3"/>
  <c r="O52" i="3"/>
  <c r="DW51" i="3"/>
  <c r="DW50" i="3"/>
  <c r="DW49" i="3"/>
  <c r="DW48" i="3"/>
  <c r="DW47" i="3"/>
  <c r="DW46" i="3"/>
  <c r="DW45" i="3"/>
  <c r="DW44" i="3"/>
  <c r="DQ51" i="3"/>
  <c r="DQ50" i="3"/>
  <c r="DQ49" i="3"/>
  <c r="DQ48" i="3"/>
  <c r="DQ47" i="3"/>
  <c r="DQ46" i="3"/>
  <c r="DQ45" i="3"/>
  <c r="DQ44" i="3"/>
  <c r="DK51" i="3"/>
  <c r="DK47" i="3"/>
  <c r="DK46" i="3"/>
  <c r="DK45" i="3"/>
  <c r="DK44" i="3"/>
  <c r="DE51" i="3"/>
  <c r="DE47" i="3"/>
  <c r="DE46" i="3"/>
  <c r="DE45" i="3"/>
  <c r="DE44" i="3"/>
  <c r="CY51" i="3"/>
  <c r="CY47" i="3"/>
  <c r="CY46" i="3"/>
  <c r="CY45" i="3"/>
  <c r="CY44" i="3"/>
  <c r="CM51" i="3"/>
  <c r="CM47" i="3"/>
  <c r="CM46" i="3"/>
  <c r="CM45" i="3"/>
  <c r="CM44" i="3"/>
  <c r="CJ51" i="3"/>
  <c r="CJ50" i="3"/>
  <c r="CJ123" i="3" s="1"/>
  <c r="CJ49" i="3"/>
  <c r="CJ122" i="3" s="1"/>
  <c r="CJ48" i="3"/>
  <c r="CJ121" i="3" s="1"/>
  <c r="CJ47" i="3"/>
  <c r="CJ46" i="3"/>
  <c r="BU51" i="3"/>
  <c r="BU50" i="3"/>
  <c r="BU49" i="3"/>
  <c r="BU48" i="3"/>
  <c r="BU47" i="3"/>
  <c r="BU46" i="3"/>
  <c r="BU45" i="3"/>
  <c r="BU44" i="3"/>
  <c r="AZ51" i="3"/>
  <c r="AZ124" i="3" s="1"/>
  <c r="AW51" i="3"/>
  <c r="AW50" i="3"/>
  <c r="AW49" i="3"/>
  <c r="AW48" i="3"/>
  <c r="AW47" i="3"/>
  <c r="AW46" i="3"/>
  <c r="AW45" i="3"/>
  <c r="AW44" i="3"/>
  <c r="AW43" i="3"/>
  <c r="AQ51" i="3"/>
  <c r="AQ50" i="3"/>
  <c r="AQ49" i="3"/>
  <c r="AQ48" i="3"/>
  <c r="AQ47" i="3"/>
  <c r="AQ46" i="3"/>
  <c r="AQ45" i="3"/>
  <c r="AQ44" i="3"/>
  <c r="AK51" i="3"/>
  <c r="AK50" i="3"/>
  <c r="AK49" i="3"/>
  <c r="AK48" i="3"/>
  <c r="AK47" i="3"/>
  <c r="AK46" i="3"/>
  <c r="AK45" i="3"/>
  <c r="AK44" i="3"/>
  <c r="AK52" i="3" s="1"/>
  <c r="AK43" i="3"/>
  <c r="AE51" i="3"/>
  <c r="AE50" i="3"/>
  <c r="AE49" i="3"/>
  <c r="AE48" i="3"/>
  <c r="AE47" i="3"/>
  <c r="AE46" i="3"/>
  <c r="AE45" i="3"/>
  <c r="AE44" i="3"/>
  <c r="AE43" i="3"/>
  <c r="Y51" i="3"/>
  <c r="Y50" i="3"/>
  <c r="Y49" i="3"/>
  <c r="Y48" i="3"/>
  <c r="Y47" i="3"/>
  <c r="Y46" i="3"/>
  <c r="Y45" i="3"/>
  <c r="Y44" i="3"/>
  <c r="S51" i="3"/>
  <c r="S50" i="3"/>
  <c r="S49" i="3"/>
  <c r="S48" i="3"/>
  <c r="S47" i="3"/>
  <c r="S46" i="3"/>
  <c r="S45" i="3"/>
  <c r="S44" i="3"/>
  <c r="BG50" i="3"/>
  <c r="BG49" i="3"/>
  <c r="BG122" i="3" s="1"/>
  <c r="BG48" i="3"/>
  <c r="BG121" i="3" s="1"/>
  <c r="BG47" i="3"/>
  <c r="BG120" i="3" s="1"/>
  <c r="BG46" i="3"/>
  <c r="BC50" i="3"/>
  <c r="BC49" i="3"/>
  <c r="BC48" i="3"/>
  <c r="BC47" i="3"/>
  <c r="BC45" i="3"/>
  <c r="DO50" i="3"/>
  <c r="DN50" i="3"/>
  <c r="DN123" i="3" s="1"/>
  <c r="DN49" i="3"/>
  <c r="DN122" i="3" s="1"/>
  <c r="DO48" i="3"/>
  <c r="DN48" i="3"/>
  <c r="DN121" i="3" s="1"/>
  <c r="DI50" i="3"/>
  <c r="DI123" i="3" s="1"/>
  <c r="DH50" i="3"/>
  <c r="DH123" i="3" s="1"/>
  <c r="DH49" i="3"/>
  <c r="DH122" i="3" s="1"/>
  <c r="DH48" i="3"/>
  <c r="DC50" i="3"/>
  <c r="DC123" i="3" s="1"/>
  <c r="DB50" i="3"/>
  <c r="DB123" i="3" s="1"/>
  <c r="DB49" i="3"/>
  <c r="DB122" i="3" s="1"/>
  <c r="DC48" i="3"/>
  <c r="DB48" i="3"/>
  <c r="DB121" i="3" s="1"/>
  <c r="CV50" i="3"/>
  <c r="CX49" i="3"/>
  <c r="CW49" i="3"/>
  <c r="CW122" i="3" s="1"/>
  <c r="CV49" i="3"/>
  <c r="CV122" i="3" s="1"/>
  <c r="CW48" i="3"/>
  <c r="CW121" i="3" s="1"/>
  <c r="CV48" i="3"/>
  <c r="CV121" i="3" s="1"/>
  <c r="CR51" i="3"/>
  <c r="CP50" i="3"/>
  <c r="CP49" i="3"/>
  <c r="CP122" i="3" s="1"/>
  <c r="CP48" i="3"/>
  <c r="CK49" i="3"/>
  <c r="CK48" i="3"/>
  <c r="CK121" i="3" s="1"/>
  <c r="DO47" i="3"/>
  <c r="DB47" i="3"/>
  <c r="CS47" i="3"/>
  <c r="CS46" i="3"/>
  <c r="CS45" i="3"/>
  <c r="CS44" i="3"/>
  <c r="CD51" i="3"/>
  <c r="CD124" i="3" s="1"/>
  <c r="CE50" i="3"/>
  <c r="CD50" i="3"/>
  <c r="CD123" i="3" s="1"/>
  <c r="CD49" i="3"/>
  <c r="CD122" i="3" s="1"/>
  <c r="CD48" i="3"/>
  <c r="CD121" i="3" s="1"/>
  <c r="CD47" i="3"/>
  <c r="CD120" i="3" s="1"/>
  <c r="BY51" i="3"/>
  <c r="BX51" i="3"/>
  <c r="BX124" i="3" s="1"/>
  <c r="BX50" i="3"/>
  <c r="BX123" i="3" s="1"/>
  <c r="BX49" i="3"/>
  <c r="BX122" i="3" s="1"/>
  <c r="BX48" i="3"/>
  <c r="BX121" i="3" s="1"/>
  <c r="BY47" i="3"/>
  <c r="BX47" i="3"/>
  <c r="BX120" i="3" s="1"/>
  <c r="DA46" i="3"/>
  <c r="CW46" i="3"/>
  <c r="CA46" i="3"/>
  <c r="CA45" i="3"/>
  <c r="CA44" i="3"/>
  <c r="BN51" i="3"/>
  <c r="BN124" i="3" s="1"/>
  <c r="BM51" i="3"/>
  <c r="BM124" i="3" s="1"/>
  <c r="BL51" i="3"/>
  <c r="BL124" i="3" s="1"/>
  <c r="BN50" i="3"/>
  <c r="BN123" i="3" s="1"/>
  <c r="BM50" i="3"/>
  <c r="BM123" i="3" s="1"/>
  <c r="BL50" i="3"/>
  <c r="BL123" i="3" s="1"/>
  <c r="BN49" i="3"/>
  <c r="BN122" i="3" s="1"/>
  <c r="BM49" i="3"/>
  <c r="BM122" i="3" s="1"/>
  <c r="BL49" i="3"/>
  <c r="BL122" i="3" s="1"/>
  <c r="BN48" i="3"/>
  <c r="BN121" i="3" s="1"/>
  <c r="BM48" i="3"/>
  <c r="BM121" i="3" s="1"/>
  <c r="BL48" i="3"/>
  <c r="BL121" i="3" s="1"/>
  <c r="BN47" i="3"/>
  <c r="BN120" i="3" s="1"/>
  <c r="BM47" i="3"/>
  <c r="BM120" i="3" s="1"/>
  <c r="BL47" i="3"/>
  <c r="BL120" i="3" s="1"/>
  <c r="BN46" i="3"/>
  <c r="BN119" i="3" s="1"/>
  <c r="BM46" i="3"/>
  <c r="BM119" i="3" s="1"/>
  <c r="BL46" i="3"/>
  <c r="BL119" i="3" s="1"/>
  <c r="BH51" i="3"/>
  <c r="BH124" i="3" s="1"/>
  <c r="BH49" i="3"/>
  <c r="BH122" i="3" s="1"/>
  <c r="BI48" i="3"/>
  <c r="BH48" i="3"/>
  <c r="BH121" i="3" s="1"/>
  <c r="BH47" i="3"/>
  <c r="BH120" i="3" s="1"/>
  <c r="BF46" i="3"/>
  <c r="BF119" i="3" s="1"/>
  <c r="BA46" i="3"/>
  <c r="BA119" i="3" s="1"/>
  <c r="AZ46" i="3"/>
  <c r="AZ119" i="3" s="1"/>
  <c r="CG46" i="3"/>
  <c r="CF46" i="3"/>
  <c r="CF119" i="3" s="1"/>
  <c r="CG45" i="3"/>
  <c r="CF45" i="3"/>
  <c r="CE45" i="3"/>
  <c r="CE118" i="3" s="1"/>
  <c r="BO45" i="3"/>
  <c r="BI45" i="3"/>
  <c r="DA44" i="3"/>
  <c r="DA43" i="3"/>
  <c r="DA116" i="3" s="1"/>
  <c r="CW44" i="3"/>
  <c r="CW43" i="3"/>
  <c r="CG44" i="3"/>
  <c r="EL51" i="3"/>
  <c r="EL50" i="3"/>
  <c r="EL49" i="3"/>
  <c r="EL48" i="3"/>
  <c r="EL47" i="3"/>
  <c r="EL46" i="3"/>
  <c r="EL119" i="3" s="1"/>
  <c r="EL43" i="3"/>
  <c r="EM43" i="3" s="1"/>
  <c r="EF51" i="3"/>
  <c r="EF124" i="3" s="1"/>
  <c r="EF50" i="3"/>
  <c r="EF123" i="3" s="1"/>
  <c r="EF49" i="3"/>
  <c r="EF122" i="3" s="1"/>
  <c r="EF48" i="3"/>
  <c r="EF121" i="3" s="1"/>
  <c r="EF47" i="3"/>
  <c r="EF120" i="3" s="1"/>
  <c r="EF46" i="3"/>
  <c r="EF119" i="3" s="1"/>
  <c r="EF43" i="3"/>
  <c r="EG43" i="3" s="1"/>
  <c r="DZ124" i="3"/>
  <c r="DZ123" i="3"/>
  <c r="DZ122" i="3"/>
  <c r="DZ121" i="3"/>
  <c r="DZ120" i="3"/>
  <c r="DZ119" i="3"/>
  <c r="DY43" i="3"/>
  <c r="DY116" i="3" s="1"/>
  <c r="DV43" i="3"/>
  <c r="DU43" i="3"/>
  <c r="DT43" i="3"/>
  <c r="DS43" i="3"/>
  <c r="DP43" i="3"/>
  <c r="DO43" i="3"/>
  <c r="DN43" i="3"/>
  <c r="DM43" i="3"/>
  <c r="DJ43" i="3"/>
  <c r="DI43" i="3"/>
  <c r="DH43" i="3"/>
  <c r="DG43" i="3"/>
  <c r="DG116" i="3" s="1"/>
  <c r="DD43" i="3"/>
  <c r="DC43" i="3"/>
  <c r="DB43" i="3"/>
  <c r="DB116" i="3" s="1"/>
  <c r="CX43" i="3"/>
  <c r="CY43" i="3" s="1"/>
  <c r="CV43" i="3"/>
  <c r="CV116" i="3" s="1"/>
  <c r="CU43" i="3"/>
  <c r="CR43" i="3"/>
  <c r="CR116" i="3" s="1"/>
  <c r="CQ43" i="3"/>
  <c r="CP43" i="3"/>
  <c r="CO43" i="3"/>
  <c r="CL43" i="3"/>
  <c r="CK43" i="3"/>
  <c r="CJ43" i="3"/>
  <c r="CI43" i="3"/>
  <c r="CI116" i="3" s="1"/>
  <c r="CF43" i="3"/>
  <c r="CG43" i="3" s="1"/>
  <c r="CE43" i="3"/>
  <c r="CD43" i="3"/>
  <c r="CD116" i="3" s="1"/>
  <c r="CD125" i="3" s="1"/>
  <c r="CC43" i="3"/>
  <c r="CC116" i="3" s="1"/>
  <c r="BZ43" i="3"/>
  <c r="BY43" i="3"/>
  <c r="BX43" i="3"/>
  <c r="BX116" i="3" s="1"/>
  <c r="BX125" i="3" s="1"/>
  <c r="BW43" i="3"/>
  <c r="BT43" i="3"/>
  <c r="BT116" i="3" s="1"/>
  <c r="BT125" i="3" s="1"/>
  <c r="BS43" i="3"/>
  <c r="BS52" i="3" s="1"/>
  <c r="BR43" i="3"/>
  <c r="BQ43" i="3"/>
  <c r="BL44" i="3"/>
  <c r="BL117" i="3" s="1"/>
  <c r="BM43" i="3"/>
  <c r="BN43" i="3" s="1"/>
  <c r="BL43" i="3"/>
  <c r="BF44" i="3"/>
  <c r="BF117" i="3" s="1"/>
  <c r="BG43" i="3"/>
  <c r="BF43" i="3"/>
  <c r="BF116" i="3" s="1"/>
  <c r="AZ44" i="3"/>
  <c r="AZ117" i="3" s="1"/>
  <c r="BA43" i="3"/>
  <c r="BA116" i="3" s="1"/>
  <c r="AZ43" i="3"/>
  <c r="AZ116" i="3" s="1"/>
  <c r="AP43" i="3"/>
  <c r="AP116" i="3" s="1"/>
  <c r="AP125" i="3" s="1"/>
  <c r="AD43" i="3"/>
  <c r="X43" i="3"/>
  <c r="X52" i="3" s="1"/>
  <c r="Y52" i="3" s="1"/>
  <c r="R43" i="3"/>
  <c r="R116" i="3" s="1"/>
  <c r="R125" i="3" s="1"/>
  <c r="DI40" i="3"/>
  <c r="DJ39" i="3"/>
  <c r="DI39" i="3"/>
  <c r="DH39" i="3"/>
  <c r="DH40" i="3" s="1"/>
  <c r="DG39" i="3"/>
  <c r="CU39" i="3"/>
  <c r="CO40" i="3"/>
  <c r="CP39" i="3"/>
  <c r="CO39" i="3"/>
  <c r="CK40" i="3"/>
  <c r="CL39" i="3"/>
  <c r="CK39" i="3"/>
  <c r="CJ39" i="3"/>
  <c r="CJ40" i="3" s="1"/>
  <c r="CI39" i="3"/>
  <c r="BW39" i="3"/>
  <c r="DW37" i="3"/>
  <c r="DW36" i="3"/>
  <c r="DW35" i="3"/>
  <c r="DW34" i="3"/>
  <c r="DW33" i="3"/>
  <c r="DW32" i="3"/>
  <c r="DW31" i="3"/>
  <c r="DQ37" i="3"/>
  <c r="DQ36" i="3"/>
  <c r="DQ35" i="3"/>
  <c r="DQ34" i="3"/>
  <c r="DQ33" i="3"/>
  <c r="DQ32" i="3"/>
  <c r="DQ31" i="3"/>
  <c r="BU37" i="3"/>
  <c r="BU36" i="3"/>
  <c r="BU35" i="3"/>
  <c r="BU34" i="3"/>
  <c r="BU33" i="3"/>
  <c r="BU32" i="3"/>
  <c r="BU31" i="3"/>
  <c r="BU30" i="3"/>
  <c r="BO37" i="3"/>
  <c r="BO112" i="3" s="1"/>
  <c r="BO36" i="3"/>
  <c r="BO111" i="3" s="1"/>
  <c r="BO35" i="3"/>
  <c r="BO110" i="3" s="1"/>
  <c r="BO34" i="3"/>
  <c r="BO109" i="3" s="1"/>
  <c r="BO33" i="3"/>
  <c r="BO108" i="3" s="1"/>
  <c r="BO32" i="3"/>
  <c r="BO107" i="3" s="1"/>
  <c r="BO31" i="3"/>
  <c r="BO106" i="3" s="1"/>
  <c r="BI37" i="3"/>
  <c r="BI112" i="3" s="1"/>
  <c r="BI36" i="3"/>
  <c r="BI111" i="3" s="1"/>
  <c r="BI35" i="3"/>
  <c r="BI110" i="3" s="1"/>
  <c r="BI34" i="3"/>
  <c r="BI109" i="3" s="1"/>
  <c r="BI33" i="3"/>
  <c r="BI108" i="3" s="1"/>
  <c r="BI32" i="3"/>
  <c r="BI107" i="3" s="1"/>
  <c r="BI31" i="3"/>
  <c r="BI106" i="3" s="1"/>
  <c r="BC37" i="3"/>
  <c r="BC112" i="3" s="1"/>
  <c r="BC36" i="3"/>
  <c r="BC111" i="3" s="1"/>
  <c r="BC35" i="3"/>
  <c r="BC110" i="3" s="1"/>
  <c r="BC34" i="3"/>
  <c r="BC109" i="3" s="1"/>
  <c r="BC33" i="3"/>
  <c r="BC108" i="3" s="1"/>
  <c r="BC32" i="3"/>
  <c r="BC107" i="3" s="1"/>
  <c r="BC31" i="3"/>
  <c r="BC106" i="3" s="1"/>
  <c r="AW37" i="3"/>
  <c r="AW112" i="3" s="1"/>
  <c r="AW36" i="3"/>
  <c r="AW111" i="3" s="1"/>
  <c r="AW35" i="3"/>
  <c r="AW110" i="3" s="1"/>
  <c r="AW34" i="3"/>
  <c r="AW109" i="3" s="1"/>
  <c r="AW33" i="3"/>
  <c r="AW108" i="3" s="1"/>
  <c r="AW32" i="3"/>
  <c r="AW107" i="3" s="1"/>
  <c r="AW31" i="3"/>
  <c r="AW106" i="3" s="1"/>
  <c r="AQ37" i="3"/>
  <c r="AQ36" i="3"/>
  <c r="AQ35" i="3"/>
  <c r="AQ34" i="3"/>
  <c r="AQ33" i="3"/>
  <c r="AQ32" i="3"/>
  <c r="AQ31" i="3"/>
  <c r="DZ112" i="3"/>
  <c r="DZ108" i="3"/>
  <c r="DY30" i="3"/>
  <c r="DV30" i="3"/>
  <c r="DW30" i="3" s="1"/>
  <c r="DU30" i="3"/>
  <c r="DU39" i="3" s="1"/>
  <c r="DT30" i="3"/>
  <c r="DT39" i="3" s="1"/>
  <c r="DS30" i="3"/>
  <c r="DS39" i="3" s="1"/>
  <c r="DP30" i="3"/>
  <c r="DQ30" i="3" s="1"/>
  <c r="DO30" i="3"/>
  <c r="DN30" i="3"/>
  <c r="DM30" i="3"/>
  <c r="DK30" i="3"/>
  <c r="DE30" i="3"/>
  <c r="DA30" i="3"/>
  <c r="CX30" i="3"/>
  <c r="CW30" i="3"/>
  <c r="CV30" i="3"/>
  <c r="CS30" i="3"/>
  <c r="CM30" i="3"/>
  <c r="CG30" i="3"/>
  <c r="CA30" i="3"/>
  <c r="BL30" i="3"/>
  <c r="BL105" i="3" s="1"/>
  <c r="BF30" i="3"/>
  <c r="BF105" i="3" s="1"/>
  <c r="BA30" i="3"/>
  <c r="BA105" i="3" s="1"/>
  <c r="AZ30" i="3"/>
  <c r="AZ105" i="3" s="1"/>
  <c r="AV30" i="3"/>
  <c r="AV105" i="3" s="1"/>
  <c r="AP30" i="3"/>
  <c r="AP105" i="3" s="1"/>
  <c r="AK30" i="3"/>
  <c r="AD30" i="3"/>
  <c r="AD105" i="3" s="1"/>
  <c r="X30" i="3"/>
  <c r="X105" i="3" s="1"/>
  <c r="R30" i="3"/>
  <c r="R105" i="3" s="1"/>
  <c r="DW28" i="3"/>
  <c r="DW16" i="3"/>
  <c r="DW15" i="3"/>
  <c r="DW14" i="3"/>
  <c r="DW13" i="3"/>
  <c r="DQ28" i="3"/>
  <c r="DQ15" i="3"/>
  <c r="DQ14" i="3"/>
  <c r="DQ13" i="3"/>
  <c r="DK28" i="3"/>
  <c r="DK27" i="3"/>
  <c r="DK26" i="3"/>
  <c r="DK25" i="3"/>
  <c r="DK24" i="3"/>
  <c r="DK23" i="3"/>
  <c r="DK22" i="3"/>
  <c r="DK21" i="3"/>
  <c r="DK20" i="3"/>
  <c r="DK19" i="3"/>
  <c r="DK18" i="3"/>
  <c r="DK17" i="3"/>
  <c r="DK16" i="3"/>
  <c r="DK15" i="3"/>
  <c r="DK14" i="3"/>
  <c r="DK13" i="3"/>
  <c r="DE28" i="3"/>
  <c r="DE27" i="3"/>
  <c r="DE25" i="3"/>
  <c r="DE23" i="3"/>
  <c r="DE21" i="3"/>
  <c r="DE19" i="3"/>
  <c r="DE17" i="3"/>
  <c r="DE16" i="3"/>
  <c r="DE15" i="3"/>
  <c r="DE14" i="3"/>
  <c r="DE13" i="3"/>
  <c r="DC28" i="3"/>
  <c r="DV27" i="3"/>
  <c r="DV102" i="3" s="1"/>
  <c r="DV26" i="3"/>
  <c r="DV101" i="3" s="1"/>
  <c r="DV25" i="3"/>
  <c r="DV100" i="3" s="1"/>
  <c r="DV24" i="3"/>
  <c r="DV99" i="3" s="1"/>
  <c r="DV23" i="3"/>
  <c r="DV98" i="3" s="1"/>
  <c r="DV22" i="3"/>
  <c r="DV97" i="3" s="1"/>
  <c r="DV21" i="3"/>
  <c r="DV96" i="3" s="1"/>
  <c r="DV20" i="3"/>
  <c r="DV95" i="3" s="1"/>
  <c r="DV19" i="3"/>
  <c r="DV94" i="3" s="1"/>
  <c r="DV18" i="3"/>
  <c r="DV93" i="3" s="1"/>
  <c r="DV17" i="3"/>
  <c r="DV92" i="3" s="1"/>
  <c r="DD27" i="3"/>
  <c r="DD102" i="3" s="1"/>
  <c r="DD26" i="3"/>
  <c r="DD101" i="3" s="1"/>
  <c r="DD25" i="3"/>
  <c r="DD100" i="3" s="1"/>
  <c r="DD24" i="3"/>
  <c r="DD99" i="3" s="1"/>
  <c r="DD23" i="3"/>
  <c r="DD98" i="3" s="1"/>
  <c r="DD22" i="3"/>
  <c r="DD97" i="3" s="1"/>
  <c r="DD21" i="3"/>
  <c r="DD96" i="3" s="1"/>
  <c r="DD20" i="3"/>
  <c r="DD95" i="3" s="1"/>
  <c r="DD19" i="3"/>
  <c r="DD94" i="3" s="1"/>
  <c r="DD18" i="3"/>
  <c r="DD93" i="3" s="1"/>
  <c r="DD17" i="3"/>
  <c r="DD92" i="3" s="1"/>
  <c r="DB27" i="3"/>
  <c r="DB26" i="3"/>
  <c r="DB25" i="3"/>
  <c r="DB24" i="3"/>
  <c r="DB23" i="3"/>
  <c r="DB22" i="3"/>
  <c r="DB21" i="3"/>
  <c r="DB20" i="3"/>
  <c r="DB19" i="3"/>
  <c r="DB18" i="3"/>
  <c r="DB17" i="3"/>
  <c r="CY27" i="3"/>
  <c r="CY26" i="3"/>
  <c r="CY25" i="3"/>
  <c r="CY24" i="3"/>
  <c r="CY23" i="3"/>
  <c r="CY22" i="3"/>
  <c r="CY21" i="3"/>
  <c r="CY20" i="3"/>
  <c r="CY19" i="3"/>
  <c r="CY18" i="3"/>
  <c r="CY17" i="3"/>
  <c r="CY16" i="3"/>
  <c r="CY15" i="3"/>
  <c r="CY14" i="3"/>
  <c r="CY13" i="3"/>
  <c r="CV27" i="3"/>
  <c r="CV26" i="3"/>
  <c r="CV25" i="3"/>
  <c r="CV24" i="3"/>
  <c r="CV23" i="3"/>
  <c r="CV22" i="3"/>
  <c r="CV21" i="3"/>
  <c r="CV20" i="3"/>
  <c r="CV19" i="3"/>
  <c r="CV18" i="3"/>
  <c r="CM27" i="3"/>
  <c r="CM26" i="3"/>
  <c r="CM25" i="3"/>
  <c r="CM24" i="3"/>
  <c r="CM23" i="3"/>
  <c r="CM22" i="3"/>
  <c r="CM21" i="3"/>
  <c r="CM20" i="3"/>
  <c r="CM19" i="3"/>
  <c r="CM18" i="3"/>
  <c r="CM17" i="3"/>
  <c r="CM16" i="3"/>
  <c r="CM15" i="3"/>
  <c r="CM14" i="3"/>
  <c r="CM13" i="3"/>
  <c r="CG27" i="3"/>
  <c r="CG24" i="3"/>
  <c r="CG22" i="3"/>
  <c r="CG21" i="3"/>
  <c r="CG20" i="3"/>
  <c r="CG19" i="3"/>
  <c r="CG18" i="3"/>
  <c r="CG17" i="3"/>
  <c r="CG16" i="3"/>
  <c r="CG15" i="3"/>
  <c r="CG14" i="3"/>
  <c r="CG13" i="3"/>
  <c r="CD27" i="3"/>
  <c r="CC27" i="3"/>
  <c r="CC102" i="3" s="1"/>
  <c r="CA27" i="3"/>
  <c r="CA19" i="3"/>
  <c r="CA17" i="3"/>
  <c r="CA16" i="3"/>
  <c r="CA15" i="3"/>
  <c r="CA14" i="3"/>
  <c r="CA13" i="3"/>
  <c r="BX27" i="3"/>
  <c r="BX102" i="3" s="1"/>
  <c r="BU27" i="3"/>
  <c r="BU26" i="3"/>
  <c r="BU25" i="3"/>
  <c r="BU24" i="3"/>
  <c r="BU23" i="3"/>
  <c r="BU22" i="3"/>
  <c r="BU21" i="3"/>
  <c r="BU20" i="3"/>
  <c r="BU19" i="3"/>
  <c r="BU18" i="3"/>
  <c r="BU17" i="3"/>
  <c r="BU16" i="3"/>
  <c r="BU15" i="3"/>
  <c r="BU14" i="3"/>
  <c r="BU13" i="3"/>
  <c r="BC27" i="3"/>
  <c r="BC26" i="3"/>
  <c r="BC25" i="3"/>
  <c r="BC24" i="3"/>
  <c r="BC23" i="3"/>
  <c r="BC22" i="3"/>
  <c r="BC21" i="3"/>
  <c r="BC20" i="3"/>
  <c r="BC19" i="3"/>
  <c r="BC18" i="3"/>
  <c r="BC17" i="3"/>
  <c r="AW27" i="3"/>
  <c r="AW26" i="3"/>
  <c r="AW25" i="3"/>
  <c r="AW24" i="3"/>
  <c r="AW23" i="3"/>
  <c r="AW22" i="3"/>
  <c r="AW21" i="3"/>
  <c r="AW20" i="3"/>
  <c r="AW19" i="3"/>
  <c r="AW18" i="3"/>
  <c r="AW17" i="3"/>
  <c r="AW16" i="3"/>
  <c r="AW15" i="3"/>
  <c r="AW14" i="3"/>
  <c r="AW13" i="3"/>
  <c r="AQ27" i="3"/>
  <c r="AQ26" i="3"/>
  <c r="AQ25" i="3"/>
  <c r="AQ24" i="3"/>
  <c r="AQ23" i="3"/>
  <c r="AQ22" i="3"/>
  <c r="AQ21" i="3"/>
  <c r="AQ20" i="3"/>
  <c r="AQ19" i="3"/>
  <c r="AQ18" i="3"/>
  <c r="AQ17" i="3"/>
  <c r="AQ14" i="3"/>
  <c r="AQ13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CE26" i="3"/>
  <c r="CE101" i="3" s="1"/>
  <c r="CD26" i="3"/>
  <c r="CD101" i="3" s="1"/>
  <c r="CD25" i="3"/>
  <c r="CD100" i="3" s="1"/>
  <c r="CD24" i="3"/>
  <c r="CD99" i="3" s="1"/>
  <c r="CE23" i="3"/>
  <c r="CE98" i="3" s="1"/>
  <c r="CD23" i="3"/>
  <c r="CD98" i="3" s="1"/>
  <c r="BG27" i="3"/>
  <c r="BG102" i="3" s="1"/>
  <c r="BG26" i="3"/>
  <c r="BG101" i="3" s="1"/>
  <c r="BG25" i="3"/>
  <c r="BG100" i="3" s="1"/>
  <c r="BH24" i="3"/>
  <c r="BH99" i="3" s="1"/>
  <c r="BG24" i="3"/>
  <c r="BG99" i="3" s="1"/>
  <c r="BG23" i="3"/>
  <c r="BG98" i="3" s="1"/>
  <c r="CD22" i="3"/>
  <c r="CD21" i="3"/>
  <c r="CD96" i="3" s="1"/>
  <c r="CD20" i="3"/>
  <c r="CD95" i="3" s="1"/>
  <c r="BI22" i="3"/>
  <c r="BI18" i="3"/>
  <c r="BI17" i="3"/>
  <c r="BI16" i="3"/>
  <c r="CE21" i="3"/>
  <c r="CE20" i="3"/>
  <c r="CQ27" i="3"/>
  <c r="CQ102" i="3" s="1"/>
  <c r="CR26" i="3"/>
  <c r="CR101" i="3" s="1"/>
  <c r="CQ26" i="3"/>
  <c r="CQ101" i="3" s="1"/>
  <c r="CQ25" i="3"/>
  <c r="CQ100" i="3" s="1"/>
  <c r="CQ24" i="3"/>
  <c r="CQ99" i="3" s="1"/>
  <c r="CQ23" i="3"/>
  <c r="CQ98" i="3" s="1"/>
  <c r="CR22" i="3"/>
  <c r="CR97" i="3" s="1"/>
  <c r="CQ22" i="3"/>
  <c r="CQ97" i="3" s="1"/>
  <c r="CQ21" i="3"/>
  <c r="CQ96" i="3" s="1"/>
  <c r="CQ20" i="3"/>
  <c r="CQ95" i="3" s="1"/>
  <c r="BX26" i="3"/>
  <c r="BX101" i="3" s="1"/>
  <c r="BY25" i="3"/>
  <c r="BY100" i="3" s="1"/>
  <c r="BX25" i="3"/>
  <c r="BX100" i="3" s="1"/>
  <c r="BX24" i="3"/>
  <c r="BX99" i="3" s="1"/>
  <c r="BX23" i="3"/>
  <c r="BX98" i="3" s="1"/>
  <c r="BX22" i="3"/>
  <c r="BX97" i="3" s="1"/>
  <c r="BY21" i="3"/>
  <c r="BY96" i="3" s="1"/>
  <c r="BX21" i="3"/>
  <c r="BX96" i="3" s="1"/>
  <c r="BX20" i="3"/>
  <c r="BX95" i="3" s="1"/>
  <c r="BG21" i="3"/>
  <c r="BG96" i="3" s="1"/>
  <c r="BG20" i="3"/>
  <c r="BG95" i="3" s="1"/>
  <c r="BG19" i="3"/>
  <c r="BG94" i="3" s="1"/>
  <c r="BY18" i="3"/>
  <c r="BY93" i="3" s="1"/>
  <c r="BX18" i="3"/>
  <c r="BX93" i="3" s="1"/>
  <c r="BG18" i="3"/>
  <c r="BG17" i="3"/>
  <c r="BG16" i="3"/>
  <c r="CS19" i="3"/>
  <c r="CR19" i="3"/>
  <c r="CR94" i="3" s="1"/>
  <c r="CR18" i="3"/>
  <c r="CR93" i="3" s="1"/>
  <c r="CS17" i="3"/>
  <c r="CR17" i="3"/>
  <c r="CR92" i="3" s="1"/>
  <c r="CD18" i="3"/>
  <c r="CD93" i="3" s="1"/>
  <c r="CE17" i="3"/>
  <c r="CD17" i="3"/>
  <c r="CD92" i="3" s="1"/>
  <c r="BM27" i="3"/>
  <c r="BM102" i="3" s="1"/>
  <c r="BL27" i="3"/>
  <c r="BL102" i="3" s="1"/>
  <c r="BM26" i="3"/>
  <c r="BM101" i="3" s="1"/>
  <c r="BL26" i="3"/>
  <c r="BL101" i="3" s="1"/>
  <c r="BM25" i="3"/>
  <c r="BM100" i="3" s="1"/>
  <c r="BL25" i="3"/>
  <c r="BL100" i="3" s="1"/>
  <c r="BM24" i="3"/>
  <c r="BM99" i="3" s="1"/>
  <c r="BL24" i="3"/>
  <c r="BL99" i="3" s="1"/>
  <c r="BM23" i="3"/>
  <c r="BM98" i="3" s="1"/>
  <c r="BL23" i="3"/>
  <c r="BL98" i="3" s="1"/>
  <c r="BM22" i="3"/>
  <c r="BM97" i="3" s="1"/>
  <c r="BL22" i="3"/>
  <c r="BL97" i="3" s="1"/>
  <c r="BM21" i="3"/>
  <c r="BM96" i="3" s="1"/>
  <c r="BL21" i="3"/>
  <c r="BL96" i="3" s="1"/>
  <c r="BM20" i="3"/>
  <c r="BM95" i="3" s="1"/>
  <c r="BL20" i="3"/>
  <c r="BL95" i="3" s="1"/>
  <c r="BM19" i="3"/>
  <c r="BM94" i="3" s="1"/>
  <c r="BL19" i="3"/>
  <c r="BL94" i="3" s="1"/>
  <c r="BM18" i="3"/>
  <c r="BM93" i="3" s="1"/>
  <c r="BL18" i="3"/>
  <c r="BL93" i="3" s="1"/>
  <c r="BM17" i="3"/>
  <c r="BM92" i="3" s="1"/>
  <c r="BL17" i="3"/>
  <c r="BL92" i="3" s="1"/>
  <c r="EM28" i="3"/>
  <c r="EM103" i="3" s="1"/>
  <c r="EL28" i="3"/>
  <c r="EL103" i="3" s="1"/>
  <c r="EM27" i="3"/>
  <c r="EM102" i="3" s="1"/>
  <c r="EL27" i="3"/>
  <c r="EL102" i="3" s="1"/>
  <c r="EM26" i="3"/>
  <c r="EM101" i="3" s="1"/>
  <c r="EL26" i="3"/>
  <c r="EL101" i="3" s="1"/>
  <c r="EM25" i="3"/>
  <c r="EM100" i="3" s="1"/>
  <c r="EL25" i="3"/>
  <c r="EL100" i="3" s="1"/>
  <c r="EM24" i="3"/>
  <c r="EM99" i="3" s="1"/>
  <c r="EL24" i="3"/>
  <c r="EL99" i="3" s="1"/>
  <c r="EM23" i="3"/>
  <c r="EM98" i="3" s="1"/>
  <c r="EL23" i="3"/>
  <c r="EL98" i="3" s="1"/>
  <c r="EM22" i="3"/>
  <c r="EM97" i="3" s="1"/>
  <c r="EL22" i="3"/>
  <c r="EL97" i="3" s="1"/>
  <c r="EM21" i="3"/>
  <c r="EM96" i="3" s="1"/>
  <c r="EL21" i="3"/>
  <c r="EL96" i="3" s="1"/>
  <c r="EM20" i="3"/>
  <c r="EM95" i="3" s="1"/>
  <c r="EL20" i="3"/>
  <c r="EL95" i="3" s="1"/>
  <c r="EM19" i="3"/>
  <c r="EM94" i="3" s="1"/>
  <c r="EL19" i="3"/>
  <c r="EL94" i="3" s="1"/>
  <c r="EM18" i="3"/>
  <c r="EM93" i="3" s="1"/>
  <c r="EL18" i="3"/>
  <c r="EL93" i="3" s="1"/>
  <c r="EM17" i="3"/>
  <c r="EM92" i="3" s="1"/>
  <c r="EL17" i="3"/>
  <c r="EL92" i="3" s="1"/>
  <c r="EK16" i="3"/>
  <c r="EK91" i="3" s="1"/>
  <c r="EF28" i="3"/>
  <c r="EF103" i="3" s="1"/>
  <c r="EF27" i="3"/>
  <c r="EF102" i="3" s="1"/>
  <c r="EF26" i="3"/>
  <c r="EF101" i="3" s="1"/>
  <c r="EF25" i="3"/>
  <c r="EF100" i="3" s="1"/>
  <c r="EF24" i="3"/>
  <c r="EF99" i="3" s="1"/>
  <c r="EF23" i="3"/>
  <c r="EF98" i="3" s="1"/>
  <c r="EF22" i="3"/>
  <c r="EF97" i="3" s="1"/>
  <c r="EF21" i="3"/>
  <c r="EF96" i="3" s="1"/>
  <c r="EF20" i="3"/>
  <c r="EF95" i="3" s="1"/>
  <c r="EF19" i="3"/>
  <c r="EF94" i="3" s="1"/>
  <c r="EF18" i="3"/>
  <c r="EF93" i="3" s="1"/>
  <c r="EF17" i="3"/>
  <c r="EF92" i="3" s="1"/>
  <c r="EE16" i="3"/>
  <c r="EE91" i="3" s="1"/>
  <c r="EA103" i="3"/>
  <c r="DZ103" i="3"/>
  <c r="EA102" i="3"/>
  <c r="DZ102" i="3"/>
  <c r="EA101" i="3"/>
  <c r="DZ101" i="3"/>
  <c r="EA100" i="3"/>
  <c r="DZ100" i="3"/>
  <c r="EA99" i="3"/>
  <c r="DZ99" i="3"/>
  <c r="EA98" i="3"/>
  <c r="DZ98" i="3"/>
  <c r="EA97" i="3"/>
  <c r="DZ97" i="3"/>
  <c r="EA96" i="3"/>
  <c r="DZ96" i="3"/>
  <c r="EA95" i="3"/>
  <c r="DZ95" i="3"/>
  <c r="DZ94" i="3"/>
  <c r="DZ93" i="3"/>
  <c r="DZ92" i="3"/>
  <c r="DN27" i="3"/>
  <c r="DN102" i="3" s="1"/>
  <c r="DO26" i="3"/>
  <c r="DO101" i="3" s="1"/>
  <c r="DN26" i="3"/>
  <c r="DN101" i="3" s="1"/>
  <c r="DN25" i="3"/>
  <c r="DN100" i="3" s="1"/>
  <c r="DN24" i="3"/>
  <c r="DN99" i="3" s="1"/>
  <c r="DN23" i="3"/>
  <c r="DN98" i="3" s="1"/>
  <c r="DO22" i="3"/>
  <c r="DO97" i="3" s="1"/>
  <c r="DN22" i="3"/>
  <c r="DN97" i="3" s="1"/>
  <c r="DN21" i="3"/>
  <c r="DN96" i="3" s="1"/>
  <c r="DN20" i="3"/>
  <c r="DN95" i="3" s="1"/>
  <c r="DN19" i="3"/>
  <c r="DN94" i="3" s="1"/>
  <c r="DO18" i="3"/>
  <c r="DO93" i="3" s="1"/>
  <c r="DN18" i="3"/>
  <c r="DN93" i="3" s="1"/>
  <c r="DN17" i="3"/>
  <c r="DN92" i="3" s="1"/>
  <c r="CS16" i="3"/>
  <c r="CS15" i="3"/>
  <c r="CS14" i="3"/>
  <c r="CS13" i="3"/>
  <c r="BY17" i="3"/>
  <c r="BX17" i="3"/>
  <c r="BX92" i="3" s="1"/>
  <c r="BX16" i="3"/>
  <c r="BX91" i="3" s="1"/>
  <c r="BM16" i="3"/>
  <c r="BM91" i="3" s="1"/>
  <c r="AP15" i="3"/>
  <c r="AP90" i="3" s="1"/>
  <c r="EO15" i="3"/>
  <c r="EI15" i="3"/>
  <c r="BO15" i="3"/>
  <c r="BF15" i="3"/>
  <c r="BF90" i="3" s="1"/>
  <c r="BF14" i="3"/>
  <c r="BF89" i="3" s="1"/>
  <c r="BF13" i="3"/>
  <c r="BF88" i="3" s="1"/>
  <c r="BL14" i="3"/>
  <c r="BL89" i="3" s="1"/>
  <c r="BL13" i="3"/>
  <c r="BL88" i="3" s="1"/>
  <c r="BA16" i="3"/>
  <c r="BA91" i="3" s="1"/>
  <c r="AZ16" i="3"/>
  <c r="AZ91" i="3" s="1"/>
  <c r="AZ15" i="3"/>
  <c r="AZ90" i="3" s="1"/>
  <c r="AZ14" i="3"/>
  <c r="AZ89" i="3" s="1"/>
  <c r="AZ13" i="3"/>
  <c r="AZ88" i="3" s="1"/>
  <c r="DQ10" i="3"/>
  <c r="DK10" i="3"/>
  <c r="EO7" i="3"/>
  <c r="EO82" i="3" s="1"/>
  <c r="EN7" i="3"/>
  <c r="EN82" i="3" s="1"/>
  <c r="EM7" i="3"/>
  <c r="EM82" i="3" s="1"/>
  <c r="EL7" i="3"/>
  <c r="EL82" i="3" s="1"/>
  <c r="EK7" i="3"/>
  <c r="EK82" i="3" s="1"/>
  <c r="EI7" i="3"/>
  <c r="EI82" i="3" s="1"/>
  <c r="EH7" i="3"/>
  <c r="EH82" i="3" s="1"/>
  <c r="EG7" i="3"/>
  <c r="EG82" i="3" s="1"/>
  <c r="EF7" i="3"/>
  <c r="EF82" i="3" s="1"/>
  <c r="EE7" i="3"/>
  <c r="EE82" i="3" s="1"/>
  <c r="EC7" i="3"/>
  <c r="EC82" i="3" s="1"/>
  <c r="EB7" i="3"/>
  <c r="EB82" i="3" s="1"/>
  <c r="EA7" i="3"/>
  <c r="EA82" i="3" s="1"/>
  <c r="DZ7" i="3"/>
  <c r="DZ82" i="3" s="1"/>
  <c r="DY7" i="3"/>
  <c r="DY82" i="3" s="1"/>
  <c r="DW7" i="3"/>
  <c r="DW82" i="3" s="1"/>
  <c r="DV7" i="3"/>
  <c r="DV82" i="3" s="1"/>
  <c r="DU7" i="3"/>
  <c r="DU82" i="3" s="1"/>
  <c r="DT7" i="3"/>
  <c r="DT82" i="3" s="1"/>
  <c r="DS7" i="3"/>
  <c r="DS82" i="3" s="1"/>
  <c r="DQ7" i="3"/>
  <c r="DQ82" i="3" s="1"/>
  <c r="DP7" i="3"/>
  <c r="DP82" i="3" s="1"/>
  <c r="DO7" i="3"/>
  <c r="DO82" i="3" s="1"/>
  <c r="DN7" i="3"/>
  <c r="DN82" i="3" s="1"/>
  <c r="DM7" i="3"/>
  <c r="DM82" i="3" s="1"/>
  <c r="DK7" i="3"/>
  <c r="DK82" i="3" s="1"/>
  <c r="DJ7" i="3"/>
  <c r="DJ82" i="3" s="1"/>
  <c r="DI7" i="3"/>
  <c r="DI82" i="3" s="1"/>
  <c r="DH7" i="3"/>
  <c r="DH82" i="3" s="1"/>
  <c r="DG7" i="3"/>
  <c r="DG82" i="3" s="1"/>
  <c r="DE7" i="3"/>
  <c r="DE82" i="3" s="1"/>
  <c r="DD7" i="3"/>
  <c r="DD82" i="3" s="1"/>
  <c r="DC7" i="3"/>
  <c r="DC82" i="3" s="1"/>
  <c r="DB7" i="3"/>
  <c r="DB82" i="3" s="1"/>
  <c r="DA7" i="3"/>
  <c r="DA82" i="3" s="1"/>
  <c r="CY7" i="3"/>
  <c r="CY82" i="3" s="1"/>
  <c r="CX7" i="3"/>
  <c r="CX82" i="3" s="1"/>
  <c r="CW7" i="3"/>
  <c r="CW82" i="3" s="1"/>
  <c r="CV7" i="3"/>
  <c r="CV82" i="3" s="1"/>
  <c r="CU7" i="3"/>
  <c r="CU82" i="3" s="1"/>
  <c r="CS7" i="3"/>
  <c r="CS82" i="3" s="1"/>
  <c r="CR7" i="3"/>
  <c r="CR82" i="3" s="1"/>
  <c r="CQ7" i="3"/>
  <c r="CQ82" i="3" s="1"/>
  <c r="CP7" i="3"/>
  <c r="CP82" i="3" s="1"/>
  <c r="CO7" i="3"/>
  <c r="CO82" i="3" s="1"/>
  <c r="CM7" i="3"/>
  <c r="CM82" i="3" s="1"/>
  <c r="CL7" i="3"/>
  <c r="CL82" i="3" s="1"/>
  <c r="CK7" i="3"/>
  <c r="CK82" i="3" s="1"/>
  <c r="CJ7" i="3"/>
  <c r="CJ82" i="3" s="1"/>
  <c r="CI7" i="3"/>
  <c r="CI82" i="3" s="1"/>
  <c r="CG7" i="3"/>
  <c r="CG82" i="3" s="1"/>
  <c r="CF7" i="3"/>
  <c r="CF82" i="3" s="1"/>
  <c r="CE7" i="3"/>
  <c r="CE82" i="3" s="1"/>
  <c r="CD7" i="3"/>
  <c r="CD82" i="3" s="1"/>
  <c r="CC7" i="3"/>
  <c r="CC82" i="3" s="1"/>
  <c r="CA7" i="3"/>
  <c r="CA82" i="3" s="1"/>
  <c r="BZ7" i="3"/>
  <c r="BZ82" i="3" s="1"/>
  <c r="BY7" i="3"/>
  <c r="BY82" i="3" s="1"/>
  <c r="BX7" i="3"/>
  <c r="BX82" i="3" s="1"/>
  <c r="BW7" i="3"/>
  <c r="BW82" i="3" s="1"/>
  <c r="BU7" i="3"/>
  <c r="BU82" i="3" s="1"/>
  <c r="BT7" i="3"/>
  <c r="BT82" i="3" s="1"/>
  <c r="BS7" i="3"/>
  <c r="BS82" i="3" s="1"/>
  <c r="BR7" i="3"/>
  <c r="BR82" i="3" s="1"/>
  <c r="BQ7" i="3"/>
  <c r="BQ82" i="3" s="1"/>
  <c r="BO7" i="3"/>
  <c r="BO82" i="3" s="1"/>
  <c r="BN7" i="3"/>
  <c r="BN82" i="3" s="1"/>
  <c r="BM7" i="3"/>
  <c r="BM82" i="3" s="1"/>
  <c r="BL7" i="3"/>
  <c r="BL82" i="3" s="1"/>
  <c r="BK7" i="3"/>
  <c r="BK82" i="3" s="1"/>
  <c r="BI7" i="3"/>
  <c r="BI82" i="3" s="1"/>
  <c r="BH7" i="3"/>
  <c r="BH82" i="3" s="1"/>
  <c r="BG7" i="3"/>
  <c r="BG82" i="3" s="1"/>
  <c r="BF7" i="3"/>
  <c r="BF82" i="3" s="1"/>
  <c r="BE7" i="3"/>
  <c r="BE82" i="3" s="1"/>
  <c r="BC7" i="3"/>
  <c r="BC82" i="3" s="1"/>
  <c r="BB7" i="3"/>
  <c r="BB82" i="3" s="1"/>
  <c r="BA7" i="3"/>
  <c r="BA82" i="3" s="1"/>
  <c r="AZ7" i="3"/>
  <c r="AZ82" i="3" s="1"/>
  <c r="AY7" i="3"/>
  <c r="AY82" i="3" s="1"/>
  <c r="AW7" i="3"/>
  <c r="AW82" i="3" s="1"/>
  <c r="AV7" i="3"/>
  <c r="AV82" i="3" s="1"/>
  <c r="AU7" i="3"/>
  <c r="AU82" i="3" s="1"/>
  <c r="AT7" i="3"/>
  <c r="AT82" i="3" s="1"/>
  <c r="AS7" i="3"/>
  <c r="AS82" i="3" s="1"/>
  <c r="AQ7" i="3"/>
  <c r="AQ82" i="3" s="1"/>
  <c r="AP7" i="3"/>
  <c r="AP82" i="3" s="1"/>
  <c r="AO7" i="3"/>
  <c r="AO82" i="3" s="1"/>
  <c r="AN7" i="3"/>
  <c r="AN82" i="3" s="1"/>
  <c r="AM7" i="3"/>
  <c r="AM82" i="3" s="1"/>
  <c r="AK7" i="3"/>
  <c r="AK82" i="3" s="1"/>
  <c r="AJ7" i="3"/>
  <c r="AJ82" i="3" s="1"/>
  <c r="AI7" i="3"/>
  <c r="AI82" i="3" s="1"/>
  <c r="AH7" i="3"/>
  <c r="AH82" i="3" s="1"/>
  <c r="AG7" i="3"/>
  <c r="AG82" i="3" s="1"/>
  <c r="AE7" i="3"/>
  <c r="AE82" i="3" s="1"/>
  <c r="AD7" i="3"/>
  <c r="AD82" i="3" s="1"/>
  <c r="AC7" i="3"/>
  <c r="AC82" i="3" s="1"/>
  <c r="AB7" i="3"/>
  <c r="AB82" i="3" s="1"/>
  <c r="AA7" i="3"/>
  <c r="AA82" i="3" s="1"/>
  <c r="Y7" i="3"/>
  <c r="Y82" i="3" s="1"/>
  <c r="X7" i="3"/>
  <c r="X82" i="3" s="1"/>
  <c r="W7" i="3"/>
  <c r="W82" i="3" s="1"/>
  <c r="V7" i="3"/>
  <c r="V82" i="3" s="1"/>
  <c r="U7" i="3"/>
  <c r="U82" i="3" s="1"/>
  <c r="S7" i="3"/>
  <c r="S82" i="3" s="1"/>
  <c r="R7" i="3"/>
  <c r="R82" i="3" s="1"/>
  <c r="Q7" i="3"/>
  <c r="Q82" i="3" s="1"/>
  <c r="P7" i="3"/>
  <c r="P82" i="3" s="1"/>
  <c r="O7" i="3"/>
  <c r="O82" i="3" s="1"/>
  <c r="M7" i="3"/>
  <c r="L7" i="3"/>
  <c r="K7" i="3"/>
  <c r="J7" i="3"/>
  <c r="I7" i="3"/>
  <c r="G7" i="3"/>
  <c r="F7" i="3"/>
  <c r="E7" i="3"/>
  <c r="D7" i="3"/>
  <c r="C7" i="3"/>
  <c r="EK6" i="3"/>
  <c r="EK81" i="3" s="1"/>
  <c r="EE6" i="3"/>
  <c r="EE81" i="3" s="1"/>
  <c r="DY6" i="3"/>
  <c r="DY81" i="3" s="1"/>
  <c r="DS6" i="3"/>
  <c r="DS81" i="3" s="1"/>
  <c r="DM6" i="3"/>
  <c r="DM81" i="3" s="1"/>
  <c r="DG6" i="3"/>
  <c r="DG81" i="3" s="1"/>
  <c r="DA6" i="3"/>
  <c r="DA81" i="3" s="1"/>
  <c r="CU6" i="3"/>
  <c r="CU81" i="3" s="1"/>
  <c r="CO6" i="3"/>
  <c r="CO81" i="3" s="1"/>
  <c r="CI6" i="3"/>
  <c r="CI81" i="3" s="1"/>
  <c r="CC6" i="3"/>
  <c r="CC81" i="3" s="1"/>
  <c r="BW6" i="3"/>
  <c r="BW81" i="3" s="1"/>
  <c r="BQ6" i="3"/>
  <c r="BQ81" i="3" s="1"/>
  <c r="BK6" i="3"/>
  <c r="BK81" i="3" s="1"/>
  <c r="BE6" i="3"/>
  <c r="BE81" i="3" s="1"/>
  <c r="AY6" i="3"/>
  <c r="AY81" i="3" s="1"/>
  <c r="AS6" i="3"/>
  <c r="AS81" i="3" s="1"/>
  <c r="AM6" i="3"/>
  <c r="AM81" i="3" s="1"/>
  <c r="AG6" i="3"/>
  <c r="AG81" i="3" s="1"/>
  <c r="AA6" i="3"/>
  <c r="AA81" i="3" s="1"/>
  <c r="U6" i="3"/>
  <c r="U81" i="3" s="1"/>
  <c r="O6" i="3"/>
  <c r="O81" i="3" s="1"/>
  <c r="I6" i="3"/>
  <c r="C6" i="3"/>
  <c r="A1" i="3"/>
  <c r="A76" i="3" s="1"/>
  <c r="BZ307" i="2"/>
  <c r="BZ306" i="2"/>
  <c r="BZ305" i="2"/>
  <c r="BZ304" i="2"/>
  <c r="BZ303" i="2"/>
  <c r="BZ302" i="2"/>
  <c r="BK297" i="2"/>
  <c r="AX297" i="2"/>
  <c r="AQ296" i="2"/>
  <c r="AQ295" i="2"/>
  <c r="AK296" i="2"/>
  <c r="AK295" i="2"/>
  <c r="AE296" i="2"/>
  <c r="AE295" i="2"/>
  <c r="Y296" i="2"/>
  <c r="Y295" i="2"/>
  <c r="S296" i="2"/>
  <c r="S295" i="2"/>
  <c r="BH296" i="2"/>
  <c r="BH295" i="2"/>
  <c r="BB296" i="2"/>
  <c r="BB295" i="2"/>
  <c r="AZ296" i="2"/>
  <c r="AY296" i="2"/>
  <c r="BA295" i="2"/>
  <c r="AZ295" i="2"/>
  <c r="AY295" i="2"/>
  <c r="AY205" i="2" s="1"/>
  <c r="AV296" i="2"/>
  <c r="AW296" i="2" s="1"/>
  <c r="AU296" i="2"/>
  <c r="AT296" i="2"/>
  <c r="AS296" i="2"/>
  <c r="AV295" i="2"/>
  <c r="AU295" i="2"/>
  <c r="AT295" i="2"/>
  <c r="AS295" i="2"/>
  <c r="CM293" i="2"/>
  <c r="CM292" i="2"/>
  <c r="CG293" i="2"/>
  <c r="CG292" i="2"/>
  <c r="CA293" i="2"/>
  <c r="CA292" i="2"/>
  <c r="BU293" i="2"/>
  <c r="BU292" i="2"/>
  <c r="BO293" i="2"/>
  <c r="BO292" i="2"/>
  <c r="BK293" i="2"/>
  <c r="BK292" i="2"/>
  <c r="BK291" i="2"/>
  <c r="BI293" i="2"/>
  <c r="BI292" i="2"/>
  <c r="BI291" i="2"/>
  <c r="BC293" i="2"/>
  <c r="BC292" i="2"/>
  <c r="BC291" i="2"/>
  <c r="AQ291" i="2"/>
  <c r="BG293" i="2"/>
  <c r="BF293" i="2"/>
  <c r="BE293" i="2"/>
  <c r="BG292" i="2"/>
  <c r="BF292" i="2"/>
  <c r="BE292" i="2"/>
  <c r="BG291" i="2"/>
  <c r="BF291" i="2"/>
  <c r="BE291" i="2"/>
  <c r="AW288" i="2"/>
  <c r="AW293" i="2" s="1"/>
  <c r="AW287" i="2"/>
  <c r="AW292" i="2" s="1"/>
  <c r="AW286" i="2"/>
  <c r="AW285" i="2"/>
  <c r="AW291" i="2" s="1"/>
  <c r="AQ288" i="2"/>
  <c r="AQ293" i="2" s="1"/>
  <c r="AQ287" i="2"/>
  <c r="AQ292" i="2" s="1"/>
  <c r="AQ286" i="2"/>
  <c r="AQ285" i="2"/>
  <c r="CA276" i="2" s="1"/>
  <c r="AK288" i="2"/>
  <c r="AK293" i="2" s="1"/>
  <c r="AK287" i="2"/>
  <c r="AK292" i="2" s="1"/>
  <c r="AK286" i="2"/>
  <c r="AK285" i="2"/>
  <c r="AK291" i="2" s="1"/>
  <c r="AE288" i="2"/>
  <c r="AE293" i="2" s="1"/>
  <c r="AE287" i="2"/>
  <c r="AE292" i="2" s="1"/>
  <c r="AE286" i="2"/>
  <c r="AE285" i="2"/>
  <c r="BO276" i="2" s="1"/>
  <c r="Y288" i="2"/>
  <c r="Y293" i="2" s="1"/>
  <c r="Y287" i="2"/>
  <c r="Y292" i="2" s="1"/>
  <c r="Y286" i="2"/>
  <c r="Y285" i="2"/>
  <c r="Y291" i="2" s="1"/>
  <c r="S288" i="2"/>
  <c r="S293" i="2" s="1"/>
  <c r="S287" i="2"/>
  <c r="S292" i="2" s="1"/>
  <c r="S286" i="2"/>
  <c r="S285" i="2"/>
  <c r="BC276" i="2" s="1"/>
  <c r="BO285" i="2"/>
  <c r="BC277" i="2"/>
  <c r="CS276" i="2"/>
  <c r="CM276" i="2"/>
  <c r="CG276" i="2"/>
  <c r="BU276" i="2"/>
  <c r="BI277" i="2"/>
  <c r="BI276" i="2"/>
  <c r="BD272" i="2"/>
  <c r="AX272" i="2"/>
  <c r="EO272" i="2"/>
  <c r="EN272" i="2"/>
  <c r="EM272" i="2"/>
  <c r="EL272" i="2"/>
  <c r="EK272" i="2"/>
  <c r="EO271" i="2"/>
  <c r="EI272" i="2"/>
  <c r="EH272" i="2"/>
  <c r="EG272" i="2"/>
  <c r="EF272" i="2"/>
  <c r="EE272" i="2"/>
  <c r="EI271" i="2"/>
  <c r="EC272" i="2"/>
  <c r="EB272" i="2"/>
  <c r="EA272" i="2"/>
  <c r="DZ272" i="2"/>
  <c r="DY272" i="2"/>
  <c r="EC271" i="2"/>
  <c r="DW272" i="2"/>
  <c r="DV272" i="2"/>
  <c r="DU272" i="2"/>
  <c r="DT272" i="2"/>
  <c r="DS272" i="2"/>
  <c r="DW271" i="2"/>
  <c r="DQ272" i="2"/>
  <c r="DP272" i="2"/>
  <c r="DO272" i="2"/>
  <c r="DN272" i="2"/>
  <c r="DM272" i="2"/>
  <c r="DQ271" i="2"/>
  <c r="DK272" i="2"/>
  <c r="DJ272" i="2"/>
  <c r="DI272" i="2"/>
  <c r="DH272" i="2"/>
  <c r="DG272" i="2"/>
  <c r="DK271" i="2"/>
  <c r="DE272" i="2"/>
  <c r="DD272" i="2"/>
  <c r="DC272" i="2"/>
  <c r="DB272" i="2"/>
  <c r="DA272" i="2"/>
  <c r="DE271" i="2"/>
  <c r="CY272" i="2"/>
  <c r="CX272" i="2"/>
  <c r="CW272" i="2"/>
  <c r="CV272" i="2"/>
  <c r="CU272" i="2"/>
  <c r="CY271" i="2"/>
  <c r="CS272" i="2"/>
  <c r="CR272" i="2"/>
  <c r="CQ272" i="2"/>
  <c r="CP272" i="2"/>
  <c r="CO272" i="2"/>
  <c r="CS271" i="2"/>
  <c r="CM272" i="2"/>
  <c r="CL272" i="2"/>
  <c r="CK272" i="2"/>
  <c r="CJ272" i="2"/>
  <c r="CI272" i="2"/>
  <c r="CM271" i="2"/>
  <c r="CG272" i="2"/>
  <c r="CF272" i="2"/>
  <c r="CE272" i="2"/>
  <c r="CD272" i="2"/>
  <c r="CC272" i="2"/>
  <c r="CA272" i="2"/>
  <c r="BZ272" i="2"/>
  <c r="BY272" i="2"/>
  <c r="BX272" i="2"/>
  <c r="BW272" i="2"/>
  <c r="BU272" i="2"/>
  <c r="BT272" i="2"/>
  <c r="BS272" i="2"/>
  <c r="BR272" i="2"/>
  <c r="BQ272" i="2"/>
  <c r="AW225" i="2"/>
  <c r="AQ225" i="2"/>
  <c r="AK225" i="2"/>
  <c r="AE225" i="2"/>
  <c r="Y225" i="2"/>
  <c r="S225" i="2"/>
  <c r="CJ221" i="2"/>
  <c r="CK221" i="2" s="1"/>
  <c r="CO221" i="2" s="1"/>
  <c r="CG221" i="2"/>
  <c r="CE221" i="2"/>
  <c r="CI221" i="2" s="1"/>
  <c r="BO223" i="2"/>
  <c r="BL223" i="2"/>
  <c r="BM223" i="2" s="1"/>
  <c r="BO222" i="2"/>
  <c r="BN222" i="2"/>
  <c r="BR222" i="2" s="1"/>
  <c r="BS222" i="2" s="1"/>
  <c r="BM222" i="2"/>
  <c r="BQ222" i="2" s="1"/>
  <c r="BL222" i="2"/>
  <c r="BO221" i="2"/>
  <c r="BM221" i="2"/>
  <c r="BL221" i="2"/>
  <c r="CF214" i="2"/>
  <c r="BE214" i="2"/>
  <c r="AQ205" i="2"/>
  <c r="AQ203" i="2"/>
  <c r="AQ201" i="2"/>
  <c r="AK205" i="2"/>
  <c r="AK203" i="2"/>
  <c r="AK201" i="2"/>
  <c r="AE205" i="2"/>
  <c r="AE203" i="2"/>
  <c r="AE201" i="2"/>
  <c r="AE202" i="2" s="1"/>
  <c r="AE199" i="2"/>
  <c r="Y205" i="2"/>
  <c r="Y203" i="2"/>
  <c r="Y201" i="2"/>
  <c r="Y202" i="2" s="1"/>
  <c r="Y199" i="2"/>
  <c r="EO205" i="2"/>
  <c r="EI205" i="2"/>
  <c r="EC205" i="2"/>
  <c r="DW205" i="2"/>
  <c r="DQ205" i="2"/>
  <c r="DK205" i="2"/>
  <c r="DE205" i="2"/>
  <c r="CY205" i="2"/>
  <c r="CS205" i="2"/>
  <c r="CM205" i="2"/>
  <c r="CG205" i="2"/>
  <c r="CA205" i="2"/>
  <c r="BU205" i="2"/>
  <c r="BU204" i="2"/>
  <c r="BO205" i="2"/>
  <c r="BO200" i="2"/>
  <c r="BF205" i="2"/>
  <c r="BE205" i="2"/>
  <c r="AV205" i="2"/>
  <c r="AU205" i="2"/>
  <c r="AT205" i="2"/>
  <c r="AS205" i="2"/>
  <c r="S205" i="2"/>
  <c r="S203" i="2"/>
  <c r="S201" i="2"/>
  <c r="S199" i="2"/>
  <c r="BI205" i="2"/>
  <c r="BH205" i="2"/>
  <c r="BC205" i="2"/>
  <c r="BB205" i="2"/>
  <c r="BA205" i="2"/>
  <c r="AZ205" i="2"/>
  <c r="BF203" i="2"/>
  <c r="BG203" i="2" s="1"/>
  <c r="AZ203" i="2"/>
  <c r="BA203" i="2" s="1"/>
  <c r="AY203" i="2"/>
  <c r="CF202" i="2"/>
  <c r="CF204" i="2" s="1"/>
  <c r="BX202" i="2"/>
  <c r="BX204" i="2" s="1"/>
  <c r="BK201" i="2"/>
  <c r="BK200" i="2"/>
  <c r="BK210" i="2" s="1"/>
  <c r="BE202" i="2"/>
  <c r="BC202" i="2"/>
  <c r="BC204" i="2" s="1"/>
  <c r="BE204" i="2" s="1"/>
  <c r="AY201" i="2"/>
  <c r="AW203" i="2"/>
  <c r="AS203" i="2"/>
  <c r="AT203" i="2" s="1"/>
  <c r="AW201" i="2"/>
  <c r="AW202" i="2" s="1"/>
  <c r="AS201" i="2"/>
  <c r="DM200" i="2"/>
  <c r="DJ200" i="2"/>
  <c r="DI200" i="2"/>
  <c r="DH200" i="2"/>
  <c r="DG200" i="2"/>
  <c r="DD200" i="2"/>
  <c r="DC200" i="2"/>
  <c r="DB200" i="2"/>
  <c r="DA200" i="2"/>
  <c r="CX200" i="2"/>
  <c r="CV200" i="2"/>
  <c r="CU200" i="2"/>
  <c r="CR200" i="2"/>
  <c r="CQ200" i="2"/>
  <c r="CP200" i="2"/>
  <c r="CO200" i="2"/>
  <c r="CL200" i="2"/>
  <c r="CK200" i="2"/>
  <c r="CJ200" i="2"/>
  <c r="CI200" i="2"/>
  <c r="CF200" i="2"/>
  <c r="CE200" i="2"/>
  <c r="CD200" i="2"/>
  <c r="CC200" i="2"/>
  <c r="BZ200" i="2"/>
  <c r="BY200" i="2"/>
  <c r="BX200" i="2"/>
  <c r="BN200" i="2"/>
  <c r="BM200" i="2"/>
  <c r="BL200" i="2"/>
  <c r="BI201" i="2"/>
  <c r="BF201" i="2"/>
  <c r="BG201" i="2" s="1"/>
  <c r="BH200" i="2"/>
  <c r="BG200" i="2"/>
  <c r="BG212" i="2" s="1"/>
  <c r="BF200" i="2"/>
  <c r="BE200" i="2"/>
  <c r="BE208" i="2" s="1"/>
  <c r="BB200" i="2"/>
  <c r="BA200" i="2"/>
  <c r="BN188" i="2"/>
  <c r="BN272" i="2" s="1"/>
  <c r="BM188" i="2"/>
  <c r="BL188" i="2"/>
  <c r="BK188" i="2"/>
  <c r="BO187" i="2"/>
  <c r="BN187" i="2"/>
  <c r="BM187" i="2"/>
  <c r="BL187" i="2"/>
  <c r="BK187" i="2"/>
  <c r="BI188" i="2"/>
  <c r="BI272" i="2" s="1"/>
  <c r="BG188" i="2"/>
  <c r="BF188" i="2"/>
  <c r="AJ187" i="2"/>
  <c r="AI187" i="2"/>
  <c r="AH187" i="2"/>
  <c r="AG187" i="2"/>
  <c r="AD187" i="2"/>
  <c r="AC187" i="2"/>
  <c r="AB187" i="2"/>
  <c r="AA187" i="2"/>
  <c r="X187" i="2"/>
  <c r="W187" i="2"/>
  <c r="V187" i="2"/>
  <c r="U187" i="2"/>
  <c r="R187" i="2"/>
  <c r="Q187" i="2"/>
  <c r="P187" i="2"/>
  <c r="O187" i="2"/>
  <c r="BK171" i="2"/>
  <c r="BF171" i="2"/>
  <c r="BE171" i="2"/>
  <c r="BH168" i="2"/>
  <c r="BG168" i="2"/>
  <c r="BG169" i="2" s="1"/>
  <c r="BF168" i="2"/>
  <c r="BE168" i="2"/>
  <c r="BB168" i="2"/>
  <c r="BA168" i="2"/>
  <c r="AZ168" i="2"/>
  <c r="AY168" i="2"/>
  <c r="AV168" i="2"/>
  <c r="AU168" i="2"/>
  <c r="AT168" i="2"/>
  <c r="AT169" i="2" s="1"/>
  <c r="AS168" i="2"/>
  <c r="AP168" i="2"/>
  <c r="AO168" i="2"/>
  <c r="AN168" i="2"/>
  <c r="AN169" i="2" s="1"/>
  <c r="AM168" i="2"/>
  <c r="AJ168" i="2"/>
  <c r="AJ169" i="2" s="1"/>
  <c r="AI168" i="2"/>
  <c r="AH168" i="2"/>
  <c r="AG168" i="2"/>
  <c r="AD168" i="2"/>
  <c r="AC168" i="2"/>
  <c r="AB168" i="2"/>
  <c r="AA168" i="2"/>
  <c r="X168" i="2"/>
  <c r="X169" i="2" s="1"/>
  <c r="W168" i="2"/>
  <c r="V168" i="2"/>
  <c r="U168" i="2"/>
  <c r="R168" i="2"/>
  <c r="Q168" i="2"/>
  <c r="P168" i="2"/>
  <c r="O168" i="2"/>
  <c r="O169" i="2" s="1"/>
  <c r="BC162" i="2"/>
  <c r="AW162" i="2"/>
  <c r="AQ162" i="2"/>
  <c r="AK162" i="2"/>
  <c r="AE162" i="2"/>
  <c r="Y162" i="2"/>
  <c r="S161" i="2"/>
  <c r="S162" i="2" s="1"/>
  <c r="S165" i="2" s="1"/>
  <c r="BH159" i="2"/>
  <c r="DC154" i="2"/>
  <c r="DD154" i="2" s="1"/>
  <c r="DE154" i="2" s="1"/>
  <c r="DG154" i="2" s="1"/>
  <c r="CW154" i="2"/>
  <c r="CX154" i="2" s="1"/>
  <c r="CY154" i="2" s="1"/>
  <c r="DA154" i="2" s="1"/>
  <c r="CQ154" i="2"/>
  <c r="CR154" i="2" s="1"/>
  <c r="CK154" i="2"/>
  <c r="CL154" i="2" s="1"/>
  <c r="BC154" i="2"/>
  <c r="BE154" i="2" s="1"/>
  <c r="BF154" i="2" s="1"/>
  <c r="BG154" i="2" s="1"/>
  <c r="AZ154" i="2"/>
  <c r="AY154" i="2"/>
  <c r="AV154" i="2"/>
  <c r="AW154" i="2" s="1"/>
  <c r="AE154" i="2"/>
  <c r="AD154" i="2"/>
  <c r="S152" i="2"/>
  <c r="S150" i="2"/>
  <c r="S151" i="2" s="1"/>
  <c r="S148" i="2"/>
  <c r="S147" i="2"/>
  <c r="CF151" i="2"/>
  <c r="CE151" i="2"/>
  <c r="Y150" i="2"/>
  <c r="Y151" i="2" s="1"/>
  <c r="Y148" i="2"/>
  <c r="Y147" i="2"/>
  <c r="DW147" i="2"/>
  <c r="DU150" i="2"/>
  <c r="DT150" i="2"/>
  <c r="DG148" i="2"/>
  <c r="DG150" i="2" s="1"/>
  <c r="DK150" i="2" s="1"/>
  <c r="CG148" i="2"/>
  <c r="CG147" i="2"/>
  <c r="CD150" i="2"/>
  <c r="CD151" i="2" s="1"/>
  <c r="CC150" i="2"/>
  <c r="CC151" i="2" s="1"/>
  <c r="CO150" i="2"/>
  <c r="CO151" i="2" s="1"/>
  <c r="CJ150" i="2"/>
  <c r="CJ151" i="2" s="1"/>
  <c r="BZ150" i="2"/>
  <c r="BZ151" i="2" s="1"/>
  <c r="BY150" i="2"/>
  <c r="BY151" i="2" s="1"/>
  <c r="BX150" i="2"/>
  <c r="BX151" i="2" s="1"/>
  <c r="BT150" i="2"/>
  <c r="BT151" i="2" s="1"/>
  <c r="BS150" i="2"/>
  <c r="BS151" i="2" s="1"/>
  <c r="BR150" i="2"/>
  <c r="BR151" i="2" s="1"/>
  <c r="BQ150" i="2"/>
  <c r="BN150" i="2"/>
  <c r="BN151" i="2" s="1"/>
  <c r="BM150" i="2"/>
  <c r="BM151" i="2" s="1"/>
  <c r="BL150" i="2"/>
  <c r="BL151" i="2" s="1"/>
  <c r="DY148" i="2"/>
  <c r="DS148" i="2"/>
  <c r="DW148" i="2" s="1"/>
  <c r="DP148" i="2"/>
  <c r="DO148" i="2"/>
  <c r="DN148" i="2"/>
  <c r="DN150" i="2" s="1"/>
  <c r="DM148" i="2"/>
  <c r="DM150" i="2" s="1"/>
  <c r="DD148" i="2"/>
  <c r="DD150" i="2" s="1"/>
  <c r="DC148" i="2"/>
  <c r="DB148" i="2"/>
  <c r="DB150" i="2" s="1"/>
  <c r="DA148" i="2"/>
  <c r="DA150" i="2" s="1"/>
  <c r="CX148" i="2"/>
  <c r="CX150" i="2" s="1"/>
  <c r="CX141" i="2" s="1"/>
  <c r="DA141" i="2" s="1"/>
  <c r="DB141" i="2" s="1"/>
  <c r="DC141" i="2" s="1"/>
  <c r="DD141" i="2" s="1"/>
  <c r="CW148" i="2"/>
  <c r="CV148" i="2"/>
  <c r="CV150" i="2" s="1"/>
  <c r="CU148" i="2"/>
  <c r="CU150" i="2" s="1"/>
  <c r="CR148" i="2"/>
  <c r="CQ148" i="2"/>
  <c r="CP148" i="2"/>
  <c r="CP150" i="2" s="1"/>
  <c r="CP151" i="2" s="1"/>
  <c r="CL148" i="2"/>
  <c r="CL150" i="2" s="1"/>
  <c r="CL151" i="2" s="1"/>
  <c r="CK148" i="2"/>
  <c r="CI148" i="2"/>
  <c r="CI150" i="2" s="1"/>
  <c r="CA147" i="2"/>
  <c r="BW148" i="2"/>
  <c r="BU148" i="2"/>
  <c r="BU147" i="2"/>
  <c r="BO147" i="2"/>
  <c r="BK148" i="2"/>
  <c r="BO148" i="2" s="1"/>
  <c r="BG148" i="2"/>
  <c r="BF148" i="2"/>
  <c r="BF150" i="2" s="1"/>
  <c r="BF151" i="2" s="1"/>
  <c r="BE148" i="2"/>
  <c r="BE150" i="2" s="1"/>
  <c r="BE151" i="2" s="1"/>
  <c r="AZ148" i="2"/>
  <c r="AY148" i="2"/>
  <c r="EF147" i="2"/>
  <c r="EG147" i="2" s="1"/>
  <c r="EH147" i="2" s="1"/>
  <c r="EC147" i="2"/>
  <c r="DQ147" i="2"/>
  <c r="DJ148" i="2"/>
  <c r="DJ147" i="2" s="1"/>
  <c r="DI148" i="2"/>
  <c r="DI147" i="2" s="1"/>
  <c r="DH148" i="2"/>
  <c r="DH147" i="2"/>
  <c r="DE147" i="2"/>
  <c r="CY147" i="2"/>
  <c r="CS147" i="2"/>
  <c r="CM147" i="2"/>
  <c r="BH147" i="2"/>
  <c r="BI147" i="2" s="1"/>
  <c r="AZ147" i="2"/>
  <c r="AY147" i="2"/>
  <c r="AW148" i="2"/>
  <c r="AV148" i="2"/>
  <c r="AU148" i="2"/>
  <c r="AT148" i="2"/>
  <c r="AS148" i="2"/>
  <c r="AW147" i="2"/>
  <c r="AU147" i="2"/>
  <c r="AT147" i="2"/>
  <c r="AS147" i="2"/>
  <c r="AQ152" i="2"/>
  <c r="AP152" i="2" s="1"/>
  <c r="AP147" i="2" s="1"/>
  <c r="AO152" i="2"/>
  <c r="AO147" i="2" s="1"/>
  <c r="AN152" i="2"/>
  <c r="AM152" i="2"/>
  <c r="AM147" i="2" s="1"/>
  <c r="AQ148" i="2"/>
  <c r="AP148" i="2"/>
  <c r="AO148" i="2"/>
  <c r="AN148" i="2"/>
  <c r="AM148" i="2"/>
  <c r="AJ148" i="2"/>
  <c r="AI148" i="2"/>
  <c r="AH148" i="2"/>
  <c r="AG148" i="2"/>
  <c r="AK147" i="2"/>
  <c r="AI147" i="2"/>
  <c r="AH147" i="2"/>
  <c r="AG147" i="2"/>
  <c r="AD148" i="2"/>
  <c r="AC148" i="2"/>
  <c r="AB148" i="2"/>
  <c r="AA148" i="2"/>
  <c r="AE147" i="2"/>
  <c r="AC147" i="2"/>
  <c r="AB147" i="2"/>
  <c r="AA147" i="2"/>
  <c r="R144" i="2"/>
  <c r="S144" i="2" s="1"/>
  <c r="Q144" i="2"/>
  <c r="P144" i="2"/>
  <c r="Q143" i="2" s="1"/>
  <c r="O144" i="2"/>
  <c r="DY144" i="2"/>
  <c r="DZ143" i="2" s="1"/>
  <c r="DV144" i="2"/>
  <c r="DV145" i="2" s="1"/>
  <c r="DU144" i="2"/>
  <c r="DU145" i="2" s="1"/>
  <c r="DT144" i="2"/>
  <c r="DT145" i="2" s="1"/>
  <c r="DS144" i="2"/>
  <c r="DS145" i="2" s="1"/>
  <c r="DU143" i="2"/>
  <c r="DP144" i="2"/>
  <c r="DQ144" i="2" s="1"/>
  <c r="DO144" i="2"/>
  <c r="DO145" i="2" s="1"/>
  <c r="DN144" i="2"/>
  <c r="DO143" i="2" s="1"/>
  <c r="DM144" i="2"/>
  <c r="DM145" i="2" s="1"/>
  <c r="DJ144" i="2"/>
  <c r="DI144" i="2"/>
  <c r="DI145" i="2" s="1"/>
  <c r="DH144" i="2"/>
  <c r="DI143" i="2" s="1"/>
  <c r="DG144" i="2"/>
  <c r="DG145" i="2" s="1"/>
  <c r="DD145" i="2"/>
  <c r="DD144" i="2"/>
  <c r="DE144" i="2" s="1"/>
  <c r="DG143" i="2" s="1"/>
  <c r="DK143" i="2" s="1"/>
  <c r="DC144" i="2"/>
  <c r="DC145" i="2" s="1"/>
  <c r="DB144" i="2"/>
  <c r="DB145" i="2" s="1"/>
  <c r="DA144" i="2"/>
  <c r="DA145" i="2" s="1"/>
  <c r="CX144" i="2"/>
  <c r="CX145" i="2" s="1"/>
  <c r="CW144" i="2"/>
  <c r="CW145" i="2" s="1"/>
  <c r="CV144" i="2"/>
  <c r="CV145" i="2" s="1"/>
  <c r="CU144" i="2"/>
  <c r="CV143" i="2" s="1"/>
  <c r="CR144" i="2"/>
  <c r="CR145" i="2" s="1"/>
  <c r="CQ144" i="2"/>
  <c r="CR143" i="2" s="1"/>
  <c r="CP144" i="2"/>
  <c r="CP145" i="2" s="1"/>
  <c r="CO144" i="2"/>
  <c r="CO145" i="2" s="1"/>
  <c r="CP143" i="2"/>
  <c r="CK144" i="2"/>
  <c r="CK145" i="2" s="1"/>
  <c r="CI144" i="2"/>
  <c r="CI145" i="2" s="1"/>
  <c r="CJ143" i="2"/>
  <c r="CG144" i="2"/>
  <c r="CI143" i="2" s="1"/>
  <c r="CM143" i="2" s="1"/>
  <c r="CF144" i="2"/>
  <c r="CF145" i="2" s="1"/>
  <c r="CE144" i="2"/>
  <c r="CE145" i="2" s="1"/>
  <c r="CD144" i="2"/>
  <c r="CE143" i="2" s="1"/>
  <c r="CC144" i="2"/>
  <c r="CD143" i="2" s="1"/>
  <c r="CC143" i="2"/>
  <c r="CG143" i="2" s="1"/>
  <c r="BZ144" i="2"/>
  <c r="BZ145" i="2" s="1"/>
  <c r="BY144" i="2"/>
  <c r="BY145" i="2" s="1"/>
  <c r="BX144" i="2"/>
  <c r="BX145" i="2" s="1"/>
  <c r="BW144" i="2"/>
  <c r="BX143" i="2" s="1"/>
  <c r="BZ143" i="2"/>
  <c r="BW143" i="2"/>
  <c r="CA143" i="2" s="1"/>
  <c r="BS145" i="2"/>
  <c r="BT144" i="2"/>
  <c r="BT145" i="2" s="1"/>
  <c r="BS144" i="2"/>
  <c r="BT143" i="2" s="1"/>
  <c r="BR144" i="2"/>
  <c r="BS143" i="2" s="1"/>
  <c r="BQ144" i="2"/>
  <c r="BQ145" i="2" s="1"/>
  <c r="BQ143" i="2"/>
  <c r="BU143" i="2" s="1"/>
  <c r="BN144" i="2"/>
  <c r="BM144" i="2"/>
  <c r="BM145" i="2" s="1"/>
  <c r="BL144" i="2"/>
  <c r="BL145" i="2" s="1"/>
  <c r="BK144" i="2"/>
  <c r="BK145" i="2" s="1"/>
  <c r="BM143" i="2"/>
  <c r="BL143" i="2"/>
  <c r="BK143" i="2"/>
  <c r="BO143" i="2" s="1"/>
  <c r="BH144" i="2"/>
  <c r="BI144" i="2" s="1"/>
  <c r="BG144" i="2"/>
  <c r="BG145" i="2" s="1"/>
  <c r="BF144" i="2"/>
  <c r="BF145" i="2" s="1"/>
  <c r="BE144" i="2"/>
  <c r="BE145" i="2" s="1"/>
  <c r="BF143" i="2"/>
  <c r="BE143" i="2"/>
  <c r="BI143" i="2" s="1"/>
  <c r="BA145" i="2"/>
  <c r="BB144" i="2"/>
  <c r="BB145" i="2" s="1"/>
  <c r="BA144" i="2"/>
  <c r="AZ144" i="2"/>
  <c r="AZ145" i="2" s="1"/>
  <c r="AY144" i="2"/>
  <c r="AY145" i="2" s="1"/>
  <c r="BB143" i="2"/>
  <c r="AY143" i="2"/>
  <c r="BC143" i="2" s="1"/>
  <c r="AV144" i="2"/>
  <c r="AV145" i="2" s="1"/>
  <c r="AU144" i="2"/>
  <c r="AV143" i="2" s="1"/>
  <c r="AT144" i="2"/>
  <c r="AT145" i="2" s="1"/>
  <c r="AS144" i="2"/>
  <c r="AS145" i="2" s="1"/>
  <c r="AS143" i="2"/>
  <c r="AW143" i="2" s="1"/>
  <c r="AP144" i="2"/>
  <c r="AO144" i="2"/>
  <c r="AO145" i="2" s="1"/>
  <c r="AN144" i="2"/>
  <c r="AO143" i="2" s="1"/>
  <c r="AM144" i="2"/>
  <c r="AN143" i="2" s="1"/>
  <c r="AM143" i="2"/>
  <c r="AQ143" i="2" s="1"/>
  <c r="AJ144" i="2"/>
  <c r="AK144" i="2" s="1"/>
  <c r="AI144" i="2"/>
  <c r="AJ143" i="2" s="1"/>
  <c r="AH144" i="2"/>
  <c r="AI143" i="2" s="1"/>
  <c r="AG144" i="2"/>
  <c r="AH143" i="2" s="1"/>
  <c r="AG143" i="2"/>
  <c r="AK143" i="2" s="1"/>
  <c r="AD144" i="2"/>
  <c r="AE144" i="2" s="1"/>
  <c r="AC144" i="2"/>
  <c r="AD143" i="2" s="1"/>
  <c r="AB144" i="2"/>
  <c r="AC143" i="2" s="1"/>
  <c r="AA144" i="2"/>
  <c r="AB143" i="2" s="1"/>
  <c r="AA143" i="2"/>
  <c r="AE143" i="2" s="1"/>
  <c r="X144" i="2"/>
  <c r="Y144" i="2" s="1"/>
  <c r="W144" i="2"/>
  <c r="X143" i="2" s="1"/>
  <c r="V144" i="2"/>
  <c r="U144" i="2"/>
  <c r="V143" i="2" s="1"/>
  <c r="W143" i="2"/>
  <c r="U143" i="2"/>
  <c r="Y143" i="2" s="1"/>
  <c r="S143" i="2"/>
  <c r="R143" i="2"/>
  <c r="P143" i="2"/>
  <c r="BO225" i="2"/>
  <c r="BK225" i="2"/>
  <c r="BC225" i="2"/>
  <c r="BM225" i="2"/>
  <c r="BI225" i="2"/>
  <c r="BL225" i="2"/>
  <c r="CQ141" i="2"/>
  <c r="AT143" i="2" l="1"/>
  <c r="BC144" i="2"/>
  <c r="CX143" i="2"/>
  <c r="DP143" i="2"/>
  <c r="DV143" i="2"/>
  <c r="AA169" i="2"/>
  <c r="AG169" i="2"/>
  <c r="AP169" i="2"/>
  <c r="AV169" i="2"/>
  <c r="AU143" i="2"/>
  <c r="BH145" i="2"/>
  <c r="CY144" i="2"/>
  <c r="DA143" i="2" s="1"/>
  <c r="DE143" i="2" s="1"/>
  <c r="DN145" i="2"/>
  <c r="AM169" i="2"/>
  <c r="CL221" i="2"/>
  <c r="AE228" i="2"/>
  <c r="AN239" i="2" s="1"/>
  <c r="AM145" i="2"/>
  <c r="BR145" i="2"/>
  <c r="DB143" i="2"/>
  <c r="AJ147" i="2"/>
  <c r="AV147" i="2"/>
  <c r="AY239" i="2"/>
  <c r="AJ239" i="2"/>
  <c r="BG143" i="2"/>
  <c r="BN143" i="2"/>
  <c r="BR143" i="2"/>
  <c r="CA144" i="2"/>
  <c r="CC145" i="2"/>
  <c r="CQ143" i="2"/>
  <c r="CQ145" i="2"/>
  <c r="CU145" i="2"/>
  <c r="DD143" i="2"/>
  <c r="DH143" i="2"/>
  <c r="DH145" i="2"/>
  <c r="DW144" i="2"/>
  <c r="DY143" i="2" s="1"/>
  <c r="EC143" i="2" s="1"/>
  <c r="DY145" i="2"/>
  <c r="S291" i="2"/>
  <c r="AN145" i="2"/>
  <c r="AW144" i="2"/>
  <c r="BA143" i="2"/>
  <c r="BH143" i="2"/>
  <c r="BW145" i="2"/>
  <c r="CD145" i="2"/>
  <c r="DN143" i="2"/>
  <c r="AI150" i="2"/>
  <c r="AI151" i="2" s="1"/>
  <c r="AN147" i="2"/>
  <c r="AZ150" i="2"/>
  <c r="AZ151" i="2" s="1"/>
  <c r="W169" i="2"/>
  <c r="AB169" i="2"/>
  <c r="AS169" i="2"/>
  <c r="BB169" i="2"/>
  <c r="BH169" i="2"/>
  <c r="BC216" i="2"/>
  <c r="AU145" i="2"/>
  <c r="AP143" i="2"/>
  <c r="CS144" i="2"/>
  <c r="DJ143" i="2"/>
  <c r="AU150" i="2"/>
  <c r="AU151" i="2" s="1"/>
  <c r="P169" i="2"/>
  <c r="Q169" i="2"/>
  <c r="AI169" i="2"/>
  <c r="AY169" i="2"/>
  <c r="BI168" i="2"/>
  <c r="AB150" i="2"/>
  <c r="AB151" i="2" s="1"/>
  <c r="BH154" i="2"/>
  <c r="BI154" i="2" s="1"/>
  <c r="BK154" i="2" s="1"/>
  <c r="BL154" i="2" s="1"/>
  <c r="BM154" i="2" s="1"/>
  <c r="BN154" i="2" s="1"/>
  <c r="BO154" i="2" s="1"/>
  <c r="BQ154" i="2" s="1"/>
  <c r="BR154" i="2" s="1"/>
  <c r="BS154" i="2" s="1"/>
  <c r="BT154" i="2" s="1"/>
  <c r="BU154" i="2" s="1"/>
  <c r="BW154" i="2" s="1"/>
  <c r="BX154" i="2" s="1"/>
  <c r="BY154" i="2" s="1"/>
  <c r="BZ154" i="2" s="1"/>
  <c r="CA154" i="2" s="1"/>
  <c r="CC154" i="2" s="1"/>
  <c r="CD154" i="2" s="1"/>
  <c r="CE154" i="2" s="1"/>
  <c r="CF154" i="2" s="1"/>
  <c r="U169" i="2"/>
  <c r="AD169" i="2"/>
  <c r="AU169" i="2"/>
  <c r="AZ169" i="2"/>
  <c r="EL59" i="3"/>
  <c r="EL132" i="3" s="1"/>
  <c r="AY150" i="2"/>
  <c r="AY151" i="2" s="1"/>
  <c r="AP150" i="2"/>
  <c r="AP151" i="2" s="1"/>
  <c r="DP105" i="3"/>
  <c r="AT150" i="2"/>
  <c r="AT151" i="2" s="1"/>
  <c r="BE212" i="2"/>
  <c r="BE209" i="2"/>
  <c r="DY131" i="3"/>
  <c r="DY134" i="3" s="1"/>
  <c r="DZ58" i="3"/>
  <c r="DZ61" i="3" s="1"/>
  <c r="DN58" i="3"/>
  <c r="DN131" i="3" s="1"/>
  <c r="DN134" i="3" s="1"/>
  <c r="DB58" i="3"/>
  <c r="DT58" i="3"/>
  <c r="DU131" i="3" s="1"/>
  <c r="DU134" i="3" s="1"/>
  <c r="DA61" i="3"/>
  <c r="EC90" i="3"/>
  <c r="DK39" i="3"/>
  <c r="DK40" i="3" s="1"/>
  <c r="DS113" i="3"/>
  <c r="DS145" i="3" s="1"/>
  <c r="DU105" i="3"/>
  <c r="DU113" i="3" s="1"/>
  <c r="DY105" i="3"/>
  <c r="DT105" i="3"/>
  <c r="DW106" i="3"/>
  <c r="DW107" i="3"/>
  <c r="DW108" i="3"/>
  <c r="DW109" i="3"/>
  <c r="DW110" i="3"/>
  <c r="DW111" i="3"/>
  <c r="DW112" i="3"/>
  <c r="CM154" i="2"/>
  <c r="CO154" i="2"/>
  <c r="EK147" i="2"/>
  <c r="EI147" i="2"/>
  <c r="AG154" i="2"/>
  <c r="AH154" i="2" s="1"/>
  <c r="AI154" i="2" s="1"/>
  <c r="AJ154" i="2" s="1"/>
  <c r="AK154" i="2" s="1"/>
  <c r="AM154" i="2" s="1"/>
  <c r="DK147" i="2"/>
  <c r="BU150" i="2"/>
  <c r="BU151" i="2" s="1"/>
  <c r="BQ151" i="2"/>
  <c r="AM150" i="2"/>
  <c r="AM151" i="2" s="1"/>
  <c r="EL57" i="3"/>
  <c r="EL130" i="3" s="1"/>
  <c r="DS426" i="4"/>
  <c r="DS420" i="4"/>
  <c r="DT419" i="4"/>
  <c r="DS427" i="4"/>
  <c r="BM272" i="2"/>
  <c r="BM192" i="2"/>
  <c r="BA212" i="2"/>
  <c r="BH212" i="2"/>
  <c r="BK208" i="2"/>
  <c r="BO212" i="2"/>
  <c r="BE210" i="2"/>
  <c r="BK211" i="2"/>
  <c r="Y187" i="2"/>
  <c r="BA210" i="2"/>
  <c r="BF212" i="2"/>
  <c r="BG208" i="2"/>
  <c r="EF58" i="3"/>
  <c r="EF131" i="3" s="1"/>
  <c r="EL58" i="3"/>
  <c r="DH58" i="3"/>
  <c r="DH61" i="3" s="1"/>
  <c r="DM61" i="3"/>
  <c r="DW58" i="3"/>
  <c r="CJ58" i="3"/>
  <c r="CJ131" i="3" s="1"/>
  <c r="CO61" i="3"/>
  <c r="CO66" i="3" s="1"/>
  <c r="AH150" i="2"/>
  <c r="AH151" i="2" s="1"/>
  <c r="AC150" i="2"/>
  <c r="AC151" i="2" s="1"/>
  <c r="DU40" i="3"/>
  <c r="BN116" i="3"/>
  <c r="BO43" i="3"/>
  <c r="EG116" i="3"/>
  <c r="EH43" i="3"/>
  <c r="EM116" i="3"/>
  <c r="EN43" i="3"/>
  <c r="AG150" i="2"/>
  <c r="AG151" i="2" s="1"/>
  <c r="DS40" i="3"/>
  <c r="DT40" i="3"/>
  <c r="BA13" i="3"/>
  <c r="BM13" i="3"/>
  <c r="BN16" i="3"/>
  <c r="DO19" i="3"/>
  <c r="DO23" i="3"/>
  <c r="DO27" i="3"/>
  <c r="EG17" i="3"/>
  <c r="EG18" i="3"/>
  <c r="EG19" i="3"/>
  <c r="EG20" i="3"/>
  <c r="EG21" i="3"/>
  <c r="EG22" i="3"/>
  <c r="EG23" i="3"/>
  <c r="EG24" i="3"/>
  <c r="EG25" i="3"/>
  <c r="EG26" i="3"/>
  <c r="EG27" i="3"/>
  <c r="EG28" i="3"/>
  <c r="BG15" i="3"/>
  <c r="BH19" i="3"/>
  <c r="BH21" i="3"/>
  <c r="BY22" i="3"/>
  <c r="BY26" i="3"/>
  <c r="CR23" i="3"/>
  <c r="CR27" i="3"/>
  <c r="CE97" i="3"/>
  <c r="CD97" i="3"/>
  <c r="BH25" i="3"/>
  <c r="CE24" i="3"/>
  <c r="BY27" i="3"/>
  <c r="CW93" i="3"/>
  <c r="CV93" i="3"/>
  <c r="CW97" i="3"/>
  <c r="CV97" i="3"/>
  <c r="CW101" i="3"/>
  <c r="CV101" i="3"/>
  <c r="DB95" i="3"/>
  <c r="DC95" i="3"/>
  <c r="DB99" i="3"/>
  <c r="DC99" i="3"/>
  <c r="DE18" i="3"/>
  <c r="DE39" i="3" s="1"/>
  <c r="DE40" i="3" s="1"/>
  <c r="DE22" i="3"/>
  <c r="DE26" i="3"/>
  <c r="DW18" i="3"/>
  <c r="DW22" i="3"/>
  <c r="DW26" i="3"/>
  <c r="S30" i="3"/>
  <c r="AE30" i="3"/>
  <c r="BG30" i="3"/>
  <c r="CY30" i="3"/>
  <c r="CY39" i="3" s="1"/>
  <c r="CY40" i="3" s="1"/>
  <c r="AQ30" i="3"/>
  <c r="AW30" i="3"/>
  <c r="CC39" i="3"/>
  <c r="CW39" i="3"/>
  <c r="DA39" i="3"/>
  <c r="DM39" i="3"/>
  <c r="AD116" i="3"/>
  <c r="AD125" i="3" s="1"/>
  <c r="AD52" i="3"/>
  <c r="BB43" i="3"/>
  <c r="BF125" i="3"/>
  <c r="BG44" i="3"/>
  <c r="BQ116" i="3"/>
  <c r="BQ52" i="3"/>
  <c r="BW116" i="3"/>
  <c r="BW52" i="3"/>
  <c r="CC125" i="3"/>
  <c r="CI125" i="3"/>
  <c r="CO116" i="3"/>
  <c r="CO52" i="3"/>
  <c r="CU116" i="3"/>
  <c r="CU52" i="3"/>
  <c r="DC116" i="3"/>
  <c r="DI116" i="3"/>
  <c r="DO116" i="3"/>
  <c r="DU116" i="3"/>
  <c r="DU125" i="3" s="1"/>
  <c r="EG46" i="3"/>
  <c r="EG47" i="3"/>
  <c r="EG48" i="3"/>
  <c r="EG49" i="3"/>
  <c r="EG50" i="3"/>
  <c r="EG51" i="3"/>
  <c r="EM46" i="3"/>
  <c r="EL123" i="3"/>
  <c r="EM50" i="3"/>
  <c r="CW116" i="3"/>
  <c r="BY48" i="3"/>
  <c r="BY52" i="3" s="1"/>
  <c r="CE47" i="3"/>
  <c r="CE51" i="3"/>
  <c r="CK50" i="3"/>
  <c r="CQ49" i="3"/>
  <c r="DH121" i="3"/>
  <c r="DI48" i="3"/>
  <c r="DO121" i="3"/>
  <c r="DP121" i="3"/>
  <c r="DP123" i="3"/>
  <c r="DO123" i="3"/>
  <c r="BA51" i="3"/>
  <c r="BF52" i="3"/>
  <c r="CI52" i="3"/>
  <c r="DB52" i="3"/>
  <c r="DU52" i="3"/>
  <c r="DU66" i="3" s="1"/>
  <c r="BM129" i="3"/>
  <c r="BN56" i="3"/>
  <c r="BH56" i="3"/>
  <c r="CF132" i="3"/>
  <c r="CG59" i="3"/>
  <c r="CQ132" i="3"/>
  <c r="CR132" i="3"/>
  <c r="DB151" i="2"/>
  <c r="BZ92" i="3"/>
  <c r="BY92" i="3"/>
  <c r="CF92" i="3"/>
  <c r="CE92" i="3"/>
  <c r="BG91" i="3"/>
  <c r="BH91" i="3"/>
  <c r="AQ15" i="3"/>
  <c r="CE102" i="3"/>
  <c r="CG102" i="3" s="1"/>
  <c r="CD102" i="3"/>
  <c r="CW94" i="3"/>
  <c r="CV94" i="3"/>
  <c r="CW98" i="3"/>
  <c r="CV98" i="3"/>
  <c r="CW102" i="3"/>
  <c r="CV102" i="3"/>
  <c r="DC92" i="3"/>
  <c r="DB92" i="3"/>
  <c r="DC96" i="3"/>
  <c r="DB96" i="3"/>
  <c r="DC100" i="3"/>
  <c r="DB100" i="3"/>
  <c r="DW19" i="3"/>
  <c r="DW23" i="3"/>
  <c r="DW27" i="3"/>
  <c r="CD39" i="3"/>
  <c r="CX39" i="3"/>
  <c r="DB39" i="3"/>
  <c r="DV39" i="3"/>
  <c r="BG116" i="3"/>
  <c r="BG52" i="3"/>
  <c r="BR116" i="3"/>
  <c r="BR125" i="3" s="1"/>
  <c r="BR52" i="3"/>
  <c r="CJ116" i="3"/>
  <c r="CM116" i="3" s="1"/>
  <c r="CJ52" i="3"/>
  <c r="CP116" i="3"/>
  <c r="CP52" i="3"/>
  <c r="DD116" i="3"/>
  <c r="DJ116" i="3"/>
  <c r="DK43" i="3"/>
  <c r="DP116" i="3"/>
  <c r="DQ43" i="3"/>
  <c r="DV116" i="3"/>
  <c r="DV125" i="3" s="1"/>
  <c r="DV52" i="3"/>
  <c r="DW52" i="3" s="1"/>
  <c r="EL122" i="3"/>
  <c r="EM49" i="3"/>
  <c r="CX117" i="3"/>
  <c r="CW117" i="3"/>
  <c r="BY120" i="3"/>
  <c r="BZ47" i="3"/>
  <c r="BY124" i="3"/>
  <c r="BZ51" i="3"/>
  <c r="CE123" i="3"/>
  <c r="CF50" i="3"/>
  <c r="CP123" i="3"/>
  <c r="CQ50" i="3"/>
  <c r="CX122" i="3"/>
  <c r="CY49" i="3"/>
  <c r="DC121" i="3"/>
  <c r="DD48" i="3"/>
  <c r="BG119" i="3"/>
  <c r="BH46" i="3"/>
  <c r="BG123" i="3"/>
  <c r="BH50" i="3"/>
  <c r="AQ43" i="3"/>
  <c r="DW43" i="3"/>
  <c r="R52" i="3"/>
  <c r="S52" i="3" s="1"/>
  <c r="AZ52" i="3"/>
  <c r="CV52" i="3"/>
  <c r="DY52" i="3"/>
  <c r="BK150" i="2"/>
  <c r="BK151" i="2" s="1"/>
  <c r="BA15" i="3"/>
  <c r="BB16" i="3"/>
  <c r="AP16" i="3"/>
  <c r="DO17" i="3"/>
  <c r="DP18" i="3"/>
  <c r="DO21" i="3"/>
  <c r="DP22" i="3"/>
  <c r="DO25" i="3"/>
  <c r="DP26" i="3"/>
  <c r="EN17" i="3"/>
  <c r="EN18" i="3"/>
  <c r="EN19" i="3"/>
  <c r="EN20" i="3"/>
  <c r="EN21" i="3"/>
  <c r="EN22" i="3"/>
  <c r="EN23" i="3"/>
  <c r="EN24" i="3"/>
  <c r="EN25" i="3"/>
  <c r="EN26" i="3"/>
  <c r="EN27" i="3"/>
  <c r="EN28" i="3"/>
  <c r="BN17" i="3"/>
  <c r="BN18" i="3"/>
  <c r="BN19" i="3"/>
  <c r="BN20" i="3"/>
  <c r="BN21" i="3"/>
  <c r="BN22" i="3"/>
  <c r="BN23" i="3"/>
  <c r="BN24" i="3"/>
  <c r="BN25" i="3"/>
  <c r="BN26" i="3"/>
  <c r="BN27" i="3"/>
  <c r="BG13" i="3"/>
  <c r="BH92" i="3"/>
  <c r="BG92" i="3"/>
  <c r="BZ18" i="3"/>
  <c r="BH20" i="3"/>
  <c r="BY20" i="3"/>
  <c r="BZ21" i="3"/>
  <c r="BY24" i="3"/>
  <c r="BZ25" i="3"/>
  <c r="CR21" i="3"/>
  <c r="CS22" i="3"/>
  <c r="CR25" i="3"/>
  <c r="CS26" i="3"/>
  <c r="CE95" i="3"/>
  <c r="CF95" i="3"/>
  <c r="BH23" i="3"/>
  <c r="BI24" i="3"/>
  <c r="BH27" i="3"/>
  <c r="CF23" i="3"/>
  <c r="CE25" i="3"/>
  <c r="CF26" i="3"/>
  <c r="CV95" i="3"/>
  <c r="CW95" i="3"/>
  <c r="CV99" i="3"/>
  <c r="CW99" i="3"/>
  <c r="DC93" i="3"/>
  <c r="DB93" i="3"/>
  <c r="DC97" i="3"/>
  <c r="DB97" i="3"/>
  <c r="DC101" i="3"/>
  <c r="DB101" i="3"/>
  <c r="DD103" i="3"/>
  <c r="DC103" i="3"/>
  <c r="DE20" i="3"/>
  <c r="DE24" i="3"/>
  <c r="DW20" i="3"/>
  <c r="DW24" i="3"/>
  <c r="Y30" i="3"/>
  <c r="BB30" i="3"/>
  <c r="CL40" i="3"/>
  <c r="CQ39" i="3"/>
  <c r="CP40" i="3"/>
  <c r="DC39" i="3"/>
  <c r="DJ40" i="3"/>
  <c r="AZ125" i="3"/>
  <c r="BA44" i="3"/>
  <c r="BH43" i="3"/>
  <c r="BL116" i="3"/>
  <c r="BL125" i="3" s="1"/>
  <c r="BL52" i="3"/>
  <c r="BM44" i="3"/>
  <c r="BS116" i="3"/>
  <c r="BS125" i="3" s="1"/>
  <c r="BY116" i="3"/>
  <c r="CE116" i="3"/>
  <c r="CG116" i="3" s="1"/>
  <c r="CK116" i="3"/>
  <c r="CK52" i="3"/>
  <c r="CQ116" i="3"/>
  <c r="CX116" i="3"/>
  <c r="DG125" i="3"/>
  <c r="DK116" i="3"/>
  <c r="DM116" i="3"/>
  <c r="DM52" i="3"/>
  <c r="DS116" i="3"/>
  <c r="DS52" i="3"/>
  <c r="DY125" i="3"/>
  <c r="EL121" i="3"/>
  <c r="EM48" i="3"/>
  <c r="DE116" i="3"/>
  <c r="BI51" i="3"/>
  <c r="BO46" i="3"/>
  <c r="BO47" i="3"/>
  <c r="BO48" i="3"/>
  <c r="BO49" i="3"/>
  <c r="BO50" i="3"/>
  <c r="BO51" i="3"/>
  <c r="BY50" i="3"/>
  <c r="CE49" i="3"/>
  <c r="CS43" i="3"/>
  <c r="CL48" i="3"/>
  <c r="CP121" i="3"/>
  <c r="CQ48" i="3"/>
  <c r="CQ52" i="3" s="1"/>
  <c r="CX48" i="3"/>
  <c r="CV123" i="3"/>
  <c r="CW50" i="3"/>
  <c r="CW52" i="3" s="1"/>
  <c r="DJ50" i="3"/>
  <c r="DO49" i="3"/>
  <c r="S43" i="3"/>
  <c r="BU43" i="3"/>
  <c r="AP52" i="3"/>
  <c r="AQ52" i="3" s="1"/>
  <c r="BA52" i="3"/>
  <c r="BT52" i="3"/>
  <c r="BU52" i="3" s="1"/>
  <c r="CD52" i="3"/>
  <c r="DG52" i="3"/>
  <c r="DP52" i="3"/>
  <c r="DQ52" i="3" s="1"/>
  <c r="BA128" i="3"/>
  <c r="BL128" i="3"/>
  <c r="BM55" i="3"/>
  <c r="BL61" i="3"/>
  <c r="DZ130" i="3"/>
  <c r="BZ132" i="3"/>
  <c r="CA59" i="3"/>
  <c r="CU131" i="3"/>
  <c r="CU61" i="3"/>
  <c r="CU66" i="3" s="1"/>
  <c r="CV58" i="3"/>
  <c r="BA14" i="3"/>
  <c r="BM14" i="3"/>
  <c r="BY16" i="3"/>
  <c r="DO20" i="3"/>
  <c r="DO24" i="3"/>
  <c r="CE18" i="3"/>
  <c r="CS18" i="3"/>
  <c r="BG14" i="3"/>
  <c r="BH93" i="3"/>
  <c r="BG93" i="3"/>
  <c r="BY23" i="3"/>
  <c r="CR20" i="3"/>
  <c r="CR39" i="3" s="1"/>
  <c r="CR24" i="3"/>
  <c r="CF96" i="3"/>
  <c r="CE96" i="3"/>
  <c r="BH26" i="3"/>
  <c r="CW96" i="3"/>
  <c r="CV96" i="3"/>
  <c r="CW100" i="3"/>
  <c r="CV100" i="3"/>
  <c r="DC94" i="3"/>
  <c r="DB94" i="3"/>
  <c r="DC98" i="3"/>
  <c r="DB98" i="3"/>
  <c r="DE98" i="3" s="1"/>
  <c r="DC102" i="3"/>
  <c r="DB102" i="3"/>
  <c r="DW17" i="3"/>
  <c r="DW21" i="3"/>
  <c r="DW25" i="3"/>
  <c r="BM30" i="3"/>
  <c r="BX39" i="3"/>
  <c r="BW40" i="3"/>
  <c r="CI40" i="3"/>
  <c r="CV39" i="3"/>
  <c r="CU40" i="3"/>
  <c r="DD39" i="3"/>
  <c r="DG40" i="3"/>
  <c r="X116" i="3"/>
  <c r="X125" i="3" s="1"/>
  <c r="Y43" i="3"/>
  <c r="BM116" i="3"/>
  <c r="BO116" i="3" s="1"/>
  <c r="BM52" i="3"/>
  <c r="BZ116" i="3"/>
  <c r="CA43" i="3"/>
  <c r="CF116" i="3"/>
  <c r="CL116" i="3"/>
  <c r="CM43" i="3"/>
  <c r="DH116" i="3"/>
  <c r="DH125" i="3" s="1"/>
  <c r="DH52" i="3"/>
  <c r="DN116" i="3"/>
  <c r="DN125" i="3" s="1"/>
  <c r="DN52" i="3"/>
  <c r="DT116" i="3"/>
  <c r="DT125" i="3" s="1"/>
  <c r="EF116" i="3"/>
  <c r="EL116" i="3"/>
  <c r="EL120" i="3"/>
  <c r="EM47" i="3"/>
  <c r="EL124" i="3"/>
  <c r="EM51" i="3"/>
  <c r="BB46" i="3"/>
  <c r="BI47" i="3"/>
  <c r="BI49" i="3"/>
  <c r="DA119" i="3"/>
  <c r="DB119" i="3"/>
  <c r="BY49" i="3"/>
  <c r="CE48" i="3"/>
  <c r="CE52" i="3" s="1"/>
  <c r="DC120" i="3"/>
  <c r="DB120" i="3"/>
  <c r="CK122" i="3"/>
  <c r="CL49" i="3"/>
  <c r="CR124" i="3"/>
  <c r="CS51" i="3"/>
  <c r="DC49" i="3"/>
  <c r="DC52" i="3" s="1"/>
  <c r="DD50" i="3"/>
  <c r="DI49" i="3"/>
  <c r="AE52" i="3"/>
  <c r="CK119" i="3"/>
  <c r="CJ119" i="3"/>
  <c r="DE43" i="3"/>
  <c r="BX52" i="3"/>
  <c r="DA52" i="3"/>
  <c r="DT52" i="3"/>
  <c r="BB55" i="3"/>
  <c r="BN130" i="3"/>
  <c r="BO57" i="3"/>
  <c r="DP132" i="3"/>
  <c r="DQ59" i="3"/>
  <c r="BF131" i="3"/>
  <c r="BF134" i="3" s="1"/>
  <c r="BG58" i="3"/>
  <c r="DC132" i="3"/>
  <c r="DD59" i="3"/>
  <c r="X132" i="3"/>
  <c r="Y59" i="3"/>
  <c r="X61" i="3"/>
  <c r="Y61" i="3" s="1"/>
  <c r="DB117" i="3"/>
  <c r="DB125" i="3" s="1"/>
  <c r="DA117" i="3"/>
  <c r="CF118" i="3"/>
  <c r="CW119" i="3"/>
  <c r="CX119" i="3"/>
  <c r="DP120" i="3"/>
  <c r="DO120" i="3"/>
  <c r="DQ120" i="3" s="1"/>
  <c r="CY122" i="3"/>
  <c r="DQ121" i="3"/>
  <c r="AZ134" i="3"/>
  <c r="BA56" i="3"/>
  <c r="BA61" i="3" s="1"/>
  <c r="CY128" i="3"/>
  <c r="CD129" i="3"/>
  <c r="CE129" i="3"/>
  <c r="DO57" i="3"/>
  <c r="DO132" i="3"/>
  <c r="DO60" i="3"/>
  <c r="BA58" i="3"/>
  <c r="BY132" i="3"/>
  <c r="BY60" i="3"/>
  <c r="CE132" i="3"/>
  <c r="CE60" i="3"/>
  <c r="BG55" i="3"/>
  <c r="BG132" i="3"/>
  <c r="BH132" i="3"/>
  <c r="CV59" i="3"/>
  <c r="BF61" i="3"/>
  <c r="CI61" i="3"/>
  <c r="CI66" i="3" s="1"/>
  <c r="DG61" i="3"/>
  <c r="DU61" i="3"/>
  <c r="BA63" i="3"/>
  <c r="BG63" i="3"/>
  <c r="CS85" i="3"/>
  <c r="BI92" i="3"/>
  <c r="BI99" i="3"/>
  <c r="CA92" i="3"/>
  <c r="CG95" i="3"/>
  <c r="CS93" i="3"/>
  <c r="CY94" i="3"/>
  <c r="CY96" i="3"/>
  <c r="CY98" i="3"/>
  <c r="CY100" i="3"/>
  <c r="CY102" i="3"/>
  <c r="DE94" i="3"/>
  <c r="DE102" i="3"/>
  <c r="DW95" i="3"/>
  <c r="DW99" i="3"/>
  <c r="DS132" i="3"/>
  <c r="DT132" i="3"/>
  <c r="DC136" i="3"/>
  <c r="DB136" i="3"/>
  <c r="CA85" i="3"/>
  <c r="CY85" i="3"/>
  <c r="AQ90" i="3"/>
  <c r="CG96" i="3"/>
  <c r="CS92" i="3"/>
  <c r="DE95" i="3"/>
  <c r="DE99" i="3"/>
  <c r="DE103" i="3"/>
  <c r="DW94" i="3"/>
  <c r="DW98" i="3"/>
  <c r="DW102" i="3"/>
  <c r="EF57" i="3"/>
  <c r="BH130" i="3"/>
  <c r="BG130" i="3"/>
  <c r="CJ132" i="3"/>
  <c r="CK132" i="3"/>
  <c r="DT129" i="3"/>
  <c r="DS129" i="3"/>
  <c r="BH60" i="3"/>
  <c r="CL60" i="3"/>
  <c r="CR60" i="3"/>
  <c r="CX60" i="3"/>
  <c r="DD60" i="3"/>
  <c r="DJ60" i="3"/>
  <c r="DV60" i="3"/>
  <c r="BR61" i="3"/>
  <c r="BW61" i="3"/>
  <c r="BW66" i="3" s="1"/>
  <c r="DS61" i="3"/>
  <c r="BS136" i="3"/>
  <c r="BT136" i="3"/>
  <c r="DV136" i="3"/>
  <c r="DU136" i="3"/>
  <c r="EH63" i="3"/>
  <c r="EN63" i="3"/>
  <c r="CG85" i="3"/>
  <c r="DE85" i="3"/>
  <c r="BI91" i="3"/>
  <c r="BI93" i="3"/>
  <c r="CG92" i="3"/>
  <c r="CG97" i="3"/>
  <c r="CS97" i="3"/>
  <c r="CS101" i="3"/>
  <c r="CY93" i="3"/>
  <c r="CY95" i="3"/>
  <c r="CY97" i="3"/>
  <c r="CY99" i="3"/>
  <c r="CY101" i="3"/>
  <c r="DE92" i="3"/>
  <c r="DE96" i="3"/>
  <c r="DE100" i="3"/>
  <c r="DW93" i="3"/>
  <c r="DW97" i="3"/>
  <c r="DW101" i="3"/>
  <c r="Y105" i="3"/>
  <c r="CJ120" i="3"/>
  <c r="CM120" i="3" s="1"/>
  <c r="CK120" i="3"/>
  <c r="CJ124" i="3"/>
  <c r="CM124" i="3" s="1"/>
  <c r="CK124" i="3"/>
  <c r="EG59" i="3"/>
  <c r="EG60" i="3"/>
  <c r="EM59" i="3"/>
  <c r="EM60" i="3"/>
  <c r="DQ56" i="3"/>
  <c r="DQ132" i="3"/>
  <c r="BM58" i="3"/>
  <c r="BM59" i="3"/>
  <c r="BM60" i="3"/>
  <c r="BX58" i="3"/>
  <c r="CD58" i="3"/>
  <c r="CP58" i="3"/>
  <c r="CY59" i="3"/>
  <c r="BS59" i="3"/>
  <c r="BS60" i="3"/>
  <c r="CG132" i="3"/>
  <c r="DT130" i="3"/>
  <c r="DS130" i="3"/>
  <c r="BC59" i="3"/>
  <c r="AZ61" i="3"/>
  <c r="CC61" i="3"/>
  <c r="DY61" i="3"/>
  <c r="BM63" i="3"/>
  <c r="CM85" i="3"/>
  <c r="DK85" i="3"/>
  <c r="CS94" i="3"/>
  <c r="DE93" i="3"/>
  <c r="DE97" i="3"/>
  <c r="DE101" i="3"/>
  <c r="DW92" i="3"/>
  <c r="DW96" i="3"/>
  <c r="DW100" i="3"/>
  <c r="DW85" i="3"/>
  <c r="AE105" i="3"/>
  <c r="AQ105" i="3"/>
  <c r="S105" i="3"/>
  <c r="DQ85" i="3"/>
  <c r="DV113" i="3"/>
  <c r="S116" i="3"/>
  <c r="S117" i="3"/>
  <c r="S118" i="3"/>
  <c r="V125" i="3"/>
  <c r="Y122" i="3"/>
  <c r="Y123" i="3"/>
  <c r="Y124" i="3"/>
  <c r="U125" i="3"/>
  <c r="BI120" i="3"/>
  <c r="BI122" i="3"/>
  <c r="BI124" i="3"/>
  <c r="BO122" i="3"/>
  <c r="CG118" i="3"/>
  <c r="DE120" i="3"/>
  <c r="BO119" i="3"/>
  <c r="BO123" i="3"/>
  <c r="S124" i="3"/>
  <c r="AE116" i="3"/>
  <c r="AE125" i="3" s="1"/>
  <c r="AK125" i="3"/>
  <c r="AQ116" i="3"/>
  <c r="AQ125" i="3" s="1"/>
  <c r="BI121" i="3"/>
  <c r="BO120" i="3"/>
  <c r="BO124" i="3"/>
  <c r="CG119" i="3"/>
  <c r="CS124" i="3"/>
  <c r="AW105" i="3"/>
  <c r="Y116" i="3"/>
  <c r="Y125" i="3" s="1"/>
  <c r="Y118" i="3"/>
  <c r="Y119" i="3"/>
  <c r="BO121" i="3"/>
  <c r="O125" i="3"/>
  <c r="AA125" i="3"/>
  <c r="AM125" i="3"/>
  <c r="AY125" i="3"/>
  <c r="BK125" i="3"/>
  <c r="DQ119" i="3"/>
  <c r="DQ123" i="3"/>
  <c r="DW117" i="3"/>
  <c r="DW118" i="3"/>
  <c r="AK128" i="3"/>
  <c r="AK129" i="3"/>
  <c r="AK148" i="2" s="1"/>
  <c r="AK283" i="1" s="1"/>
  <c r="CS119" i="3"/>
  <c r="BC132" i="3"/>
  <c r="BI132" i="3"/>
  <c r="BR134" i="3"/>
  <c r="CI134" i="3"/>
  <c r="AK117" i="3"/>
  <c r="AW117" i="3"/>
  <c r="AW125" i="3" s="1"/>
  <c r="CY117" i="3"/>
  <c r="BI130" i="3"/>
  <c r="CA132" i="3"/>
  <c r="CM117" i="3"/>
  <c r="DK117" i="3"/>
  <c r="BK134" i="3"/>
  <c r="AH134" i="3"/>
  <c r="AO134" i="3"/>
  <c r="AV134" i="3"/>
  <c r="O134" i="3"/>
  <c r="S128" i="3"/>
  <c r="W134" i="3"/>
  <c r="AA134" i="3"/>
  <c r="AE128" i="3"/>
  <c r="AE134" i="3" s="1"/>
  <c r="AY134" i="3"/>
  <c r="BU129" i="3"/>
  <c r="BW134" i="3"/>
  <c r="CS129" i="3"/>
  <c r="CY129" i="3"/>
  <c r="DG134" i="3"/>
  <c r="DK128" i="3"/>
  <c r="S132" i="3"/>
  <c r="AI134" i="3"/>
  <c r="AP134" i="3"/>
  <c r="AS134" i="3"/>
  <c r="AW134" i="3"/>
  <c r="P134" i="3"/>
  <c r="X134" i="3"/>
  <c r="AB134" i="3"/>
  <c r="BQ134" i="3"/>
  <c r="CM129" i="3"/>
  <c r="CS130" i="3"/>
  <c r="DA134" i="3"/>
  <c r="DK130" i="3"/>
  <c r="DW128" i="3"/>
  <c r="AQ134" i="3"/>
  <c r="Y128" i="3"/>
  <c r="BO130" i="3"/>
  <c r="DM134" i="3"/>
  <c r="DQ128" i="3"/>
  <c r="AK134" i="3"/>
  <c r="R134" i="3"/>
  <c r="CA129" i="3"/>
  <c r="CC134" i="3"/>
  <c r="CO134" i="3"/>
  <c r="CS128" i="3"/>
  <c r="DQ129" i="3"/>
  <c r="Y132" i="3"/>
  <c r="DE136" i="3"/>
  <c r="DK129" i="3"/>
  <c r="DW136" i="3"/>
  <c r="DE129" i="3"/>
  <c r="AQ137" i="3"/>
  <c r="BO137" i="3"/>
  <c r="CA136" i="3"/>
  <c r="CA137" i="3"/>
  <c r="CY136" i="3"/>
  <c r="CY137" i="3"/>
  <c r="AE137" i="3"/>
  <c r="BC137" i="3"/>
  <c r="DK137" i="3"/>
  <c r="EI137" i="3"/>
  <c r="CS141" i="2"/>
  <c r="BI228" i="2"/>
  <c r="BC228" i="2"/>
  <c r="DD151" i="2"/>
  <c r="DG141" i="2"/>
  <c r="DG151" i="2" s="1"/>
  <c r="DS143" i="2"/>
  <c r="DW143" i="2" s="1"/>
  <c r="CG154" i="2"/>
  <c r="CI154" i="2"/>
  <c r="DP145" i="2"/>
  <c r="AP145" i="2"/>
  <c r="AQ144" i="2"/>
  <c r="BU144" i="2"/>
  <c r="CF143" i="2"/>
  <c r="CL143" i="2"/>
  <c r="AJ150" i="2"/>
  <c r="AJ151" i="2" s="1"/>
  <c r="AO150" i="2"/>
  <c r="AO151" i="2" s="1"/>
  <c r="AS150" i="2"/>
  <c r="AS151" i="2" s="1"/>
  <c r="AW150" i="2"/>
  <c r="AW151" i="2" s="1"/>
  <c r="BG150" i="2"/>
  <c r="BG151" i="2" s="1"/>
  <c r="BW150" i="2"/>
  <c r="CA148" i="2"/>
  <c r="CA283" i="1" s="1"/>
  <c r="CY148" i="2"/>
  <c r="DE148" i="2"/>
  <c r="DE283" i="1" s="1"/>
  <c r="DQ148" i="2"/>
  <c r="DQ283" i="1" s="1"/>
  <c r="BL272" i="2"/>
  <c r="BL192" i="2"/>
  <c r="DJ145" i="2"/>
  <c r="DK144" i="2"/>
  <c r="BK168" i="2"/>
  <c r="BK169" i="2" s="1"/>
  <c r="DE141" i="2"/>
  <c r="AZ143" i="2"/>
  <c r="BY143" i="2"/>
  <c r="CW143" i="2"/>
  <c r="DC143" i="2"/>
  <c r="DT143" i="2"/>
  <c r="AD147" i="2"/>
  <c r="AC154" i="2" s="1"/>
  <c r="AB154" i="2" s="1"/>
  <c r="AA154" i="2" s="1"/>
  <c r="Y154" i="2" s="1"/>
  <c r="EL147" i="2"/>
  <c r="EM147" i="2" s="1"/>
  <c r="EN147" i="2" s="1"/>
  <c r="EQ147" i="2" s="1"/>
  <c r="CI151" i="2"/>
  <c r="CQ150" i="2"/>
  <c r="CQ151" i="2" s="1"/>
  <c r="CW150" i="2"/>
  <c r="CY150" i="2" s="1"/>
  <c r="DC150" i="2"/>
  <c r="DC151" i="2" s="1"/>
  <c r="DO150" i="2"/>
  <c r="DY150" i="2"/>
  <c r="CG150" i="2"/>
  <c r="CG151" i="2" s="1"/>
  <c r="DH154" i="2"/>
  <c r="DI154" i="2" s="1"/>
  <c r="DJ154" i="2" s="1"/>
  <c r="DK154" i="2" s="1"/>
  <c r="DM154" i="2" s="1"/>
  <c r="DN154" i="2" s="1"/>
  <c r="DO154" i="2" s="1"/>
  <c r="DP154" i="2" s="1"/>
  <c r="DQ154" i="2" s="1"/>
  <c r="DS154" i="2" s="1"/>
  <c r="DT154" i="2" s="1"/>
  <c r="DU154" i="2" s="1"/>
  <c r="DV154" i="2" s="1"/>
  <c r="DW154" i="2" s="1"/>
  <c r="DY154" i="2" s="1"/>
  <c r="DZ154" i="2" s="1"/>
  <c r="CU143" i="2"/>
  <c r="CY143" i="2" s="1"/>
  <c r="DW150" i="2"/>
  <c r="BN145" i="2"/>
  <c r="BO144" i="2"/>
  <c r="AA150" i="2"/>
  <c r="AA151" i="2" s="1"/>
  <c r="AE148" i="2"/>
  <c r="AE283" i="1" s="1"/>
  <c r="AN150" i="2"/>
  <c r="AN151" i="2" s="1"/>
  <c r="AV150" i="2"/>
  <c r="AV151" i="2" s="1"/>
  <c r="CK150" i="2"/>
  <c r="CK151" i="2" s="1"/>
  <c r="CR150" i="2"/>
  <c r="CX151" i="2"/>
  <c r="DA151" i="2"/>
  <c r="CS154" i="2"/>
  <c r="CU154" i="2"/>
  <c r="S187" i="2"/>
  <c r="DK148" i="2"/>
  <c r="DK283" i="1" s="1"/>
  <c r="CP221" i="2"/>
  <c r="CQ221" i="2" s="1"/>
  <c r="CM221" i="2"/>
  <c r="AQ147" i="2"/>
  <c r="AQ150" i="2" s="1"/>
  <c r="AQ151" i="2" s="1"/>
  <c r="CM148" i="2"/>
  <c r="CS148" i="2"/>
  <c r="CS283" i="1" s="1"/>
  <c r="DS150" i="2"/>
  <c r="AH169" i="2"/>
  <c r="AK187" i="2"/>
  <c r="BF272" i="2"/>
  <c r="AU203" i="2"/>
  <c r="BE297" i="2"/>
  <c r="BE211" i="2"/>
  <c r="V169" i="2"/>
  <c r="BE169" i="2"/>
  <c r="AE187" i="2"/>
  <c r="BG202" i="2"/>
  <c r="BG209" i="2" s="1"/>
  <c r="BH201" i="2"/>
  <c r="R169" i="2"/>
  <c r="AO169" i="2"/>
  <c r="BF169" i="2"/>
  <c r="BG272" i="2"/>
  <c r="AV203" i="2"/>
  <c r="BB212" i="2"/>
  <c r="BQ223" i="2"/>
  <c r="BN223" i="2"/>
  <c r="BN192" i="2"/>
  <c r="AY214" i="2"/>
  <c r="AY202" i="2"/>
  <c r="AZ201" i="2"/>
  <c r="BQ221" i="2"/>
  <c r="BN221" i="2"/>
  <c r="BR221" i="2" s="1"/>
  <c r="BS221" i="2" s="1"/>
  <c r="BW222" i="2"/>
  <c r="BT222" i="2"/>
  <c r="AC169" i="2"/>
  <c r="BA169" i="2"/>
  <c r="BK272" i="2"/>
  <c r="BG192" i="2"/>
  <c r="BC297" i="2"/>
  <c r="BB297" i="2" s="1"/>
  <c r="BK202" i="2"/>
  <c r="BG210" i="2"/>
  <c r="BH203" i="2"/>
  <c r="BH210" i="2" s="1"/>
  <c r="AT201" i="2"/>
  <c r="AS202" i="2"/>
  <c r="BI202" i="2"/>
  <c r="BI216" i="2" s="1"/>
  <c r="BB203" i="2"/>
  <c r="BB210" i="2" s="1"/>
  <c r="S202" i="2"/>
  <c r="AQ228" i="2"/>
  <c r="AQ202" i="2"/>
  <c r="BK212" i="2"/>
  <c r="Y229" i="2"/>
  <c r="Y228" i="2"/>
  <c r="AW228" i="2"/>
  <c r="AU201" i="2"/>
  <c r="BF202" i="2"/>
  <c r="BF209" i="2" s="1"/>
  <c r="BF210" i="2"/>
  <c r="BF208" i="2"/>
  <c r="AS214" i="2"/>
  <c r="BO274" i="2"/>
  <c r="AZ239" i="2"/>
  <c r="AS239" i="2"/>
  <c r="AP239" i="2"/>
  <c r="AI239" i="2"/>
  <c r="AV239" i="2"/>
  <c r="AO239" i="2"/>
  <c r="AH239" i="2"/>
  <c r="BA239" i="2"/>
  <c r="AT239" i="2"/>
  <c r="AM239" i="2"/>
  <c r="AU239" i="2"/>
  <c r="AG239" i="2"/>
  <c r="AK239" i="2" s="1"/>
  <c r="BB239" i="2"/>
  <c r="AK202" i="2"/>
  <c r="S228" i="2"/>
  <c r="AK228" i="2"/>
  <c r="CY276" i="2"/>
  <c r="BO291" i="2"/>
  <c r="BO277" i="2"/>
  <c r="AW295" i="2"/>
  <c r="AW205" i="2" s="1"/>
  <c r="AE291" i="2"/>
  <c r="BC140" i="2"/>
  <c r="AW140" i="2"/>
  <c r="BI138" i="2"/>
  <c r="DY138" i="2"/>
  <c r="DY137" i="2"/>
  <c r="DV138" i="2"/>
  <c r="DU138" i="2"/>
  <c r="DT138" i="2"/>
  <c r="DS138" i="2"/>
  <c r="DV137" i="2"/>
  <c r="DU137" i="2"/>
  <c r="DT137" i="2"/>
  <c r="DS137" i="2"/>
  <c r="DP138" i="2"/>
  <c r="DO138" i="2"/>
  <c r="DN138" i="2"/>
  <c r="DM138" i="2"/>
  <c r="DP137" i="2"/>
  <c r="DO137" i="2"/>
  <c r="DN137" i="2"/>
  <c r="DM137" i="2"/>
  <c r="DJ138" i="2"/>
  <c r="DI138" i="2"/>
  <c r="DH138" i="2"/>
  <c r="DG138" i="2"/>
  <c r="DJ137" i="2"/>
  <c r="DI137" i="2"/>
  <c r="DH137" i="2"/>
  <c r="DG137" i="2"/>
  <c r="DD138" i="2"/>
  <c r="DC138" i="2"/>
  <c r="DB138" i="2"/>
  <c r="DA138" i="2"/>
  <c r="DD137" i="2"/>
  <c r="DC137" i="2"/>
  <c r="DB137" i="2"/>
  <c r="DA137" i="2"/>
  <c r="CX138" i="2"/>
  <c r="CW138" i="2"/>
  <c r="CV138" i="2"/>
  <c r="CU138" i="2"/>
  <c r="CX137" i="2"/>
  <c r="CW137" i="2"/>
  <c r="CV137" i="2"/>
  <c r="CU137" i="2"/>
  <c r="CR138" i="2"/>
  <c r="CQ138" i="2"/>
  <c r="CP138" i="2"/>
  <c r="CO138" i="2"/>
  <c r="CR137" i="2"/>
  <c r="CQ137" i="2"/>
  <c r="CP137" i="2"/>
  <c r="CO137" i="2"/>
  <c r="BK137" i="2"/>
  <c r="BK136" i="2"/>
  <c r="A137" i="2"/>
  <c r="A136" i="2"/>
  <c r="EO136" i="2"/>
  <c r="EI136" i="2"/>
  <c r="EC136" i="2"/>
  <c r="DW136" i="2"/>
  <c r="DQ136" i="2"/>
  <c r="DK136" i="2"/>
  <c r="DE136" i="2"/>
  <c r="CU136" i="2"/>
  <c r="CY136" i="2" s="1"/>
  <c r="CO136" i="2"/>
  <c r="BN138" i="2"/>
  <c r="BM138" i="2"/>
  <c r="BL138" i="2"/>
  <c r="BL137" i="2"/>
  <c r="BN136" i="2"/>
  <c r="BM136" i="2"/>
  <c r="BL136" i="2"/>
  <c r="AZ137" i="2"/>
  <c r="AY137" i="2"/>
  <c r="AZ136" i="2"/>
  <c r="AY136" i="2"/>
  <c r="AV137" i="2"/>
  <c r="AU137" i="2"/>
  <c r="AT137" i="2"/>
  <c r="AS137" i="2"/>
  <c r="AV136" i="2"/>
  <c r="AU136" i="2"/>
  <c r="AT136" i="2"/>
  <c r="AS136" i="2"/>
  <c r="AP137" i="2"/>
  <c r="AO137" i="2"/>
  <c r="AN137" i="2"/>
  <c r="AM137" i="2"/>
  <c r="AP136" i="2"/>
  <c r="AO136" i="2"/>
  <c r="AN136" i="2"/>
  <c r="AM136" i="2"/>
  <c r="AJ136" i="2"/>
  <c r="AI136" i="2"/>
  <c r="AH136" i="2"/>
  <c r="AG136" i="2"/>
  <c r="AD136" i="2"/>
  <c r="AC136" i="2"/>
  <c r="AB136" i="2"/>
  <c r="AA136" i="2"/>
  <c r="X136" i="2"/>
  <c r="W136" i="2"/>
  <c r="V136" i="2"/>
  <c r="U136" i="2"/>
  <c r="R136" i="2"/>
  <c r="Q136" i="2"/>
  <c r="P136" i="2"/>
  <c r="O136" i="2"/>
  <c r="CR136" i="2"/>
  <c r="CL138" i="2"/>
  <c r="CK138" i="2"/>
  <c r="CJ138" i="2"/>
  <c r="CI138" i="2"/>
  <c r="CL137" i="2"/>
  <c r="CK137" i="2"/>
  <c r="CJ137" i="2"/>
  <c r="CI137" i="2"/>
  <c r="CL136" i="2"/>
  <c r="CK136" i="2"/>
  <c r="CJ136" i="2"/>
  <c r="CJ57" i="3" s="1"/>
  <c r="CI136" i="2"/>
  <c r="CF138" i="2"/>
  <c r="CE138" i="2"/>
  <c r="CD138" i="2"/>
  <c r="CC138" i="2"/>
  <c r="CF137" i="2"/>
  <c r="CE137" i="2"/>
  <c r="CD137" i="2"/>
  <c r="CC137" i="2"/>
  <c r="CF136" i="2"/>
  <c r="CE136" i="2"/>
  <c r="CD136" i="2"/>
  <c r="CD57" i="3" s="1"/>
  <c r="CC136" i="2"/>
  <c r="BZ138" i="2"/>
  <c r="BY138" i="2"/>
  <c r="BX138" i="2"/>
  <c r="BW138" i="2"/>
  <c r="BZ137" i="2"/>
  <c r="BY137" i="2"/>
  <c r="BX137" i="2"/>
  <c r="BW137" i="2"/>
  <c r="BZ136" i="2"/>
  <c r="BY136" i="2"/>
  <c r="BX136" i="2"/>
  <c r="BW136" i="2"/>
  <c r="BT138" i="2"/>
  <c r="BS138" i="2"/>
  <c r="BR138" i="2"/>
  <c r="BQ138" i="2"/>
  <c r="BT137" i="2"/>
  <c r="BS137" i="2"/>
  <c r="BR137" i="2"/>
  <c r="BQ137" i="2"/>
  <c r="BT136" i="2"/>
  <c r="BS136" i="2"/>
  <c r="BR136" i="2"/>
  <c r="BQ136" i="2"/>
  <c r="BF137" i="2"/>
  <c r="BE137" i="2"/>
  <c r="BF136" i="2"/>
  <c r="BE136" i="2"/>
  <c r="BC134" i="2"/>
  <c r="AW134" i="2"/>
  <c r="BB133" i="2"/>
  <c r="BB140" i="2" s="1"/>
  <c r="A132" i="2"/>
  <c r="BH133" i="2"/>
  <c r="BH140" i="2" s="1"/>
  <c r="BG133" i="2"/>
  <c r="BG140" i="2" s="1"/>
  <c r="BF133" i="2"/>
  <c r="BF140" i="2" s="1"/>
  <c r="BE133" i="2"/>
  <c r="BF132" i="2"/>
  <c r="BE132" i="2"/>
  <c r="BF131" i="2"/>
  <c r="BE131" i="2"/>
  <c r="BA132" i="2"/>
  <c r="AZ132" i="2"/>
  <c r="AY132" i="2"/>
  <c r="BA131" i="2"/>
  <c r="AZ131" i="2"/>
  <c r="AY131" i="2"/>
  <c r="AV132" i="2"/>
  <c r="AU132" i="2"/>
  <c r="AT132" i="2"/>
  <c r="AS132" i="2"/>
  <c r="AV131" i="2"/>
  <c r="AU131" i="2"/>
  <c r="AT131" i="2"/>
  <c r="AS131" i="2"/>
  <c r="AP132" i="2"/>
  <c r="AO132" i="2"/>
  <c r="AN132" i="2"/>
  <c r="AM132" i="2"/>
  <c r="AP131" i="2"/>
  <c r="AO131" i="2"/>
  <c r="AN131" i="2"/>
  <c r="AM131" i="2"/>
  <c r="DY132" i="2"/>
  <c r="DV132" i="2"/>
  <c r="DU132" i="2"/>
  <c r="DT132" i="2"/>
  <c r="DS132" i="2"/>
  <c r="DP132" i="2"/>
  <c r="DO132" i="2"/>
  <c r="DN132" i="2"/>
  <c r="DM132" i="2"/>
  <c r="DJ132" i="2"/>
  <c r="DI132" i="2"/>
  <c r="DH132" i="2"/>
  <c r="DG132" i="2"/>
  <c r="DB133" i="2"/>
  <c r="DD132" i="2"/>
  <c r="DC132" i="2"/>
  <c r="DB132" i="2"/>
  <c r="DA132" i="2"/>
  <c r="CV133" i="2"/>
  <c r="CU133" i="2"/>
  <c r="CX132" i="2"/>
  <c r="CW132" i="2"/>
  <c r="CV132" i="2"/>
  <c r="CU132" i="2"/>
  <c r="CU131" i="2"/>
  <c r="CR133" i="2"/>
  <c r="CR203" i="2" s="1"/>
  <c r="CP133" i="2"/>
  <c r="CP203" i="2" s="1"/>
  <c r="CO133" i="2"/>
  <c r="CO203" i="2" s="1"/>
  <c r="CR132" i="2"/>
  <c r="CQ132" i="2"/>
  <c r="CP132" i="2"/>
  <c r="CO132" i="2"/>
  <c r="CO135" i="2" s="1"/>
  <c r="CO131" i="2"/>
  <c r="CL133" i="2"/>
  <c r="CL203" i="2" s="1"/>
  <c r="CK133" i="2"/>
  <c r="CK203" i="2" s="1"/>
  <c r="CJ133" i="2"/>
  <c r="CJ203" i="2" s="1"/>
  <c r="CI133" i="2"/>
  <c r="CI203" i="2" s="1"/>
  <c r="CL132" i="2"/>
  <c r="CK132" i="2"/>
  <c r="CJ132" i="2"/>
  <c r="CJ135" i="2" s="1"/>
  <c r="CI132" i="2"/>
  <c r="CI131" i="2"/>
  <c r="CF133" i="2"/>
  <c r="CF140" i="2" s="1"/>
  <c r="CE133" i="2"/>
  <c r="CE203" i="2" s="1"/>
  <c r="CD133" i="2"/>
  <c r="CD203" i="2" s="1"/>
  <c r="CC133" i="2"/>
  <c r="CC203" i="2" s="1"/>
  <c r="CF132" i="2"/>
  <c r="CE132" i="2"/>
  <c r="CE135" i="2" s="1"/>
  <c r="CD132" i="2"/>
  <c r="CC132" i="2"/>
  <c r="CC131" i="2"/>
  <c r="BZ133" i="2"/>
  <c r="BZ203" i="2" s="1"/>
  <c r="BY133" i="2"/>
  <c r="BY203" i="2" s="1"/>
  <c r="BX133" i="2"/>
  <c r="BX140" i="2" s="1"/>
  <c r="BW133" i="2"/>
  <c r="BZ132" i="2"/>
  <c r="BZ135" i="2" s="1"/>
  <c r="BY132" i="2"/>
  <c r="BX132" i="2"/>
  <c r="BW132" i="2"/>
  <c r="BW131" i="2"/>
  <c r="BT133" i="2"/>
  <c r="BT140" i="2" s="1"/>
  <c r="BS133" i="2"/>
  <c r="BS140" i="2" s="1"/>
  <c r="BR133" i="2"/>
  <c r="BR140" i="2" s="1"/>
  <c r="BQ133" i="2"/>
  <c r="BT132" i="2"/>
  <c r="BS132" i="2"/>
  <c r="BR132" i="2"/>
  <c r="BQ132" i="2"/>
  <c r="BQ135" i="2" s="1"/>
  <c r="BT131" i="2"/>
  <c r="BS131" i="2"/>
  <c r="BR131" i="2"/>
  <c r="BQ131" i="2"/>
  <c r="BN133" i="2"/>
  <c r="BN203" i="2" s="1"/>
  <c r="BM133" i="2"/>
  <c r="BM203" i="2" s="1"/>
  <c r="BL133" i="2"/>
  <c r="BL203" i="2" s="1"/>
  <c r="BK133" i="2"/>
  <c r="BK140" i="2" s="1"/>
  <c r="BL132" i="2"/>
  <c r="BK132" i="2"/>
  <c r="BL131" i="2"/>
  <c r="BK131" i="2"/>
  <c r="AJ131" i="2"/>
  <c r="AI131" i="2"/>
  <c r="AH131" i="2"/>
  <c r="AG131" i="2"/>
  <c r="AJ130" i="2"/>
  <c r="AI130" i="2"/>
  <c r="AH130" i="2"/>
  <c r="AG130" i="2"/>
  <c r="AD130" i="2"/>
  <c r="AC130" i="2"/>
  <c r="AB130" i="2"/>
  <c r="AA130" i="2"/>
  <c r="DY124" i="2"/>
  <c r="DV124" i="2"/>
  <c r="DU124" i="2"/>
  <c r="DT124" i="2"/>
  <c r="DS124" i="2"/>
  <c r="DP124" i="2"/>
  <c r="DO124" i="2"/>
  <c r="DN124" i="2"/>
  <c r="DM124" i="2"/>
  <c r="DJ124" i="2"/>
  <c r="DI124" i="2"/>
  <c r="DH124" i="2"/>
  <c r="DG124" i="2"/>
  <c r="DD124" i="2"/>
  <c r="DC124" i="2"/>
  <c r="DB124" i="2"/>
  <c r="DA124" i="2"/>
  <c r="CX124" i="2"/>
  <c r="CW124" i="2"/>
  <c r="CV124" i="2"/>
  <c r="CU124" i="2"/>
  <c r="CR124" i="2"/>
  <c r="CQ124" i="2"/>
  <c r="CP124" i="2"/>
  <c r="CO124" i="2"/>
  <c r="CL124" i="2"/>
  <c r="CK124" i="2"/>
  <c r="CJ124" i="2"/>
  <c r="CI124" i="2"/>
  <c r="CF124" i="2"/>
  <c r="CE124" i="2"/>
  <c r="CD124" i="2"/>
  <c r="CC124" i="2"/>
  <c r="CC125" i="2" s="1"/>
  <c r="BZ124" i="2"/>
  <c r="BZ125" i="2" s="1"/>
  <c r="BY124" i="2"/>
  <c r="BY125" i="2" s="1"/>
  <c r="BX124" i="2"/>
  <c r="BX125" i="2" s="1"/>
  <c r="BW124" i="2"/>
  <c r="BT124" i="2"/>
  <c r="BT125" i="2" s="1"/>
  <c r="BT110" i="2" s="1"/>
  <c r="BU110" i="2" s="1"/>
  <c r="BS124" i="2"/>
  <c r="BS125" i="2" s="1"/>
  <c r="BS110" i="2" s="1"/>
  <c r="BR124" i="2"/>
  <c r="BR125" i="2" s="1"/>
  <c r="BR110" i="2" s="1"/>
  <c r="BQ124" i="2"/>
  <c r="BQ125" i="2" s="1"/>
  <c r="BL124" i="2"/>
  <c r="BL125" i="2" s="1"/>
  <c r="BL110" i="2" s="1"/>
  <c r="BK124" i="2"/>
  <c r="BF125" i="2"/>
  <c r="BF110" i="2" s="1"/>
  <c r="BF124" i="2"/>
  <c r="BE124" i="2"/>
  <c r="BE125" i="2" s="1"/>
  <c r="AZ124" i="2"/>
  <c r="AZ125" i="2" s="1"/>
  <c r="AZ110" i="2" s="1"/>
  <c r="AY124" i="2"/>
  <c r="AY125" i="2" s="1"/>
  <c r="AW124" i="2"/>
  <c r="AW125" i="2" s="1"/>
  <c r="AV124" i="2"/>
  <c r="AV125" i="2" s="1"/>
  <c r="AV110" i="2" s="1"/>
  <c r="AW110" i="2" s="1"/>
  <c r="AU124" i="2"/>
  <c r="AU125" i="2" s="1"/>
  <c r="AU110" i="2" s="1"/>
  <c r="AT124" i="2"/>
  <c r="AT125" i="2" s="1"/>
  <c r="AT110" i="2" s="1"/>
  <c r="AS124" i="2"/>
  <c r="AS125" i="2" s="1"/>
  <c r="AQ124" i="2"/>
  <c r="AQ125" i="2" s="1"/>
  <c r="AP124" i="2"/>
  <c r="AP125" i="2" s="1"/>
  <c r="AP110" i="2" s="1"/>
  <c r="AQ110" i="2" s="1"/>
  <c r="AO124" i="2"/>
  <c r="AO125" i="2" s="1"/>
  <c r="AO110" i="2" s="1"/>
  <c r="AN124" i="2"/>
  <c r="AN125" i="2" s="1"/>
  <c r="AN110" i="2" s="1"/>
  <c r="AM124" i="2"/>
  <c r="AM125" i="2" s="1"/>
  <c r="AK124" i="2"/>
  <c r="AK125" i="2" s="1"/>
  <c r="AJ124" i="2"/>
  <c r="AJ125" i="2" s="1"/>
  <c r="AJ110" i="2" s="1"/>
  <c r="AK110" i="2" s="1"/>
  <c r="AI124" i="2"/>
  <c r="AI125" i="2" s="1"/>
  <c r="AI110" i="2" s="1"/>
  <c r="AH124" i="2"/>
  <c r="AH125" i="2" s="1"/>
  <c r="AH110" i="2" s="1"/>
  <c r="AG124" i="2"/>
  <c r="AG125" i="2" s="1"/>
  <c r="AE124" i="2"/>
  <c r="AE125" i="2" s="1"/>
  <c r="AD124" i="2"/>
  <c r="AD125" i="2" s="1"/>
  <c r="AD110" i="2" s="1"/>
  <c r="AE110" i="2" s="1"/>
  <c r="AC124" i="2"/>
  <c r="AC125" i="2" s="1"/>
  <c r="AC110" i="2" s="1"/>
  <c r="AB124" i="2"/>
  <c r="AB125" i="2" s="1"/>
  <c r="AB110" i="2" s="1"/>
  <c r="AA124" i="2"/>
  <c r="AA125" i="2" s="1"/>
  <c r="Y124" i="2"/>
  <c r="Y125" i="2" s="1"/>
  <c r="X124" i="2"/>
  <c r="X125" i="2" s="1"/>
  <c r="X110" i="2" s="1"/>
  <c r="Y110" i="2" s="1"/>
  <c r="W124" i="2"/>
  <c r="W125" i="2" s="1"/>
  <c r="W110" i="2" s="1"/>
  <c r="V124" i="2"/>
  <c r="V125" i="2" s="1"/>
  <c r="V110" i="2" s="1"/>
  <c r="U124" i="2"/>
  <c r="U125" i="2" s="1"/>
  <c r="S124" i="2"/>
  <c r="S125" i="2" s="1"/>
  <c r="R124" i="2"/>
  <c r="R125" i="2" s="1"/>
  <c r="R110" i="2" s="1"/>
  <c r="S110" i="2" s="1"/>
  <c r="Q124" i="2"/>
  <c r="Q125" i="2" s="1"/>
  <c r="Q110" i="2" s="1"/>
  <c r="P124" i="2"/>
  <c r="P125" i="2" s="1"/>
  <c r="O124" i="2"/>
  <c r="O125" i="2" s="1"/>
  <c r="BX122" i="2"/>
  <c r="BT122" i="2"/>
  <c r="BS122" i="2"/>
  <c r="BR122" i="2"/>
  <c r="BN122" i="2"/>
  <c r="BM122" i="2"/>
  <c r="CP121" i="2"/>
  <c r="CO121" i="2"/>
  <c r="CL121" i="2"/>
  <c r="CK121" i="2"/>
  <c r="BX121" i="2"/>
  <c r="BW121" i="2"/>
  <c r="BT121" i="2"/>
  <c r="BS121" i="2"/>
  <c r="BR121" i="2"/>
  <c r="BQ121" i="2"/>
  <c r="BN121" i="2"/>
  <c r="BM121" i="2"/>
  <c r="BL121" i="2"/>
  <c r="BK121" i="2"/>
  <c r="BH121" i="2"/>
  <c r="BG121" i="2"/>
  <c r="BF121" i="2"/>
  <c r="BE121" i="2"/>
  <c r="BB121" i="2"/>
  <c r="BA121" i="2"/>
  <c r="AZ121" i="2"/>
  <c r="AY121" i="2"/>
  <c r="DY118" i="2"/>
  <c r="DV118" i="2"/>
  <c r="DU118" i="2"/>
  <c r="DT118" i="2"/>
  <c r="DS118" i="2"/>
  <c r="DP118" i="2"/>
  <c r="DO118" i="2"/>
  <c r="DN118" i="2"/>
  <c r="DM118" i="2"/>
  <c r="DJ118" i="2"/>
  <c r="DI118" i="2"/>
  <c r="DH118" i="2"/>
  <c r="DG118" i="2"/>
  <c r="DD118" i="2"/>
  <c r="DC118" i="2"/>
  <c r="DB118" i="2"/>
  <c r="DA118" i="2"/>
  <c r="CX118" i="2"/>
  <c r="CW118" i="2"/>
  <c r="CV118" i="2"/>
  <c r="CU118" i="2"/>
  <c r="CR118" i="2"/>
  <c r="CQ118" i="2"/>
  <c r="CP118" i="2"/>
  <c r="CO118" i="2"/>
  <c r="CL118" i="2"/>
  <c r="CK118" i="2"/>
  <c r="CJ118" i="2"/>
  <c r="CI118" i="2"/>
  <c r="CF118" i="2"/>
  <c r="CE118" i="2"/>
  <c r="CD118" i="2"/>
  <c r="CC118" i="2"/>
  <c r="BZ118" i="2"/>
  <c r="BY118" i="2"/>
  <c r="BX118" i="2"/>
  <c r="BW118" i="2"/>
  <c r="BT118" i="2"/>
  <c r="BS118" i="2"/>
  <c r="BR118" i="2"/>
  <c r="BQ118" i="2"/>
  <c r="BL118" i="2"/>
  <c r="BK118" i="2"/>
  <c r="BF118" i="2"/>
  <c r="BE118" i="2"/>
  <c r="AZ118" i="2"/>
  <c r="AY118" i="2"/>
  <c r="AV118" i="2"/>
  <c r="AU118" i="2"/>
  <c r="AT118" i="2"/>
  <c r="AS118" i="2"/>
  <c r="AP118" i="2"/>
  <c r="AO118" i="2"/>
  <c r="AN118" i="2"/>
  <c r="AM118" i="2"/>
  <c r="AJ118" i="2"/>
  <c r="AI118" i="2"/>
  <c r="AH118" i="2"/>
  <c r="AG118" i="2"/>
  <c r="AD118" i="2"/>
  <c r="AC118" i="2"/>
  <c r="AB118" i="2"/>
  <c r="AA118" i="2"/>
  <c r="X118" i="2"/>
  <c r="W118" i="2"/>
  <c r="V118" i="2"/>
  <c r="U118" i="2"/>
  <c r="R118" i="2"/>
  <c r="Q118" i="2"/>
  <c r="P118" i="2"/>
  <c r="O118" i="2"/>
  <c r="BQ116" i="2"/>
  <c r="BN116" i="2"/>
  <c r="BO116" i="2" s="1"/>
  <c r="BK116" i="2"/>
  <c r="BK115" i="2" s="1"/>
  <c r="BH116" i="2"/>
  <c r="BI116" i="2" s="1"/>
  <c r="BG116" i="2"/>
  <c r="BF116" i="2"/>
  <c r="BE116" i="2"/>
  <c r="AP116" i="2"/>
  <c r="AQ116" i="2" s="1"/>
  <c r="AO116" i="2"/>
  <c r="AN116" i="2"/>
  <c r="AM116" i="2"/>
  <c r="AJ116" i="2"/>
  <c r="AK116" i="2" s="1"/>
  <c r="AI116" i="2"/>
  <c r="AH116" i="2"/>
  <c r="AG116" i="2"/>
  <c r="AD116" i="2"/>
  <c r="AE116" i="2" s="1"/>
  <c r="AC116" i="2"/>
  <c r="AB116" i="2"/>
  <c r="AA116" i="2"/>
  <c r="X116" i="2"/>
  <c r="Y116" i="2" s="1"/>
  <c r="W116" i="2"/>
  <c r="V116" i="2"/>
  <c r="U116" i="2"/>
  <c r="R116" i="2"/>
  <c r="S116" i="2" s="1"/>
  <c r="Q116" i="2"/>
  <c r="P116" i="2"/>
  <c r="O116" i="2"/>
  <c r="CG115" i="2"/>
  <c r="CG113" i="2"/>
  <c r="CC115" i="2"/>
  <c r="CD115" i="2" s="1"/>
  <c r="CE115" i="2" s="1"/>
  <c r="CA115" i="2"/>
  <c r="CA113" i="2"/>
  <c r="CC113" i="2" s="1"/>
  <c r="BY115" i="2"/>
  <c r="BY113" i="2"/>
  <c r="BU115" i="2"/>
  <c r="BU113" i="2"/>
  <c r="BO115" i="2"/>
  <c r="BO114" i="2"/>
  <c r="BQ114" i="2" s="1"/>
  <c r="BR114" i="2" s="1"/>
  <c r="BO113" i="2"/>
  <c r="BF115" i="2"/>
  <c r="BE115" i="2"/>
  <c r="BB116" i="2"/>
  <c r="BC116" i="2" s="1"/>
  <c r="BA116" i="2"/>
  <c r="BA115" i="2" s="1"/>
  <c r="AZ116" i="2"/>
  <c r="AZ115" i="2" s="1"/>
  <c r="AY116" i="2"/>
  <c r="AY115" i="2" s="1"/>
  <c r="AV116" i="2"/>
  <c r="AW116" i="2" s="1"/>
  <c r="AU116" i="2"/>
  <c r="AT116" i="2"/>
  <c r="AT115" i="2" s="1"/>
  <c r="AS116" i="2"/>
  <c r="AS115" i="2" s="1"/>
  <c r="AV115" i="2"/>
  <c r="AW115" i="2" s="1"/>
  <c r="AU115" i="2"/>
  <c r="CD114" i="2"/>
  <c r="CF114" i="2" s="1"/>
  <c r="CF116" i="2" s="1"/>
  <c r="CG116" i="2" s="1"/>
  <c r="BL114" i="2"/>
  <c r="BL116" i="2" s="1"/>
  <c r="BI114" i="2"/>
  <c r="BI113" i="2"/>
  <c r="BC114" i="2"/>
  <c r="BC113" i="2"/>
  <c r="AW114" i="2"/>
  <c r="AW113" i="2"/>
  <c r="AQ114" i="2"/>
  <c r="AQ113" i="2"/>
  <c r="CP114" i="2"/>
  <c r="CQ114" i="2" s="1"/>
  <c r="CR114" i="2" s="1"/>
  <c r="CS114" i="2" s="1"/>
  <c r="CU114" i="2" s="1"/>
  <c r="CV114" i="2" s="1"/>
  <c r="CW114" i="2" s="1"/>
  <c r="CX114" i="2" s="1"/>
  <c r="CY114" i="2" s="1"/>
  <c r="DA114" i="2" s="1"/>
  <c r="DB114" i="2" s="1"/>
  <c r="DC114" i="2" s="1"/>
  <c r="DD114" i="2" s="1"/>
  <c r="DE114" i="2" s="1"/>
  <c r="DG114" i="2" s="1"/>
  <c r="DH114" i="2" s="1"/>
  <c r="DI114" i="2" s="1"/>
  <c r="DJ114" i="2" s="1"/>
  <c r="DK114" i="2" s="1"/>
  <c r="DM114" i="2" s="1"/>
  <c r="DN114" i="2" s="1"/>
  <c r="DO114" i="2" s="1"/>
  <c r="DP114" i="2" s="1"/>
  <c r="DQ114" i="2" s="1"/>
  <c r="DS114" i="2" s="1"/>
  <c r="DT114" i="2" s="1"/>
  <c r="DU114" i="2" s="1"/>
  <c r="DV114" i="2" s="1"/>
  <c r="DW114" i="2" s="1"/>
  <c r="DY114" i="2" s="1"/>
  <c r="DZ114" i="2" s="1"/>
  <c r="CI115" i="2"/>
  <c r="CJ115" i="2" s="1"/>
  <c r="CK115" i="2" s="1"/>
  <c r="CL115" i="2" s="1"/>
  <c r="CJ114" i="2"/>
  <c r="CK114" i="2" s="1"/>
  <c r="CL114" i="2" s="1"/>
  <c r="CM114" i="2" s="1"/>
  <c r="CO114" i="2" s="1"/>
  <c r="CI113" i="2"/>
  <c r="CJ113" i="2" s="1"/>
  <c r="CE110" i="2"/>
  <c r="CF110" i="2" s="1"/>
  <c r="CE109" i="2"/>
  <c r="CD109" i="2"/>
  <c r="CC109" i="2"/>
  <c r="CA109" i="2"/>
  <c r="BZ109" i="2"/>
  <c r="BY109" i="2"/>
  <c r="BW109" i="2"/>
  <c r="BT109" i="2"/>
  <c r="BU109" i="2" s="1"/>
  <c r="BS109" i="2"/>
  <c r="BR109" i="2"/>
  <c r="BO109" i="2"/>
  <c r="BO108" i="2"/>
  <c r="BO107" i="2"/>
  <c r="BQ122" i="2" s="1"/>
  <c r="BO106" i="2"/>
  <c r="O109" i="2"/>
  <c r="O108" i="2" s="1"/>
  <c r="CS108" i="2"/>
  <c r="CS107" i="2"/>
  <c r="CQ107" i="2"/>
  <c r="CR121" i="2" s="1"/>
  <c r="CM108" i="2"/>
  <c r="CM107" i="2"/>
  <c r="CI107" i="2"/>
  <c r="CI121" i="2" s="1"/>
  <c r="CG108" i="2"/>
  <c r="CG107" i="2"/>
  <c r="CA108" i="2"/>
  <c r="BU108" i="2"/>
  <c r="BU107" i="2"/>
  <c r="BW122" i="2" s="1"/>
  <c r="BU106" i="2"/>
  <c r="BK108" i="2"/>
  <c r="BL122" i="2" s="1"/>
  <c r="BI109" i="2"/>
  <c r="BH109" i="2"/>
  <c r="BG109" i="2"/>
  <c r="BF109" i="2"/>
  <c r="BF108" i="2" s="1"/>
  <c r="BE109" i="2"/>
  <c r="BE108" i="2" s="1"/>
  <c r="BH108" i="2"/>
  <c r="BG108" i="2"/>
  <c r="BB109" i="2"/>
  <c r="BB108" i="2" s="1"/>
  <c r="BA109" i="2"/>
  <c r="AZ109" i="2"/>
  <c r="AY109" i="2"/>
  <c r="AY108" i="2" s="1"/>
  <c r="BA108" i="2"/>
  <c r="AZ108" i="2"/>
  <c r="AV109" i="2"/>
  <c r="AU109" i="2"/>
  <c r="AU108" i="2" s="1"/>
  <c r="AT109" i="2"/>
  <c r="AT108" i="2" s="1"/>
  <c r="AS109" i="2"/>
  <c r="AS108" i="2" s="1"/>
  <c r="AP109" i="2"/>
  <c r="AQ109" i="2" s="1"/>
  <c r="AO109" i="2"/>
  <c r="AO108" i="2" s="1"/>
  <c r="AN109" i="2"/>
  <c r="AN108" i="2" s="1"/>
  <c r="AM109" i="2"/>
  <c r="AM108" i="2" s="1"/>
  <c r="AP108" i="2"/>
  <c r="AJ109" i="2"/>
  <c r="AK109" i="2" s="1"/>
  <c r="AI109" i="2"/>
  <c r="AH109" i="2"/>
  <c r="AH108" i="2" s="1"/>
  <c r="AG109" i="2"/>
  <c r="AG108" i="2" s="1"/>
  <c r="AJ108" i="2"/>
  <c r="AI108" i="2"/>
  <c r="AE109" i="2"/>
  <c r="AD109" i="2"/>
  <c r="AD108" i="2" s="1"/>
  <c r="AC109" i="2"/>
  <c r="AC108" i="2" s="1"/>
  <c r="AB109" i="2"/>
  <c r="AB108" i="2" s="1"/>
  <c r="AA109" i="2"/>
  <c r="AA108" i="2" s="1"/>
  <c r="X109" i="2"/>
  <c r="W109" i="2"/>
  <c r="W108" i="2" s="1"/>
  <c r="V109" i="2"/>
  <c r="U109" i="2"/>
  <c r="V108" i="2"/>
  <c r="U108" i="2"/>
  <c r="P110" i="2"/>
  <c r="R109" i="2"/>
  <c r="S109" i="2" s="1"/>
  <c r="Q109" i="2"/>
  <c r="Q108" i="2" s="1"/>
  <c r="P109" i="2"/>
  <c r="P108" i="2" s="1"/>
  <c r="BZ107" i="2"/>
  <c r="BZ106" i="2"/>
  <c r="CA106" i="2" s="1"/>
  <c r="BI107" i="2"/>
  <c r="BK122" i="2" s="1"/>
  <c r="BI106" i="2"/>
  <c r="BC107" i="2"/>
  <c r="BE122" i="2" s="1"/>
  <c r="BC106" i="2"/>
  <c r="AW107" i="2"/>
  <c r="AY122" i="2" s="1"/>
  <c r="AW106" i="2"/>
  <c r="AQ107" i="2"/>
  <c r="AS122" i="2" s="1"/>
  <c r="AQ106" i="2"/>
  <c r="AK107" i="2"/>
  <c r="AM122" i="2" s="1"/>
  <c r="AK106" i="2"/>
  <c r="AE107" i="2"/>
  <c r="AG122" i="2" s="1"/>
  <c r="AE106" i="2"/>
  <c r="Y107" i="2"/>
  <c r="AA122" i="2" s="1"/>
  <c r="Y106" i="2"/>
  <c r="S107" i="2"/>
  <c r="U122" i="2" s="1"/>
  <c r="S106" i="2"/>
  <c r="CU107" i="2"/>
  <c r="CU121" i="2" s="1"/>
  <c r="CR106" i="2"/>
  <c r="CR109" i="2" s="1"/>
  <c r="CS109" i="2" s="1"/>
  <c r="CP106" i="2"/>
  <c r="CQ106" i="2" s="1"/>
  <c r="CO106" i="2"/>
  <c r="CO109" i="2" s="1"/>
  <c r="CL106" i="2"/>
  <c r="CK106" i="2"/>
  <c r="CK109" i="2" s="1"/>
  <c r="CJ106" i="2"/>
  <c r="CF106" i="2"/>
  <c r="CE106" i="2"/>
  <c r="CD106" i="2"/>
  <c r="CC106" i="2"/>
  <c r="CC107" i="2" s="1"/>
  <c r="BX106" i="2"/>
  <c r="DV102" i="2"/>
  <c r="DU102" i="2"/>
  <c r="DT102" i="2"/>
  <c r="DP102" i="2"/>
  <c r="DO102" i="2"/>
  <c r="DM102" i="2"/>
  <c r="DJ102" i="2"/>
  <c r="DI102" i="2"/>
  <c r="DH102" i="2"/>
  <c r="DG102" i="2"/>
  <c r="DD102" i="2"/>
  <c r="DC102" i="2"/>
  <c r="DB102" i="2"/>
  <c r="DA102" i="2"/>
  <c r="CX102" i="2"/>
  <c r="CW102" i="2"/>
  <c r="CV102" i="2"/>
  <c r="CU102" i="2"/>
  <c r="CR102" i="2"/>
  <c r="CQ102" i="2"/>
  <c r="CP102" i="2"/>
  <c r="CO102" i="2"/>
  <c r="CL102" i="2"/>
  <c r="CK102" i="2"/>
  <c r="CJ102" i="2"/>
  <c r="CI102" i="2"/>
  <c r="CF102" i="2"/>
  <c r="CE102" i="2"/>
  <c r="CD102" i="2"/>
  <c r="CC102" i="2"/>
  <c r="BZ102" i="2"/>
  <c r="BY102" i="2"/>
  <c r="BX102" i="2"/>
  <c r="BT102" i="2"/>
  <c r="BS102" i="2"/>
  <c r="BR102" i="2"/>
  <c r="BQ102" i="2"/>
  <c r="BN102" i="2"/>
  <c r="BM102" i="2"/>
  <c r="BL102" i="2"/>
  <c r="BK102" i="2"/>
  <c r="BH102" i="2"/>
  <c r="BG102" i="2"/>
  <c r="BF102" i="2"/>
  <c r="BE102" i="2"/>
  <c r="BB102" i="2"/>
  <c r="BA102" i="2"/>
  <c r="AZ102" i="2"/>
  <c r="AY102" i="2"/>
  <c r="AV102" i="2"/>
  <c r="AU102" i="2"/>
  <c r="AT102" i="2"/>
  <c r="AS102" i="2"/>
  <c r="AP102" i="2"/>
  <c r="AO102" i="2"/>
  <c r="AN102" i="2"/>
  <c r="AM102" i="2"/>
  <c r="AJ102" i="2"/>
  <c r="AI102" i="2"/>
  <c r="AH102" i="2"/>
  <c r="AG102" i="2"/>
  <c r="AD102" i="2"/>
  <c r="AC102" i="2"/>
  <c r="AB102" i="2"/>
  <c r="AA102" i="2"/>
  <c r="X102" i="2"/>
  <c r="W102" i="2"/>
  <c r="V102" i="2"/>
  <c r="U102" i="2"/>
  <c r="R102" i="2"/>
  <c r="Q102" i="2"/>
  <c r="P102" i="2"/>
  <c r="O102" i="2"/>
  <c r="BT99" i="2"/>
  <c r="BN99" i="2"/>
  <c r="BH99" i="2"/>
  <c r="BG99" i="2"/>
  <c r="BF99" i="2"/>
  <c r="BE99" i="2"/>
  <c r="BB99" i="2"/>
  <c r="BA99" i="2"/>
  <c r="AZ99" i="2"/>
  <c r="AY99" i="2"/>
  <c r="AV99" i="2"/>
  <c r="AU99" i="2"/>
  <c r="AT99" i="2"/>
  <c r="AS99" i="2"/>
  <c r="AP99" i="2"/>
  <c r="AJ99" i="2"/>
  <c r="AD99" i="2"/>
  <c r="AD100" i="2" s="1"/>
  <c r="AE100" i="2" s="1"/>
  <c r="X99" i="2"/>
  <c r="X100" i="2" s="1"/>
  <c r="Y100" i="2" s="1"/>
  <c r="Q99" i="2"/>
  <c r="Q100" i="2" s="1"/>
  <c r="P99" i="2"/>
  <c r="P100" i="2" s="1"/>
  <c r="O99" i="2"/>
  <c r="O100" i="2" s="1"/>
  <c r="DZ98" i="2"/>
  <c r="DY98" i="2"/>
  <c r="DS98" i="2"/>
  <c r="DT98" i="2" s="1"/>
  <c r="DU98" i="2" s="1"/>
  <c r="DN98" i="2"/>
  <c r="DM98" i="2"/>
  <c r="DG98" i="2"/>
  <c r="DH98" i="2" s="1"/>
  <c r="DI98" i="2" s="1"/>
  <c r="DB98" i="2"/>
  <c r="DA98" i="2"/>
  <c r="CU98" i="2"/>
  <c r="CV98" i="2" s="1"/>
  <c r="CW98" i="2" s="1"/>
  <c r="CQ98" i="2"/>
  <c r="CO98" i="2"/>
  <c r="CI98" i="2"/>
  <c r="CF98" i="2"/>
  <c r="CF99" i="2" s="1"/>
  <c r="BZ98" i="2"/>
  <c r="BZ99" i="2" s="1"/>
  <c r="BQ98" i="2"/>
  <c r="BR98" i="2" s="1"/>
  <c r="DZ96" i="2"/>
  <c r="DT96" i="2"/>
  <c r="DU96" i="2" s="1"/>
  <c r="DN96" i="2"/>
  <c r="DO96" i="2" s="1"/>
  <c r="DH96" i="2"/>
  <c r="DI96" i="2" s="1"/>
  <c r="DJ96" i="2" s="1"/>
  <c r="DB96" i="2"/>
  <c r="CV96" i="2"/>
  <c r="CW96" i="2" s="1"/>
  <c r="CP96" i="2"/>
  <c r="CQ96" i="2" s="1"/>
  <c r="CG95" i="2"/>
  <c r="CA95" i="2"/>
  <c r="BU95" i="2"/>
  <c r="BO95" i="2"/>
  <c r="BI95" i="2"/>
  <c r="BC95" i="2"/>
  <c r="AW95" i="2"/>
  <c r="AQ95" i="2"/>
  <c r="AK95" i="2"/>
  <c r="AM95" i="2" s="1"/>
  <c r="AE95" i="2"/>
  <c r="AG95" i="2" s="1"/>
  <c r="Y95" i="2"/>
  <c r="AA95" i="2" s="1"/>
  <c r="U95" i="2"/>
  <c r="U99" i="2" s="1"/>
  <c r="U100" i="2" s="1"/>
  <c r="R95" i="2"/>
  <c r="EC92" i="2"/>
  <c r="EC90" i="2"/>
  <c r="EI92" i="2"/>
  <c r="EN90" i="2"/>
  <c r="ET90" i="2" s="1"/>
  <c r="EU90" i="2" s="1"/>
  <c r="EI90" i="2"/>
  <c r="AD87" i="2"/>
  <c r="AE87" i="2" s="1"/>
  <c r="AC87" i="2"/>
  <c r="AB87" i="2"/>
  <c r="AA87" i="2"/>
  <c r="X87" i="2"/>
  <c r="Y87" i="2" s="1"/>
  <c r="W87" i="2"/>
  <c r="V87" i="2"/>
  <c r="U87" i="2"/>
  <c r="R87" i="2"/>
  <c r="S87" i="2" s="1"/>
  <c r="Q87" i="2"/>
  <c r="P87" i="2"/>
  <c r="O87" i="2"/>
  <c r="DY79" i="2"/>
  <c r="DZ81" i="2" s="1"/>
  <c r="DU80" i="2"/>
  <c r="DV79" i="2"/>
  <c r="DU79" i="2"/>
  <c r="DT79" i="2"/>
  <c r="DS79" i="2"/>
  <c r="DP79" i="2"/>
  <c r="DO79" i="2"/>
  <c r="DN79" i="2"/>
  <c r="DN81" i="2" s="1"/>
  <c r="DM79" i="2"/>
  <c r="DJ79" i="2"/>
  <c r="DI79" i="2"/>
  <c r="DH79" i="2"/>
  <c r="DH81" i="2" s="1"/>
  <c r="DG79" i="2"/>
  <c r="DD79" i="2"/>
  <c r="DD81" i="2" s="1"/>
  <c r="DC79" i="2"/>
  <c r="DB79" i="2"/>
  <c r="DA79" i="2"/>
  <c r="CX79" i="2"/>
  <c r="CW79" i="2"/>
  <c r="CW81" i="2" s="1"/>
  <c r="CV79" i="2"/>
  <c r="CU79" i="2"/>
  <c r="CR79" i="2"/>
  <c r="CQ79" i="2"/>
  <c r="CP79" i="2"/>
  <c r="CO79" i="2"/>
  <c r="CL79" i="2"/>
  <c r="CK79" i="2"/>
  <c r="CK81" i="2" s="1"/>
  <c r="CJ79" i="2"/>
  <c r="CI79" i="2"/>
  <c r="CF79" i="2"/>
  <c r="CE79" i="2"/>
  <c r="CD79" i="2"/>
  <c r="CC79" i="2"/>
  <c r="BZ79" i="2"/>
  <c r="BY79" i="2"/>
  <c r="BY81" i="2" s="1"/>
  <c r="BX79" i="2"/>
  <c r="BW79" i="2"/>
  <c r="BT79" i="2"/>
  <c r="BS79" i="2"/>
  <c r="BR79" i="2"/>
  <c r="BR81" i="2" s="1"/>
  <c r="BQ79" i="2"/>
  <c r="BN79" i="2"/>
  <c r="BM79" i="2"/>
  <c r="BL79" i="2"/>
  <c r="BK79" i="2"/>
  <c r="BH79" i="2"/>
  <c r="BG79" i="2"/>
  <c r="BF79" i="2"/>
  <c r="BF81" i="2" s="1"/>
  <c r="BE79" i="2"/>
  <c r="BB79" i="2"/>
  <c r="BA79" i="2"/>
  <c r="BA81" i="2" s="1"/>
  <c r="AZ79" i="2"/>
  <c r="AY79" i="2"/>
  <c r="AY81" i="2" s="1"/>
  <c r="AV79" i="2"/>
  <c r="AU79" i="2"/>
  <c r="AT79" i="2"/>
  <c r="AS79" i="2"/>
  <c r="AP79" i="2"/>
  <c r="AO79" i="2"/>
  <c r="AO81" i="2" s="1"/>
  <c r="AN79" i="2"/>
  <c r="AM79" i="2"/>
  <c r="AJ79" i="2"/>
  <c r="AI79" i="2"/>
  <c r="AH79" i="2"/>
  <c r="AG79" i="2"/>
  <c r="AD79" i="2"/>
  <c r="AE79" i="2" s="1"/>
  <c r="AC79" i="2"/>
  <c r="AB79" i="2"/>
  <c r="AA79" i="2"/>
  <c r="DY77" i="2"/>
  <c r="DY76" i="2"/>
  <c r="DY75" i="2"/>
  <c r="DV77" i="2"/>
  <c r="DU77" i="2"/>
  <c r="DT77" i="2"/>
  <c r="DS77" i="2"/>
  <c r="DV76" i="2"/>
  <c r="DU76" i="2"/>
  <c r="DT76" i="2"/>
  <c r="DS76" i="2"/>
  <c r="DP77" i="2"/>
  <c r="DO77" i="2"/>
  <c r="DN77" i="2"/>
  <c r="DM77" i="2"/>
  <c r="DP76" i="2"/>
  <c r="DO76" i="2"/>
  <c r="DN76" i="2"/>
  <c r="DM76" i="2"/>
  <c r="DJ77" i="2"/>
  <c r="DI77" i="2"/>
  <c r="DH77" i="2"/>
  <c r="DG77" i="2"/>
  <c r="DJ76" i="2"/>
  <c r="DI76" i="2"/>
  <c r="DH76" i="2"/>
  <c r="DG76" i="2"/>
  <c r="DD77" i="2"/>
  <c r="DC77" i="2"/>
  <c r="DB77" i="2"/>
  <c r="DA77" i="2"/>
  <c r="DD76" i="2"/>
  <c r="DC76" i="2"/>
  <c r="DB76" i="2"/>
  <c r="DA76" i="2"/>
  <c r="CX77" i="2"/>
  <c r="CW77" i="2"/>
  <c r="CV77" i="2"/>
  <c r="CU77" i="2"/>
  <c r="CX76" i="2"/>
  <c r="CW76" i="2"/>
  <c r="CV76" i="2"/>
  <c r="CU76" i="2"/>
  <c r="CR77" i="2"/>
  <c r="CQ77" i="2"/>
  <c r="CP77" i="2"/>
  <c r="CO77" i="2"/>
  <c r="CR76" i="2"/>
  <c r="CQ76" i="2"/>
  <c r="CP76" i="2"/>
  <c r="CO76" i="2"/>
  <c r="CL77" i="2"/>
  <c r="CK77" i="2"/>
  <c r="CJ77" i="2"/>
  <c r="CI77" i="2"/>
  <c r="CL76" i="2"/>
  <c r="CK76" i="2"/>
  <c r="CJ76" i="2"/>
  <c r="CI76" i="2"/>
  <c r="CF77" i="2"/>
  <c r="CE77" i="2"/>
  <c r="CD77" i="2"/>
  <c r="CC77" i="2"/>
  <c r="CF76" i="2"/>
  <c r="CE76" i="2"/>
  <c r="CD76" i="2"/>
  <c r="CC76" i="2"/>
  <c r="BZ76" i="2"/>
  <c r="BY76" i="2"/>
  <c r="BX76" i="2"/>
  <c r="BW76" i="2"/>
  <c r="BT76" i="2"/>
  <c r="BS76" i="2"/>
  <c r="BR76" i="2"/>
  <c r="BQ76" i="2"/>
  <c r="BN76" i="2"/>
  <c r="BM76" i="2"/>
  <c r="BL76" i="2"/>
  <c r="BK76" i="2"/>
  <c r="BH76" i="2"/>
  <c r="BG76" i="2"/>
  <c r="BF76" i="2"/>
  <c r="BE76" i="2"/>
  <c r="AZ76" i="2"/>
  <c r="AY76" i="2"/>
  <c r="X76" i="2"/>
  <c r="W76" i="2"/>
  <c r="V76" i="2"/>
  <c r="U76" i="2"/>
  <c r="R76" i="2"/>
  <c r="Q76" i="2"/>
  <c r="P76" i="2"/>
  <c r="O76" i="2"/>
  <c r="DV75" i="2"/>
  <c r="DW75" i="2" s="1"/>
  <c r="DU75" i="2"/>
  <c r="DT75" i="2"/>
  <c r="DS75" i="2"/>
  <c r="DP75" i="2"/>
  <c r="DQ75" i="2" s="1"/>
  <c r="DO75" i="2"/>
  <c r="DN75" i="2"/>
  <c r="DM75" i="2"/>
  <c r="DJ75" i="2"/>
  <c r="DK75" i="2" s="1"/>
  <c r="DI75" i="2"/>
  <c r="DH75" i="2"/>
  <c r="DG75" i="2"/>
  <c r="DD75" i="2"/>
  <c r="DE75" i="2" s="1"/>
  <c r="DC75" i="2"/>
  <c r="DB75" i="2"/>
  <c r="DA75" i="2"/>
  <c r="CX75" i="2"/>
  <c r="CY75" i="2" s="1"/>
  <c r="CW75" i="2"/>
  <c r="CV75" i="2"/>
  <c r="CU75" i="2"/>
  <c r="CR75" i="2"/>
  <c r="CS75" i="2" s="1"/>
  <c r="CQ75" i="2"/>
  <c r="CP75" i="2"/>
  <c r="CO75" i="2"/>
  <c r="CL75" i="2"/>
  <c r="CM75" i="2" s="1"/>
  <c r="CK75" i="2"/>
  <c r="CJ75" i="2"/>
  <c r="CI75" i="2"/>
  <c r="CF75" i="2"/>
  <c r="CG75" i="2" s="1"/>
  <c r="CE75" i="2"/>
  <c r="CD75" i="2"/>
  <c r="CC75" i="2"/>
  <c r="BZ75" i="2"/>
  <c r="CA75" i="2" s="1"/>
  <c r="BY75" i="2"/>
  <c r="BX75" i="2"/>
  <c r="BW75" i="2"/>
  <c r="BT75" i="2"/>
  <c r="BU75" i="2" s="1"/>
  <c r="BS75" i="2"/>
  <c r="BR75" i="2"/>
  <c r="BQ75" i="2"/>
  <c r="BN75" i="2"/>
  <c r="BO75" i="2" s="1"/>
  <c r="BM75" i="2"/>
  <c r="BL75" i="2"/>
  <c r="BK75" i="2"/>
  <c r="BH75" i="2"/>
  <c r="BI75" i="2" s="1"/>
  <c r="BG75" i="2"/>
  <c r="BE75" i="2"/>
  <c r="BB76" i="2"/>
  <c r="BC76" i="2" s="1"/>
  <c r="BB75" i="2"/>
  <c r="BC75" i="2" s="1"/>
  <c r="BA75" i="2"/>
  <c r="AZ75" i="2"/>
  <c r="AY75" i="2"/>
  <c r="AV76" i="2"/>
  <c r="AW76" i="2" s="1"/>
  <c r="AU76" i="2"/>
  <c r="AT76" i="2"/>
  <c r="AS76" i="2"/>
  <c r="AW75" i="2"/>
  <c r="AV75" i="2"/>
  <c r="AU75" i="2"/>
  <c r="AT75" i="2"/>
  <c r="AS75" i="2"/>
  <c r="AP76" i="2"/>
  <c r="AQ76" i="2" s="1"/>
  <c r="AO76" i="2"/>
  <c r="AN76" i="2"/>
  <c r="AM76" i="2"/>
  <c r="AP75" i="2"/>
  <c r="AQ75" i="2" s="1"/>
  <c r="AO75" i="2"/>
  <c r="AN75" i="2"/>
  <c r="AM75" i="2"/>
  <c r="AJ76" i="2"/>
  <c r="AK76" i="2" s="1"/>
  <c r="AI76" i="2"/>
  <c r="AH76" i="2"/>
  <c r="AG76" i="2"/>
  <c r="AK75" i="2"/>
  <c r="AJ75" i="2"/>
  <c r="AI75" i="2"/>
  <c r="AH75" i="2"/>
  <c r="AG75" i="2"/>
  <c r="AD76" i="2"/>
  <c r="AE76" i="2" s="1"/>
  <c r="AC76" i="2"/>
  <c r="AB76" i="2"/>
  <c r="AA76" i="2"/>
  <c r="AD75" i="2"/>
  <c r="AE75" i="2" s="1"/>
  <c r="AC75" i="2"/>
  <c r="AB75" i="2"/>
  <c r="AA75" i="2"/>
  <c r="X75" i="2"/>
  <c r="W75" i="2"/>
  <c r="V75" i="2"/>
  <c r="U75" i="2"/>
  <c r="R75" i="2"/>
  <c r="Q75" i="2"/>
  <c r="P75" i="2"/>
  <c r="O75" i="2"/>
  <c r="DY72" i="2"/>
  <c r="DV72" i="2"/>
  <c r="DU72" i="2"/>
  <c r="DT72" i="2"/>
  <c r="DS72" i="2"/>
  <c r="DP72" i="2"/>
  <c r="DO72" i="2"/>
  <c r="DN72" i="2"/>
  <c r="DM72" i="2"/>
  <c r="DJ72" i="2"/>
  <c r="DI72" i="2"/>
  <c r="DH72" i="2"/>
  <c r="DG72" i="2"/>
  <c r="DD72" i="2"/>
  <c r="DC72" i="2"/>
  <c r="DB72" i="2"/>
  <c r="DA72" i="2"/>
  <c r="CX72" i="2"/>
  <c r="CW72" i="2"/>
  <c r="CV72" i="2"/>
  <c r="CU72" i="2"/>
  <c r="CR72" i="2"/>
  <c r="CQ72" i="2"/>
  <c r="CP72" i="2"/>
  <c r="CO72" i="2"/>
  <c r="CL72" i="2"/>
  <c r="CK72" i="2"/>
  <c r="CJ72" i="2"/>
  <c r="CI72" i="2"/>
  <c r="CF72" i="2"/>
  <c r="CE72" i="2"/>
  <c r="CD72" i="2"/>
  <c r="CC72" i="2"/>
  <c r="BZ72" i="2"/>
  <c r="BY72" i="2"/>
  <c r="BX72" i="2"/>
  <c r="BW72" i="2"/>
  <c r="BT72" i="2"/>
  <c r="BS72" i="2"/>
  <c r="BR72" i="2"/>
  <c r="BQ72" i="2"/>
  <c r="BN72" i="2"/>
  <c r="BM72" i="2"/>
  <c r="BL72" i="2"/>
  <c r="BK72" i="2"/>
  <c r="BH72" i="2"/>
  <c r="BG72" i="2"/>
  <c r="BF72" i="2"/>
  <c r="BE72" i="2"/>
  <c r="BB72" i="2"/>
  <c r="BA72" i="2"/>
  <c r="AZ72" i="2"/>
  <c r="AY72" i="2"/>
  <c r="AV72" i="2"/>
  <c r="AU72" i="2"/>
  <c r="AT72" i="2"/>
  <c r="AS72" i="2"/>
  <c r="AP72" i="2"/>
  <c r="AO72" i="2"/>
  <c r="AN72" i="2"/>
  <c r="AM72" i="2"/>
  <c r="AJ72" i="2"/>
  <c r="AI72" i="2"/>
  <c r="AH72" i="2"/>
  <c r="AG72" i="2"/>
  <c r="AD72" i="2"/>
  <c r="AC72" i="2"/>
  <c r="AB72" i="2"/>
  <c r="AA72" i="2"/>
  <c r="X72" i="2"/>
  <c r="W72" i="2"/>
  <c r="V72" i="2"/>
  <c r="U72" i="2"/>
  <c r="R72" i="2"/>
  <c r="Q72" i="2"/>
  <c r="P72" i="2"/>
  <c r="O72" i="2"/>
  <c r="DY71" i="2"/>
  <c r="DV71" i="2"/>
  <c r="DW71" i="2" s="1"/>
  <c r="DU71" i="2"/>
  <c r="DT71" i="2"/>
  <c r="DS71" i="2"/>
  <c r="DP71" i="2"/>
  <c r="DQ71" i="2" s="1"/>
  <c r="DO71" i="2"/>
  <c r="DN71" i="2"/>
  <c r="DM71" i="2"/>
  <c r="DJ71" i="2"/>
  <c r="DK71" i="2" s="1"/>
  <c r="DI71" i="2"/>
  <c r="DH71" i="2"/>
  <c r="DG71" i="2"/>
  <c r="DD71" i="2"/>
  <c r="DE71" i="2" s="1"/>
  <c r="DC71" i="2"/>
  <c r="DB71" i="2"/>
  <c r="DA71" i="2"/>
  <c r="CY71" i="2"/>
  <c r="CX71" i="2"/>
  <c r="CW71" i="2"/>
  <c r="CV71" i="2"/>
  <c r="CU71" i="2"/>
  <c r="CR71" i="2"/>
  <c r="CS71" i="2" s="1"/>
  <c r="CQ71" i="2"/>
  <c r="CP71" i="2"/>
  <c r="CO71" i="2"/>
  <c r="CL71" i="2"/>
  <c r="CM71" i="2" s="1"/>
  <c r="CK71" i="2"/>
  <c r="CJ71" i="2"/>
  <c r="CI71" i="2"/>
  <c r="CF71" i="2"/>
  <c r="CG71" i="2" s="1"/>
  <c r="CE71" i="2"/>
  <c r="CD71" i="2"/>
  <c r="CC71" i="2"/>
  <c r="CA71" i="2"/>
  <c r="BZ71" i="2"/>
  <c r="BY71" i="2"/>
  <c r="BX71" i="2"/>
  <c r="BW71" i="2"/>
  <c r="BT71" i="2"/>
  <c r="BU71" i="2" s="1"/>
  <c r="BS71" i="2"/>
  <c r="BR71" i="2"/>
  <c r="BQ71" i="2"/>
  <c r="BN71" i="2"/>
  <c r="BO71" i="2" s="1"/>
  <c r="BM71" i="2"/>
  <c r="BL71" i="2"/>
  <c r="BK71" i="2"/>
  <c r="BH71" i="2"/>
  <c r="BI71" i="2" s="1"/>
  <c r="BG71" i="2"/>
  <c r="BF71" i="2"/>
  <c r="BE71" i="2"/>
  <c r="BB71" i="2"/>
  <c r="BC71" i="2" s="1"/>
  <c r="BA71" i="2"/>
  <c r="AZ71" i="2"/>
  <c r="AY71" i="2"/>
  <c r="AV71" i="2"/>
  <c r="AW71" i="2" s="1"/>
  <c r="AU71" i="2"/>
  <c r="AT71" i="2"/>
  <c r="AS71" i="2"/>
  <c r="AP71" i="2"/>
  <c r="AQ71" i="2" s="1"/>
  <c r="AO71" i="2"/>
  <c r="AN71" i="2"/>
  <c r="AM71" i="2"/>
  <c r="AJ71" i="2"/>
  <c r="AK71" i="2" s="1"/>
  <c r="AI71" i="2"/>
  <c r="AH71" i="2"/>
  <c r="AG71" i="2"/>
  <c r="AD71" i="2"/>
  <c r="AE71" i="2" s="1"/>
  <c r="AC71" i="2"/>
  <c r="AB71" i="2"/>
  <c r="AA71" i="2"/>
  <c r="X71" i="2"/>
  <c r="Y71" i="2" s="1"/>
  <c r="W71" i="2"/>
  <c r="V71" i="2"/>
  <c r="U71" i="2"/>
  <c r="R71" i="2"/>
  <c r="S71" i="2" s="1"/>
  <c r="Q71" i="2"/>
  <c r="P71" i="2"/>
  <c r="O71" i="2"/>
  <c r="BK67" i="2"/>
  <c r="BG67" i="2"/>
  <c r="BF67" i="2"/>
  <c r="BA67" i="2"/>
  <c r="AZ67" i="2"/>
  <c r="BE64" i="2"/>
  <c r="BE67" i="2" s="1"/>
  <c r="AY64" i="2"/>
  <c r="AY67" i="2" s="1"/>
  <c r="AD57" i="2"/>
  <c r="AC57" i="2"/>
  <c r="AB57" i="2"/>
  <c r="X57" i="2"/>
  <c r="W57" i="2"/>
  <c r="V57" i="2"/>
  <c r="R57" i="2"/>
  <c r="Q57" i="2"/>
  <c r="P57" i="2"/>
  <c r="EM58" i="2"/>
  <c r="ES58" i="2" s="1"/>
  <c r="EL58" i="2"/>
  <c r="ER58" i="2" s="1"/>
  <c r="EK58" i="2"/>
  <c r="EQ58" i="2" s="1"/>
  <c r="AD56" i="2"/>
  <c r="AD289" i="1" s="1"/>
  <c r="AE289" i="1" s="1"/>
  <c r="AC56" i="2"/>
  <c r="AC289" i="1" s="1"/>
  <c r="AB56" i="2"/>
  <c r="AB289" i="1" s="1"/>
  <c r="AA56" i="2"/>
  <c r="AA289" i="1" s="1"/>
  <c r="X56" i="2"/>
  <c r="X289" i="1" s="1"/>
  <c r="Y289" i="1" s="1"/>
  <c r="W56" i="2"/>
  <c r="W289" i="1" s="1"/>
  <c r="V56" i="2"/>
  <c r="V289" i="1" s="1"/>
  <c r="U56" i="2"/>
  <c r="U289" i="1" s="1"/>
  <c r="R56" i="2"/>
  <c r="R289" i="1" s="1"/>
  <c r="S289" i="1" s="1"/>
  <c r="Q56" i="2"/>
  <c r="Q289" i="1" s="1"/>
  <c r="P56" i="2"/>
  <c r="P289" i="1" s="1"/>
  <c r="O56" i="2"/>
  <c r="O289" i="1" s="1"/>
  <c r="DF52" i="2"/>
  <c r="CZ52" i="2"/>
  <c r="CT52" i="2"/>
  <c r="CN52" i="2"/>
  <c r="CH52" i="2"/>
  <c r="DY48" i="2"/>
  <c r="DV48" i="2"/>
  <c r="DW48" i="2" s="1"/>
  <c r="DU48" i="2"/>
  <c r="DT48" i="2"/>
  <c r="DS48" i="2"/>
  <c r="DM48" i="2"/>
  <c r="DJ48" i="2"/>
  <c r="DK48" i="2" s="1"/>
  <c r="DI48" i="2"/>
  <c r="DH48" i="2"/>
  <c r="DG48" i="2"/>
  <c r="DD48" i="2"/>
  <c r="DE48" i="2" s="1"/>
  <c r="DA48" i="2"/>
  <c r="CX48" i="2"/>
  <c r="CY48" i="2" s="1"/>
  <c r="CW48" i="2"/>
  <c r="CV48" i="2"/>
  <c r="CU48" i="2"/>
  <c r="CQ48" i="2"/>
  <c r="CP48" i="2"/>
  <c r="CO48" i="2"/>
  <c r="CK48" i="2"/>
  <c r="CI48" i="2"/>
  <c r="CF48" i="2"/>
  <c r="CG48" i="2" s="1"/>
  <c r="CE48" i="2"/>
  <c r="CC48" i="2"/>
  <c r="BZ48" i="2"/>
  <c r="CA48" i="2" s="1"/>
  <c r="BY48" i="2"/>
  <c r="BX48" i="2"/>
  <c r="BW48" i="2"/>
  <c r="BS48" i="2"/>
  <c r="BQ48" i="2"/>
  <c r="BN48" i="2"/>
  <c r="BO48" i="2" s="1"/>
  <c r="BM48" i="2"/>
  <c r="BK48" i="2"/>
  <c r="BH48" i="2"/>
  <c r="BI48" i="2" s="1"/>
  <c r="BG48" i="2"/>
  <c r="BF48" i="2"/>
  <c r="BE48" i="2"/>
  <c r="BB48" i="2"/>
  <c r="BC48" i="2" s="1"/>
  <c r="BA48" i="2"/>
  <c r="AZ48" i="2"/>
  <c r="AY48" i="2"/>
  <c r="AV48" i="2"/>
  <c r="AW48" i="2" s="1"/>
  <c r="AU48" i="2"/>
  <c r="AT48" i="2"/>
  <c r="AS48" i="2"/>
  <c r="AP48" i="2"/>
  <c r="AQ48" i="2" s="1"/>
  <c r="AO48" i="2"/>
  <c r="AN48" i="2"/>
  <c r="AM48" i="2"/>
  <c r="AJ48" i="2"/>
  <c r="AK48" i="2" s="1"/>
  <c r="AI48" i="2"/>
  <c r="AH48" i="2"/>
  <c r="AG48" i="2"/>
  <c r="AD48" i="2"/>
  <c r="AE48" i="2" s="1"/>
  <c r="AC48" i="2"/>
  <c r="AB48" i="2"/>
  <c r="AA48" i="2"/>
  <c r="X48" i="2"/>
  <c r="Y48" i="2" s="1"/>
  <c r="W48" i="2"/>
  <c r="V48" i="2"/>
  <c r="U48" i="2"/>
  <c r="S48" i="2"/>
  <c r="R48" i="2"/>
  <c r="Q48" i="2"/>
  <c r="P48" i="2"/>
  <c r="O48" i="2"/>
  <c r="L48" i="2"/>
  <c r="M48" i="2" s="1"/>
  <c r="M282" i="1" s="1"/>
  <c r="K48" i="2"/>
  <c r="J48" i="2"/>
  <c r="I48" i="2"/>
  <c r="F48" i="2"/>
  <c r="G48" i="2" s="1"/>
  <c r="G282" i="1" s="1"/>
  <c r="E48" i="2"/>
  <c r="D48" i="2"/>
  <c r="C48" i="2"/>
  <c r="DW47" i="2"/>
  <c r="DW46" i="2"/>
  <c r="DW45" i="2"/>
  <c r="DW44" i="2"/>
  <c r="DW145" i="2" s="1"/>
  <c r="DQ47" i="2"/>
  <c r="DQ45" i="2"/>
  <c r="DQ44" i="2"/>
  <c r="DQ145" i="2" s="1"/>
  <c r="DK47" i="2"/>
  <c r="DK46" i="2"/>
  <c r="DK45" i="2"/>
  <c r="DK44" i="2"/>
  <c r="DE47" i="2"/>
  <c r="DE46" i="2"/>
  <c r="DE45" i="2"/>
  <c r="DE44" i="2"/>
  <c r="DE145" i="2" s="1"/>
  <c r="CY47" i="2"/>
  <c r="CY46" i="2"/>
  <c r="CY45" i="2"/>
  <c r="CY44" i="2"/>
  <c r="CY145" i="2" s="1"/>
  <c r="CS47" i="2"/>
  <c r="CS45" i="2"/>
  <c r="CS44" i="2"/>
  <c r="CS145" i="2" s="1"/>
  <c r="CM47" i="2"/>
  <c r="CM46" i="2"/>
  <c r="CM45" i="2"/>
  <c r="CG47" i="2"/>
  <c r="CG46" i="2"/>
  <c r="CG45" i="2"/>
  <c r="CG44" i="2"/>
  <c r="CG145" i="2" s="1"/>
  <c r="CA47" i="2"/>
  <c r="CA46" i="2"/>
  <c r="CA45" i="2"/>
  <c r="CA44" i="2"/>
  <c r="CA145" i="2" s="1"/>
  <c r="BU47" i="2"/>
  <c r="BU45" i="2"/>
  <c r="BU44" i="2"/>
  <c r="BO47" i="2"/>
  <c r="BO46" i="2"/>
  <c r="BO45" i="2"/>
  <c r="BO44" i="2"/>
  <c r="BI47" i="2"/>
  <c r="BI46" i="2"/>
  <c r="BI45" i="2"/>
  <c r="BI44" i="2"/>
  <c r="BI145" i="2" s="1"/>
  <c r="BC47" i="2"/>
  <c r="BC46" i="2"/>
  <c r="BI164" i="2" s="1"/>
  <c r="BC45" i="2"/>
  <c r="BC168" i="2" s="1"/>
  <c r="BC44" i="2"/>
  <c r="BC145" i="2" s="1"/>
  <c r="AW47" i="2"/>
  <c r="AW46" i="2"/>
  <c r="BC164" i="2" s="1"/>
  <c r="BC165" i="2" s="1"/>
  <c r="BC166" i="2" s="1"/>
  <c r="AW45" i="2"/>
  <c r="AW168" i="2" s="1"/>
  <c r="AW44" i="2"/>
  <c r="AW145" i="2" s="1"/>
  <c r="AQ47" i="2"/>
  <c r="AQ46" i="2"/>
  <c r="AW164" i="2" s="1"/>
  <c r="AW165" i="2" s="1"/>
  <c r="AW166" i="2" s="1"/>
  <c r="AQ45" i="2"/>
  <c r="AQ168" i="2" s="1"/>
  <c r="AQ44" i="2"/>
  <c r="AK47" i="2"/>
  <c r="AK46" i="2"/>
  <c r="AQ164" i="2" s="1"/>
  <c r="AQ165" i="2" s="1"/>
  <c r="AQ166" i="2" s="1"/>
  <c r="AK45" i="2"/>
  <c r="AK168" i="2" s="1"/>
  <c r="AK44" i="2"/>
  <c r="AE47" i="2"/>
  <c r="AE46" i="2"/>
  <c r="AK164" i="2" s="1"/>
  <c r="AK165" i="2" s="1"/>
  <c r="AK166" i="2" s="1"/>
  <c r="AE45" i="2"/>
  <c r="AE168" i="2" s="1"/>
  <c r="AE44" i="2"/>
  <c r="Y47" i="2"/>
  <c r="Y46" i="2"/>
  <c r="AE164" i="2" s="1"/>
  <c r="AE165" i="2" s="1"/>
  <c r="AE166" i="2" s="1"/>
  <c r="Y45" i="2"/>
  <c r="Y168" i="2" s="1"/>
  <c r="Y44" i="2"/>
  <c r="S47" i="2"/>
  <c r="S46" i="2"/>
  <c r="S45" i="2"/>
  <c r="S168" i="2" s="1"/>
  <c r="S169" i="2" s="1"/>
  <c r="S44" i="2"/>
  <c r="M47" i="2"/>
  <c r="M46" i="2"/>
  <c r="M45" i="2"/>
  <c r="M44" i="2"/>
  <c r="G47" i="2"/>
  <c r="G46" i="2"/>
  <c r="G45" i="2"/>
  <c r="G44" i="2"/>
  <c r="DN46" i="2"/>
  <c r="DN48" i="2" s="1"/>
  <c r="DB46" i="2"/>
  <c r="DB48" i="2" s="1"/>
  <c r="CR46" i="2"/>
  <c r="CR48" i="2" s="1"/>
  <c r="CS48" i="2" s="1"/>
  <c r="CD46" i="2"/>
  <c r="CD48" i="2" s="1"/>
  <c r="BT46" i="2"/>
  <c r="BT48" i="2" s="1"/>
  <c r="BU48" i="2" s="1"/>
  <c r="BR46" i="2"/>
  <c r="BR48" i="2" s="1"/>
  <c r="BL46" i="2"/>
  <c r="BL48" i="2" s="1"/>
  <c r="BL282" i="1" s="1"/>
  <c r="CL44" i="2"/>
  <c r="CJ44" i="2"/>
  <c r="DW41" i="2"/>
  <c r="DW40" i="2"/>
  <c r="DW38" i="2"/>
  <c r="DW37" i="2"/>
  <c r="DW36" i="2"/>
  <c r="DP41" i="2"/>
  <c r="DQ41" i="2" s="1"/>
  <c r="DN41" i="2"/>
  <c r="DK41" i="2"/>
  <c r="DK40" i="2"/>
  <c r="DK38" i="2"/>
  <c r="DK37" i="2"/>
  <c r="DK36" i="2"/>
  <c r="DD41" i="2"/>
  <c r="DG41" i="2" s="1"/>
  <c r="DB41" i="2"/>
  <c r="CX41" i="2"/>
  <c r="CY41" i="2" s="1"/>
  <c r="CU41" i="2"/>
  <c r="CV41" i="2" s="1"/>
  <c r="CS41" i="2"/>
  <c r="CP41" i="2"/>
  <c r="CQ41" i="2" s="1"/>
  <c r="CM41" i="2"/>
  <c r="CI41" i="2"/>
  <c r="CJ41" i="2" s="1"/>
  <c r="CK41" i="2" s="1"/>
  <c r="CG41" i="2"/>
  <c r="CD41" i="2"/>
  <c r="CA41" i="2"/>
  <c r="BS41" i="2"/>
  <c r="BT41" i="2" s="1"/>
  <c r="BU41" i="2" s="1"/>
  <c r="BR41" i="2"/>
  <c r="BO41" i="2"/>
  <c r="BL41" i="2"/>
  <c r="BI41" i="2"/>
  <c r="BF41" i="2"/>
  <c r="BC41" i="2"/>
  <c r="AW41" i="2"/>
  <c r="AQ41" i="2"/>
  <c r="AK41" i="2"/>
  <c r="AE41" i="2"/>
  <c r="Y41" i="2"/>
  <c r="S41" i="2"/>
  <c r="M41" i="2"/>
  <c r="G41" i="2"/>
  <c r="DQ40" i="2"/>
  <c r="DQ38" i="2"/>
  <c r="DQ37" i="2"/>
  <c r="DQ36" i="2"/>
  <c r="DE40" i="2"/>
  <c r="DE37" i="2"/>
  <c r="CY40" i="2"/>
  <c r="CY38" i="2"/>
  <c r="CY37" i="2"/>
  <c r="CY36" i="2"/>
  <c r="DB36" i="2" s="1"/>
  <c r="DY39" i="2"/>
  <c r="DV39" i="2"/>
  <c r="DW39" i="2" s="1"/>
  <c r="DU39" i="2"/>
  <c r="DT39" i="2"/>
  <c r="DS39" i="2"/>
  <c r="DP39" i="2"/>
  <c r="DQ39" i="2" s="1"/>
  <c r="DO39" i="2"/>
  <c r="DN39" i="2"/>
  <c r="DM39" i="2"/>
  <c r="DJ39" i="2"/>
  <c r="DK39" i="2" s="1"/>
  <c r="DI39" i="2"/>
  <c r="DH39" i="2"/>
  <c r="DG39" i="2"/>
  <c r="DD39" i="2"/>
  <c r="DE39" i="2" s="1"/>
  <c r="DC39" i="2"/>
  <c r="DB39" i="2"/>
  <c r="DA39" i="2"/>
  <c r="CX39" i="2"/>
  <c r="CY39" i="2" s="1"/>
  <c r="CW39" i="2"/>
  <c r="CV39" i="2"/>
  <c r="CU39" i="2"/>
  <c r="CR39" i="2"/>
  <c r="CS39" i="2" s="1"/>
  <c r="CQ39" i="2"/>
  <c r="CP39" i="2"/>
  <c r="CO39" i="2"/>
  <c r="CM39" i="2"/>
  <c r="CL39" i="2"/>
  <c r="CK39" i="2"/>
  <c r="CJ39" i="2"/>
  <c r="CI39" i="2"/>
  <c r="CF39" i="2"/>
  <c r="CG39" i="2" s="1"/>
  <c r="CE39" i="2"/>
  <c r="CD39" i="2"/>
  <c r="CC39" i="2"/>
  <c r="BZ39" i="2"/>
  <c r="CA39" i="2" s="1"/>
  <c r="BY39" i="2"/>
  <c r="BX39" i="2"/>
  <c r="BW39" i="2"/>
  <c r="BT39" i="2"/>
  <c r="BU39" i="2" s="1"/>
  <c r="BS39" i="2"/>
  <c r="BR39" i="2"/>
  <c r="BQ39" i="2"/>
  <c r="BO39" i="2"/>
  <c r="BO38" i="2"/>
  <c r="BO37" i="2"/>
  <c r="BO36" i="2"/>
  <c r="BI39" i="2"/>
  <c r="BI38" i="2"/>
  <c r="BI37" i="2"/>
  <c r="BI36" i="2"/>
  <c r="BC39" i="2"/>
  <c r="BC38" i="2"/>
  <c r="BC37" i="2"/>
  <c r="BC36" i="2"/>
  <c r="AW39" i="2"/>
  <c r="AW38" i="2"/>
  <c r="AW37" i="2"/>
  <c r="AW36" i="2"/>
  <c r="AQ39" i="2"/>
  <c r="AQ38" i="2"/>
  <c r="AQ37" i="2"/>
  <c r="AQ36" i="2"/>
  <c r="AK39" i="2"/>
  <c r="AK38" i="2"/>
  <c r="AK37" i="2"/>
  <c r="AK36" i="2"/>
  <c r="AE39" i="2"/>
  <c r="AE38" i="2"/>
  <c r="AE37" i="2"/>
  <c r="AE36" i="2"/>
  <c r="Y39" i="2"/>
  <c r="Y38" i="2"/>
  <c r="Y37" i="2"/>
  <c r="Y36" i="2"/>
  <c r="S39" i="2"/>
  <c r="S38" i="2"/>
  <c r="S37" i="2"/>
  <c r="S75" i="2" s="1"/>
  <c r="S36" i="2"/>
  <c r="M39" i="2"/>
  <c r="M38" i="2"/>
  <c r="M37" i="2"/>
  <c r="M36" i="2"/>
  <c r="J39" i="2"/>
  <c r="I39" i="2"/>
  <c r="G39" i="2"/>
  <c r="F39" i="2"/>
  <c r="E39" i="2"/>
  <c r="DN38" i="2"/>
  <c r="DD38" i="2"/>
  <c r="DE38" i="2" s="1"/>
  <c r="DB38" i="2"/>
  <c r="CS38" i="2"/>
  <c r="CS37" i="2"/>
  <c r="CS36" i="2"/>
  <c r="CM38" i="2"/>
  <c r="CM37" i="2"/>
  <c r="CM36" i="2"/>
  <c r="CG38" i="2"/>
  <c r="CG37" i="2"/>
  <c r="CG36" i="2"/>
  <c r="CA38" i="2"/>
  <c r="CA37" i="2"/>
  <c r="CA36" i="2"/>
  <c r="BS38" i="2"/>
  <c r="BT38" i="2" s="1"/>
  <c r="BU38" i="2" s="1"/>
  <c r="BR38" i="2"/>
  <c r="BL38" i="2"/>
  <c r="G38" i="2"/>
  <c r="G37" i="2"/>
  <c r="G36" i="2"/>
  <c r="BU37" i="2"/>
  <c r="EE36" i="2"/>
  <c r="EF36" i="2" s="1"/>
  <c r="DD36" i="2"/>
  <c r="CK36" i="2"/>
  <c r="BT36" i="2"/>
  <c r="BR36" i="2"/>
  <c r="BU36" i="2" s="1"/>
  <c r="DY34" i="2"/>
  <c r="DY42" i="2" s="1"/>
  <c r="DY50" i="2" s="1"/>
  <c r="DV34" i="2"/>
  <c r="DW34" i="2" s="1"/>
  <c r="DU34" i="2"/>
  <c r="DU42" i="2" s="1"/>
  <c r="DU50" i="2" s="1"/>
  <c r="DT34" i="2"/>
  <c r="DS34" i="2"/>
  <c r="DS42" i="2" s="1"/>
  <c r="DS50" i="2" s="1"/>
  <c r="DP34" i="2"/>
  <c r="DQ34" i="2" s="1"/>
  <c r="DO34" i="2"/>
  <c r="DO42" i="2" s="1"/>
  <c r="DN34" i="2"/>
  <c r="DM34" i="2"/>
  <c r="DM42" i="2" s="1"/>
  <c r="DM50" i="2" s="1"/>
  <c r="DJ34" i="2"/>
  <c r="DJ42" i="2" s="1"/>
  <c r="DI34" i="2"/>
  <c r="DI42" i="2" s="1"/>
  <c r="DI50" i="2" s="1"/>
  <c r="DH34" i="2"/>
  <c r="DG34" i="2"/>
  <c r="DG42" i="2" s="1"/>
  <c r="DD34" i="2"/>
  <c r="DD42" i="2" s="1"/>
  <c r="DC34" i="2"/>
  <c r="DC42" i="2" s="1"/>
  <c r="DB34" i="2"/>
  <c r="DA34" i="2"/>
  <c r="DA42" i="2" s="1"/>
  <c r="DA50" i="2" s="1"/>
  <c r="CY34" i="2"/>
  <c r="CX34" i="2"/>
  <c r="CW34" i="2"/>
  <c r="CW42" i="2" s="1"/>
  <c r="CW50" i="2" s="1"/>
  <c r="CV34" i="2"/>
  <c r="CU34" i="2"/>
  <c r="CU42" i="2" s="1"/>
  <c r="CU50" i="2" s="1"/>
  <c r="CR34" i="2"/>
  <c r="CS34" i="2" s="1"/>
  <c r="CQ34" i="2"/>
  <c r="CQ42" i="2" s="1"/>
  <c r="CQ50" i="2" s="1"/>
  <c r="CP34" i="2"/>
  <c r="CO34" i="2"/>
  <c r="CO42" i="2" s="1"/>
  <c r="CO50" i="2" s="1"/>
  <c r="CL34" i="2"/>
  <c r="CL42" i="2" s="1"/>
  <c r="CK34" i="2"/>
  <c r="CJ34" i="2"/>
  <c r="CJ42" i="2" s="1"/>
  <c r="CI34" i="2"/>
  <c r="CF34" i="2"/>
  <c r="CF42" i="2" s="1"/>
  <c r="CE34" i="2"/>
  <c r="CD34" i="2"/>
  <c r="CD42" i="2" s="1"/>
  <c r="CD50" i="2" s="1"/>
  <c r="CC34" i="2"/>
  <c r="CA34" i="2"/>
  <c r="BZ34" i="2"/>
  <c r="BY34" i="2"/>
  <c r="BY42" i="2" s="1"/>
  <c r="BY50" i="2" s="1"/>
  <c r="BX34" i="2"/>
  <c r="BT34" i="2"/>
  <c r="BU34" i="2" s="1"/>
  <c r="BS34" i="2"/>
  <c r="BR34" i="2"/>
  <c r="BR42" i="2" s="1"/>
  <c r="BR50" i="2" s="1"/>
  <c r="BQ34" i="2"/>
  <c r="BQ42" i="2" s="1"/>
  <c r="BQ50" i="2" s="1"/>
  <c r="BO34" i="2"/>
  <c r="BN34" i="2"/>
  <c r="BN42" i="2" s="1"/>
  <c r="BM34" i="2"/>
  <c r="BM42" i="2" s="1"/>
  <c r="BM50" i="2" s="1"/>
  <c r="BL34" i="2"/>
  <c r="BK34" i="2"/>
  <c r="BK42" i="2" s="1"/>
  <c r="BK50" i="2" s="1"/>
  <c r="BH34" i="2"/>
  <c r="BH42" i="2" s="1"/>
  <c r="BG34" i="2"/>
  <c r="BG42" i="2" s="1"/>
  <c r="BG50" i="2" s="1"/>
  <c r="BF34" i="2"/>
  <c r="BF42" i="2" s="1"/>
  <c r="BE34" i="2"/>
  <c r="BE42" i="2" s="1"/>
  <c r="BE50" i="2" s="1"/>
  <c r="BB34" i="2"/>
  <c r="BB42" i="2" s="1"/>
  <c r="BB50" i="2" s="1"/>
  <c r="BC50" i="2" s="1"/>
  <c r="BA34" i="2"/>
  <c r="BA42" i="2" s="1"/>
  <c r="BA50" i="2" s="1"/>
  <c r="AZ34" i="2"/>
  <c r="AZ42" i="2" s="1"/>
  <c r="AZ50" i="2" s="1"/>
  <c r="AY34" i="2"/>
  <c r="AY42" i="2" s="1"/>
  <c r="AY50" i="2" s="1"/>
  <c r="AV34" i="2"/>
  <c r="AW34" i="2" s="1"/>
  <c r="AW42" i="2" s="1"/>
  <c r="AU34" i="2"/>
  <c r="AU42" i="2" s="1"/>
  <c r="AU50" i="2" s="1"/>
  <c r="AT34" i="2"/>
  <c r="AT42" i="2" s="1"/>
  <c r="AT50" i="2" s="1"/>
  <c r="AS34" i="2"/>
  <c r="AS42" i="2" s="1"/>
  <c r="AS50" i="2" s="1"/>
  <c r="AP34" i="2"/>
  <c r="AP42" i="2" s="1"/>
  <c r="AP50" i="2" s="1"/>
  <c r="AQ50" i="2" s="1"/>
  <c r="AO34" i="2"/>
  <c r="AO42" i="2" s="1"/>
  <c r="AO50" i="2" s="1"/>
  <c r="AN34" i="2"/>
  <c r="AN42" i="2" s="1"/>
  <c r="AN50" i="2" s="1"/>
  <c r="AM34" i="2"/>
  <c r="AM42" i="2" s="1"/>
  <c r="AM50" i="2" s="1"/>
  <c r="AJ34" i="2"/>
  <c r="AJ42" i="2" s="1"/>
  <c r="AJ50" i="2" s="1"/>
  <c r="AK50" i="2" s="1"/>
  <c r="AI34" i="2"/>
  <c r="AI42" i="2" s="1"/>
  <c r="AI50" i="2" s="1"/>
  <c r="AH34" i="2"/>
  <c r="AH42" i="2" s="1"/>
  <c r="AH50" i="2" s="1"/>
  <c r="AG34" i="2"/>
  <c r="AG42" i="2" s="1"/>
  <c r="AG50" i="2" s="1"/>
  <c r="AD34" i="2"/>
  <c r="AD42" i="2" s="1"/>
  <c r="AD50" i="2" s="1"/>
  <c r="AE50" i="2" s="1"/>
  <c r="AC34" i="2"/>
  <c r="AC42" i="2" s="1"/>
  <c r="AC50" i="2" s="1"/>
  <c r="AB34" i="2"/>
  <c r="AB42" i="2" s="1"/>
  <c r="AB50" i="2" s="1"/>
  <c r="AA34" i="2"/>
  <c r="AA42" i="2" s="1"/>
  <c r="AA50" i="2" s="1"/>
  <c r="X34" i="2"/>
  <c r="Y34" i="2" s="1"/>
  <c r="W34" i="2"/>
  <c r="W42" i="2" s="1"/>
  <c r="W50" i="2" s="1"/>
  <c r="V34" i="2"/>
  <c r="V42" i="2" s="1"/>
  <c r="V50" i="2" s="1"/>
  <c r="U34" i="2"/>
  <c r="U42" i="2" s="1"/>
  <c r="U50" i="2" s="1"/>
  <c r="S34" i="2"/>
  <c r="R34" i="2"/>
  <c r="R42" i="2" s="1"/>
  <c r="R50" i="2" s="1"/>
  <c r="S50" i="2" s="1"/>
  <c r="Q34" i="2"/>
  <c r="Q42" i="2" s="1"/>
  <c r="Q50" i="2" s="1"/>
  <c r="P34" i="2"/>
  <c r="P42" i="2" s="1"/>
  <c r="P50" i="2" s="1"/>
  <c r="O34" i="2"/>
  <c r="O42" i="2" s="1"/>
  <c r="O50" i="2" s="1"/>
  <c r="L34" i="2"/>
  <c r="L42" i="2" s="1"/>
  <c r="L50" i="2" s="1"/>
  <c r="M50" i="2" s="1"/>
  <c r="K34" i="2"/>
  <c r="K42" i="2" s="1"/>
  <c r="K50" i="2" s="1"/>
  <c r="J34" i="2"/>
  <c r="I34" i="2"/>
  <c r="I42" i="2" s="1"/>
  <c r="I50" i="2" s="1"/>
  <c r="F34" i="2"/>
  <c r="F42" i="2" s="1"/>
  <c r="F50" i="2" s="1"/>
  <c r="G50" i="2" s="1"/>
  <c r="E34" i="2"/>
  <c r="D34" i="2"/>
  <c r="D42" i="2" s="1"/>
  <c r="D50" i="2" s="1"/>
  <c r="C34" i="2"/>
  <c r="C42" i="2" s="1"/>
  <c r="C50" i="2" s="1"/>
  <c r="DW33" i="2"/>
  <c r="DW32" i="2"/>
  <c r="DW31" i="2"/>
  <c r="DW30" i="2"/>
  <c r="DW29" i="2"/>
  <c r="DW28" i="2"/>
  <c r="DW27" i="2"/>
  <c r="DQ33" i="2"/>
  <c r="DQ32" i="2"/>
  <c r="DQ31" i="2"/>
  <c r="DQ30" i="2"/>
  <c r="DQ29" i="2"/>
  <c r="DQ28" i="2"/>
  <c r="DQ27" i="2"/>
  <c r="DK33" i="2"/>
  <c r="DK32" i="2"/>
  <c r="DK31" i="2"/>
  <c r="DK30" i="2"/>
  <c r="DM36" i="3" s="1"/>
  <c r="DM111" i="3" s="1"/>
  <c r="DK29" i="2"/>
  <c r="DK28" i="2"/>
  <c r="DK27" i="2"/>
  <c r="DM35" i="3" s="1"/>
  <c r="DM110" i="3" s="1"/>
  <c r="DE33" i="2"/>
  <c r="DE32" i="2"/>
  <c r="DE31" i="2"/>
  <c r="DE30" i="2"/>
  <c r="DG36" i="3" s="1"/>
  <c r="DG111" i="3" s="1"/>
  <c r="DE29" i="2"/>
  <c r="DE28" i="2"/>
  <c r="DE27" i="2"/>
  <c r="CY33" i="2"/>
  <c r="CY32" i="2"/>
  <c r="CY31" i="2"/>
  <c r="CY30" i="2"/>
  <c r="DA36" i="3" s="1"/>
  <c r="DA111" i="3" s="1"/>
  <c r="CY29" i="2"/>
  <c r="CY28" i="2"/>
  <c r="CY27" i="2"/>
  <c r="CS33" i="2"/>
  <c r="CS32" i="2"/>
  <c r="CS31" i="2"/>
  <c r="CS30" i="2"/>
  <c r="CS29" i="2"/>
  <c r="CS28" i="2"/>
  <c r="CS27" i="2"/>
  <c r="CM33" i="2"/>
  <c r="CM32" i="2"/>
  <c r="CM31" i="2"/>
  <c r="CM30" i="2"/>
  <c r="CM29" i="2"/>
  <c r="CM28" i="2"/>
  <c r="CM27" i="2"/>
  <c r="CO35" i="3" s="1"/>
  <c r="CO110" i="3" s="1"/>
  <c r="CG33" i="2"/>
  <c r="CG32" i="2"/>
  <c r="CG31" i="2"/>
  <c r="CG30" i="2"/>
  <c r="CG29" i="2"/>
  <c r="CG28" i="2"/>
  <c r="CG27" i="2"/>
  <c r="CA33" i="2"/>
  <c r="CA32" i="2"/>
  <c r="CA31" i="2"/>
  <c r="CA30" i="2"/>
  <c r="CA29" i="2"/>
  <c r="CA28" i="2"/>
  <c r="CA27" i="2"/>
  <c r="BW33" i="2"/>
  <c r="BU33" i="2"/>
  <c r="BO33" i="2"/>
  <c r="BI33" i="2"/>
  <c r="BC33" i="2"/>
  <c r="AW33" i="2"/>
  <c r="AQ33" i="2"/>
  <c r="AK33" i="2"/>
  <c r="AE33" i="2"/>
  <c r="Y33" i="2"/>
  <c r="S33" i="2"/>
  <c r="M33" i="2"/>
  <c r="G33" i="2"/>
  <c r="EO32" i="2"/>
  <c r="EO31" i="2"/>
  <c r="EI32" i="2"/>
  <c r="EI31" i="2"/>
  <c r="EC32" i="2"/>
  <c r="EC31" i="2"/>
  <c r="BU31" i="2"/>
  <c r="BU30" i="2"/>
  <c r="BU29" i="2"/>
  <c r="BU28" i="2"/>
  <c r="BU27" i="2"/>
  <c r="BO31" i="2"/>
  <c r="BO30" i="2"/>
  <c r="BO29" i="2"/>
  <c r="BO28" i="2"/>
  <c r="BO27" i="2"/>
  <c r="BC31" i="2"/>
  <c r="BC30" i="2"/>
  <c r="BC29" i="2"/>
  <c r="BC28" i="2"/>
  <c r="BC27" i="2"/>
  <c r="AW31" i="2"/>
  <c r="AW30" i="2"/>
  <c r="AW29" i="2"/>
  <c r="AW28" i="2"/>
  <c r="AW27" i="2"/>
  <c r="AQ31" i="2"/>
  <c r="AQ30" i="2"/>
  <c r="AQ29" i="2"/>
  <c r="AQ28" i="2"/>
  <c r="AQ27" i="2"/>
  <c r="AK31" i="2"/>
  <c r="AK30" i="2"/>
  <c r="AK29" i="2"/>
  <c r="AK28" i="2"/>
  <c r="AK27" i="2"/>
  <c r="AE31" i="2"/>
  <c r="AE30" i="2"/>
  <c r="AE29" i="2"/>
  <c r="AE28" i="2"/>
  <c r="AE27" i="2"/>
  <c r="Y31" i="2"/>
  <c r="Y30" i="2"/>
  <c r="AA57" i="2" s="1"/>
  <c r="Y29" i="2"/>
  <c r="Y28" i="2"/>
  <c r="Y27" i="2"/>
  <c r="S31" i="2"/>
  <c r="S30" i="2"/>
  <c r="S29" i="2"/>
  <c r="S28" i="2"/>
  <c r="S27" i="2"/>
  <c r="M31" i="2"/>
  <c r="M30" i="2"/>
  <c r="M29" i="2"/>
  <c r="M28" i="2"/>
  <c r="M27" i="2"/>
  <c r="G31" i="2"/>
  <c r="G30" i="2"/>
  <c r="G29" i="2"/>
  <c r="G28" i="2"/>
  <c r="G27" i="2"/>
  <c r="BI30" i="2"/>
  <c r="BI29" i="2"/>
  <c r="BI28" i="2"/>
  <c r="BI27" i="2"/>
  <c r="DW23" i="2"/>
  <c r="DW22" i="2"/>
  <c r="DW21" i="2"/>
  <c r="DW20" i="2"/>
  <c r="DW19" i="2"/>
  <c r="DW18" i="2"/>
  <c r="DQ23" i="2"/>
  <c r="DQ22" i="2"/>
  <c r="DQ21" i="2"/>
  <c r="DQ20" i="2"/>
  <c r="DQ19" i="2"/>
  <c r="DQ18" i="2"/>
  <c r="DK23" i="2"/>
  <c r="DK22" i="2"/>
  <c r="DK21" i="2"/>
  <c r="DK20" i="2"/>
  <c r="DK19" i="2"/>
  <c r="DK18" i="2"/>
  <c r="DE23" i="2"/>
  <c r="DE22" i="2"/>
  <c r="DE21" i="2"/>
  <c r="DE20" i="2"/>
  <c r="DE19" i="2"/>
  <c r="DE18" i="2"/>
  <c r="CY23" i="2"/>
  <c r="CY22" i="2"/>
  <c r="CY21" i="2"/>
  <c r="CY20" i="2"/>
  <c r="CY19" i="2"/>
  <c r="CY18" i="2"/>
  <c r="CS23" i="2"/>
  <c r="CS22" i="2"/>
  <c r="CS21" i="2"/>
  <c r="CS20" i="2"/>
  <c r="CS19" i="2"/>
  <c r="CS18" i="2"/>
  <c r="CM23" i="2"/>
  <c r="CM22" i="2"/>
  <c r="CM21" i="2"/>
  <c r="CM20" i="2"/>
  <c r="CM19" i="2"/>
  <c r="CM18" i="2"/>
  <c r="CG23" i="2"/>
  <c r="CG22" i="2"/>
  <c r="CG21" i="2"/>
  <c r="CG20" i="2"/>
  <c r="CG19" i="2"/>
  <c r="CG18" i="2"/>
  <c r="CA23" i="2"/>
  <c r="CA22" i="2"/>
  <c r="CA21" i="2"/>
  <c r="CA20" i="2"/>
  <c r="CA19" i="2"/>
  <c r="CA18" i="2"/>
  <c r="BU23" i="2"/>
  <c r="BU22" i="2"/>
  <c r="BU21" i="2"/>
  <c r="BU20" i="2"/>
  <c r="BU19" i="2"/>
  <c r="BU18" i="2"/>
  <c r="BO23" i="2"/>
  <c r="BO22" i="2"/>
  <c r="BO21" i="2"/>
  <c r="BO20" i="2"/>
  <c r="BO19" i="2"/>
  <c r="BO18" i="2"/>
  <c r="BI23" i="2"/>
  <c r="BI22" i="2"/>
  <c r="BI21" i="2"/>
  <c r="BI20" i="2"/>
  <c r="BI19" i="2"/>
  <c r="BI18" i="2"/>
  <c r="BC23" i="2"/>
  <c r="BC22" i="2"/>
  <c r="BC21" i="2"/>
  <c r="BC20" i="2"/>
  <c r="BC19" i="2"/>
  <c r="BC18" i="2"/>
  <c r="AW23" i="2"/>
  <c r="AW22" i="2"/>
  <c r="AW21" i="2"/>
  <c r="AW20" i="2"/>
  <c r="AQ23" i="2"/>
  <c r="AQ22" i="2"/>
  <c r="AQ21" i="2"/>
  <c r="AQ20" i="2"/>
  <c r="AK23" i="2"/>
  <c r="AK22" i="2"/>
  <c r="AK21" i="2"/>
  <c r="AK20" i="2"/>
  <c r="AK19" i="2"/>
  <c r="AK18" i="2"/>
  <c r="AE23" i="2"/>
  <c r="AE22" i="2"/>
  <c r="AE21" i="2"/>
  <c r="AE20" i="2"/>
  <c r="AE19" i="2"/>
  <c r="AE18" i="2"/>
  <c r="Y23" i="2"/>
  <c r="Y22" i="2"/>
  <c r="Y21" i="2"/>
  <c r="Y20" i="2"/>
  <c r="Y19" i="2"/>
  <c r="Y18" i="2"/>
  <c r="S23" i="2"/>
  <c r="S22" i="2"/>
  <c r="S21" i="2"/>
  <c r="S20" i="2"/>
  <c r="S19" i="2"/>
  <c r="S18" i="2"/>
  <c r="G23" i="2"/>
  <c r="G22" i="2"/>
  <c r="G21" i="2"/>
  <c r="G20" i="2"/>
  <c r="G19" i="2"/>
  <c r="G18" i="2"/>
  <c r="BR18" i="2"/>
  <c r="BL18" i="2"/>
  <c r="AW18" i="2"/>
  <c r="AQ18" i="2"/>
  <c r="DV16" i="2"/>
  <c r="DW16" i="2" s="1"/>
  <c r="DU16" i="2"/>
  <c r="DU24" i="2" s="1"/>
  <c r="DT16" i="2"/>
  <c r="DT24" i="2" s="1"/>
  <c r="DP16" i="2"/>
  <c r="DP24" i="2" s="1"/>
  <c r="DO16" i="2"/>
  <c r="DO24" i="2" s="1"/>
  <c r="DM16" i="2"/>
  <c r="DM24" i="2" s="1"/>
  <c r="DJ16" i="2"/>
  <c r="DK16" i="2" s="1"/>
  <c r="DI16" i="2"/>
  <c r="DI24" i="2" s="1"/>
  <c r="DH16" i="2"/>
  <c r="DH24" i="2" s="1"/>
  <c r="DG16" i="2"/>
  <c r="DG24" i="2" s="1"/>
  <c r="DD16" i="2"/>
  <c r="DD24" i="2" s="1"/>
  <c r="DC16" i="2"/>
  <c r="DC24" i="2" s="1"/>
  <c r="DB16" i="2"/>
  <c r="DB24" i="2" s="1"/>
  <c r="DA16" i="2"/>
  <c r="DA24" i="2" s="1"/>
  <c r="CX16" i="2"/>
  <c r="CY16" i="2" s="1"/>
  <c r="CW16" i="2"/>
  <c r="CW24" i="2" s="1"/>
  <c r="CV16" i="2"/>
  <c r="CV24" i="2" s="1"/>
  <c r="CU16" i="2"/>
  <c r="CU24" i="2" s="1"/>
  <c r="CR16" i="2"/>
  <c r="CR24" i="2" s="1"/>
  <c r="CQ16" i="2"/>
  <c r="CQ24" i="2" s="1"/>
  <c r="CQ171" i="2" s="1"/>
  <c r="CQ168" i="2" s="1"/>
  <c r="CP16" i="2"/>
  <c r="CP24" i="2" s="1"/>
  <c r="CO16" i="2"/>
  <c r="CO24" i="2" s="1"/>
  <c r="CL16" i="2"/>
  <c r="CM16" i="2" s="1"/>
  <c r="CK16" i="2"/>
  <c r="CK24" i="2" s="1"/>
  <c r="CJ16" i="2"/>
  <c r="CJ24" i="2" s="1"/>
  <c r="CI16" i="2"/>
  <c r="CI24" i="2" s="1"/>
  <c r="CF16" i="2"/>
  <c r="CF24" i="2" s="1"/>
  <c r="CE16" i="2"/>
  <c r="CE24" i="2" s="1"/>
  <c r="CD16" i="2"/>
  <c r="CD24" i="2" s="1"/>
  <c r="CC16" i="2"/>
  <c r="CC24" i="2" s="1"/>
  <c r="BZ16" i="2"/>
  <c r="CA16" i="2" s="1"/>
  <c r="BY16" i="2"/>
  <c r="BY24" i="2" s="1"/>
  <c r="BX16" i="2"/>
  <c r="BX24" i="2" s="1"/>
  <c r="BW16" i="2"/>
  <c r="BW24" i="2" s="1"/>
  <c r="BT16" i="2"/>
  <c r="BT24" i="2" s="1"/>
  <c r="BS16" i="2"/>
  <c r="BS24" i="2" s="1"/>
  <c r="BR16" i="2"/>
  <c r="BQ16" i="2"/>
  <c r="BQ24" i="2" s="1"/>
  <c r="BN16" i="2"/>
  <c r="BO16" i="2" s="1"/>
  <c r="BM16" i="2"/>
  <c r="BM24" i="2" s="1"/>
  <c r="BL16" i="2"/>
  <c r="BK16" i="2"/>
  <c r="BK24" i="2" s="1"/>
  <c r="BK52" i="2" s="1"/>
  <c r="BH16" i="2"/>
  <c r="BH24" i="2" s="1"/>
  <c r="BG16" i="2"/>
  <c r="BG24" i="2" s="1"/>
  <c r="BF16" i="2"/>
  <c r="BF24" i="2" s="1"/>
  <c r="BE16" i="2"/>
  <c r="BE24" i="2" s="1"/>
  <c r="BB16" i="2"/>
  <c r="BC16" i="2" s="1"/>
  <c r="BA16" i="2"/>
  <c r="BA24" i="2" s="1"/>
  <c r="BA52" i="2" s="1"/>
  <c r="AZ16" i="2"/>
  <c r="AZ24" i="2" s="1"/>
  <c r="AZ52" i="2" s="1"/>
  <c r="AY16" i="2"/>
  <c r="AY24" i="2" s="1"/>
  <c r="AY52" i="2" s="1"/>
  <c r="AW16" i="2"/>
  <c r="AV16" i="2"/>
  <c r="AV24" i="2" s="1"/>
  <c r="AU16" i="2"/>
  <c r="AU24" i="2" s="1"/>
  <c r="AU52" i="2" s="1"/>
  <c r="AT16" i="2"/>
  <c r="AT24" i="2" s="1"/>
  <c r="AS16" i="2"/>
  <c r="AS24" i="2" s="1"/>
  <c r="AS52" i="2" s="1"/>
  <c r="AP16" i="2"/>
  <c r="AQ16" i="2" s="1"/>
  <c r="AO16" i="2"/>
  <c r="AO24" i="2" s="1"/>
  <c r="AO52" i="2" s="1"/>
  <c r="AN16" i="2"/>
  <c r="AN24" i="2" s="1"/>
  <c r="AN52" i="2" s="1"/>
  <c r="AM16" i="2"/>
  <c r="AM24" i="2" s="1"/>
  <c r="AJ16" i="2"/>
  <c r="AJ24" i="2" s="1"/>
  <c r="AI16" i="2"/>
  <c r="AI24" i="2" s="1"/>
  <c r="AH16" i="2"/>
  <c r="AH24" i="2" s="1"/>
  <c r="AH52" i="2" s="1"/>
  <c r="AG16" i="2"/>
  <c r="AG24" i="2" s="1"/>
  <c r="AD16" i="2"/>
  <c r="AE16" i="2" s="1"/>
  <c r="AC16" i="2"/>
  <c r="AC24" i="2" s="1"/>
  <c r="AC52" i="2" s="1"/>
  <c r="AB16" i="2"/>
  <c r="AB24" i="2" s="1"/>
  <c r="AA16" i="2"/>
  <c r="AA24" i="2" s="1"/>
  <c r="AA52" i="2" s="1"/>
  <c r="X16" i="2"/>
  <c r="X24" i="2" s="1"/>
  <c r="W16" i="2"/>
  <c r="W24" i="2" s="1"/>
  <c r="W52" i="2" s="1"/>
  <c r="V16" i="2"/>
  <c r="V24" i="2" s="1"/>
  <c r="U16" i="2"/>
  <c r="U24" i="2" s="1"/>
  <c r="U52" i="2" s="1"/>
  <c r="R16" i="2"/>
  <c r="S16" i="2" s="1"/>
  <c r="Q16" i="2"/>
  <c r="Q24" i="2" s="1"/>
  <c r="P16" i="2"/>
  <c r="P24" i="2" s="1"/>
  <c r="P52" i="2" s="1"/>
  <c r="O16" i="2"/>
  <c r="O24" i="2" s="1"/>
  <c r="O52" i="2" s="1"/>
  <c r="M16" i="2"/>
  <c r="M24" i="2" s="1"/>
  <c r="M52" i="2" s="1"/>
  <c r="L16" i="2"/>
  <c r="L24" i="2" s="1"/>
  <c r="L52" i="2" s="1"/>
  <c r="K16" i="2"/>
  <c r="K24" i="2" s="1"/>
  <c r="J16" i="2"/>
  <c r="J24" i="2" s="1"/>
  <c r="I16" i="2"/>
  <c r="I24" i="2" s="1"/>
  <c r="F16" i="2"/>
  <c r="G16" i="2" s="1"/>
  <c r="E16" i="2"/>
  <c r="E24" i="2" s="1"/>
  <c r="D16" i="2"/>
  <c r="D24" i="2" s="1"/>
  <c r="D52" i="2" s="1"/>
  <c r="C16" i="2"/>
  <c r="C24" i="2" s="1"/>
  <c r="C52" i="2" s="1"/>
  <c r="DW15" i="2"/>
  <c r="DW14" i="2"/>
  <c r="DW13" i="2"/>
  <c r="DW12" i="2"/>
  <c r="DW11" i="2"/>
  <c r="DW10" i="2"/>
  <c r="DW9" i="2"/>
  <c r="DQ15" i="2"/>
  <c r="DQ14" i="2"/>
  <c r="DQ13" i="2"/>
  <c r="DQ12" i="2"/>
  <c r="DQ11" i="2"/>
  <c r="DQ10" i="2"/>
  <c r="DQ9" i="2"/>
  <c r="DK15" i="2"/>
  <c r="DM34" i="3" s="1"/>
  <c r="DM109" i="3" s="1"/>
  <c r="DK14" i="2"/>
  <c r="DK13" i="2"/>
  <c r="DK12" i="2"/>
  <c r="DM32" i="3" s="1"/>
  <c r="DM107" i="3" s="1"/>
  <c r="DK11" i="2"/>
  <c r="DM31" i="3" s="1"/>
  <c r="DM106" i="3" s="1"/>
  <c r="DK10" i="2"/>
  <c r="DK9" i="2"/>
  <c r="DE15" i="2"/>
  <c r="DE14" i="2"/>
  <c r="DE13" i="2"/>
  <c r="DE12" i="2"/>
  <c r="DG32" i="3" s="1"/>
  <c r="DG107" i="3" s="1"/>
  <c r="DE11" i="2"/>
  <c r="DG31" i="3" s="1"/>
  <c r="DG106" i="3" s="1"/>
  <c r="DE10" i="2"/>
  <c r="DE9" i="2"/>
  <c r="CY15" i="2"/>
  <c r="DA34" i="3" s="1"/>
  <c r="DA109" i="3" s="1"/>
  <c r="CY14" i="2"/>
  <c r="CY13" i="2"/>
  <c r="DA33" i="3" s="1"/>
  <c r="DA108" i="3" s="1"/>
  <c r="CY12" i="2"/>
  <c r="DA32" i="3" s="1"/>
  <c r="DA107" i="3" s="1"/>
  <c r="CY11" i="2"/>
  <c r="DA31" i="3" s="1"/>
  <c r="CY10" i="2"/>
  <c r="CY9" i="2"/>
  <c r="CS15" i="2"/>
  <c r="CS14" i="2"/>
  <c r="CS13" i="2"/>
  <c r="CS12" i="2"/>
  <c r="CU32" i="3" s="1"/>
  <c r="CU107" i="3" s="1"/>
  <c r="CS11" i="2"/>
  <c r="CU31" i="3" s="1"/>
  <c r="CU106" i="3" s="1"/>
  <c r="CS10" i="2"/>
  <c r="CS9" i="2"/>
  <c r="CM15" i="2"/>
  <c r="CO34" i="3" s="1"/>
  <c r="CO109" i="3" s="1"/>
  <c r="CM14" i="2"/>
  <c r="CM13" i="2"/>
  <c r="CO33" i="3" s="1"/>
  <c r="CM12" i="2"/>
  <c r="CO32" i="3" s="1"/>
  <c r="CO107" i="3" s="1"/>
  <c r="CM11" i="2"/>
  <c r="CO31" i="3" s="1"/>
  <c r="CO106" i="3" s="1"/>
  <c r="CM10" i="2"/>
  <c r="CM9" i="2"/>
  <c r="CG15" i="2"/>
  <c r="CG14" i="2"/>
  <c r="CG13" i="2"/>
  <c r="CG12" i="2"/>
  <c r="CI32" i="3" s="1"/>
  <c r="CI107" i="3" s="1"/>
  <c r="CG11" i="2"/>
  <c r="CI31" i="3" s="1"/>
  <c r="CI106" i="3" s="1"/>
  <c r="CG10" i="2"/>
  <c r="CG9" i="2"/>
  <c r="CA15" i="2"/>
  <c r="CC34" i="3" s="1"/>
  <c r="CC109" i="3" s="1"/>
  <c r="CA14" i="2"/>
  <c r="CA13" i="2"/>
  <c r="CC33" i="3" s="1"/>
  <c r="CC108" i="3" s="1"/>
  <c r="CA12" i="2"/>
  <c r="CC32" i="3" s="1"/>
  <c r="CC107" i="3" s="1"/>
  <c r="CA11" i="2"/>
  <c r="CC31" i="3" s="1"/>
  <c r="CA10" i="2"/>
  <c r="CA9" i="2"/>
  <c r="BU15" i="2"/>
  <c r="BU14" i="2"/>
  <c r="BU13" i="2"/>
  <c r="BU12" i="2"/>
  <c r="BW32" i="3" s="1"/>
  <c r="BW107" i="3" s="1"/>
  <c r="BU11" i="2"/>
  <c r="BW31" i="3" s="1"/>
  <c r="BW106" i="3" s="1"/>
  <c r="BU10" i="2"/>
  <c r="BU9" i="2"/>
  <c r="BO15" i="2"/>
  <c r="BO14" i="2"/>
  <c r="BO13" i="2"/>
  <c r="BO12" i="2"/>
  <c r="BO11" i="2"/>
  <c r="BO10" i="2"/>
  <c r="BO9" i="2"/>
  <c r="BI15" i="2"/>
  <c r="BI14" i="2"/>
  <c r="BI13" i="2"/>
  <c r="BI12" i="2"/>
  <c r="BI11" i="2"/>
  <c r="BI10" i="2"/>
  <c r="BI9" i="2"/>
  <c r="BC15" i="2"/>
  <c r="BC14" i="2"/>
  <c r="BC13" i="2"/>
  <c r="BC12" i="2"/>
  <c r="BC11" i="2"/>
  <c r="BC10" i="2"/>
  <c r="BC9" i="2"/>
  <c r="AW15" i="2"/>
  <c r="AW14" i="2"/>
  <c r="AW13" i="2"/>
  <c r="AW12" i="2"/>
  <c r="AW11" i="2"/>
  <c r="AW10" i="2"/>
  <c r="AW9" i="2"/>
  <c r="AQ15" i="2"/>
  <c r="AQ14" i="2"/>
  <c r="AQ13" i="2"/>
  <c r="AQ12" i="2"/>
  <c r="AQ11" i="2"/>
  <c r="AQ10" i="2"/>
  <c r="AQ9" i="2"/>
  <c r="AK15" i="2"/>
  <c r="AK14" i="2"/>
  <c r="AK13" i="2"/>
  <c r="AK12" i="2"/>
  <c r="AK11" i="2"/>
  <c r="AK10" i="2"/>
  <c r="AK9" i="2"/>
  <c r="AE15" i="2"/>
  <c r="AE14" i="2"/>
  <c r="AE13" i="2"/>
  <c r="AE12" i="2"/>
  <c r="AE11" i="2"/>
  <c r="AE10" i="2"/>
  <c r="AE9" i="2"/>
  <c r="Y15" i="2"/>
  <c r="Y14" i="2"/>
  <c r="Y13" i="2"/>
  <c r="Y12" i="2"/>
  <c r="Y11" i="2"/>
  <c r="Y10" i="2"/>
  <c r="Y9" i="2"/>
  <c r="S15" i="2"/>
  <c r="S14" i="2"/>
  <c r="S13" i="2"/>
  <c r="S12" i="2"/>
  <c r="S11" i="2"/>
  <c r="S279" i="1" s="1"/>
  <c r="S10" i="2"/>
  <c r="S9" i="2"/>
  <c r="G15" i="2"/>
  <c r="G14" i="2"/>
  <c r="G13" i="2"/>
  <c r="G12" i="2"/>
  <c r="G11" i="2"/>
  <c r="G10" i="2"/>
  <c r="G9" i="2"/>
  <c r="EO14" i="2"/>
  <c r="EI14" i="2"/>
  <c r="EC14" i="2"/>
  <c r="DY13" i="2"/>
  <c r="DY102" i="2" s="1"/>
  <c r="DS13" i="2"/>
  <c r="DS102" i="2" s="1"/>
  <c r="EO6" i="2"/>
  <c r="EN6" i="2"/>
  <c r="EM6" i="2"/>
  <c r="EL6" i="2"/>
  <c r="EK6" i="2"/>
  <c r="EI6" i="2"/>
  <c r="EH6" i="2"/>
  <c r="EG6" i="2"/>
  <c r="EF6" i="2"/>
  <c r="EE6" i="2"/>
  <c r="EC6" i="2"/>
  <c r="EB6" i="2"/>
  <c r="EA6" i="2"/>
  <c r="DZ6" i="2"/>
  <c r="DY6" i="2"/>
  <c r="DW6" i="2"/>
  <c r="DV6" i="2"/>
  <c r="DU6" i="2"/>
  <c r="DT6" i="2"/>
  <c r="DS6" i="2"/>
  <c r="DQ6" i="2"/>
  <c r="DP6" i="2"/>
  <c r="DO6" i="2"/>
  <c r="DN6" i="2"/>
  <c r="DM6" i="2"/>
  <c r="DK6" i="2"/>
  <c r="DJ6" i="2"/>
  <c r="DI6" i="2"/>
  <c r="DH6" i="2"/>
  <c r="DG6" i="2"/>
  <c r="DE6" i="2"/>
  <c r="DD6" i="2"/>
  <c r="DC6" i="2"/>
  <c r="DB6" i="2"/>
  <c r="DA6" i="2"/>
  <c r="CY6" i="2"/>
  <c r="CX6" i="2"/>
  <c r="CW6" i="2"/>
  <c r="CV6" i="2"/>
  <c r="CU6" i="2"/>
  <c r="CS6" i="2"/>
  <c r="CR6" i="2"/>
  <c r="CQ6" i="2"/>
  <c r="CP6" i="2"/>
  <c r="CO6" i="2"/>
  <c r="CM6" i="2"/>
  <c r="CL6" i="2"/>
  <c r="CK6" i="2"/>
  <c r="CJ6" i="2"/>
  <c r="CI6" i="2"/>
  <c r="CG6" i="2"/>
  <c r="CF6" i="2"/>
  <c r="CE6" i="2"/>
  <c r="CD6" i="2"/>
  <c r="CC6" i="2"/>
  <c r="CA6" i="2"/>
  <c r="BZ6" i="2"/>
  <c r="BY6" i="2"/>
  <c r="BX6" i="2"/>
  <c r="BW6" i="2"/>
  <c r="BU6" i="2"/>
  <c r="BT6" i="2"/>
  <c r="BS6" i="2"/>
  <c r="BR6" i="2"/>
  <c r="BQ6" i="2"/>
  <c r="BO6" i="2"/>
  <c r="BN6" i="2"/>
  <c r="BM6" i="2"/>
  <c r="BL6" i="2"/>
  <c r="BK6" i="2"/>
  <c r="BI6" i="2"/>
  <c r="BH6" i="2"/>
  <c r="BG6" i="2"/>
  <c r="BF6" i="2"/>
  <c r="BE6" i="2"/>
  <c r="BC6" i="2"/>
  <c r="BB6" i="2"/>
  <c r="BA6" i="2"/>
  <c r="AZ6" i="2"/>
  <c r="AY6" i="2"/>
  <c r="AW6" i="2"/>
  <c r="AV6" i="2"/>
  <c r="AU6" i="2"/>
  <c r="AT6" i="2"/>
  <c r="AS6" i="2"/>
  <c r="AQ6" i="2"/>
  <c r="AP6" i="2"/>
  <c r="AO6" i="2"/>
  <c r="AN6" i="2"/>
  <c r="AM6" i="2"/>
  <c r="AK6" i="2"/>
  <c r="AJ6" i="2"/>
  <c r="AI6" i="2"/>
  <c r="AH6" i="2"/>
  <c r="AG6" i="2"/>
  <c r="AE6" i="2"/>
  <c r="AD6" i="2"/>
  <c r="AC6" i="2"/>
  <c r="AB6" i="2"/>
  <c r="AA6" i="2"/>
  <c r="Y6" i="2"/>
  <c r="X6" i="2"/>
  <c r="W6" i="2"/>
  <c r="V6" i="2"/>
  <c r="U6" i="2"/>
  <c r="S6" i="2"/>
  <c r="R6" i="2"/>
  <c r="Q6" i="2"/>
  <c r="P6" i="2"/>
  <c r="O6" i="2"/>
  <c r="EK5" i="2"/>
  <c r="EE5" i="2"/>
  <c r="DS5" i="2"/>
  <c r="DM5" i="2"/>
  <c r="DG5" i="2"/>
  <c r="DA5" i="2"/>
  <c r="CU5" i="2"/>
  <c r="CO5" i="2"/>
  <c r="CI5" i="2"/>
  <c r="CC5" i="2"/>
  <c r="BW5" i="2"/>
  <c r="BQ5" i="2"/>
  <c r="BK5" i="2"/>
  <c r="BE5" i="2"/>
  <c r="AY5" i="2"/>
  <c r="AS5" i="2"/>
  <c r="AM5" i="2"/>
  <c r="AG5" i="2"/>
  <c r="AA5" i="2"/>
  <c r="U5" i="2"/>
  <c r="O5" i="2"/>
  <c r="A1" i="2"/>
  <c r="EJ345" i="1"/>
  <c r="EJ346" i="1" s="1"/>
  <c r="ED345" i="1"/>
  <c r="ED346" i="1" s="1"/>
  <c r="DX345" i="1"/>
  <c r="DX346" i="1" s="1"/>
  <c r="DF345" i="1"/>
  <c r="DF346" i="1" s="1"/>
  <c r="CZ345" i="1"/>
  <c r="CZ346" i="1" s="1"/>
  <c r="CT345" i="1"/>
  <c r="CT346" i="1" s="1"/>
  <c r="EJ325" i="1"/>
  <c r="ED325" i="1"/>
  <c r="DO325" i="1"/>
  <c r="DN325" i="1"/>
  <c r="DM325" i="1"/>
  <c r="DL325" i="1"/>
  <c r="DJ325" i="1"/>
  <c r="DI325" i="1"/>
  <c r="DH325" i="1"/>
  <c r="DG325" i="1"/>
  <c r="DF325" i="1"/>
  <c r="DD325" i="1"/>
  <c r="DC325" i="1"/>
  <c r="DB325" i="1"/>
  <c r="DA325" i="1"/>
  <c r="CZ325" i="1"/>
  <c r="CW325" i="1"/>
  <c r="CV325" i="1"/>
  <c r="CU325" i="1"/>
  <c r="CT325" i="1"/>
  <c r="CQ325" i="1"/>
  <c r="CN325" i="1"/>
  <c r="CH325" i="1"/>
  <c r="CB325" i="1"/>
  <c r="BV325" i="1"/>
  <c r="BP325" i="1"/>
  <c r="BJ325" i="1"/>
  <c r="BD325" i="1"/>
  <c r="BB325" i="1"/>
  <c r="BA325" i="1"/>
  <c r="AZ325" i="1"/>
  <c r="AY325" i="1"/>
  <c r="AX325" i="1"/>
  <c r="AV325" i="1"/>
  <c r="AU325" i="1"/>
  <c r="AT325" i="1"/>
  <c r="AS325" i="1"/>
  <c r="AR325" i="1"/>
  <c r="AP325" i="1"/>
  <c r="AO325" i="1"/>
  <c r="AN325" i="1"/>
  <c r="AM325" i="1"/>
  <c r="AL325" i="1"/>
  <c r="AJ325" i="1"/>
  <c r="AI325" i="1"/>
  <c r="AH325" i="1"/>
  <c r="AG325" i="1"/>
  <c r="AF325" i="1"/>
  <c r="AD325" i="1"/>
  <c r="AC325" i="1"/>
  <c r="AB325" i="1"/>
  <c r="AA325" i="1"/>
  <c r="Z325" i="1"/>
  <c r="X325" i="1"/>
  <c r="W325" i="1"/>
  <c r="V325" i="1"/>
  <c r="U325" i="1"/>
  <c r="T325" i="1"/>
  <c r="R325" i="1"/>
  <c r="Q325" i="1"/>
  <c r="P325" i="1"/>
  <c r="O325" i="1"/>
  <c r="N325" i="1"/>
  <c r="M325" i="1"/>
  <c r="L325" i="1"/>
  <c r="K325" i="1"/>
  <c r="J325" i="1"/>
  <c r="I325" i="1"/>
  <c r="H325" i="1"/>
  <c r="G325" i="1"/>
  <c r="F325" i="1"/>
  <c r="E325" i="1"/>
  <c r="D325" i="1"/>
  <c r="C325" i="1"/>
  <c r="B325" i="1"/>
  <c r="A325" i="1"/>
  <c r="BT320" i="1"/>
  <c r="BT321" i="1" s="1"/>
  <c r="BS320" i="1"/>
  <c r="BS321" i="1" s="1"/>
  <c r="BR320" i="1"/>
  <c r="BR321" i="1" s="1"/>
  <c r="BQ320" i="1"/>
  <c r="BQ321" i="1" s="1"/>
  <c r="BN320" i="1"/>
  <c r="BN321" i="1" s="1"/>
  <c r="BM320" i="1"/>
  <c r="BM321" i="1" s="1"/>
  <c r="BL320" i="1"/>
  <c r="BL321" i="1" s="1"/>
  <c r="BK320" i="1"/>
  <c r="BK321" i="1" s="1"/>
  <c r="BH320" i="1"/>
  <c r="BH321" i="1" s="1"/>
  <c r="BG320" i="1"/>
  <c r="BG321" i="1" s="1"/>
  <c r="BF320" i="1"/>
  <c r="BF321" i="1" s="1"/>
  <c r="BE320" i="1"/>
  <c r="BE321" i="1" s="1"/>
  <c r="BB320" i="1"/>
  <c r="BB321" i="1" s="1"/>
  <c r="BA320" i="1"/>
  <c r="BA321" i="1" s="1"/>
  <c r="AZ320" i="1"/>
  <c r="AZ321" i="1" s="1"/>
  <c r="AY320" i="1"/>
  <c r="AY321" i="1" s="1"/>
  <c r="AV320" i="1"/>
  <c r="AV321" i="1" s="1"/>
  <c r="AU320" i="1"/>
  <c r="AU321" i="1" s="1"/>
  <c r="AT320" i="1"/>
  <c r="AT321" i="1" s="1"/>
  <c r="AS320" i="1"/>
  <c r="AS321" i="1" s="1"/>
  <c r="AP320" i="1"/>
  <c r="AP321" i="1" s="1"/>
  <c r="AO320" i="1"/>
  <c r="AO321" i="1" s="1"/>
  <c r="AN320" i="1"/>
  <c r="AN321" i="1" s="1"/>
  <c r="AM320" i="1"/>
  <c r="AM321" i="1" s="1"/>
  <c r="AJ320" i="1"/>
  <c r="AJ321" i="1" s="1"/>
  <c r="AI320" i="1"/>
  <c r="AI321" i="1" s="1"/>
  <c r="AH320" i="1"/>
  <c r="AH321" i="1" s="1"/>
  <c r="AG320" i="1"/>
  <c r="AG321" i="1" s="1"/>
  <c r="DZ315" i="1"/>
  <c r="DP315" i="1"/>
  <c r="DS315" i="1" s="1"/>
  <c r="DT315" i="1" s="1"/>
  <c r="DU315" i="1" s="1"/>
  <c r="DA315" i="1"/>
  <c r="DB315" i="1" s="1"/>
  <c r="DC315" i="1" s="1"/>
  <c r="DD315" i="1" s="1"/>
  <c r="DG315" i="1" s="1"/>
  <c r="DH315" i="1" s="1"/>
  <c r="DI315" i="1" s="1"/>
  <c r="DJ315" i="1" s="1"/>
  <c r="DM315" i="1" s="1"/>
  <c r="DN315" i="1" s="1"/>
  <c r="CX315" i="1"/>
  <c r="CX314" i="1"/>
  <c r="CX313" i="1" s="1"/>
  <c r="DC314" i="1"/>
  <c r="DD314" i="1" s="1"/>
  <c r="DG314" i="1" s="1"/>
  <c r="DH314" i="1" s="1"/>
  <c r="DI314" i="1" s="1"/>
  <c r="DB313" i="1"/>
  <c r="DA313" i="1"/>
  <c r="CW313" i="1"/>
  <c r="CV311" i="1"/>
  <c r="CU311" i="1"/>
  <c r="CR311" i="1"/>
  <c r="CQ311" i="1"/>
  <c r="CP311" i="1"/>
  <c r="CO311" i="1"/>
  <c r="CL311" i="1"/>
  <c r="CK311" i="1"/>
  <c r="CI311" i="1"/>
  <c r="CF311" i="1"/>
  <c r="CE311" i="1"/>
  <c r="CD311" i="1"/>
  <c r="CC311" i="1"/>
  <c r="BZ311" i="1"/>
  <c r="BY311" i="1"/>
  <c r="BX311" i="1"/>
  <c r="BW311" i="1"/>
  <c r="BT311" i="1"/>
  <c r="BS311" i="1"/>
  <c r="BR311" i="1"/>
  <c r="BQ311" i="1"/>
  <c r="BN311" i="1"/>
  <c r="BM311" i="1"/>
  <c r="BL311" i="1"/>
  <c r="BK311" i="1"/>
  <c r="BH311" i="1"/>
  <c r="BG311" i="1"/>
  <c r="BF311" i="1"/>
  <c r="BE311" i="1"/>
  <c r="BB311" i="1"/>
  <c r="BA311" i="1"/>
  <c r="AZ311" i="1"/>
  <c r="AY311" i="1"/>
  <c r="AU311" i="1"/>
  <c r="AT311" i="1"/>
  <c r="AS311" i="1"/>
  <c r="AO311" i="1"/>
  <c r="AN311" i="1"/>
  <c r="AM311" i="1"/>
  <c r="BC304" i="1"/>
  <c r="BB304" i="1"/>
  <c r="BA304" i="1"/>
  <c r="AZ304" i="1"/>
  <c r="AY304" i="1"/>
  <c r="BC303" i="1"/>
  <c r="BB303" i="1"/>
  <c r="BA303" i="1"/>
  <c r="AZ303" i="1"/>
  <c r="AY303" i="1"/>
  <c r="BC302" i="1"/>
  <c r="BB302" i="1"/>
  <c r="BA302" i="1"/>
  <c r="AZ302" i="1"/>
  <c r="AY302" i="1"/>
  <c r="BC301" i="1"/>
  <c r="BB301" i="1"/>
  <c r="BA301" i="1"/>
  <c r="AZ301" i="1"/>
  <c r="AY301" i="1"/>
  <c r="BC300" i="1"/>
  <c r="BB300" i="1"/>
  <c r="BA300" i="1"/>
  <c r="AZ300" i="1"/>
  <c r="AY300" i="1"/>
  <c r="BC299" i="1"/>
  <c r="BB299" i="1"/>
  <c r="BA299" i="1"/>
  <c r="AZ299" i="1"/>
  <c r="AY299" i="1"/>
  <c r="AW304" i="1"/>
  <c r="AV304" i="1"/>
  <c r="AU304" i="1"/>
  <c r="AT304" i="1"/>
  <c r="AS304" i="1"/>
  <c r="AW303" i="1"/>
  <c r="AV303" i="1"/>
  <c r="AU303" i="1"/>
  <c r="AT303" i="1"/>
  <c r="AS303" i="1"/>
  <c r="AW302" i="1"/>
  <c r="AV302" i="1"/>
  <c r="AU302" i="1"/>
  <c r="AT302" i="1"/>
  <c r="AS302" i="1"/>
  <c r="AW301" i="1"/>
  <c r="AV301" i="1"/>
  <c r="AU301" i="1"/>
  <c r="AT301" i="1"/>
  <c r="AS301" i="1"/>
  <c r="AW300" i="1"/>
  <c r="AV300" i="1"/>
  <c r="AU300" i="1"/>
  <c r="AT300" i="1"/>
  <c r="AS300" i="1"/>
  <c r="AW299" i="1"/>
  <c r="AV299" i="1"/>
  <c r="AU299" i="1"/>
  <c r="AT299" i="1"/>
  <c r="AS299" i="1"/>
  <c r="AP305" i="1"/>
  <c r="AQ304" i="1"/>
  <c r="AP304" i="1"/>
  <c r="AO304" i="1"/>
  <c r="AN304" i="1"/>
  <c r="AM304" i="1"/>
  <c r="AQ303" i="1"/>
  <c r="AP303" i="1"/>
  <c r="AO303" i="1"/>
  <c r="AN303" i="1"/>
  <c r="AM303" i="1"/>
  <c r="AQ302" i="1"/>
  <c r="AP302" i="1"/>
  <c r="AO302" i="1"/>
  <c r="AN302" i="1"/>
  <c r="AM302" i="1"/>
  <c r="AQ301" i="1"/>
  <c r="AP301" i="1"/>
  <c r="AO301" i="1"/>
  <c r="AN301" i="1"/>
  <c r="AM301" i="1"/>
  <c r="AQ300" i="1"/>
  <c r="AP300" i="1"/>
  <c r="AO300" i="1"/>
  <c r="AN300" i="1"/>
  <c r="AM300" i="1"/>
  <c r="AQ299" i="1"/>
  <c r="AP299" i="1"/>
  <c r="AO299" i="1"/>
  <c r="AN299" i="1"/>
  <c r="AM299" i="1"/>
  <c r="AK305" i="1"/>
  <c r="AK304" i="1"/>
  <c r="AJ304" i="1"/>
  <c r="AI304" i="1"/>
  <c r="AH304" i="1"/>
  <c r="AG304" i="1"/>
  <c r="AK303" i="1"/>
  <c r="AJ303" i="1"/>
  <c r="AI303" i="1"/>
  <c r="AH303" i="1"/>
  <c r="AG303" i="1"/>
  <c r="AK302" i="1"/>
  <c r="AJ302" i="1"/>
  <c r="AI302" i="1"/>
  <c r="AH302" i="1"/>
  <c r="AG302" i="1"/>
  <c r="AK301" i="1"/>
  <c r="AJ301" i="1"/>
  <c r="AI301" i="1"/>
  <c r="AH301" i="1"/>
  <c r="AG301" i="1"/>
  <c r="AK300" i="1"/>
  <c r="AJ300" i="1"/>
  <c r="AI300" i="1"/>
  <c r="AH300" i="1"/>
  <c r="AG300" i="1"/>
  <c r="AK299" i="1"/>
  <c r="AJ299" i="1"/>
  <c r="AI299" i="1"/>
  <c r="AH299" i="1"/>
  <c r="AG299" i="1"/>
  <c r="AE305" i="1"/>
  <c r="AD305" i="1"/>
  <c r="AC305" i="1"/>
  <c r="AB305" i="1"/>
  <c r="AA305" i="1"/>
  <c r="AE304" i="1"/>
  <c r="AD304" i="1"/>
  <c r="AC304" i="1"/>
  <c r="AB304" i="1"/>
  <c r="AA304" i="1"/>
  <c r="AE303" i="1"/>
  <c r="AD303" i="1"/>
  <c r="AC303" i="1"/>
  <c r="AB303" i="1"/>
  <c r="AA303" i="1"/>
  <c r="AE302" i="1"/>
  <c r="AD302" i="1"/>
  <c r="AC302" i="1"/>
  <c r="AB302" i="1"/>
  <c r="AA302" i="1"/>
  <c r="AE301" i="1"/>
  <c r="AD301" i="1"/>
  <c r="AC301" i="1"/>
  <c r="AB301" i="1"/>
  <c r="AA301" i="1"/>
  <c r="AE300" i="1"/>
  <c r="AD300" i="1"/>
  <c r="AC300" i="1"/>
  <c r="AB300" i="1"/>
  <c r="AA300" i="1"/>
  <c r="AE299" i="1"/>
  <c r="AD299" i="1"/>
  <c r="AC299" i="1"/>
  <c r="AB299" i="1"/>
  <c r="AA299" i="1"/>
  <c r="Y305" i="1"/>
  <c r="X305" i="1"/>
  <c r="W305" i="1"/>
  <c r="V305" i="1"/>
  <c r="U305" i="1"/>
  <c r="Y304" i="1"/>
  <c r="X304" i="1"/>
  <c r="W304" i="1"/>
  <c r="V304" i="1"/>
  <c r="U304" i="1"/>
  <c r="Y303" i="1"/>
  <c r="X303" i="1"/>
  <c r="W303" i="1"/>
  <c r="V303" i="1"/>
  <c r="U303" i="1"/>
  <c r="Y302" i="1"/>
  <c r="X302" i="1"/>
  <c r="W302" i="1"/>
  <c r="V302" i="1"/>
  <c r="U302" i="1"/>
  <c r="Y301" i="1"/>
  <c r="X301" i="1"/>
  <c r="W301" i="1"/>
  <c r="V301" i="1"/>
  <c r="U301" i="1"/>
  <c r="Y300" i="1"/>
  <c r="X300" i="1"/>
  <c r="W300" i="1"/>
  <c r="V300" i="1"/>
  <c r="U300" i="1"/>
  <c r="Y299" i="1"/>
  <c r="X299" i="1"/>
  <c r="W299" i="1"/>
  <c r="V299" i="1"/>
  <c r="U299" i="1"/>
  <c r="S305" i="1"/>
  <c r="R305" i="1"/>
  <c r="Q305" i="1"/>
  <c r="P305" i="1"/>
  <c r="O305" i="1"/>
  <c r="S304" i="1"/>
  <c r="R304" i="1"/>
  <c r="Q304" i="1"/>
  <c r="P304" i="1"/>
  <c r="O304" i="1"/>
  <c r="S303" i="1"/>
  <c r="R303" i="1"/>
  <c r="Q303" i="1"/>
  <c r="P303" i="1"/>
  <c r="O303" i="1"/>
  <c r="S302" i="1"/>
  <c r="R302" i="1"/>
  <c r="Q302" i="1"/>
  <c r="P302" i="1"/>
  <c r="O302" i="1"/>
  <c r="S301" i="1"/>
  <c r="R301" i="1"/>
  <c r="Q301" i="1"/>
  <c r="P301" i="1"/>
  <c r="O301" i="1"/>
  <c r="S300" i="1"/>
  <c r="R300" i="1"/>
  <c r="Q300" i="1"/>
  <c r="P300" i="1"/>
  <c r="O300" i="1"/>
  <c r="S299" i="1"/>
  <c r="R299" i="1"/>
  <c r="Q299" i="1"/>
  <c r="P299" i="1"/>
  <c r="O299" i="1"/>
  <c r="M305" i="1"/>
  <c r="L305" i="1"/>
  <c r="K305" i="1"/>
  <c r="J305" i="1"/>
  <c r="I305" i="1"/>
  <c r="M304" i="1"/>
  <c r="L304" i="1"/>
  <c r="K304" i="1"/>
  <c r="J304" i="1"/>
  <c r="I304" i="1"/>
  <c r="M303" i="1"/>
  <c r="L303" i="1"/>
  <c r="K303" i="1"/>
  <c r="J303" i="1"/>
  <c r="I303" i="1"/>
  <c r="M302" i="1"/>
  <c r="L302" i="1"/>
  <c r="K302" i="1"/>
  <c r="J302" i="1"/>
  <c r="I302" i="1"/>
  <c r="M301" i="1"/>
  <c r="L301" i="1"/>
  <c r="K301" i="1"/>
  <c r="J301" i="1"/>
  <c r="I301" i="1"/>
  <c r="M300" i="1"/>
  <c r="L300" i="1"/>
  <c r="K300" i="1"/>
  <c r="J300" i="1"/>
  <c r="I300" i="1"/>
  <c r="M299" i="1"/>
  <c r="L299" i="1"/>
  <c r="K299" i="1"/>
  <c r="J299" i="1"/>
  <c r="I299" i="1"/>
  <c r="G305" i="1"/>
  <c r="F305" i="1"/>
  <c r="E305" i="1"/>
  <c r="D305" i="1"/>
  <c r="C305" i="1"/>
  <c r="G304" i="1"/>
  <c r="F304" i="1"/>
  <c r="E304" i="1"/>
  <c r="D304" i="1"/>
  <c r="C304" i="1"/>
  <c r="G303" i="1"/>
  <c r="F303" i="1"/>
  <c r="E303" i="1"/>
  <c r="D303" i="1"/>
  <c r="C303" i="1"/>
  <c r="G302" i="1"/>
  <c r="F302" i="1"/>
  <c r="E302" i="1"/>
  <c r="D302" i="1"/>
  <c r="C302" i="1"/>
  <c r="G301" i="1"/>
  <c r="F301" i="1"/>
  <c r="E301" i="1"/>
  <c r="D301" i="1"/>
  <c r="C301" i="1"/>
  <c r="G300" i="1"/>
  <c r="F300" i="1"/>
  <c r="E300" i="1"/>
  <c r="D300" i="1"/>
  <c r="C300" i="1"/>
  <c r="G299" i="1"/>
  <c r="F299" i="1"/>
  <c r="E299" i="1"/>
  <c r="D299" i="1"/>
  <c r="C299" i="1"/>
  <c r="EO305" i="1"/>
  <c r="EN305" i="1"/>
  <c r="EM305" i="1"/>
  <c r="EL305" i="1"/>
  <c r="EK305" i="1"/>
  <c r="EO304" i="1"/>
  <c r="EN304" i="1"/>
  <c r="EM304" i="1"/>
  <c r="EL304" i="1"/>
  <c r="EK304" i="1"/>
  <c r="EO303" i="1"/>
  <c r="EN303" i="1"/>
  <c r="EM303" i="1"/>
  <c r="EL303" i="1"/>
  <c r="EK303" i="1"/>
  <c r="EO302" i="1"/>
  <c r="EN302" i="1"/>
  <c r="EM302" i="1"/>
  <c r="EL302" i="1"/>
  <c r="EK302" i="1"/>
  <c r="EO301" i="1"/>
  <c r="EN301" i="1"/>
  <c r="EM301" i="1"/>
  <c r="EL301" i="1"/>
  <c r="EK301" i="1"/>
  <c r="EO300" i="1"/>
  <c r="EN300" i="1"/>
  <c r="EM300" i="1"/>
  <c r="EL300" i="1"/>
  <c r="EK300" i="1"/>
  <c r="EO299" i="1"/>
  <c r="EN299" i="1"/>
  <c r="EM299" i="1"/>
  <c r="EL299" i="1"/>
  <c r="EK299" i="1"/>
  <c r="EO298" i="1"/>
  <c r="EN298" i="1"/>
  <c r="EM298" i="1"/>
  <c r="EL298" i="1"/>
  <c r="EK298" i="1"/>
  <c r="EO297" i="1"/>
  <c r="EN297" i="1"/>
  <c r="EM297" i="1"/>
  <c r="EL297" i="1"/>
  <c r="EK297" i="1"/>
  <c r="EO296" i="1"/>
  <c r="EN296" i="1"/>
  <c r="EM296" i="1"/>
  <c r="EL296" i="1"/>
  <c r="EK296" i="1"/>
  <c r="EO295" i="1"/>
  <c r="EN295" i="1"/>
  <c r="EM295" i="1"/>
  <c r="EL295" i="1"/>
  <c r="EK295" i="1"/>
  <c r="EI305" i="1"/>
  <c r="EH305" i="1"/>
  <c r="EG305" i="1"/>
  <c r="EF305" i="1"/>
  <c r="EE305" i="1"/>
  <c r="EI304" i="1"/>
  <c r="EH304" i="1"/>
  <c r="EG304" i="1"/>
  <c r="EF304" i="1"/>
  <c r="EE304" i="1"/>
  <c r="EI303" i="1"/>
  <c r="EH303" i="1"/>
  <c r="EG303" i="1"/>
  <c r="EF303" i="1"/>
  <c r="EE303" i="1"/>
  <c r="EI302" i="1"/>
  <c r="EH302" i="1"/>
  <c r="EG302" i="1"/>
  <c r="EF302" i="1"/>
  <c r="EE302" i="1"/>
  <c r="EI301" i="1"/>
  <c r="EH301" i="1"/>
  <c r="EG301" i="1"/>
  <c r="EF301" i="1"/>
  <c r="EE301" i="1"/>
  <c r="EI300" i="1"/>
  <c r="EH300" i="1"/>
  <c r="EG300" i="1"/>
  <c r="EF300" i="1"/>
  <c r="EE300" i="1"/>
  <c r="EI299" i="1"/>
  <c r="EH299" i="1"/>
  <c r="EG299" i="1"/>
  <c r="EF299" i="1"/>
  <c r="EE299" i="1"/>
  <c r="EI298" i="1"/>
  <c r="EH298" i="1"/>
  <c r="EG298" i="1"/>
  <c r="EF298" i="1"/>
  <c r="EE298" i="1"/>
  <c r="EI297" i="1"/>
  <c r="EH297" i="1"/>
  <c r="EG297" i="1"/>
  <c r="EF297" i="1"/>
  <c r="EE297" i="1"/>
  <c r="EI296" i="1"/>
  <c r="EH296" i="1"/>
  <c r="EG296" i="1"/>
  <c r="EF296" i="1"/>
  <c r="EE296" i="1"/>
  <c r="EI295" i="1"/>
  <c r="EH295" i="1"/>
  <c r="EG295" i="1"/>
  <c r="EF295" i="1"/>
  <c r="EE295" i="1"/>
  <c r="EC305" i="1"/>
  <c r="EB305" i="1"/>
  <c r="EA305" i="1"/>
  <c r="DZ305" i="1"/>
  <c r="DY305" i="1"/>
  <c r="EC304" i="1"/>
  <c r="EB304" i="1"/>
  <c r="EA304" i="1"/>
  <c r="DZ304" i="1"/>
  <c r="DY304" i="1"/>
  <c r="EC303" i="1"/>
  <c r="EB303" i="1"/>
  <c r="EA303" i="1"/>
  <c r="DZ303" i="1"/>
  <c r="DY303" i="1"/>
  <c r="EC302" i="1"/>
  <c r="EB302" i="1"/>
  <c r="EA302" i="1"/>
  <c r="DZ302" i="1"/>
  <c r="DY302" i="1"/>
  <c r="EC301" i="1"/>
  <c r="EB301" i="1"/>
  <c r="EA301" i="1"/>
  <c r="DZ301" i="1"/>
  <c r="DY301" i="1"/>
  <c r="EC300" i="1"/>
  <c r="EB300" i="1"/>
  <c r="EA300" i="1"/>
  <c r="DZ300" i="1"/>
  <c r="DY300" i="1"/>
  <c r="EC299" i="1"/>
  <c r="EB299" i="1"/>
  <c r="EA299" i="1"/>
  <c r="DZ299" i="1"/>
  <c r="DY299" i="1"/>
  <c r="EC298" i="1"/>
  <c r="EB298" i="1"/>
  <c r="EA298" i="1"/>
  <c r="DZ298" i="1"/>
  <c r="DY298" i="1"/>
  <c r="EC297" i="1"/>
  <c r="EB297" i="1"/>
  <c r="EA297" i="1"/>
  <c r="DZ297" i="1"/>
  <c r="DY297" i="1"/>
  <c r="EC296" i="1"/>
  <c r="EB296" i="1"/>
  <c r="EA296" i="1"/>
  <c r="DZ296" i="1"/>
  <c r="DY296" i="1"/>
  <c r="EC295" i="1"/>
  <c r="EB295" i="1"/>
  <c r="EA295" i="1"/>
  <c r="DZ295" i="1"/>
  <c r="DY295" i="1"/>
  <c r="DW305" i="1"/>
  <c r="DV305" i="1"/>
  <c r="DU305" i="1"/>
  <c r="DT305" i="1"/>
  <c r="DS305" i="1"/>
  <c r="DW304" i="1"/>
  <c r="DV304" i="1"/>
  <c r="DU304" i="1"/>
  <c r="DT304" i="1"/>
  <c r="DS304" i="1"/>
  <c r="DW303" i="1"/>
  <c r="DV303" i="1"/>
  <c r="DU303" i="1"/>
  <c r="DT303" i="1"/>
  <c r="DS303" i="1"/>
  <c r="DW302" i="1"/>
  <c r="DV302" i="1"/>
  <c r="DU302" i="1"/>
  <c r="DT302" i="1"/>
  <c r="DS302" i="1"/>
  <c r="DW301" i="1"/>
  <c r="DV301" i="1"/>
  <c r="DU301" i="1"/>
  <c r="DT301" i="1"/>
  <c r="DS301" i="1"/>
  <c r="DW300" i="1"/>
  <c r="DV300" i="1"/>
  <c r="DU300" i="1"/>
  <c r="DT300" i="1"/>
  <c r="DS300" i="1"/>
  <c r="DW299" i="1"/>
  <c r="DV299" i="1"/>
  <c r="DU299" i="1"/>
  <c r="DT299" i="1"/>
  <c r="DS299" i="1"/>
  <c r="DW298" i="1"/>
  <c r="DV298" i="1"/>
  <c r="DU298" i="1"/>
  <c r="DT298" i="1"/>
  <c r="DS298" i="1"/>
  <c r="DW297" i="1"/>
  <c r="DV297" i="1"/>
  <c r="DU297" i="1"/>
  <c r="DT297" i="1"/>
  <c r="DS297" i="1"/>
  <c r="DW296" i="1"/>
  <c r="DV296" i="1"/>
  <c r="DU296" i="1"/>
  <c r="DT296" i="1"/>
  <c r="DS296" i="1"/>
  <c r="DW295" i="1"/>
  <c r="DV295" i="1"/>
  <c r="DU295" i="1"/>
  <c r="DT295" i="1"/>
  <c r="DS295" i="1"/>
  <c r="DQ305" i="1"/>
  <c r="DP305" i="1"/>
  <c r="DO305" i="1"/>
  <c r="DN305" i="1"/>
  <c r="DM305" i="1"/>
  <c r="DQ304" i="1"/>
  <c r="DP304" i="1"/>
  <c r="DO304" i="1"/>
  <c r="DN304" i="1"/>
  <c r="DM304" i="1"/>
  <c r="DQ303" i="1"/>
  <c r="DP303" i="1"/>
  <c r="DO303" i="1"/>
  <c r="DN303" i="1"/>
  <c r="DM303" i="1"/>
  <c r="DQ302" i="1"/>
  <c r="DP302" i="1"/>
  <c r="DO302" i="1"/>
  <c r="DN302" i="1"/>
  <c r="DM302" i="1"/>
  <c r="DQ301" i="1"/>
  <c r="DP301" i="1"/>
  <c r="DO301" i="1"/>
  <c r="DN301" i="1"/>
  <c r="DM301" i="1"/>
  <c r="DQ300" i="1"/>
  <c r="DP300" i="1"/>
  <c r="DO300" i="1"/>
  <c r="DN300" i="1"/>
  <c r="DM300" i="1"/>
  <c r="DQ299" i="1"/>
  <c r="DP299" i="1"/>
  <c r="DO299" i="1"/>
  <c r="DN299" i="1"/>
  <c r="DM299" i="1"/>
  <c r="DQ298" i="1"/>
  <c r="DP298" i="1"/>
  <c r="DO298" i="1"/>
  <c r="DN298" i="1"/>
  <c r="DM298" i="1"/>
  <c r="DQ297" i="1"/>
  <c r="DP297" i="1"/>
  <c r="DO297" i="1"/>
  <c r="DN297" i="1"/>
  <c r="DM297" i="1"/>
  <c r="DQ296" i="1"/>
  <c r="DP296" i="1"/>
  <c r="DO296" i="1"/>
  <c r="DN296" i="1"/>
  <c r="DM296" i="1"/>
  <c r="DQ295" i="1"/>
  <c r="DP295" i="1"/>
  <c r="DO295" i="1"/>
  <c r="DN295" i="1"/>
  <c r="DM295" i="1"/>
  <c r="DK305" i="1"/>
  <c r="DJ305" i="1"/>
  <c r="DI305" i="1"/>
  <c r="DH305" i="1"/>
  <c r="DG305" i="1"/>
  <c r="DK304" i="1"/>
  <c r="DJ304" i="1"/>
  <c r="DI304" i="1"/>
  <c r="DH304" i="1"/>
  <c r="DG304" i="1"/>
  <c r="DK303" i="1"/>
  <c r="DJ303" i="1"/>
  <c r="DI303" i="1"/>
  <c r="DH303" i="1"/>
  <c r="DG303" i="1"/>
  <c r="DK302" i="1"/>
  <c r="DJ302" i="1"/>
  <c r="DI302" i="1"/>
  <c r="DH302" i="1"/>
  <c r="DG302" i="1"/>
  <c r="DK301" i="1"/>
  <c r="DJ301" i="1"/>
  <c r="DI301" i="1"/>
  <c r="DH301" i="1"/>
  <c r="DG301" i="1"/>
  <c r="DK300" i="1"/>
  <c r="DJ300" i="1"/>
  <c r="DI300" i="1"/>
  <c r="DH300" i="1"/>
  <c r="DG300" i="1"/>
  <c r="DK299" i="1"/>
  <c r="DJ299" i="1"/>
  <c r="DI299" i="1"/>
  <c r="DH299" i="1"/>
  <c r="DG299" i="1"/>
  <c r="DK298" i="1"/>
  <c r="DJ298" i="1"/>
  <c r="DI298" i="1"/>
  <c r="DH298" i="1"/>
  <c r="DG298" i="1"/>
  <c r="DK297" i="1"/>
  <c r="DJ297" i="1"/>
  <c r="DI297" i="1"/>
  <c r="DH297" i="1"/>
  <c r="DG297" i="1"/>
  <c r="DK296" i="1"/>
  <c r="DJ296" i="1"/>
  <c r="DI296" i="1"/>
  <c r="DH296" i="1"/>
  <c r="DG296" i="1"/>
  <c r="DK295" i="1"/>
  <c r="DJ295" i="1"/>
  <c r="DI295" i="1"/>
  <c r="DH295" i="1"/>
  <c r="DG295" i="1"/>
  <c r="DE305" i="1"/>
  <c r="DD305" i="1"/>
  <c r="DA305" i="1"/>
  <c r="DE304" i="1"/>
  <c r="DD304" i="1"/>
  <c r="DC304" i="1"/>
  <c r="DB304" i="1"/>
  <c r="DA304" i="1"/>
  <c r="DE303" i="1"/>
  <c r="DD303" i="1"/>
  <c r="DC303" i="1"/>
  <c r="DB303" i="1"/>
  <c r="DA303" i="1"/>
  <c r="DE302" i="1"/>
  <c r="DD302" i="1"/>
  <c r="DC302" i="1"/>
  <c r="DB302" i="1"/>
  <c r="DA302" i="1"/>
  <c r="DE301" i="1"/>
  <c r="DD301" i="1"/>
  <c r="DC301" i="1"/>
  <c r="DB301" i="1"/>
  <c r="DA301" i="1"/>
  <c r="DE300" i="1"/>
  <c r="DD300" i="1"/>
  <c r="DC300" i="1"/>
  <c r="DB300" i="1"/>
  <c r="DA300" i="1"/>
  <c r="DE299" i="1"/>
  <c r="DD299" i="1"/>
  <c r="DC299" i="1"/>
  <c r="DB299" i="1"/>
  <c r="DA299" i="1"/>
  <c r="DE298" i="1"/>
  <c r="DD298" i="1"/>
  <c r="DC298" i="1"/>
  <c r="DB298" i="1"/>
  <c r="DA298" i="1"/>
  <c r="DE297" i="1"/>
  <c r="DD297" i="1"/>
  <c r="DC297" i="1"/>
  <c r="DB297" i="1"/>
  <c r="DA297" i="1"/>
  <c r="DE296" i="1"/>
  <c r="DD296" i="1"/>
  <c r="DC296" i="1"/>
  <c r="DB296" i="1"/>
  <c r="DA296" i="1"/>
  <c r="DE295" i="1"/>
  <c r="DD295" i="1"/>
  <c r="DC295" i="1"/>
  <c r="DB295" i="1"/>
  <c r="DA295" i="1"/>
  <c r="CX305" i="1"/>
  <c r="CW305" i="1"/>
  <c r="CV305" i="1"/>
  <c r="CU305" i="1"/>
  <c r="CY304" i="1"/>
  <c r="CX304" i="1"/>
  <c r="CW304" i="1"/>
  <c r="CV304" i="1"/>
  <c r="CU304" i="1"/>
  <c r="CY303" i="1"/>
  <c r="CX303" i="1"/>
  <c r="CW303" i="1"/>
  <c r="CV303" i="1"/>
  <c r="CU303" i="1"/>
  <c r="CY302" i="1"/>
  <c r="CX302" i="1"/>
  <c r="CW302" i="1"/>
  <c r="CV302" i="1"/>
  <c r="CU302" i="1"/>
  <c r="CY301" i="1"/>
  <c r="CX301" i="1"/>
  <c r="CW301" i="1"/>
  <c r="CV301" i="1"/>
  <c r="CU301" i="1"/>
  <c r="CY300" i="1"/>
  <c r="CX300" i="1"/>
  <c r="CW300" i="1"/>
  <c r="CV300" i="1"/>
  <c r="CU300" i="1"/>
  <c r="CY299" i="1"/>
  <c r="CX299" i="1"/>
  <c r="CW299" i="1"/>
  <c r="CV299" i="1"/>
  <c r="CU299" i="1"/>
  <c r="CY298" i="1"/>
  <c r="CX298" i="1"/>
  <c r="CW298" i="1"/>
  <c r="CV298" i="1"/>
  <c r="CU298" i="1"/>
  <c r="CY297" i="1"/>
  <c r="CX297" i="1"/>
  <c r="CW297" i="1"/>
  <c r="CV297" i="1"/>
  <c r="CU297" i="1"/>
  <c r="CY296" i="1"/>
  <c r="CX296" i="1"/>
  <c r="CW296" i="1"/>
  <c r="CV296" i="1"/>
  <c r="CU296" i="1"/>
  <c r="CY295" i="1"/>
  <c r="CX295" i="1"/>
  <c r="CW295" i="1"/>
  <c r="CV295" i="1"/>
  <c r="CU295" i="1"/>
  <c r="CR305" i="1"/>
  <c r="CQ305" i="1"/>
  <c r="CO305" i="1"/>
  <c r="CS304" i="1"/>
  <c r="CR304" i="1"/>
  <c r="CQ304" i="1"/>
  <c r="CP304" i="1"/>
  <c r="CO304" i="1"/>
  <c r="CS303" i="1"/>
  <c r="CR303" i="1"/>
  <c r="CQ303" i="1"/>
  <c r="CP303" i="1"/>
  <c r="CO303" i="1"/>
  <c r="CS302" i="1"/>
  <c r="CR302" i="1"/>
  <c r="CQ302" i="1"/>
  <c r="CP302" i="1"/>
  <c r="CO302" i="1"/>
  <c r="CS301" i="1"/>
  <c r="CR301" i="1"/>
  <c r="CQ301" i="1"/>
  <c r="CP301" i="1"/>
  <c r="CO301" i="1"/>
  <c r="CS300" i="1"/>
  <c r="CR300" i="1"/>
  <c r="CQ300" i="1"/>
  <c r="CP300" i="1"/>
  <c r="CO300" i="1"/>
  <c r="CS299" i="1"/>
  <c r="CR299" i="1"/>
  <c r="CQ299" i="1"/>
  <c r="CP299" i="1"/>
  <c r="CO299" i="1"/>
  <c r="CS298" i="1"/>
  <c r="CR298" i="1"/>
  <c r="CQ298" i="1"/>
  <c r="CP298" i="1"/>
  <c r="CO298" i="1"/>
  <c r="CS297" i="1"/>
  <c r="CR297" i="1"/>
  <c r="CQ297" i="1"/>
  <c r="CP297" i="1"/>
  <c r="CO297" i="1"/>
  <c r="CS296" i="1"/>
  <c r="CR296" i="1"/>
  <c r="CQ296" i="1"/>
  <c r="CP296" i="1"/>
  <c r="CO296" i="1"/>
  <c r="CS295" i="1"/>
  <c r="CR295" i="1"/>
  <c r="CQ295" i="1"/>
  <c r="CP295" i="1"/>
  <c r="CO295" i="1"/>
  <c r="CM304" i="1"/>
  <c r="CL304" i="1"/>
  <c r="CK304" i="1"/>
  <c r="CJ304" i="1"/>
  <c r="CI304" i="1"/>
  <c r="CM303" i="1"/>
  <c r="CL303" i="1"/>
  <c r="CK303" i="1"/>
  <c r="CJ303" i="1"/>
  <c r="CI303" i="1"/>
  <c r="CM302" i="1"/>
  <c r="CL302" i="1"/>
  <c r="CK302" i="1"/>
  <c r="CJ302" i="1"/>
  <c r="CI302" i="1"/>
  <c r="CM301" i="1"/>
  <c r="CL301" i="1"/>
  <c r="CK301" i="1"/>
  <c r="CJ301" i="1"/>
  <c r="CI301" i="1"/>
  <c r="CM300" i="1"/>
  <c r="CL300" i="1"/>
  <c r="CK300" i="1"/>
  <c r="CJ300" i="1"/>
  <c r="CI300" i="1"/>
  <c r="CM299" i="1"/>
  <c r="CL299" i="1"/>
  <c r="CK299" i="1"/>
  <c r="CJ299" i="1"/>
  <c r="CI299" i="1"/>
  <c r="CL298" i="1"/>
  <c r="CK298" i="1"/>
  <c r="CJ298" i="1"/>
  <c r="CI298" i="1"/>
  <c r="CL297" i="1"/>
  <c r="CK297" i="1"/>
  <c r="CJ297" i="1"/>
  <c r="CI297" i="1"/>
  <c r="CM296" i="1"/>
  <c r="CL296" i="1"/>
  <c r="CK296" i="1"/>
  <c r="CJ296" i="1"/>
  <c r="CI296" i="1"/>
  <c r="CM295" i="1"/>
  <c r="CL295" i="1"/>
  <c r="CK295" i="1"/>
  <c r="CJ295" i="1"/>
  <c r="CI295" i="1"/>
  <c r="CG304" i="1"/>
  <c r="CF304" i="1"/>
  <c r="CE304" i="1"/>
  <c r="CD304" i="1"/>
  <c r="CC304" i="1"/>
  <c r="CG303" i="1"/>
  <c r="CF303" i="1"/>
  <c r="CE303" i="1"/>
  <c r="CD303" i="1"/>
  <c r="CC303" i="1"/>
  <c r="CG302" i="1"/>
  <c r="CF302" i="1"/>
  <c r="CE302" i="1"/>
  <c r="CD302" i="1"/>
  <c r="CC302" i="1"/>
  <c r="CG301" i="1"/>
  <c r="CF301" i="1"/>
  <c r="CE301" i="1"/>
  <c r="CD301" i="1"/>
  <c r="CC301" i="1"/>
  <c r="CG300" i="1"/>
  <c r="CF300" i="1"/>
  <c r="CE300" i="1"/>
  <c r="CD300" i="1"/>
  <c r="CC300" i="1"/>
  <c r="CG299" i="1"/>
  <c r="CF299" i="1"/>
  <c r="CE299" i="1"/>
  <c r="CD299" i="1"/>
  <c r="CC299" i="1"/>
  <c r="CF298" i="1"/>
  <c r="CE298" i="1"/>
  <c r="CD298" i="1"/>
  <c r="CC298" i="1"/>
  <c r="CF297" i="1"/>
  <c r="CE297" i="1"/>
  <c r="CD297" i="1"/>
  <c r="CC297" i="1"/>
  <c r="CG296" i="1"/>
  <c r="CF296" i="1"/>
  <c r="CE296" i="1"/>
  <c r="CD296" i="1"/>
  <c r="CC296" i="1"/>
  <c r="CG295" i="1"/>
  <c r="CF295" i="1"/>
  <c r="CE295" i="1"/>
  <c r="CD295" i="1"/>
  <c r="CC295" i="1"/>
  <c r="CA304" i="1"/>
  <c r="BZ304" i="1"/>
  <c r="BY304" i="1"/>
  <c r="BX304" i="1"/>
  <c r="BW304" i="1"/>
  <c r="CA303" i="1"/>
  <c r="BZ303" i="1"/>
  <c r="BY303" i="1"/>
  <c r="BX303" i="1"/>
  <c r="BW303" i="1"/>
  <c r="CA302" i="1"/>
  <c r="BZ302" i="1"/>
  <c r="BY302" i="1"/>
  <c r="BX302" i="1"/>
  <c r="BW302" i="1"/>
  <c r="CA301" i="1"/>
  <c r="BZ301" i="1"/>
  <c r="BY301" i="1"/>
  <c r="BX301" i="1"/>
  <c r="BW301" i="1"/>
  <c r="CA300" i="1"/>
  <c r="BZ300" i="1"/>
  <c r="BY300" i="1"/>
  <c r="BX300" i="1"/>
  <c r="BW300" i="1"/>
  <c r="CA299" i="1"/>
  <c r="BZ299" i="1"/>
  <c r="BY299" i="1"/>
  <c r="BX299" i="1"/>
  <c r="BW299" i="1"/>
  <c r="BZ297" i="1"/>
  <c r="BY297" i="1"/>
  <c r="BX297" i="1"/>
  <c r="BW297" i="1"/>
  <c r="BZ295" i="1"/>
  <c r="BY295" i="1"/>
  <c r="BX295" i="1"/>
  <c r="BW295" i="1"/>
  <c r="BU304" i="1"/>
  <c r="BT304" i="1"/>
  <c r="BS304" i="1"/>
  <c r="BR304" i="1"/>
  <c r="BQ304" i="1"/>
  <c r="BU303" i="1"/>
  <c r="BT303" i="1"/>
  <c r="BS303" i="1"/>
  <c r="BR303" i="1"/>
  <c r="BQ303" i="1"/>
  <c r="BU302" i="1"/>
  <c r="BT302" i="1"/>
  <c r="BS302" i="1"/>
  <c r="BR302" i="1"/>
  <c r="BQ302" i="1"/>
  <c r="BU301" i="1"/>
  <c r="BT301" i="1"/>
  <c r="BS301" i="1"/>
  <c r="BR301" i="1"/>
  <c r="BQ301" i="1"/>
  <c r="BU300" i="1"/>
  <c r="BT300" i="1"/>
  <c r="BS300" i="1"/>
  <c r="BR300" i="1"/>
  <c r="BQ300" i="1"/>
  <c r="BU299" i="1"/>
  <c r="BT299" i="1"/>
  <c r="BS299" i="1"/>
  <c r="BR299" i="1"/>
  <c r="BQ299" i="1"/>
  <c r="BT297" i="1"/>
  <c r="BS297" i="1"/>
  <c r="BR297" i="1"/>
  <c r="BQ297" i="1"/>
  <c r="BT295" i="1"/>
  <c r="BS295" i="1"/>
  <c r="BR295" i="1"/>
  <c r="BQ295" i="1"/>
  <c r="BO304" i="1"/>
  <c r="BN304" i="1"/>
  <c r="BM304" i="1"/>
  <c r="BL304" i="1"/>
  <c r="BK304" i="1"/>
  <c r="BO303" i="1"/>
  <c r="BN303" i="1"/>
  <c r="BM303" i="1"/>
  <c r="BL303" i="1"/>
  <c r="BK303" i="1"/>
  <c r="BO302" i="1"/>
  <c r="BN302" i="1"/>
  <c r="BM302" i="1"/>
  <c r="BL302" i="1"/>
  <c r="BK302" i="1"/>
  <c r="BO301" i="1"/>
  <c r="BN301" i="1"/>
  <c r="BM301" i="1"/>
  <c r="BL301" i="1"/>
  <c r="BK301" i="1"/>
  <c r="BO300" i="1"/>
  <c r="BN300" i="1"/>
  <c r="BM300" i="1"/>
  <c r="BL300" i="1"/>
  <c r="BK300" i="1"/>
  <c r="BO299" i="1"/>
  <c r="BN299" i="1"/>
  <c r="BM299" i="1"/>
  <c r="BL299" i="1"/>
  <c r="BK299" i="1"/>
  <c r="BN297" i="1"/>
  <c r="BM297" i="1"/>
  <c r="BL297" i="1"/>
  <c r="BK297" i="1"/>
  <c r="BN295" i="1"/>
  <c r="BM295" i="1"/>
  <c r="BL295" i="1"/>
  <c r="BK295" i="1"/>
  <c r="BI304" i="1"/>
  <c r="BH304" i="1"/>
  <c r="BG304" i="1"/>
  <c r="BF304" i="1"/>
  <c r="BE304" i="1"/>
  <c r="BI303" i="1"/>
  <c r="BH303" i="1"/>
  <c r="BG303" i="1"/>
  <c r="BF303" i="1"/>
  <c r="BE303" i="1"/>
  <c r="BI302" i="1"/>
  <c r="BH302" i="1"/>
  <c r="BG302" i="1"/>
  <c r="BF302" i="1"/>
  <c r="BE302" i="1"/>
  <c r="BI301" i="1"/>
  <c r="BH301" i="1"/>
  <c r="BG301" i="1"/>
  <c r="BF301" i="1"/>
  <c r="BE301" i="1"/>
  <c r="BI300" i="1"/>
  <c r="BH300" i="1"/>
  <c r="BG300" i="1"/>
  <c r="BF300" i="1"/>
  <c r="BE300" i="1"/>
  <c r="BI299" i="1"/>
  <c r="BH299" i="1"/>
  <c r="BG299" i="1"/>
  <c r="BF299" i="1"/>
  <c r="BE299" i="1"/>
  <c r="BH297" i="1"/>
  <c r="BG297" i="1"/>
  <c r="BF297" i="1"/>
  <c r="BE297" i="1"/>
  <c r="BH295" i="1"/>
  <c r="BG295" i="1"/>
  <c r="BF295" i="1"/>
  <c r="BE295" i="1"/>
  <c r="BB297" i="1"/>
  <c r="BA297" i="1"/>
  <c r="AZ297" i="1"/>
  <c r="AY297" i="1"/>
  <c r="BB295" i="1"/>
  <c r="BA295" i="1"/>
  <c r="AZ295" i="1"/>
  <c r="AY295" i="1"/>
  <c r="AV295" i="1"/>
  <c r="AU295" i="1"/>
  <c r="AT295" i="1"/>
  <c r="AS295" i="1"/>
  <c r="AP295" i="1"/>
  <c r="AO295" i="1"/>
  <c r="AN295" i="1"/>
  <c r="AM295" i="1"/>
  <c r="AK296" i="1"/>
  <c r="AJ295" i="1"/>
  <c r="AK295" i="1" s="1"/>
  <c r="AI295" i="1"/>
  <c r="AH295" i="1"/>
  <c r="AG295" i="1"/>
  <c r="AD295" i="1"/>
  <c r="AE295" i="1" s="1"/>
  <c r="AC295" i="1"/>
  <c r="AB295" i="1"/>
  <c r="AA295" i="1"/>
  <c r="X295" i="1"/>
  <c r="Y295" i="1" s="1"/>
  <c r="W295" i="1"/>
  <c r="V295" i="1"/>
  <c r="U295" i="1"/>
  <c r="R295" i="1"/>
  <c r="S295" i="1" s="1"/>
  <c r="Q295" i="1"/>
  <c r="P295" i="1"/>
  <c r="O295" i="1"/>
  <c r="M295" i="1"/>
  <c r="L295" i="1"/>
  <c r="K295" i="1"/>
  <c r="J295" i="1"/>
  <c r="I295" i="1"/>
  <c r="G295" i="1"/>
  <c r="F295" i="1"/>
  <c r="E295" i="1"/>
  <c r="D295" i="1"/>
  <c r="C295" i="1"/>
  <c r="CL291" i="1"/>
  <c r="CG291" i="1"/>
  <c r="CF291" i="1"/>
  <c r="BZ291" i="1"/>
  <c r="BY291" i="1"/>
  <c r="BX291" i="1"/>
  <c r="BW291" i="1"/>
  <c r="BT291" i="1"/>
  <c r="BN291" i="1"/>
  <c r="BH291" i="1"/>
  <c r="BE291" i="1"/>
  <c r="BE206" i="2" s="1"/>
  <c r="BB291" i="1"/>
  <c r="BA291" i="1"/>
  <c r="AZ291" i="1"/>
  <c r="AY291" i="1"/>
  <c r="AY206" i="2" s="1"/>
  <c r="AV291" i="1"/>
  <c r="AU291" i="1"/>
  <c r="AT291" i="1"/>
  <c r="AS291" i="1"/>
  <c r="AS206" i="2" s="1"/>
  <c r="AP291" i="1"/>
  <c r="AO291" i="1"/>
  <c r="AN291" i="1"/>
  <c r="AM291" i="1"/>
  <c r="AJ291" i="1"/>
  <c r="AI291" i="1"/>
  <c r="AH291" i="1"/>
  <c r="AG291" i="1"/>
  <c r="AD291" i="1"/>
  <c r="AC291" i="1"/>
  <c r="AB291" i="1"/>
  <c r="AA291" i="1"/>
  <c r="X291" i="1"/>
  <c r="W291" i="1"/>
  <c r="V291" i="1"/>
  <c r="U291" i="1"/>
  <c r="Q291" i="1"/>
  <c r="P291" i="1"/>
  <c r="O291" i="1"/>
  <c r="AJ288" i="1"/>
  <c r="AI288" i="1"/>
  <c r="AH288" i="1"/>
  <c r="AG288" i="1"/>
  <c r="L289" i="1"/>
  <c r="M289" i="1" s="1"/>
  <c r="K289" i="1"/>
  <c r="J289" i="1"/>
  <c r="I289" i="1"/>
  <c r="L288" i="1"/>
  <c r="K288" i="1"/>
  <c r="J288" i="1"/>
  <c r="I288" i="1"/>
  <c r="F289" i="1"/>
  <c r="G289" i="1" s="1"/>
  <c r="E289" i="1"/>
  <c r="D289" i="1"/>
  <c r="C289" i="1"/>
  <c r="F288" i="1"/>
  <c r="E288" i="1"/>
  <c r="D288" i="1"/>
  <c r="C288" i="1"/>
  <c r="AL287" i="1"/>
  <c r="AK287" i="1"/>
  <c r="AJ287" i="1"/>
  <c r="AI287" i="1"/>
  <c r="AH287" i="1"/>
  <c r="AG287" i="1"/>
  <c r="AV288" i="1"/>
  <c r="AU288" i="1"/>
  <c r="AT288" i="1"/>
  <c r="AS288" i="1"/>
  <c r="AW287" i="1"/>
  <c r="AV287" i="1"/>
  <c r="AU287" i="1"/>
  <c r="AT287" i="1"/>
  <c r="AS287" i="1"/>
  <c r="AV284" i="1"/>
  <c r="AU284" i="1"/>
  <c r="AT284" i="1"/>
  <c r="AS284" i="1"/>
  <c r="AW283" i="1"/>
  <c r="AV283" i="1"/>
  <c r="AU283" i="1"/>
  <c r="AT283" i="1"/>
  <c r="AS283" i="1"/>
  <c r="AV282" i="1"/>
  <c r="AW282" i="1" s="1"/>
  <c r="AU282" i="1"/>
  <c r="AT282" i="1"/>
  <c r="AS282" i="1"/>
  <c r="AP288" i="1"/>
  <c r="AO288" i="1"/>
  <c r="AN288" i="1"/>
  <c r="AM288" i="1"/>
  <c r="AQ287" i="1"/>
  <c r="AP287" i="1"/>
  <c r="AO287" i="1"/>
  <c r="AN287" i="1"/>
  <c r="AM287" i="1"/>
  <c r="AP284" i="1"/>
  <c r="AO284" i="1"/>
  <c r="AN284" i="1"/>
  <c r="AM284" i="1"/>
  <c r="AQ283" i="1"/>
  <c r="AP283" i="1"/>
  <c r="AO283" i="1"/>
  <c r="AN283" i="1"/>
  <c r="AM283" i="1"/>
  <c r="AP282" i="1"/>
  <c r="AQ282" i="1" s="1"/>
  <c r="AO282" i="1"/>
  <c r="AN282" i="1"/>
  <c r="AM282" i="1"/>
  <c r="AJ284" i="1"/>
  <c r="AI284" i="1"/>
  <c r="AH284" i="1"/>
  <c r="AG284" i="1"/>
  <c r="AJ283" i="1"/>
  <c r="AI283" i="1"/>
  <c r="AH283" i="1"/>
  <c r="AG283" i="1"/>
  <c r="AJ282" i="1"/>
  <c r="AK282" i="1" s="1"/>
  <c r="AI282" i="1"/>
  <c r="AH282" i="1"/>
  <c r="AG282" i="1"/>
  <c r="AD288" i="1"/>
  <c r="AC288" i="1"/>
  <c r="AB288" i="1"/>
  <c r="AA288" i="1"/>
  <c r="AE287" i="1"/>
  <c r="AD287" i="1"/>
  <c r="AC287" i="1"/>
  <c r="AB287" i="1"/>
  <c r="AA287" i="1"/>
  <c r="AD284" i="1"/>
  <c r="AC284" i="1"/>
  <c r="AB284" i="1"/>
  <c r="AA284" i="1"/>
  <c r="AD283" i="1"/>
  <c r="AC283" i="1"/>
  <c r="AB283" i="1"/>
  <c r="AA283" i="1"/>
  <c r="AD282" i="1"/>
  <c r="AE282" i="1" s="1"/>
  <c r="AC282" i="1"/>
  <c r="AB282" i="1"/>
  <c r="AA282" i="1"/>
  <c r="X288" i="1"/>
  <c r="W288" i="1"/>
  <c r="V288" i="1"/>
  <c r="U288" i="1"/>
  <c r="Y287" i="1"/>
  <c r="X287" i="1"/>
  <c r="W287" i="1"/>
  <c r="V287" i="1"/>
  <c r="U287" i="1"/>
  <c r="X284" i="1"/>
  <c r="W284" i="1"/>
  <c r="V284" i="1"/>
  <c r="U284" i="1"/>
  <c r="R288" i="1"/>
  <c r="Q288" i="1"/>
  <c r="P288" i="1"/>
  <c r="O288" i="1"/>
  <c r="S287" i="1"/>
  <c r="R287" i="1"/>
  <c r="Q287" i="1"/>
  <c r="P287" i="1"/>
  <c r="O287" i="1"/>
  <c r="R284" i="1"/>
  <c r="Q284" i="1"/>
  <c r="P284" i="1"/>
  <c r="O284" i="1"/>
  <c r="M285" i="1"/>
  <c r="L285" i="1"/>
  <c r="K285" i="1"/>
  <c r="J285" i="1"/>
  <c r="I285" i="1"/>
  <c r="L284" i="1"/>
  <c r="K284" i="1"/>
  <c r="J284" i="1"/>
  <c r="I284" i="1"/>
  <c r="I286" i="1" s="1"/>
  <c r="G285" i="1"/>
  <c r="F285" i="1"/>
  <c r="E285" i="1"/>
  <c r="D285" i="1"/>
  <c r="C285" i="1"/>
  <c r="F284" i="1"/>
  <c r="F286" i="1" s="1"/>
  <c r="E284" i="1"/>
  <c r="D284" i="1"/>
  <c r="D286" i="1" s="1"/>
  <c r="C284" i="1"/>
  <c r="EO287" i="1"/>
  <c r="EN287" i="1"/>
  <c r="EM287" i="1"/>
  <c r="EL287" i="1"/>
  <c r="EK287" i="1"/>
  <c r="EI287" i="1"/>
  <c r="EH287" i="1"/>
  <c r="EG287" i="1"/>
  <c r="EF287" i="1"/>
  <c r="EE287" i="1"/>
  <c r="DY288" i="1"/>
  <c r="EC287" i="1"/>
  <c r="EB287" i="1"/>
  <c r="EA287" i="1"/>
  <c r="DZ287" i="1"/>
  <c r="DY287" i="1"/>
  <c r="DY284" i="1"/>
  <c r="DY283" i="1"/>
  <c r="DY282" i="1"/>
  <c r="DV288" i="1"/>
  <c r="DU288" i="1"/>
  <c r="DT288" i="1"/>
  <c r="DS288" i="1"/>
  <c r="DW287" i="1"/>
  <c r="DV287" i="1"/>
  <c r="DU287" i="1"/>
  <c r="DT287" i="1"/>
  <c r="DS287" i="1"/>
  <c r="DV285" i="1"/>
  <c r="DV284" i="1"/>
  <c r="DU284" i="1"/>
  <c r="DT284" i="1"/>
  <c r="DS284" i="1"/>
  <c r="DW283" i="1"/>
  <c r="DV283" i="1"/>
  <c r="DU283" i="1"/>
  <c r="DT283" i="1"/>
  <c r="DS283" i="1"/>
  <c r="DV282" i="1"/>
  <c r="DW282" i="1" s="1"/>
  <c r="DU282" i="1"/>
  <c r="DT282" i="1"/>
  <c r="DS282" i="1"/>
  <c r="DP288" i="1"/>
  <c r="DO288" i="1"/>
  <c r="DN288" i="1"/>
  <c r="DM288" i="1"/>
  <c r="DQ287" i="1"/>
  <c r="DP287" i="1"/>
  <c r="DO287" i="1"/>
  <c r="DN287" i="1"/>
  <c r="DM287" i="1"/>
  <c r="DP284" i="1"/>
  <c r="DO284" i="1"/>
  <c r="DN284" i="1"/>
  <c r="DM284" i="1"/>
  <c r="DP283" i="1"/>
  <c r="DO283" i="1"/>
  <c r="DN283" i="1"/>
  <c r="DM283" i="1"/>
  <c r="DN282" i="1"/>
  <c r="DM282" i="1"/>
  <c r="DJ288" i="1"/>
  <c r="DI288" i="1"/>
  <c r="DH288" i="1"/>
  <c r="DG288" i="1"/>
  <c r="DK287" i="1"/>
  <c r="DJ287" i="1"/>
  <c r="DI287" i="1"/>
  <c r="DH287" i="1"/>
  <c r="DG287" i="1"/>
  <c r="DJ284" i="1"/>
  <c r="DI284" i="1"/>
  <c r="DH284" i="1"/>
  <c r="DG284" i="1"/>
  <c r="DJ283" i="1"/>
  <c r="DI283" i="1"/>
  <c r="DH283" i="1"/>
  <c r="DG283" i="1"/>
  <c r="DJ282" i="1"/>
  <c r="DK282" i="1" s="1"/>
  <c r="DI282" i="1"/>
  <c r="DH282" i="1"/>
  <c r="DG282" i="1"/>
  <c r="DD288" i="1"/>
  <c r="DC288" i="1"/>
  <c r="DB288" i="1"/>
  <c r="DA288" i="1"/>
  <c r="DE287" i="1"/>
  <c r="DD287" i="1"/>
  <c r="DC287" i="1"/>
  <c r="DB287" i="1"/>
  <c r="DA287" i="1"/>
  <c r="DD284" i="1"/>
  <c r="DC284" i="1"/>
  <c r="DB284" i="1"/>
  <c r="DA284" i="1"/>
  <c r="DD283" i="1"/>
  <c r="DC283" i="1"/>
  <c r="DB283" i="1"/>
  <c r="DA283" i="1"/>
  <c r="DD282" i="1"/>
  <c r="DE282" i="1" s="1"/>
  <c r="DB282" i="1"/>
  <c r="DA282" i="1"/>
  <c r="CX288" i="1"/>
  <c r="CW288" i="1"/>
  <c r="CV288" i="1"/>
  <c r="CU288" i="1"/>
  <c r="CY287" i="1"/>
  <c r="CX287" i="1"/>
  <c r="CW287" i="1"/>
  <c r="CV287" i="1"/>
  <c r="CU287" i="1"/>
  <c r="CX284" i="1"/>
  <c r="CW284" i="1"/>
  <c r="CV284" i="1"/>
  <c r="CU284" i="1"/>
  <c r="CY283" i="1"/>
  <c r="CX283" i="1"/>
  <c r="CW283" i="1"/>
  <c r="CV283" i="1"/>
  <c r="CU283" i="1"/>
  <c r="CX282" i="1"/>
  <c r="CY282" i="1" s="1"/>
  <c r="CW282" i="1"/>
  <c r="CV282" i="1"/>
  <c r="CU282" i="1"/>
  <c r="CR288" i="1"/>
  <c r="CQ288" i="1"/>
  <c r="CP288" i="1"/>
  <c r="CO288" i="1"/>
  <c r="CS287" i="1"/>
  <c r="CR287" i="1"/>
  <c r="CQ287" i="1"/>
  <c r="CP287" i="1"/>
  <c r="CO287" i="1"/>
  <c r="CR284" i="1"/>
  <c r="CQ284" i="1"/>
  <c r="CP284" i="1"/>
  <c r="CO284" i="1"/>
  <c r="CR283" i="1"/>
  <c r="CQ283" i="1"/>
  <c r="CP283" i="1"/>
  <c r="CO283" i="1"/>
  <c r="CQ282" i="1"/>
  <c r="CP282" i="1"/>
  <c r="CO282" i="1"/>
  <c r="CL288" i="1"/>
  <c r="CK288" i="1"/>
  <c r="CJ288" i="1"/>
  <c r="CI288" i="1"/>
  <c r="CM287" i="1"/>
  <c r="CL287" i="1"/>
  <c r="CK287" i="1"/>
  <c r="CJ287" i="1"/>
  <c r="CI287" i="1"/>
  <c r="CL284" i="1"/>
  <c r="CK284" i="1"/>
  <c r="CJ284" i="1"/>
  <c r="CI284" i="1"/>
  <c r="CM283" i="1"/>
  <c r="CL283" i="1"/>
  <c r="CK283" i="1"/>
  <c r="CJ283" i="1"/>
  <c r="CI283" i="1"/>
  <c r="CK282" i="1"/>
  <c r="CI282" i="1"/>
  <c r="CF288" i="1"/>
  <c r="CE288" i="1"/>
  <c r="CD288" i="1"/>
  <c r="CC288" i="1"/>
  <c r="CG287" i="1"/>
  <c r="CF287" i="1"/>
  <c r="CE287" i="1"/>
  <c r="CD287" i="1"/>
  <c r="CC287" i="1"/>
  <c r="CF284" i="1"/>
  <c r="CE284" i="1"/>
  <c r="CD284" i="1"/>
  <c r="CC284" i="1"/>
  <c r="CG283" i="1"/>
  <c r="CF283" i="1"/>
  <c r="CE283" i="1"/>
  <c r="CD283" i="1"/>
  <c r="CC283" i="1"/>
  <c r="CF282" i="1"/>
  <c r="CG282" i="1" s="1"/>
  <c r="CE282" i="1"/>
  <c r="CD282" i="1"/>
  <c r="CC282" i="1"/>
  <c r="BZ288" i="1"/>
  <c r="BY288" i="1"/>
  <c r="BX288" i="1"/>
  <c r="BW288" i="1"/>
  <c r="CA287" i="1"/>
  <c r="BZ287" i="1"/>
  <c r="BY287" i="1"/>
  <c r="BX287" i="1"/>
  <c r="BW287" i="1"/>
  <c r="BZ284" i="1"/>
  <c r="BY284" i="1"/>
  <c r="BX284" i="1"/>
  <c r="BW284" i="1"/>
  <c r="BZ283" i="1"/>
  <c r="BY283" i="1"/>
  <c r="BX283" i="1"/>
  <c r="BW283" i="1"/>
  <c r="BZ282" i="1"/>
  <c r="CA282" i="1" s="1"/>
  <c r="BY282" i="1"/>
  <c r="BX282" i="1"/>
  <c r="BW282" i="1"/>
  <c r="BT288" i="1"/>
  <c r="BS288" i="1"/>
  <c r="BR288" i="1"/>
  <c r="BQ288" i="1"/>
  <c r="BU287" i="1"/>
  <c r="BT287" i="1"/>
  <c r="BS287" i="1"/>
  <c r="BR287" i="1"/>
  <c r="BQ287" i="1"/>
  <c r="BT284" i="1"/>
  <c r="BS284" i="1"/>
  <c r="BR284" i="1"/>
  <c r="BQ284" i="1"/>
  <c r="BU283" i="1"/>
  <c r="BT283" i="1"/>
  <c r="BS283" i="1"/>
  <c r="BR283" i="1"/>
  <c r="BQ283" i="1"/>
  <c r="BT282" i="1"/>
  <c r="BU282" i="1" s="1"/>
  <c r="BS282" i="1"/>
  <c r="BR282" i="1"/>
  <c r="BQ282" i="1"/>
  <c r="BL288" i="1"/>
  <c r="BK288" i="1"/>
  <c r="BO287" i="1"/>
  <c r="BN287" i="1"/>
  <c r="BM287" i="1"/>
  <c r="BL287" i="1"/>
  <c r="BK287" i="1"/>
  <c r="BL284" i="1"/>
  <c r="BK284" i="1"/>
  <c r="BO283" i="1"/>
  <c r="BN283" i="1"/>
  <c r="BM283" i="1"/>
  <c r="BL283" i="1"/>
  <c r="BK283" i="1"/>
  <c r="BN282" i="1"/>
  <c r="BO282" i="1" s="1"/>
  <c r="BM282" i="1"/>
  <c r="BK282" i="1"/>
  <c r="BF288" i="1"/>
  <c r="BE288" i="1"/>
  <c r="BF287" i="1"/>
  <c r="BE287" i="1"/>
  <c r="BF284" i="1"/>
  <c r="BE284" i="1"/>
  <c r="BG283" i="1"/>
  <c r="BF283" i="1"/>
  <c r="BE283" i="1"/>
  <c r="BH282" i="1"/>
  <c r="BI282" i="1" s="1"/>
  <c r="BG282" i="1"/>
  <c r="BF282" i="1"/>
  <c r="BE282" i="1"/>
  <c r="AZ288" i="1"/>
  <c r="AY288" i="1"/>
  <c r="AZ287" i="1"/>
  <c r="AY287" i="1"/>
  <c r="AZ284" i="1"/>
  <c r="AY284" i="1"/>
  <c r="AZ283" i="1"/>
  <c r="AY283" i="1"/>
  <c r="BB282" i="1"/>
  <c r="BC282" i="1" s="1"/>
  <c r="BA282" i="1"/>
  <c r="AZ282" i="1"/>
  <c r="AY282" i="1"/>
  <c r="Y283" i="1"/>
  <c r="S283" i="1"/>
  <c r="S282" i="1"/>
  <c r="M283" i="1"/>
  <c r="G283" i="1"/>
  <c r="X282" i="1"/>
  <c r="Y282" i="1" s="1"/>
  <c r="W282" i="1"/>
  <c r="V282" i="1"/>
  <c r="U282" i="1"/>
  <c r="R282" i="1"/>
  <c r="Q282" i="1"/>
  <c r="P282" i="1"/>
  <c r="O282" i="1"/>
  <c r="L282" i="1"/>
  <c r="K282" i="1"/>
  <c r="J282" i="1"/>
  <c r="I282" i="1"/>
  <c r="F282" i="1"/>
  <c r="E282" i="1"/>
  <c r="D282" i="1"/>
  <c r="C282" i="1"/>
  <c r="DY279" i="1"/>
  <c r="DY278" i="1"/>
  <c r="DV280" i="1"/>
  <c r="DU280" i="1"/>
  <c r="DV310" i="1" s="1"/>
  <c r="DT280" i="1"/>
  <c r="DU310" i="1" s="1"/>
  <c r="DS280" i="1"/>
  <c r="DT310" i="1" s="1"/>
  <c r="DV279" i="1"/>
  <c r="DW279" i="1" s="1"/>
  <c r="DU279" i="1"/>
  <c r="DT279" i="1"/>
  <c r="DS279" i="1"/>
  <c r="DV278" i="1"/>
  <c r="DW278" i="1" s="1"/>
  <c r="DU278" i="1"/>
  <c r="DT278" i="1"/>
  <c r="DS278" i="1"/>
  <c r="DP280" i="1"/>
  <c r="DS310" i="1" s="1"/>
  <c r="DO280" i="1"/>
  <c r="DP310" i="1" s="1"/>
  <c r="DN280" i="1"/>
  <c r="DO310" i="1" s="1"/>
  <c r="DM280" i="1"/>
  <c r="DN310" i="1" s="1"/>
  <c r="DP279" i="1"/>
  <c r="DQ279" i="1" s="1"/>
  <c r="DO279" i="1"/>
  <c r="DN279" i="1"/>
  <c r="DM279" i="1"/>
  <c r="DP278" i="1"/>
  <c r="DQ278" i="1" s="1"/>
  <c r="DO278" i="1"/>
  <c r="DN278" i="1"/>
  <c r="DM278" i="1"/>
  <c r="DJ280" i="1"/>
  <c r="DI280" i="1"/>
  <c r="DJ310" i="1" s="1"/>
  <c r="DH280" i="1"/>
  <c r="DI310" i="1" s="1"/>
  <c r="DG280" i="1"/>
  <c r="DH310" i="1" s="1"/>
  <c r="DI311" i="1" s="1"/>
  <c r="DJ279" i="1"/>
  <c r="DK279" i="1" s="1"/>
  <c r="DI279" i="1"/>
  <c r="DH279" i="1"/>
  <c r="DG279" i="1"/>
  <c r="DJ278" i="1"/>
  <c r="DK278" i="1" s="1"/>
  <c r="DI278" i="1"/>
  <c r="DH278" i="1"/>
  <c r="DG278" i="1"/>
  <c r="DD280" i="1"/>
  <c r="DG310" i="1" s="1"/>
  <c r="DC280" i="1"/>
  <c r="DD310" i="1" s="1"/>
  <c r="DG311" i="1" s="1"/>
  <c r="DB280" i="1"/>
  <c r="DC310" i="1" s="1"/>
  <c r="DA280" i="1"/>
  <c r="DB310" i="1" s="1"/>
  <c r="DC311" i="1" s="1"/>
  <c r="DD279" i="1"/>
  <c r="DE279" i="1" s="1"/>
  <c r="DC279" i="1"/>
  <c r="DB279" i="1"/>
  <c r="DA279" i="1"/>
  <c r="DD278" i="1"/>
  <c r="DE278" i="1" s="1"/>
  <c r="DC278" i="1"/>
  <c r="DB278" i="1"/>
  <c r="DA278" i="1"/>
  <c r="CX280" i="1"/>
  <c r="CW280" i="1"/>
  <c r="CX310" i="1" s="1"/>
  <c r="DA311" i="1" s="1"/>
  <c r="CV280" i="1"/>
  <c r="CW310" i="1" s="1"/>
  <c r="CX311" i="1" s="1"/>
  <c r="CU280" i="1"/>
  <c r="CV310" i="1" s="1"/>
  <c r="CW311" i="1" s="1"/>
  <c r="CX279" i="1"/>
  <c r="CY279" i="1" s="1"/>
  <c r="CW279" i="1"/>
  <c r="CV279" i="1"/>
  <c r="CU279" i="1"/>
  <c r="CX278" i="1"/>
  <c r="CY278" i="1" s="1"/>
  <c r="CW278" i="1"/>
  <c r="CV278" i="1"/>
  <c r="CU278" i="1"/>
  <c r="CR280" i="1"/>
  <c r="CS280" i="1" s="1"/>
  <c r="CQ280" i="1"/>
  <c r="CR310" i="1" s="1"/>
  <c r="CP280" i="1"/>
  <c r="CQ310" i="1" s="1"/>
  <c r="CO280" i="1"/>
  <c r="CP310" i="1" s="1"/>
  <c r="CR279" i="1"/>
  <c r="CS279" i="1" s="1"/>
  <c r="CQ279" i="1"/>
  <c r="CP279" i="1"/>
  <c r="CO279" i="1"/>
  <c r="CR278" i="1"/>
  <c r="CS278" i="1" s="1"/>
  <c r="CQ278" i="1"/>
  <c r="CP278" i="1"/>
  <c r="CO278" i="1"/>
  <c r="CL280" i="1"/>
  <c r="CK280" i="1"/>
  <c r="CL310" i="1" s="1"/>
  <c r="CJ280" i="1"/>
  <c r="CK310" i="1" s="1"/>
  <c r="CI280" i="1"/>
  <c r="CJ310" i="1" s="1"/>
  <c r="CL279" i="1"/>
  <c r="CM279" i="1" s="1"/>
  <c r="CK279" i="1"/>
  <c r="CJ279" i="1"/>
  <c r="CI279" i="1"/>
  <c r="CL278" i="1"/>
  <c r="CM278" i="1" s="1"/>
  <c r="CK278" i="1"/>
  <c r="CJ278" i="1"/>
  <c r="CI278" i="1"/>
  <c r="CF280" i="1"/>
  <c r="CI310" i="1" s="1"/>
  <c r="CE280" i="1"/>
  <c r="CF310" i="1" s="1"/>
  <c r="CD280" i="1"/>
  <c r="CE310" i="1" s="1"/>
  <c r="CC280" i="1"/>
  <c r="CD310" i="1" s="1"/>
  <c r="CF279" i="1"/>
  <c r="CG279" i="1" s="1"/>
  <c r="CE279" i="1"/>
  <c r="CD279" i="1"/>
  <c r="CC279" i="1"/>
  <c r="CF278" i="1"/>
  <c r="CG278" i="1" s="1"/>
  <c r="CE278" i="1"/>
  <c r="CD278" i="1"/>
  <c r="CC278" i="1"/>
  <c r="BZ280" i="1"/>
  <c r="BY280" i="1"/>
  <c r="BZ310" i="1" s="1"/>
  <c r="BX280" i="1"/>
  <c r="BY310" i="1" s="1"/>
  <c r="BW280" i="1"/>
  <c r="BX310" i="1" s="1"/>
  <c r="BZ279" i="1"/>
  <c r="CA279" i="1" s="1"/>
  <c r="BY279" i="1"/>
  <c r="BX279" i="1"/>
  <c r="BW279" i="1"/>
  <c r="BZ278" i="1"/>
  <c r="CA278" i="1" s="1"/>
  <c r="BY278" i="1"/>
  <c r="BX278" i="1"/>
  <c r="BW278" i="1"/>
  <c r="BT280" i="1"/>
  <c r="BW310" i="1" s="1"/>
  <c r="BW314" i="1" s="1"/>
  <c r="BS280" i="1"/>
  <c r="BT310" i="1" s="1"/>
  <c r="BR280" i="1"/>
  <c r="BS310" i="1" s="1"/>
  <c r="BQ280" i="1"/>
  <c r="BR310" i="1" s="1"/>
  <c r="BT279" i="1"/>
  <c r="BU279" i="1" s="1"/>
  <c r="BS279" i="1"/>
  <c r="BR279" i="1"/>
  <c r="BQ279" i="1"/>
  <c r="BT278" i="1"/>
  <c r="BU278" i="1" s="1"/>
  <c r="BS278" i="1"/>
  <c r="BR278" i="1"/>
  <c r="BQ278" i="1"/>
  <c r="BN280" i="1"/>
  <c r="BO280" i="1" s="1"/>
  <c r="BM280" i="1"/>
  <c r="BN310" i="1" s="1"/>
  <c r="BL280" i="1"/>
  <c r="BM310" i="1" s="1"/>
  <c r="BK280" i="1"/>
  <c r="BL310" i="1" s="1"/>
  <c r="BN279" i="1"/>
  <c r="BO279" i="1" s="1"/>
  <c r="BM279" i="1"/>
  <c r="BL279" i="1"/>
  <c r="BK279" i="1"/>
  <c r="BN278" i="1"/>
  <c r="BO278" i="1" s="1"/>
  <c r="BM278" i="1"/>
  <c r="BL278" i="1"/>
  <c r="BK278" i="1"/>
  <c r="BH280" i="1"/>
  <c r="BK310" i="1" s="1"/>
  <c r="BG280" i="1"/>
  <c r="BH310" i="1" s="1"/>
  <c r="BF280" i="1"/>
  <c r="BG310" i="1" s="1"/>
  <c r="BE280" i="1"/>
  <c r="BF310" i="1" s="1"/>
  <c r="BH279" i="1"/>
  <c r="BI279" i="1" s="1"/>
  <c r="BG279" i="1"/>
  <c r="BF279" i="1"/>
  <c r="BE279" i="1"/>
  <c r="BH278" i="1"/>
  <c r="BI278" i="1" s="1"/>
  <c r="BG278" i="1"/>
  <c r="BF278" i="1"/>
  <c r="BE278" i="1"/>
  <c r="BB280" i="1"/>
  <c r="BA280" i="1"/>
  <c r="BB310" i="1" s="1"/>
  <c r="AZ280" i="1"/>
  <c r="BA310" i="1" s="1"/>
  <c r="AY280" i="1"/>
  <c r="AZ310" i="1" s="1"/>
  <c r="BB279" i="1"/>
  <c r="BC279" i="1" s="1"/>
  <c r="BA279" i="1"/>
  <c r="AZ279" i="1"/>
  <c r="AY279" i="1"/>
  <c r="BB278" i="1"/>
  <c r="BC278" i="1" s="1"/>
  <c r="BA278" i="1"/>
  <c r="AZ278" i="1"/>
  <c r="AY278" i="1"/>
  <c r="AV280" i="1"/>
  <c r="AY310" i="1" s="1"/>
  <c r="AU280" i="1"/>
  <c r="AV310" i="1" s="1"/>
  <c r="AT280" i="1"/>
  <c r="AU310" i="1" s="1"/>
  <c r="AS280" i="1"/>
  <c r="AT310" i="1" s="1"/>
  <c r="AV279" i="1"/>
  <c r="AW279" i="1" s="1"/>
  <c r="AU279" i="1"/>
  <c r="AT279" i="1"/>
  <c r="AS279" i="1"/>
  <c r="AV278" i="1"/>
  <c r="AW278" i="1" s="1"/>
  <c r="AU278" i="1"/>
  <c r="AT278" i="1"/>
  <c r="AS278" i="1"/>
  <c r="AP280" i="1"/>
  <c r="AO280" i="1"/>
  <c r="AP310" i="1" s="1"/>
  <c r="AN280" i="1"/>
  <c r="AO310" i="1" s="1"/>
  <c r="AM280" i="1"/>
  <c r="AN310" i="1" s="1"/>
  <c r="AP279" i="1"/>
  <c r="AQ279" i="1" s="1"/>
  <c r="AO279" i="1"/>
  <c r="AN279" i="1"/>
  <c r="AM279" i="1"/>
  <c r="AP278" i="1"/>
  <c r="AQ278" i="1" s="1"/>
  <c r="AO278" i="1"/>
  <c r="AN278" i="1"/>
  <c r="AM278" i="1"/>
  <c r="AJ280" i="1"/>
  <c r="AM310" i="1" s="1"/>
  <c r="AI280" i="1"/>
  <c r="AH280" i="1"/>
  <c r="AG280" i="1"/>
  <c r="AJ279" i="1"/>
  <c r="AK279" i="1" s="1"/>
  <c r="AI279" i="1"/>
  <c r="AH279" i="1"/>
  <c r="AG279" i="1"/>
  <c r="AJ278" i="1"/>
  <c r="AK278" i="1" s="1"/>
  <c r="AI278" i="1"/>
  <c r="AH278" i="1"/>
  <c r="AG278" i="1"/>
  <c r="AD280" i="1"/>
  <c r="AE280" i="1" s="1"/>
  <c r="AC280" i="1"/>
  <c r="AB280" i="1"/>
  <c r="AA280" i="1"/>
  <c r="AD279" i="1"/>
  <c r="AE279" i="1" s="1"/>
  <c r="AC279" i="1"/>
  <c r="AB279" i="1"/>
  <c r="AA279" i="1"/>
  <c r="AD278" i="1"/>
  <c r="AE278" i="1" s="1"/>
  <c r="AC278" i="1"/>
  <c r="AB278" i="1"/>
  <c r="AA278" i="1"/>
  <c r="X280" i="1"/>
  <c r="Y280" i="1" s="1"/>
  <c r="W280" i="1"/>
  <c r="V280" i="1"/>
  <c r="U280" i="1"/>
  <c r="X279" i="1"/>
  <c r="Y279" i="1" s="1"/>
  <c r="W279" i="1"/>
  <c r="V279" i="1"/>
  <c r="U279" i="1"/>
  <c r="X278" i="1"/>
  <c r="Y278" i="1" s="1"/>
  <c r="W278" i="1"/>
  <c r="V278" i="1"/>
  <c r="U278" i="1"/>
  <c r="R280" i="1"/>
  <c r="S280" i="1" s="1"/>
  <c r="Q280" i="1"/>
  <c r="P280" i="1"/>
  <c r="O280" i="1"/>
  <c r="R279" i="1"/>
  <c r="Q279" i="1"/>
  <c r="P279" i="1"/>
  <c r="O279" i="1"/>
  <c r="R278" i="1"/>
  <c r="S278" i="1" s="1"/>
  <c r="Q278" i="1"/>
  <c r="P278" i="1"/>
  <c r="O278" i="1"/>
  <c r="L280" i="1"/>
  <c r="M280" i="1" s="1"/>
  <c r="K280" i="1"/>
  <c r="J280" i="1"/>
  <c r="I280" i="1"/>
  <c r="M279" i="1"/>
  <c r="L279" i="1"/>
  <c r="K279" i="1"/>
  <c r="J279" i="1"/>
  <c r="I279" i="1"/>
  <c r="L278" i="1"/>
  <c r="M278" i="1" s="1"/>
  <c r="K278" i="1"/>
  <c r="J278" i="1"/>
  <c r="I278" i="1"/>
  <c r="F280" i="1"/>
  <c r="G280" i="1" s="1"/>
  <c r="E280" i="1"/>
  <c r="D280" i="1"/>
  <c r="C280" i="1"/>
  <c r="G279" i="1"/>
  <c r="F279" i="1"/>
  <c r="E279" i="1"/>
  <c r="D279" i="1"/>
  <c r="C279" i="1"/>
  <c r="F278" i="1"/>
  <c r="G278" i="1" s="1"/>
  <c r="E278" i="1"/>
  <c r="D278" i="1"/>
  <c r="C278" i="1"/>
  <c r="CX276" i="1"/>
  <c r="CW276" i="1"/>
  <c r="CV276" i="1"/>
  <c r="CU276" i="1"/>
  <c r="CR276" i="1"/>
  <c r="CQ276" i="1"/>
  <c r="CP276" i="1"/>
  <c r="CO276" i="1"/>
  <c r="CL276" i="1"/>
  <c r="CK276" i="1"/>
  <c r="CJ276" i="1"/>
  <c r="CI276" i="1"/>
  <c r="CF276" i="1"/>
  <c r="CE276" i="1"/>
  <c r="CD276" i="1"/>
  <c r="CC276" i="1"/>
  <c r="BZ276" i="1"/>
  <c r="BY276" i="1"/>
  <c r="BX276" i="1"/>
  <c r="BT276" i="1"/>
  <c r="BS276" i="1"/>
  <c r="BR276" i="1"/>
  <c r="BQ276" i="1"/>
  <c r="BN276" i="1"/>
  <c r="BM276" i="1"/>
  <c r="BL276" i="1"/>
  <c r="BK276" i="1"/>
  <c r="BH276" i="1"/>
  <c r="BG276" i="1"/>
  <c r="BF276" i="1"/>
  <c r="BE276" i="1"/>
  <c r="BB276" i="1"/>
  <c r="BA276" i="1"/>
  <c r="AZ276" i="1"/>
  <c r="AY276" i="1"/>
  <c r="AV276" i="1"/>
  <c r="AU276" i="1"/>
  <c r="AT276" i="1"/>
  <c r="AS276" i="1"/>
  <c r="AP276" i="1"/>
  <c r="AO276" i="1"/>
  <c r="AN276" i="1"/>
  <c r="AM276" i="1"/>
  <c r="AJ276" i="1"/>
  <c r="AI276" i="1"/>
  <c r="AH276" i="1"/>
  <c r="AG276" i="1"/>
  <c r="R267" i="1"/>
  <c r="AP267" i="1"/>
  <c r="AO267" i="1"/>
  <c r="AN267" i="1"/>
  <c r="AM267" i="1"/>
  <c r="AJ267" i="1"/>
  <c r="AI267" i="1"/>
  <c r="AH267" i="1"/>
  <c r="AG267" i="1"/>
  <c r="AD267" i="1"/>
  <c r="AC267" i="1"/>
  <c r="AB267" i="1"/>
  <c r="AA267" i="1"/>
  <c r="X267" i="1"/>
  <c r="W267" i="1"/>
  <c r="V267" i="1"/>
  <c r="U267" i="1"/>
  <c r="Q267" i="1"/>
  <c r="P267" i="1"/>
  <c r="O267" i="1"/>
  <c r="L269" i="1"/>
  <c r="K269" i="1"/>
  <c r="J269" i="1"/>
  <c r="I269" i="1"/>
  <c r="L267" i="1"/>
  <c r="K267" i="1"/>
  <c r="J267" i="1"/>
  <c r="I267" i="1"/>
  <c r="DV260" i="1"/>
  <c r="DU260" i="1"/>
  <c r="DT260" i="1"/>
  <c r="DS260" i="1"/>
  <c r="DP260" i="1"/>
  <c r="DO260" i="1"/>
  <c r="DN260" i="1"/>
  <c r="DM260" i="1"/>
  <c r="DJ260" i="1"/>
  <c r="DC260" i="1"/>
  <c r="DB260" i="1"/>
  <c r="DA260" i="1"/>
  <c r="CX260" i="1"/>
  <c r="CW260" i="1"/>
  <c r="CV260" i="1"/>
  <c r="CU260" i="1"/>
  <c r="CR260" i="1"/>
  <c r="CQ260" i="1"/>
  <c r="CP260" i="1"/>
  <c r="CO260" i="1"/>
  <c r="CL260" i="1"/>
  <c r="CK260" i="1"/>
  <c r="CJ260" i="1"/>
  <c r="CI260" i="1"/>
  <c r="CF260" i="1"/>
  <c r="CE260" i="1"/>
  <c r="CD260" i="1"/>
  <c r="CC260" i="1"/>
  <c r="BZ260" i="1"/>
  <c r="BY260" i="1"/>
  <c r="BX260" i="1"/>
  <c r="BW260" i="1"/>
  <c r="BT260" i="1"/>
  <c r="BS260" i="1"/>
  <c r="BR260" i="1"/>
  <c r="BQ260" i="1"/>
  <c r="BN260" i="1"/>
  <c r="BM260" i="1"/>
  <c r="BL260" i="1"/>
  <c r="BK260" i="1"/>
  <c r="BH260" i="1"/>
  <c r="BG260" i="1"/>
  <c r="BF260" i="1"/>
  <c r="BE260" i="1"/>
  <c r="BB260" i="1"/>
  <c r="BA260" i="1"/>
  <c r="AZ260" i="1"/>
  <c r="AY260" i="1"/>
  <c r="AV267" i="1"/>
  <c r="AU267" i="1"/>
  <c r="AT267" i="1"/>
  <c r="AS267" i="1"/>
  <c r="AV260" i="1"/>
  <c r="AU260" i="1"/>
  <c r="AT260" i="1"/>
  <c r="AS260" i="1"/>
  <c r="AP260" i="1"/>
  <c r="AO260" i="1"/>
  <c r="AN260" i="1"/>
  <c r="AM260" i="1"/>
  <c r="AJ260" i="1"/>
  <c r="AI260" i="1"/>
  <c r="AH260" i="1"/>
  <c r="AG260" i="1"/>
  <c r="AD262" i="1"/>
  <c r="AC262" i="1"/>
  <c r="AB262" i="1"/>
  <c r="AA262" i="1"/>
  <c r="AD261" i="1"/>
  <c r="AD84" i="2" s="1"/>
  <c r="AE84" i="2" s="1"/>
  <c r="AC261" i="1"/>
  <c r="AC84" i="2" s="1"/>
  <c r="AB261" i="1"/>
  <c r="AB84" i="2" s="1"/>
  <c r="AA261" i="1"/>
  <c r="AA84" i="2" s="1"/>
  <c r="AD260" i="1"/>
  <c r="AC260" i="1"/>
  <c r="AB260" i="1"/>
  <c r="AA260" i="1"/>
  <c r="X262" i="1"/>
  <c r="W262" i="1"/>
  <c r="V262" i="1"/>
  <c r="U262" i="1"/>
  <c r="X261" i="1"/>
  <c r="W261" i="1"/>
  <c r="W84" i="2" s="1"/>
  <c r="V261" i="1"/>
  <c r="V119" i="2" s="1"/>
  <c r="U261" i="1"/>
  <c r="U84" i="2" s="1"/>
  <c r="X260" i="1"/>
  <c r="W260" i="1"/>
  <c r="V260" i="1"/>
  <c r="U260" i="1"/>
  <c r="R262" i="1"/>
  <c r="Q262" i="1"/>
  <c r="P262" i="1"/>
  <c r="O262" i="1"/>
  <c r="R261" i="1"/>
  <c r="R84" i="2" s="1"/>
  <c r="S84" i="2" s="1"/>
  <c r="Q261" i="1"/>
  <c r="Q96" i="2" s="1"/>
  <c r="P261" i="1"/>
  <c r="P96" i="2" s="1"/>
  <c r="O261" i="1"/>
  <c r="O96" i="2" s="1"/>
  <c r="R260" i="1"/>
  <c r="Q260" i="1"/>
  <c r="P260" i="1"/>
  <c r="O260" i="1"/>
  <c r="L262" i="1"/>
  <c r="K262" i="1"/>
  <c r="J262" i="1"/>
  <c r="I262" i="1"/>
  <c r="L261" i="1"/>
  <c r="K261" i="1"/>
  <c r="J261" i="1"/>
  <c r="I261" i="1"/>
  <c r="L260" i="1"/>
  <c r="K260" i="1"/>
  <c r="J260" i="1"/>
  <c r="I260" i="1"/>
  <c r="AK258" i="1"/>
  <c r="AE246" i="1"/>
  <c r="AD246" i="1"/>
  <c r="AC246" i="1"/>
  <c r="AB246" i="1"/>
  <c r="AA246" i="1"/>
  <c r="AE245" i="1"/>
  <c r="AD245" i="1"/>
  <c r="AC245" i="1"/>
  <c r="AB245" i="1"/>
  <c r="AA245" i="1"/>
  <c r="AE244" i="1"/>
  <c r="AD244" i="1"/>
  <c r="AC244" i="1"/>
  <c r="AB244" i="1"/>
  <c r="AA244" i="1"/>
  <c r="AE243" i="1"/>
  <c r="AD243" i="1"/>
  <c r="AC243" i="1"/>
  <c r="AB243" i="1"/>
  <c r="AA243" i="1"/>
  <c r="AE242" i="1"/>
  <c r="AD242" i="1"/>
  <c r="AC242" i="1"/>
  <c r="AB242" i="1"/>
  <c r="AA242" i="1"/>
  <c r="X246" i="1"/>
  <c r="W246" i="1"/>
  <c r="V246" i="1"/>
  <c r="U246" i="1"/>
  <c r="X245" i="1"/>
  <c r="W245" i="1"/>
  <c r="V245" i="1"/>
  <c r="U245" i="1"/>
  <c r="X244" i="1"/>
  <c r="W244" i="1"/>
  <c r="V244" i="1"/>
  <c r="U244" i="1"/>
  <c r="X243" i="1"/>
  <c r="W243" i="1"/>
  <c r="V243" i="1"/>
  <c r="U243" i="1"/>
  <c r="X242" i="1"/>
  <c r="W242" i="1"/>
  <c r="V242" i="1"/>
  <c r="U242" i="1"/>
  <c r="R246" i="1"/>
  <c r="Q246" i="1"/>
  <c r="P246" i="1"/>
  <c r="O246" i="1"/>
  <c r="R245" i="1"/>
  <c r="Q245" i="1"/>
  <c r="P245" i="1"/>
  <c r="O245" i="1"/>
  <c r="R244" i="1"/>
  <c r="Q244" i="1"/>
  <c r="P244" i="1"/>
  <c r="O244" i="1"/>
  <c r="R243" i="1"/>
  <c r="Q243" i="1"/>
  <c r="P243" i="1"/>
  <c r="O243" i="1"/>
  <c r="R242" i="1"/>
  <c r="Q242" i="1"/>
  <c r="P242" i="1"/>
  <c r="O242" i="1"/>
  <c r="M246" i="1"/>
  <c r="L246" i="1"/>
  <c r="K246" i="1"/>
  <c r="J246" i="1"/>
  <c r="I246" i="1"/>
  <c r="M245" i="1"/>
  <c r="L245" i="1"/>
  <c r="K245" i="1"/>
  <c r="J245" i="1"/>
  <c r="I245" i="1"/>
  <c r="M244" i="1"/>
  <c r="L244" i="1"/>
  <c r="K244" i="1"/>
  <c r="J244" i="1"/>
  <c r="I244" i="1"/>
  <c r="M243" i="1"/>
  <c r="L243" i="1"/>
  <c r="K243" i="1"/>
  <c r="J243" i="1"/>
  <c r="I243" i="1"/>
  <c r="M242" i="1"/>
  <c r="L242" i="1"/>
  <c r="K242" i="1"/>
  <c r="J242" i="1"/>
  <c r="I242" i="1"/>
  <c r="G246" i="1"/>
  <c r="F246" i="1"/>
  <c r="E246" i="1"/>
  <c r="D246" i="1"/>
  <c r="C246" i="1"/>
  <c r="G245" i="1"/>
  <c r="F245" i="1"/>
  <c r="E245" i="1"/>
  <c r="D245" i="1"/>
  <c r="C245" i="1"/>
  <c r="G244" i="1"/>
  <c r="F244" i="1"/>
  <c r="E244" i="1"/>
  <c r="D244" i="1"/>
  <c r="C244" i="1"/>
  <c r="G243" i="1"/>
  <c r="F243" i="1"/>
  <c r="E243" i="1"/>
  <c r="D243" i="1"/>
  <c r="C243" i="1"/>
  <c r="G242" i="1"/>
  <c r="F242" i="1"/>
  <c r="E242" i="1"/>
  <c r="D242" i="1"/>
  <c r="C242" i="1"/>
  <c r="G240" i="1"/>
  <c r="F240" i="1"/>
  <c r="E240" i="1"/>
  <c r="D240" i="1"/>
  <c r="C240" i="1"/>
  <c r="AE240" i="1"/>
  <c r="AD240" i="1"/>
  <c r="AC240" i="1"/>
  <c r="AB240" i="1"/>
  <c r="AA240" i="1"/>
  <c r="AE239" i="1"/>
  <c r="AD239" i="1"/>
  <c r="AC239" i="1"/>
  <c r="AB239" i="1"/>
  <c r="AA239" i="1"/>
  <c r="AE238" i="1"/>
  <c r="AD238" i="1"/>
  <c r="AC238" i="1"/>
  <c r="AB238" i="1"/>
  <c r="AA238" i="1"/>
  <c r="X240" i="1"/>
  <c r="W240" i="1"/>
  <c r="V240" i="1"/>
  <c r="U240" i="1"/>
  <c r="X239" i="1"/>
  <c r="W239" i="1"/>
  <c r="V239" i="1"/>
  <c r="U239" i="1"/>
  <c r="X238" i="1"/>
  <c r="W238" i="1"/>
  <c r="V238" i="1"/>
  <c r="U238" i="1"/>
  <c r="R240" i="1"/>
  <c r="Q240" i="1"/>
  <c r="P240" i="1"/>
  <c r="O240" i="1"/>
  <c r="R239" i="1"/>
  <c r="Q239" i="1"/>
  <c r="P239" i="1"/>
  <c r="O239" i="1"/>
  <c r="R238" i="1"/>
  <c r="Q238" i="1"/>
  <c r="P238" i="1"/>
  <c r="O238" i="1"/>
  <c r="M240" i="1"/>
  <c r="L240" i="1"/>
  <c r="K240" i="1"/>
  <c r="J240" i="1"/>
  <c r="I240" i="1"/>
  <c r="M239" i="1"/>
  <c r="L239" i="1"/>
  <c r="K239" i="1"/>
  <c r="J239" i="1"/>
  <c r="I239" i="1"/>
  <c r="M238" i="1"/>
  <c r="L238" i="1"/>
  <c r="K238" i="1"/>
  <c r="J238" i="1"/>
  <c r="I238" i="1"/>
  <c r="G239" i="1"/>
  <c r="F239" i="1"/>
  <c r="E239" i="1"/>
  <c r="D239" i="1"/>
  <c r="G238" i="1"/>
  <c r="F238" i="1"/>
  <c r="E238" i="1"/>
  <c r="D238" i="1"/>
  <c r="CC227" i="1"/>
  <c r="BZ227" i="1"/>
  <c r="BY227" i="1"/>
  <c r="BX227" i="1"/>
  <c r="BQ227" i="1"/>
  <c r="BN227" i="1"/>
  <c r="BM227" i="1"/>
  <c r="BL227" i="1"/>
  <c r="BK227" i="1"/>
  <c r="BH227" i="1"/>
  <c r="BG227" i="1"/>
  <c r="BF227" i="1"/>
  <c r="BE227" i="1"/>
  <c r="BF226" i="1"/>
  <c r="BB227" i="1"/>
  <c r="BA227" i="1"/>
  <c r="AZ227" i="1"/>
  <c r="AY227" i="1"/>
  <c r="BA226" i="1"/>
  <c r="AV230" i="1"/>
  <c r="AU230" i="1"/>
  <c r="AT230" i="1"/>
  <c r="AS230" i="1"/>
  <c r="AV229" i="1"/>
  <c r="AU229" i="1"/>
  <c r="AT229" i="1"/>
  <c r="AS229" i="1"/>
  <c r="AV228" i="1"/>
  <c r="AU228" i="1"/>
  <c r="AT228" i="1"/>
  <c r="AS228" i="1"/>
  <c r="AV227" i="1"/>
  <c r="AU227" i="1"/>
  <c r="AT227" i="1"/>
  <c r="AS227" i="1"/>
  <c r="AV226" i="1"/>
  <c r="AU226" i="1"/>
  <c r="AT226" i="1"/>
  <c r="AS226" i="1"/>
  <c r="AP230" i="1"/>
  <c r="AO230" i="1"/>
  <c r="AN230" i="1"/>
  <c r="AM230" i="1"/>
  <c r="AP229" i="1"/>
  <c r="AO229" i="1"/>
  <c r="AN229" i="1"/>
  <c r="AM229" i="1"/>
  <c r="AP228" i="1"/>
  <c r="AO228" i="1"/>
  <c r="AN228" i="1"/>
  <c r="AM228" i="1"/>
  <c r="AP227" i="1"/>
  <c r="AO227" i="1"/>
  <c r="AN227" i="1"/>
  <c r="AM227" i="1"/>
  <c r="AP226" i="1"/>
  <c r="AO226" i="1"/>
  <c r="AN226" i="1"/>
  <c r="AM226" i="1"/>
  <c r="AJ230" i="1"/>
  <c r="AI230" i="1"/>
  <c r="AH230" i="1"/>
  <c r="AG230" i="1"/>
  <c r="AJ229" i="1"/>
  <c r="AI229" i="1"/>
  <c r="AH229" i="1"/>
  <c r="AG229" i="1"/>
  <c r="AJ228" i="1"/>
  <c r="AI228" i="1"/>
  <c r="AH228" i="1"/>
  <c r="AG228" i="1"/>
  <c r="AJ227" i="1"/>
  <c r="AI227" i="1"/>
  <c r="AH227" i="1"/>
  <c r="AG227" i="1"/>
  <c r="AJ226" i="1"/>
  <c r="AI226" i="1"/>
  <c r="AH226" i="1"/>
  <c r="AG226" i="1"/>
  <c r="AD230" i="1"/>
  <c r="AC230" i="1"/>
  <c r="AB230" i="1"/>
  <c r="AA230" i="1"/>
  <c r="AD229" i="1"/>
  <c r="AC229" i="1"/>
  <c r="AB229" i="1"/>
  <c r="AA229" i="1"/>
  <c r="AD228" i="1"/>
  <c r="AC228" i="1"/>
  <c r="AB228" i="1"/>
  <c r="AA228" i="1"/>
  <c r="AD227" i="1"/>
  <c r="AC227" i="1"/>
  <c r="AB227" i="1"/>
  <c r="AA227" i="1"/>
  <c r="AD226" i="1"/>
  <c r="AC226" i="1"/>
  <c r="AB226" i="1"/>
  <c r="AA226" i="1"/>
  <c r="X230" i="1"/>
  <c r="W230" i="1"/>
  <c r="V230" i="1"/>
  <c r="U230" i="1"/>
  <c r="X229" i="1"/>
  <c r="W229" i="1"/>
  <c r="V229" i="1"/>
  <c r="U229" i="1"/>
  <c r="X228" i="1"/>
  <c r="W228" i="1"/>
  <c r="V228" i="1"/>
  <c r="U228" i="1"/>
  <c r="X227" i="1"/>
  <c r="W227" i="1"/>
  <c r="V227" i="1"/>
  <c r="U227" i="1"/>
  <c r="X226" i="1"/>
  <c r="W226" i="1"/>
  <c r="V226" i="1"/>
  <c r="U226" i="1"/>
  <c r="R230" i="1"/>
  <c r="Q230" i="1"/>
  <c r="P230" i="1"/>
  <c r="O230" i="1"/>
  <c r="R229" i="1"/>
  <c r="Q229" i="1"/>
  <c r="P229" i="1"/>
  <c r="O229" i="1"/>
  <c r="R228" i="1"/>
  <c r="Q228" i="1"/>
  <c r="P228" i="1"/>
  <c r="O228" i="1"/>
  <c r="R227" i="1"/>
  <c r="Q227" i="1"/>
  <c r="P227" i="1"/>
  <c r="O227" i="1"/>
  <c r="R226" i="1"/>
  <c r="Q226" i="1"/>
  <c r="P226" i="1"/>
  <c r="O226" i="1"/>
  <c r="L230" i="1"/>
  <c r="K230" i="1"/>
  <c r="J230" i="1"/>
  <c r="I230" i="1"/>
  <c r="L229" i="1"/>
  <c r="K229" i="1"/>
  <c r="J229" i="1"/>
  <c r="I229" i="1"/>
  <c r="L228" i="1"/>
  <c r="K228" i="1"/>
  <c r="J228" i="1"/>
  <c r="I228" i="1"/>
  <c r="L227" i="1"/>
  <c r="K227" i="1"/>
  <c r="J227" i="1"/>
  <c r="I227" i="1"/>
  <c r="L226" i="1"/>
  <c r="K226" i="1"/>
  <c r="J226" i="1"/>
  <c r="I226" i="1"/>
  <c r="F230" i="1"/>
  <c r="E230" i="1"/>
  <c r="D230" i="1"/>
  <c r="F229" i="1"/>
  <c r="E229" i="1"/>
  <c r="D229" i="1"/>
  <c r="F228" i="1"/>
  <c r="E228" i="1"/>
  <c r="D228" i="1"/>
  <c r="F227" i="1"/>
  <c r="E227" i="1"/>
  <c r="D227" i="1"/>
  <c r="F226" i="1"/>
  <c r="E226" i="1"/>
  <c r="D226" i="1"/>
  <c r="DV223" i="1"/>
  <c r="DU223" i="1"/>
  <c r="DT223" i="1"/>
  <c r="DS223" i="1"/>
  <c r="DV222" i="1"/>
  <c r="DU222" i="1"/>
  <c r="DT222" i="1"/>
  <c r="DS222" i="1"/>
  <c r="DP223" i="1"/>
  <c r="DO223" i="1"/>
  <c r="DN223" i="1"/>
  <c r="DM223" i="1"/>
  <c r="DP222" i="1"/>
  <c r="DO222" i="1"/>
  <c r="DN222" i="1"/>
  <c r="DM222" i="1"/>
  <c r="DJ223" i="1"/>
  <c r="DI223" i="1"/>
  <c r="DH223" i="1"/>
  <c r="DG223" i="1"/>
  <c r="DJ222" i="1"/>
  <c r="DI222" i="1"/>
  <c r="DH222" i="1"/>
  <c r="DD223" i="1"/>
  <c r="DC223" i="1"/>
  <c r="DB223" i="1"/>
  <c r="DA223" i="1"/>
  <c r="DC222" i="1"/>
  <c r="DB222" i="1"/>
  <c r="DA222" i="1"/>
  <c r="CX223" i="1"/>
  <c r="CW223" i="1"/>
  <c r="CV223" i="1"/>
  <c r="CU223" i="1"/>
  <c r="CX222" i="1"/>
  <c r="CW222" i="1"/>
  <c r="CV222" i="1"/>
  <c r="CU222" i="1"/>
  <c r="CR223" i="1"/>
  <c r="CQ223" i="1"/>
  <c r="CP223" i="1"/>
  <c r="CO223" i="1"/>
  <c r="CR222" i="1"/>
  <c r="CQ222" i="1"/>
  <c r="CP222" i="1"/>
  <c r="CO222" i="1"/>
  <c r="CL223" i="1"/>
  <c r="CI223" i="1"/>
  <c r="CL222" i="1"/>
  <c r="CK222" i="1"/>
  <c r="CJ222" i="1"/>
  <c r="CI222" i="1"/>
  <c r="CF223" i="1"/>
  <c r="CE223" i="1"/>
  <c r="CD223" i="1"/>
  <c r="CC223" i="1"/>
  <c r="CF222" i="1"/>
  <c r="CE222" i="1"/>
  <c r="CD222" i="1"/>
  <c r="CC222" i="1"/>
  <c r="BZ223" i="1"/>
  <c r="BY223" i="1"/>
  <c r="BX223" i="1"/>
  <c r="BW223" i="1"/>
  <c r="BZ222" i="1"/>
  <c r="BY222" i="1"/>
  <c r="BX222" i="1"/>
  <c r="BW222" i="1"/>
  <c r="BT223" i="1"/>
  <c r="BS223" i="1"/>
  <c r="BR223" i="1"/>
  <c r="BQ223" i="1"/>
  <c r="BT222" i="1"/>
  <c r="BS222" i="1"/>
  <c r="BR222" i="1"/>
  <c r="BQ222" i="1"/>
  <c r="BN223" i="1"/>
  <c r="BM223" i="1"/>
  <c r="BL223" i="1"/>
  <c r="BK223" i="1"/>
  <c r="BN222" i="1"/>
  <c r="BM222" i="1"/>
  <c r="BL222" i="1"/>
  <c r="BK222" i="1"/>
  <c r="BH223" i="1"/>
  <c r="BG223" i="1"/>
  <c r="BF223" i="1"/>
  <c r="BE223" i="1"/>
  <c r="BH222" i="1"/>
  <c r="BG222" i="1"/>
  <c r="BF222" i="1"/>
  <c r="BE222" i="1"/>
  <c r="BB223" i="1"/>
  <c r="BA223" i="1"/>
  <c r="AZ223" i="1"/>
  <c r="AY223" i="1"/>
  <c r="BB222" i="1"/>
  <c r="BA222" i="1"/>
  <c r="AZ222" i="1"/>
  <c r="AY222" i="1"/>
  <c r="AV223" i="1"/>
  <c r="AU223" i="1"/>
  <c r="AT223" i="1"/>
  <c r="AS223" i="1"/>
  <c r="AV222" i="1"/>
  <c r="AU222" i="1"/>
  <c r="AT222" i="1"/>
  <c r="AS222" i="1"/>
  <c r="AP223" i="1"/>
  <c r="AO223" i="1"/>
  <c r="AN223" i="1"/>
  <c r="AM223" i="1"/>
  <c r="AP222" i="1"/>
  <c r="AO222" i="1"/>
  <c r="AN222" i="1"/>
  <c r="AM222" i="1"/>
  <c r="AJ223" i="1"/>
  <c r="AI223" i="1"/>
  <c r="AH223" i="1"/>
  <c r="AG223" i="1"/>
  <c r="AJ222" i="1"/>
  <c r="AI222" i="1"/>
  <c r="AH222" i="1"/>
  <c r="AG222" i="1"/>
  <c r="AD224" i="1"/>
  <c r="AC224" i="1"/>
  <c r="AB224" i="1"/>
  <c r="AA224" i="1"/>
  <c r="AD223" i="1"/>
  <c r="AC223" i="1"/>
  <c r="AB223" i="1"/>
  <c r="AA223" i="1"/>
  <c r="AD222" i="1"/>
  <c r="AC222" i="1"/>
  <c r="AB222" i="1"/>
  <c r="AA222" i="1"/>
  <c r="X224" i="1"/>
  <c r="W224" i="1"/>
  <c r="V224" i="1"/>
  <c r="U224" i="1"/>
  <c r="X223" i="1"/>
  <c r="W223" i="1"/>
  <c r="V223" i="1"/>
  <c r="U223" i="1"/>
  <c r="X222" i="1"/>
  <c r="W222" i="1"/>
  <c r="V222" i="1"/>
  <c r="U222" i="1"/>
  <c r="R224" i="1"/>
  <c r="Q224" i="1"/>
  <c r="P224" i="1"/>
  <c r="O224" i="1"/>
  <c r="R223" i="1"/>
  <c r="Q223" i="1"/>
  <c r="P223" i="1"/>
  <c r="O223" i="1"/>
  <c r="R222" i="1"/>
  <c r="Q222" i="1"/>
  <c r="P222" i="1"/>
  <c r="O222" i="1"/>
  <c r="L224" i="1"/>
  <c r="K224" i="1"/>
  <c r="J224" i="1"/>
  <c r="I224" i="1"/>
  <c r="L223" i="1"/>
  <c r="K223" i="1"/>
  <c r="J223" i="1"/>
  <c r="I223" i="1"/>
  <c r="L222" i="1"/>
  <c r="K222" i="1"/>
  <c r="J222" i="1"/>
  <c r="I222" i="1"/>
  <c r="F224" i="1"/>
  <c r="E224" i="1"/>
  <c r="D224" i="1"/>
  <c r="F223" i="1"/>
  <c r="E223" i="1"/>
  <c r="D223" i="1"/>
  <c r="F222" i="1"/>
  <c r="E222" i="1"/>
  <c r="D222" i="1"/>
  <c r="G214" i="1"/>
  <c r="G213" i="1"/>
  <c r="G212" i="1"/>
  <c r="G211" i="1"/>
  <c r="G210" i="1"/>
  <c r="CK211" i="1"/>
  <c r="CE211" i="1"/>
  <c r="CC211" i="1"/>
  <c r="BW211" i="1"/>
  <c r="BQ211" i="1"/>
  <c r="BN211" i="1"/>
  <c r="BM211" i="1"/>
  <c r="BL211" i="1"/>
  <c r="BK211" i="1"/>
  <c r="BH211" i="1"/>
  <c r="BG211" i="1"/>
  <c r="BF211" i="1"/>
  <c r="BE211" i="1"/>
  <c r="BF210" i="1"/>
  <c r="BB211" i="1"/>
  <c r="BA211" i="1"/>
  <c r="AZ211" i="1"/>
  <c r="AY211" i="1"/>
  <c r="BA210" i="1"/>
  <c r="AZ210" i="1"/>
  <c r="AV214" i="1"/>
  <c r="AU214" i="1"/>
  <c r="AT214" i="1"/>
  <c r="AS214" i="1"/>
  <c r="AV213" i="1"/>
  <c r="AU213" i="1"/>
  <c r="AT213" i="1"/>
  <c r="AS213" i="1"/>
  <c r="AV212" i="1"/>
  <c r="AU212" i="1"/>
  <c r="AT212" i="1"/>
  <c r="AS212" i="1"/>
  <c r="AV211" i="1"/>
  <c r="AU211" i="1"/>
  <c r="AT211" i="1"/>
  <c r="AS211" i="1"/>
  <c r="AV210" i="1"/>
  <c r="AU210" i="1"/>
  <c r="AT210" i="1"/>
  <c r="AS210" i="1"/>
  <c r="AP214" i="1"/>
  <c r="AO214" i="1"/>
  <c r="AN214" i="1"/>
  <c r="AM214" i="1"/>
  <c r="AP213" i="1"/>
  <c r="AO213" i="1"/>
  <c r="AN213" i="1"/>
  <c r="AM213" i="1"/>
  <c r="AP212" i="1"/>
  <c r="AO212" i="1"/>
  <c r="AN212" i="1"/>
  <c r="AM212" i="1"/>
  <c r="AP211" i="1"/>
  <c r="AO211" i="1"/>
  <c r="AN211" i="1"/>
  <c r="AM211" i="1"/>
  <c r="AP210" i="1"/>
  <c r="AO210" i="1"/>
  <c r="AN210" i="1"/>
  <c r="AM210" i="1"/>
  <c r="AJ214" i="1"/>
  <c r="AI214" i="1"/>
  <c r="AH214" i="1"/>
  <c r="AG214" i="1"/>
  <c r="AJ213" i="1"/>
  <c r="AI213" i="1"/>
  <c r="AH213" i="1"/>
  <c r="AG213" i="1"/>
  <c r="AJ212" i="1"/>
  <c r="AI212" i="1"/>
  <c r="AH212" i="1"/>
  <c r="AG212" i="1"/>
  <c r="AJ211" i="1"/>
  <c r="AI211" i="1"/>
  <c r="AH211" i="1"/>
  <c r="AG211" i="1"/>
  <c r="AJ210" i="1"/>
  <c r="AI210" i="1"/>
  <c r="AH210" i="1"/>
  <c r="AG210" i="1"/>
  <c r="AD214" i="1"/>
  <c r="AC214" i="1"/>
  <c r="AB214" i="1"/>
  <c r="AA214" i="1"/>
  <c r="AD213" i="1"/>
  <c r="AC213" i="1"/>
  <c r="AB213" i="1"/>
  <c r="AA213" i="1"/>
  <c r="AD212" i="1"/>
  <c r="AC212" i="1"/>
  <c r="AB212" i="1"/>
  <c r="AA212" i="1"/>
  <c r="AE211" i="1"/>
  <c r="AD211" i="1"/>
  <c r="AC211" i="1"/>
  <c r="AB211" i="1"/>
  <c r="AA211" i="1"/>
  <c r="AE210" i="1"/>
  <c r="AD210" i="1"/>
  <c r="AC210" i="1"/>
  <c r="AB210" i="1"/>
  <c r="AA210" i="1"/>
  <c r="X214" i="1"/>
  <c r="W214" i="1"/>
  <c r="V214" i="1"/>
  <c r="U214" i="1"/>
  <c r="X213" i="1"/>
  <c r="W213" i="1"/>
  <c r="V213" i="1"/>
  <c r="U213" i="1"/>
  <c r="X212" i="1"/>
  <c r="W212" i="1"/>
  <c r="V212" i="1"/>
  <c r="U212" i="1"/>
  <c r="Y211" i="1"/>
  <c r="X211" i="1"/>
  <c r="W211" i="1"/>
  <c r="V211" i="1"/>
  <c r="U211" i="1"/>
  <c r="Y210" i="1"/>
  <c r="X210" i="1"/>
  <c r="W210" i="1"/>
  <c r="V210" i="1"/>
  <c r="U210" i="1"/>
  <c r="R214" i="1"/>
  <c r="Q214" i="1"/>
  <c r="P214" i="1"/>
  <c r="O214" i="1"/>
  <c r="R213" i="1"/>
  <c r="Q213" i="1"/>
  <c r="P213" i="1"/>
  <c r="O213" i="1"/>
  <c r="R212" i="1"/>
  <c r="Q212" i="1"/>
  <c r="P212" i="1"/>
  <c r="O212" i="1"/>
  <c r="S211" i="1"/>
  <c r="R211" i="1"/>
  <c r="Q211" i="1"/>
  <c r="P211" i="1"/>
  <c r="O211" i="1"/>
  <c r="S210" i="1"/>
  <c r="R210" i="1"/>
  <c r="Q210" i="1"/>
  <c r="P210" i="1"/>
  <c r="O210" i="1"/>
  <c r="M214" i="1"/>
  <c r="L214" i="1"/>
  <c r="K214" i="1"/>
  <c r="J214" i="1"/>
  <c r="I214" i="1"/>
  <c r="M213" i="1"/>
  <c r="L213" i="1"/>
  <c r="K213" i="1"/>
  <c r="J213" i="1"/>
  <c r="I213" i="1"/>
  <c r="M212" i="1"/>
  <c r="L212" i="1"/>
  <c r="K212" i="1"/>
  <c r="J212" i="1"/>
  <c r="I212" i="1"/>
  <c r="M211" i="1"/>
  <c r="L211" i="1"/>
  <c r="K211" i="1"/>
  <c r="J211" i="1"/>
  <c r="I211" i="1"/>
  <c r="M210" i="1"/>
  <c r="L210" i="1"/>
  <c r="K210" i="1"/>
  <c r="J210" i="1"/>
  <c r="I210" i="1"/>
  <c r="G208" i="1"/>
  <c r="G207" i="1"/>
  <c r="G206" i="1"/>
  <c r="DV207" i="1"/>
  <c r="DU207" i="1"/>
  <c r="DT207" i="1"/>
  <c r="DS207" i="1"/>
  <c r="DV206" i="1"/>
  <c r="DU206" i="1"/>
  <c r="DT206" i="1"/>
  <c r="DS206" i="1"/>
  <c r="DP207" i="1"/>
  <c r="DO207" i="1"/>
  <c r="DN207" i="1"/>
  <c r="DM207" i="1"/>
  <c r="DP206" i="1"/>
  <c r="DO206" i="1"/>
  <c r="DN206" i="1"/>
  <c r="DM206" i="1"/>
  <c r="DJ207" i="1"/>
  <c r="DI207" i="1"/>
  <c r="DH207" i="1"/>
  <c r="DG207" i="1"/>
  <c r="DI206" i="1"/>
  <c r="DH206" i="1"/>
  <c r="DG206" i="1"/>
  <c r="DD207" i="1"/>
  <c r="DC207" i="1"/>
  <c r="DB207" i="1"/>
  <c r="DA207" i="1"/>
  <c r="DC206" i="1"/>
  <c r="DB206" i="1"/>
  <c r="DA206" i="1"/>
  <c r="CX207" i="1"/>
  <c r="CW207" i="1"/>
  <c r="CV207" i="1"/>
  <c r="CU207" i="1"/>
  <c r="CX206" i="1"/>
  <c r="CW206" i="1"/>
  <c r="CV206" i="1"/>
  <c r="CU206" i="1"/>
  <c r="CR207" i="1"/>
  <c r="CQ207" i="1"/>
  <c r="CO207" i="1"/>
  <c r="CR206" i="1"/>
  <c r="CQ206" i="1"/>
  <c r="CP206" i="1"/>
  <c r="CO206" i="1"/>
  <c r="CL207" i="1"/>
  <c r="CK207" i="1"/>
  <c r="CI207" i="1"/>
  <c r="CL206" i="1"/>
  <c r="CK206" i="1"/>
  <c r="CJ206" i="1"/>
  <c r="CI206" i="1"/>
  <c r="CF207" i="1"/>
  <c r="CE207" i="1"/>
  <c r="CD207" i="1"/>
  <c r="CC207" i="1"/>
  <c r="CF206" i="1"/>
  <c r="CE206" i="1"/>
  <c r="CD206" i="1"/>
  <c r="CC206" i="1"/>
  <c r="BZ207" i="1"/>
  <c r="BY207" i="1"/>
  <c r="BX207" i="1"/>
  <c r="BW207" i="1"/>
  <c r="BZ206" i="1"/>
  <c r="BY206" i="1"/>
  <c r="BX206" i="1"/>
  <c r="BW206" i="1"/>
  <c r="BT207" i="1"/>
  <c r="BS207" i="1"/>
  <c r="BR207" i="1"/>
  <c r="BQ207" i="1"/>
  <c r="BT206" i="1"/>
  <c r="BS206" i="1"/>
  <c r="BR206" i="1"/>
  <c r="BQ206" i="1"/>
  <c r="BN207" i="1"/>
  <c r="BM207" i="1"/>
  <c r="BL207" i="1"/>
  <c r="BK207" i="1"/>
  <c r="BN206" i="1"/>
  <c r="BM206" i="1"/>
  <c r="BL206" i="1"/>
  <c r="BK206" i="1"/>
  <c r="BH207" i="1"/>
  <c r="BG207" i="1"/>
  <c r="BF207" i="1"/>
  <c r="BE207" i="1"/>
  <c r="BH206" i="1"/>
  <c r="BG206" i="1"/>
  <c r="BF206" i="1"/>
  <c r="BE206" i="1"/>
  <c r="BB207" i="1"/>
  <c r="BA207" i="1"/>
  <c r="AZ207" i="1"/>
  <c r="AY207" i="1"/>
  <c r="BB206" i="1"/>
  <c r="BA206" i="1"/>
  <c r="AZ206" i="1"/>
  <c r="AY206" i="1"/>
  <c r="AV207" i="1"/>
  <c r="AU207" i="1"/>
  <c r="AT207" i="1"/>
  <c r="AS207" i="1"/>
  <c r="AV206" i="1"/>
  <c r="AU206" i="1"/>
  <c r="AT206" i="1"/>
  <c r="AS206" i="1"/>
  <c r="AP207" i="1"/>
  <c r="AO207" i="1"/>
  <c r="AN207" i="1"/>
  <c r="AM207" i="1"/>
  <c r="AP206" i="1"/>
  <c r="AO206" i="1"/>
  <c r="AN206" i="1"/>
  <c r="AM206" i="1"/>
  <c r="AJ207" i="1"/>
  <c r="AI207" i="1"/>
  <c r="AH207" i="1"/>
  <c r="AG207" i="1"/>
  <c r="AJ206" i="1"/>
  <c r="AI206" i="1"/>
  <c r="AH206" i="1"/>
  <c r="AG206" i="1"/>
  <c r="AD208" i="1"/>
  <c r="AC208" i="1"/>
  <c r="AB208" i="1"/>
  <c r="AA208" i="1"/>
  <c r="AE207" i="1"/>
  <c r="AD207" i="1"/>
  <c r="AC207" i="1"/>
  <c r="AB207" i="1"/>
  <c r="AA207" i="1"/>
  <c r="AE206" i="1"/>
  <c r="AD206" i="1"/>
  <c r="AC206" i="1"/>
  <c r="AB206" i="1"/>
  <c r="AA206" i="1"/>
  <c r="X208" i="1"/>
  <c r="W208" i="1"/>
  <c r="V208" i="1"/>
  <c r="U208" i="1"/>
  <c r="Y207" i="1"/>
  <c r="X207" i="1"/>
  <c r="W207" i="1"/>
  <c r="V207" i="1"/>
  <c r="U207" i="1"/>
  <c r="Y206" i="1"/>
  <c r="X206" i="1"/>
  <c r="W206" i="1"/>
  <c r="V206" i="1"/>
  <c r="U206" i="1"/>
  <c r="R208" i="1"/>
  <c r="Q208" i="1"/>
  <c r="P208" i="1"/>
  <c r="O208" i="1"/>
  <c r="S207" i="1"/>
  <c r="R207" i="1"/>
  <c r="Q207" i="1"/>
  <c r="P207" i="1"/>
  <c r="O207" i="1"/>
  <c r="S206" i="1"/>
  <c r="R206" i="1"/>
  <c r="Q206" i="1"/>
  <c r="P206" i="1"/>
  <c r="O206" i="1"/>
  <c r="M208" i="1"/>
  <c r="L208" i="1"/>
  <c r="K208" i="1"/>
  <c r="J208" i="1"/>
  <c r="I208" i="1"/>
  <c r="M207" i="1"/>
  <c r="L207" i="1"/>
  <c r="K207" i="1"/>
  <c r="J207" i="1"/>
  <c r="I207" i="1"/>
  <c r="M206" i="1"/>
  <c r="L206" i="1"/>
  <c r="K206" i="1"/>
  <c r="J206" i="1"/>
  <c r="I206" i="1"/>
  <c r="EO203" i="1"/>
  <c r="EN203" i="1"/>
  <c r="EM203" i="1"/>
  <c r="EL203" i="1"/>
  <c r="EK203" i="1"/>
  <c r="EI203" i="1"/>
  <c r="EH203" i="1"/>
  <c r="EG203" i="1"/>
  <c r="EF203" i="1"/>
  <c r="EE203" i="1"/>
  <c r="EC203" i="1"/>
  <c r="EB203" i="1"/>
  <c r="EA203" i="1"/>
  <c r="DZ203" i="1"/>
  <c r="DY203" i="1"/>
  <c r="DW203" i="1"/>
  <c r="DV203" i="1"/>
  <c r="DU203" i="1"/>
  <c r="DT203" i="1"/>
  <c r="DS203" i="1"/>
  <c r="DQ203" i="1"/>
  <c r="DP203" i="1"/>
  <c r="DO203" i="1"/>
  <c r="DN203" i="1"/>
  <c r="DM203" i="1"/>
  <c r="DK203" i="1"/>
  <c r="DJ203" i="1"/>
  <c r="DI203" i="1"/>
  <c r="DH203" i="1"/>
  <c r="DG203" i="1"/>
  <c r="DE203" i="1"/>
  <c r="DD203" i="1"/>
  <c r="DC203" i="1"/>
  <c r="DB203" i="1"/>
  <c r="DA203" i="1"/>
  <c r="CY203" i="1"/>
  <c r="CX203" i="1"/>
  <c r="CW203" i="1"/>
  <c r="CV203" i="1"/>
  <c r="CU203" i="1"/>
  <c r="CS203" i="1"/>
  <c r="CR203" i="1"/>
  <c r="CQ203" i="1"/>
  <c r="CP203" i="1"/>
  <c r="CO203" i="1"/>
  <c r="CM203" i="1"/>
  <c r="CL203" i="1"/>
  <c r="CK203" i="1"/>
  <c r="CJ203" i="1"/>
  <c r="CI203" i="1"/>
  <c r="CG203" i="1"/>
  <c r="CF203" i="1"/>
  <c r="CE203" i="1"/>
  <c r="CD203" i="1"/>
  <c r="CC203" i="1"/>
  <c r="CA203" i="1"/>
  <c r="BZ203" i="1"/>
  <c r="BY203" i="1"/>
  <c r="BX203" i="1"/>
  <c r="BW203" i="1"/>
  <c r="BU203" i="1"/>
  <c r="BT203" i="1"/>
  <c r="BS203" i="1"/>
  <c r="BR203" i="1"/>
  <c r="BQ203" i="1"/>
  <c r="BO203" i="1"/>
  <c r="BN203" i="1"/>
  <c r="BM203" i="1"/>
  <c r="BL203" i="1"/>
  <c r="BK203" i="1"/>
  <c r="BI203" i="1"/>
  <c r="BH203" i="1"/>
  <c r="BG203" i="1"/>
  <c r="BF203" i="1"/>
  <c r="BE203" i="1"/>
  <c r="BC203" i="1"/>
  <c r="BB203" i="1"/>
  <c r="BA203" i="1"/>
  <c r="AZ203" i="1"/>
  <c r="AY203" i="1"/>
  <c r="AW203" i="1"/>
  <c r="AV203" i="1"/>
  <c r="AU203" i="1"/>
  <c r="AT203" i="1"/>
  <c r="AS203" i="1"/>
  <c r="AQ203" i="1"/>
  <c r="AP203" i="1"/>
  <c r="AO203" i="1"/>
  <c r="AN203" i="1"/>
  <c r="AM203" i="1"/>
  <c r="AK203" i="1"/>
  <c r="AJ203" i="1"/>
  <c r="AI203" i="1"/>
  <c r="AH203" i="1"/>
  <c r="AG203" i="1"/>
  <c r="AE203" i="1"/>
  <c r="AD203" i="1"/>
  <c r="AC203" i="1"/>
  <c r="AB203" i="1"/>
  <c r="AA203" i="1"/>
  <c r="Y203" i="1"/>
  <c r="X203" i="1"/>
  <c r="W203" i="1"/>
  <c r="V203" i="1"/>
  <c r="U203" i="1"/>
  <c r="S203" i="1"/>
  <c r="R203" i="1"/>
  <c r="Q203" i="1"/>
  <c r="P203" i="1"/>
  <c r="O203" i="1"/>
  <c r="M203" i="1"/>
  <c r="L203" i="1"/>
  <c r="K203" i="1"/>
  <c r="J203" i="1"/>
  <c r="I203" i="1"/>
  <c r="G203" i="1"/>
  <c r="F203" i="1"/>
  <c r="E203" i="1"/>
  <c r="D203" i="1"/>
  <c r="C203" i="1"/>
  <c r="EK202" i="1"/>
  <c r="EE202" i="1"/>
  <c r="DY202" i="1"/>
  <c r="DS202" i="1"/>
  <c r="DM202" i="1"/>
  <c r="DG202" i="1"/>
  <c r="DA202" i="1"/>
  <c r="CU202" i="1"/>
  <c r="CO202" i="1"/>
  <c r="CI202" i="1"/>
  <c r="CC202" i="1"/>
  <c r="BW202" i="1"/>
  <c r="BQ202" i="1"/>
  <c r="BK202" i="1"/>
  <c r="BE202" i="1"/>
  <c r="AY202" i="1"/>
  <c r="AS202" i="1"/>
  <c r="AM202" i="1"/>
  <c r="AG202" i="1"/>
  <c r="AA202" i="1"/>
  <c r="U202" i="1"/>
  <c r="O202" i="1"/>
  <c r="I202" i="1"/>
  <c r="C202" i="1"/>
  <c r="CY200" i="1"/>
  <c r="A200" i="1"/>
  <c r="DY195" i="1"/>
  <c r="DV195" i="1"/>
  <c r="DU195" i="1"/>
  <c r="DT195" i="1"/>
  <c r="DS195" i="1"/>
  <c r="DP195" i="1"/>
  <c r="DO195" i="1"/>
  <c r="DN195" i="1"/>
  <c r="DM195" i="1"/>
  <c r="DJ195" i="1"/>
  <c r="DI195" i="1"/>
  <c r="DH195" i="1"/>
  <c r="DG195" i="1"/>
  <c r="DD195" i="1"/>
  <c r="DC195" i="1"/>
  <c r="DB195" i="1"/>
  <c r="DA195" i="1"/>
  <c r="CX195" i="1"/>
  <c r="CW195" i="1"/>
  <c r="CV195" i="1"/>
  <c r="CU195" i="1"/>
  <c r="CR195" i="1"/>
  <c r="CQ195" i="1"/>
  <c r="CP195" i="1"/>
  <c r="CO195" i="1"/>
  <c r="CL195" i="1"/>
  <c r="CK195" i="1"/>
  <c r="CJ195" i="1"/>
  <c r="CI195" i="1"/>
  <c r="CF195" i="1"/>
  <c r="CE195" i="1"/>
  <c r="CD195" i="1"/>
  <c r="CC195" i="1"/>
  <c r="BZ195" i="1"/>
  <c r="BY195" i="1"/>
  <c r="BX195" i="1"/>
  <c r="BW195" i="1"/>
  <c r="BT195" i="1"/>
  <c r="BS195" i="1"/>
  <c r="BR195" i="1"/>
  <c r="BQ195" i="1"/>
  <c r="BO195" i="1"/>
  <c r="BN195" i="1"/>
  <c r="BM195" i="1"/>
  <c r="BL195" i="1"/>
  <c r="BK195" i="1"/>
  <c r="BH195" i="1"/>
  <c r="BG195" i="1"/>
  <c r="BF195" i="1"/>
  <c r="BE195" i="1"/>
  <c r="AV195" i="1"/>
  <c r="AP195" i="1"/>
  <c r="AJ195" i="1"/>
  <c r="R195" i="1"/>
  <c r="AY194" i="1"/>
  <c r="AU194" i="1"/>
  <c r="AU195" i="1" s="1"/>
  <c r="AT194" i="1"/>
  <c r="AT195" i="1" s="1"/>
  <c r="AS194" i="1"/>
  <c r="AO194" i="1"/>
  <c r="AO195" i="1" s="1"/>
  <c r="AN194" i="1"/>
  <c r="AN195" i="1" s="1"/>
  <c r="AM194" i="1"/>
  <c r="AI194" i="1"/>
  <c r="AI195" i="1" s="1"/>
  <c r="AH194" i="1"/>
  <c r="AH195" i="1" s="1"/>
  <c r="AG194" i="1"/>
  <c r="AC194" i="1"/>
  <c r="AB194" i="1"/>
  <c r="AA194" i="1"/>
  <c r="W194" i="1"/>
  <c r="V194" i="1"/>
  <c r="U194" i="1"/>
  <c r="Q194" i="1"/>
  <c r="P194" i="1"/>
  <c r="O194" i="1"/>
  <c r="BI192" i="1"/>
  <c r="BO192" i="1" s="1"/>
  <c r="BB192" i="1"/>
  <c r="BA192" i="1" s="1"/>
  <c r="AZ192" i="1" s="1"/>
  <c r="AY192" i="1" s="1"/>
  <c r="AV192" i="1"/>
  <c r="AU192" i="1" s="1"/>
  <c r="AT192" i="1" s="1"/>
  <c r="AS192" i="1" s="1"/>
  <c r="AP192" i="1"/>
  <c r="AO192" i="1" s="1"/>
  <c r="AN192" i="1" s="1"/>
  <c r="AM192" i="1" s="1"/>
  <c r="AJ192" i="1"/>
  <c r="AI192" i="1" s="1"/>
  <c r="AH192" i="1" s="1"/>
  <c r="AG192" i="1" s="1"/>
  <c r="AD192" i="1"/>
  <c r="AC192" i="1" s="1"/>
  <c r="AB192" i="1" s="1"/>
  <c r="AA192" i="1" s="1"/>
  <c r="X192" i="1"/>
  <c r="W192" i="1" s="1"/>
  <c r="V192" i="1" s="1"/>
  <c r="U192" i="1" s="1"/>
  <c r="R192" i="1"/>
  <c r="Q192" i="1" s="1"/>
  <c r="P192" i="1" s="1"/>
  <c r="O192" i="1" s="1"/>
  <c r="BI189" i="1"/>
  <c r="BI188" i="1"/>
  <c r="BI187" i="1"/>
  <c r="BI186" i="1"/>
  <c r="BC190" i="1"/>
  <c r="BC189" i="1"/>
  <c r="BC188" i="1"/>
  <c r="BC187" i="1"/>
  <c r="BC186" i="1"/>
  <c r="AW190" i="1"/>
  <c r="AW189" i="1"/>
  <c r="AW188" i="1"/>
  <c r="AW187" i="1"/>
  <c r="AW186" i="1"/>
  <c r="AQ190" i="1"/>
  <c r="AQ189" i="1"/>
  <c r="AQ188" i="1"/>
  <c r="AQ187" i="1"/>
  <c r="AQ186" i="1"/>
  <c r="AK190" i="1"/>
  <c r="AK189" i="1"/>
  <c r="AK188" i="1"/>
  <c r="AK187" i="1"/>
  <c r="AK186" i="1"/>
  <c r="AE190" i="1"/>
  <c r="AE189" i="1"/>
  <c r="AE188" i="1"/>
  <c r="AE187" i="1"/>
  <c r="AE186" i="1"/>
  <c r="Y190" i="1"/>
  <c r="Y189" i="1"/>
  <c r="Y188" i="1"/>
  <c r="Y187" i="1"/>
  <c r="Y186" i="1"/>
  <c r="CG184" i="1"/>
  <c r="CA184" i="1"/>
  <c r="BU184" i="1"/>
  <c r="BO184" i="1"/>
  <c r="BI184" i="1"/>
  <c r="BC184" i="1"/>
  <c r="AW184" i="1"/>
  <c r="AQ184" i="1"/>
  <c r="AK184" i="1"/>
  <c r="AE184" i="1"/>
  <c r="Y184" i="1"/>
  <c r="BI180" i="1"/>
  <c r="BC180" i="1"/>
  <c r="AW180" i="1"/>
  <c r="AQ180" i="1"/>
  <c r="AK180" i="1"/>
  <c r="AE180" i="1"/>
  <c r="Y180" i="1"/>
  <c r="BI177" i="1"/>
  <c r="BC177" i="1"/>
  <c r="BC176" i="1"/>
  <c r="AW177" i="1"/>
  <c r="AW176" i="1"/>
  <c r="AQ177" i="1"/>
  <c r="AK177" i="1"/>
  <c r="AE177" i="1"/>
  <c r="Y177" i="1"/>
  <c r="BI172" i="1"/>
  <c r="BC172" i="1"/>
  <c r="AW172" i="1"/>
  <c r="AQ172" i="1"/>
  <c r="AK172" i="1"/>
  <c r="AE172" i="1"/>
  <c r="Y172" i="1"/>
  <c r="CG172" i="1"/>
  <c r="DW168" i="1"/>
  <c r="BU168" i="1"/>
  <c r="BO168" i="1"/>
  <c r="BO188" i="2" s="1"/>
  <c r="BO272" i="2" s="1"/>
  <c r="BC169" i="1"/>
  <c r="AW169" i="1"/>
  <c r="AQ169" i="1"/>
  <c r="AK169" i="1"/>
  <c r="AE169" i="1"/>
  <c r="Y169" i="1"/>
  <c r="S169" i="1"/>
  <c r="EN168" i="1"/>
  <c r="EM168" i="1"/>
  <c r="EL168" i="1"/>
  <c r="EK168" i="1"/>
  <c r="EH168" i="1"/>
  <c r="EG168" i="1"/>
  <c r="EF168" i="1"/>
  <c r="EE168" i="1"/>
  <c r="DO168" i="1"/>
  <c r="DN168" i="1"/>
  <c r="DM168" i="1"/>
  <c r="DI168" i="1"/>
  <c r="DH168" i="1"/>
  <c r="DG168" i="1"/>
  <c r="DD168" i="1"/>
  <c r="DC168" i="1"/>
  <c r="DB168" i="1"/>
  <c r="DA168" i="1"/>
  <c r="CW168" i="1"/>
  <c r="CV168" i="1"/>
  <c r="CU168" i="1"/>
  <c r="DY165" i="1"/>
  <c r="DV165" i="1"/>
  <c r="DU165" i="1"/>
  <c r="DT165" i="1"/>
  <c r="DS165" i="1"/>
  <c r="DP165" i="1"/>
  <c r="DO165" i="1"/>
  <c r="DN165" i="1"/>
  <c r="DM165" i="1"/>
  <c r="DJ165" i="1"/>
  <c r="DI165" i="1"/>
  <c r="DH165" i="1"/>
  <c r="DG165" i="1"/>
  <c r="DD165" i="1"/>
  <c r="DC165" i="1"/>
  <c r="DB165" i="1"/>
  <c r="DA165" i="1"/>
  <c r="CX165" i="1"/>
  <c r="CW165" i="1"/>
  <c r="CV165" i="1"/>
  <c r="CU165" i="1"/>
  <c r="CR165" i="1"/>
  <c r="CQ165" i="1"/>
  <c r="CP165" i="1"/>
  <c r="CO165" i="1"/>
  <c r="CL165" i="1"/>
  <c r="CK165" i="1"/>
  <c r="CJ165" i="1"/>
  <c r="CI165" i="1"/>
  <c r="CF165" i="1"/>
  <c r="CE165" i="1"/>
  <c r="CD165" i="1"/>
  <c r="CC165" i="1"/>
  <c r="BZ165" i="1"/>
  <c r="BY165" i="1"/>
  <c r="BX165" i="1"/>
  <c r="BW165" i="1"/>
  <c r="BT165" i="1"/>
  <c r="BS165" i="1"/>
  <c r="BR165" i="1"/>
  <c r="BQ165" i="1"/>
  <c r="BO165" i="1"/>
  <c r="BO197" i="2" s="1"/>
  <c r="BN165" i="1"/>
  <c r="BN197" i="2" s="1"/>
  <c r="BM165" i="1"/>
  <c r="BM197" i="2" s="1"/>
  <c r="BL165" i="1"/>
  <c r="BL197" i="2" s="1"/>
  <c r="BK165" i="1"/>
  <c r="BK197" i="2" s="1"/>
  <c r="AJ165" i="1"/>
  <c r="AJ197" i="2" s="1"/>
  <c r="AI165" i="1"/>
  <c r="AI197" i="2" s="1"/>
  <c r="AH165" i="1"/>
  <c r="AH197" i="2" s="1"/>
  <c r="AG165" i="1"/>
  <c r="AG197" i="2" s="1"/>
  <c r="AJ164" i="1"/>
  <c r="AI164" i="1"/>
  <c r="AH164" i="1"/>
  <c r="AG164" i="1"/>
  <c r="R165" i="1"/>
  <c r="R197" i="2" s="1"/>
  <c r="R164" i="1"/>
  <c r="BH162" i="1"/>
  <c r="BH188" i="2" s="1"/>
  <c r="BH161" i="1"/>
  <c r="BB162" i="1"/>
  <c r="BB161" i="1"/>
  <c r="AV162" i="1"/>
  <c r="AV161" i="1"/>
  <c r="AP162" i="1"/>
  <c r="AP161" i="1"/>
  <c r="DM158" i="1"/>
  <c r="DJ158" i="1"/>
  <c r="DI158" i="1"/>
  <c r="DH158" i="1"/>
  <c r="DG158" i="1"/>
  <c r="DD158" i="1"/>
  <c r="DB158" i="1"/>
  <c r="DA158" i="1"/>
  <c r="CX158" i="1"/>
  <c r="CV158" i="1"/>
  <c r="CU158" i="1"/>
  <c r="CR158" i="1"/>
  <c r="CQ158" i="1"/>
  <c r="CP158" i="1"/>
  <c r="CO158" i="1"/>
  <c r="CL158" i="1"/>
  <c r="CK158" i="1"/>
  <c r="CJ158" i="1"/>
  <c r="CI158" i="1"/>
  <c r="CF158" i="1"/>
  <c r="CE158" i="1"/>
  <c r="CD158" i="1"/>
  <c r="CC158" i="1"/>
  <c r="BZ158" i="1"/>
  <c r="BY158" i="1"/>
  <c r="BX158" i="1"/>
  <c r="BW158" i="1"/>
  <c r="BT158" i="1"/>
  <c r="BS158" i="1"/>
  <c r="BR158" i="1"/>
  <c r="BQ158" i="1"/>
  <c r="BN158" i="1"/>
  <c r="BM158" i="1"/>
  <c r="BL158" i="1"/>
  <c r="BK158" i="1"/>
  <c r="BH158" i="1"/>
  <c r="BG158" i="1"/>
  <c r="DK157" i="1"/>
  <c r="DK155" i="1"/>
  <c r="DK153" i="1"/>
  <c r="DE157" i="1"/>
  <c r="DE155" i="1"/>
  <c r="DE153" i="1"/>
  <c r="DE165" i="1" s="1"/>
  <c r="CY157" i="1"/>
  <c r="CY155" i="1"/>
  <c r="CY153" i="1"/>
  <c r="CW156" i="1"/>
  <c r="CS157" i="1"/>
  <c r="CS155" i="1"/>
  <c r="CS153" i="1"/>
  <c r="CM157" i="1"/>
  <c r="CM155" i="1"/>
  <c r="CM153" i="1"/>
  <c r="CG157" i="1"/>
  <c r="CG155" i="1"/>
  <c r="CG153" i="1"/>
  <c r="CA157" i="1"/>
  <c r="CA155" i="1"/>
  <c r="CA153" i="1"/>
  <c r="BU157" i="1"/>
  <c r="BU155" i="1"/>
  <c r="BU153" i="1"/>
  <c r="BO157" i="1"/>
  <c r="BO156" i="1"/>
  <c r="BI157" i="1"/>
  <c r="BI155" i="1"/>
  <c r="BI153" i="1"/>
  <c r="BC157" i="1"/>
  <c r="BC200" i="2" s="1"/>
  <c r="BC211" i="2" s="1"/>
  <c r="BC156" i="1"/>
  <c r="AZ157" i="1"/>
  <c r="BA133" i="2" s="1"/>
  <c r="BA140" i="2" s="1"/>
  <c r="AY157" i="1"/>
  <c r="DY156" i="1"/>
  <c r="DV156" i="1"/>
  <c r="DU156" i="1"/>
  <c r="DT156" i="1"/>
  <c r="DS156" i="1"/>
  <c r="DN157" i="1"/>
  <c r="DP156" i="1"/>
  <c r="DO156" i="1"/>
  <c r="DN156" i="1"/>
  <c r="DM156" i="1"/>
  <c r="DJ156" i="1"/>
  <c r="DI156" i="1"/>
  <c r="DH156" i="1"/>
  <c r="DG156" i="1"/>
  <c r="DD156" i="1"/>
  <c r="DC156" i="1"/>
  <c r="DB156" i="1"/>
  <c r="DA156" i="1"/>
  <c r="CX156" i="1"/>
  <c r="CV156" i="1"/>
  <c r="CU156" i="1"/>
  <c r="CR156" i="1"/>
  <c r="CQ156" i="1"/>
  <c r="CP156" i="1"/>
  <c r="CO156" i="1"/>
  <c r="CL156" i="1"/>
  <c r="CK156" i="1"/>
  <c r="CJ156" i="1"/>
  <c r="CI156" i="1"/>
  <c r="CF156" i="1"/>
  <c r="CE156" i="1"/>
  <c r="CD156" i="1"/>
  <c r="CC156" i="1"/>
  <c r="BZ156" i="1"/>
  <c r="BY156" i="1"/>
  <c r="BX156" i="1"/>
  <c r="BW156" i="1"/>
  <c r="BT156" i="1"/>
  <c r="BS156" i="1"/>
  <c r="BR156" i="1"/>
  <c r="BQ156" i="1"/>
  <c r="BN156" i="1"/>
  <c r="BM156" i="1"/>
  <c r="BL156" i="1"/>
  <c r="BK156" i="1"/>
  <c r="BH156" i="1"/>
  <c r="BG156" i="1"/>
  <c r="BF156" i="1"/>
  <c r="BE156" i="1"/>
  <c r="BB156" i="1"/>
  <c r="AZ156" i="1"/>
  <c r="AY156" i="1"/>
  <c r="AV157" i="1"/>
  <c r="AU157" i="1"/>
  <c r="AT157" i="1"/>
  <c r="AS157" i="1"/>
  <c r="AP157" i="1"/>
  <c r="AQ157" i="1" s="1"/>
  <c r="AQ200" i="2" s="1"/>
  <c r="AQ210" i="2" s="1"/>
  <c r="AO157" i="1"/>
  <c r="AU158" i="1" s="1"/>
  <c r="AN157" i="1"/>
  <c r="AM157" i="1"/>
  <c r="AP156" i="1"/>
  <c r="AO156" i="1"/>
  <c r="AN156" i="1"/>
  <c r="AM156" i="1"/>
  <c r="AJ157" i="1"/>
  <c r="AK157" i="1" s="1"/>
  <c r="AK200" i="2" s="1"/>
  <c r="AK210" i="2" s="1"/>
  <c r="AI157" i="1"/>
  <c r="AH157" i="1"/>
  <c r="AG157" i="1"/>
  <c r="AJ156" i="1"/>
  <c r="AI156" i="1"/>
  <c r="AH156" i="1"/>
  <c r="AG156" i="1"/>
  <c r="R157" i="1"/>
  <c r="S157" i="1" s="1"/>
  <c r="Q157" i="1"/>
  <c r="P157" i="1"/>
  <c r="O157" i="1"/>
  <c r="R156" i="1"/>
  <c r="DW155" i="1"/>
  <c r="DW153" i="1"/>
  <c r="DW165" i="1" s="1"/>
  <c r="DQ155" i="1"/>
  <c r="DQ153" i="1"/>
  <c r="BA155" i="1"/>
  <c r="BA153" i="1"/>
  <c r="AW155" i="1"/>
  <c r="AW153" i="1"/>
  <c r="AQ155" i="1"/>
  <c r="AQ153" i="1"/>
  <c r="AK155" i="1"/>
  <c r="AK164" i="1" s="1"/>
  <c r="AK153" i="1"/>
  <c r="AK165" i="1" s="1"/>
  <c r="AK197" i="2" s="1"/>
  <c r="S155" i="1"/>
  <c r="S153" i="1"/>
  <c r="Q155" i="1"/>
  <c r="P155" i="1"/>
  <c r="P164" i="1" s="1"/>
  <c r="O155" i="1"/>
  <c r="O164" i="1" s="1"/>
  <c r="AV153" i="1"/>
  <c r="AV156" i="1" s="1"/>
  <c r="AU153" i="1"/>
  <c r="AU156" i="1" s="1"/>
  <c r="AT153" i="1"/>
  <c r="AT156" i="1" s="1"/>
  <c r="AS153" i="1"/>
  <c r="AS156" i="1" s="1"/>
  <c r="AD157" i="1"/>
  <c r="AE157" i="1" s="1"/>
  <c r="AC157" i="1"/>
  <c r="AB157" i="1"/>
  <c r="AA157" i="1"/>
  <c r="AE155" i="1"/>
  <c r="AE164" i="1" s="1"/>
  <c r="AD155" i="1"/>
  <c r="AD195" i="1" s="1"/>
  <c r="AC155" i="1"/>
  <c r="AC164" i="1" s="1"/>
  <c r="AB155" i="1"/>
  <c r="AB164" i="1" s="1"/>
  <c r="AA155" i="1"/>
  <c r="AA164" i="1" s="1"/>
  <c r="AE153" i="1"/>
  <c r="AD153" i="1"/>
  <c r="AD165" i="1" s="1"/>
  <c r="AD197" i="2" s="1"/>
  <c r="AC153" i="1"/>
  <c r="AC165" i="1" s="1"/>
  <c r="AC197" i="2" s="1"/>
  <c r="AB153" i="1"/>
  <c r="AB165" i="1" s="1"/>
  <c r="AB197" i="2" s="1"/>
  <c r="AA153" i="1"/>
  <c r="X157" i="1"/>
  <c r="Y157" i="1" s="1"/>
  <c r="W157" i="1"/>
  <c r="V157" i="1"/>
  <c r="U157" i="1"/>
  <c r="Y155" i="1"/>
  <c r="X155" i="1"/>
  <c r="X195" i="1" s="1"/>
  <c r="W155" i="1"/>
  <c r="W164" i="1" s="1"/>
  <c r="V155" i="1"/>
  <c r="U155" i="1"/>
  <c r="U164" i="1" s="1"/>
  <c r="Y153" i="1"/>
  <c r="X153" i="1"/>
  <c r="X165" i="1" s="1"/>
  <c r="X197" i="2" s="1"/>
  <c r="W153" i="1"/>
  <c r="W165" i="1" s="1"/>
  <c r="W197" i="2" s="1"/>
  <c r="V153" i="1"/>
  <c r="V165" i="1" s="1"/>
  <c r="V197" i="2" s="1"/>
  <c r="U153" i="1"/>
  <c r="U165" i="1" s="1"/>
  <c r="U197" i="2" s="1"/>
  <c r="Q153" i="1"/>
  <c r="Q165" i="1" s="1"/>
  <c r="Q197" i="2" s="1"/>
  <c r="P153" i="1"/>
  <c r="P165" i="1" s="1"/>
  <c r="P197" i="2" s="1"/>
  <c r="O153" i="1"/>
  <c r="M153" i="1"/>
  <c r="L153" i="1"/>
  <c r="K153" i="1"/>
  <c r="J153" i="1"/>
  <c r="I153" i="1"/>
  <c r="I154" i="1" s="1"/>
  <c r="G153" i="1"/>
  <c r="F153" i="1"/>
  <c r="E153" i="1"/>
  <c r="D153" i="1"/>
  <c r="C153" i="1"/>
  <c r="EN146" i="1"/>
  <c r="EM146" i="1"/>
  <c r="EL146" i="1"/>
  <c r="EK146" i="1"/>
  <c r="EH146" i="1"/>
  <c r="EG146" i="1"/>
  <c r="EF146" i="1"/>
  <c r="EE146" i="1"/>
  <c r="DY146" i="1"/>
  <c r="EC146" i="1" s="1"/>
  <c r="DV146" i="1"/>
  <c r="DU146" i="1"/>
  <c r="DT146" i="1"/>
  <c r="DS146" i="1"/>
  <c r="DP146" i="1"/>
  <c r="DO146" i="1"/>
  <c r="DN146" i="1"/>
  <c r="DM146" i="1"/>
  <c r="DJ146" i="1"/>
  <c r="DI146" i="1"/>
  <c r="DH146" i="1"/>
  <c r="DG146" i="1"/>
  <c r="DD146" i="1"/>
  <c r="DC146" i="1"/>
  <c r="DB146" i="1"/>
  <c r="DA146" i="1"/>
  <c r="CX146" i="1"/>
  <c r="CW146" i="1"/>
  <c r="CV146" i="1"/>
  <c r="CU146" i="1"/>
  <c r="CR146" i="1"/>
  <c r="CQ146" i="1"/>
  <c r="CP146" i="1"/>
  <c r="CO146" i="1"/>
  <c r="CL146" i="1"/>
  <c r="CK146" i="1"/>
  <c r="CJ146" i="1"/>
  <c r="CI146" i="1"/>
  <c r="CF146" i="1"/>
  <c r="CE146" i="1"/>
  <c r="CD146" i="1"/>
  <c r="CC146" i="1"/>
  <c r="BZ146" i="1"/>
  <c r="BY146" i="1"/>
  <c r="BX146" i="1"/>
  <c r="BW146" i="1"/>
  <c r="BT146" i="1"/>
  <c r="BS146" i="1"/>
  <c r="BR146" i="1"/>
  <c r="BQ146" i="1"/>
  <c r="BN146" i="1"/>
  <c r="BM146" i="1"/>
  <c r="BL146" i="1"/>
  <c r="BK146" i="1"/>
  <c r="BH146" i="1"/>
  <c r="BG146" i="1"/>
  <c r="BF146" i="1"/>
  <c r="BE146" i="1"/>
  <c r="BB146" i="1"/>
  <c r="BA146" i="1"/>
  <c r="AZ146" i="1"/>
  <c r="AY146" i="1"/>
  <c r="AV146" i="1"/>
  <c r="AU146" i="1"/>
  <c r="AT146" i="1"/>
  <c r="AS146" i="1"/>
  <c r="AP146" i="1"/>
  <c r="AO146" i="1"/>
  <c r="AN146" i="1"/>
  <c r="AM146" i="1"/>
  <c r="AJ146" i="1"/>
  <c r="AI146" i="1"/>
  <c r="AH146" i="1"/>
  <c r="AG146" i="1"/>
  <c r="AE146" i="1"/>
  <c r="AD146" i="1"/>
  <c r="AC146" i="1"/>
  <c r="AB146" i="1"/>
  <c r="AA146" i="1"/>
  <c r="X146" i="1"/>
  <c r="W146" i="1"/>
  <c r="V146" i="1"/>
  <c r="U146" i="1"/>
  <c r="R146" i="1"/>
  <c r="Q146" i="1"/>
  <c r="P146" i="1"/>
  <c r="O146" i="1"/>
  <c r="L146" i="1"/>
  <c r="K146" i="1"/>
  <c r="J146" i="1"/>
  <c r="I146" i="1"/>
  <c r="F146" i="1"/>
  <c r="E146" i="1"/>
  <c r="D146" i="1"/>
  <c r="C146" i="1"/>
  <c r="EL141" i="1"/>
  <c r="EL16" i="3" s="1"/>
  <c r="DW140" i="1"/>
  <c r="DQ140" i="1"/>
  <c r="DG140" i="1"/>
  <c r="DK140" i="1" s="1"/>
  <c r="DC140" i="1"/>
  <c r="CY140" i="1"/>
  <c r="CS140" i="1"/>
  <c r="CM140" i="1"/>
  <c r="CG140" i="1"/>
  <c r="CA140" i="1"/>
  <c r="BU140" i="1"/>
  <c r="BO140" i="1"/>
  <c r="BI140" i="1"/>
  <c r="BC140" i="1"/>
  <c r="AW140" i="1"/>
  <c r="AQ140" i="1"/>
  <c r="AK140" i="1"/>
  <c r="EN141" i="1"/>
  <c r="DP138" i="1"/>
  <c r="DP322" i="1" s="1"/>
  <c r="AV138" i="1"/>
  <c r="AU138" i="1"/>
  <c r="AT138" i="1"/>
  <c r="AS138" i="1"/>
  <c r="AP138" i="1"/>
  <c r="AO138" i="1"/>
  <c r="AN138" i="1"/>
  <c r="AM138" i="1"/>
  <c r="CR119" i="1"/>
  <c r="CR118" i="1"/>
  <c r="BN225" i="2"/>
  <c r="BI190" i="1"/>
  <c r="CA190" i="1"/>
  <c r="CG190" i="1"/>
  <c r="BU190" i="1"/>
  <c r="BQ225" i="2"/>
  <c r="BO190" i="1"/>
  <c r="EC112" i="1"/>
  <c r="EI113" i="1"/>
  <c r="EO113" i="1"/>
  <c r="EO114" i="1"/>
  <c r="EC113" i="1"/>
  <c r="EO112" i="1"/>
  <c r="EI114" i="1"/>
  <c r="EI112" i="1"/>
  <c r="EC114" i="1"/>
  <c r="ER147" i="2" l="1"/>
  <c r="EQ140" i="2"/>
  <c r="EO90" i="2"/>
  <c r="EF16" i="3"/>
  <c r="EM57" i="3"/>
  <c r="BU16" i="2"/>
  <c r="DO46" i="2"/>
  <c r="DO48" i="2" s="1"/>
  <c r="DO282" i="1" s="1"/>
  <c r="AC81" i="2"/>
  <c r="AH81" i="2"/>
  <c r="AT81" i="2"/>
  <c r="BK81" i="2"/>
  <c r="BW81" i="2"/>
  <c r="BY80" i="2"/>
  <c r="CF81" i="2"/>
  <c r="CR81" i="2"/>
  <c r="DC81" i="2"/>
  <c r="DI81" i="2"/>
  <c r="BR24" i="2"/>
  <c r="CS16" i="2"/>
  <c r="CO80" i="2"/>
  <c r="CU80" i="2"/>
  <c r="CW80" i="2"/>
  <c r="Y16" i="2"/>
  <c r="AQ34" i="2"/>
  <c r="AQ42" i="2" s="1"/>
  <c r="DC46" i="2"/>
  <c r="DC48" i="2" s="1"/>
  <c r="DC282" i="1" s="1"/>
  <c r="AJ81" i="2"/>
  <c r="AV81" i="2"/>
  <c r="BM81" i="2"/>
  <c r="CD81" i="2"/>
  <c r="CP81" i="2"/>
  <c r="DA80" i="2"/>
  <c r="DM80" i="2"/>
  <c r="DS80" i="2"/>
  <c r="DO50" i="2"/>
  <c r="AG81" i="2"/>
  <c r="BA80" i="2"/>
  <c r="BH81" i="2"/>
  <c r="BT81" i="2"/>
  <c r="AQ239" i="2"/>
  <c r="DE36" i="2"/>
  <c r="DB33" i="3"/>
  <c r="AO80" i="2"/>
  <c r="BM80" i="2"/>
  <c r="CK80" i="2"/>
  <c r="DB81" i="2"/>
  <c r="DG80" i="2"/>
  <c r="DI80" i="2"/>
  <c r="DP81" i="2"/>
  <c r="DU81" i="2"/>
  <c r="EA80" i="2"/>
  <c r="DY80" i="2"/>
  <c r="DG81" i="2"/>
  <c r="AP115" i="2"/>
  <c r="AQ115" i="2" s="1"/>
  <c r="BH115" i="2"/>
  <c r="BI115" i="2" s="1"/>
  <c r="AE130" i="2"/>
  <c r="AK130" i="2"/>
  <c r="CP35" i="3"/>
  <c r="DB36" i="3"/>
  <c r="CJ31" i="3"/>
  <c r="CJ106" i="3" s="1"/>
  <c r="DN36" i="3"/>
  <c r="CI36" i="3"/>
  <c r="DY280" i="1"/>
  <c r="DZ310" i="1" s="1"/>
  <c r="BW33" i="3"/>
  <c r="CI34" i="3"/>
  <c r="CU33" i="3"/>
  <c r="DG34" i="3"/>
  <c r="K52" i="2"/>
  <c r="V52" i="2"/>
  <c r="AG52" i="2"/>
  <c r="AK16" i="2"/>
  <c r="BG52" i="2"/>
  <c r="BL24" i="2"/>
  <c r="CG16" i="2"/>
  <c r="U57" i="2"/>
  <c r="BW36" i="3"/>
  <c r="CC36" i="3"/>
  <c r="CI35" i="3"/>
  <c r="DG35" i="3"/>
  <c r="G34" i="2"/>
  <c r="G42" i="2" s="1"/>
  <c r="BC34" i="2"/>
  <c r="BC42" i="2" s="1"/>
  <c r="BS42" i="2"/>
  <c r="BS50" i="2" s="1"/>
  <c r="BZ42" i="2"/>
  <c r="CE42" i="2"/>
  <c r="CE50" i="2" s="1"/>
  <c r="CK42" i="2"/>
  <c r="CK50" i="2" s="1"/>
  <c r="CP42" i="2"/>
  <c r="CP50" i="2" s="1"/>
  <c r="CV42" i="2"/>
  <c r="CV50" i="2" s="1"/>
  <c r="DG50" i="2"/>
  <c r="DK34" i="2"/>
  <c r="DV42" i="2"/>
  <c r="AD81" i="2"/>
  <c r="AI81" i="2"/>
  <c r="AN81" i="2"/>
  <c r="AY80" i="2"/>
  <c r="AS80" i="2"/>
  <c r="BB80" i="2"/>
  <c r="BG81" i="2"/>
  <c r="BL81" i="2"/>
  <c r="BW80" i="2"/>
  <c r="BQ80" i="2"/>
  <c r="BZ80" i="2"/>
  <c r="CE81" i="2"/>
  <c r="CJ81" i="2"/>
  <c r="CX80" i="2"/>
  <c r="DV80" i="2"/>
  <c r="DS81" i="2"/>
  <c r="CD107" i="2"/>
  <c r="DN31" i="3"/>
  <c r="DO106" i="3" s="1"/>
  <c r="CP31" i="3"/>
  <c r="CP106" i="3" s="1"/>
  <c r="DB32" i="3"/>
  <c r="CV31" i="3"/>
  <c r="DH31" i="3"/>
  <c r="DH106" i="3" s="1"/>
  <c r="CD34" i="3"/>
  <c r="CD109" i="3" s="1"/>
  <c r="AN154" i="2"/>
  <c r="AO154" i="2" s="1"/>
  <c r="AP154" i="2" s="1"/>
  <c r="AQ154" i="2" s="1"/>
  <c r="AS154" i="2" s="1"/>
  <c r="AT154" i="2" s="1"/>
  <c r="AU154" i="2" s="1"/>
  <c r="DN34" i="3"/>
  <c r="DH36" i="3"/>
  <c r="DH111" i="3" s="1"/>
  <c r="CR282" i="1"/>
  <c r="CS282" i="1" s="1"/>
  <c r="CC106" i="3"/>
  <c r="CD31" i="3"/>
  <c r="CO108" i="3"/>
  <c r="CP33" i="3"/>
  <c r="DA106" i="3"/>
  <c r="DB31" i="3"/>
  <c r="DM33" i="3"/>
  <c r="G24" i="2"/>
  <c r="G52" i="2" s="1"/>
  <c r="Q52" i="2"/>
  <c r="AB52" i="2"/>
  <c r="AM52" i="2"/>
  <c r="BW35" i="3"/>
  <c r="BW110" i="3" s="1"/>
  <c r="CC35" i="3"/>
  <c r="CU36" i="3"/>
  <c r="DA35" i="3"/>
  <c r="S42" i="2"/>
  <c r="Y42" i="2"/>
  <c r="DB42" i="2"/>
  <c r="DB50" i="2" s="1"/>
  <c r="DH42" i="2"/>
  <c r="DH50" i="2" s="1"/>
  <c r="AM81" i="2"/>
  <c r="CI81" i="2"/>
  <c r="BX32" i="3"/>
  <c r="BX107" i="3" s="1"/>
  <c r="CP34" i="3"/>
  <c r="CP109" i="3" s="1"/>
  <c r="CD32" i="3"/>
  <c r="BX31" i="3"/>
  <c r="DB34" i="3"/>
  <c r="DB109" i="3" s="1"/>
  <c r="CP32" i="3"/>
  <c r="CP107" i="3" s="1"/>
  <c r="CJ32" i="3"/>
  <c r="DH32" i="3"/>
  <c r="DM37" i="3"/>
  <c r="DM112" i="3" s="1"/>
  <c r="BW34" i="3"/>
  <c r="CI33" i="3"/>
  <c r="CU34" i="3"/>
  <c r="DG33" i="3"/>
  <c r="DG37" i="3" s="1"/>
  <c r="DG112" i="3" s="1"/>
  <c r="I52" i="2"/>
  <c r="AI52" i="2"/>
  <c r="AT52" i="2"/>
  <c r="BE52" i="2"/>
  <c r="BI16" i="2"/>
  <c r="DE16" i="2"/>
  <c r="DQ16" i="2"/>
  <c r="DY16" i="2"/>
  <c r="DY24" i="2" s="1"/>
  <c r="CO36" i="3"/>
  <c r="CU35" i="3"/>
  <c r="E42" i="2"/>
  <c r="E50" i="2" s="1"/>
  <c r="E52" i="2" s="1"/>
  <c r="J42" i="2"/>
  <c r="J50" i="2" s="1"/>
  <c r="J52" i="2" s="1"/>
  <c r="AE34" i="2"/>
  <c r="AE42" i="2" s="1"/>
  <c r="BF50" i="2"/>
  <c r="BF52" i="2" s="1"/>
  <c r="BL42" i="2"/>
  <c r="BL50" i="2" s="1"/>
  <c r="BX42" i="2"/>
  <c r="BX50" i="2" s="1"/>
  <c r="CC42" i="2"/>
  <c r="CC50" i="2" s="1"/>
  <c r="CI42" i="2"/>
  <c r="CI50" i="2" s="1"/>
  <c r="CM34" i="2"/>
  <c r="CX42" i="2"/>
  <c r="DC50" i="2"/>
  <c r="DN42" i="2"/>
  <c r="DN50" i="2" s="1"/>
  <c r="DT42" i="2"/>
  <c r="DT50" i="2" s="1"/>
  <c r="AB81" i="2"/>
  <c r="AM80" i="2"/>
  <c r="AG80" i="2"/>
  <c r="AP80" i="2"/>
  <c r="AU81" i="2"/>
  <c r="AZ81" i="2"/>
  <c r="BK80" i="2"/>
  <c r="BE80" i="2"/>
  <c r="BN80" i="2"/>
  <c r="BS81" i="2"/>
  <c r="BX81" i="2"/>
  <c r="CI80" i="2"/>
  <c r="CC80" i="2"/>
  <c r="CL80" i="2"/>
  <c r="CQ81" i="2"/>
  <c r="CV81" i="2"/>
  <c r="DJ80" i="2"/>
  <c r="DO81" i="2"/>
  <c r="DT81" i="2"/>
  <c r="DZ80" i="2"/>
  <c r="CU81" i="2"/>
  <c r="R108" i="2"/>
  <c r="S108" i="2" s="1"/>
  <c r="BC109" i="2"/>
  <c r="DN35" i="3"/>
  <c r="CV32" i="3"/>
  <c r="CV107" i="3" s="1"/>
  <c r="CD33" i="3"/>
  <c r="CD108" i="3" s="1"/>
  <c r="CS132" i="3"/>
  <c r="BS130" i="2"/>
  <c r="DI36" i="3"/>
  <c r="DI111" i="3" s="1"/>
  <c r="CM132" i="3"/>
  <c r="CG129" i="3"/>
  <c r="BT130" i="2"/>
  <c r="BR130" i="2"/>
  <c r="BE110" i="2"/>
  <c r="CA118" i="2"/>
  <c r="CM118" i="2"/>
  <c r="CY118" i="2"/>
  <c r="DK118" i="2"/>
  <c r="DW118" i="2"/>
  <c r="BO136" i="2"/>
  <c r="DW132" i="3"/>
  <c r="BL130" i="2"/>
  <c r="S118" i="2"/>
  <c r="BQ130" i="2"/>
  <c r="AE118" i="2"/>
  <c r="AE119" i="2" s="1"/>
  <c r="AQ118" i="2"/>
  <c r="CM124" i="2"/>
  <c r="BK130" i="2"/>
  <c r="CL135" i="2"/>
  <c r="CV271" i="1"/>
  <c r="W293" i="1"/>
  <c r="AC293" i="1"/>
  <c r="AI293" i="1"/>
  <c r="AO293" i="1"/>
  <c r="AU293" i="1"/>
  <c r="DB271" i="1"/>
  <c r="BA293" i="1"/>
  <c r="BY293" i="1"/>
  <c r="AC133" i="2"/>
  <c r="AC140" i="2" s="1"/>
  <c r="AM133" i="2"/>
  <c r="AM140" i="2" s="1"/>
  <c r="BY271" i="1"/>
  <c r="DH271" i="1"/>
  <c r="AM271" i="1"/>
  <c r="Y156" i="1"/>
  <c r="AA133" i="2"/>
  <c r="AA140" i="2" s="1"/>
  <c r="AH133" i="2"/>
  <c r="AH140" i="2" s="1"/>
  <c r="AN133" i="2"/>
  <c r="AN140" i="2" s="1"/>
  <c r="AT133" i="2"/>
  <c r="AT140" i="2" s="1"/>
  <c r="AA156" i="1"/>
  <c r="AE156" i="1"/>
  <c r="AG133" i="2"/>
  <c r="AG140" i="2" s="1"/>
  <c r="AI133" i="2"/>
  <c r="AI140" i="2" s="1"/>
  <c r="AU133" i="2"/>
  <c r="AU140" i="2" s="1"/>
  <c r="X156" i="1"/>
  <c r="AB133" i="2"/>
  <c r="AB140" i="2" s="1"/>
  <c r="AV133" i="2"/>
  <c r="AV140" i="2" s="1"/>
  <c r="S164" i="1"/>
  <c r="S200" i="2"/>
  <c r="S209" i="2" s="1"/>
  <c r="AZ133" i="2"/>
  <c r="AZ140" i="2" s="1"/>
  <c r="O84" i="2"/>
  <c r="AO133" i="2"/>
  <c r="AO140" i="2" s="1"/>
  <c r="AS158" i="1"/>
  <c r="AS200" i="2"/>
  <c r="AS209" i="2" s="1"/>
  <c r="AY158" i="1"/>
  <c r="AY200" i="2"/>
  <c r="AY209" i="2" s="1"/>
  <c r="BF158" i="1"/>
  <c r="AZ200" i="2"/>
  <c r="AZ208" i="2" s="1"/>
  <c r="BA158" i="1"/>
  <c r="AU200" i="2"/>
  <c r="AU212" i="2" s="1"/>
  <c r="AU271" i="1"/>
  <c r="AD133" i="2"/>
  <c r="AD140" i="2" s="1"/>
  <c r="AJ133" i="2"/>
  <c r="AJ140" i="2" s="1"/>
  <c r="AP133" i="2"/>
  <c r="AP140" i="2" s="1"/>
  <c r="AT158" i="1"/>
  <c r="AT200" i="2"/>
  <c r="AT208" i="2" s="1"/>
  <c r="DE156" i="1"/>
  <c r="O156" i="1"/>
  <c r="Y165" i="1"/>
  <c r="Y197" i="2" s="1"/>
  <c r="Y200" i="2"/>
  <c r="S156" i="1"/>
  <c r="BA156" i="1"/>
  <c r="BB158" i="1"/>
  <c r="AV200" i="2"/>
  <c r="AW200" i="2" s="1"/>
  <c r="DY271" i="1"/>
  <c r="V84" i="2"/>
  <c r="AS133" i="2"/>
  <c r="AS140" i="2" s="1"/>
  <c r="AY133" i="2"/>
  <c r="AY140" i="2" s="1"/>
  <c r="Q195" i="1"/>
  <c r="EG58" i="3"/>
  <c r="EG131" i="3" s="1"/>
  <c r="AE254" i="1"/>
  <c r="AY254" i="1"/>
  <c r="CA254" i="1"/>
  <c r="CS254" i="1"/>
  <c r="BN271" i="1"/>
  <c r="CK271" i="1"/>
  <c r="CU271" i="1"/>
  <c r="EM271" i="1"/>
  <c r="U271" i="1"/>
  <c r="AG271" i="1"/>
  <c r="AJ271" i="1"/>
  <c r="AG254" i="1"/>
  <c r="AN254" i="1"/>
  <c r="CE271" i="1"/>
  <c r="DO271" i="1"/>
  <c r="BI181" i="1"/>
  <c r="BI254" i="1"/>
  <c r="BU254" i="1"/>
  <c r="CG254" i="1"/>
  <c r="CY254" i="1"/>
  <c r="K286" i="1"/>
  <c r="BU280" i="1"/>
  <c r="AZ271" i="1"/>
  <c r="BR271" i="1"/>
  <c r="BW271" i="1"/>
  <c r="CF271" i="1"/>
  <c r="DN271" i="1"/>
  <c r="Y254" i="1"/>
  <c r="AS254" i="1"/>
  <c r="AZ254" i="1"/>
  <c r="DA271" i="1"/>
  <c r="AA271" i="1"/>
  <c r="AC271" i="1"/>
  <c r="AT271" i="1"/>
  <c r="S254" i="1"/>
  <c r="AM254" i="1"/>
  <c r="AT254" i="1"/>
  <c r="BX271" i="1"/>
  <c r="CL271" i="1"/>
  <c r="CQ271" i="1"/>
  <c r="DC271" i="1"/>
  <c r="DI271" i="1"/>
  <c r="DV271" i="1"/>
  <c r="DW288" i="1"/>
  <c r="EB271" i="1"/>
  <c r="AD271" i="1"/>
  <c r="BI178" i="1"/>
  <c r="AH254" i="1"/>
  <c r="DQ280" i="1"/>
  <c r="CD271" i="1"/>
  <c r="CJ271" i="1"/>
  <c r="CX271" i="1"/>
  <c r="AP271" i="1"/>
  <c r="AV271" i="1"/>
  <c r="AI271" i="1"/>
  <c r="AK288" i="1"/>
  <c r="E286" i="1"/>
  <c r="J286" i="1"/>
  <c r="DT271" i="1"/>
  <c r="AH271" i="1"/>
  <c r="BI280" i="1"/>
  <c r="DE280" i="1"/>
  <c r="BO254" i="1"/>
  <c r="AY271" i="1"/>
  <c r="CI271" i="1"/>
  <c r="DD271" i="1"/>
  <c r="DU271" i="1"/>
  <c r="EA271" i="1"/>
  <c r="EG271" i="1"/>
  <c r="BQ310" i="1"/>
  <c r="BQ314" i="1" s="1"/>
  <c r="CU310" i="1"/>
  <c r="DE132" i="2"/>
  <c r="BZ271" i="1"/>
  <c r="DZ271" i="1"/>
  <c r="V195" i="1"/>
  <c r="AS271" i="1"/>
  <c r="CC271" i="1"/>
  <c r="CP271" i="1"/>
  <c r="CW271" i="1"/>
  <c r="DM271" i="1"/>
  <c r="AW280" i="1"/>
  <c r="BU284" i="1"/>
  <c r="DS271" i="1"/>
  <c r="AW288" i="1"/>
  <c r="BC178" i="1"/>
  <c r="AE194" i="1"/>
  <c r="AE195" i="1" s="1"/>
  <c r="AJ254" i="1"/>
  <c r="AI254" i="1"/>
  <c r="AP254" i="1"/>
  <c r="AO254" i="1"/>
  <c r="AV254" i="1"/>
  <c r="AU254" i="1"/>
  <c r="BB254" i="1"/>
  <c r="BA254" i="1"/>
  <c r="V293" i="1"/>
  <c r="AB293" i="1"/>
  <c r="AH293" i="1"/>
  <c r="AN293" i="1"/>
  <c r="AT293" i="1"/>
  <c r="AZ293" i="1"/>
  <c r="BH293" i="1"/>
  <c r="BI293" i="1" s="1"/>
  <c r="BX293" i="1"/>
  <c r="AK280" i="1"/>
  <c r="CG280" i="1"/>
  <c r="CM314" i="1" s="1"/>
  <c r="C286" i="1"/>
  <c r="L286" i="1"/>
  <c r="AQ284" i="1"/>
  <c r="DT61" i="3"/>
  <c r="DT66" i="3" s="1"/>
  <c r="BS135" i="2"/>
  <c r="CC135" i="2"/>
  <c r="BT135" i="2"/>
  <c r="CD135" i="2"/>
  <c r="BX135" i="2"/>
  <c r="BY135" i="2"/>
  <c r="CI135" i="2"/>
  <c r="P84" i="2"/>
  <c r="AD96" i="2"/>
  <c r="S119" i="2"/>
  <c r="R119" i="2"/>
  <c r="X119" i="2"/>
  <c r="AC119" i="2"/>
  <c r="CG165" i="1"/>
  <c r="X96" i="2"/>
  <c r="X84" i="2"/>
  <c r="Y84" i="2" s="1"/>
  <c r="CA165" i="1"/>
  <c r="DD311" i="1"/>
  <c r="Q84" i="2"/>
  <c r="P119" i="2"/>
  <c r="U119" i="2"/>
  <c r="DT131" i="3"/>
  <c r="DT134" i="3" s="1"/>
  <c r="DB61" i="3"/>
  <c r="DB66" i="3" s="1"/>
  <c r="DC58" i="3"/>
  <c r="DC131" i="3" s="1"/>
  <c r="BU165" i="1"/>
  <c r="CS165" i="1"/>
  <c r="CY156" i="1"/>
  <c r="Q119" i="2"/>
  <c r="AD119" i="2"/>
  <c r="EL131" i="3"/>
  <c r="EM58" i="3"/>
  <c r="EN58" i="3" s="1"/>
  <c r="CM165" i="1"/>
  <c r="CE314" i="1"/>
  <c r="CE313" i="1" s="1"/>
  <c r="DH311" i="1"/>
  <c r="R96" i="2"/>
  <c r="W119" i="2"/>
  <c r="AB119" i="2"/>
  <c r="DI58" i="3"/>
  <c r="DI61" i="3" s="1"/>
  <c r="DN61" i="3"/>
  <c r="DO58" i="3"/>
  <c r="DP58" i="3" s="1"/>
  <c r="CK58" i="3"/>
  <c r="CL58" i="3" s="1"/>
  <c r="DZ131" i="3"/>
  <c r="CF135" i="2"/>
  <c r="CP135" i="2"/>
  <c r="CV135" i="2"/>
  <c r="AQ156" i="1"/>
  <c r="BR135" i="2"/>
  <c r="CK135" i="2"/>
  <c r="BW135" i="2"/>
  <c r="EA114" i="2"/>
  <c r="EA154" i="2"/>
  <c r="BI156" i="1"/>
  <c r="DU145" i="3"/>
  <c r="DU147" i="3" s="1"/>
  <c r="DU285" i="1"/>
  <c r="DU286" i="1" s="1"/>
  <c r="DU149" i="2" s="1"/>
  <c r="DU139" i="3"/>
  <c r="DW105" i="3"/>
  <c r="EF271" i="1"/>
  <c r="EO147" i="2"/>
  <c r="BF135" i="2"/>
  <c r="BU138" i="2"/>
  <c r="CA138" i="2"/>
  <c r="CG138" i="2"/>
  <c r="AI122" i="2"/>
  <c r="BC121" i="2"/>
  <c r="BI121" i="2"/>
  <c r="BO121" i="2"/>
  <c r="BU121" i="2"/>
  <c r="DT113" i="3"/>
  <c r="DT145" i="3" s="1"/>
  <c r="DV286" i="1"/>
  <c r="DV149" i="2" s="1"/>
  <c r="U110" i="2"/>
  <c r="AG110" i="2"/>
  <c r="P122" i="2"/>
  <c r="AB122" i="2"/>
  <c r="BH64" i="2"/>
  <c r="BH67" i="2" s="1"/>
  <c r="V95" i="2"/>
  <c r="V99" i="2" s="1"/>
  <c r="V100" i="2" s="1"/>
  <c r="V122" i="2"/>
  <c r="AH122" i="2"/>
  <c r="AN122" i="2"/>
  <c r="AU122" i="2"/>
  <c r="BF122" i="2"/>
  <c r="CS150" i="2"/>
  <c r="CS151" i="2" s="1"/>
  <c r="BO138" i="2"/>
  <c r="AQ140" i="2"/>
  <c r="BO150" i="2"/>
  <c r="BO151" i="2" s="1"/>
  <c r="AO314" i="1"/>
  <c r="AO316" i="1" s="1"/>
  <c r="DH66" i="3"/>
  <c r="DB131" i="3"/>
  <c r="DB134" i="3" s="1"/>
  <c r="DH131" i="3"/>
  <c r="DH134" i="3" s="1"/>
  <c r="DC313" i="1"/>
  <c r="BK314" i="1"/>
  <c r="BK316" i="1" s="1"/>
  <c r="BT314" i="1"/>
  <c r="BT313" i="1" s="1"/>
  <c r="DG313" i="1"/>
  <c r="EF315" i="1"/>
  <c r="EG315" i="1" s="1"/>
  <c r="EH315" i="1" s="1"/>
  <c r="EL315" i="1" s="1"/>
  <c r="EM315" i="1" s="1"/>
  <c r="EN315" i="1" s="1"/>
  <c r="DZ95" i="1"/>
  <c r="DZ94" i="1" s="1"/>
  <c r="DH313" i="1"/>
  <c r="BA314" i="1"/>
  <c r="BA316" i="1" s="1"/>
  <c r="DS285" i="1"/>
  <c r="DS286" i="1" s="1"/>
  <c r="DS149" i="2" s="1"/>
  <c r="EA108" i="3"/>
  <c r="EA112" i="3"/>
  <c r="AK146" i="1"/>
  <c r="AQ146" i="1"/>
  <c r="AW146" i="1"/>
  <c r="BC146" i="1"/>
  <c r="BI146" i="1"/>
  <c r="BO146" i="1"/>
  <c r="BU146" i="1"/>
  <c r="CA146" i="1"/>
  <c r="CG146" i="1"/>
  <c r="CM146" i="1"/>
  <c r="CS146" i="1"/>
  <c r="CY146" i="1"/>
  <c r="DE146" i="1"/>
  <c r="DK146" i="1"/>
  <c r="DQ146" i="1"/>
  <c r="DW146" i="1"/>
  <c r="G146" i="1"/>
  <c r="M146" i="1"/>
  <c r="S146" i="1"/>
  <c r="Y146" i="1"/>
  <c r="EI146" i="1"/>
  <c r="EO146" i="1"/>
  <c r="EF156" i="1"/>
  <c r="EG156" i="1" s="1"/>
  <c r="EH156" i="1" s="1"/>
  <c r="EK156" i="1" s="1"/>
  <c r="U293" i="1"/>
  <c r="U292" i="1"/>
  <c r="AA293" i="1"/>
  <c r="AA292" i="1"/>
  <c r="AG293" i="1"/>
  <c r="AM293" i="1"/>
  <c r="AS293" i="1"/>
  <c r="AY293" i="1"/>
  <c r="BW293" i="1"/>
  <c r="X293" i="1"/>
  <c r="Y293" i="1" s="1"/>
  <c r="AD293" i="1"/>
  <c r="AE293" i="1" s="1"/>
  <c r="AJ293" i="1"/>
  <c r="AK293" i="1" s="1"/>
  <c r="AP293" i="1"/>
  <c r="AQ293" i="1" s="1"/>
  <c r="AV293" i="1"/>
  <c r="AW293" i="1" s="1"/>
  <c r="BB293" i="1"/>
  <c r="BC293" i="1" s="1"/>
  <c r="BZ293" i="1"/>
  <c r="CA293" i="1" s="1"/>
  <c r="BU133" i="2"/>
  <c r="BU140" i="2" s="1"/>
  <c r="CY138" i="2"/>
  <c r="DW138" i="2"/>
  <c r="AD150" i="2"/>
  <c r="AD151" i="2" s="1"/>
  <c r="BI133" i="2"/>
  <c r="BI140" i="2" s="1"/>
  <c r="BL135" i="2"/>
  <c r="CR135" i="2"/>
  <c r="U96" i="2"/>
  <c r="AS110" i="2"/>
  <c r="CV107" i="2"/>
  <c r="AO122" i="2"/>
  <c r="EN92" i="2"/>
  <c r="ET92" i="2" s="1"/>
  <c r="EU92" i="2" s="1"/>
  <c r="R122" i="2"/>
  <c r="W122" i="2"/>
  <c r="AZ122" i="2"/>
  <c r="BM114" i="2"/>
  <c r="BM116" i="2" s="1"/>
  <c r="DU419" i="4"/>
  <c r="DT427" i="4"/>
  <c r="DT426" i="4"/>
  <c r="DT420" i="4"/>
  <c r="O293" i="1"/>
  <c r="Q293" i="1"/>
  <c r="Q292" i="1"/>
  <c r="BT293" i="1"/>
  <c r="BU293" i="1" s="1"/>
  <c r="CL293" i="1"/>
  <c r="CM293" i="1" s="1"/>
  <c r="P293" i="1"/>
  <c r="BN293" i="1"/>
  <c r="BO293" i="1" s="1"/>
  <c r="BE293" i="1"/>
  <c r="CF293" i="1"/>
  <c r="CG293" i="1" s="1"/>
  <c r="DB135" i="2"/>
  <c r="DE168" i="1"/>
  <c r="DK168" i="1"/>
  <c r="EF91" i="3"/>
  <c r="AK174" i="1"/>
  <c r="AE200" i="2"/>
  <c r="BU158" i="1"/>
  <c r="CM195" i="1"/>
  <c r="CM200" i="2"/>
  <c r="CS195" i="1"/>
  <c r="CS200" i="2"/>
  <c r="CY195" i="1"/>
  <c r="CY200" i="2"/>
  <c r="DK158" i="1"/>
  <c r="AQ208" i="2"/>
  <c r="AQ209" i="2"/>
  <c r="DW195" i="1"/>
  <c r="DW200" i="2"/>
  <c r="BO158" i="1"/>
  <c r="CG195" i="1"/>
  <c r="CG200" i="2"/>
  <c r="CM156" i="1"/>
  <c r="CS158" i="1"/>
  <c r="CY158" i="1"/>
  <c r="DE158" i="1"/>
  <c r="BH272" i="2"/>
  <c r="BK192" i="2"/>
  <c r="BC209" i="2"/>
  <c r="BC210" i="2"/>
  <c r="AQ212" i="2"/>
  <c r="AW156" i="1"/>
  <c r="DQ156" i="1"/>
  <c r="BI195" i="1"/>
  <c r="BI200" i="2"/>
  <c r="BI209" i="2" s="1"/>
  <c r="CA195" i="1"/>
  <c r="CA200" i="2"/>
  <c r="CG158" i="1"/>
  <c r="CM158" i="1"/>
  <c r="DK156" i="1"/>
  <c r="Y174" i="1"/>
  <c r="AE133" i="2"/>
  <c r="AE140" i="2" s="1"/>
  <c r="AK208" i="2"/>
  <c r="BC212" i="2"/>
  <c r="BC208" i="2"/>
  <c r="AK212" i="2"/>
  <c r="DQ195" i="1"/>
  <c r="DQ200" i="2"/>
  <c r="DN158" i="1"/>
  <c r="DN200" i="2"/>
  <c r="BI158" i="1"/>
  <c r="BU195" i="1"/>
  <c r="BU200" i="2"/>
  <c r="CA158" i="1"/>
  <c r="DE195" i="1"/>
  <c r="DE200" i="2"/>
  <c r="DK195" i="1"/>
  <c r="DK200" i="2"/>
  <c r="AW174" i="1"/>
  <c r="BH192" i="1"/>
  <c r="BG192" i="1" s="1"/>
  <c r="BF192" i="1" s="1"/>
  <c r="BE192" i="1" s="1"/>
  <c r="CA133" i="2"/>
  <c r="CA140" i="2" s="1"/>
  <c r="AK133" i="2"/>
  <c r="AK140" i="2" s="1"/>
  <c r="DS66" i="3"/>
  <c r="DG66" i="3"/>
  <c r="AK254" i="1"/>
  <c r="AQ254" i="1"/>
  <c r="AW254" i="1"/>
  <c r="BC254" i="1"/>
  <c r="CR40" i="3"/>
  <c r="AK284" i="1"/>
  <c r="CY124" i="2"/>
  <c r="AK131" i="2"/>
  <c r="BU131" i="2"/>
  <c r="CY132" i="2"/>
  <c r="DW132" i="2"/>
  <c r="BU136" i="2"/>
  <c r="BU137" i="2"/>
  <c r="CA136" i="2"/>
  <c r="CA137" i="2"/>
  <c r="CG136" i="2"/>
  <c r="CG137" i="2"/>
  <c r="CM136" i="2"/>
  <c r="CM137" i="2"/>
  <c r="CM138" i="2"/>
  <c r="CS136" i="2"/>
  <c r="Y134" i="3"/>
  <c r="DU148" i="3"/>
  <c r="CD131" i="3"/>
  <c r="CE58" i="3"/>
  <c r="BL131" i="3"/>
  <c r="BL134" i="3" s="1"/>
  <c r="BN58" i="3"/>
  <c r="EM133" i="3"/>
  <c r="EN60" i="3"/>
  <c r="EG133" i="3"/>
  <c r="EH60" i="3"/>
  <c r="EA133" i="3"/>
  <c r="EN136" i="3"/>
  <c r="EO136" i="3" s="1"/>
  <c r="EO63" i="3"/>
  <c r="DJ133" i="3"/>
  <c r="DK133" i="3" s="1"/>
  <c r="DK60" i="3"/>
  <c r="CL133" i="3"/>
  <c r="CM133" i="3" s="1"/>
  <c r="CM60" i="3"/>
  <c r="DS147" i="3"/>
  <c r="DS134" i="3"/>
  <c r="DW129" i="3"/>
  <c r="BG136" i="3"/>
  <c r="BH63" i="3"/>
  <c r="BG128" i="3"/>
  <c r="BG61" i="3"/>
  <c r="BH55" i="3"/>
  <c r="CE133" i="3"/>
  <c r="CF60" i="3"/>
  <c r="BA131" i="3"/>
  <c r="BB58" i="3"/>
  <c r="DO130" i="3"/>
  <c r="DP57" i="3"/>
  <c r="DE117" i="3"/>
  <c r="DD132" i="3"/>
  <c r="DE132" i="3" s="1"/>
  <c r="DE59" i="3"/>
  <c r="BB128" i="3"/>
  <c r="BC55" i="3"/>
  <c r="CM119" i="3"/>
  <c r="DD123" i="3"/>
  <c r="DE123" i="3" s="1"/>
  <c r="DE50" i="3"/>
  <c r="CL122" i="3"/>
  <c r="CM122" i="3" s="1"/>
  <c r="CM49" i="3"/>
  <c r="DE119" i="3"/>
  <c r="EM124" i="3"/>
  <c r="EN51" i="3"/>
  <c r="BX40" i="3"/>
  <c r="DN106" i="3"/>
  <c r="CR99" i="3"/>
  <c r="CS99" i="3" s="1"/>
  <c r="CS24" i="3"/>
  <c r="EA93" i="3"/>
  <c r="DO95" i="3"/>
  <c r="DP20" i="3"/>
  <c r="CU134" i="3"/>
  <c r="DP122" i="3"/>
  <c r="DO122" i="3"/>
  <c r="DQ122" i="3" s="1"/>
  <c r="DO52" i="3"/>
  <c r="CX121" i="3"/>
  <c r="CY121" i="3" s="1"/>
  <c r="CY48" i="3"/>
  <c r="DA125" i="3"/>
  <c r="DM125" i="3"/>
  <c r="DQ116" i="3"/>
  <c r="DQ125" i="3" s="1"/>
  <c r="BM117" i="3"/>
  <c r="BN44" i="3"/>
  <c r="BA117" i="3"/>
  <c r="BB44" i="3"/>
  <c r="CQ40" i="3"/>
  <c r="BH102" i="3"/>
  <c r="BI102" i="3" s="1"/>
  <c r="BI27" i="3"/>
  <c r="CR96" i="3"/>
  <c r="CS96" i="3" s="1"/>
  <c r="CS21" i="3"/>
  <c r="BY95" i="3"/>
  <c r="BZ20" i="3"/>
  <c r="BN100" i="3"/>
  <c r="BO100" i="3" s="1"/>
  <c r="BO25" i="3"/>
  <c r="BN96" i="3"/>
  <c r="BO96" i="3" s="1"/>
  <c r="BO21" i="3"/>
  <c r="BN92" i="3"/>
  <c r="BO92" i="3" s="1"/>
  <c r="BO17" i="3"/>
  <c r="EN100" i="3"/>
  <c r="EO100" i="3" s="1"/>
  <c r="EO25" i="3"/>
  <c r="EN96" i="3"/>
  <c r="EO96" i="3" s="1"/>
  <c r="EO21" i="3"/>
  <c r="EN92" i="3"/>
  <c r="EO92" i="3" s="1"/>
  <c r="EO17" i="3"/>
  <c r="DO100" i="3"/>
  <c r="DP25" i="3"/>
  <c r="DO92" i="3"/>
  <c r="DP17" i="3"/>
  <c r="BA90" i="3"/>
  <c r="BB15" i="3"/>
  <c r="CF123" i="3"/>
  <c r="CG123" i="3" s="1"/>
  <c r="CG50" i="3"/>
  <c r="DB40" i="3"/>
  <c r="CD40" i="3"/>
  <c r="BH129" i="3"/>
  <c r="BI56" i="3"/>
  <c r="BA124" i="3"/>
  <c r="BB51" i="3"/>
  <c r="CK123" i="3"/>
  <c r="CL50" i="3"/>
  <c r="CL52" i="3" s="1"/>
  <c r="EM119" i="3"/>
  <c r="EN46" i="3"/>
  <c r="EG122" i="3"/>
  <c r="EH49" i="3"/>
  <c r="EA121" i="3"/>
  <c r="BB116" i="3"/>
  <c r="BB52" i="3"/>
  <c r="BC52" i="3" s="1"/>
  <c r="BC43" i="3"/>
  <c r="CW40" i="3"/>
  <c r="CE34" i="3"/>
  <c r="BH100" i="3"/>
  <c r="BI100" i="3" s="1"/>
  <c r="BI25" i="3"/>
  <c r="CR98" i="3"/>
  <c r="CS98" i="3" s="1"/>
  <c r="CS23" i="3"/>
  <c r="BH94" i="3"/>
  <c r="BI94" i="3" s="1"/>
  <c r="BI19" i="3"/>
  <c r="EG101" i="3"/>
  <c r="EH26" i="3"/>
  <c r="EG97" i="3"/>
  <c r="EH22" i="3"/>
  <c r="EG93" i="3"/>
  <c r="EH18" i="3"/>
  <c r="EB102" i="3"/>
  <c r="EC102" i="3" s="1"/>
  <c r="EB98" i="3"/>
  <c r="EC98" i="3" s="1"/>
  <c r="DO102" i="3"/>
  <c r="DP27" i="3"/>
  <c r="AA110" i="2"/>
  <c r="AM110" i="2"/>
  <c r="AY110" i="2"/>
  <c r="O119" i="2"/>
  <c r="AA119" i="2"/>
  <c r="CE130" i="3"/>
  <c r="CD130" i="3"/>
  <c r="CJ130" i="3"/>
  <c r="CK130" i="3"/>
  <c r="CJ61" i="3"/>
  <c r="CJ66" i="3" s="1"/>
  <c r="DV145" i="3"/>
  <c r="DS148" i="3"/>
  <c r="BX131" i="3"/>
  <c r="BX61" i="3"/>
  <c r="BX66" i="3" s="1"/>
  <c r="BY58" i="3"/>
  <c r="EM132" i="3"/>
  <c r="EN59" i="3"/>
  <c r="EG132" i="3"/>
  <c r="EH59" i="3"/>
  <c r="EA132" i="3"/>
  <c r="EH136" i="3"/>
  <c r="EI136" i="3" s="1"/>
  <c r="EI63" i="3"/>
  <c r="DD133" i="3"/>
  <c r="DE133" i="3" s="1"/>
  <c r="DE60" i="3"/>
  <c r="BH133" i="3"/>
  <c r="BI133" i="3" s="1"/>
  <c r="BI60" i="3"/>
  <c r="BA136" i="3"/>
  <c r="BB63" i="3"/>
  <c r="BB136" i="3" s="1"/>
  <c r="CW132" i="3"/>
  <c r="CV132" i="3"/>
  <c r="DO133" i="3"/>
  <c r="DP60" i="3"/>
  <c r="DC122" i="3"/>
  <c r="DD49" i="3"/>
  <c r="CE121" i="3"/>
  <c r="CF48" i="3"/>
  <c r="DD40" i="3"/>
  <c r="CP110" i="3"/>
  <c r="CQ35" i="3"/>
  <c r="BH101" i="3"/>
  <c r="BI101" i="3" s="1"/>
  <c r="BI26" i="3"/>
  <c r="CR95" i="3"/>
  <c r="CS20" i="3"/>
  <c r="BG89" i="3"/>
  <c r="BH14" i="3"/>
  <c r="EA92" i="3"/>
  <c r="BM89" i="3"/>
  <c r="BN14" i="3"/>
  <c r="CK61" i="3"/>
  <c r="CK66" i="3" s="1"/>
  <c r="DJ123" i="3"/>
  <c r="DK123" i="3" s="1"/>
  <c r="DK50" i="3"/>
  <c r="CQ121" i="3"/>
  <c r="CR48" i="3"/>
  <c r="CE122" i="3"/>
  <c r="CF49" i="3"/>
  <c r="EM121" i="3"/>
  <c r="EN48" i="3"/>
  <c r="DC40" i="3"/>
  <c r="DB107" i="3"/>
  <c r="DC32" i="3"/>
  <c r="CD107" i="3"/>
  <c r="CE32" i="3"/>
  <c r="CF101" i="3"/>
  <c r="CG101" i="3" s="1"/>
  <c r="CG26" i="3"/>
  <c r="BZ100" i="3"/>
  <c r="CA100" i="3" s="1"/>
  <c r="CA25" i="3"/>
  <c r="BH95" i="3"/>
  <c r="BI95" i="3" s="1"/>
  <c r="BI20" i="3"/>
  <c r="BG88" i="3"/>
  <c r="BH13" i="3"/>
  <c r="BN99" i="3"/>
  <c r="BO99" i="3" s="1"/>
  <c r="BO24" i="3"/>
  <c r="BN95" i="3"/>
  <c r="BO95" i="3" s="1"/>
  <c r="BO20" i="3"/>
  <c r="EN103" i="3"/>
  <c r="EO103" i="3" s="1"/>
  <c r="EO28" i="3"/>
  <c r="EN99" i="3"/>
  <c r="EO99" i="3" s="1"/>
  <c r="EO24" i="3"/>
  <c r="EN95" i="3"/>
  <c r="EO95" i="3" s="1"/>
  <c r="EO20" i="3"/>
  <c r="DP97" i="3"/>
  <c r="DQ97" i="3" s="1"/>
  <c r="DQ22" i="3"/>
  <c r="AP91" i="3"/>
  <c r="AQ91" i="3" s="1"/>
  <c r="AQ16" i="3"/>
  <c r="BH123" i="3"/>
  <c r="BI123" i="3" s="1"/>
  <c r="BI50" i="3"/>
  <c r="BZ120" i="3"/>
  <c r="CA120" i="3" s="1"/>
  <c r="CA47" i="3"/>
  <c r="EM122" i="3"/>
  <c r="EN49" i="3"/>
  <c r="CP125" i="3"/>
  <c r="DV40" i="3"/>
  <c r="CX40" i="3"/>
  <c r="EA131" i="3"/>
  <c r="BN129" i="3"/>
  <c r="BO129" i="3" s="1"/>
  <c r="BO56" i="3"/>
  <c r="DI121" i="3"/>
  <c r="DJ48" i="3"/>
  <c r="CE124" i="3"/>
  <c r="CF51" i="3"/>
  <c r="CW125" i="3"/>
  <c r="EG121" i="3"/>
  <c r="EH48" i="3"/>
  <c r="EA124" i="3"/>
  <c r="EA120" i="3"/>
  <c r="DO125" i="3"/>
  <c r="DC125" i="3"/>
  <c r="CO125" i="3"/>
  <c r="CS116" i="3"/>
  <c r="BQ125" i="3"/>
  <c r="BU116" i="3"/>
  <c r="BU125" i="3" s="1"/>
  <c r="DM66" i="3"/>
  <c r="DM40" i="3"/>
  <c r="BY101" i="3"/>
  <c r="BZ26" i="3"/>
  <c r="BG90" i="3"/>
  <c r="BH15" i="3"/>
  <c r="EL91" i="3"/>
  <c r="EM16" i="3"/>
  <c r="EG100" i="3"/>
  <c r="EH25" i="3"/>
  <c r="EG96" i="3"/>
  <c r="EH21" i="3"/>
  <c r="EG92" i="3"/>
  <c r="EH17" i="3"/>
  <c r="EB101" i="3"/>
  <c r="EC101" i="3" s="1"/>
  <c r="EB97" i="3"/>
  <c r="EC97" i="3" s="1"/>
  <c r="DO98" i="3"/>
  <c r="DP23" i="3"/>
  <c r="AK150" i="2"/>
  <c r="AK151" i="2" s="1"/>
  <c r="EH116" i="3"/>
  <c r="EI43" i="3"/>
  <c r="DW284" i="1"/>
  <c r="AE284" i="1"/>
  <c r="DW124" i="2"/>
  <c r="DK132" i="2"/>
  <c r="AQ131" i="2"/>
  <c r="AQ132" i="2"/>
  <c r="AW131" i="2"/>
  <c r="AW132" i="2"/>
  <c r="S136" i="2"/>
  <c r="Y136" i="2"/>
  <c r="AE136" i="2"/>
  <c r="AK136" i="2"/>
  <c r="AQ136" i="2"/>
  <c r="AQ137" i="2"/>
  <c r="AW136" i="2"/>
  <c r="AW137" i="2"/>
  <c r="S134" i="3"/>
  <c r="S125" i="3"/>
  <c r="DW130" i="3"/>
  <c r="BS133" i="3"/>
  <c r="BT60" i="3"/>
  <c r="CP131" i="3"/>
  <c r="CP61" i="3"/>
  <c r="CP66" i="3" s="1"/>
  <c r="CQ58" i="3"/>
  <c r="BM133" i="3"/>
  <c r="BN60" i="3"/>
  <c r="EB136" i="3"/>
  <c r="EC136" i="3" s="1"/>
  <c r="BU136" i="3"/>
  <c r="CX133" i="3"/>
  <c r="CY133" i="3" s="1"/>
  <c r="CY60" i="3"/>
  <c r="EF130" i="3"/>
  <c r="EG57" i="3"/>
  <c r="CD61" i="3"/>
  <c r="CD66" i="3" s="1"/>
  <c r="BY133" i="3"/>
  <c r="BZ60" i="3"/>
  <c r="CY119" i="3"/>
  <c r="BH131" i="3"/>
  <c r="BG131" i="3"/>
  <c r="BI131" i="3" s="1"/>
  <c r="BY122" i="3"/>
  <c r="BZ49" i="3"/>
  <c r="EM120" i="3"/>
  <c r="EN47" i="3"/>
  <c r="DO110" i="3"/>
  <c r="DN110" i="3"/>
  <c r="BY32" i="3"/>
  <c r="BY98" i="3"/>
  <c r="BZ23" i="3"/>
  <c r="BZ91" i="3"/>
  <c r="BY91" i="3"/>
  <c r="BY39" i="3"/>
  <c r="BA89" i="3"/>
  <c r="BB14" i="3"/>
  <c r="CV131" i="3"/>
  <c r="CV61" i="3"/>
  <c r="CV66" i="3" s="1"/>
  <c r="CW58" i="3"/>
  <c r="BM128" i="3"/>
  <c r="BM61" i="3"/>
  <c r="BN55" i="3"/>
  <c r="CW123" i="3"/>
  <c r="CX50" i="3"/>
  <c r="BY123" i="3"/>
  <c r="BZ50" i="3"/>
  <c r="DS125" i="3"/>
  <c r="DW116" i="3"/>
  <c r="DW125" i="3" s="1"/>
  <c r="DJ36" i="3"/>
  <c r="DB111" i="3"/>
  <c r="DC36" i="3"/>
  <c r="CE100" i="3"/>
  <c r="CF25" i="3"/>
  <c r="BH98" i="3"/>
  <c r="BI98" i="3" s="1"/>
  <c r="BI23" i="3"/>
  <c r="CR100" i="3"/>
  <c r="CS100" i="3" s="1"/>
  <c r="CS25" i="3"/>
  <c r="BY99" i="3"/>
  <c r="BZ24" i="3"/>
  <c r="BZ93" i="3"/>
  <c r="CA93" i="3" s="1"/>
  <c r="CA18" i="3"/>
  <c r="BN102" i="3"/>
  <c r="BO102" i="3" s="1"/>
  <c r="BO27" i="3"/>
  <c r="BN98" i="3"/>
  <c r="BO98" i="3" s="1"/>
  <c r="BO23" i="3"/>
  <c r="BN94" i="3"/>
  <c r="BO94" i="3" s="1"/>
  <c r="BO19" i="3"/>
  <c r="EN102" i="3"/>
  <c r="EO102" i="3" s="1"/>
  <c r="EO27" i="3"/>
  <c r="EN98" i="3"/>
  <c r="EO98" i="3" s="1"/>
  <c r="EO23" i="3"/>
  <c r="EN94" i="3"/>
  <c r="EO94" i="3" s="1"/>
  <c r="EO19" i="3"/>
  <c r="DO96" i="3"/>
  <c r="DP21" i="3"/>
  <c r="DD121" i="3"/>
  <c r="DE121" i="3" s="1"/>
  <c r="DE48" i="3"/>
  <c r="CQ123" i="3"/>
  <c r="CR50" i="3"/>
  <c r="DP125" i="3"/>
  <c r="CE120" i="3"/>
  <c r="CF47" i="3"/>
  <c r="EM123" i="3"/>
  <c r="EN50" i="3"/>
  <c r="EG124" i="3"/>
  <c r="EH51" i="3"/>
  <c r="EG120" i="3"/>
  <c r="EH47" i="3"/>
  <c r="EA123" i="3"/>
  <c r="EA119" i="3"/>
  <c r="DI52" i="3"/>
  <c r="BG117" i="3"/>
  <c r="BH44" i="3"/>
  <c r="DC34" i="3"/>
  <c r="BG105" i="3"/>
  <c r="BH30" i="3"/>
  <c r="BY102" i="3"/>
  <c r="BZ102" i="3"/>
  <c r="BY97" i="3"/>
  <c r="BZ22" i="3"/>
  <c r="EG103" i="3"/>
  <c r="EH28" i="3"/>
  <c r="EG99" i="3"/>
  <c r="EH24" i="3"/>
  <c r="EG95" i="3"/>
  <c r="EH20" i="3"/>
  <c r="EB100" i="3"/>
  <c r="EC100" i="3" s="1"/>
  <c r="EB96" i="3"/>
  <c r="EC96" i="3" s="1"/>
  <c r="DO94" i="3"/>
  <c r="DP19" i="3"/>
  <c r="BM88" i="3"/>
  <c r="BN13" i="3"/>
  <c r="EN116" i="3"/>
  <c r="EO43" i="3"/>
  <c r="DG271" i="1"/>
  <c r="S288" i="1"/>
  <c r="AE288" i="1"/>
  <c r="BK125" i="2"/>
  <c r="BK110" i="2" s="1"/>
  <c r="CA124" i="2"/>
  <c r="BW125" i="2"/>
  <c r="BW110" i="2" s="1"/>
  <c r="DK124" i="2"/>
  <c r="DQ132" i="2"/>
  <c r="CS137" i="2"/>
  <c r="CS138" i="2"/>
  <c r="CY137" i="2"/>
  <c r="DE137" i="2"/>
  <c r="DE138" i="2"/>
  <c r="DK137" i="2"/>
  <c r="DK138" i="2"/>
  <c r="DQ137" i="2"/>
  <c r="DQ138" i="2"/>
  <c r="DW137" i="2"/>
  <c r="DW113" i="3"/>
  <c r="BM136" i="3"/>
  <c r="BN63" i="3"/>
  <c r="BS132" i="3"/>
  <c r="BS61" i="3"/>
  <c r="BT59" i="3"/>
  <c r="BM132" i="3"/>
  <c r="BN59" i="3"/>
  <c r="EM130" i="3"/>
  <c r="EN57" i="3"/>
  <c r="DV133" i="3"/>
  <c r="DW60" i="3"/>
  <c r="DV61" i="3"/>
  <c r="DW61" i="3" s="1"/>
  <c r="CR133" i="3"/>
  <c r="CS133" i="3" s="1"/>
  <c r="CS60" i="3"/>
  <c r="BA129" i="3"/>
  <c r="BB56" i="3"/>
  <c r="BB61" i="3" s="1"/>
  <c r="BC61" i="3" s="1"/>
  <c r="DI122" i="3"/>
  <c r="DJ49" i="3"/>
  <c r="BB119" i="3"/>
  <c r="BC119" i="3" s="1"/>
  <c r="BC46" i="3"/>
  <c r="DZ116" i="3"/>
  <c r="BM125" i="3"/>
  <c r="CV40" i="3"/>
  <c r="DB108" i="3"/>
  <c r="DC33" i="3"/>
  <c r="BM105" i="3"/>
  <c r="BN30" i="3"/>
  <c r="CF93" i="3"/>
  <c r="CE93" i="3"/>
  <c r="EA94" i="3"/>
  <c r="DO99" i="3"/>
  <c r="DP24" i="3"/>
  <c r="EA130" i="3"/>
  <c r="CL121" i="3"/>
  <c r="CM121" i="3" s="1"/>
  <c r="CM48" i="3"/>
  <c r="CK125" i="3"/>
  <c r="BH116" i="3"/>
  <c r="BH52" i="3"/>
  <c r="BI52" i="3" s="1"/>
  <c r="BI43" i="3"/>
  <c r="CE39" i="3"/>
  <c r="CV106" i="3"/>
  <c r="CW31" i="3"/>
  <c r="BX106" i="3"/>
  <c r="BY31" i="3"/>
  <c r="BB105" i="3"/>
  <c r="BC105" i="3" s="1"/>
  <c r="BC30" i="3"/>
  <c r="CF98" i="3"/>
  <c r="CG98" i="3" s="1"/>
  <c r="CF39" i="3"/>
  <c r="CG23" i="3"/>
  <c r="BZ96" i="3"/>
  <c r="CA96" i="3" s="1"/>
  <c r="CA21" i="3"/>
  <c r="BN101" i="3"/>
  <c r="BO101" i="3" s="1"/>
  <c r="BO26" i="3"/>
  <c r="BN97" i="3"/>
  <c r="BO97" i="3" s="1"/>
  <c r="BO22" i="3"/>
  <c r="BN93" i="3"/>
  <c r="BO93" i="3" s="1"/>
  <c r="BO18" i="3"/>
  <c r="EN101" i="3"/>
  <c r="EO101" i="3" s="1"/>
  <c r="EO26" i="3"/>
  <c r="EN97" i="3"/>
  <c r="EO97" i="3" s="1"/>
  <c r="EO22" i="3"/>
  <c r="EN93" i="3"/>
  <c r="EO93" i="3" s="1"/>
  <c r="EO18" i="3"/>
  <c r="DP101" i="3"/>
  <c r="DQ101" i="3" s="1"/>
  <c r="DQ26" i="3"/>
  <c r="DP93" i="3"/>
  <c r="DQ93" i="3" s="1"/>
  <c r="DQ18" i="3"/>
  <c r="BB91" i="3"/>
  <c r="BC91" i="3" s="1"/>
  <c r="BC16" i="3"/>
  <c r="BH119" i="3"/>
  <c r="BI119" i="3" s="1"/>
  <c r="BI46" i="3"/>
  <c r="BZ124" i="3"/>
  <c r="CA124" i="3" s="1"/>
  <c r="CA51" i="3"/>
  <c r="CV125" i="3"/>
  <c r="CJ125" i="3"/>
  <c r="BG125" i="3"/>
  <c r="CQ122" i="3"/>
  <c r="CR49" i="3"/>
  <c r="BY121" i="3"/>
  <c r="BZ48" i="3"/>
  <c r="EG123" i="3"/>
  <c r="EH50" i="3"/>
  <c r="EG119" i="3"/>
  <c r="EH46" i="3"/>
  <c r="EA122" i="3"/>
  <c r="DI125" i="3"/>
  <c r="CU125" i="3"/>
  <c r="CY116" i="3"/>
  <c r="CA116" i="3"/>
  <c r="BW125" i="3"/>
  <c r="DA66" i="3"/>
  <c r="DA40" i="3"/>
  <c r="CC66" i="3"/>
  <c r="CC40" i="3"/>
  <c r="CE99" i="3"/>
  <c r="CF99" i="3"/>
  <c r="CR102" i="3"/>
  <c r="CS102" i="3" s="1"/>
  <c r="CS27" i="3"/>
  <c r="BH96" i="3"/>
  <c r="BI96" i="3" s="1"/>
  <c r="BI21" i="3"/>
  <c r="EG102" i="3"/>
  <c r="EH27" i="3"/>
  <c r="EG98" i="3"/>
  <c r="EH23" i="3"/>
  <c r="EG94" i="3"/>
  <c r="EH19" i="3"/>
  <c r="EB103" i="3"/>
  <c r="EC103" i="3" s="1"/>
  <c r="EB99" i="3"/>
  <c r="EC99" i="3" s="1"/>
  <c r="EB95" i="3"/>
  <c r="EC95" i="3" s="1"/>
  <c r="BN91" i="3"/>
  <c r="BO91" i="3" s="1"/>
  <c r="BO16" i="3"/>
  <c r="BA88" i="3"/>
  <c r="BB13" i="3"/>
  <c r="EE10" i="2"/>
  <c r="EF10" i="2" s="1"/>
  <c r="EG10" i="2" s="1"/>
  <c r="EH10" i="2" s="1"/>
  <c r="EC10" i="2"/>
  <c r="AW24" i="2"/>
  <c r="BL171" i="2"/>
  <c r="BL52" i="2"/>
  <c r="BR171" i="2"/>
  <c r="BR168" i="2" s="1"/>
  <c r="BR52" i="2"/>
  <c r="CC171" i="2"/>
  <c r="CC52" i="2"/>
  <c r="CS24" i="2"/>
  <c r="CW171" i="2"/>
  <c r="CW168" i="2" s="1"/>
  <c r="CW52" i="2"/>
  <c r="DC171" i="2"/>
  <c r="DC168" i="2" s="1"/>
  <c r="DC52" i="2"/>
  <c r="DH171" i="2"/>
  <c r="DH168" i="2" s="1"/>
  <c r="DH52" i="2"/>
  <c r="DO171" i="2"/>
  <c r="DO168" i="2" s="1"/>
  <c r="DO52" i="2"/>
  <c r="DU171" i="2"/>
  <c r="DU168" i="2" s="1"/>
  <c r="DU52" i="2"/>
  <c r="EE18" i="2"/>
  <c r="EF18" i="2" s="1"/>
  <c r="EG18" i="2" s="1"/>
  <c r="EH18" i="2" s="1"/>
  <c r="EC18" i="2"/>
  <c r="EE22" i="2"/>
  <c r="EF22" i="2" s="1"/>
  <c r="EG22" i="2" s="1"/>
  <c r="EH22" i="2" s="1"/>
  <c r="EC22" i="2"/>
  <c r="DD50" i="2"/>
  <c r="DE50" i="2" s="1"/>
  <c r="DE42" i="2"/>
  <c r="DJ50" i="2"/>
  <c r="DK50" i="2" s="1"/>
  <c r="DK42" i="2"/>
  <c r="BU177" i="2"/>
  <c r="Y177" i="2"/>
  <c r="BI24" i="2"/>
  <c r="BM171" i="2"/>
  <c r="BM168" i="2" s="1"/>
  <c r="BM52" i="2"/>
  <c r="BS171" i="2"/>
  <c r="BS168" i="2" s="1"/>
  <c r="BS52" i="2"/>
  <c r="BX171" i="2"/>
  <c r="BX168" i="2" s="1"/>
  <c r="BX52" i="2"/>
  <c r="CD171" i="2"/>
  <c r="CD168" i="2" s="1"/>
  <c r="CD52" i="2"/>
  <c r="CI171" i="2"/>
  <c r="CI52" i="2"/>
  <c r="CO171" i="2"/>
  <c r="CO52" i="2"/>
  <c r="DD171" i="2"/>
  <c r="DD168" i="2" s="1"/>
  <c r="DD52" i="2"/>
  <c r="DE24" i="2"/>
  <c r="DI171" i="2"/>
  <c r="DI168" i="2" s="1"/>
  <c r="DI169" i="2" s="1"/>
  <c r="DI52" i="2"/>
  <c r="DQ24" i="2"/>
  <c r="BH50" i="2"/>
  <c r="BI50" i="2" s="1"/>
  <c r="BI42" i="2"/>
  <c r="BN50" i="2"/>
  <c r="BO50" i="2" s="1"/>
  <c r="BO42" i="2"/>
  <c r="BZ50" i="2"/>
  <c r="CA50" i="2" s="1"/>
  <c r="CA42" i="2"/>
  <c r="DV50" i="2"/>
  <c r="DW50" i="2" s="1"/>
  <c r="DW42" i="2"/>
  <c r="EE40" i="2"/>
  <c r="EF40" i="2" s="1"/>
  <c r="EG40" i="2" s="1"/>
  <c r="EH40" i="2" s="1"/>
  <c r="EC40" i="2"/>
  <c r="EE39" i="2"/>
  <c r="EF39" i="2" s="1"/>
  <c r="EG39" i="2" s="1"/>
  <c r="EH39" i="2" s="1"/>
  <c r="EC39" i="2"/>
  <c r="EC46" i="2"/>
  <c r="EE46" i="2"/>
  <c r="EF46" i="2" s="1"/>
  <c r="EG46" i="2" s="1"/>
  <c r="EH46" i="2" s="1"/>
  <c r="AK177" i="2"/>
  <c r="EE13" i="2"/>
  <c r="EC13" i="2"/>
  <c r="Y24" i="2"/>
  <c r="BU24" i="2"/>
  <c r="BY171" i="2"/>
  <c r="BY168" i="2" s="1"/>
  <c r="BY52" i="2"/>
  <c r="CE171" i="2"/>
  <c r="CE168" i="2" s="1"/>
  <c r="CE52" i="2"/>
  <c r="CJ171" i="2"/>
  <c r="CJ168" i="2" s="1"/>
  <c r="CP171" i="2"/>
  <c r="CP168" i="2" s="1"/>
  <c r="CQ169" i="2" s="1"/>
  <c r="CP52" i="2"/>
  <c r="CU171" i="2"/>
  <c r="CU52" i="2"/>
  <c r="DA171" i="2"/>
  <c r="DA52" i="2"/>
  <c r="DY171" i="2"/>
  <c r="DY52" i="2"/>
  <c r="EE21" i="2"/>
  <c r="EF21" i="2" s="1"/>
  <c r="EG21" i="2" s="1"/>
  <c r="EH21" i="2" s="1"/>
  <c r="EC21" i="2"/>
  <c r="EE29" i="2"/>
  <c r="EC29" i="2"/>
  <c r="CF50" i="2"/>
  <c r="CG50" i="2" s="1"/>
  <c r="CG42" i="2"/>
  <c r="CM42" i="2"/>
  <c r="EI36" i="2"/>
  <c r="EG36" i="2"/>
  <c r="EH36" i="2" s="1"/>
  <c r="EK36" i="2" s="1"/>
  <c r="EL36" i="2" s="1"/>
  <c r="CS177" i="2"/>
  <c r="AW177" i="2"/>
  <c r="AJ52" i="2"/>
  <c r="AK24" i="2"/>
  <c r="AK52" i="2" s="1"/>
  <c r="BQ171" i="2"/>
  <c r="BQ52" i="2"/>
  <c r="CF171" i="2"/>
  <c r="CF168" i="2" s="1"/>
  <c r="CG24" i="2"/>
  <c r="CK171" i="2"/>
  <c r="CK168" i="2" s="1"/>
  <c r="CK52" i="2"/>
  <c r="DB171" i="2"/>
  <c r="DB168" i="2" s="1"/>
  <c r="DB52" i="2"/>
  <c r="DG171" i="2"/>
  <c r="DG52" i="2"/>
  <c r="DM171" i="2"/>
  <c r="DM52" i="2"/>
  <c r="DT171" i="2"/>
  <c r="DT168" i="2" s="1"/>
  <c r="DT52" i="2"/>
  <c r="CX50" i="2"/>
  <c r="CY50" i="2" s="1"/>
  <c r="CY42" i="2"/>
  <c r="EC38" i="2"/>
  <c r="EE38" i="2"/>
  <c r="EF38" i="2" s="1"/>
  <c r="EG38" i="2" s="1"/>
  <c r="EH38" i="2" s="1"/>
  <c r="EC41" i="2"/>
  <c r="EE41" i="2"/>
  <c r="EF41" i="2" s="1"/>
  <c r="EG41" i="2" s="1"/>
  <c r="EH41" i="2" s="1"/>
  <c r="S102" i="2"/>
  <c r="AQ102" i="2"/>
  <c r="BO102" i="2"/>
  <c r="CM102" i="2"/>
  <c r="DK102" i="2"/>
  <c r="R24" i="2"/>
  <c r="AP24" i="2"/>
  <c r="BN24" i="2"/>
  <c r="CL24" i="2"/>
  <c r="DJ24" i="2"/>
  <c r="BW102" i="2"/>
  <c r="BW34" i="2"/>
  <c r="BW42" i="2" s="1"/>
  <c r="BW50" i="2" s="1"/>
  <c r="BW52" i="2" s="1"/>
  <c r="Y75" i="2"/>
  <c r="X42" i="2"/>
  <c r="X50" i="2" s="1"/>
  <c r="Y50" i="2" s="1"/>
  <c r="AV42" i="2"/>
  <c r="AV50" i="2" s="1"/>
  <c r="AW50" i="2" s="1"/>
  <c r="BT42" i="2"/>
  <c r="CR42" i="2"/>
  <c r="CR171" i="2" s="1"/>
  <c r="CR168" i="2" s="1"/>
  <c r="DP42" i="2"/>
  <c r="CJ144" i="2"/>
  <c r="Y164" i="2"/>
  <c r="Y165" i="2" s="1"/>
  <c r="Y166" i="2" s="1"/>
  <c r="S166" i="2"/>
  <c r="BI162" i="2"/>
  <c r="BI165" i="2" s="1"/>
  <c r="BI166" i="2" s="1"/>
  <c r="BO164" i="2"/>
  <c r="BO162" i="2"/>
  <c r="BU164" i="2"/>
  <c r="BU46" i="2"/>
  <c r="CA162" i="2" s="1"/>
  <c r="CG164" i="2"/>
  <c r="CG162" i="2"/>
  <c r="CM164" i="2"/>
  <c r="CS164" i="2"/>
  <c r="CM162" i="2"/>
  <c r="CS46" i="2"/>
  <c r="CY162" i="2" s="1"/>
  <c r="DE164" i="2"/>
  <c r="DE162" i="2"/>
  <c r="DK164" i="2"/>
  <c r="DQ164" i="2"/>
  <c r="DK162" i="2"/>
  <c r="EC164" i="2"/>
  <c r="S177" i="2"/>
  <c r="AQ177" i="2"/>
  <c r="CY177" i="2"/>
  <c r="CX98" i="2"/>
  <c r="DJ98" i="2"/>
  <c r="DV98" i="2"/>
  <c r="AK102" i="2"/>
  <c r="BI102" i="2"/>
  <c r="CG102" i="2"/>
  <c r="DE102" i="2"/>
  <c r="M34" i="2"/>
  <c r="M42" i="2" s="1"/>
  <c r="AK34" i="2"/>
  <c r="AK42" i="2" s="1"/>
  <c r="BI34" i="2"/>
  <c r="CG34" i="2"/>
  <c r="DE34" i="2"/>
  <c r="DE41" i="2"/>
  <c r="CL144" i="2"/>
  <c r="CL48" i="2"/>
  <c r="CL50" i="2" s="1"/>
  <c r="CM50" i="2" s="1"/>
  <c r="DP46" i="2"/>
  <c r="BC177" i="2"/>
  <c r="CA177" i="2"/>
  <c r="DW177" i="2"/>
  <c r="AA99" i="2"/>
  <c r="AA100" i="2" s="1"/>
  <c r="AA96" i="2"/>
  <c r="AB95" i="2"/>
  <c r="CX96" i="2"/>
  <c r="DP96" i="2"/>
  <c r="AE56" i="2"/>
  <c r="AE102" i="2"/>
  <c r="BC102" i="2"/>
  <c r="CA102" i="2"/>
  <c r="CY102" i="2"/>
  <c r="DW102" i="2"/>
  <c r="F24" i="2"/>
  <c r="F52" i="2" s="1"/>
  <c r="AD24" i="2"/>
  <c r="BB24" i="2"/>
  <c r="BZ24" i="2"/>
  <c r="CX24" i="2"/>
  <c r="DV24" i="2"/>
  <c r="CM44" i="2"/>
  <c r="AE177" i="2"/>
  <c r="BO177" i="2"/>
  <c r="AG99" i="2"/>
  <c r="AH95" i="2"/>
  <c r="DV96" i="2"/>
  <c r="CA99" i="2"/>
  <c r="Y102" i="2"/>
  <c r="AW102" i="2"/>
  <c r="BU102" i="2"/>
  <c r="CS102" i="2"/>
  <c r="DQ102" i="2"/>
  <c r="DS16" i="2"/>
  <c r="DS24" i="2" s="1"/>
  <c r="Y170" i="2"/>
  <c r="Y169" i="2"/>
  <c r="AE169" i="2"/>
  <c r="AE170" i="2"/>
  <c r="AK170" i="2"/>
  <c r="AK169" i="2"/>
  <c r="AQ169" i="2"/>
  <c r="AQ170" i="2"/>
  <c r="AW169" i="2"/>
  <c r="AW170" i="2"/>
  <c r="BC169" i="2"/>
  <c r="BC170" i="2"/>
  <c r="BI169" i="2"/>
  <c r="CJ48" i="2"/>
  <c r="CJ282" i="1" s="1"/>
  <c r="DE177" i="2"/>
  <c r="DK177" i="2"/>
  <c r="AM99" i="2"/>
  <c r="AN95" i="2"/>
  <c r="CG99" i="2"/>
  <c r="BI177" i="2"/>
  <c r="CG177" i="2"/>
  <c r="AI80" i="2"/>
  <c r="AU80" i="2"/>
  <c r="BG80" i="2"/>
  <c r="BS80" i="2"/>
  <c r="CE80" i="2"/>
  <c r="CQ80" i="2"/>
  <c r="DC80" i="2"/>
  <c r="DO80" i="2"/>
  <c r="BX109" i="2"/>
  <c r="BY106" i="2"/>
  <c r="BY110" i="2" s="1"/>
  <c r="CI106" i="2"/>
  <c r="CF109" i="2"/>
  <c r="CG109" i="2" s="1"/>
  <c r="CG106" i="2"/>
  <c r="CW107" i="2"/>
  <c r="CV121" i="2"/>
  <c r="AP122" i="2"/>
  <c r="AQ108" i="2"/>
  <c r="CO115" i="2"/>
  <c r="CP115" i="2" s="1"/>
  <c r="CQ115" i="2" s="1"/>
  <c r="CR115" i="2" s="1"/>
  <c r="CM115" i="2"/>
  <c r="AK79" i="2"/>
  <c r="AK80" i="2" s="1"/>
  <c r="AJ80" i="2"/>
  <c r="AN80" i="2"/>
  <c r="AW79" i="2"/>
  <c r="AV80" i="2"/>
  <c r="AZ80" i="2"/>
  <c r="BI79" i="2"/>
  <c r="BH80" i="2"/>
  <c r="BL80" i="2"/>
  <c r="BU79" i="2"/>
  <c r="BT80" i="2"/>
  <c r="BX80" i="2"/>
  <c r="CG79" i="2"/>
  <c r="CF80" i="2"/>
  <c r="CJ80" i="2"/>
  <c r="CS79" i="2"/>
  <c r="CR80" i="2"/>
  <c r="CV80" i="2"/>
  <c r="DE79" i="2"/>
  <c r="DD80" i="2"/>
  <c r="DH80" i="2"/>
  <c r="DQ79" i="2"/>
  <c r="DP80" i="2"/>
  <c r="DT80" i="2"/>
  <c r="AP81" i="2"/>
  <c r="BB81" i="2"/>
  <c r="BN81" i="2"/>
  <c r="BZ81" i="2"/>
  <c r="CL81" i="2"/>
  <c r="CX81" i="2"/>
  <c r="DJ81" i="2"/>
  <c r="DV81" i="2"/>
  <c r="DC96" i="2"/>
  <c r="EA96" i="2"/>
  <c r="EB96" i="2" s="1"/>
  <c r="EB95" i="2" s="1"/>
  <c r="BS98" i="2"/>
  <c r="DC98" i="2"/>
  <c r="DO98" i="2"/>
  <c r="EA98" i="2"/>
  <c r="EB98" i="2" s="1"/>
  <c r="EB99" i="2" s="1"/>
  <c r="EB100" i="2" s="1"/>
  <c r="Y99" i="2"/>
  <c r="AK99" i="2"/>
  <c r="AW99" i="2"/>
  <c r="BI99" i="2"/>
  <c r="BU99" i="2"/>
  <c r="CC121" i="2"/>
  <c r="CJ109" i="2"/>
  <c r="Q122" i="2"/>
  <c r="Y109" i="2"/>
  <c r="X108" i="2"/>
  <c r="AC122" i="2"/>
  <c r="AD122" i="2"/>
  <c r="AE108" i="2"/>
  <c r="AJ122" i="2"/>
  <c r="AT122" i="2"/>
  <c r="BG122" i="2"/>
  <c r="CE107" i="2"/>
  <c r="CP109" i="2"/>
  <c r="CD113" i="2"/>
  <c r="BX110" i="2"/>
  <c r="AS81" i="2"/>
  <c r="BE81" i="2"/>
  <c r="BQ81" i="2"/>
  <c r="CC81" i="2"/>
  <c r="CO81" i="2"/>
  <c r="DA81" i="2"/>
  <c r="DM81" i="2"/>
  <c r="DY81" i="2"/>
  <c r="BW98" i="2"/>
  <c r="CC98" i="2"/>
  <c r="R99" i="2"/>
  <c r="CD121" i="2"/>
  <c r="CD122" i="2"/>
  <c r="AW109" i="2"/>
  <c r="AV108" i="2"/>
  <c r="BA122" i="2"/>
  <c r="BB122" i="2"/>
  <c r="BC108" i="2"/>
  <c r="BH122" i="2"/>
  <c r="CE125" i="2"/>
  <c r="BU125" i="2"/>
  <c r="BQ110" i="2"/>
  <c r="BY108" i="2"/>
  <c r="CA134" i="2"/>
  <c r="BB64" i="2"/>
  <c r="AH80" i="2"/>
  <c r="AQ79" i="2"/>
  <c r="AT80" i="2"/>
  <c r="BC79" i="2"/>
  <c r="BC80" i="2" s="1"/>
  <c r="BF80" i="2"/>
  <c r="BO79" i="2"/>
  <c r="BR80" i="2"/>
  <c r="CA79" i="2"/>
  <c r="CD80" i="2"/>
  <c r="CM79" i="2"/>
  <c r="CP80" i="2"/>
  <c r="CY79" i="2"/>
  <c r="DB80" i="2"/>
  <c r="DK79" i="2"/>
  <c r="DN80" i="2"/>
  <c r="DW79" i="2"/>
  <c r="CJ98" i="2"/>
  <c r="AE99" i="2"/>
  <c r="AQ99" i="2"/>
  <c r="BC99" i="2"/>
  <c r="BO99" i="2"/>
  <c r="CL109" i="2"/>
  <c r="CM109" i="2" s="1"/>
  <c r="CM106" i="2"/>
  <c r="CA107" i="2"/>
  <c r="CC122" i="2" s="1"/>
  <c r="CF125" i="2"/>
  <c r="CG110" i="2"/>
  <c r="CK113" i="2"/>
  <c r="CJ116" i="2"/>
  <c r="BR116" i="2"/>
  <c r="BS114" i="2"/>
  <c r="CS106" i="2"/>
  <c r="CU106" i="2" s="1"/>
  <c r="BB115" i="2"/>
  <c r="BC115" i="2" s="1"/>
  <c r="CG114" i="2"/>
  <c r="CI114" i="2" s="1"/>
  <c r="CI116" i="2" s="1"/>
  <c r="CJ121" i="2"/>
  <c r="CM121" i="2" s="1"/>
  <c r="CD125" i="2"/>
  <c r="BO203" i="2"/>
  <c r="BO210" i="2" s="1"/>
  <c r="BU132" i="2"/>
  <c r="BE135" i="2"/>
  <c r="BO133" i="2"/>
  <c r="CU135" i="2"/>
  <c r="BK135" i="2"/>
  <c r="BL140" i="2"/>
  <c r="BQ140" i="2"/>
  <c r="BZ140" i="2"/>
  <c r="CE140" i="2"/>
  <c r="CJ140" i="2"/>
  <c r="CO140" i="2"/>
  <c r="BU274" i="2"/>
  <c r="BF243" i="2"/>
  <c r="AY243" i="2"/>
  <c r="BE243" i="2"/>
  <c r="AU243" i="2"/>
  <c r="AN243" i="2"/>
  <c r="BG243" i="2"/>
  <c r="BA243" i="2"/>
  <c r="AS243" i="2"/>
  <c r="AV243" i="2"/>
  <c r="AO243" i="2"/>
  <c r="BB243" i="2"/>
  <c r="AM243" i="2"/>
  <c r="AP243" i="2"/>
  <c r="AZ243" i="2"/>
  <c r="AT243" i="2"/>
  <c r="AW239" i="2"/>
  <c r="CG274" i="2"/>
  <c r="BW251" i="2"/>
  <c r="BT251" i="2"/>
  <c r="BM251" i="2"/>
  <c r="BF251" i="2"/>
  <c r="AY251" i="2"/>
  <c r="BQ251" i="2"/>
  <c r="BN251" i="2"/>
  <c r="BG251" i="2"/>
  <c r="AY252" i="2"/>
  <c r="AZ251" i="2"/>
  <c r="BS251" i="2"/>
  <c r="BL251" i="2"/>
  <c r="BE251" i="2"/>
  <c r="BB251" i="2"/>
  <c r="BR251" i="2"/>
  <c r="BK251" i="2"/>
  <c r="AY253" i="2"/>
  <c r="BH251" i="2"/>
  <c r="BA251" i="2"/>
  <c r="BH202" i="2"/>
  <c r="BH209" i="2" s="1"/>
  <c r="AE150" i="2"/>
  <c r="AE151" i="2" s="1"/>
  <c r="CM150" i="2"/>
  <c r="CM151" i="2" s="1"/>
  <c r="DE292" i="2"/>
  <c r="DE293" i="2"/>
  <c r="CG132" i="2"/>
  <c r="CM132" i="2"/>
  <c r="CS132" i="2"/>
  <c r="CA132" i="2"/>
  <c r="BM140" i="2"/>
  <c r="BW140" i="2"/>
  <c r="CK140" i="2"/>
  <c r="CP140" i="2"/>
  <c r="AU214" i="2"/>
  <c r="AU206" i="2"/>
  <c r="AU202" i="2"/>
  <c r="BI274" i="2"/>
  <c r="AS235" i="2"/>
  <c r="AT235" i="2"/>
  <c r="AO235" i="2"/>
  <c r="AO271" i="2" s="1"/>
  <c r="AH235" i="2"/>
  <c r="AA235" i="2"/>
  <c r="AM235" i="2"/>
  <c r="AJ235" i="2"/>
  <c r="AC235" i="2"/>
  <c r="AP235" i="2"/>
  <c r="AI235" i="2"/>
  <c r="AB235" i="2"/>
  <c r="AD235" i="2"/>
  <c r="AN235" i="2"/>
  <c r="AG235" i="2"/>
  <c r="AU235" i="2"/>
  <c r="AU271" i="2" s="1"/>
  <c r="CA274" i="2"/>
  <c r="BK247" i="2"/>
  <c r="BH247" i="2"/>
  <c r="BA247" i="2"/>
  <c r="BA271" i="2" s="1"/>
  <c r="AT247" i="2"/>
  <c r="BL247" i="2"/>
  <c r="BF247" i="2"/>
  <c r="AY247" i="2"/>
  <c r="BG247" i="2"/>
  <c r="BB247" i="2"/>
  <c r="AV247" i="2"/>
  <c r="AV271" i="2" s="1"/>
  <c r="AS247" i="2"/>
  <c r="AW247" i="2" s="1"/>
  <c r="BE247" i="2"/>
  <c r="AU247" i="2"/>
  <c r="AZ247" i="2"/>
  <c r="AZ271" i="2" s="1"/>
  <c r="BT221" i="2"/>
  <c r="BW221" i="2"/>
  <c r="AZ206" i="2"/>
  <c r="AZ214" i="2"/>
  <c r="AZ202" i="2"/>
  <c r="BH214" i="2"/>
  <c r="BH208" i="2"/>
  <c r="BH206" i="2"/>
  <c r="DK145" i="2"/>
  <c r="DM143" i="2"/>
  <c r="DQ143" i="2" s="1"/>
  <c r="CM274" i="2"/>
  <c r="BX255" i="2"/>
  <c r="BQ255" i="2"/>
  <c r="BN255" i="2"/>
  <c r="BG255" i="2"/>
  <c r="BY255" i="2"/>
  <c r="BR255" i="2"/>
  <c r="BK255" i="2"/>
  <c r="BH255" i="2"/>
  <c r="BW255" i="2"/>
  <c r="BE256" i="2"/>
  <c r="BT255" i="2"/>
  <c r="BM255" i="2"/>
  <c r="BF255" i="2"/>
  <c r="BL255" i="2"/>
  <c r="BS255" i="2"/>
  <c r="BE255" i="2"/>
  <c r="Y118" i="2"/>
  <c r="Y119" i="2" s="1"/>
  <c r="AK118" i="2"/>
  <c r="AW118" i="2"/>
  <c r="BU118" i="2"/>
  <c r="CG118" i="2"/>
  <c r="CS118" i="2"/>
  <c r="DE118" i="2"/>
  <c r="DQ118" i="2"/>
  <c r="CQ121" i="2"/>
  <c r="CS121" i="2" s="1"/>
  <c r="BU124" i="2"/>
  <c r="CG124" i="2"/>
  <c r="CS124" i="2"/>
  <c r="DE124" i="2"/>
  <c r="DQ124" i="2"/>
  <c r="CG133" i="2"/>
  <c r="CG140" i="2" s="1"/>
  <c r="CM133" i="2"/>
  <c r="CM140" i="2" s="1"/>
  <c r="CU203" i="2"/>
  <c r="CU140" i="2"/>
  <c r="BE140" i="2"/>
  <c r="BN140" i="2"/>
  <c r="CC140" i="2"/>
  <c r="CL140" i="2"/>
  <c r="AK209" i="2"/>
  <c r="S204" i="2"/>
  <c r="AY204" i="2"/>
  <c r="BR223" i="2"/>
  <c r="BS223" i="2" s="1"/>
  <c r="CU221" i="2"/>
  <c r="CR221" i="2"/>
  <c r="BU145" i="2"/>
  <c r="DE150" i="2"/>
  <c r="DE151" i="2" s="1"/>
  <c r="DH141" i="2"/>
  <c r="CS274" i="2"/>
  <c r="CD259" i="2"/>
  <c r="BW259" i="2"/>
  <c r="BT259" i="2"/>
  <c r="BM259" i="2"/>
  <c r="CE259" i="2"/>
  <c r="BX259" i="2"/>
  <c r="BQ259" i="2"/>
  <c r="BN259" i="2"/>
  <c r="BZ259" i="2"/>
  <c r="BS259" i="2"/>
  <c r="BL259" i="2"/>
  <c r="CC259" i="2"/>
  <c r="BK260" i="2"/>
  <c r="CF259" i="2"/>
  <c r="BY259" i="2"/>
  <c r="BR259" i="2"/>
  <c r="BK259" i="2"/>
  <c r="BK261" i="2" s="1"/>
  <c r="AK108" i="2"/>
  <c r="BI108" i="2"/>
  <c r="CV203" i="2"/>
  <c r="CV140" i="2"/>
  <c r="DB203" i="2"/>
  <c r="DB140" i="2"/>
  <c r="BY140" i="2"/>
  <c r="CD140" i="2"/>
  <c r="CI140" i="2"/>
  <c r="CR140" i="2"/>
  <c r="BC274" i="2"/>
  <c r="AM231" i="2"/>
  <c r="AM271" i="2" s="1"/>
  <c r="AH231" i="2"/>
  <c r="AH271" i="2" s="1"/>
  <c r="AA231" i="2"/>
  <c r="X231" i="2"/>
  <c r="X271" i="2" s="1"/>
  <c r="AJ231" i="2"/>
  <c r="AC231" i="2"/>
  <c r="AC271" i="2" s="1"/>
  <c r="V231" i="2"/>
  <c r="V271" i="2" s="1"/>
  <c r="AN231" i="2"/>
  <c r="AN271" i="2" s="1"/>
  <c r="AG231" i="2"/>
  <c r="AD231" i="2"/>
  <c r="AD271" i="2" s="1"/>
  <c r="W231" i="2"/>
  <c r="W271" i="2" s="1"/>
  <c r="AI231" i="2"/>
  <c r="AI271" i="2" s="1"/>
  <c r="AB231" i="2"/>
  <c r="AB271" i="2" s="1"/>
  <c r="U231" i="2"/>
  <c r="BF216" i="2"/>
  <c r="AT206" i="2"/>
  <c r="AT202" i="2"/>
  <c r="AT214" i="2"/>
  <c r="AV201" i="2"/>
  <c r="BK209" i="2"/>
  <c r="BI204" i="2"/>
  <c r="BU222" i="2"/>
  <c r="BX222" i="2"/>
  <c r="BY222" i="2" s="1"/>
  <c r="BA201" i="2"/>
  <c r="BC239" i="2"/>
  <c r="BF204" i="2"/>
  <c r="CR141" i="2"/>
  <c r="CU141" i="2" s="1"/>
  <c r="BO145" i="2"/>
  <c r="EE150" i="2"/>
  <c r="CA150" i="2"/>
  <c r="CA151" i="2" s="1"/>
  <c r="BW151" i="2"/>
  <c r="AQ145" i="2"/>
  <c r="CS292" i="2"/>
  <c r="CS293" i="2"/>
  <c r="BI169" i="1"/>
  <c r="DE140" i="1"/>
  <c r="AQ174" i="1"/>
  <c r="AE174" i="1"/>
  <c r="W156" i="1"/>
  <c r="AB156" i="1"/>
  <c r="P156" i="1"/>
  <c r="DW156" i="1"/>
  <c r="BU156" i="1"/>
  <c r="CS156" i="1"/>
  <c r="AZ158" i="1"/>
  <c r="BE158" i="1"/>
  <c r="O165" i="1"/>
  <c r="O197" i="2" s="1"/>
  <c r="S165" i="1"/>
  <c r="S197" i="2" s="1"/>
  <c r="X164" i="1"/>
  <c r="AA165" i="1"/>
  <c r="AA197" i="2" s="1"/>
  <c r="AE165" i="1"/>
  <c r="AE197" i="2" s="1"/>
  <c r="DK165" i="1"/>
  <c r="BI174" i="1"/>
  <c r="CG174" i="1"/>
  <c r="BC181" i="1"/>
  <c r="BU192" i="1"/>
  <c r="BN192" i="1"/>
  <c r="BM192" i="1" s="1"/>
  <c r="BL192" i="1" s="1"/>
  <c r="BK192" i="1" s="1"/>
  <c r="AY195" i="1"/>
  <c r="AA195" i="1"/>
  <c r="AC156" i="1"/>
  <c r="Q156" i="1"/>
  <c r="AK156" i="1"/>
  <c r="DO157" i="1"/>
  <c r="DO200" i="2" s="1"/>
  <c r="CA156" i="1"/>
  <c r="Q164" i="1"/>
  <c r="Y164" i="1"/>
  <c r="DQ165" i="1"/>
  <c r="U195" i="1"/>
  <c r="Y194" i="1"/>
  <c r="Y195" i="1" s="1"/>
  <c r="AB195" i="1"/>
  <c r="AS195" i="1"/>
  <c r="AW194" i="1"/>
  <c r="AW195" i="1" s="1"/>
  <c r="U156" i="1"/>
  <c r="AD156" i="1"/>
  <c r="AW157" i="1"/>
  <c r="BC158" i="1" s="1"/>
  <c r="AV158" i="1"/>
  <c r="CG156" i="1"/>
  <c r="V164" i="1"/>
  <c r="AD164" i="1"/>
  <c r="CY165" i="1"/>
  <c r="S194" i="1"/>
  <c r="S195" i="1" s="1"/>
  <c r="O195" i="1"/>
  <c r="AC195" i="1"/>
  <c r="AQ194" i="1"/>
  <c r="AQ195" i="1" s="1"/>
  <c r="AM195" i="1"/>
  <c r="V156" i="1"/>
  <c r="P195" i="1"/>
  <c r="W195" i="1"/>
  <c r="AK194" i="1"/>
  <c r="AK195" i="1" s="1"/>
  <c r="AG195" i="1"/>
  <c r="V292" i="1"/>
  <c r="BQ271" i="1"/>
  <c r="BT271" i="1"/>
  <c r="BS271" i="1"/>
  <c r="BE254" i="1"/>
  <c r="P292" i="1"/>
  <c r="AB292" i="1"/>
  <c r="W292" i="1"/>
  <c r="AC292" i="1"/>
  <c r="AS310" i="1"/>
  <c r="AS314" i="1" s="1"/>
  <c r="AS316" i="1" s="1"/>
  <c r="AQ280" i="1"/>
  <c r="CO310" i="1"/>
  <c r="CO314" i="1" s="1"/>
  <c r="CO313" i="1" s="1"/>
  <c r="CM280" i="1"/>
  <c r="CS314" i="1" s="1"/>
  <c r="EL271" i="1"/>
  <c r="EN271" i="1"/>
  <c r="EK271" i="1"/>
  <c r="X292" i="1"/>
  <c r="Y292" i="1" s="1"/>
  <c r="AD292" i="1"/>
  <c r="AE292" i="1" s="1"/>
  <c r="O292" i="1"/>
  <c r="CO271" i="1"/>
  <c r="CR271" i="1"/>
  <c r="EE271" i="1"/>
  <c r="EH271" i="1"/>
  <c r="W271" i="1"/>
  <c r="AB271" i="1"/>
  <c r="AO271" i="1"/>
  <c r="AN271" i="1"/>
  <c r="DJ271" i="1"/>
  <c r="DP271" i="1"/>
  <c r="X271" i="1"/>
  <c r="CC310" i="1"/>
  <c r="CC314" i="1" s="1"/>
  <c r="CA280" i="1"/>
  <c r="CG314" i="1" s="1"/>
  <c r="DY310" i="1"/>
  <c r="DW280" i="1"/>
  <c r="CY311" i="1"/>
  <c r="CY314" i="1" s="1"/>
  <c r="DQ288" i="1"/>
  <c r="M284" i="1"/>
  <c r="M286" i="1" s="1"/>
  <c r="R271" i="1"/>
  <c r="V271" i="1"/>
  <c r="Y284" i="1"/>
  <c r="DM310" i="1"/>
  <c r="DK280" i="1"/>
  <c r="BU288" i="1"/>
  <c r="CA284" i="1"/>
  <c r="CA288" i="1"/>
  <c r="CG284" i="1"/>
  <c r="CG288" i="1"/>
  <c r="CM284" i="1"/>
  <c r="CM288" i="1"/>
  <c r="CS284" i="1"/>
  <c r="CS288" i="1"/>
  <c r="CY284" i="1"/>
  <c r="CY288" i="1"/>
  <c r="DE284" i="1"/>
  <c r="DE288" i="1"/>
  <c r="DK284" i="1"/>
  <c r="DK288" i="1"/>
  <c r="DQ284" i="1"/>
  <c r="G284" i="1"/>
  <c r="G286" i="1" s="1"/>
  <c r="S284" i="1"/>
  <c r="CD314" i="1"/>
  <c r="BE310" i="1"/>
  <c r="BE314" i="1" s="1"/>
  <c r="BE316" i="1" s="1"/>
  <c r="BC280" i="1"/>
  <c r="BW316" i="1"/>
  <c r="BW313" i="1"/>
  <c r="DA310" i="1"/>
  <c r="DB311" i="1" s="1"/>
  <c r="CY280" i="1"/>
  <c r="Y288" i="1"/>
  <c r="CE316" i="1"/>
  <c r="AQ288" i="1"/>
  <c r="G288" i="1"/>
  <c r="M288" i="1"/>
  <c r="AU314" i="1"/>
  <c r="AU316" i="1" s="1"/>
  <c r="BY314" i="1"/>
  <c r="AW284" i="1"/>
  <c r="BF314" i="1"/>
  <c r="BF316" i="1" s="1"/>
  <c r="CI314" i="1"/>
  <c r="CI313" i="1" s="1"/>
  <c r="AM314" i="1"/>
  <c r="AM316" i="1" s="1"/>
  <c r="AY314" i="1"/>
  <c r="AY316" i="1" s="1"/>
  <c r="BM314" i="1"/>
  <c r="BR314" i="1"/>
  <c r="AN314" i="1"/>
  <c r="AN316" i="1" s="1"/>
  <c r="AT314" i="1"/>
  <c r="AT316" i="1" s="1"/>
  <c r="AZ314" i="1"/>
  <c r="AZ316" i="1" s="1"/>
  <c r="BN314" i="1"/>
  <c r="BS314" i="1"/>
  <c r="BX314" i="1"/>
  <c r="DJ314" i="1"/>
  <c r="DI313" i="1"/>
  <c r="BG314" i="1"/>
  <c r="BG316" i="1" s="1"/>
  <c r="BL314" i="1"/>
  <c r="BZ314" i="1"/>
  <c r="CP314" i="1"/>
  <c r="CP313" i="1" s="1"/>
  <c r="CK314" i="1"/>
  <c r="CK313" i="1" s="1"/>
  <c r="CQ314" i="1"/>
  <c r="CQ313" i="1" s="1"/>
  <c r="DD313" i="1"/>
  <c r="AW320" i="1"/>
  <c r="AW321" i="1" s="1"/>
  <c r="BI320" i="1"/>
  <c r="BI321" i="1" s="1"/>
  <c r="BB314" i="1"/>
  <c r="BB316" i="1" s="1"/>
  <c r="BH314" i="1"/>
  <c r="BH316" i="1" s="1"/>
  <c r="CF314" i="1"/>
  <c r="CL314" i="1"/>
  <c r="CL313" i="1" s="1"/>
  <c r="CR314" i="1"/>
  <c r="AK320" i="1"/>
  <c r="AK321" i="1" s="1"/>
  <c r="AQ320" i="1"/>
  <c r="AQ321" i="1" s="1"/>
  <c r="BC320" i="1"/>
  <c r="BC321" i="1" s="1"/>
  <c r="BO320" i="1"/>
  <c r="BO321" i="1" s="1"/>
  <c r="BU320" i="1"/>
  <c r="BU321" i="1" s="1"/>
  <c r="BZ114" i="1"/>
  <c r="BZ113" i="1"/>
  <c r="BZ112" i="1"/>
  <c r="BR225" i="2"/>
  <c r="DM112" i="1"/>
  <c r="DV114" i="1"/>
  <c r="DW112" i="1"/>
  <c r="DV112" i="1"/>
  <c r="DU113" i="1"/>
  <c r="DO113" i="1"/>
  <c r="DP114" i="1"/>
  <c r="DV113" i="1"/>
  <c r="DT114" i="1"/>
  <c r="DO112" i="1"/>
  <c r="DN112" i="1"/>
  <c r="DN114" i="1"/>
  <c r="DP113" i="1"/>
  <c r="DW113" i="1"/>
  <c r="DS114" i="1"/>
  <c r="DM113" i="1"/>
  <c r="DS113" i="1"/>
  <c r="DN113" i="1"/>
  <c r="DM114" i="1"/>
  <c r="DT113" i="1"/>
  <c r="DS112" i="1"/>
  <c r="DT112" i="1"/>
  <c r="DP112" i="1"/>
  <c r="DW114" i="1"/>
  <c r="DU114" i="1"/>
  <c r="DU112" i="1"/>
  <c r="DY112" i="1"/>
  <c r="DO114" i="1"/>
  <c r="EB114" i="2" l="1"/>
  <c r="EC114" i="2" s="1"/>
  <c r="EE114" i="2" s="1"/>
  <c r="EF114" i="2" s="1"/>
  <c r="EG114" i="2" s="1"/>
  <c r="EH114" i="2" s="1"/>
  <c r="EI114" i="2" s="1"/>
  <c r="EK114" i="2" s="1"/>
  <c r="EL114" i="2" s="1"/>
  <c r="EM114" i="2" s="1"/>
  <c r="EN114" i="2" s="1"/>
  <c r="EO114" i="2" s="1"/>
  <c r="EQ114" i="2" s="1"/>
  <c r="ER114" i="2" s="1"/>
  <c r="ES114" i="2" s="1"/>
  <c r="ET114" i="2" s="1"/>
  <c r="EU114" i="2" s="1"/>
  <c r="EB154" i="2"/>
  <c r="EC154" i="2" s="1"/>
  <c r="EE154" i="2" s="1"/>
  <c r="EF154" i="2" s="1"/>
  <c r="EG154" i="2" s="1"/>
  <c r="EH154" i="2" s="1"/>
  <c r="EI154" i="2" s="1"/>
  <c r="EK154" i="2" s="1"/>
  <c r="EL154" i="2" s="1"/>
  <c r="EM154" i="2" s="1"/>
  <c r="EN154" i="2" s="1"/>
  <c r="EO154" i="2" s="1"/>
  <c r="EQ154" i="2" s="1"/>
  <c r="ER154" i="2" s="1"/>
  <c r="ES154" i="2" s="1"/>
  <c r="ES147" i="2"/>
  <c r="ER140" i="2"/>
  <c r="EO92" i="2"/>
  <c r="EG16" i="3"/>
  <c r="EG91" i="3" s="1"/>
  <c r="DT139" i="3"/>
  <c r="DI31" i="3"/>
  <c r="CW32" i="3"/>
  <c r="CK31" i="3"/>
  <c r="CQ31" i="3"/>
  <c r="CQ106" i="3" s="1"/>
  <c r="CQ32" i="3"/>
  <c r="CE33" i="3"/>
  <c r="CC37" i="3"/>
  <c r="CC112" i="3" s="1"/>
  <c r="EM131" i="3"/>
  <c r="CQ34" i="3"/>
  <c r="DE52" i="2"/>
  <c r="BO251" i="2"/>
  <c r="BW37" i="3"/>
  <c r="BW112" i="3" s="1"/>
  <c r="DP171" i="2"/>
  <c r="DP168" i="2" s="1"/>
  <c r="BI255" i="2"/>
  <c r="AP271" i="2"/>
  <c r="CK169" i="2"/>
  <c r="BI247" i="2"/>
  <c r="DK165" i="2"/>
  <c r="DK166" i="2" s="1"/>
  <c r="BI52" i="2"/>
  <c r="CU109" i="3"/>
  <c r="CV34" i="3"/>
  <c r="CC110" i="3"/>
  <c r="CD35" i="3"/>
  <c r="DM108" i="3"/>
  <c r="DM105" i="3" s="1"/>
  <c r="DM113" i="3" s="1"/>
  <c r="DN33" i="3"/>
  <c r="CI110" i="3"/>
  <c r="CJ35" i="3"/>
  <c r="CU108" i="3"/>
  <c r="CV33" i="3"/>
  <c r="CI111" i="3"/>
  <c r="CJ36" i="3"/>
  <c r="DN111" i="3"/>
  <c r="DO111" i="3"/>
  <c r="BU130" i="2"/>
  <c r="CU110" i="3"/>
  <c r="CV35" i="3"/>
  <c r="CI108" i="3"/>
  <c r="CJ33" i="3"/>
  <c r="DH107" i="3"/>
  <c r="DI32" i="3"/>
  <c r="DA110" i="3"/>
  <c r="DB35" i="3"/>
  <c r="DB106" i="3"/>
  <c r="DC31" i="3"/>
  <c r="CD106" i="3"/>
  <c r="CE31" i="3"/>
  <c r="CU37" i="3"/>
  <c r="CU112" i="3" s="1"/>
  <c r="CC111" i="3"/>
  <c r="CD36" i="3"/>
  <c r="CI109" i="3"/>
  <c r="CJ34" i="3"/>
  <c r="BX35" i="3"/>
  <c r="AK235" i="2"/>
  <c r="CF52" i="2"/>
  <c r="CO111" i="3"/>
  <c r="CP36" i="3"/>
  <c r="BW109" i="3"/>
  <c r="BX34" i="3"/>
  <c r="CJ107" i="3"/>
  <c r="CK32" i="3"/>
  <c r="CU111" i="3"/>
  <c r="CV36" i="3"/>
  <c r="DN109" i="3"/>
  <c r="DO109" i="3"/>
  <c r="BW108" i="3"/>
  <c r="BX33" i="3"/>
  <c r="CO37" i="3"/>
  <c r="CO112" i="3" s="1"/>
  <c r="DA37" i="3"/>
  <c r="DA112" i="3" s="1"/>
  <c r="BB271" i="2"/>
  <c r="X52" i="2"/>
  <c r="DG108" i="3"/>
  <c r="DH33" i="3"/>
  <c r="CP108" i="3"/>
  <c r="CQ33" i="3"/>
  <c r="DG110" i="3"/>
  <c r="DH35" i="3"/>
  <c r="BW111" i="3"/>
  <c r="BX36" i="3"/>
  <c r="DG109" i="3"/>
  <c r="DH34" i="3"/>
  <c r="CV171" i="2"/>
  <c r="CV168" i="2" s="1"/>
  <c r="CW169" i="2" s="1"/>
  <c r="CI37" i="3"/>
  <c r="CI112" i="3" s="1"/>
  <c r="DE311" i="1"/>
  <c r="AT209" i="2"/>
  <c r="CV134" i="3"/>
  <c r="AU209" i="2"/>
  <c r="EH58" i="3"/>
  <c r="EI58" i="3" s="1"/>
  <c r="AU208" i="2"/>
  <c r="CY132" i="3"/>
  <c r="CA125" i="2"/>
  <c r="DJ58" i="3"/>
  <c r="DJ61" i="3" s="1"/>
  <c r="DK61" i="3" s="1"/>
  <c r="DO131" i="3"/>
  <c r="DO134" i="3" s="1"/>
  <c r="AZ209" i="2"/>
  <c r="AY210" i="2"/>
  <c r="AY212" i="2"/>
  <c r="AY208" i="2"/>
  <c r="AV210" i="2"/>
  <c r="AW210" i="2" s="1"/>
  <c r="CA135" i="2"/>
  <c r="DI131" i="3"/>
  <c r="DW131" i="3"/>
  <c r="Y212" i="2"/>
  <c r="Y208" i="2"/>
  <c r="Y209" i="2"/>
  <c r="Y210" i="2"/>
  <c r="AT212" i="2"/>
  <c r="AT210" i="2"/>
  <c r="AV212" i="2"/>
  <c r="AW212" i="2" s="1"/>
  <c r="AZ210" i="2"/>
  <c r="AZ212" i="2"/>
  <c r="AS212" i="2"/>
  <c r="AS210" i="2"/>
  <c r="AS208" i="2"/>
  <c r="S210" i="2"/>
  <c r="S212" i="2"/>
  <c r="S208" i="2"/>
  <c r="AU210" i="2"/>
  <c r="DC61" i="3"/>
  <c r="DC66" i="3" s="1"/>
  <c r="DO61" i="3"/>
  <c r="DD58" i="3"/>
  <c r="DD61" i="3" s="1"/>
  <c r="DE61" i="3" s="1"/>
  <c r="BT316" i="1"/>
  <c r="BK313" i="1"/>
  <c r="BU135" i="2"/>
  <c r="V96" i="2"/>
  <c r="W95" i="2"/>
  <c r="W96" i="2" s="1"/>
  <c r="DE314" i="1"/>
  <c r="CK131" i="3"/>
  <c r="CK134" i="3" s="1"/>
  <c r="DQ110" i="3"/>
  <c r="CM80" i="2"/>
  <c r="AQ80" i="2"/>
  <c r="EH16" i="3"/>
  <c r="EH91" i="3" s="1"/>
  <c r="EI91" i="3" s="1"/>
  <c r="DT148" i="3"/>
  <c r="DT147" i="3"/>
  <c r="BS169" i="2"/>
  <c r="CG125" i="2"/>
  <c r="DI66" i="3"/>
  <c r="DS139" i="3"/>
  <c r="DV269" i="1"/>
  <c r="DT285" i="1"/>
  <c r="DT286" i="1" s="1"/>
  <c r="DT149" i="2" s="1"/>
  <c r="BY169" i="2"/>
  <c r="EB112" i="3"/>
  <c r="EC112" i="3" s="1"/>
  <c r="EF29" i="2"/>
  <c r="EE37" i="3"/>
  <c r="EE112" i="3" s="1"/>
  <c r="EF13" i="2"/>
  <c r="EE33" i="3"/>
  <c r="EE108" i="3" s="1"/>
  <c r="EL156" i="1"/>
  <c r="EM156" i="1" s="1"/>
  <c r="EN156" i="1" s="1"/>
  <c r="EQ156" i="1" s="1"/>
  <c r="CE169" i="2"/>
  <c r="DV419" i="4"/>
  <c r="DU427" i="4"/>
  <c r="DU426" i="4"/>
  <c r="DU420" i="4"/>
  <c r="BU259" i="2"/>
  <c r="DE210" i="2"/>
  <c r="DE212" i="2"/>
  <c r="DQ210" i="2"/>
  <c r="DQ212" i="2"/>
  <c r="BI210" i="2"/>
  <c r="BI212" i="2"/>
  <c r="BI208" i="2"/>
  <c r="CG210" i="2"/>
  <c r="CG212" i="2"/>
  <c r="CS210" i="2"/>
  <c r="CS212" i="2"/>
  <c r="DK210" i="2"/>
  <c r="DK212" i="2"/>
  <c r="CA210" i="2"/>
  <c r="CA212" i="2"/>
  <c r="AE209" i="2"/>
  <c r="AE210" i="2"/>
  <c r="AE212" i="2"/>
  <c r="AE208" i="2"/>
  <c r="BU208" i="2"/>
  <c r="BU209" i="2"/>
  <c r="BU210" i="2"/>
  <c r="BU212" i="2"/>
  <c r="BU211" i="2"/>
  <c r="DW210" i="2"/>
  <c r="DW212" i="2"/>
  <c r="CY212" i="2"/>
  <c r="CY210" i="2"/>
  <c r="CM210" i="2"/>
  <c r="CM212" i="2"/>
  <c r="BO255" i="2"/>
  <c r="BE257" i="2"/>
  <c r="CM52" i="3"/>
  <c r="BA124" i="2"/>
  <c r="BA125" i="2" s="1"/>
  <c r="BA110" i="2" s="1"/>
  <c r="BA288" i="1"/>
  <c r="CG99" i="3"/>
  <c r="EH119" i="3"/>
  <c r="EI46" i="3"/>
  <c r="BZ121" i="3"/>
  <c r="CA48" i="3"/>
  <c r="CF40" i="3"/>
  <c r="EB130" i="3"/>
  <c r="EC130" i="3" s="1"/>
  <c r="EB94" i="3"/>
  <c r="EC94" i="3" s="1"/>
  <c r="BN105" i="3"/>
  <c r="BO30" i="3"/>
  <c r="EA116" i="3"/>
  <c r="BA148" i="2"/>
  <c r="BN132" i="3"/>
  <c r="BO59" i="3"/>
  <c r="BS134" i="3"/>
  <c r="CA102" i="3"/>
  <c r="BG284" i="1"/>
  <c r="BG118" i="2"/>
  <c r="EB123" i="3"/>
  <c r="EH124" i="3"/>
  <c r="EI51" i="3"/>
  <c r="CF120" i="3"/>
  <c r="CG47" i="3"/>
  <c r="CF52" i="3"/>
  <c r="CG52" i="3" s="1"/>
  <c r="BZ99" i="3"/>
  <c r="CA24" i="3"/>
  <c r="CW131" i="3"/>
  <c r="CW134" i="3" s="1"/>
  <c r="CW61" i="3"/>
  <c r="CW66" i="3" s="1"/>
  <c r="CX58" i="3"/>
  <c r="BY40" i="3"/>
  <c r="BZ122" i="3"/>
  <c r="CA49" i="3"/>
  <c r="EN131" i="3"/>
  <c r="EO58" i="3"/>
  <c r="CQ131" i="3"/>
  <c r="CQ134" i="3" s="1"/>
  <c r="CQ61" i="3"/>
  <c r="CQ66" i="3" s="1"/>
  <c r="CR58" i="3"/>
  <c r="DJ121" i="3"/>
  <c r="DK48" i="3"/>
  <c r="DJ52" i="3"/>
  <c r="EB131" i="3"/>
  <c r="EC131" i="3" s="1"/>
  <c r="EN122" i="3"/>
  <c r="EO122" i="3" s="1"/>
  <c r="EO49" i="3"/>
  <c r="DI134" i="3"/>
  <c r="BH88" i="3"/>
  <c r="BI13" i="3"/>
  <c r="CE107" i="3"/>
  <c r="CF32" i="3"/>
  <c r="BH89" i="3"/>
  <c r="BH137" i="2" s="1"/>
  <c r="BI14" i="3"/>
  <c r="CQ110" i="3"/>
  <c r="CR35" i="3"/>
  <c r="CF121" i="3"/>
  <c r="CG48" i="3"/>
  <c r="CD134" i="3"/>
  <c r="CG130" i="3"/>
  <c r="BA287" i="1"/>
  <c r="BA136" i="2"/>
  <c r="BB117" i="3"/>
  <c r="BC44" i="3"/>
  <c r="BC128" i="3"/>
  <c r="BB132" i="2"/>
  <c r="BC132" i="2" s="1"/>
  <c r="BB131" i="2"/>
  <c r="BC131" i="2" s="1"/>
  <c r="DP130" i="3"/>
  <c r="DQ130" i="3" s="1"/>
  <c r="DQ57" i="3"/>
  <c r="DP61" i="3"/>
  <c r="DQ61" i="3" s="1"/>
  <c r="AZ194" i="1"/>
  <c r="EH133" i="3"/>
  <c r="EI133" i="3" s="1"/>
  <c r="EI60" i="3"/>
  <c r="BM131" i="3"/>
  <c r="BM134" i="3" s="1"/>
  <c r="BO58" i="3"/>
  <c r="BN131" i="3" s="1"/>
  <c r="EH94" i="3"/>
  <c r="EI19" i="3"/>
  <c r="EH102" i="3"/>
  <c r="EI27" i="3"/>
  <c r="EI119" i="3"/>
  <c r="CA121" i="3"/>
  <c r="CA125" i="3" s="1"/>
  <c r="CW106" i="3"/>
  <c r="CX31" i="3"/>
  <c r="BI116" i="3"/>
  <c r="BO105" i="3"/>
  <c r="DC108" i="3"/>
  <c r="DD33" i="3"/>
  <c r="DJ122" i="3"/>
  <c r="DK49" i="3"/>
  <c r="DP131" i="3"/>
  <c r="DQ58" i="3"/>
  <c r="BO132" i="3"/>
  <c r="BN136" i="3"/>
  <c r="BO63" i="3"/>
  <c r="BN88" i="3"/>
  <c r="BO13" i="3"/>
  <c r="EH99" i="3"/>
  <c r="EI24" i="3"/>
  <c r="BZ97" i="3"/>
  <c r="CA22" i="3"/>
  <c r="BH105" i="3"/>
  <c r="BI30" i="3"/>
  <c r="EC123" i="3"/>
  <c r="EI124" i="3"/>
  <c r="CG120" i="3"/>
  <c r="CR123" i="3"/>
  <c r="CS50" i="3"/>
  <c r="BZ39" i="3"/>
  <c r="CA99" i="3"/>
  <c r="DJ111" i="3"/>
  <c r="DK111" i="3" s="1"/>
  <c r="DK36" i="3"/>
  <c r="BY125" i="3"/>
  <c r="BZ123" i="3"/>
  <c r="CA50" i="3"/>
  <c r="BN128" i="3"/>
  <c r="BN61" i="3"/>
  <c r="BO61" i="3" s="1"/>
  <c r="BO55" i="3"/>
  <c r="CA91" i="3"/>
  <c r="BZ98" i="3"/>
  <c r="CA23" i="3"/>
  <c r="BY107" i="3"/>
  <c r="BZ32" i="3"/>
  <c r="CA122" i="3"/>
  <c r="EH92" i="3"/>
  <c r="EI17" i="3"/>
  <c r="EH100" i="3"/>
  <c r="EI25" i="3"/>
  <c r="BH90" i="3"/>
  <c r="BI15" i="3"/>
  <c r="EB120" i="3"/>
  <c r="EH121" i="3"/>
  <c r="EI48" i="3"/>
  <c r="DK121" i="3"/>
  <c r="BG124" i="2"/>
  <c r="BI88" i="3"/>
  <c r="BG288" i="1"/>
  <c r="CQ109" i="3"/>
  <c r="CR34" i="3"/>
  <c r="DC107" i="3"/>
  <c r="DD32" i="3"/>
  <c r="EN121" i="3"/>
  <c r="EO121" i="3" s="1"/>
  <c r="EO48" i="3"/>
  <c r="CR121" i="3"/>
  <c r="CS48" i="3"/>
  <c r="CR52" i="3"/>
  <c r="BA134" i="3"/>
  <c r="BN89" i="3"/>
  <c r="BN137" i="2" s="1"/>
  <c r="BO14" i="3"/>
  <c r="BI89" i="3"/>
  <c r="BG137" i="2"/>
  <c r="CG121" i="3"/>
  <c r="DP133" i="3"/>
  <c r="DQ60" i="3"/>
  <c r="EH132" i="3"/>
  <c r="EI132" i="3" s="1"/>
  <c r="EI59" i="3"/>
  <c r="BY131" i="3"/>
  <c r="BY134" i="3" s="1"/>
  <c r="BY61" i="3"/>
  <c r="BY66" i="3" s="1"/>
  <c r="BZ58" i="3"/>
  <c r="DP102" i="3"/>
  <c r="DQ27" i="3"/>
  <c r="EH97" i="3"/>
  <c r="EI22" i="3"/>
  <c r="CE109" i="3"/>
  <c r="CF34" i="3"/>
  <c r="EN119" i="3"/>
  <c r="EO46" i="3"/>
  <c r="BB124" i="3"/>
  <c r="BC51" i="3"/>
  <c r="BH148" i="2"/>
  <c r="BI129" i="3"/>
  <c r="DP92" i="3"/>
  <c r="DQ17" i="3"/>
  <c r="BZ95" i="3"/>
  <c r="CA20" i="3"/>
  <c r="BC117" i="3"/>
  <c r="BA118" i="2"/>
  <c r="BA284" i="1"/>
  <c r="BA125" i="3"/>
  <c r="DC134" i="3"/>
  <c r="EB93" i="3"/>
  <c r="EC93" i="3" s="1"/>
  <c r="DQ106" i="3"/>
  <c r="CF133" i="3"/>
  <c r="CG60" i="3"/>
  <c r="BG134" i="3"/>
  <c r="BG132" i="2"/>
  <c r="BG131" i="2"/>
  <c r="EI94" i="3"/>
  <c r="EI102" i="3"/>
  <c r="EB122" i="3"/>
  <c r="EC122" i="3" s="1"/>
  <c r="EH123" i="3"/>
  <c r="EI50" i="3"/>
  <c r="CR122" i="3"/>
  <c r="CS49" i="3"/>
  <c r="BY106" i="3"/>
  <c r="BZ31" i="3"/>
  <c r="CE40" i="3"/>
  <c r="DP99" i="3"/>
  <c r="DQ24" i="3"/>
  <c r="CG93" i="3"/>
  <c r="DK122" i="3"/>
  <c r="EN130" i="3"/>
  <c r="EO130" i="3" s="1"/>
  <c r="EO57" i="3"/>
  <c r="BT132" i="3"/>
  <c r="BU132" i="3" s="1"/>
  <c r="BT61" i="3"/>
  <c r="BU61" i="3" s="1"/>
  <c r="BU59" i="3"/>
  <c r="BO136" i="3"/>
  <c r="DW145" i="3"/>
  <c r="DW147" i="3" s="1"/>
  <c r="DW285" i="1"/>
  <c r="DW286" i="1" s="1"/>
  <c r="DW149" i="2" s="1"/>
  <c r="BM124" i="2"/>
  <c r="BM288" i="1"/>
  <c r="BO88" i="3"/>
  <c r="EI99" i="3"/>
  <c r="CA97" i="3"/>
  <c r="BI105" i="3"/>
  <c r="CQ107" i="3"/>
  <c r="CR32" i="3"/>
  <c r="DC109" i="3"/>
  <c r="DD34" i="3"/>
  <c r="EB119" i="3"/>
  <c r="EC119" i="3" s="1"/>
  <c r="EH120" i="3"/>
  <c r="EI47" i="3"/>
  <c r="EN123" i="3"/>
  <c r="EO50" i="3"/>
  <c r="CS123" i="3"/>
  <c r="CF100" i="3"/>
  <c r="CG25" i="3"/>
  <c r="CA123" i="3"/>
  <c r="BB89" i="3"/>
  <c r="BB137" i="2" s="1"/>
  <c r="BC14" i="3"/>
  <c r="CA98" i="3"/>
  <c r="EN120" i="3"/>
  <c r="EO47" i="3"/>
  <c r="EH131" i="3"/>
  <c r="EI131" i="3" s="1"/>
  <c r="BN133" i="3"/>
  <c r="BO60" i="3"/>
  <c r="CP134" i="3"/>
  <c r="EI92" i="3"/>
  <c r="EI100" i="3"/>
  <c r="BI90" i="3"/>
  <c r="BI287" i="1" s="1"/>
  <c r="BG287" i="1"/>
  <c r="BG136" i="2"/>
  <c r="EC120" i="3"/>
  <c r="EI121" i="3"/>
  <c r="CF124" i="3"/>
  <c r="CG51" i="3"/>
  <c r="DV66" i="3"/>
  <c r="CE125" i="3"/>
  <c r="CS121" i="3"/>
  <c r="CS125" i="3" s="1"/>
  <c r="CL131" i="3"/>
  <c r="CL134" i="3" s="1"/>
  <c r="CL61" i="3"/>
  <c r="CM61" i="3" s="1"/>
  <c r="CM58" i="3"/>
  <c r="BM137" i="2"/>
  <c r="BO89" i="3"/>
  <c r="EB92" i="3"/>
  <c r="DD122" i="3"/>
  <c r="DD125" i="3" s="1"/>
  <c r="DE49" i="3"/>
  <c r="DD52" i="3"/>
  <c r="DQ133" i="3"/>
  <c r="BC63" i="3"/>
  <c r="DQ102" i="3"/>
  <c r="EI97" i="3"/>
  <c r="BB125" i="3"/>
  <c r="BC116" i="3"/>
  <c r="BC125" i="3" s="1"/>
  <c r="EO119" i="3"/>
  <c r="BC124" i="3"/>
  <c r="DQ92" i="3"/>
  <c r="CA95" i="3"/>
  <c r="BN117" i="3"/>
  <c r="BO44" i="3"/>
  <c r="BN52" i="3"/>
  <c r="BO52" i="3" s="1"/>
  <c r="EN124" i="3"/>
  <c r="EO124" i="3" s="1"/>
  <c r="EO51" i="3"/>
  <c r="CG133" i="3"/>
  <c r="BH136" i="3"/>
  <c r="BH171" i="2" s="1"/>
  <c r="BI63" i="3"/>
  <c r="EB133" i="3"/>
  <c r="EC133" i="3" s="1"/>
  <c r="EN133" i="3"/>
  <c r="EO60" i="3"/>
  <c r="CE131" i="3"/>
  <c r="CE134" i="3" s="1"/>
  <c r="CE61" i="3"/>
  <c r="CE66" i="3" s="1"/>
  <c r="CF58" i="3"/>
  <c r="EI116" i="3"/>
  <c r="BZ52" i="3"/>
  <c r="CA52" i="3" s="1"/>
  <c r="BB88" i="3"/>
  <c r="BC13" i="3"/>
  <c r="EH98" i="3"/>
  <c r="EI98" i="3" s="1"/>
  <c r="EI23" i="3"/>
  <c r="EI123" i="3"/>
  <c r="CS122" i="3"/>
  <c r="DQ99" i="3"/>
  <c r="CW107" i="3"/>
  <c r="CX32" i="3"/>
  <c r="BB129" i="3"/>
  <c r="BB148" i="2" s="1"/>
  <c r="BC56" i="3"/>
  <c r="DV134" i="3"/>
  <c r="DV139" i="3" s="1"/>
  <c r="DW133" i="3"/>
  <c r="EO116" i="3"/>
  <c r="DP94" i="3"/>
  <c r="DQ94" i="3" s="1"/>
  <c r="DQ19" i="3"/>
  <c r="EH95" i="3"/>
  <c r="EI95" i="3" s="1"/>
  <c r="EI20" i="3"/>
  <c r="EH103" i="3"/>
  <c r="EI103" i="3" s="1"/>
  <c r="EI28" i="3"/>
  <c r="CK106" i="3"/>
  <c r="CL31" i="3"/>
  <c r="BH117" i="3"/>
  <c r="BI44" i="3"/>
  <c r="EI120" i="3"/>
  <c r="EO123" i="3"/>
  <c r="DP96" i="3"/>
  <c r="DQ96" i="3" s="1"/>
  <c r="DQ21" i="3"/>
  <c r="CG100" i="3"/>
  <c r="DC111" i="3"/>
  <c r="DD36" i="3"/>
  <c r="CX123" i="3"/>
  <c r="CY123" i="3" s="1"/>
  <c r="CY125" i="3" s="1"/>
  <c r="CY50" i="3"/>
  <c r="CX52" i="3"/>
  <c r="BM132" i="2"/>
  <c r="BM131" i="2"/>
  <c r="BO128" i="3"/>
  <c r="BC89" i="3"/>
  <c r="BA137" i="2"/>
  <c r="CE108" i="3"/>
  <c r="CF33" i="3"/>
  <c r="EO120" i="3"/>
  <c r="BZ133" i="3"/>
  <c r="CA133" i="3" s="1"/>
  <c r="CA60" i="3"/>
  <c r="EG130" i="3"/>
  <c r="EH57" i="3"/>
  <c r="BO133" i="3"/>
  <c r="BT133" i="3"/>
  <c r="BU133" i="3" s="1"/>
  <c r="BU60" i="3"/>
  <c r="DP98" i="3"/>
  <c r="DQ98" i="3" s="1"/>
  <c r="DQ23" i="3"/>
  <c r="EH96" i="3"/>
  <c r="EI96" i="3" s="1"/>
  <c r="EI21" i="3"/>
  <c r="EM91" i="3"/>
  <c r="EN16" i="3"/>
  <c r="BZ101" i="3"/>
  <c r="CA101" i="3" s="1"/>
  <c r="CA26" i="3"/>
  <c r="EB124" i="3"/>
  <c r="EC124" i="3" s="1"/>
  <c r="CG124" i="3"/>
  <c r="DJ131" i="3"/>
  <c r="DJ134" i="3" s="1"/>
  <c r="CQ125" i="3"/>
  <c r="CF122" i="3"/>
  <c r="CG122" i="3" s="1"/>
  <c r="CG49" i="3"/>
  <c r="EC92" i="3"/>
  <c r="CS95" i="3"/>
  <c r="DE122" i="3"/>
  <c r="DE125" i="3" s="1"/>
  <c r="BC136" i="3"/>
  <c r="EB132" i="3"/>
  <c r="EC132" i="3" s="1"/>
  <c r="EN132" i="3"/>
  <c r="EO132" i="3" s="1"/>
  <c r="EO59" i="3"/>
  <c r="BX134" i="3"/>
  <c r="DV148" i="3"/>
  <c r="DV147" i="3"/>
  <c r="CJ134" i="3"/>
  <c r="CM130" i="3"/>
  <c r="EH93" i="3"/>
  <c r="EI93" i="3" s="1"/>
  <c r="EI18" i="3"/>
  <c r="EH101" i="3"/>
  <c r="EI101" i="3" s="1"/>
  <c r="EI26" i="3"/>
  <c r="DI106" i="3"/>
  <c r="DJ31" i="3"/>
  <c r="EB121" i="3"/>
  <c r="EC121" i="3" s="1"/>
  <c r="EH122" i="3"/>
  <c r="EI122" i="3" s="1"/>
  <c r="EI49" i="3"/>
  <c r="CL123" i="3"/>
  <c r="CM123" i="3" s="1"/>
  <c r="CM125" i="3" s="1"/>
  <c r="CM50" i="3"/>
  <c r="BB90" i="3"/>
  <c r="BC15" i="3"/>
  <c r="BC280" i="2" s="1"/>
  <c r="DP100" i="3"/>
  <c r="DQ100" i="3" s="1"/>
  <c r="DQ25" i="3"/>
  <c r="EB108" i="3"/>
  <c r="EC108" i="3" s="1"/>
  <c r="BM118" i="2"/>
  <c r="BO117" i="3"/>
  <c r="BO125" i="3" s="1"/>
  <c r="BM284" i="1"/>
  <c r="DP95" i="3"/>
  <c r="DQ95" i="3" s="1"/>
  <c r="DQ20" i="3"/>
  <c r="BB131" i="3"/>
  <c r="BA194" i="1" s="1"/>
  <c r="BA195" i="1" s="1"/>
  <c r="BC58" i="3"/>
  <c r="BH128" i="3"/>
  <c r="BH61" i="3"/>
  <c r="BI61" i="3" s="1"/>
  <c r="BI55" i="3"/>
  <c r="BG171" i="2"/>
  <c r="BI171" i="2" s="1"/>
  <c r="BI136" i="3"/>
  <c r="EO133" i="3"/>
  <c r="CS168" i="2"/>
  <c r="CR169" i="2"/>
  <c r="BA208" i="2"/>
  <c r="BA202" i="2"/>
  <c r="BA206" i="2"/>
  <c r="BA214" i="2"/>
  <c r="BK271" i="2"/>
  <c r="BF297" i="2"/>
  <c r="BF211" i="2"/>
  <c r="BG204" i="2"/>
  <c r="BH216" i="2" s="1"/>
  <c r="BG216" i="2"/>
  <c r="BI297" i="2"/>
  <c r="BH297" i="2" s="1"/>
  <c r="BI211" i="2"/>
  <c r="BI176" i="1"/>
  <c r="CG259" i="2"/>
  <c r="BW223" i="2"/>
  <c r="BT223" i="2"/>
  <c r="BX221" i="2"/>
  <c r="BY221" i="2" s="1"/>
  <c r="BZ221" i="2" s="1"/>
  <c r="CA221" i="2" s="1"/>
  <c r="BU221" i="2"/>
  <c r="BL271" i="2"/>
  <c r="CG135" i="2"/>
  <c r="AZ252" i="2"/>
  <c r="BI251" i="2"/>
  <c r="BI271" i="2" s="1"/>
  <c r="BC251" i="2"/>
  <c r="AQ243" i="2"/>
  <c r="BC243" i="2"/>
  <c r="AY271" i="2"/>
  <c r="BO140" i="2"/>
  <c r="CL113" i="2"/>
  <c r="CK116" i="2"/>
  <c r="AV122" i="2"/>
  <c r="AW108" i="2"/>
  <c r="CF122" i="2"/>
  <c r="CE122" i="2"/>
  <c r="CF121" i="2"/>
  <c r="CE121" i="2"/>
  <c r="DQ82" i="2"/>
  <c r="DQ80" i="2"/>
  <c r="BU82" i="2"/>
  <c r="BU80" i="2"/>
  <c r="CW121" i="2"/>
  <c r="CX107" i="2"/>
  <c r="BY107" i="2"/>
  <c r="BZ110" i="2"/>
  <c r="CA110" i="2" s="1"/>
  <c r="BB52" i="2"/>
  <c r="BC24" i="2"/>
  <c r="BC52" i="2" s="1"/>
  <c r="AB96" i="2"/>
  <c r="AC95" i="2"/>
  <c r="AB99" i="2"/>
  <c r="AB100" i="2" s="1"/>
  <c r="CM48" i="2"/>
  <c r="CL282" i="1"/>
  <c r="CM282" i="1" s="1"/>
  <c r="CY164" i="2"/>
  <c r="CY165" i="2" s="1"/>
  <c r="CY166" i="2" s="1"/>
  <c r="CS162" i="2"/>
  <c r="BT50" i="2"/>
  <c r="BU42" i="2"/>
  <c r="BN171" i="2"/>
  <c r="BN168" i="2" s="1"/>
  <c r="BN52" i="2"/>
  <c r="BO24" i="2"/>
  <c r="CF169" i="2"/>
  <c r="CG168" i="2"/>
  <c r="DY168" i="2"/>
  <c r="CU168" i="2"/>
  <c r="Y52" i="2"/>
  <c r="EC162" i="2"/>
  <c r="EI164" i="2"/>
  <c r="EI40" i="2"/>
  <c r="EK40" i="2"/>
  <c r="EL40" i="2" s="1"/>
  <c r="EM40" i="2" s="1"/>
  <c r="EN40" i="2" s="1"/>
  <c r="CS171" i="2"/>
  <c r="CO168" i="2"/>
  <c r="BH52" i="2"/>
  <c r="CC168" i="2"/>
  <c r="CG171" i="2"/>
  <c r="AV52" i="2"/>
  <c r="AW243" i="2"/>
  <c r="BF271" i="2"/>
  <c r="CV106" i="2"/>
  <c r="BS116" i="2"/>
  <c r="BT114" i="2"/>
  <c r="CK98" i="2"/>
  <c r="DK82" i="2"/>
  <c r="DK80" i="2"/>
  <c r="BO82" i="2"/>
  <c r="BO80" i="2"/>
  <c r="R100" i="2"/>
  <c r="S100" i="2" s="1"/>
  <c r="S99" i="2"/>
  <c r="CE113" i="2"/>
  <c r="CD116" i="2"/>
  <c r="DP98" i="2"/>
  <c r="DD96" i="2"/>
  <c r="CG80" i="2"/>
  <c r="CG82" i="2"/>
  <c r="DS171" i="2"/>
  <c r="DS52" i="2"/>
  <c r="DV171" i="2"/>
  <c r="DV168" i="2" s="1"/>
  <c r="DV52" i="2"/>
  <c r="DW24" i="2"/>
  <c r="DW52" i="2" s="1"/>
  <c r="AD52" i="2"/>
  <c r="AE24" i="2"/>
  <c r="AE52" i="2" s="1"/>
  <c r="EC165" i="2"/>
  <c r="EC166" i="2" s="1"/>
  <c r="CK143" i="2"/>
  <c r="CJ145" i="2"/>
  <c r="AP52" i="2"/>
  <c r="AQ24" i="2"/>
  <c r="AQ52" i="2" s="1"/>
  <c r="EK41" i="2"/>
  <c r="EL41" i="2" s="1"/>
  <c r="EM41" i="2" s="1"/>
  <c r="EN41" i="2" s="1"/>
  <c r="EI41" i="2"/>
  <c r="DM168" i="2"/>
  <c r="DQ168" i="2"/>
  <c r="DP169" i="2"/>
  <c r="EI18" i="2"/>
  <c r="EK18" i="2"/>
  <c r="EL18" i="2" s="1"/>
  <c r="EM18" i="2" s="1"/>
  <c r="EN18" i="2" s="1"/>
  <c r="DC169" i="2"/>
  <c r="CV141" i="2"/>
  <c r="CU151" i="2"/>
  <c r="AA271" i="2"/>
  <c r="AE231" i="2"/>
  <c r="BL260" i="2"/>
  <c r="BL261" i="2" s="1"/>
  <c r="Y204" i="2"/>
  <c r="S211" i="2"/>
  <c r="Y216" i="2"/>
  <c r="U232" i="2" s="1"/>
  <c r="S297" i="2"/>
  <c r="S176" i="1"/>
  <c r="CR151" i="2"/>
  <c r="CC222" i="2"/>
  <c r="BZ222" i="2"/>
  <c r="AG271" i="2"/>
  <c r="AK231" i="2"/>
  <c r="AK271" i="2" s="1"/>
  <c r="DI141" i="2"/>
  <c r="DH151" i="2"/>
  <c r="CV221" i="2"/>
  <c r="CW221" i="2" s="1"/>
  <c r="CS221" i="2"/>
  <c r="AZ204" i="2"/>
  <c r="AY211" i="2"/>
  <c r="AY297" i="2"/>
  <c r="AZ216" i="2"/>
  <c r="BC247" i="2"/>
  <c r="BC271" i="2" s="1"/>
  <c r="AQ235" i="2"/>
  <c r="AQ271" i="2" s="1"/>
  <c r="AT271" i="2"/>
  <c r="BN271" i="2"/>
  <c r="CD98" i="2"/>
  <c r="BB201" i="2"/>
  <c r="DD98" i="2"/>
  <c r="CS82" i="2"/>
  <c r="CS80" i="2"/>
  <c r="AW80" i="2"/>
  <c r="CX171" i="2"/>
  <c r="CX168" i="2" s="1"/>
  <c r="CY24" i="2"/>
  <c r="CY52" i="2" s="1"/>
  <c r="DE165" i="2"/>
  <c r="DE166" i="2" s="1"/>
  <c r="CS165" i="2"/>
  <c r="CS166" i="2" s="1"/>
  <c r="CG165" i="2"/>
  <c r="CG166" i="2" s="1"/>
  <c r="BO165" i="2"/>
  <c r="BO166" i="2" s="1"/>
  <c r="DQ42" i="2"/>
  <c r="DJ171" i="2"/>
  <c r="DJ168" i="2" s="1"/>
  <c r="DJ52" i="2"/>
  <c r="DK24" i="2"/>
  <c r="DK52" i="2" s="1"/>
  <c r="R52" i="2"/>
  <c r="S24" i="2"/>
  <c r="S52" i="2" s="1"/>
  <c r="CG52" i="2"/>
  <c r="BQ168" i="2"/>
  <c r="EO36" i="2"/>
  <c r="EM36" i="2"/>
  <c r="EN36" i="2" s="1"/>
  <c r="EK21" i="2"/>
  <c r="EL21" i="2" s="1"/>
  <c r="EM21" i="2" s="1"/>
  <c r="EN21" i="2" s="1"/>
  <c r="EI21" i="2"/>
  <c r="DE171" i="2"/>
  <c r="DA168" i="2"/>
  <c r="CP169" i="2"/>
  <c r="EI39" i="2"/>
  <c r="EK39" i="2"/>
  <c r="EL39" i="2" s="1"/>
  <c r="EM39" i="2" s="1"/>
  <c r="EN39" i="2" s="1"/>
  <c r="DD169" i="2"/>
  <c r="DE168" i="2"/>
  <c r="CI168" i="2"/>
  <c r="CI169" i="2" s="1"/>
  <c r="BW171" i="2"/>
  <c r="BL168" i="2"/>
  <c r="BL169" i="2" s="1"/>
  <c r="EK10" i="2"/>
  <c r="EL10" i="2" s="1"/>
  <c r="EM10" i="2" s="1"/>
  <c r="EN10" i="2" s="1"/>
  <c r="EI10" i="2"/>
  <c r="EF150" i="2"/>
  <c r="EE148" i="2"/>
  <c r="EE56" i="3" s="1"/>
  <c r="EE129" i="3" s="1"/>
  <c r="EK150" i="2"/>
  <c r="EQ150" i="2" s="1"/>
  <c r="BF256" i="2"/>
  <c r="BF257" i="2" s="1"/>
  <c r="AV214" i="2"/>
  <c r="AW214" i="2" s="1"/>
  <c r="AV208" i="2"/>
  <c r="AW208" i="2" s="1"/>
  <c r="AV206" i="2"/>
  <c r="AW206" i="2" s="1"/>
  <c r="U271" i="2"/>
  <c r="Y231" i="2"/>
  <c r="AJ271" i="2"/>
  <c r="BO259" i="2"/>
  <c r="BO271" i="2" s="1"/>
  <c r="CA259" i="2"/>
  <c r="AV202" i="2"/>
  <c r="AV209" i="2" s="1"/>
  <c r="AW209" i="2" s="1"/>
  <c r="BU255" i="2"/>
  <c r="AE235" i="2"/>
  <c r="AS271" i="2"/>
  <c r="CM135" i="2"/>
  <c r="BU251" i="2"/>
  <c r="AW271" i="2"/>
  <c r="BG271" i="2"/>
  <c r="BE271" i="2"/>
  <c r="DW82" i="2"/>
  <c r="DW80" i="2"/>
  <c r="CY82" i="2"/>
  <c r="CY80" i="2"/>
  <c r="CA82" i="2"/>
  <c r="CA80" i="2"/>
  <c r="BB67" i="2"/>
  <c r="BX98" i="2"/>
  <c r="X122" i="2"/>
  <c r="Y108" i="2"/>
  <c r="DE80" i="2"/>
  <c r="DE82" i="2"/>
  <c r="BI80" i="2"/>
  <c r="CU115" i="2"/>
  <c r="CV115" i="2" s="1"/>
  <c r="CW115" i="2" s="1"/>
  <c r="CX115" i="2" s="1"/>
  <c r="CS115" i="2"/>
  <c r="AO95" i="2"/>
  <c r="AN99" i="2"/>
  <c r="AH99" i="2"/>
  <c r="AI95" i="2"/>
  <c r="BZ171" i="2"/>
  <c r="BZ168" i="2" s="1"/>
  <c r="CA24" i="2"/>
  <c r="CA52" i="2" s="1"/>
  <c r="DP48" i="2"/>
  <c r="DQ46" i="2"/>
  <c r="CL145" i="2"/>
  <c r="CM144" i="2"/>
  <c r="CM165" i="2"/>
  <c r="CM166" i="2" s="1"/>
  <c r="CA164" i="2"/>
  <c r="CA165" i="2" s="1"/>
  <c r="CA166" i="2" s="1"/>
  <c r="BU162" i="2"/>
  <c r="BU165" i="2" s="1"/>
  <c r="BU166" i="2" s="1"/>
  <c r="CR50" i="2"/>
  <c r="CS42" i="2"/>
  <c r="CL171" i="2"/>
  <c r="CL168" i="2" s="1"/>
  <c r="CL52" i="2"/>
  <c r="CM24" i="2"/>
  <c r="CM52" i="2" s="1"/>
  <c r="EI38" i="2"/>
  <c r="EK38" i="2"/>
  <c r="EL38" i="2" s="1"/>
  <c r="EM38" i="2" s="1"/>
  <c r="EN38" i="2" s="1"/>
  <c r="DG168" i="2"/>
  <c r="DG169" i="2" s="1"/>
  <c r="DK171" i="2"/>
  <c r="BT171" i="2"/>
  <c r="BT168" i="2" s="1"/>
  <c r="EK46" i="2"/>
  <c r="EL46" i="2" s="1"/>
  <c r="EM46" i="2" s="1"/>
  <c r="EN46" i="2" s="1"/>
  <c r="EI46" i="2"/>
  <c r="CJ50" i="2"/>
  <c r="CJ52" i="2" s="1"/>
  <c r="EI22" i="2"/>
  <c r="EK22" i="2"/>
  <c r="EL22" i="2" s="1"/>
  <c r="EM22" i="2" s="1"/>
  <c r="EN22" i="2" s="1"/>
  <c r="DU169" i="2"/>
  <c r="AW52" i="2"/>
  <c r="CF316" i="1"/>
  <c r="CF313" i="1"/>
  <c r="BS316" i="1"/>
  <c r="BS313" i="1"/>
  <c r="BQ316" i="1"/>
  <c r="BQ313" i="1"/>
  <c r="BZ316" i="1"/>
  <c r="BZ313" i="1"/>
  <c r="DM314" i="1"/>
  <c r="DJ313" i="1"/>
  <c r="BN316" i="1"/>
  <c r="BN313" i="1"/>
  <c r="CU314" i="1"/>
  <c r="CR313" i="1"/>
  <c r="BL316" i="1"/>
  <c r="BL313" i="1"/>
  <c r="CC316" i="1"/>
  <c r="CC313" i="1"/>
  <c r="BR313" i="1"/>
  <c r="BR316" i="1"/>
  <c r="BY316" i="1"/>
  <c r="BY313" i="1"/>
  <c r="CD316" i="1"/>
  <c r="CD313" i="1"/>
  <c r="CM184" i="1"/>
  <c r="DP157" i="1"/>
  <c r="DP200" i="2" s="1"/>
  <c r="DO158" i="1"/>
  <c r="BT192" i="1"/>
  <c r="BS192" i="1" s="1"/>
  <c r="BR192" i="1" s="1"/>
  <c r="BQ192" i="1" s="1"/>
  <c r="CA192" i="1"/>
  <c r="BX316" i="1"/>
  <c r="BX313" i="1"/>
  <c r="BM316" i="1"/>
  <c r="BM313" i="1"/>
  <c r="DJ311" i="1"/>
  <c r="DK311" i="1" s="1"/>
  <c r="DK314" i="1" s="1"/>
  <c r="AW158" i="1"/>
  <c r="BC174" i="1"/>
  <c r="EO103" i="1"/>
  <c r="EI103" i="1"/>
  <c r="EC103" i="1"/>
  <c r="DW103" i="1"/>
  <c r="DQ103" i="1"/>
  <c r="DK103" i="1"/>
  <c r="DE103" i="1"/>
  <c r="CY103" i="1"/>
  <c r="CS103" i="1"/>
  <c r="CM103" i="1"/>
  <c r="CG103" i="1"/>
  <c r="CA103" i="1"/>
  <c r="BU103" i="1"/>
  <c r="BO103" i="1"/>
  <c r="BI103" i="1"/>
  <c r="BC103" i="1"/>
  <c r="AW103" i="1"/>
  <c r="AQ103" i="1"/>
  <c r="AK103" i="1"/>
  <c r="Y103" i="1"/>
  <c r="DW100" i="1"/>
  <c r="DQ100" i="1"/>
  <c r="DK100" i="1"/>
  <c r="DD100" i="1"/>
  <c r="DC100" i="1"/>
  <c r="CX100" i="1"/>
  <c r="CQ100" i="1"/>
  <c r="CP100" i="1"/>
  <c r="CI100" i="1"/>
  <c r="CM100" i="1" s="1"/>
  <c r="CF100" i="1"/>
  <c r="CG100" i="1" s="1"/>
  <c r="BW100" i="1"/>
  <c r="CA100" i="1" s="1"/>
  <c r="BU100" i="1"/>
  <c r="BO100" i="1"/>
  <c r="BI100" i="1"/>
  <c r="BC100" i="1"/>
  <c r="AW100" i="1"/>
  <c r="AQ100" i="1"/>
  <c r="AK100" i="1"/>
  <c r="AE100" i="1"/>
  <c r="Y100" i="1"/>
  <c r="S100" i="1"/>
  <c r="EO96" i="1"/>
  <c r="EI96" i="1"/>
  <c r="EC96" i="1"/>
  <c r="DW96" i="1"/>
  <c r="DQ96" i="1"/>
  <c r="DK96" i="1"/>
  <c r="DE96" i="1"/>
  <c r="CY96" i="1"/>
  <c r="CY95" i="1"/>
  <c r="CY94" i="1"/>
  <c r="CS96" i="1"/>
  <c r="CS95" i="1"/>
  <c r="CS94" i="1"/>
  <c r="CM96" i="1"/>
  <c r="CM95" i="1"/>
  <c r="CG96" i="1"/>
  <c r="CG95" i="1"/>
  <c r="CG94" i="1"/>
  <c r="CA96" i="1"/>
  <c r="CA95" i="1"/>
  <c r="CA94" i="1"/>
  <c r="BU96" i="1"/>
  <c r="BU95" i="1"/>
  <c r="BU94" i="1"/>
  <c r="BO96" i="1"/>
  <c r="BO95" i="1"/>
  <c r="BO94" i="1"/>
  <c r="BI96" i="1"/>
  <c r="BI95" i="1"/>
  <c r="BI94" i="1"/>
  <c r="AU96" i="1"/>
  <c r="AT96" i="1"/>
  <c r="AS96" i="1"/>
  <c r="AO96" i="1"/>
  <c r="AN96" i="1"/>
  <c r="AM96" i="1"/>
  <c r="AK96" i="1"/>
  <c r="AK95" i="1"/>
  <c r="AK94" i="1"/>
  <c r="AE96" i="1"/>
  <c r="AE95" i="1"/>
  <c r="AE94" i="1"/>
  <c r="EH95" i="1"/>
  <c r="EG95" i="1"/>
  <c r="EF95" i="1"/>
  <c r="EE95" i="1"/>
  <c r="EE93" i="1" s="1"/>
  <c r="EB95" i="1"/>
  <c r="EB94" i="1" s="1"/>
  <c r="EA95" i="1"/>
  <c r="DY95" i="1"/>
  <c r="DV95" i="1"/>
  <c r="DV94" i="1" s="1"/>
  <c r="DV93" i="1" s="1"/>
  <c r="DV322" i="1" s="1"/>
  <c r="DU95" i="1"/>
  <c r="DU94" i="1" s="1"/>
  <c r="DU93" i="1" s="1"/>
  <c r="DT95" i="1"/>
  <c r="DT94" i="1" s="1"/>
  <c r="DT93" i="1" s="1"/>
  <c r="DS95" i="1"/>
  <c r="DS93" i="1" s="1"/>
  <c r="BB95" i="1"/>
  <c r="BB93" i="1" s="1"/>
  <c r="AV95" i="1"/>
  <c r="AV94" i="1"/>
  <c r="AV311" i="1" s="1"/>
  <c r="AV314" i="1" s="1"/>
  <c r="AV316" i="1" s="1"/>
  <c r="AP95" i="1"/>
  <c r="AP94" i="1"/>
  <c r="AP311" i="1" s="1"/>
  <c r="AP314" i="1" s="1"/>
  <c r="AP316" i="1" s="1"/>
  <c r="DY93" i="1"/>
  <c r="DY322" i="1" s="1"/>
  <c r="DP95" i="1"/>
  <c r="DO95" i="1"/>
  <c r="DO94" i="1" s="1"/>
  <c r="DO93" i="1" s="1"/>
  <c r="DN95" i="1"/>
  <c r="DN94" i="1" s="1"/>
  <c r="DN93" i="1" s="1"/>
  <c r="DM95" i="1"/>
  <c r="DB95" i="1"/>
  <c r="DB94" i="1" s="1"/>
  <c r="DB93" i="1" s="1"/>
  <c r="DA95" i="1"/>
  <c r="DA94" i="1" s="1"/>
  <c r="CJ94" i="1"/>
  <c r="CJ311" i="1" s="1"/>
  <c r="CJ314" i="1" s="1"/>
  <c r="CJ313" i="1" s="1"/>
  <c r="EL95" i="1"/>
  <c r="EF94" i="1"/>
  <c r="DJ95" i="1"/>
  <c r="DJ94" i="1" s="1"/>
  <c r="DJ93" i="1" s="1"/>
  <c r="DI95" i="1"/>
  <c r="DI94" i="1" s="1"/>
  <c r="DI93" i="1" s="1"/>
  <c r="DH95" i="1"/>
  <c r="DH94" i="1" s="1"/>
  <c r="DH93" i="1" s="1"/>
  <c r="DG95" i="1"/>
  <c r="DG94" i="1" s="1"/>
  <c r="DG93" i="1" s="1"/>
  <c r="DD93" i="1"/>
  <c r="DC93" i="1"/>
  <c r="CX93" i="1"/>
  <c r="CW93" i="1"/>
  <c r="CV93" i="1"/>
  <c r="CU93" i="1"/>
  <c r="CR93" i="1"/>
  <c r="CQ93" i="1"/>
  <c r="CP93" i="1"/>
  <c r="CO93" i="1"/>
  <c r="CL93" i="1"/>
  <c r="CK93" i="1"/>
  <c r="CI93" i="1"/>
  <c r="CF93" i="1"/>
  <c r="CF138" i="1" s="1"/>
  <c r="CE93" i="1"/>
  <c r="CE138" i="1" s="1"/>
  <c r="CD93" i="1"/>
  <c r="CD138" i="1" s="1"/>
  <c r="CC93" i="1"/>
  <c r="CC138" i="1" s="1"/>
  <c r="BZ93" i="1"/>
  <c r="BZ138" i="1" s="1"/>
  <c r="BY93" i="1"/>
  <c r="BY138" i="1" s="1"/>
  <c r="BX93" i="1"/>
  <c r="BW93" i="1"/>
  <c r="BW138" i="1" s="1"/>
  <c r="BT93" i="1"/>
  <c r="BT138" i="1" s="1"/>
  <c r="BS93" i="1"/>
  <c r="BR93" i="1"/>
  <c r="BR138" i="1" s="1"/>
  <c r="BQ93" i="1"/>
  <c r="BQ138" i="1" s="1"/>
  <c r="BN93" i="1"/>
  <c r="BM93" i="1"/>
  <c r="BL93" i="1"/>
  <c r="BK93" i="1"/>
  <c r="BH93" i="1"/>
  <c r="BG93" i="1"/>
  <c r="BF93" i="1"/>
  <c r="BE93" i="1"/>
  <c r="BA93" i="1"/>
  <c r="AZ93" i="1"/>
  <c r="AY93" i="1"/>
  <c r="AW93" i="1"/>
  <c r="AW138" i="1" s="1"/>
  <c r="AQ93" i="1"/>
  <c r="AQ138" i="1" s="1"/>
  <c r="AJ93" i="1"/>
  <c r="AI93" i="1"/>
  <c r="AH93" i="1"/>
  <c r="AG93" i="1"/>
  <c r="AD93" i="1"/>
  <c r="AC93" i="1"/>
  <c r="AB93" i="1"/>
  <c r="AA93" i="1"/>
  <c r="Y93" i="1"/>
  <c r="X93" i="1"/>
  <c r="W93" i="1"/>
  <c r="V93" i="1"/>
  <c r="U93" i="1"/>
  <c r="S93" i="1"/>
  <c r="R93" i="1"/>
  <c r="Q93" i="1"/>
  <c r="P93" i="1"/>
  <c r="O93" i="1"/>
  <c r="M93" i="1"/>
  <c r="M138" i="1" s="1"/>
  <c r="L93" i="1"/>
  <c r="L138" i="1" s="1"/>
  <c r="K93" i="1"/>
  <c r="K138" i="1" s="1"/>
  <c r="J93" i="1"/>
  <c r="J138" i="1" s="1"/>
  <c r="I93" i="1"/>
  <c r="I138" i="1" s="1"/>
  <c r="G93" i="1"/>
  <c r="G138" i="1" s="1"/>
  <c r="F93" i="1"/>
  <c r="F138" i="1" s="1"/>
  <c r="E93" i="1"/>
  <c r="E138" i="1" s="1"/>
  <c r="D93" i="1"/>
  <c r="D138" i="1" s="1"/>
  <c r="C93" i="1"/>
  <c r="C138" i="1" s="1"/>
  <c r="BR79" i="1"/>
  <c r="AV79" i="1"/>
  <c r="AU79" i="1"/>
  <c r="AT79" i="1"/>
  <c r="AS79" i="1"/>
  <c r="AP79" i="1"/>
  <c r="AO79" i="1"/>
  <c r="AN79" i="1"/>
  <c r="AM79" i="1"/>
  <c r="AJ79" i="1"/>
  <c r="AI79" i="1"/>
  <c r="AH79" i="1"/>
  <c r="AG79" i="1"/>
  <c r="AE79" i="1"/>
  <c r="AD79" i="1"/>
  <c r="AC79" i="1"/>
  <c r="AB79" i="1"/>
  <c r="AA79" i="1"/>
  <c r="X79" i="1"/>
  <c r="W79" i="1"/>
  <c r="V79" i="1"/>
  <c r="U79" i="1"/>
  <c r="R79" i="1"/>
  <c r="Q79" i="1"/>
  <c r="P79" i="1"/>
  <c r="O79" i="1"/>
  <c r="M79" i="1"/>
  <c r="L79" i="1"/>
  <c r="K79" i="1"/>
  <c r="J79" i="1"/>
  <c r="I79" i="1"/>
  <c r="G79" i="1"/>
  <c r="F79" i="1"/>
  <c r="E79" i="1"/>
  <c r="D79" i="1"/>
  <c r="C79" i="1"/>
  <c r="DK76" i="1"/>
  <c r="DK325" i="1" s="1"/>
  <c r="DK75" i="1"/>
  <c r="DK74" i="1"/>
  <c r="DK73" i="1"/>
  <c r="DK72" i="1"/>
  <c r="DE76" i="1"/>
  <c r="DE325" i="1" s="1"/>
  <c r="DE75" i="1"/>
  <c r="DE74" i="1"/>
  <c r="DE73" i="1"/>
  <c r="CR76" i="1"/>
  <c r="CR325" i="1" s="1"/>
  <c r="CP76" i="1"/>
  <c r="CP325" i="1" s="1"/>
  <c r="CO76" i="1"/>
  <c r="CL76" i="1"/>
  <c r="CL325" i="1" s="1"/>
  <c r="CK76" i="1"/>
  <c r="CK325" i="1" s="1"/>
  <c r="CE76" i="1"/>
  <c r="CD76" i="1"/>
  <c r="BY76" i="1"/>
  <c r="BX76" i="1"/>
  <c r="BW76" i="1"/>
  <c r="BT76" i="1"/>
  <c r="BT325" i="1" s="1"/>
  <c r="BS76" i="1"/>
  <c r="BS325" i="1" s="1"/>
  <c r="BR76" i="1"/>
  <c r="BR325" i="1" s="1"/>
  <c r="BQ76" i="1"/>
  <c r="BQ325" i="1" s="1"/>
  <c r="BN76" i="1"/>
  <c r="BN325" i="1" s="1"/>
  <c r="BM76" i="1"/>
  <c r="BM325" i="1" s="1"/>
  <c r="BL76" i="1"/>
  <c r="BL325" i="1" s="1"/>
  <c r="BK76" i="1"/>
  <c r="BK325" i="1" s="1"/>
  <c r="BH76" i="1"/>
  <c r="BH325" i="1" s="1"/>
  <c r="BG76" i="1"/>
  <c r="BG325" i="1" s="1"/>
  <c r="BF76" i="1"/>
  <c r="BF325" i="1" s="1"/>
  <c r="BE76" i="1"/>
  <c r="BE325" i="1" s="1"/>
  <c r="BC76" i="1"/>
  <c r="BC325" i="1" s="1"/>
  <c r="BC75" i="1"/>
  <c r="BC74" i="1"/>
  <c r="BC73" i="1"/>
  <c r="BC72" i="1"/>
  <c r="BC71" i="1"/>
  <c r="AW76" i="1"/>
  <c r="AW325" i="1" s="1"/>
  <c r="AW75" i="1"/>
  <c r="AW74" i="1"/>
  <c r="AW73" i="1"/>
  <c r="AW72" i="1"/>
  <c r="AW71" i="1"/>
  <c r="AQ76" i="1"/>
  <c r="AQ325" i="1" s="1"/>
  <c r="AQ75" i="1"/>
  <c r="AQ74" i="1"/>
  <c r="AQ73" i="1"/>
  <c r="AQ72" i="1"/>
  <c r="AQ71" i="1"/>
  <c r="AK76" i="1"/>
  <c r="AK325" i="1" s="1"/>
  <c r="AK75" i="1"/>
  <c r="AK74" i="1"/>
  <c r="AK73" i="1"/>
  <c r="AK72" i="1"/>
  <c r="AK71" i="1"/>
  <c r="AE76" i="1"/>
  <c r="AE325" i="1" s="1"/>
  <c r="AE75" i="1"/>
  <c r="AE74" i="1"/>
  <c r="AE73" i="1"/>
  <c r="AE72" i="1"/>
  <c r="AE71" i="1"/>
  <c r="Y76" i="1"/>
  <c r="Y325" i="1" s="1"/>
  <c r="Y75" i="1"/>
  <c r="Y74" i="1"/>
  <c r="Y73" i="1"/>
  <c r="Y72" i="1"/>
  <c r="Y71" i="1"/>
  <c r="S76" i="1"/>
  <c r="S325" i="1" s="1"/>
  <c r="EO75" i="1"/>
  <c r="EO74" i="1"/>
  <c r="EO73" i="1"/>
  <c r="EO72" i="1"/>
  <c r="EI75" i="1"/>
  <c r="EI74" i="1"/>
  <c r="EI73" i="1"/>
  <c r="EI72" i="1"/>
  <c r="EC75" i="1"/>
  <c r="EC74" i="1"/>
  <c r="EC73" i="1"/>
  <c r="DW75" i="1"/>
  <c r="DW74" i="1"/>
  <c r="DW73" i="1"/>
  <c r="DW72" i="1"/>
  <c r="DQ75" i="1"/>
  <c r="DQ74" i="1"/>
  <c r="DQ73" i="1"/>
  <c r="DQ72" i="1"/>
  <c r="CY75" i="1"/>
  <c r="CY74" i="1"/>
  <c r="CY73" i="1"/>
  <c r="CY72" i="1"/>
  <c r="CS75" i="1"/>
  <c r="CS74" i="1"/>
  <c r="CS73" i="1"/>
  <c r="CS72" i="1"/>
  <c r="CM75" i="1"/>
  <c r="CM74" i="1"/>
  <c r="CM73" i="1"/>
  <c r="CG75" i="1"/>
  <c r="CG74" i="1"/>
  <c r="CG73" i="1"/>
  <c r="CA75" i="1"/>
  <c r="CA74" i="1"/>
  <c r="CA73" i="1"/>
  <c r="BU75" i="1"/>
  <c r="BU74" i="1"/>
  <c r="BU73" i="1"/>
  <c r="BO75" i="1"/>
  <c r="BO74" i="1"/>
  <c r="BO73" i="1"/>
  <c r="BO72" i="1"/>
  <c r="BI75" i="1"/>
  <c r="BI74" i="1"/>
  <c r="BI73" i="1"/>
  <c r="BI72" i="1"/>
  <c r="BI71" i="1"/>
  <c r="DY72" i="1"/>
  <c r="EC72" i="1" s="1"/>
  <c r="DY71" i="1"/>
  <c r="DY126" i="2" s="1"/>
  <c r="DY125" i="2" s="1"/>
  <c r="DY66" i="1"/>
  <c r="DY62" i="1"/>
  <c r="DZ65" i="1" s="1"/>
  <c r="DY58" i="1"/>
  <c r="DZ61" i="1" s="1"/>
  <c r="DY54" i="1"/>
  <c r="DZ57" i="1" s="1"/>
  <c r="DA72" i="1"/>
  <c r="DE72" i="1" s="1"/>
  <c r="DA71" i="1"/>
  <c r="DA66" i="1"/>
  <c r="DA62" i="1"/>
  <c r="DA58" i="1"/>
  <c r="DA54" i="1"/>
  <c r="CI72" i="1"/>
  <c r="CI71" i="1"/>
  <c r="CI66" i="1"/>
  <c r="CI76" i="1" s="1"/>
  <c r="CI62" i="1"/>
  <c r="CI58" i="1"/>
  <c r="CI54" i="1"/>
  <c r="CF72" i="1"/>
  <c r="CF71" i="1"/>
  <c r="CF66" i="1"/>
  <c r="CF69" i="1" s="1"/>
  <c r="CF62" i="1"/>
  <c r="CF58" i="1"/>
  <c r="CF54" i="1"/>
  <c r="CC72" i="1"/>
  <c r="CC71" i="1"/>
  <c r="CC66" i="1"/>
  <c r="CC68" i="1" s="1"/>
  <c r="CC62" i="1"/>
  <c r="CC58" i="1"/>
  <c r="CC54" i="1"/>
  <c r="BZ72" i="1"/>
  <c r="CA72" i="1" s="1"/>
  <c r="BZ71" i="1"/>
  <c r="BZ66" i="1"/>
  <c r="BZ76" i="1" s="1"/>
  <c r="BZ62" i="1"/>
  <c r="BZ58" i="1"/>
  <c r="BZ54" i="1"/>
  <c r="BT72" i="1"/>
  <c r="BT71" i="1"/>
  <c r="BT69" i="1"/>
  <c r="BT68" i="1"/>
  <c r="M72" i="1"/>
  <c r="G72" i="1"/>
  <c r="S71" i="1"/>
  <c r="EA70" i="1"/>
  <c r="EA66" i="1"/>
  <c r="EB69" i="1" s="1"/>
  <c r="BH70" i="1"/>
  <c r="BG70" i="1"/>
  <c r="BF70" i="1"/>
  <c r="BE70" i="1"/>
  <c r="BB70" i="1"/>
  <c r="BA70" i="1"/>
  <c r="AZ70" i="1"/>
  <c r="AY70" i="1"/>
  <c r="AV70" i="1"/>
  <c r="AU70" i="1"/>
  <c r="AT70" i="1"/>
  <c r="AS70" i="1"/>
  <c r="AP70" i="1"/>
  <c r="AO70" i="1"/>
  <c r="AN70" i="1"/>
  <c r="AM70" i="1"/>
  <c r="AJ70" i="1"/>
  <c r="AI70" i="1"/>
  <c r="AH70" i="1"/>
  <c r="AG70" i="1"/>
  <c r="AD70" i="1"/>
  <c r="AC70" i="1"/>
  <c r="AB70" i="1"/>
  <c r="AA70" i="1"/>
  <c r="X70" i="1"/>
  <c r="W70" i="1"/>
  <c r="V70" i="1"/>
  <c r="U70" i="1"/>
  <c r="R70" i="1"/>
  <c r="Q70" i="1"/>
  <c r="P70" i="1"/>
  <c r="O70" i="1"/>
  <c r="EH70" i="1"/>
  <c r="EG70" i="1"/>
  <c r="EF70" i="1"/>
  <c r="EE70" i="1"/>
  <c r="DV71" i="1"/>
  <c r="DV126" i="2" s="1"/>
  <c r="DV125" i="2" s="1"/>
  <c r="DU71" i="1"/>
  <c r="DU126" i="2" s="1"/>
  <c r="DU125" i="2" s="1"/>
  <c r="DT71" i="1"/>
  <c r="DT126" i="2" s="1"/>
  <c r="DT125" i="2" s="1"/>
  <c r="DS71" i="1"/>
  <c r="DV70" i="1"/>
  <c r="DT70" i="1"/>
  <c r="DS70" i="1"/>
  <c r="DP71" i="1"/>
  <c r="DP126" i="2" s="1"/>
  <c r="DP125" i="2" s="1"/>
  <c r="DO71" i="1"/>
  <c r="DO126" i="2" s="1"/>
  <c r="DO125" i="2" s="1"/>
  <c r="DN71" i="1"/>
  <c r="DN126" i="2" s="1"/>
  <c r="DN125" i="2" s="1"/>
  <c r="DM71" i="1"/>
  <c r="DP70" i="1"/>
  <c r="DN70" i="1"/>
  <c r="DM70" i="1"/>
  <c r="DJ71" i="1"/>
  <c r="DJ126" i="2" s="1"/>
  <c r="DJ125" i="2" s="1"/>
  <c r="DI71" i="1"/>
  <c r="DI126" i="2" s="1"/>
  <c r="DI125" i="2" s="1"/>
  <c r="DH71" i="1"/>
  <c r="DH126" i="2" s="1"/>
  <c r="DH125" i="2" s="1"/>
  <c r="DG71" i="1"/>
  <c r="DJ70" i="1"/>
  <c r="DI70" i="1"/>
  <c r="DH70" i="1"/>
  <c r="DG70" i="1"/>
  <c r="DD71" i="1"/>
  <c r="DC71" i="1"/>
  <c r="DB71" i="1"/>
  <c r="DB126" i="2" s="1"/>
  <c r="DB125" i="2" s="1"/>
  <c r="CX71" i="1"/>
  <c r="CX126" i="2" s="1"/>
  <c r="CX125" i="2" s="1"/>
  <c r="CW71" i="1"/>
  <c r="CW126" i="2" s="1"/>
  <c r="CW125" i="2" s="1"/>
  <c r="CV71" i="1"/>
  <c r="CV126" i="2" s="1"/>
  <c r="CV125" i="2" s="1"/>
  <c r="CU71" i="1"/>
  <c r="CX70" i="1"/>
  <c r="CW70" i="1"/>
  <c r="CV70" i="1"/>
  <c r="CU70" i="1"/>
  <c r="CR71" i="1"/>
  <c r="CR126" i="2" s="1"/>
  <c r="CR125" i="2" s="1"/>
  <c r="CR110" i="2" s="1"/>
  <c r="CQ71" i="1"/>
  <c r="CQ126" i="2" s="1"/>
  <c r="CQ125" i="2" s="1"/>
  <c r="CQ108" i="2" s="1"/>
  <c r="CQ109" i="2" s="1"/>
  <c r="CP71" i="1"/>
  <c r="CP126" i="2" s="1"/>
  <c r="CP125" i="2" s="1"/>
  <c r="CP110" i="2" s="1"/>
  <c r="CO71" i="1"/>
  <c r="CO70" i="1" s="1"/>
  <c r="CR70" i="1"/>
  <c r="CQ70" i="1"/>
  <c r="CR69" i="1"/>
  <c r="CQ69" i="1"/>
  <c r="CP69" i="1"/>
  <c r="CO69" i="1"/>
  <c r="CL71" i="1"/>
  <c r="CK71" i="1"/>
  <c r="CK126" i="2" s="1"/>
  <c r="CK125" i="2" s="1"/>
  <c r="CK110" i="2" s="1"/>
  <c r="CJ71" i="1"/>
  <c r="CJ126" i="2" s="1"/>
  <c r="CJ125" i="2" s="1"/>
  <c r="CJ110" i="2" s="1"/>
  <c r="CL69" i="1"/>
  <c r="BN71" i="1"/>
  <c r="BM71" i="1"/>
  <c r="BL71" i="1"/>
  <c r="BK71" i="1"/>
  <c r="BN70" i="1"/>
  <c r="BM70" i="1"/>
  <c r="BL70" i="1"/>
  <c r="BK70" i="1"/>
  <c r="BN69" i="1"/>
  <c r="BM69" i="1"/>
  <c r="BL69" i="1"/>
  <c r="BK69" i="1"/>
  <c r="CA66" i="1"/>
  <c r="BU66" i="1"/>
  <c r="BU164" i="1" s="1"/>
  <c r="CW68" i="1"/>
  <c r="CR68" i="1"/>
  <c r="CQ68" i="1"/>
  <c r="CL68" i="1"/>
  <c r="CK68" i="1"/>
  <c r="CE71" i="1"/>
  <c r="CE70" i="1" s="1"/>
  <c r="CD71" i="1"/>
  <c r="CD70" i="1" s="1"/>
  <c r="CE69" i="1"/>
  <c r="CE68" i="1"/>
  <c r="CD68" i="1"/>
  <c r="BY71" i="1"/>
  <c r="BY70" i="1" s="1"/>
  <c r="BX71" i="1"/>
  <c r="BX70" i="1" s="1"/>
  <c r="BW71" i="1"/>
  <c r="BW70" i="1" s="1"/>
  <c r="BY69" i="1"/>
  <c r="BX69" i="1"/>
  <c r="BW69" i="1"/>
  <c r="BY68" i="1"/>
  <c r="BX68" i="1"/>
  <c r="BW68" i="1"/>
  <c r="BS71" i="1"/>
  <c r="BS70" i="1" s="1"/>
  <c r="BR71" i="1"/>
  <c r="BR70" i="1" s="1"/>
  <c r="BQ71" i="1"/>
  <c r="BQ70" i="1" s="1"/>
  <c r="BS69" i="1"/>
  <c r="BR69" i="1"/>
  <c r="BQ69" i="1"/>
  <c r="BS68" i="1"/>
  <c r="BR68" i="1"/>
  <c r="BQ68" i="1"/>
  <c r="BN68" i="1"/>
  <c r="BM68" i="1"/>
  <c r="BL68" i="1"/>
  <c r="BK68" i="1"/>
  <c r="EN66" i="1"/>
  <c r="EM66" i="1"/>
  <c r="ES68" i="1" s="1"/>
  <c r="EL66" i="1"/>
  <c r="ER68" i="1" s="1"/>
  <c r="EK66" i="1"/>
  <c r="EQ68" i="1" s="1"/>
  <c r="EH66" i="1"/>
  <c r="EG66" i="1"/>
  <c r="EG68" i="1" s="1"/>
  <c r="EF66" i="1"/>
  <c r="EE66" i="1"/>
  <c r="DV66" i="1"/>
  <c r="EB68" i="1" s="1"/>
  <c r="DU66" i="1"/>
  <c r="DU76" i="1" s="1"/>
  <c r="DU325" i="1" s="1"/>
  <c r="DT66" i="1"/>
  <c r="DS66" i="1"/>
  <c r="DP66" i="1"/>
  <c r="DP76" i="1" s="1"/>
  <c r="DO66" i="1"/>
  <c r="DN66" i="1"/>
  <c r="DM66" i="1"/>
  <c r="DJ66" i="1"/>
  <c r="DI66" i="1"/>
  <c r="DO68" i="1" s="1"/>
  <c r="DH66" i="1"/>
  <c r="DN68" i="1" s="1"/>
  <c r="DG66" i="1"/>
  <c r="DD66" i="1"/>
  <c r="DC66" i="1"/>
  <c r="DC68" i="1" s="1"/>
  <c r="DB66" i="1"/>
  <c r="CX66" i="1"/>
  <c r="CX76" i="1" s="1"/>
  <c r="CV66" i="1"/>
  <c r="CV68" i="1" s="1"/>
  <c r="CU66" i="1"/>
  <c r="CS66" i="1"/>
  <c r="CJ66" i="1"/>
  <c r="CJ76" i="1" s="1"/>
  <c r="CJ325" i="1" s="1"/>
  <c r="CJ62" i="1"/>
  <c r="CJ58" i="1"/>
  <c r="CJ61" i="1" s="1"/>
  <c r="CJ54" i="1"/>
  <c r="BO66" i="1"/>
  <c r="BI66" i="1"/>
  <c r="BI76" i="1" s="1"/>
  <c r="BI325" i="1" s="1"/>
  <c r="BC66" i="1"/>
  <c r="AV65" i="1"/>
  <c r="AU65" i="1"/>
  <c r="AT65" i="1"/>
  <c r="AS65" i="1"/>
  <c r="AP65" i="1"/>
  <c r="AO65" i="1"/>
  <c r="AN65" i="1"/>
  <c r="AM65" i="1"/>
  <c r="AJ65" i="1"/>
  <c r="AI65" i="1"/>
  <c r="AH65" i="1"/>
  <c r="AG65" i="1"/>
  <c r="AD65" i="1"/>
  <c r="AC65" i="1"/>
  <c r="AB65" i="1"/>
  <c r="AA65" i="1"/>
  <c r="X65" i="1"/>
  <c r="W65" i="1"/>
  <c r="V65" i="1"/>
  <c r="U65" i="1"/>
  <c r="R65" i="1"/>
  <c r="Q65" i="1"/>
  <c r="P65" i="1"/>
  <c r="O65" i="1"/>
  <c r="L65" i="1"/>
  <c r="K65" i="1"/>
  <c r="J65" i="1"/>
  <c r="I65" i="1"/>
  <c r="F65" i="1"/>
  <c r="E65" i="1"/>
  <c r="D65" i="1"/>
  <c r="AV64" i="1"/>
  <c r="AU64" i="1"/>
  <c r="AT64" i="1"/>
  <c r="AS64" i="1"/>
  <c r="AP64" i="1"/>
  <c r="AO64" i="1"/>
  <c r="AN64" i="1"/>
  <c r="AM64" i="1"/>
  <c r="AJ64" i="1"/>
  <c r="AI64" i="1"/>
  <c r="AH64" i="1"/>
  <c r="AG64" i="1"/>
  <c r="AD64" i="1"/>
  <c r="AC64" i="1"/>
  <c r="AB64" i="1"/>
  <c r="AA64" i="1"/>
  <c r="AE63" i="1"/>
  <c r="AD63" i="1"/>
  <c r="AC63" i="1"/>
  <c r="AB63" i="1"/>
  <c r="AA63" i="1"/>
  <c r="X64" i="1"/>
  <c r="W64" i="1"/>
  <c r="V64" i="1"/>
  <c r="U64" i="1"/>
  <c r="X63" i="1"/>
  <c r="W63" i="1"/>
  <c r="V63" i="1"/>
  <c r="U63" i="1"/>
  <c r="R64" i="1"/>
  <c r="Q64" i="1"/>
  <c r="P64" i="1"/>
  <c r="O64" i="1"/>
  <c r="R63" i="1"/>
  <c r="Q63" i="1"/>
  <c r="P63" i="1"/>
  <c r="O63" i="1"/>
  <c r="M64" i="1"/>
  <c r="L64" i="1"/>
  <c r="K64" i="1"/>
  <c r="J64" i="1"/>
  <c r="I64" i="1"/>
  <c r="M63" i="1"/>
  <c r="L63" i="1"/>
  <c r="K63" i="1"/>
  <c r="J63" i="1"/>
  <c r="I63" i="1"/>
  <c r="G63" i="1"/>
  <c r="F63" i="1"/>
  <c r="E63" i="1"/>
  <c r="D63" i="1"/>
  <c r="C63" i="1"/>
  <c r="DV62" i="1"/>
  <c r="DU62" i="1"/>
  <c r="DT62" i="1"/>
  <c r="DZ64" i="1" s="1"/>
  <c r="DS62" i="1"/>
  <c r="DP62" i="1"/>
  <c r="DO62" i="1"/>
  <c r="DN62" i="1"/>
  <c r="DM62" i="1"/>
  <c r="DJ62" i="1"/>
  <c r="DI62" i="1"/>
  <c r="DO64" i="1" s="1"/>
  <c r="DH62" i="1"/>
  <c r="DG62" i="1"/>
  <c r="DD62" i="1"/>
  <c r="DJ64" i="1" s="1"/>
  <c r="DC62" i="1"/>
  <c r="DI64" i="1" s="1"/>
  <c r="DB62" i="1"/>
  <c r="DH64" i="1" s="1"/>
  <c r="CX62" i="1"/>
  <c r="CW62" i="1"/>
  <c r="CV62" i="1"/>
  <c r="CU62" i="1"/>
  <c r="DA64" i="1" s="1"/>
  <c r="CR62" i="1"/>
  <c r="CQ62" i="1"/>
  <c r="CP62" i="1"/>
  <c r="CO62" i="1"/>
  <c r="CP65" i="1" s="1"/>
  <c r="CL62" i="1"/>
  <c r="CK62" i="1"/>
  <c r="BT62" i="1"/>
  <c r="BS62" i="1"/>
  <c r="BQ62" i="1"/>
  <c r="BQ58" i="1"/>
  <c r="BR61" i="1" s="1"/>
  <c r="BQ54" i="1"/>
  <c r="BN62" i="1"/>
  <c r="BT64" i="1" s="1"/>
  <c r="BM62" i="1"/>
  <c r="BL62" i="1"/>
  <c r="BK62" i="1"/>
  <c r="BH62" i="1"/>
  <c r="BN64" i="1" s="1"/>
  <c r="BG62" i="1"/>
  <c r="BF62" i="1"/>
  <c r="BL64" i="1" s="1"/>
  <c r="BB62" i="1"/>
  <c r="BB64" i="1" s="1"/>
  <c r="BA62" i="1"/>
  <c r="BA64" i="1" s="1"/>
  <c r="AZ62" i="1"/>
  <c r="AY62" i="1"/>
  <c r="AW62" i="1"/>
  <c r="AQ62" i="1"/>
  <c r="AK62" i="1"/>
  <c r="Y62" i="1"/>
  <c r="S62" i="1"/>
  <c r="AV61" i="1"/>
  <c r="AU61" i="1"/>
  <c r="AT61" i="1"/>
  <c r="AS61" i="1"/>
  <c r="AP61" i="1"/>
  <c r="AO61" i="1"/>
  <c r="AN61" i="1"/>
  <c r="AM61" i="1"/>
  <c r="AJ61" i="1"/>
  <c r="AI61" i="1"/>
  <c r="AH61" i="1"/>
  <c r="AG61" i="1"/>
  <c r="AD61" i="1"/>
  <c r="AC61" i="1"/>
  <c r="AB61" i="1"/>
  <c r="AA61" i="1"/>
  <c r="X61" i="1"/>
  <c r="W61" i="1"/>
  <c r="V61" i="1"/>
  <c r="U61" i="1"/>
  <c r="R61" i="1"/>
  <c r="Q61" i="1"/>
  <c r="P61" i="1"/>
  <c r="O61" i="1"/>
  <c r="L61" i="1"/>
  <c r="K61" i="1"/>
  <c r="J61" i="1"/>
  <c r="I61" i="1"/>
  <c r="F61" i="1"/>
  <c r="E61" i="1"/>
  <c r="D61" i="1"/>
  <c r="AV60" i="1"/>
  <c r="AU60" i="1"/>
  <c r="AT60" i="1"/>
  <c r="AS60" i="1"/>
  <c r="AP60" i="1"/>
  <c r="AO60" i="1"/>
  <c r="AN60" i="1"/>
  <c r="AM60" i="1"/>
  <c r="AJ60" i="1"/>
  <c r="AI60" i="1"/>
  <c r="AH60" i="1"/>
  <c r="AG60" i="1"/>
  <c r="AD60" i="1"/>
  <c r="AC60" i="1"/>
  <c r="AB60" i="1"/>
  <c r="AA60" i="1"/>
  <c r="AE59" i="1"/>
  <c r="AD59" i="1"/>
  <c r="AC59" i="1"/>
  <c r="AB59" i="1"/>
  <c r="AA59" i="1"/>
  <c r="X60" i="1"/>
  <c r="W60" i="1"/>
  <c r="V60" i="1"/>
  <c r="U60" i="1"/>
  <c r="X59" i="1"/>
  <c r="W59" i="1"/>
  <c r="V59" i="1"/>
  <c r="U59" i="1"/>
  <c r="R60" i="1"/>
  <c r="Q60" i="1"/>
  <c r="P60" i="1"/>
  <c r="O60" i="1"/>
  <c r="R59" i="1"/>
  <c r="Q59" i="1"/>
  <c r="P59" i="1"/>
  <c r="O59" i="1"/>
  <c r="M60" i="1"/>
  <c r="L60" i="1"/>
  <c r="K60" i="1"/>
  <c r="J60" i="1"/>
  <c r="I60" i="1"/>
  <c r="M59" i="1"/>
  <c r="L59" i="1"/>
  <c r="K59" i="1"/>
  <c r="J59" i="1"/>
  <c r="I59" i="1"/>
  <c r="G59" i="1"/>
  <c r="F59" i="1"/>
  <c r="E59" i="1"/>
  <c r="D59" i="1"/>
  <c r="C59" i="1"/>
  <c r="DV58" i="1"/>
  <c r="EB60" i="1" s="1"/>
  <c r="DU58" i="1"/>
  <c r="DT58" i="1"/>
  <c r="DS58" i="1"/>
  <c r="DP58" i="1"/>
  <c r="DO58" i="1"/>
  <c r="DN58" i="1"/>
  <c r="DM58" i="1"/>
  <c r="DJ58" i="1"/>
  <c r="DI58" i="1"/>
  <c r="DH58" i="1"/>
  <c r="DG58" i="1"/>
  <c r="DD58" i="1"/>
  <c r="DJ60" i="1" s="1"/>
  <c r="DC58" i="1"/>
  <c r="DB58" i="1"/>
  <c r="DH60" i="1" s="1"/>
  <c r="CX58" i="1"/>
  <c r="CW58" i="1"/>
  <c r="CV58" i="1"/>
  <c r="CU58" i="1"/>
  <c r="CR58" i="1"/>
  <c r="CQ58" i="1"/>
  <c r="CW60" i="1" s="1"/>
  <c r="CP58" i="1"/>
  <c r="CO58" i="1"/>
  <c r="CL58" i="1"/>
  <c r="CK58" i="1"/>
  <c r="BT58" i="1"/>
  <c r="BS58" i="1"/>
  <c r="BS61" i="1" s="1"/>
  <c r="BN58" i="1"/>
  <c r="BM58" i="1"/>
  <c r="BL58" i="1"/>
  <c r="BK58" i="1"/>
  <c r="BG58" i="1"/>
  <c r="BF58" i="1"/>
  <c r="BE58" i="1"/>
  <c r="BB58" i="1"/>
  <c r="BH60" i="1" s="1"/>
  <c r="BA58" i="1"/>
  <c r="AZ58" i="1"/>
  <c r="AY58" i="1"/>
  <c r="AW58" i="1"/>
  <c r="AQ58" i="1"/>
  <c r="AK58" i="1"/>
  <c r="Y58" i="1"/>
  <c r="AE60" i="1" s="1"/>
  <c r="S58" i="1"/>
  <c r="BR57" i="1"/>
  <c r="AV57" i="1"/>
  <c r="AU57" i="1"/>
  <c r="AT57" i="1"/>
  <c r="AS57" i="1"/>
  <c r="AP57" i="1"/>
  <c r="AO57" i="1"/>
  <c r="AN57" i="1"/>
  <c r="AM57" i="1"/>
  <c r="AJ57" i="1"/>
  <c r="AI57" i="1"/>
  <c r="AH57" i="1"/>
  <c r="AG57" i="1"/>
  <c r="AD57" i="1"/>
  <c r="AC57" i="1"/>
  <c r="AB57" i="1"/>
  <c r="AA57" i="1"/>
  <c r="X57" i="1"/>
  <c r="W57" i="1"/>
  <c r="V57" i="1"/>
  <c r="U57" i="1"/>
  <c r="R57" i="1"/>
  <c r="Q57" i="1"/>
  <c r="P57" i="1"/>
  <c r="O57" i="1"/>
  <c r="L57" i="1"/>
  <c r="K57" i="1"/>
  <c r="J57" i="1"/>
  <c r="I57" i="1"/>
  <c r="F57" i="1"/>
  <c r="E57" i="1"/>
  <c r="D57" i="1"/>
  <c r="AV56" i="1"/>
  <c r="AU56" i="1"/>
  <c r="AT56" i="1"/>
  <c r="AS56" i="1"/>
  <c r="AP56" i="1"/>
  <c r="AO56" i="1"/>
  <c r="AN56" i="1"/>
  <c r="AM56" i="1"/>
  <c r="AJ56" i="1"/>
  <c r="AI56" i="1"/>
  <c r="AH56" i="1"/>
  <c r="AG56" i="1"/>
  <c r="AD56" i="1"/>
  <c r="AC56" i="1"/>
  <c r="AB56" i="1"/>
  <c r="AA56" i="1"/>
  <c r="AE55" i="1"/>
  <c r="AD55" i="1"/>
  <c r="AC55" i="1"/>
  <c r="AB55" i="1"/>
  <c r="AA55" i="1"/>
  <c r="X56" i="1"/>
  <c r="W56" i="1"/>
  <c r="V56" i="1"/>
  <c r="U56" i="1"/>
  <c r="X55" i="1"/>
  <c r="W55" i="1"/>
  <c r="V55" i="1"/>
  <c r="U55" i="1"/>
  <c r="R56" i="1"/>
  <c r="Q56" i="1"/>
  <c r="P56" i="1"/>
  <c r="O56" i="1"/>
  <c r="R55" i="1"/>
  <c r="Q55" i="1"/>
  <c r="P55" i="1"/>
  <c r="O55" i="1"/>
  <c r="M56" i="1"/>
  <c r="L56" i="1"/>
  <c r="K56" i="1"/>
  <c r="J56" i="1"/>
  <c r="I56" i="1"/>
  <c r="M55" i="1"/>
  <c r="L55" i="1"/>
  <c r="K55" i="1"/>
  <c r="J55" i="1"/>
  <c r="I55" i="1"/>
  <c r="G55" i="1"/>
  <c r="F55" i="1"/>
  <c r="E55" i="1"/>
  <c r="D55" i="1"/>
  <c r="C55" i="1"/>
  <c r="DV54" i="1"/>
  <c r="EB56" i="1" s="1"/>
  <c r="DU54" i="1"/>
  <c r="DT54" i="1"/>
  <c r="DZ56" i="1" s="1"/>
  <c r="DS54" i="1"/>
  <c r="DP54" i="1"/>
  <c r="DO54" i="1"/>
  <c r="DN54" i="1"/>
  <c r="DM54" i="1"/>
  <c r="DJ54" i="1"/>
  <c r="DI54" i="1"/>
  <c r="DO56" i="1" s="1"/>
  <c r="DH54" i="1"/>
  <c r="DG54" i="1"/>
  <c r="DD54" i="1"/>
  <c r="DC54" i="1"/>
  <c r="DB54" i="1"/>
  <c r="DH56" i="1" s="1"/>
  <c r="CX54" i="1"/>
  <c r="CW54" i="1"/>
  <c r="CV54" i="1"/>
  <c r="CU54" i="1"/>
  <c r="CR54" i="1"/>
  <c r="CX56" i="1" s="1"/>
  <c r="CQ54" i="1"/>
  <c r="CP54" i="1"/>
  <c r="CO54" i="1"/>
  <c r="CL54" i="1"/>
  <c r="CK54" i="1"/>
  <c r="CE62" i="1"/>
  <c r="CD62" i="1"/>
  <c r="CE65" i="1" s="1"/>
  <c r="CE58" i="1"/>
  <c r="CD58" i="1"/>
  <c r="CE54" i="1"/>
  <c r="CD54" i="1"/>
  <c r="CD57" i="1" s="1"/>
  <c r="BY62" i="1"/>
  <c r="BX62" i="1"/>
  <c r="BW62" i="1"/>
  <c r="BY58" i="1"/>
  <c r="BX58" i="1"/>
  <c r="BW58" i="1"/>
  <c r="BY54" i="1"/>
  <c r="BX54" i="1"/>
  <c r="BW54" i="1"/>
  <c r="BT54" i="1"/>
  <c r="BS54" i="1"/>
  <c r="BN54" i="1"/>
  <c r="BM54" i="1"/>
  <c r="BL54" i="1"/>
  <c r="BK54" i="1"/>
  <c r="BG54" i="1"/>
  <c r="BF54" i="1"/>
  <c r="BE54" i="1"/>
  <c r="BB54" i="1"/>
  <c r="BA54" i="1"/>
  <c r="AZ54" i="1"/>
  <c r="AZ56" i="1" s="1"/>
  <c r="AY54" i="1"/>
  <c r="AY56" i="1" s="1"/>
  <c r="AW54" i="1"/>
  <c r="AQ54" i="1"/>
  <c r="AK54" i="1"/>
  <c r="Y54" i="1"/>
  <c r="S54" i="1"/>
  <c r="AE50" i="1"/>
  <c r="AE85" i="1" s="1"/>
  <c r="AD50" i="1"/>
  <c r="AD85" i="1" s="1"/>
  <c r="AC50" i="1"/>
  <c r="AB50" i="1"/>
  <c r="AB85" i="1" s="1"/>
  <c r="AA50" i="1"/>
  <c r="AA85" i="1" s="1"/>
  <c r="X50" i="1"/>
  <c r="X85" i="1" s="1"/>
  <c r="W50" i="1"/>
  <c r="V50" i="1"/>
  <c r="V85" i="1" s="1"/>
  <c r="U50" i="1"/>
  <c r="U85" i="1" s="1"/>
  <c r="R50" i="1"/>
  <c r="R85" i="1" s="1"/>
  <c r="Q50" i="1"/>
  <c r="P50" i="1"/>
  <c r="P85" i="1" s="1"/>
  <c r="O50" i="1"/>
  <c r="O85" i="1" s="1"/>
  <c r="M50" i="1"/>
  <c r="M85" i="1" s="1"/>
  <c r="L50" i="1"/>
  <c r="K50" i="1"/>
  <c r="K85" i="1" s="1"/>
  <c r="J50" i="1"/>
  <c r="J85" i="1" s="1"/>
  <c r="I50" i="1"/>
  <c r="I85" i="1" s="1"/>
  <c r="G50" i="1"/>
  <c r="F50" i="1"/>
  <c r="F85" i="1" s="1"/>
  <c r="E50" i="1"/>
  <c r="E85" i="1" s="1"/>
  <c r="D50" i="1"/>
  <c r="D85" i="1" s="1"/>
  <c r="C50" i="1"/>
  <c r="BH48" i="1"/>
  <c r="BF48" i="1"/>
  <c r="BE48" i="1"/>
  <c r="BA48" i="1"/>
  <c r="AZ48" i="1"/>
  <c r="AV48" i="1"/>
  <c r="AV428" i="4" s="1"/>
  <c r="AU48" i="1"/>
  <c r="AU428" i="4" s="1"/>
  <c r="AT48" i="1"/>
  <c r="AS48" i="1"/>
  <c r="AS428" i="4" s="1"/>
  <c r="AP48" i="1"/>
  <c r="AP428" i="4" s="1"/>
  <c r="AO48" i="1"/>
  <c r="AO428" i="4" s="1"/>
  <c r="AN48" i="1"/>
  <c r="AM48" i="1"/>
  <c r="AM428" i="4" s="1"/>
  <c r="AJ48" i="1"/>
  <c r="AJ428" i="4" s="1"/>
  <c r="AI48" i="1"/>
  <c r="AI428" i="4" s="1"/>
  <c r="AH48" i="1"/>
  <c r="AG48" i="1"/>
  <c r="AG428" i="4" s="1"/>
  <c r="Y48" i="1"/>
  <c r="S48" i="1"/>
  <c r="EL47" i="1"/>
  <c r="DY43" i="1"/>
  <c r="DY48" i="1" s="1"/>
  <c r="DS44" i="1"/>
  <c r="EE44" i="1"/>
  <c r="EF44" i="1" s="1"/>
  <c r="EG44" i="1" s="1"/>
  <c r="EH44" i="1" s="1"/>
  <c r="EK44" i="1" s="1"/>
  <c r="EL44" i="1" s="1"/>
  <c r="EM44" i="1" s="1"/>
  <c r="EN44" i="1" s="1"/>
  <c r="CP40" i="1"/>
  <c r="CK40" i="1"/>
  <c r="CE40" i="1"/>
  <c r="CC40" i="1"/>
  <c r="BZ40" i="1"/>
  <c r="BY40" i="1"/>
  <c r="BX40" i="1"/>
  <c r="BW40" i="1"/>
  <c r="BQ40" i="1"/>
  <c r="BN40" i="1"/>
  <c r="BM40" i="1"/>
  <c r="BL40" i="1"/>
  <c r="BK40" i="1"/>
  <c r="BH40" i="1"/>
  <c r="BG40" i="1"/>
  <c r="BF40" i="1"/>
  <c r="BE40" i="1"/>
  <c r="BB40" i="1"/>
  <c r="BA40" i="1"/>
  <c r="AZ40" i="1"/>
  <c r="AY40" i="1"/>
  <c r="AV40" i="1"/>
  <c r="AU40" i="1"/>
  <c r="AT40" i="1"/>
  <c r="AS40" i="1"/>
  <c r="AP40" i="1"/>
  <c r="AO40" i="1"/>
  <c r="AN40" i="1"/>
  <c r="AM40" i="1"/>
  <c r="AJ40" i="1"/>
  <c r="AI40" i="1"/>
  <c r="AH40" i="1"/>
  <c r="AG40" i="1"/>
  <c r="DV39" i="1"/>
  <c r="DU39" i="1"/>
  <c r="DU40" i="1" s="1"/>
  <c r="DT39" i="1"/>
  <c r="DT40" i="1" s="1"/>
  <c r="DS39" i="1"/>
  <c r="DP39" i="1"/>
  <c r="DP40" i="1" s="1"/>
  <c r="DO39" i="1"/>
  <c r="DN39" i="1"/>
  <c r="DM39" i="1"/>
  <c r="DM40" i="1" s="1"/>
  <c r="DJ39" i="1"/>
  <c r="DI39" i="1"/>
  <c r="DI40" i="1" s="1"/>
  <c r="DH39" i="1"/>
  <c r="DH40" i="1" s="1"/>
  <c r="DG39" i="1"/>
  <c r="DD39" i="1"/>
  <c r="DD40" i="1" s="1"/>
  <c r="DC39" i="1"/>
  <c r="DB39" i="1"/>
  <c r="DA39" i="1"/>
  <c r="DA40" i="1" s="1"/>
  <c r="CX39" i="1"/>
  <c r="CW39" i="1"/>
  <c r="CW40" i="1" s="1"/>
  <c r="CV39" i="1"/>
  <c r="CV40" i="1" s="1"/>
  <c r="CU39" i="1"/>
  <c r="CR39" i="1"/>
  <c r="CQ39" i="1"/>
  <c r="CQ40" i="1" s="1"/>
  <c r="CO39" i="1"/>
  <c r="CO40" i="1" s="1"/>
  <c r="CL39" i="1"/>
  <c r="CJ39" i="1"/>
  <c r="CI39" i="1"/>
  <c r="CF39" i="1"/>
  <c r="CD39" i="1"/>
  <c r="CA39" i="1"/>
  <c r="BT39" i="1"/>
  <c r="BS39" i="1"/>
  <c r="BS40" i="1" s="1"/>
  <c r="BR39" i="1"/>
  <c r="BR48" i="1" s="1"/>
  <c r="BR428" i="4" s="1"/>
  <c r="BO39" i="1"/>
  <c r="BI39" i="1"/>
  <c r="BC39" i="1"/>
  <c r="AW39" i="1"/>
  <c r="AQ39" i="1"/>
  <c r="AK39" i="1"/>
  <c r="BR37" i="1"/>
  <c r="BH37" i="1"/>
  <c r="BF37" i="1"/>
  <c r="BE37" i="1"/>
  <c r="BA37" i="1"/>
  <c r="AZ37" i="1"/>
  <c r="AV37" i="1"/>
  <c r="AU37" i="1"/>
  <c r="AT37" i="1"/>
  <c r="AS37" i="1"/>
  <c r="AP37" i="1"/>
  <c r="AO37" i="1"/>
  <c r="AN37" i="1"/>
  <c r="AM37" i="1"/>
  <c r="AJ37" i="1"/>
  <c r="AI37" i="1"/>
  <c r="AH37" i="1"/>
  <c r="AG37" i="1"/>
  <c r="DV36" i="1"/>
  <c r="DV48" i="1" s="1"/>
  <c r="DU36" i="1"/>
  <c r="DU37" i="1" s="1"/>
  <c r="DT36" i="1"/>
  <c r="DT37" i="1" s="1"/>
  <c r="DS36" i="1"/>
  <c r="DS48" i="1" s="1"/>
  <c r="DP36" i="1"/>
  <c r="DP37" i="1" s="1"/>
  <c r="DO36" i="1"/>
  <c r="DN36" i="1"/>
  <c r="DM36" i="1"/>
  <c r="DM37" i="1" s="1"/>
  <c r="DJ36" i="1"/>
  <c r="DI36" i="1"/>
  <c r="DI37" i="1" s="1"/>
  <c r="DH36" i="1"/>
  <c r="DG36" i="1"/>
  <c r="DD36" i="1"/>
  <c r="DD48" i="1" s="1"/>
  <c r="DC36" i="1"/>
  <c r="DB36" i="1"/>
  <c r="DA36" i="1"/>
  <c r="DA37" i="1" s="1"/>
  <c r="CX36" i="1"/>
  <c r="CX48" i="1" s="1"/>
  <c r="CW36" i="1"/>
  <c r="CW37" i="1" s="1"/>
  <c r="CV36" i="1"/>
  <c r="CU36" i="1"/>
  <c r="CR36" i="1"/>
  <c r="CR37" i="1" s="1"/>
  <c r="CQ36" i="1"/>
  <c r="CP36" i="1"/>
  <c r="CO36" i="1"/>
  <c r="CO37" i="1" s="1"/>
  <c r="CL36" i="1"/>
  <c r="CK36" i="1"/>
  <c r="CK37" i="1" s="1"/>
  <c r="CJ36" i="1"/>
  <c r="CJ48" i="1" s="1"/>
  <c r="CI36" i="1"/>
  <c r="CF36" i="1"/>
  <c r="CE36" i="1"/>
  <c r="CE48" i="1" s="1"/>
  <c r="CD36" i="1"/>
  <c r="CC36" i="1"/>
  <c r="CC37" i="1" s="1"/>
  <c r="BZ36" i="1"/>
  <c r="BZ48" i="1" s="1"/>
  <c r="BY36" i="1"/>
  <c r="BY37" i="1" s="1"/>
  <c r="BX36" i="1"/>
  <c r="BX48" i="1" s="1"/>
  <c r="BW36" i="1"/>
  <c r="BW48" i="1" s="1"/>
  <c r="BT36" i="1"/>
  <c r="BS36" i="1"/>
  <c r="BQ36" i="1"/>
  <c r="BQ48" i="1" s="1"/>
  <c r="BN36" i="1"/>
  <c r="BN48" i="1" s="1"/>
  <c r="BM36" i="1"/>
  <c r="BM48" i="1" s="1"/>
  <c r="BL36" i="1"/>
  <c r="BL48" i="1" s="1"/>
  <c r="BK36" i="1"/>
  <c r="BK37" i="1" s="1"/>
  <c r="BG36" i="1"/>
  <c r="BG48" i="1" s="1"/>
  <c r="BB36" i="1"/>
  <c r="AY36" i="1"/>
  <c r="AY48" i="1" s="1"/>
  <c r="AW36" i="1"/>
  <c r="AQ36" i="1"/>
  <c r="AK36" i="1"/>
  <c r="AD33" i="1"/>
  <c r="AC33" i="1"/>
  <c r="AB33" i="1"/>
  <c r="AA33" i="1"/>
  <c r="X33" i="1"/>
  <c r="W33" i="1"/>
  <c r="V33" i="1"/>
  <c r="U33" i="1"/>
  <c r="AD32" i="1"/>
  <c r="AC32" i="1"/>
  <c r="AB32" i="1"/>
  <c r="AA32" i="1"/>
  <c r="X32" i="1"/>
  <c r="W32" i="1"/>
  <c r="V32" i="1"/>
  <c r="U32" i="1"/>
  <c r="R33" i="1"/>
  <c r="Q33" i="1"/>
  <c r="P33" i="1"/>
  <c r="O33" i="1"/>
  <c r="R32" i="1"/>
  <c r="Q32" i="1"/>
  <c r="P32" i="1"/>
  <c r="O32" i="1"/>
  <c r="L33" i="1"/>
  <c r="K33" i="1"/>
  <c r="J33" i="1"/>
  <c r="I33" i="1"/>
  <c r="L32" i="1"/>
  <c r="K32" i="1"/>
  <c r="J32" i="1"/>
  <c r="I32" i="1"/>
  <c r="DV31" i="1"/>
  <c r="DU359" i="4"/>
  <c r="DT31" i="1"/>
  <c r="DT50" i="1" s="1"/>
  <c r="DT51" i="1" s="1"/>
  <c r="DS31" i="1"/>
  <c r="DS436" i="4" s="1"/>
  <c r="DS438" i="4" s="1"/>
  <c r="DP31" i="1"/>
  <c r="DP425" i="4" s="1"/>
  <c r="DO31" i="1"/>
  <c r="DO425" i="4" s="1"/>
  <c r="DN31" i="1"/>
  <c r="DN425" i="4" s="1"/>
  <c r="DM31" i="1"/>
  <c r="DM425" i="4" s="1"/>
  <c r="DJ31" i="1"/>
  <c r="DJ425" i="4" s="1"/>
  <c r="DI31" i="1"/>
  <c r="DI425" i="4" s="1"/>
  <c r="DH31" i="1"/>
  <c r="DH436" i="4" s="1"/>
  <c r="DH437" i="4" s="1"/>
  <c r="DG31" i="1"/>
  <c r="DG425" i="4" s="1"/>
  <c r="DC31" i="1"/>
  <c r="DC425" i="4" s="1"/>
  <c r="DB31" i="1"/>
  <c r="DB425" i="4" s="1"/>
  <c r="DA31" i="1"/>
  <c r="CX31" i="1"/>
  <c r="CX425" i="4" s="1"/>
  <c r="CW31" i="1"/>
  <c r="CW425" i="4" s="1"/>
  <c r="CV31" i="1"/>
  <c r="CU31" i="1"/>
  <c r="CU425" i="4" s="1"/>
  <c r="CR31" i="1"/>
  <c r="CR425" i="4" s="1"/>
  <c r="CQ31" i="1"/>
  <c r="CQ425" i="4" s="1"/>
  <c r="CP31" i="1"/>
  <c r="CP425" i="4" s="1"/>
  <c r="CO31" i="1"/>
  <c r="CO425" i="4" s="1"/>
  <c r="CL31" i="1"/>
  <c r="CL425" i="4" s="1"/>
  <c r="CK31" i="1"/>
  <c r="CK425" i="4" s="1"/>
  <c r="CI31" i="1"/>
  <c r="CI425" i="4" s="1"/>
  <c r="CF31" i="1"/>
  <c r="CF425" i="4" s="1"/>
  <c r="CE31" i="1"/>
  <c r="CD31" i="1"/>
  <c r="CD425" i="4" s="1"/>
  <c r="CC31" i="1"/>
  <c r="CC425" i="4" s="1"/>
  <c r="BZ31" i="1"/>
  <c r="BZ425" i="4" s="1"/>
  <c r="BY31" i="1"/>
  <c r="BY425" i="4" s="1"/>
  <c r="BX31" i="1"/>
  <c r="BX425" i="4" s="1"/>
  <c r="BW31" i="1"/>
  <c r="BW425" i="4" s="1"/>
  <c r="BT31" i="1"/>
  <c r="BT425" i="4" s="1"/>
  <c r="BS31" i="1"/>
  <c r="BS425" i="4" s="1"/>
  <c r="BR31" i="1"/>
  <c r="BR425" i="4" s="1"/>
  <c r="BQ31" i="1"/>
  <c r="BQ436" i="4" s="1"/>
  <c r="BN31" i="1"/>
  <c r="BN425" i="4" s="1"/>
  <c r="BM31" i="1"/>
  <c r="BM425" i="4" s="1"/>
  <c r="BL31" i="1"/>
  <c r="BL425" i="4" s="1"/>
  <c r="BK31" i="1"/>
  <c r="BK425" i="4" s="1"/>
  <c r="BH31" i="1"/>
  <c r="BH425" i="4" s="1"/>
  <c r="BG31" i="1"/>
  <c r="BG436" i="4" s="1"/>
  <c r="BF31" i="1"/>
  <c r="BF425" i="4" s="1"/>
  <c r="BE31" i="1"/>
  <c r="BE425" i="4" s="1"/>
  <c r="BB31" i="1"/>
  <c r="BB425" i="4" s="1"/>
  <c r="BA31" i="1"/>
  <c r="BA425" i="4" s="1"/>
  <c r="AZ31" i="1"/>
  <c r="AZ425" i="4" s="1"/>
  <c r="AY31" i="1"/>
  <c r="AY425" i="4" s="1"/>
  <c r="AV31" i="1"/>
  <c r="AV425" i="4" s="1"/>
  <c r="AU31" i="1"/>
  <c r="AU425" i="4" s="1"/>
  <c r="AT31" i="1"/>
  <c r="AT425" i="4" s="1"/>
  <c r="AS31" i="1"/>
  <c r="AS425" i="4" s="1"/>
  <c r="AP31" i="1"/>
  <c r="AP425" i="4" s="1"/>
  <c r="AO31" i="1"/>
  <c r="AO425" i="4" s="1"/>
  <c r="AN31" i="1"/>
  <c r="AM31" i="1"/>
  <c r="AM425" i="4" s="1"/>
  <c r="AJ31" i="1"/>
  <c r="AJ436" i="4" s="1"/>
  <c r="AI31" i="1"/>
  <c r="AI425" i="4" s="1"/>
  <c r="AH31" i="1"/>
  <c r="AH425" i="4" s="1"/>
  <c r="AG31" i="1"/>
  <c r="AG10" i="4" s="1"/>
  <c r="Y31" i="1"/>
  <c r="S31" i="1"/>
  <c r="DV30" i="1"/>
  <c r="DU30" i="1"/>
  <c r="DT30" i="1"/>
  <c r="DS30" i="1"/>
  <c r="DV29" i="1"/>
  <c r="DU29" i="1"/>
  <c r="DT29" i="1"/>
  <c r="DS29" i="1"/>
  <c r="DW28" i="1"/>
  <c r="DY24" i="1"/>
  <c r="DS26" i="1"/>
  <c r="DV25" i="1"/>
  <c r="DU25" i="1"/>
  <c r="DT25" i="1"/>
  <c r="DS25" i="1"/>
  <c r="DV24" i="1"/>
  <c r="DU24" i="1"/>
  <c r="DT24" i="1"/>
  <c r="DS24" i="1"/>
  <c r="DV23" i="1"/>
  <c r="DU23" i="1"/>
  <c r="DT23" i="1"/>
  <c r="DS23" i="1"/>
  <c r="DV22" i="1"/>
  <c r="DU22" i="1"/>
  <c r="DT22" i="1"/>
  <c r="DS22" i="1"/>
  <c r="DW21" i="1"/>
  <c r="DV20" i="1"/>
  <c r="DU20" i="1"/>
  <c r="DT20" i="1"/>
  <c r="DS20" i="1"/>
  <c r="DV19" i="1"/>
  <c r="DU19" i="1"/>
  <c r="DT19" i="1"/>
  <c r="DS19" i="1"/>
  <c r="DW18" i="1"/>
  <c r="DV16" i="1"/>
  <c r="DU16" i="1"/>
  <c r="DT16" i="1"/>
  <c r="DS16" i="1"/>
  <c r="DP16" i="1"/>
  <c r="DO16" i="1"/>
  <c r="DN16" i="1"/>
  <c r="DM16" i="1"/>
  <c r="DJ16" i="1"/>
  <c r="DI16" i="1"/>
  <c r="DH16" i="1"/>
  <c r="DG16" i="1"/>
  <c r="DD16" i="1"/>
  <c r="DC16" i="1"/>
  <c r="DB16" i="1"/>
  <c r="DA16" i="1"/>
  <c r="CX16" i="1"/>
  <c r="CW16" i="1"/>
  <c r="CV16" i="1"/>
  <c r="CU16" i="1"/>
  <c r="CR16" i="1"/>
  <c r="CQ16" i="1"/>
  <c r="CP16" i="1"/>
  <c r="CO16" i="1"/>
  <c r="CL16" i="1"/>
  <c r="CI16" i="1"/>
  <c r="CF16" i="1"/>
  <c r="CE16" i="1"/>
  <c r="CD16" i="1"/>
  <c r="CC16" i="1"/>
  <c r="BZ16" i="1"/>
  <c r="BY16" i="1"/>
  <c r="BX16" i="1"/>
  <c r="BW16" i="1"/>
  <c r="BT16" i="1"/>
  <c r="BS16" i="1"/>
  <c r="BR16" i="1"/>
  <c r="BQ16" i="1"/>
  <c r="BN16" i="1"/>
  <c r="BM16" i="1"/>
  <c r="BL16" i="1"/>
  <c r="BK16" i="1"/>
  <c r="BH16" i="1"/>
  <c r="BG16" i="1"/>
  <c r="BF16" i="1"/>
  <c r="BE16" i="1"/>
  <c r="BB16" i="1"/>
  <c r="BA16" i="1"/>
  <c r="AZ16" i="1"/>
  <c r="AY16" i="1"/>
  <c r="AV16" i="1"/>
  <c r="AU16" i="1"/>
  <c r="AT16" i="1"/>
  <c r="AS16" i="1"/>
  <c r="AP16" i="1"/>
  <c r="AO16" i="1"/>
  <c r="AN16" i="1"/>
  <c r="AM16" i="1"/>
  <c r="AJ16" i="1"/>
  <c r="AI16" i="1"/>
  <c r="AH16" i="1"/>
  <c r="AG16" i="1"/>
  <c r="DV15" i="1"/>
  <c r="DU15" i="1"/>
  <c r="DT15" i="1"/>
  <c r="DS15" i="1"/>
  <c r="DP15" i="1"/>
  <c r="DO15" i="1"/>
  <c r="DN15" i="1"/>
  <c r="DM15" i="1"/>
  <c r="DJ15" i="1"/>
  <c r="DI15" i="1"/>
  <c r="DH15" i="1"/>
  <c r="DG15" i="1"/>
  <c r="DD15" i="1"/>
  <c r="DC15" i="1"/>
  <c r="DB15" i="1"/>
  <c r="DA15" i="1"/>
  <c r="CX15" i="1"/>
  <c r="CW15" i="1"/>
  <c r="CV15" i="1"/>
  <c r="CU15" i="1"/>
  <c r="CR15" i="1"/>
  <c r="CQ15" i="1"/>
  <c r="CO15" i="1"/>
  <c r="CL15" i="1"/>
  <c r="CK15" i="1"/>
  <c r="CI15" i="1"/>
  <c r="CF15" i="1"/>
  <c r="CE15" i="1"/>
  <c r="CD15" i="1"/>
  <c r="CC15" i="1"/>
  <c r="BZ15" i="1"/>
  <c r="BY15" i="1"/>
  <c r="BX15" i="1"/>
  <c r="BW15" i="1"/>
  <c r="BT15" i="1"/>
  <c r="BS15" i="1"/>
  <c r="BR15" i="1"/>
  <c r="BQ15" i="1"/>
  <c r="BN15" i="1"/>
  <c r="BM15" i="1"/>
  <c r="BL15" i="1"/>
  <c r="BK15" i="1"/>
  <c r="BH15" i="1"/>
  <c r="BG15" i="1"/>
  <c r="BF15" i="1"/>
  <c r="BE15" i="1"/>
  <c r="BB15" i="1"/>
  <c r="BA15" i="1"/>
  <c r="AZ15" i="1"/>
  <c r="AY15" i="1"/>
  <c r="AV15" i="1"/>
  <c r="AU15" i="1"/>
  <c r="AT15" i="1"/>
  <c r="AS15" i="1"/>
  <c r="AP15" i="1"/>
  <c r="AO15" i="1"/>
  <c r="AN15" i="1"/>
  <c r="AM15" i="1"/>
  <c r="AK15" i="1"/>
  <c r="AJ15" i="1"/>
  <c r="AI15" i="1"/>
  <c r="AH15" i="1"/>
  <c r="AG15" i="1"/>
  <c r="DW14" i="1"/>
  <c r="DQ14" i="1"/>
  <c r="DK14" i="1"/>
  <c r="DE14" i="1"/>
  <c r="CY14" i="1"/>
  <c r="CS14" i="1"/>
  <c r="CJ14" i="1"/>
  <c r="CG14" i="1"/>
  <c r="CA14" i="1"/>
  <c r="BU14" i="1"/>
  <c r="BO14" i="1"/>
  <c r="BI14" i="1"/>
  <c r="BC14" i="1"/>
  <c r="AW14" i="1"/>
  <c r="AQ14" i="1"/>
  <c r="AK14" i="1"/>
  <c r="DV12" i="1"/>
  <c r="DU12" i="1"/>
  <c r="DT12" i="1"/>
  <c r="DS12" i="1"/>
  <c r="DP12" i="1"/>
  <c r="DO12" i="1"/>
  <c r="DN12" i="1"/>
  <c r="DM12" i="1"/>
  <c r="DJ12" i="1"/>
  <c r="DI12" i="1"/>
  <c r="DH12" i="1"/>
  <c r="DC12" i="1"/>
  <c r="DB12" i="1"/>
  <c r="DA12" i="1"/>
  <c r="CX12" i="1"/>
  <c r="CW12" i="1"/>
  <c r="CV12" i="1"/>
  <c r="CU12" i="1"/>
  <c r="CR12" i="1"/>
  <c r="CQ12" i="1"/>
  <c r="CP12" i="1"/>
  <c r="CO12" i="1"/>
  <c r="CL12" i="1"/>
  <c r="CK12" i="1"/>
  <c r="CJ12" i="1"/>
  <c r="CI12" i="1"/>
  <c r="CF12" i="1"/>
  <c r="CE12" i="1"/>
  <c r="CD12" i="1"/>
  <c r="CC12" i="1"/>
  <c r="BZ12" i="1"/>
  <c r="BY12" i="1"/>
  <c r="BX12" i="1"/>
  <c r="BW12" i="1"/>
  <c r="BT12" i="1"/>
  <c r="BS12" i="1"/>
  <c r="BR12" i="1"/>
  <c r="BQ12" i="1"/>
  <c r="BN12" i="1"/>
  <c r="BM12" i="1"/>
  <c r="BL12" i="1"/>
  <c r="BK12" i="1"/>
  <c r="BH12" i="1"/>
  <c r="BG12" i="1"/>
  <c r="BF12" i="1"/>
  <c r="BE12" i="1"/>
  <c r="BB12" i="1"/>
  <c r="BA12" i="1"/>
  <c r="AZ12" i="1"/>
  <c r="AY12" i="1"/>
  <c r="AV12" i="1"/>
  <c r="AU12" i="1"/>
  <c r="AT12" i="1"/>
  <c r="AS12" i="1"/>
  <c r="AP12" i="1"/>
  <c r="AO12" i="1"/>
  <c r="AN12" i="1"/>
  <c r="AM12" i="1"/>
  <c r="AJ12" i="1"/>
  <c r="AI12" i="1"/>
  <c r="AH12" i="1"/>
  <c r="AG12" i="1"/>
  <c r="DV11" i="1"/>
  <c r="DU11" i="1"/>
  <c r="DT11" i="1"/>
  <c r="DS11" i="1"/>
  <c r="DP11" i="1"/>
  <c r="DO11" i="1"/>
  <c r="DN11" i="1"/>
  <c r="DM11" i="1"/>
  <c r="DI11" i="1"/>
  <c r="DH11" i="1"/>
  <c r="DG11" i="1"/>
  <c r="DC11" i="1"/>
  <c r="DB11" i="1"/>
  <c r="DA11" i="1"/>
  <c r="CX11" i="1"/>
  <c r="CW11" i="1"/>
  <c r="CV11" i="1"/>
  <c r="CU11" i="1"/>
  <c r="CR11" i="1"/>
  <c r="CQ11" i="1"/>
  <c r="CP11" i="1"/>
  <c r="CO11" i="1"/>
  <c r="CL11" i="1"/>
  <c r="CK11" i="1"/>
  <c r="CJ11" i="1"/>
  <c r="CI11" i="1"/>
  <c r="CF11" i="1"/>
  <c r="CE11" i="1"/>
  <c r="CD11" i="1"/>
  <c r="CC11" i="1"/>
  <c r="BZ11" i="1"/>
  <c r="BY11" i="1"/>
  <c r="BX11" i="1"/>
  <c r="BW11" i="1"/>
  <c r="BT11" i="1"/>
  <c r="BS11" i="1"/>
  <c r="BR11" i="1"/>
  <c r="BQ11" i="1"/>
  <c r="BN11" i="1"/>
  <c r="BM11" i="1"/>
  <c r="BL11" i="1"/>
  <c r="BK11" i="1"/>
  <c r="BH11" i="1"/>
  <c r="BG11" i="1"/>
  <c r="BF11" i="1"/>
  <c r="BE11" i="1"/>
  <c r="BB11" i="1"/>
  <c r="BA11" i="1"/>
  <c r="AZ11" i="1"/>
  <c r="AY11" i="1"/>
  <c r="AV11" i="1"/>
  <c r="AU11" i="1"/>
  <c r="AT11" i="1"/>
  <c r="AS11" i="1"/>
  <c r="AP11" i="1"/>
  <c r="AO11" i="1"/>
  <c r="AN11" i="1"/>
  <c r="AM11" i="1"/>
  <c r="AK11" i="1"/>
  <c r="AJ11" i="1"/>
  <c r="AI11" i="1"/>
  <c r="AH11" i="1"/>
  <c r="AG11" i="1"/>
  <c r="DW10" i="1"/>
  <c r="DQ10" i="1"/>
  <c r="DK10" i="1"/>
  <c r="DD10" i="1"/>
  <c r="CY10" i="1"/>
  <c r="CS10" i="1"/>
  <c r="CM10" i="1"/>
  <c r="CG10" i="1"/>
  <c r="CA10" i="1"/>
  <c r="BU10" i="1"/>
  <c r="BO10" i="1"/>
  <c r="BI10" i="1"/>
  <c r="BC10" i="1"/>
  <c r="BC34" i="4" s="1"/>
  <c r="AW10" i="1"/>
  <c r="AQ10" i="1"/>
  <c r="AQ34" i="4" s="1"/>
  <c r="AK10" i="1"/>
  <c r="BF579" i="4"/>
  <c r="BF578" i="4"/>
  <c r="AV579" i="4"/>
  <c r="AV578" i="4"/>
  <c r="AP579" i="4"/>
  <c r="AP578" i="4"/>
  <c r="AZ579" i="4"/>
  <c r="AY579" i="4"/>
  <c r="AZ578" i="4"/>
  <c r="AY578" i="4"/>
  <c r="AT579" i="4"/>
  <c r="AS579" i="4"/>
  <c r="AT578" i="4"/>
  <c r="AS578" i="4"/>
  <c r="AN579" i="4"/>
  <c r="AM579" i="4"/>
  <c r="AN578" i="4"/>
  <c r="AM578" i="4"/>
  <c r="AZ574" i="4"/>
  <c r="AY574" i="4"/>
  <c r="AZ573" i="4"/>
  <c r="AY573" i="4"/>
  <c r="BG569" i="4"/>
  <c r="BG568" i="4"/>
  <c r="DV565" i="4"/>
  <c r="CE565" i="4"/>
  <c r="BY565" i="4"/>
  <c r="BX565" i="4"/>
  <c r="BW565" i="4"/>
  <c r="BT565" i="4"/>
  <c r="BS565" i="4"/>
  <c r="BL565" i="4"/>
  <c r="BH565" i="4"/>
  <c r="BG565" i="4"/>
  <c r="BF565" i="4"/>
  <c r="BE565" i="4"/>
  <c r="BC565" i="4"/>
  <c r="AW565" i="4"/>
  <c r="AQ565" i="4"/>
  <c r="BF564" i="4"/>
  <c r="BF563" i="4"/>
  <c r="AV564" i="4"/>
  <c r="AV563" i="4"/>
  <c r="AP564" i="4"/>
  <c r="AP563" i="4"/>
  <c r="AZ564" i="4"/>
  <c r="AY564" i="4"/>
  <c r="AZ563" i="4"/>
  <c r="AY563" i="4"/>
  <c r="AT564" i="4"/>
  <c r="AS564" i="4"/>
  <c r="AT563" i="4"/>
  <c r="AS563" i="4"/>
  <c r="AN564" i="4"/>
  <c r="AM564" i="4"/>
  <c r="AN563" i="4"/>
  <c r="AM563" i="4"/>
  <c r="DO529" i="4"/>
  <c r="DO528" i="4"/>
  <c r="AV501" i="4"/>
  <c r="AU501" i="4"/>
  <c r="AT501" i="4"/>
  <c r="AV500" i="4"/>
  <c r="AU500" i="4"/>
  <c r="AT500" i="4"/>
  <c r="AO501" i="4"/>
  <c r="AN501" i="4"/>
  <c r="AO500" i="4"/>
  <c r="AN500" i="4"/>
  <c r="AV497" i="4"/>
  <c r="AU497" i="4"/>
  <c r="AT497" i="4"/>
  <c r="AS497" i="4"/>
  <c r="AP497" i="4"/>
  <c r="AO497" i="4"/>
  <c r="AN497" i="4"/>
  <c r="AM497" i="4"/>
  <c r="AJ497" i="4"/>
  <c r="AI497" i="4"/>
  <c r="AH497" i="4"/>
  <c r="AG497" i="4"/>
  <c r="AD497" i="4"/>
  <c r="AC497" i="4"/>
  <c r="AB497" i="4"/>
  <c r="AA497" i="4"/>
  <c r="X497" i="4"/>
  <c r="W497" i="4"/>
  <c r="V497" i="4"/>
  <c r="U497" i="4"/>
  <c r="R497" i="4"/>
  <c r="Q497" i="4"/>
  <c r="P497" i="4"/>
  <c r="O497" i="4"/>
  <c r="BY487" i="4"/>
  <c r="AV487" i="4"/>
  <c r="AV493" i="4" s="1"/>
  <c r="AP487" i="4"/>
  <c r="AJ487" i="4"/>
  <c r="AD487" i="4"/>
  <c r="X487" i="4"/>
  <c r="R487" i="4"/>
  <c r="CJ456" i="4"/>
  <c r="CJ455" i="4"/>
  <c r="AZ456" i="4"/>
  <c r="AY456" i="4"/>
  <c r="AZ455" i="4"/>
  <c r="AY455" i="4"/>
  <c r="AV456" i="4"/>
  <c r="AU456" i="4"/>
  <c r="AT456" i="4"/>
  <c r="AV455" i="4"/>
  <c r="AU455" i="4"/>
  <c r="AT455" i="4"/>
  <c r="AO456" i="4"/>
  <c r="AN456" i="4"/>
  <c r="AO455" i="4"/>
  <c r="AN455" i="4"/>
  <c r="CJ446" i="4"/>
  <c r="CJ445" i="4"/>
  <c r="BA446" i="4"/>
  <c r="BA445" i="4"/>
  <c r="CJ439" i="4"/>
  <c r="DU436" i="4"/>
  <c r="DU438" i="4" s="1"/>
  <c r="DT436" i="4"/>
  <c r="DT438" i="4" s="1"/>
  <c r="CX436" i="4"/>
  <c r="DA438" i="4" s="1"/>
  <c r="CU436" i="4"/>
  <c r="CV438" i="4" s="1"/>
  <c r="BT436" i="4"/>
  <c r="AP436" i="4"/>
  <c r="AS438" i="4" s="1"/>
  <c r="AD436" i="4"/>
  <c r="AC436" i="4"/>
  <c r="AB436" i="4"/>
  <c r="AA436" i="4"/>
  <c r="X436" i="4"/>
  <c r="W436" i="4"/>
  <c r="V436" i="4"/>
  <c r="U436" i="4"/>
  <c r="R436" i="4"/>
  <c r="Q436" i="4"/>
  <c r="P436" i="4"/>
  <c r="O436" i="4"/>
  <c r="CJ291" i="1"/>
  <c r="CJ293" i="1" s="1"/>
  <c r="AM414" i="4"/>
  <c r="AQ413" i="4"/>
  <c r="AP413" i="4"/>
  <c r="AO413" i="4"/>
  <c r="AN413" i="4"/>
  <c r="AM413" i="4"/>
  <c r="DI410" i="4"/>
  <c r="AM410" i="4"/>
  <c r="AQ409" i="4"/>
  <c r="AP409" i="4"/>
  <c r="AO409" i="4"/>
  <c r="AN409" i="4"/>
  <c r="AM409" i="4"/>
  <c r="BN406" i="4"/>
  <c r="BM406" i="4"/>
  <c r="BC404" i="4"/>
  <c r="DO406" i="4"/>
  <c r="DN406" i="4"/>
  <c r="DP404" i="4"/>
  <c r="DO404" i="4"/>
  <c r="DO399" i="4" s="1"/>
  <c r="DN404" i="4"/>
  <c r="DN399" i="4" s="1"/>
  <c r="DM404" i="4"/>
  <c r="DI406" i="4"/>
  <c r="DH406" i="4"/>
  <c r="DJ404" i="4"/>
  <c r="DI404" i="4"/>
  <c r="DI399" i="4" s="1"/>
  <c r="DH404" i="4"/>
  <c r="DH399" i="4" s="1"/>
  <c r="DG404" i="4"/>
  <c r="DG399" i="4" s="1"/>
  <c r="DB406" i="4"/>
  <c r="DD404" i="4"/>
  <c r="DD399" i="4" s="1"/>
  <c r="DC404" i="4"/>
  <c r="DC399" i="4" s="1"/>
  <c r="DB404" i="4"/>
  <c r="DA404" i="4"/>
  <c r="CX404" i="4"/>
  <c r="DD405" i="4" s="1"/>
  <c r="CW404" i="4"/>
  <c r="CW399" i="4" s="1"/>
  <c r="CV404" i="4"/>
  <c r="DB405" i="4" s="1"/>
  <c r="CU404" i="4"/>
  <c r="CR404" i="4"/>
  <c r="CX405" i="4" s="1"/>
  <c r="CQ404" i="4"/>
  <c r="CP404" i="4"/>
  <c r="CV405" i="4" s="1"/>
  <c r="CO404" i="4"/>
  <c r="CL404" i="4"/>
  <c r="CR405" i="4" s="1"/>
  <c r="CK404" i="4"/>
  <c r="CK399" i="4" s="1"/>
  <c r="CJ404" i="4"/>
  <c r="CP405" i="4" s="1"/>
  <c r="CI404" i="4"/>
  <c r="CE406" i="4"/>
  <c r="CF404" i="4"/>
  <c r="CF399" i="4" s="1"/>
  <c r="CE404" i="4"/>
  <c r="CD404" i="4"/>
  <c r="CC404" i="4"/>
  <c r="CA404" i="4"/>
  <c r="BZ404" i="4"/>
  <c r="BZ399" i="4" s="1"/>
  <c r="BY404" i="4"/>
  <c r="BY399" i="4" s="1"/>
  <c r="BX404" i="4"/>
  <c r="BW404" i="4"/>
  <c r="BU404" i="4"/>
  <c r="BT404" i="4"/>
  <c r="BT399" i="4" s="1"/>
  <c r="BS404" i="4"/>
  <c r="BS399" i="4" s="1"/>
  <c r="BR404" i="4"/>
  <c r="BR405" i="4" s="1"/>
  <c r="BQ404" i="4"/>
  <c r="BQ399" i="4" s="1"/>
  <c r="BO404" i="4"/>
  <c r="BK404" i="4"/>
  <c r="BI404" i="4"/>
  <c r="BH404" i="4"/>
  <c r="BH399" i="4" s="1"/>
  <c r="BG404" i="4"/>
  <c r="BM405" i="4" s="1"/>
  <c r="BF404" i="4"/>
  <c r="BF399" i="4" s="1"/>
  <c r="BE404" i="4"/>
  <c r="BE399" i="4" s="1"/>
  <c r="BB404" i="4"/>
  <c r="BA404" i="4"/>
  <c r="AZ404" i="4"/>
  <c r="AY404" i="4"/>
  <c r="AW404" i="4"/>
  <c r="BC405" i="4" s="1"/>
  <c r="AV404" i="4"/>
  <c r="AU404" i="4"/>
  <c r="AT404" i="4"/>
  <c r="AS404" i="4"/>
  <c r="AQ404" i="4"/>
  <c r="AP404" i="4"/>
  <c r="AO404" i="4"/>
  <c r="AN404" i="4"/>
  <c r="AM404" i="4"/>
  <c r="CR399" i="4"/>
  <c r="CQ399" i="4"/>
  <c r="CP399" i="4"/>
  <c r="CR397" i="4"/>
  <c r="CQ397" i="4"/>
  <c r="CP397" i="4"/>
  <c r="CO397" i="4"/>
  <c r="CE401" i="4"/>
  <c r="DO401" i="4"/>
  <c r="DN401" i="4"/>
  <c r="DO397" i="4"/>
  <c r="DN397" i="4"/>
  <c r="DM397" i="4"/>
  <c r="DI401" i="4"/>
  <c r="DH401" i="4"/>
  <c r="DJ397" i="4"/>
  <c r="DI397" i="4"/>
  <c r="DH397" i="4"/>
  <c r="DG397" i="4"/>
  <c r="DB401" i="4"/>
  <c r="DD397" i="4"/>
  <c r="DC397" i="4"/>
  <c r="DB397" i="4"/>
  <c r="DA397" i="4"/>
  <c r="CX397" i="4"/>
  <c r="CW397" i="4"/>
  <c r="CV397" i="4"/>
  <c r="CU397" i="4"/>
  <c r="BB397" i="4"/>
  <c r="BB396" i="4"/>
  <c r="BE397" i="4"/>
  <c r="BE396" i="4"/>
  <c r="BN399" i="4"/>
  <c r="BM399" i="4"/>
  <c r="BL399" i="4"/>
  <c r="AV399" i="4"/>
  <c r="AU399" i="4"/>
  <c r="AT399" i="4"/>
  <c r="AS399" i="4"/>
  <c r="AP399" i="4"/>
  <c r="AO399" i="4"/>
  <c r="AN399" i="4"/>
  <c r="AM399" i="4"/>
  <c r="DU397" i="4"/>
  <c r="DT397" i="4"/>
  <c r="CL397" i="4"/>
  <c r="CK397" i="4"/>
  <c r="CJ397" i="4"/>
  <c r="CI397" i="4"/>
  <c r="CF397" i="4"/>
  <c r="CE397" i="4"/>
  <c r="CD397" i="4"/>
  <c r="CC397" i="4"/>
  <c r="BZ397" i="4"/>
  <c r="BT397" i="4"/>
  <c r="BS397" i="4"/>
  <c r="BR397" i="4"/>
  <c r="BQ397" i="4"/>
  <c r="BN397" i="4"/>
  <c r="BM397" i="4"/>
  <c r="BL397" i="4"/>
  <c r="BK397" i="4"/>
  <c r="BH397" i="4"/>
  <c r="BG397" i="4"/>
  <c r="BF397" i="4"/>
  <c r="AV397" i="4"/>
  <c r="AU397" i="4"/>
  <c r="AT397" i="4"/>
  <c r="AS397" i="4"/>
  <c r="AP397" i="4"/>
  <c r="AO397" i="4"/>
  <c r="AN397" i="4"/>
  <c r="AM397" i="4"/>
  <c r="DU396" i="4"/>
  <c r="DT396" i="4"/>
  <c r="DS396" i="4"/>
  <c r="DO396" i="4"/>
  <c r="DN396" i="4"/>
  <c r="DM396" i="4"/>
  <c r="DJ396" i="4"/>
  <c r="DI396" i="4"/>
  <c r="DH396" i="4"/>
  <c r="DG396" i="4"/>
  <c r="DD396" i="4"/>
  <c r="DC396" i="4"/>
  <c r="DB396" i="4"/>
  <c r="DA396" i="4"/>
  <c r="CX396" i="4"/>
  <c r="CW396" i="4"/>
  <c r="CV396" i="4"/>
  <c r="CU396" i="4"/>
  <c r="CR396" i="4"/>
  <c r="CQ396" i="4"/>
  <c r="CP396" i="4"/>
  <c r="CO396" i="4"/>
  <c r="CL396" i="4"/>
  <c r="CK396" i="4"/>
  <c r="CJ396" i="4"/>
  <c r="CI396" i="4"/>
  <c r="CF396" i="4"/>
  <c r="CE396" i="4"/>
  <c r="BZ396" i="4"/>
  <c r="BY396" i="4"/>
  <c r="BT396" i="4"/>
  <c r="BS396" i="4"/>
  <c r="BR396" i="4"/>
  <c r="BQ396" i="4"/>
  <c r="BN396" i="4"/>
  <c r="BM396" i="4"/>
  <c r="BL396" i="4"/>
  <c r="BK396" i="4"/>
  <c r="BH396" i="4"/>
  <c r="BG396" i="4"/>
  <c r="BF396" i="4"/>
  <c r="BC395" i="4"/>
  <c r="BA399" i="4"/>
  <c r="AZ399" i="4"/>
  <c r="AY399" i="4"/>
  <c r="BA397" i="4"/>
  <c r="AZ397" i="4"/>
  <c r="AY397" i="4"/>
  <c r="BA396" i="4"/>
  <c r="AZ396" i="4"/>
  <c r="AY396" i="4"/>
  <c r="AV396" i="4"/>
  <c r="AU396" i="4"/>
  <c r="AT396" i="4"/>
  <c r="AS396" i="4"/>
  <c r="AQ396" i="4"/>
  <c r="AP396" i="4"/>
  <c r="AO396" i="4"/>
  <c r="AN396" i="4"/>
  <c r="AM396" i="4"/>
  <c r="BW395" i="4"/>
  <c r="BU395" i="4"/>
  <c r="BO395" i="4"/>
  <c r="BI395" i="4"/>
  <c r="AW395" i="4"/>
  <c r="AW399" i="4" s="1"/>
  <c r="AQ395" i="4"/>
  <c r="AQ399" i="4" s="1"/>
  <c r="DY391" i="4"/>
  <c r="DV391" i="4"/>
  <c r="DU391" i="4"/>
  <c r="EA392" i="4" s="1"/>
  <c r="DT391" i="4"/>
  <c r="DZ392" i="4" s="1"/>
  <c r="DS391" i="4"/>
  <c r="DP391" i="4"/>
  <c r="DO391" i="4"/>
  <c r="DN391" i="4"/>
  <c r="DM391" i="4"/>
  <c r="DJ391" i="4"/>
  <c r="DI391" i="4"/>
  <c r="DH391" i="4"/>
  <c r="DG391" i="4"/>
  <c r="DD391" i="4"/>
  <c r="DC391" i="4"/>
  <c r="DB391" i="4"/>
  <c r="DA391" i="4"/>
  <c r="CX391" i="4"/>
  <c r="CW391" i="4"/>
  <c r="CV391" i="4"/>
  <c r="CU391" i="4"/>
  <c r="CR391" i="4"/>
  <c r="CQ391" i="4"/>
  <c r="CP391" i="4"/>
  <c r="CO391" i="4"/>
  <c r="CL391" i="4"/>
  <c r="CK391" i="4"/>
  <c r="CJ391" i="4"/>
  <c r="CI391" i="4"/>
  <c r="CF391" i="4"/>
  <c r="CE391" i="4"/>
  <c r="CD391" i="4"/>
  <c r="CC391" i="4"/>
  <c r="BZ391" i="4"/>
  <c r="BY391" i="4"/>
  <c r="BX391" i="4"/>
  <c r="BW391" i="4"/>
  <c r="BT391" i="4"/>
  <c r="BS391" i="4"/>
  <c r="BR391" i="4"/>
  <c r="BQ391" i="4"/>
  <c r="BN391" i="4"/>
  <c r="BO391" i="4" s="1"/>
  <c r="BM391" i="4"/>
  <c r="BL391" i="4"/>
  <c r="BK391" i="4"/>
  <c r="BK408" i="4" s="1"/>
  <c r="BH391" i="4"/>
  <c r="BG391" i="4"/>
  <c r="BG408" i="4" s="1"/>
  <c r="BF391" i="4"/>
  <c r="BE391" i="4"/>
  <c r="BK392" i="4" s="1"/>
  <c r="BB391" i="4"/>
  <c r="BC391" i="4" s="1"/>
  <c r="BA391" i="4"/>
  <c r="AZ391" i="4"/>
  <c r="AY391" i="4"/>
  <c r="AY408" i="4" s="1"/>
  <c r="AV391" i="4"/>
  <c r="AU391" i="4"/>
  <c r="AU408" i="4" s="1"/>
  <c r="AT391" i="4"/>
  <c r="AS391" i="4"/>
  <c r="AQ392" i="4"/>
  <c r="AP391" i="4"/>
  <c r="AQ391" i="4" s="1"/>
  <c r="AO391" i="4"/>
  <c r="AN391" i="4"/>
  <c r="AM391" i="4"/>
  <c r="AM408" i="4" s="1"/>
  <c r="AJ391" i="4"/>
  <c r="AI391" i="4"/>
  <c r="AO392" i="4" s="1"/>
  <c r="AH391" i="4"/>
  <c r="AN392" i="4" s="1"/>
  <c r="AG391" i="4"/>
  <c r="AM392" i="4" s="1"/>
  <c r="CK381" i="4"/>
  <c r="CJ381" i="4"/>
  <c r="CJ388" i="4" s="1"/>
  <c r="CE381" i="4"/>
  <c r="CD381" i="4"/>
  <c r="CD388" i="4" s="1"/>
  <c r="BY381" i="4"/>
  <c r="BX381" i="4"/>
  <c r="CX377" i="4"/>
  <c r="CW377" i="4"/>
  <c r="CV377" i="4"/>
  <c r="CU377" i="4"/>
  <c r="CR377" i="4"/>
  <c r="CQ377" i="4"/>
  <c r="CP377" i="4"/>
  <c r="CO377" i="4"/>
  <c r="CL377" i="4"/>
  <c r="CK377" i="4"/>
  <c r="CQ378" i="4" s="1"/>
  <c r="CJ377" i="4"/>
  <c r="CI377" i="4"/>
  <c r="CF377" i="4"/>
  <c r="CE377" i="4"/>
  <c r="CD377" i="4"/>
  <c r="CC377" i="4"/>
  <c r="CI378" i="4" s="1"/>
  <c r="BZ377" i="4"/>
  <c r="BY377" i="4"/>
  <c r="BX377" i="4"/>
  <c r="BN377" i="4"/>
  <c r="BM377" i="4"/>
  <c r="BL377" i="4"/>
  <c r="BK377" i="4"/>
  <c r="AV377" i="4"/>
  <c r="AU377" i="4"/>
  <c r="AT377" i="4"/>
  <c r="AS377" i="4"/>
  <c r="AQ378" i="4"/>
  <c r="AP377" i="4"/>
  <c r="AO377" i="4"/>
  <c r="AN377" i="4"/>
  <c r="AM377" i="4"/>
  <c r="AG379" i="4"/>
  <c r="AJ378" i="4"/>
  <c r="AI378" i="4"/>
  <c r="AH378" i="4"/>
  <c r="AG378" i="4"/>
  <c r="AJ377" i="4"/>
  <c r="AI377" i="4"/>
  <c r="AH377" i="4"/>
  <c r="AG377" i="4"/>
  <c r="BT377" i="4"/>
  <c r="BS377" i="4"/>
  <c r="BR377" i="4"/>
  <c r="BQ377" i="4"/>
  <c r="BN376" i="4"/>
  <c r="BN373" i="4" s="1"/>
  <c r="BH377" i="4"/>
  <c r="BK379" i="4" s="1"/>
  <c r="BG377" i="4"/>
  <c r="BF377" i="4"/>
  <c r="BE377" i="4"/>
  <c r="BH376" i="4"/>
  <c r="BH373" i="4" s="1"/>
  <c r="BG376" i="4"/>
  <c r="BG373" i="4" s="1"/>
  <c r="BF376" i="4"/>
  <c r="BF373" i="4" s="1"/>
  <c r="BE376" i="4"/>
  <c r="BB377" i="4"/>
  <c r="BA377" i="4"/>
  <c r="AZ377" i="4"/>
  <c r="AY377" i="4"/>
  <c r="BB376" i="4"/>
  <c r="BB373" i="4" s="1"/>
  <c r="BH374" i="4" s="1"/>
  <c r="BA376" i="4"/>
  <c r="BA373" i="4" s="1"/>
  <c r="AZ376" i="4"/>
  <c r="AZ373" i="4" s="1"/>
  <c r="AY376" i="4"/>
  <c r="AY373" i="4" s="1"/>
  <c r="BM373" i="4"/>
  <c r="BS373" i="4" s="1"/>
  <c r="BS374" i="4" s="1"/>
  <c r="BL373" i="4"/>
  <c r="BK373" i="4"/>
  <c r="BQ373" i="4" s="1"/>
  <c r="BQ374" i="4" s="1"/>
  <c r="BE373" i="4"/>
  <c r="AG372" i="4"/>
  <c r="AJ371" i="4"/>
  <c r="AI371" i="4"/>
  <c r="AH371" i="4"/>
  <c r="AG371" i="4"/>
  <c r="BX370" i="4"/>
  <c r="DV335" i="4"/>
  <c r="DU335" i="4"/>
  <c r="DT335" i="4"/>
  <c r="DS335" i="4"/>
  <c r="AG333" i="4"/>
  <c r="AJ332" i="4"/>
  <c r="AI332" i="4"/>
  <c r="AH332" i="4"/>
  <c r="AG332" i="4"/>
  <c r="DV331" i="4"/>
  <c r="DU331" i="4"/>
  <c r="DT331" i="4"/>
  <c r="DS331" i="4"/>
  <c r="DP331" i="4"/>
  <c r="DO331" i="4"/>
  <c r="DN331" i="4"/>
  <c r="DM331" i="4"/>
  <c r="DJ331" i="4"/>
  <c r="DI331" i="4"/>
  <c r="DH331" i="4"/>
  <c r="DG331" i="4"/>
  <c r="DD331" i="4"/>
  <c r="DC331" i="4"/>
  <c r="DB331" i="4"/>
  <c r="DA331" i="4"/>
  <c r="CX331" i="4"/>
  <c r="CW331" i="4"/>
  <c r="CV331" i="4"/>
  <c r="CU331" i="4"/>
  <c r="CR331" i="4"/>
  <c r="CQ331" i="4"/>
  <c r="CP331" i="4"/>
  <c r="CO331" i="4"/>
  <c r="CL331" i="4"/>
  <c r="CK331" i="4"/>
  <c r="CJ331" i="4"/>
  <c r="CI331" i="4"/>
  <c r="CF331" i="4"/>
  <c r="CE331" i="4"/>
  <c r="CD331" i="4"/>
  <c r="CC331" i="4"/>
  <c r="BZ331" i="4"/>
  <c r="BY331" i="4"/>
  <c r="BW331" i="4"/>
  <c r="BW327" i="4"/>
  <c r="BW329" i="4" s="1"/>
  <c r="BT331" i="4"/>
  <c r="BS331" i="4"/>
  <c r="BR331" i="4"/>
  <c r="BQ331" i="4"/>
  <c r="BN331" i="4"/>
  <c r="BM331" i="4"/>
  <c r="BL331" i="4"/>
  <c r="BK331" i="4"/>
  <c r="BH331" i="4"/>
  <c r="BG331" i="4"/>
  <c r="BF331" i="4"/>
  <c r="BE331" i="4"/>
  <c r="BB331" i="4"/>
  <c r="BA331" i="4"/>
  <c r="AZ331" i="4"/>
  <c r="AY331" i="4"/>
  <c r="AV331" i="4"/>
  <c r="AU331" i="4"/>
  <c r="AT331" i="4"/>
  <c r="AS331" i="4"/>
  <c r="AP331" i="4"/>
  <c r="AP370" i="4" s="1"/>
  <c r="AO331" i="4"/>
  <c r="AN331" i="4"/>
  <c r="AM331" i="4"/>
  <c r="AJ331" i="4"/>
  <c r="AI331" i="4"/>
  <c r="AI370" i="4" s="1"/>
  <c r="AH331" i="4"/>
  <c r="AH370" i="4" s="1"/>
  <c r="AG331" i="4"/>
  <c r="CX329" i="4"/>
  <c r="CW329" i="4"/>
  <c r="CV329" i="4"/>
  <c r="CU329" i="4"/>
  <c r="CR329" i="4"/>
  <c r="CQ329" i="4"/>
  <c r="CP329" i="4"/>
  <c r="CO329" i="4"/>
  <c r="CL329" i="4"/>
  <c r="CK329" i="4"/>
  <c r="CJ329" i="4"/>
  <c r="CI329" i="4"/>
  <c r="CF329" i="4"/>
  <c r="CE329" i="4"/>
  <c r="CD329" i="4"/>
  <c r="CC329" i="4"/>
  <c r="BZ329" i="4"/>
  <c r="BY329" i="4"/>
  <c r="BT329" i="4"/>
  <c r="BS329" i="4"/>
  <c r="BR329" i="4"/>
  <c r="BQ329" i="4"/>
  <c r="BN329" i="4"/>
  <c r="BM329" i="4"/>
  <c r="BL329" i="4"/>
  <c r="BK329" i="4"/>
  <c r="BH329" i="4"/>
  <c r="BG329" i="4"/>
  <c r="BF329" i="4"/>
  <c r="BE329" i="4"/>
  <c r="BB329" i="4"/>
  <c r="BA329" i="4"/>
  <c r="AZ329" i="4"/>
  <c r="AY329" i="4"/>
  <c r="AV329" i="4"/>
  <c r="AU329" i="4"/>
  <c r="AT329" i="4"/>
  <c r="AS329" i="4"/>
  <c r="AP329" i="4"/>
  <c r="AO329" i="4"/>
  <c r="AN329" i="4"/>
  <c r="AM329" i="4"/>
  <c r="EL328" i="4"/>
  <c r="EM328" i="4" s="1"/>
  <c r="EN328" i="4" s="1"/>
  <c r="EF328" i="4"/>
  <c r="EG328" i="4" s="1"/>
  <c r="EH328" i="4" s="1"/>
  <c r="DZ328" i="4"/>
  <c r="EA328" i="4" s="1"/>
  <c r="EB328" i="4" s="1"/>
  <c r="DT328" i="4"/>
  <c r="DU328" i="4" s="1"/>
  <c r="DV328" i="4" s="1"/>
  <c r="CX328" i="4"/>
  <c r="CW328" i="4"/>
  <c r="CV328" i="4"/>
  <c r="CU328" i="4"/>
  <c r="CR328" i="4"/>
  <c r="CQ328" i="4"/>
  <c r="CP328" i="4"/>
  <c r="CO328" i="4"/>
  <c r="CL328" i="4"/>
  <c r="CK328" i="4"/>
  <c r="CJ328" i="4"/>
  <c r="CI328" i="4"/>
  <c r="CF328" i="4"/>
  <c r="CE328" i="4"/>
  <c r="CD328" i="4"/>
  <c r="BZ328" i="4"/>
  <c r="BY328" i="4"/>
  <c r="BX328" i="4"/>
  <c r="BT328" i="4"/>
  <c r="BS328" i="4"/>
  <c r="BR328" i="4"/>
  <c r="BQ328" i="4"/>
  <c r="BN328" i="4"/>
  <c r="BM328" i="4"/>
  <c r="BL328" i="4"/>
  <c r="BK328" i="4"/>
  <c r="BH328" i="4"/>
  <c r="BG328" i="4"/>
  <c r="BF328" i="4"/>
  <c r="BE328" i="4"/>
  <c r="BB328" i="4"/>
  <c r="BA328" i="4"/>
  <c r="AZ328" i="4"/>
  <c r="AY328" i="4"/>
  <c r="AV328" i="4"/>
  <c r="AU328" i="4"/>
  <c r="AT328" i="4"/>
  <c r="AS328" i="4"/>
  <c r="AP328" i="4"/>
  <c r="AO328" i="4"/>
  <c r="AN328" i="4"/>
  <c r="AM328" i="4"/>
  <c r="AJ329" i="4"/>
  <c r="AI329" i="4"/>
  <c r="AH329" i="4"/>
  <c r="AG329" i="4"/>
  <c r="AJ328" i="4"/>
  <c r="AI328" i="4"/>
  <c r="AH328" i="4"/>
  <c r="AG328" i="4"/>
  <c r="DN328" i="4"/>
  <c r="DO328" i="4" s="1"/>
  <c r="DP328" i="4" s="1"/>
  <c r="DD327" i="4"/>
  <c r="DC327" i="4"/>
  <c r="DB327" i="4"/>
  <c r="DA327" i="4"/>
  <c r="CY327" i="4"/>
  <c r="CY276" i="1" s="1"/>
  <c r="CS327" i="4"/>
  <c r="CM327" i="4"/>
  <c r="CG327" i="4"/>
  <c r="BU327" i="4"/>
  <c r="BO327" i="4"/>
  <c r="BI327" i="4"/>
  <c r="BC327" i="4"/>
  <c r="AW327" i="4"/>
  <c r="AQ327" i="4"/>
  <c r="AK327" i="4"/>
  <c r="AK276" i="1" s="1"/>
  <c r="DP314" i="4"/>
  <c r="DO314" i="4"/>
  <c r="DM306" i="4"/>
  <c r="DY306" i="4"/>
  <c r="DY310" i="4" s="1"/>
  <c r="DV306" i="4"/>
  <c r="DV310" i="4" s="1"/>
  <c r="DU306" i="4"/>
  <c r="DU310" i="4" s="1"/>
  <c r="DT306" i="4"/>
  <c r="DT310" i="4" s="1"/>
  <c r="DS306" i="4"/>
  <c r="DS310" i="4" s="1"/>
  <c r="DP306" i="4"/>
  <c r="DO306" i="4"/>
  <c r="DO310" i="4" s="1"/>
  <c r="DN306" i="4"/>
  <c r="DN307" i="4" s="1"/>
  <c r="DJ306" i="4"/>
  <c r="DI306" i="4"/>
  <c r="DH306" i="4"/>
  <c r="DY303" i="4"/>
  <c r="DY302" i="4"/>
  <c r="DV303" i="4"/>
  <c r="DU303" i="4"/>
  <c r="DT303" i="4"/>
  <c r="DS303" i="4"/>
  <c r="DV302" i="4"/>
  <c r="DU302" i="4"/>
  <c r="DT302" i="4"/>
  <c r="DS302" i="4"/>
  <c r="DP303" i="4"/>
  <c r="DO303" i="4"/>
  <c r="DN303" i="4"/>
  <c r="DM303" i="4"/>
  <c r="DP302" i="4"/>
  <c r="DO302" i="4"/>
  <c r="DN302" i="4"/>
  <c r="DM302" i="4"/>
  <c r="DJ302" i="4"/>
  <c r="DI302" i="4"/>
  <c r="DH302" i="4"/>
  <c r="DY298" i="4"/>
  <c r="DY297" i="4"/>
  <c r="DV298" i="4"/>
  <c r="DU298" i="4"/>
  <c r="DT298" i="4"/>
  <c r="DS298" i="4"/>
  <c r="DV297" i="4"/>
  <c r="DU297" i="4"/>
  <c r="DT297" i="4"/>
  <c r="DS297" i="4"/>
  <c r="DP298" i="4"/>
  <c r="DO298" i="4"/>
  <c r="DN298" i="4"/>
  <c r="DM298" i="4"/>
  <c r="DP297" i="4"/>
  <c r="DO297" i="4"/>
  <c r="DN297" i="4"/>
  <c r="DM297" i="4"/>
  <c r="DJ297" i="4"/>
  <c r="DI297" i="4"/>
  <c r="DH297" i="4"/>
  <c r="DJ292" i="4"/>
  <c r="DY291" i="4"/>
  <c r="DV291" i="4"/>
  <c r="DU291" i="4"/>
  <c r="DT291" i="4"/>
  <c r="DS291" i="4"/>
  <c r="DP291" i="4"/>
  <c r="DO291" i="4"/>
  <c r="DN291" i="4"/>
  <c r="DM291" i="4"/>
  <c r="DH291" i="4"/>
  <c r="DG291" i="4"/>
  <c r="EN286" i="4"/>
  <c r="EH286" i="4"/>
  <c r="DP285" i="4"/>
  <c r="DO285" i="4"/>
  <c r="DN285" i="4"/>
  <c r="DM285" i="4"/>
  <c r="DJ285" i="4"/>
  <c r="DI285" i="4"/>
  <c r="DH285" i="4"/>
  <c r="DG285" i="4"/>
  <c r="DK284" i="4"/>
  <c r="DN281" i="4"/>
  <c r="DS281" i="4"/>
  <c r="DT281" i="4" s="1"/>
  <c r="DH280" i="4"/>
  <c r="DI280" i="4" s="1"/>
  <c r="DE280" i="4"/>
  <c r="DE285" i="4" s="1"/>
  <c r="DW277" i="4"/>
  <c r="DW276" i="4"/>
  <c r="DP277" i="4"/>
  <c r="DN277" i="4"/>
  <c r="DM277" i="4"/>
  <c r="DN276" i="4"/>
  <c r="DM276" i="4"/>
  <c r="DJ277" i="4"/>
  <c r="DI277" i="4"/>
  <c r="DH277" i="4"/>
  <c r="DJ276" i="4"/>
  <c r="DI276" i="4"/>
  <c r="DH276" i="4"/>
  <c r="DM274" i="4"/>
  <c r="DM275" i="4" s="1"/>
  <c r="DJ275" i="4"/>
  <c r="DJ274" i="4" s="1"/>
  <c r="DN274" i="4"/>
  <c r="DI274" i="4"/>
  <c r="DH274" i="4"/>
  <c r="DG274" i="4"/>
  <c r="DY273" i="4"/>
  <c r="DV273" i="4"/>
  <c r="DU273" i="4"/>
  <c r="DU285" i="4" s="1"/>
  <c r="DT273" i="4"/>
  <c r="DT285" i="4" s="1"/>
  <c r="DS273" i="4"/>
  <c r="DS285" i="4" s="1"/>
  <c r="DQ273" i="4"/>
  <c r="DK273" i="4"/>
  <c r="DK285" i="4" s="1"/>
  <c r="DJ286" i="4" s="1"/>
  <c r="DS266" i="4"/>
  <c r="DS265" i="4"/>
  <c r="DP266" i="4"/>
  <c r="DO266" i="4"/>
  <c r="DN266" i="4"/>
  <c r="DM266" i="4"/>
  <c r="DJ266" i="4"/>
  <c r="DI266" i="4"/>
  <c r="DH266" i="4"/>
  <c r="DG266" i="4"/>
  <c r="DD266" i="4"/>
  <c r="DC266" i="4"/>
  <c r="DB266" i="4"/>
  <c r="DA266" i="4"/>
  <c r="CX266" i="4"/>
  <c r="CU266" i="4"/>
  <c r="CR266" i="4"/>
  <c r="CQ266" i="4"/>
  <c r="CP266" i="4"/>
  <c r="CO266" i="4"/>
  <c r="CL266" i="4"/>
  <c r="CK266" i="4"/>
  <c r="CJ266" i="4"/>
  <c r="CI266" i="4"/>
  <c r="DP265" i="4"/>
  <c r="DO265" i="4"/>
  <c r="DN265" i="4"/>
  <c r="DM265" i="4"/>
  <c r="DJ265" i="4"/>
  <c r="DI265" i="4"/>
  <c r="DH265" i="4"/>
  <c r="DG265" i="4"/>
  <c r="DD265" i="4"/>
  <c r="DC265" i="4"/>
  <c r="DA265" i="4"/>
  <c r="CX265" i="4"/>
  <c r="CW265" i="4"/>
  <c r="CU265" i="4"/>
  <c r="CR265" i="4"/>
  <c r="CQ265" i="4"/>
  <c r="CP265" i="4"/>
  <c r="CO265" i="4"/>
  <c r="CL265" i="4"/>
  <c r="CK265" i="4"/>
  <c r="CJ265" i="4"/>
  <c r="CI265" i="4"/>
  <c r="DQ264" i="4"/>
  <c r="DK264" i="4"/>
  <c r="DE264" i="4"/>
  <c r="CV262" i="4"/>
  <c r="CV261" i="4"/>
  <c r="CS264" i="4"/>
  <c r="CM264" i="4"/>
  <c r="CG264" i="4"/>
  <c r="DS262" i="4"/>
  <c r="DS261" i="4"/>
  <c r="CU262" i="4"/>
  <c r="CU261" i="4"/>
  <c r="DP262" i="4"/>
  <c r="DO262" i="4"/>
  <c r="DN262" i="4"/>
  <c r="DM262" i="4"/>
  <c r="DJ262" i="4"/>
  <c r="DI262" i="4"/>
  <c r="DH262" i="4"/>
  <c r="DG262" i="4"/>
  <c r="DD262" i="4"/>
  <c r="DC262" i="4"/>
  <c r="DB262" i="4"/>
  <c r="DA262" i="4"/>
  <c r="CX262" i="4"/>
  <c r="CW262" i="4"/>
  <c r="CR262" i="4"/>
  <c r="CQ262" i="4"/>
  <c r="CP262" i="4"/>
  <c r="CO262" i="4"/>
  <c r="CL262" i="4"/>
  <c r="CK262" i="4"/>
  <c r="CJ262" i="4"/>
  <c r="CI262" i="4"/>
  <c r="DP261" i="4"/>
  <c r="DO261" i="4"/>
  <c r="DN261" i="4"/>
  <c r="DM261" i="4"/>
  <c r="DJ261" i="4"/>
  <c r="DI261" i="4"/>
  <c r="DH261" i="4"/>
  <c r="DG261" i="4"/>
  <c r="DD261" i="4"/>
  <c r="DC261" i="4"/>
  <c r="DB261" i="4"/>
  <c r="DA261" i="4"/>
  <c r="CX261" i="4"/>
  <c r="CW261" i="4"/>
  <c r="CR261" i="4"/>
  <c r="CQ261" i="4"/>
  <c r="CP261" i="4"/>
  <c r="CO261" i="4"/>
  <c r="CL261" i="4"/>
  <c r="CJ261" i="4"/>
  <c r="CI261" i="4"/>
  <c r="DQ260" i="4"/>
  <c r="DK260" i="4"/>
  <c r="DE260" i="4"/>
  <c r="CY260" i="4"/>
  <c r="CS260" i="4"/>
  <c r="CM260" i="4"/>
  <c r="CE260" i="4"/>
  <c r="CK261" i="4" s="1"/>
  <c r="DS258" i="4"/>
  <c r="DS257" i="4"/>
  <c r="DP258" i="4"/>
  <c r="DO258" i="4"/>
  <c r="DN258" i="4"/>
  <c r="DM258" i="4"/>
  <c r="DJ258" i="4"/>
  <c r="DI258" i="4"/>
  <c r="DH258" i="4"/>
  <c r="DG258" i="4"/>
  <c r="DD258" i="4"/>
  <c r="DC258" i="4"/>
  <c r="DB258" i="4"/>
  <c r="DA258" i="4"/>
  <c r="CX258" i="4"/>
  <c r="CW258" i="4"/>
  <c r="CV258" i="4"/>
  <c r="CU258" i="4"/>
  <c r="CR258" i="4"/>
  <c r="CQ258" i="4"/>
  <c r="CP258" i="4"/>
  <c r="CO258" i="4"/>
  <c r="CL258" i="4"/>
  <c r="CI258" i="4"/>
  <c r="DP257" i="4"/>
  <c r="DO257" i="4"/>
  <c r="DN257" i="4"/>
  <c r="DM257" i="4"/>
  <c r="DJ257" i="4"/>
  <c r="DI257" i="4"/>
  <c r="DH257" i="4"/>
  <c r="DG257" i="4"/>
  <c r="DD257" i="4"/>
  <c r="DC257" i="4"/>
  <c r="DB257" i="4"/>
  <c r="DA257" i="4"/>
  <c r="CX257" i="4"/>
  <c r="CW257" i="4"/>
  <c r="CV257" i="4"/>
  <c r="CU257" i="4"/>
  <c r="CR257" i="4"/>
  <c r="CQ257" i="4"/>
  <c r="CO257" i="4"/>
  <c r="CL257" i="4"/>
  <c r="CI257" i="4"/>
  <c r="DQ256" i="4"/>
  <c r="DK256" i="4"/>
  <c r="DE256" i="4"/>
  <c r="CY256" i="4"/>
  <c r="CS256" i="4"/>
  <c r="CJ256" i="4"/>
  <c r="CK258" i="4" s="1"/>
  <c r="CE256" i="4"/>
  <c r="CG256" i="4" s="1"/>
  <c r="BY251" i="4"/>
  <c r="CA242" i="4"/>
  <c r="CG242" i="4" s="1"/>
  <c r="CM242" i="4" s="1"/>
  <c r="BT242" i="4"/>
  <c r="BW231" i="4"/>
  <c r="BU231" i="4"/>
  <c r="BK231" i="4"/>
  <c r="BO231" i="4" s="1"/>
  <c r="BI231" i="4"/>
  <c r="AU231" i="4"/>
  <c r="AU230" i="4"/>
  <c r="AU235" i="4" s="1"/>
  <c r="AY230" i="4"/>
  <c r="AZ230" i="4" s="1"/>
  <c r="AZ235" i="4" s="1"/>
  <c r="AW230" i="4"/>
  <c r="BZ227" i="4"/>
  <c r="BY227" i="4"/>
  <c r="BX227" i="4"/>
  <c r="BW227" i="4"/>
  <c r="BT227" i="4"/>
  <c r="BS227" i="4"/>
  <c r="BR227" i="4"/>
  <c r="BQ227" i="4"/>
  <c r="BN227" i="4"/>
  <c r="BM227" i="4"/>
  <c r="BL227" i="4"/>
  <c r="BK227" i="4"/>
  <c r="BH227" i="4"/>
  <c r="BG227" i="4"/>
  <c r="BF227" i="4"/>
  <c r="BE227" i="4"/>
  <c r="BB227" i="4"/>
  <c r="BA227" i="4"/>
  <c r="AZ227" i="4"/>
  <c r="AV225" i="4"/>
  <c r="BZ226" i="4"/>
  <c r="BZ298" i="1" s="1"/>
  <c r="BY226" i="4"/>
  <c r="BY298" i="1" s="1"/>
  <c r="BX226" i="4"/>
  <c r="BX298" i="1" s="1"/>
  <c r="BW226" i="4"/>
  <c r="BW298" i="1" s="1"/>
  <c r="BT226" i="4"/>
  <c r="BS226" i="4"/>
  <c r="BS298" i="1" s="1"/>
  <c r="BR226" i="4"/>
  <c r="BR298" i="1" s="1"/>
  <c r="BQ226" i="4"/>
  <c r="BQ298" i="1" s="1"/>
  <c r="BN226" i="4"/>
  <c r="BM226" i="4"/>
  <c r="BL226" i="4"/>
  <c r="BK226" i="4"/>
  <c r="BH226" i="4"/>
  <c r="BG226" i="4"/>
  <c r="BF226" i="4"/>
  <c r="BE226" i="4"/>
  <c r="BE298" i="1" s="1"/>
  <c r="BB226" i="4"/>
  <c r="BA226" i="4"/>
  <c r="AZ226" i="4"/>
  <c r="AZ298" i="1" s="1"/>
  <c r="AY226" i="4"/>
  <c r="AY232" i="4" s="1"/>
  <c r="CA225" i="4"/>
  <c r="BU225" i="4"/>
  <c r="BO225" i="4"/>
  <c r="BO297" i="1" s="1"/>
  <c r="BI225" i="4"/>
  <c r="BC225" i="4"/>
  <c r="BY220" i="4"/>
  <c r="BX220" i="4"/>
  <c r="BW220" i="4"/>
  <c r="BZ219" i="4"/>
  <c r="BY219" i="4"/>
  <c r="BX219" i="4"/>
  <c r="BW219" i="4"/>
  <c r="BR220" i="4"/>
  <c r="BT219" i="4"/>
  <c r="BS219" i="4"/>
  <c r="BR219" i="4"/>
  <c r="BQ219" i="4"/>
  <c r="CA218" i="4"/>
  <c r="BU218" i="4"/>
  <c r="BO218" i="4"/>
  <c r="BU216" i="4"/>
  <c r="BO216" i="4"/>
  <c r="BI216" i="4"/>
  <c r="BX211" i="4"/>
  <c r="BY203" i="4"/>
  <c r="BW203" i="4"/>
  <c r="BT203" i="4"/>
  <c r="CA200" i="4"/>
  <c r="BU200" i="4"/>
  <c r="BO200" i="4"/>
  <c r="BI200" i="4"/>
  <c r="BC200" i="4"/>
  <c r="AW200" i="4"/>
  <c r="CA198" i="4"/>
  <c r="BU198" i="4"/>
  <c r="BO198" i="4"/>
  <c r="BI198" i="4"/>
  <c r="BC198" i="4"/>
  <c r="AW198" i="4"/>
  <c r="AW188" i="4"/>
  <c r="AV188" i="4"/>
  <c r="AU188" i="4"/>
  <c r="AT188" i="4"/>
  <c r="AS188" i="4"/>
  <c r="AV174" i="4"/>
  <c r="AV296" i="1" s="1"/>
  <c r="AU174" i="4"/>
  <c r="AU296" i="1" s="1"/>
  <c r="AT174" i="4"/>
  <c r="AT296" i="1" s="1"/>
  <c r="AS174" i="4"/>
  <c r="AS296" i="1" s="1"/>
  <c r="AP174" i="4"/>
  <c r="AP296" i="1" s="1"/>
  <c r="AO174" i="4"/>
  <c r="AO296" i="1" s="1"/>
  <c r="AN174" i="4"/>
  <c r="AN296" i="1" s="1"/>
  <c r="AM174" i="4"/>
  <c r="AM296" i="1" s="1"/>
  <c r="AJ174" i="4"/>
  <c r="AJ296" i="1" s="1"/>
  <c r="AI174" i="4"/>
  <c r="AI296" i="1" s="1"/>
  <c r="AH174" i="4"/>
  <c r="AH296" i="1" s="1"/>
  <c r="AG174" i="4"/>
  <c r="AG296" i="1" s="1"/>
  <c r="AD174" i="4"/>
  <c r="AC174" i="4"/>
  <c r="AC296" i="1" s="1"/>
  <c r="AB174" i="4"/>
  <c r="AB296" i="1" s="1"/>
  <c r="AA174" i="4"/>
  <c r="AA296" i="1" s="1"/>
  <c r="X174" i="4"/>
  <c r="W174" i="4"/>
  <c r="W296" i="1" s="1"/>
  <c r="V174" i="4"/>
  <c r="V296" i="1" s="1"/>
  <c r="U174" i="4"/>
  <c r="U296" i="1" s="1"/>
  <c r="R174" i="4"/>
  <c r="Q174" i="4"/>
  <c r="Q296" i="1" s="1"/>
  <c r="P174" i="4"/>
  <c r="P296" i="1" s="1"/>
  <c r="O174" i="4"/>
  <c r="O296" i="1" s="1"/>
  <c r="M174" i="4"/>
  <c r="M296" i="1" s="1"/>
  <c r="L174" i="4"/>
  <c r="L296" i="1" s="1"/>
  <c r="K174" i="4"/>
  <c r="K296" i="1" s="1"/>
  <c r="J174" i="4"/>
  <c r="J296" i="1" s="1"/>
  <c r="I174" i="4"/>
  <c r="I296" i="1" s="1"/>
  <c r="F174" i="4"/>
  <c r="E174" i="4"/>
  <c r="E296" i="1" s="1"/>
  <c r="D174" i="4"/>
  <c r="D296" i="1" s="1"/>
  <c r="BZ174" i="4"/>
  <c r="BY174" i="4"/>
  <c r="BX174" i="4"/>
  <c r="BX296" i="1" s="1"/>
  <c r="BW174" i="4"/>
  <c r="BZ173" i="4"/>
  <c r="BY173" i="4"/>
  <c r="BX173" i="4"/>
  <c r="BW173" i="4"/>
  <c r="BT174" i="4"/>
  <c r="BS174" i="4"/>
  <c r="BR174" i="4"/>
  <c r="BQ174" i="4"/>
  <c r="BQ296" i="1" s="1"/>
  <c r="BT173" i="4"/>
  <c r="BS173" i="4"/>
  <c r="BR173" i="4"/>
  <c r="BQ173" i="4"/>
  <c r="BN174" i="4"/>
  <c r="BN296" i="1" s="1"/>
  <c r="BM174" i="4"/>
  <c r="BL174" i="4"/>
  <c r="BK174" i="4"/>
  <c r="BN173" i="4"/>
  <c r="BM173" i="4"/>
  <c r="BL173" i="4"/>
  <c r="BK173" i="4"/>
  <c r="BH174" i="4"/>
  <c r="BG174" i="4"/>
  <c r="BG296" i="1" s="1"/>
  <c r="BF174" i="4"/>
  <c r="BE174" i="4"/>
  <c r="BH173" i="4"/>
  <c r="BG173" i="4"/>
  <c r="BF173" i="4"/>
  <c r="BE173" i="4"/>
  <c r="BB174" i="4"/>
  <c r="BA174" i="4"/>
  <c r="AZ174" i="4"/>
  <c r="AZ296" i="1" s="1"/>
  <c r="AY174" i="4"/>
  <c r="BB173" i="4"/>
  <c r="BA173" i="4"/>
  <c r="AZ173" i="4"/>
  <c r="AY173" i="4"/>
  <c r="CA172" i="4"/>
  <c r="BU172" i="4"/>
  <c r="BO172" i="4"/>
  <c r="BI172" i="4"/>
  <c r="BC172" i="4"/>
  <c r="AW172" i="4"/>
  <c r="AQ172" i="4"/>
  <c r="AK172" i="4"/>
  <c r="AE172" i="4"/>
  <c r="Y172" i="4"/>
  <c r="S172" i="4"/>
  <c r="DA170" i="4"/>
  <c r="CY168" i="4"/>
  <c r="CY305" i="1" s="1"/>
  <c r="CU170" i="4"/>
  <c r="BW164" i="4"/>
  <c r="BS164" i="4"/>
  <c r="BR164" i="4"/>
  <c r="BQ164" i="4"/>
  <c r="BN164" i="4"/>
  <c r="BM164" i="4"/>
  <c r="BL164" i="4"/>
  <c r="BK164" i="4"/>
  <c r="BH164" i="4"/>
  <c r="BG164" i="4"/>
  <c r="BF164" i="4"/>
  <c r="BE164" i="4"/>
  <c r="BA164" i="4"/>
  <c r="AZ164" i="4"/>
  <c r="AY164" i="4"/>
  <c r="AQ159" i="4"/>
  <c r="AG160" i="4"/>
  <c r="AJ159" i="4"/>
  <c r="AI159" i="4"/>
  <c r="AH159" i="4"/>
  <c r="AG159" i="4"/>
  <c r="BF157" i="4"/>
  <c r="BE157" i="4"/>
  <c r="BB157" i="4"/>
  <c r="BA157" i="4"/>
  <c r="AZ157" i="4"/>
  <c r="AY157" i="4"/>
  <c r="BE159" i="4" s="1"/>
  <c r="AV157" i="4"/>
  <c r="AU157" i="4"/>
  <c r="AT157" i="4"/>
  <c r="AS157" i="4"/>
  <c r="AY159" i="4" s="1"/>
  <c r="AP157" i="4"/>
  <c r="AO157" i="4"/>
  <c r="AN157" i="4"/>
  <c r="AT159" i="4" s="1"/>
  <c r="AM157" i="4"/>
  <c r="AJ157" i="4"/>
  <c r="AI157" i="4"/>
  <c r="AO159" i="4" s="1"/>
  <c r="AH157" i="4"/>
  <c r="AG157" i="4"/>
  <c r="AM159" i="4" s="1"/>
  <c r="BB155" i="4"/>
  <c r="BA155" i="4"/>
  <c r="AZ155" i="4"/>
  <c r="AY155" i="4"/>
  <c r="AV155" i="4"/>
  <c r="AU155" i="4"/>
  <c r="AT155" i="4"/>
  <c r="AS155" i="4"/>
  <c r="AP155" i="4"/>
  <c r="AO155" i="4"/>
  <c r="AN155" i="4"/>
  <c r="AM155" i="4"/>
  <c r="BF155" i="4"/>
  <c r="BE155" i="4"/>
  <c r="BF154" i="4"/>
  <c r="BE154" i="4"/>
  <c r="BB154" i="4"/>
  <c r="BA154" i="4"/>
  <c r="AZ154" i="4"/>
  <c r="AY154" i="4"/>
  <c r="AV154" i="4"/>
  <c r="AU154" i="4"/>
  <c r="AT154" i="4"/>
  <c r="AS154" i="4"/>
  <c r="AQ154" i="4"/>
  <c r="AP154" i="4"/>
  <c r="AO154" i="4"/>
  <c r="AN154" i="4"/>
  <c r="AM154" i="4"/>
  <c r="BC153" i="4"/>
  <c r="AW153" i="4"/>
  <c r="AQ153" i="4"/>
  <c r="BB152" i="4"/>
  <c r="BA152" i="4"/>
  <c r="AZ152" i="4"/>
  <c r="AY152" i="4"/>
  <c r="AV152" i="4"/>
  <c r="AU152" i="4"/>
  <c r="AT152" i="4"/>
  <c r="AS152" i="4"/>
  <c r="AP152" i="4"/>
  <c r="AO152" i="4"/>
  <c r="AN152" i="4"/>
  <c r="AM152" i="4"/>
  <c r="BF152" i="4"/>
  <c r="BE152" i="4"/>
  <c r="BF151" i="4"/>
  <c r="BE151" i="4"/>
  <c r="BB151" i="4"/>
  <c r="BA151" i="4"/>
  <c r="AZ151" i="4"/>
  <c r="AY151" i="4"/>
  <c r="AV151" i="4"/>
  <c r="AU151" i="4"/>
  <c r="AT151" i="4"/>
  <c r="AS151" i="4"/>
  <c r="AQ151" i="4"/>
  <c r="AP151" i="4"/>
  <c r="AO151" i="4"/>
  <c r="AN151" i="4"/>
  <c r="AM151" i="4"/>
  <c r="AJ152" i="4"/>
  <c r="AI152" i="4"/>
  <c r="AH152" i="4"/>
  <c r="AG152" i="4"/>
  <c r="AJ151" i="4"/>
  <c r="AI151" i="4"/>
  <c r="AH151" i="4"/>
  <c r="AG151" i="4"/>
  <c r="BC149" i="4"/>
  <c r="AW149" i="4"/>
  <c r="AQ149" i="4"/>
  <c r="BB148" i="4"/>
  <c r="BA148" i="4"/>
  <c r="AZ148" i="4"/>
  <c r="AY148" i="4"/>
  <c r="AV148" i="4"/>
  <c r="AU148" i="4"/>
  <c r="AT148" i="4"/>
  <c r="AS148" i="4"/>
  <c r="AP148" i="4"/>
  <c r="AO148" i="4"/>
  <c r="AN148" i="4"/>
  <c r="AM148" i="4"/>
  <c r="BF148" i="4"/>
  <c r="BE148" i="4"/>
  <c r="BF147" i="4"/>
  <c r="BE147" i="4"/>
  <c r="BB147" i="4"/>
  <c r="BA147" i="4"/>
  <c r="AZ147" i="4"/>
  <c r="AY147" i="4"/>
  <c r="AV147" i="4"/>
  <c r="AU147" i="4"/>
  <c r="AT147" i="4"/>
  <c r="AS147" i="4"/>
  <c r="AQ147" i="4"/>
  <c r="AP147" i="4"/>
  <c r="AO147" i="4"/>
  <c r="AN147" i="4"/>
  <c r="AM147" i="4"/>
  <c r="AJ148" i="4"/>
  <c r="AI148" i="4"/>
  <c r="AH148" i="4"/>
  <c r="AG148" i="4"/>
  <c r="AJ147" i="4"/>
  <c r="AI147" i="4"/>
  <c r="AH147" i="4"/>
  <c r="AG147" i="4"/>
  <c r="BC145" i="4"/>
  <c r="BC157" i="4" s="1"/>
  <c r="AW145" i="4"/>
  <c r="AQ145" i="4"/>
  <c r="AD142" i="4"/>
  <c r="AB142" i="4"/>
  <c r="AA142" i="4"/>
  <c r="X142" i="4"/>
  <c r="W142" i="4"/>
  <c r="V142" i="4"/>
  <c r="R142" i="4"/>
  <c r="Q142" i="4"/>
  <c r="P142" i="4"/>
  <c r="O142" i="4"/>
  <c r="CG138" i="4"/>
  <c r="DS138" i="4"/>
  <c r="DP138" i="4"/>
  <c r="DO138" i="4"/>
  <c r="DN138" i="4"/>
  <c r="DM138" i="4"/>
  <c r="DJ138" i="4"/>
  <c r="DI138" i="4"/>
  <c r="DH138" i="4"/>
  <c r="DG138" i="4"/>
  <c r="DD138" i="4"/>
  <c r="DC138" i="4"/>
  <c r="DB138" i="4"/>
  <c r="DA138" i="4"/>
  <c r="CX138" i="4"/>
  <c r="CW138" i="4"/>
  <c r="CV138" i="4"/>
  <c r="CU138" i="4"/>
  <c r="CR138" i="4"/>
  <c r="CP138" i="4"/>
  <c r="CO138" i="4"/>
  <c r="CL138" i="4"/>
  <c r="CK138" i="4"/>
  <c r="CJ138" i="4"/>
  <c r="CI138" i="4"/>
  <c r="CA138" i="4"/>
  <c r="BU138" i="4"/>
  <c r="BO138" i="4"/>
  <c r="CQ134" i="4"/>
  <c r="CQ138" i="4" s="1"/>
  <c r="DS132" i="4"/>
  <c r="DP132" i="4"/>
  <c r="DO132" i="4"/>
  <c r="DN132" i="4"/>
  <c r="DM132" i="4"/>
  <c r="DJ132" i="4"/>
  <c r="DI132" i="4"/>
  <c r="DH132" i="4"/>
  <c r="DG132" i="4"/>
  <c r="DD132" i="4"/>
  <c r="DC132" i="4"/>
  <c r="DB132" i="4"/>
  <c r="DA132" i="4"/>
  <c r="CX132" i="4"/>
  <c r="CW132" i="4"/>
  <c r="CV132" i="4"/>
  <c r="CU132" i="4"/>
  <c r="CR132" i="4"/>
  <c r="CQ132" i="4"/>
  <c r="CP132" i="4"/>
  <c r="CO132" i="4"/>
  <c r="CL132" i="4"/>
  <c r="CK132" i="4"/>
  <c r="CJ132" i="4"/>
  <c r="CI132" i="4"/>
  <c r="CG132" i="4"/>
  <c r="DS127" i="4"/>
  <c r="DP127" i="4"/>
  <c r="DO127" i="4"/>
  <c r="DN127" i="4"/>
  <c r="DM127" i="4"/>
  <c r="DJ127" i="4"/>
  <c r="DG127" i="4"/>
  <c r="DD127" i="4"/>
  <c r="DC127" i="4"/>
  <c r="DB127" i="4"/>
  <c r="DA127" i="4"/>
  <c r="CX127" i="4"/>
  <c r="CW127" i="4"/>
  <c r="CV127" i="4"/>
  <c r="CU127" i="4"/>
  <c r="CR127" i="4"/>
  <c r="CQ127" i="4"/>
  <c r="CP127" i="4"/>
  <c r="CO127" i="4"/>
  <c r="CL127" i="4"/>
  <c r="CK127" i="4"/>
  <c r="CJ127" i="4"/>
  <c r="CI127" i="4"/>
  <c r="CA127" i="4"/>
  <c r="DS123" i="4"/>
  <c r="DP123" i="4"/>
  <c r="DO123" i="4"/>
  <c r="DN123" i="4"/>
  <c r="DM123" i="4"/>
  <c r="DJ123" i="4"/>
  <c r="DI123" i="4"/>
  <c r="DH123" i="4"/>
  <c r="DG123" i="4"/>
  <c r="DD123" i="4"/>
  <c r="DC123" i="4"/>
  <c r="DB123" i="4"/>
  <c r="DA123" i="4"/>
  <c r="CX123" i="4"/>
  <c r="CW123" i="4"/>
  <c r="CV123" i="4"/>
  <c r="CU123" i="4"/>
  <c r="CR123" i="4"/>
  <c r="CQ123" i="4"/>
  <c r="CP123" i="4"/>
  <c r="CO123" i="4"/>
  <c r="CL123" i="4"/>
  <c r="CK123" i="4"/>
  <c r="CJ123" i="4"/>
  <c r="CI123" i="4"/>
  <c r="CA123" i="4"/>
  <c r="DS119" i="4"/>
  <c r="DP119" i="4"/>
  <c r="DO119" i="4"/>
  <c r="DN119" i="4"/>
  <c r="DM119" i="4"/>
  <c r="DJ119" i="4"/>
  <c r="DI119" i="4"/>
  <c r="DH119" i="4"/>
  <c r="DG119" i="4"/>
  <c r="DD119" i="4"/>
  <c r="DC119" i="4"/>
  <c r="DB119" i="4"/>
  <c r="DA119" i="4"/>
  <c r="CX119" i="4"/>
  <c r="CW119" i="4"/>
  <c r="CV119" i="4"/>
  <c r="CU119" i="4"/>
  <c r="CR119" i="4"/>
  <c r="CQ119" i="4"/>
  <c r="CP119" i="4"/>
  <c r="CO119" i="4"/>
  <c r="CL119" i="4"/>
  <c r="CK119" i="4"/>
  <c r="CJ119" i="4"/>
  <c r="CI119" i="4"/>
  <c r="CA119" i="4"/>
  <c r="CG112" i="4"/>
  <c r="CA112" i="4"/>
  <c r="BU112" i="4"/>
  <c r="BO112" i="4"/>
  <c r="BO115" i="4" s="1"/>
  <c r="BN109" i="4"/>
  <c r="BM109" i="4"/>
  <c r="BL109" i="4"/>
  <c r="BK109" i="4"/>
  <c r="BH109" i="4"/>
  <c r="BG109" i="4"/>
  <c r="BF109" i="4"/>
  <c r="BE109" i="4"/>
  <c r="BB109" i="4"/>
  <c r="BA109" i="4"/>
  <c r="AZ109" i="4"/>
  <c r="AY109" i="4"/>
  <c r="AV109" i="4"/>
  <c r="AU109" i="4"/>
  <c r="AT109" i="4"/>
  <c r="AS109" i="4"/>
  <c r="AP109" i="4"/>
  <c r="AO109" i="4"/>
  <c r="AN109" i="4"/>
  <c r="AM109" i="4"/>
  <c r="BN108" i="4"/>
  <c r="BM108" i="4"/>
  <c r="BL108" i="4"/>
  <c r="BK108" i="4"/>
  <c r="BH108" i="4"/>
  <c r="BG108" i="4"/>
  <c r="BF108" i="4"/>
  <c r="BE108" i="4"/>
  <c r="BB108" i="4"/>
  <c r="BA108" i="4"/>
  <c r="AZ108" i="4"/>
  <c r="AY108" i="4"/>
  <c r="AV108" i="4"/>
  <c r="AU108" i="4"/>
  <c r="AT108" i="4"/>
  <c r="AS108" i="4"/>
  <c r="AQ108" i="4"/>
  <c r="AP108" i="4"/>
  <c r="AO108" i="4"/>
  <c r="AN108" i="4"/>
  <c r="AM108" i="4"/>
  <c r="AJ109" i="4"/>
  <c r="AI109" i="4"/>
  <c r="AH109" i="4"/>
  <c r="AG109" i="4"/>
  <c r="AJ108" i="4"/>
  <c r="AI108" i="4"/>
  <c r="AH108" i="4"/>
  <c r="AG108" i="4"/>
  <c r="AD109" i="4"/>
  <c r="AC109" i="4"/>
  <c r="AB109" i="4"/>
  <c r="AA109" i="4"/>
  <c r="AD108" i="4"/>
  <c r="AC108" i="4"/>
  <c r="AB108" i="4"/>
  <c r="AA108" i="4"/>
  <c r="X109" i="4"/>
  <c r="W109" i="4"/>
  <c r="V109" i="4"/>
  <c r="U109" i="4"/>
  <c r="X108" i="4"/>
  <c r="W108" i="4"/>
  <c r="V108" i="4"/>
  <c r="U108" i="4"/>
  <c r="R109" i="4"/>
  <c r="Q109" i="4"/>
  <c r="P109" i="4"/>
  <c r="O109" i="4"/>
  <c r="R108" i="4"/>
  <c r="Q108" i="4"/>
  <c r="P108" i="4"/>
  <c r="O108" i="4"/>
  <c r="BO107" i="4"/>
  <c r="BI107" i="4"/>
  <c r="BC107" i="4"/>
  <c r="AW107" i="4"/>
  <c r="AQ107" i="4"/>
  <c r="BN106" i="4"/>
  <c r="BM106" i="4"/>
  <c r="BL106" i="4"/>
  <c r="BK106" i="4"/>
  <c r="BH106" i="4"/>
  <c r="BG106" i="4"/>
  <c r="BF106" i="4"/>
  <c r="BE106" i="4"/>
  <c r="BB106" i="4"/>
  <c r="BA106" i="4"/>
  <c r="AZ106" i="4"/>
  <c r="AY106" i="4"/>
  <c r="AV106" i="4"/>
  <c r="AU106" i="4"/>
  <c r="AT106" i="4"/>
  <c r="AS106" i="4"/>
  <c r="AP106" i="4"/>
  <c r="AO106" i="4"/>
  <c r="AN106" i="4"/>
  <c r="AM106" i="4"/>
  <c r="BN105" i="4"/>
  <c r="BM105" i="4"/>
  <c r="BL105" i="4"/>
  <c r="BK105" i="4"/>
  <c r="BH105" i="4"/>
  <c r="BG105" i="4"/>
  <c r="BF105" i="4"/>
  <c r="BE105" i="4"/>
  <c r="BB105" i="4"/>
  <c r="BA105" i="4"/>
  <c r="AZ105" i="4"/>
  <c r="AY105" i="4"/>
  <c r="AV105" i="4"/>
  <c r="AU105" i="4"/>
  <c r="AT105" i="4"/>
  <c r="AS105" i="4"/>
  <c r="AQ105" i="4"/>
  <c r="AP105" i="4"/>
  <c r="AO105" i="4"/>
  <c r="AN105" i="4"/>
  <c r="AM105" i="4"/>
  <c r="AJ106" i="4"/>
  <c r="AI106" i="4"/>
  <c r="AH106" i="4"/>
  <c r="AG106" i="4"/>
  <c r="AJ105" i="4"/>
  <c r="AI105" i="4"/>
  <c r="AH105" i="4"/>
  <c r="AG105" i="4"/>
  <c r="AD106" i="4"/>
  <c r="AC106" i="4"/>
  <c r="AB106" i="4"/>
  <c r="AA106" i="4"/>
  <c r="AD105" i="4"/>
  <c r="AC105" i="4"/>
  <c r="AB105" i="4"/>
  <c r="AA105" i="4"/>
  <c r="X106" i="4"/>
  <c r="W106" i="4"/>
  <c r="V106" i="4"/>
  <c r="U106" i="4"/>
  <c r="X105" i="4"/>
  <c r="W105" i="4"/>
  <c r="V105" i="4"/>
  <c r="U105" i="4"/>
  <c r="R106" i="4"/>
  <c r="Q106" i="4"/>
  <c r="P106" i="4"/>
  <c r="O106" i="4"/>
  <c r="R105" i="4"/>
  <c r="Q105" i="4"/>
  <c r="P105" i="4"/>
  <c r="O105" i="4"/>
  <c r="BO104" i="4"/>
  <c r="BI104" i="4"/>
  <c r="BC104" i="4"/>
  <c r="AW104" i="4"/>
  <c r="AQ104" i="4"/>
  <c r="BN103" i="4"/>
  <c r="BM103" i="4"/>
  <c r="BL103" i="4"/>
  <c r="BK103" i="4"/>
  <c r="BH103" i="4"/>
  <c r="BG103" i="4"/>
  <c r="BF103" i="4"/>
  <c r="BE103" i="4"/>
  <c r="BB103" i="4"/>
  <c r="BA103" i="4"/>
  <c r="AZ103" i="4"/>
  <c r="AY103" i="4"/>
  <c r="AV103" i="4"/>
  <c r="AU103" i="4"/>
  <c r="AT103" i="4"/>
  <c r="AS103" i="4"/>
  <c r="AP103" i="4"/>
  <c r="AO103" i="4"/>
  <c r="AN103" i="4"/>
  <c r="AM103" i="4"/>
  <c r="BN102" i="4"/>
  <c r="BM102" i="4"/>
  <c r="BL102" i="4"/>
  <c r="BK102" i="4"/>
  <c r="BH102" i="4"/>
  <c r="BG102" i="4"/>
  <c r="BF102" i="4"/>
  <c r="BE102" i="4"/>
  <c r="BB102" i="4"/>
  <c r="BA102" i="4"/>
  <c r="AZ102" i="4"/>
  <c r="AY102" i="4"/>
  <c r="AV102" i="4"/>
  <c r="AU102" i="4"/>
  <c r="AT102" i="4"/>
  <c r="AS102" i="4"/>
  <c r="AQ102" i="4"/>
  <c r="AP102" i="4"/>
  <c r="AO102" i="4"/>
  <c r="AN102" i="4"/>
  <c r="AM102" i="4"/>
  <c r="AJ103" i="4"/>
  <c r="AI103" i="4"/>
  <c r="AH103" i="4"/>
  <c r="AG103" i="4"/>
  <c r="AJ102" i="4"/>
  <c r="AI102" i="4"/>
  <c r="AH102" i="4"/>
  <c r="AG102" i="4"/>
  <c r="AD103" i="4"/>
  <c r="AC103" i="4"/>
  <c r="AB103" i="4"/>
  <c r="AA103" i="4"/>
  <c r="AD102" i="4"/>
  <c r="AC102" i="4"/>
  <c r="AB102" i="4"/>
  <c r="AA102" i="4"/>
  <c r="X103" i="4"/>
  <c r="W103" i="4"/>
  <c r="V103" i="4"/>
  <c r="U103" i="4"/>
  <c r="X102" i="4"/>
  <c r="W102" i="4"/>
  <c r="V102" i="4"/>
  <c r="U102" i="4"/>
  <c r="R103" i="4"/>
  <c r="Q103" i="4"/>
  <c r="P103" i="4"/>
  <c r="O103" i="4"/>
  <c r="R102" i="4"/>
  <c r="Q102" i="4"/>
  <c r="P102" i="4"/>
  <c r="O102" i="4"/>
  <c r="BO101" i="4"/>
  <c r="BI101" i="4"/>
  <c r="BC101" i="4"/>
  <c r="AW101" i="4"/>
  <c r="AQ101" i="4"/>
  <c r="BN100" i="4"/>
  <c r="BM100" i="4"/>
  <c r="BL100" i="4"/>
  <c r="BK100" i="4"/>
  <c r="BH100" i="4"/>
  <c r="BG100" i="4"/>
  <c r="BF100" i="4"/>
  <c r="BE100" i="4"/>
  <c r="BB100" i="4"/>
  <c r="BA100" i="4"/>
  <c r="AZ100" i="4"/>
  <c r="AY100" i="4"/>
  <c r="AV100" i="4"/>
  <c r="AU100" i="4"/>
  <c r="AT100" i="4"/>
  <c r="AS100" i="4"/>
  <c r="AP100" i="4"/>
  <c r="AO100" i="4"/>
  <c r="AN100" i="4"/>
  <c r="AM100" i="4"/>
  <c r="BN99" i="4"/>
  <c r="BM99" i="4"/>
  <c r="BL99" i="4"/>
  <c r="BK99" i="4"/>
  <c r="BH99" i="4"/>
  <c r="BG99" i="4"/>
  <c r="BF99" i="4"/>
  <c r="BE99" i="4"/>
  <c r="BB99" i="4"/>
  <c r="BA99" i="4"/>
  <c r="AZ99" i="4"/>
  <c r="AY99" i="4"/>
  <c r="AV99" i="4"/>
  <c r="AU99" i="4"/>
  <c r="AT99" i="4"/>
  <c r="AS99" i="4"/>
  <c r="AQ99" i="4"/>
  <c r="AP99" i="4"/>
  <c r="AO99" i="4"/>
  <c r="AN99" i="4"/>
  <c r="AM99" i="4"/>
  <c r="AJ100" i="4"/>
  <c r="AI100" i="4"/>
  <c r="AH100" i="4"/>
  <c r="AG100" i="4"/>
  <c r="AJ99" i="4"/>
  <c r="AI99" i="4"/>
  <c r="AH99" i="4"/>
  <c r="AG99" i="4"/>
  <c r="AD100" i="4"/>
  <c r="AC100" i="4"/>
  <c r="AB100" i="4"/>
  <c r="AA100" i="4"/>
  <c r="AD99" i="4"/>
  <c r="AC99" i="4"/>
  <c r="AB99" i="4"/>
  <c r="AA99" i="4"/>
  <c r="X100" i="4"/>
  <c r="W100" i="4"/>
  <c r="V100" i="4"/>
  <c r="U100" i="4"/>
  <c r="X99" i="4"/>
  <c r="W99" i="4"/>
  <c r="V99" i="4"/>
  <c r="U99" i="4"/>
  <c r="R100" i="4"/>
  <c r="Q100" i="4"/>
  <c r="P100" i="4"/>
  <c r="O100" i="4"/>
  <c r="R99" i="4"/>
  <c r="Q99" i="4"/>
  <c r="P99" i="4"/>
  <c r="O99" i="4"/>
  <c r="BO98" i="4"/>
  <c r="BI98" i="4"/>
  <c r="BC98" i="4"/>
  <c r="AW98" i="4"/>
  <c r="AQ98" i="4"/>
  <c r="BH97" i="4"/>
  <c r="BG97" i="4"/>
  <c r="AD97" i="4"/>
  <c r="AC97" i="4"/>
  <c r="AB97" i="4"/>
  <c r="AA97" i="4"/>
  <c r="AD96" i="4"/>
  <c r="AC96" i="4"/>
  <c r="AB96" i="4"/>
  <c r="AA96" i="4"/>
  <c r="X97" i="4"/>
  <c r="W97" i="4"/>
  <c r="V97" i="4"/>
  <c r="U97" i="4"/>
  <c r="X96" i="4"/>
  <c r="W96" i="4"/>
  <c r="V96" i="4"/>
  <c r="U96" i="4"/>
  <c r="R97" i="4"/>
  <c r="Q97" i="4"/>
  <c r="P97" i="4"/>
  <c r="O97" i="4"/>
  <c r="R96" i="4"/>
  <c r="Q96" i="4"/>
  <c r="P96" i="4"/>
  <c r="O96" i="4"/>
  <c r="BN95" i="4"/>
  <c r="BN96" i="4" s="1"/>
  <c r="BM95" i="4"/>
  <c r="BM96" i="4" s="1"/>
  <c r="BL95" i="4"/>
  <c r="BK95" i="4"/>
  <c r="BE95" i="4"/>
  <c r="BB95" i="4"/>
  <c r="BA95" i="4"/>
  <c r="AZ95" i="4"/>
  <c r="AY95" i="4"/>
  <c r="AV95" i="4"/>
  <c r="AV86" i="4" s="1"/>
  <c r="AU95" i="4"/>
  <c r="AT95" i="4"/>
  <c r="AS95" i="4"/>
  <c r="AQ96" i="4"/>
  <c r="AP95" i="4"/>
  <c r="AO95" i="4"/>
  <c r="AN95" i="4"/>
  <c r="AM95" i="4"/>
  <c r="AG97" i="4"/>
  <c r="AJ96" i="4"/>
  <c r="AH96" i="4"/>
  <c r="AG96" i="4"/>
  <c r="AJ95" i="4"/>
  <c r="AP96" i="4" s="1"/>
  <c r="AI95" i="4"/>
  <c r="AO96" i="4" s="1"/>
  <c r="AH95" i="4"/>
  <c r="AG95" i="4"/>
  <c r="AM96" i="4" s="1"/>
  <c r="DY92" i="4"/>
  <c r="AQ91" i="4"/>
  <c r="AG92" i="4"/>
  <c r="AJ91" i="4"/>
  <c r="AH91" i="4"/>
  <c r="AG91" i="4"/>
  <c r="AC90" i="4"/>
  <c r="AC142" i="4" s="1"/>
  <c r="U90" i="4"/>
  <c r="U142" i="4" s="1"/>
  <c r="BY88" i="4"/>
  <c r="BT88" i="4"/>
  <c r="AM88" i="4"/>
  <c r="BS87" i="4"/>
  <c r="AJ88" i="4"/>
  <c r="AI88" i="4"/>
  <c r="AH88" i="4"/>
  <c r="AG88" i="4"/>
  <c r="AJ87" i="4"/>
  <c r="AI87" i="4"/>
  <c r="AH87" i="4"/>
  <c r="AG87" i="4"/>
  <c r="AD88" i="4"/>
  <c r="AC88" i="4"/>
  <c r="AB88" i="4"/>
  <c r="AA88" i="4"/>
  <c r="AD87" i="4"/>
  <c r="AC87" i="4"/>
  <c r="AB87" i="4"/>
  <c r="AA87" i="4"/>
  <c r="X88" i="4"/>
  <c r="W88" i="4"/>
  <c r="V88" i="4"/>
  <c r="U88" i="4"/>
  <c r="X87" i="4"/>
  <c r="W87" i="4"/>
  <c r="V87" i="4"/>
  <c r="U87" i="4"/>
  <c r="R88" i="4"/>
  <c r="Q88" i="4"/>
  <c r="P88" i="4"/>
  <c r="O88" i="4"/>
  <c r="R87" i="4"/>
  <c r="Q87" i="4"/>
  <c r="P87" i="4"/>
  <c r="O87" i="4"/>
  <c r="AQ87" i="4"/>
  <c r="AP87" i="4"/>
  <c r="AO87" i="4"/>
  <c r="AN87" i="4"/>
  <c r="AM87" i="4"/>
  <c r="DY82" i="4"/>
  <c r="DP83" i="4"/>
  <c r="DO83" i="4"/>
  <c r="DN83" i="4"/>
  <c r="DM83" i="4"/>
  <c r="DJ83" i="4"/>
  <c r="DI83" i="4"/>
  <c r="DH83" i="4"/>
  <c r="DG83" i="4"/>
  <c r="DD83" i="4"/>
  <c r="DC83" i="4"/>
  <c r="DB83" i="4"/>
  <c r="DA83" i="4"/>
  <c r="CX83" i="4"/>
  <c r="CW83" i="4"/>
  <c r="CV83" i="4"/>
  <c r="CU83" i="4"/>
  <c r="CR83" i="4"/>
  <c r="CQ83" i="4"/>
  <c r="CP83" i="4"/>
  <c r="CO83" i="4"/>
  <c r="CL83" i="4"/>
  <c r="CK83" i="4"/>
  <c r="CJ83" i="4"/>
  <c r="CI83" i="4"/>
  <c r="CF83" i="4"/>
  <c r="CE83" i="4"/>
  <c r="CD83" i="4"/>
  <c r="CC83" i="4"/>
  <c r="BZ83" i="4"/>
  <c r="BY83" i="4"/>
  <c r="BW83" i="4"/>
  <c r="BT83" i="4"/>
  <c r="BS83" i="4"/>
  <c r="BR83" i="4"/>
  <c r="BQ83" i="4"/>
  <c r="BN83" i="4"/>
  <c r="BM83" i="4"/>
  <c r="BL83" i="4"/>
  <c r="BK83" i="4"/>
  <c r="BH83" i="4"/>
  <c r="BG83" i="4"/>
  <c r="BF83" i="4"/>
  <c r="BE83" i="4"/>
  <c r="BB83" i="4"/>
  <c r="BA83" i="4"/>
  <c r="AZ83" i="4"/>
  <c r="AY83" i="4"/>
  <c r="AV83" i="4"/>
  <c r="AU83" i="4"/>
  <c r="AT83" i="4"/>
  <c r="AS83" i="4"/>
  <c r="AP83" i="4"/>
  <c r="AO83" i="4"/>
  <c r="AN83" i="4"/>
  <c r="AM83" i="4"/>
  <c r="DV83" i="4"/>
  <c r="DU83" i="4"/>
  <c r="DT83" i="4"/>
  <c r="DS83" i="4"/>
  <c r="DV82" i="4"/>
  <c r="DU82" i="4"/>
  <c r="DT82" i="4"/>
  <c r="DS82" i="4"/>
  <c r="DP82" i="4"/>
  <c r="DO82" i="4"/>
  <c r="DN82" i="4"/>
  <c r="DM82" i="4"/>
  <c r="DJ82" i="4"/>
  <c r="DI82" i="4"/>
  <c r="DH82" i="4"/>
  <c r="DG82" i="4"/>
  <c r="DD82" i="4"/>
  <c r="DC82" i="4"/>
  <c r="DB82" i="4"/>
  <c r="DA82" i="4"/>
  <c r="CX82" i="4"/>
  <c r="CW82" i="4"/>
  <c r="CV82" i="4"/>
  <c r="CU82" i="4"/>
  <c r="CR82" i="4"/>
  <c r="CQ82" i="4"/>
  <c r="CP82" i="4"/>
  <c r="CO82" i="4"/>
  <c r="CM82" i="4"/>
  <c r="CL82" i="4"/>
  <c r="CK82" i="4"/>
  <c r="CJ82" i="4"/>
  <c r="CI82" i="4"/>
  <c r="CF82" i="4"/>
  <c r="CE82" i="4"/>
  <c r="CD82" i="4"/>
  <c r="CC82" i="4"/>
  <c r="BZ82" i="4"/>
  <c r="BY82" i="4"/>
  <c r="BX82" i="4"/>
  <c r="BW82" i="4"/>
  <c r="BT82" i="4"/>
  <c r="BS82" i="4"/>
  <c r="BR82" i="4"/>
  <c r="BQ82" i="4"/>
  <c r="BN82" i="4"/>
  <c r="BM82" i="4"/>
  <c r="BL82" i="4"/>
  <c r="BK82" i="4"/>
  <c r="BH82" i="4"/>
  <c r="BG82" i="4"/>
  <c r="BF82" i="4"/>
  <c r="BE82" i="4"/>
  <c r="BB82" i="4"/>
  <c r="BA82" i="4"/>
  <c r="AZ82" i="4"/>
  <c r="AY82" i="4"/>
  <c r="AV82" i="4"/>
  <c r="AU82" i="4"/>
  <c r="AT82" i="4"/>
  <c r="AS82" i="4"/>
  <c r="AQ82" i="4"/>
  <c r="AP82" i="4"/>
  <c r="AO82" i="4"/>
  <c r="AN82" i="4"/>
  <c r="AM82" i="4"/>
  <c r="AJ83" i="4"/>
  <c r="AI83" i="4"/>
  <c r="AH83" i="4"/>
  <c r="AG83" i="4"/>
  <c r="AJ82" i="4"/>
  <c r="AI82" i="4"/>
  <c r="AH82" i="4"/>
  <c r="AG82" i="4"/>
  <c r="AD83" i="4"/>
  <c r="AC83" i="4"/>
  <c r="AB83" i="4"/>
  <c r="AA83" i="4"/>
  <c r="AD82" i="4"/>
  <c r="AC82" i="4"/>
  <c r="AB82" i="4"/>
  <c r="AA82" i="4"/>
  <c r="X83" i="4"/>
  <c r="W83" i="4"/>
  <c r="V83" i="4"/>
  <c r="U83" i="4"/>
  <c r="X82" i="4"/>
  <c r="W82" i="4"/>
  <c r="V82" i="4"/>
  <c r="U82" i="4"/>
  <c r="R83" i="4"/>
  <c r="Q83" i="4"/>
  <c r="P83" i="4"/>
  <c r="O83" i="4"/>
  <c r="R82" i="4"/>
  <c r="Q82" i="4"/>
  <c r="P82" i="4"/>
  <c r="O82" i="4"/>
  <c r="DQ81" i="4"/>
  <c r="DK81" i="4"/>
  <c r="DE81" i="4"/>
  <c r="CY81" i="4"/>
  <c r="CS81" i="4"/>
  <c r="CA81" i="4"/>
  <c r="CG82" i="4" s="1"/>
  <c r="BU81" i="4"/>
  <c r="BO81" i="4"/>
  <c r="BI81" i="4"/>
  <c r="BC81" i="4"/>
  <c r="AW81" i="4"/>
  <c r="AQ81" i="4"/>
  <c r="DY77" i="4"/>
  <c r="DP78" i="4"/>
  <c r="DO78" i="4"/>
  <c r="DN78" i="4"/>
  <c r="DM78" i="4"/>
  <c r="DG78" i="4"/>
  <c r="DD78" i="4"/>
  <c r="DC78" i="4"/>
  <c r="DB78" i="4"/>
  <c r="DA78" i="4"/>
  <c r="CX78" i="4"/>
  <c r="CW78" i="4"/>
  <c r="CV78" i="4"/>
  <c r="CU78" i="4"/>
  <c r="CR78" i="4"/>
  <c r="CQ78" i="4"/>
  <c r="CP78" i="4"/>
  <c r="CO78" i="4"/>
  <c r="CL78" i="4"/>
  <c r="CK78" i="4"/>
  <c r="CJ78" i="4"/>
  <c r="CI78" i="4"/>
  <c r="CF78" i="4"/>
  <c r="CE78" i="4"/>
  <c r="CD78" i="4"/>
  <c r="CC78" i="4"/>
  <c r="BZ78" i="4"/>
  <c r="BY78" i="4"/>
  <c r="BW78" i="4"/>
  <c r="BT78" i="4"/>
  <c r="BS78" i="4"/>
  <c r="BR78" i="4"/>
  <c r="BQ78" i="4"/>
  <c r="BN78" i="4"/>
  <c r="BM78" i="4"/>
  <c r="BL78" i="4"/>
  <c r="BK78" i="4"/>
  <c r="DV78" i="4"/>
  <c r="DU78" i="4"/>
  <c r="DT78" i="4"/>
  <c r="DS78" i="4"/>
  <c r="DV77" i="4"/>
  <c r="DU77" i="4"/>
  <c r="DT77" i="4"/>
  <c r="DS77" i="4"/>
  <c r="DP77" i="4"/>
  <c r="DM77" i="4"/>
  <c r="DJ77" i="4"/>
  <c r="DG77" i="4"/>
  <c r="DD77" i="4"/>
  <c r="DC77" i="4"/>
  <c r="DB77" i="4"/>
  <c r="DA77" i="4"/>
  <c r="CX77" i="4"/>
  <c r="CW77" i="4"/>
  <c r="CV77" i="4"/>
  <c r="CU77" i="4"/>
  <c r="CR77" i="4"/>
  <c r="CQ77" i="4"/>
  <c r="CP77" i="4"/>
  <c r="CO77" i="4"/>
  <c r="CL77" i="4"/>
  <c r="CK77" i="4"/>
  <c r="CJ77" i="4"/>
  <c r="CI77" i="4"/>
  <c r="CF77" i="4"/>
  <c r="CE77" i="4"/>
  <c r="CD77" i="4"/>
  <c r="CC77" i="4"/>
  <c r="BZ77" i="4"/>
  <c r="BY77" i="4"/>
  <c r="BX77" i="4"/>
  <c r="BW77" i="4"/>
  <c r="BT77" i="4"/>
  <c r="BS77" i="4"/>
  <c r="BR77" i="4"/>
  <c r="BQ77" i="4"/>
  <c r="BO77" i="4"/>
  <c r="BN77" i="4"/>
  <c r="BM77" i="4"/>
  <c r="BL77" i="4"/>
  <c r="BK77" i="4"/>
  <c r="BH78" i="4"/>
  <c r="BG78" i="4"/>
  <c r="BF78" i="4"/>
  <c r="BE78" i="4"/>
  <c r="BH77" i="4"/>
  <c r="BG77" i="4"/>
  <c r="BF77" i="4"/>
  <c r="BE77" i="4"/>
  <c r="BB78" i="4"/>
  <c r="BA78" i="4"/>
  <c r="AZ78" i="4"/>
  <c r="AY78" i="4"/>
  <c r="BB77" i="4"/>
  <c r="BA77" i="4"/>
  <c r="AZ77" i="4"/>
  <c r="AY77" i="4"/>
  <c r="AV78" i="4"/>
  <c r="AU78" i="4"/>
  <c r="AT78" i="4"/>
  <c r="AS78" i="4"/>
  <c r="AV77" i="4"/>
  <c r="AU77" i="4"/>
  <c r="AT77" i="4"/>
  <c r="AS77" i="4"/>
  <c r="AP78" i="4"/>
  <c r="AO78" i="4"/>
  <c r="AN78" i="4"/>
  <c r="AM78" i="4"/>
  <c r="AP77" i="4"/>
  <c r="AO77" i="4"/>
  <c r="AN77" i="4"/>
  <c r="AM77" i="4"/>
  <c r="AJ78" i="4"/>
  <c r="AI78" i="4"/>
  <c r="AH78" i="4"/>
  <c r="AG78" i="4"/>
  <c r="AJ77" i="4"/>
  <c r="AI77" i="4"/>
  <c r="AH77" i="4"/>
  <c r="AG77" i="4"/>
  <c r="AD78" i="4"/>
  <c r="AC78" i="4"/>
  <c r="AB78" i="4"/>
  <c r="AA78" i="4"/>
  <c r="AD77" i="4"/>
  <c r="AC77" i="4"/>
  <c r="AB77" i="4"/>
  <c r="AA77" i="4"/>
  <c r="X78" i="4"/>
  <c r="W78" i="4"/>
  <c r="V78" i="4"/>
  <c r="U78" i="4"/>
  <c r="X77" i="4"/>
  <c r="W77" i="4"/>
  <c r="V77" i="4"/>
  <c r="U77" i="4"/>
  <c r="R78" i="4"/>
  <c r="Q78" i="4"/>
  <c r="P78" i="4"/>
  <c r="O78" i="4"/>
  <c r="R77" i="4"/>
  <c r="Q77" i="4"/>
  <c r="P77" i="4"/>
  <c r="O77" i="4"/>
  <c r="DQ76" i="4"/>
  <c r="DI76" i="4"/>
  <c r="DO77" i="4" s="1"/>
  <c r="DH76" i="4"/>
  <c r="DH78" i="4" s="1"/>
  <c r="DE76" i="4"/>
  <c r="CY76" i="4"/>
  <c r="CS76" i="4"/>
  <c r="CM76" i="4"/>
  <c r="CG76" i="4"/>
  <c r="BU76" i="4"/>
  <c r="BX78" i="4" s="1"/>
  <c r="BO76" i="4"/>
  <c r="DY73" i="4"/>
  <c r="DP74" i="4"/>
  <c r="DO74" i="4"/>
  <c r="DN74" i="4"/>
  <c r="DM74" i="4"/>
  <c r="DJ74" i="4"/>
  <c r="DI74" i="4"/>
  <c r="DH74" i="4"/>
  <c r="DG74" i="4"/>
  <c r="DD74" i="4"/>
  <c r="DC74" i="4"/>
  <c r="DB74" i="4"/>
  <c r="DA74" i="4"/>
  <c r="CX74" i="4"/>
  <c r="CW74" i="4"/>
  <c r="CV74" i="4"/>
  <c r="CU74" i="4"/>
  <c r="CR74" i="4"/>
  <c r="CQ74" i="4"/>
  <c r="CP74" i="4"/>
  <c r="CO74" i="4"/>
  <c r="CL74" i="4"/>
  <c r="CK74" i="4"/>
  <c r="CJ74" i="4"/>
  <c r="CI74" i="4"/>
  <c r="CF74" i="4"/>
  <c r="CE74" i="4"/>
  <c r="CD74" i="4"/>
  <c r="CC74" i="4"/>
  <c r="BZ74" i="4"/>
  <c r="BY74" i="4"/>
  <c r="BW74" i="4"/>
  <c r="BT74" i="4"/>
  <c r="BS74" i="4"/>
  <c r="BR74" i="4"/>
  <c r="BQ74" i="4"/>
  <c r="BN74" i="4"/>
  <c r="BM74" i="4"/>
  <c r="BL74" i="4"/>
  <c r="BK74" i="4"/>
  <c r="DV74" i="4"/>
  <c r="DU74" i="4"/>
  <c r="DT74" i="4"/>
  <c r="DS74" i="4"/>
  <c r="DV73" i="4"/>
  <c r="DU73" i="4"/>
  <c r="DT73" i="4"/>
  <c r="DS73" i="4"/>
  <c r="DP73" i="4"/>
  <c r="DO73" i="4"/>
  <c r="DN73" i="4"/>
  <c r="DM73" i="4"/>
  <c r="DJ73" i="4"/>
  <c r="DI73" i="4"/>
  <c r="DH73" i="4"/>
  <c r="DG73" i="4"/>
  <c r="DD73" i="4"/>
  <c r="DC73" i="4"/>
  <c r="DB73" i="4"/>
  <c r="DA73" i="4"/>
  <c r="CX73" i="4"/>
  <c r="CW73" i="4"/>
  <c r="CV73" i="4"/>
  <c r="CU73" i="4"/>
  <c r="CR73" i="4"/>
  <c r="CQ73" i="4"/>
  <c r="CP73" i="4"/>
  <c r="CO73" i="4"/>
  <c r="CL73" i="4"/>
  <c r="CK73" i="4"/>
  <c r="CJ73" i="4"/>
  <c r="CI73" i="4"/>
  <c r="CF73" i="4"/>
  <c r="CE73" i="4"/>
  <c r="CD73" i="4"/>
  <c r="CC73" i="4"/>
  <c r="BZ73" i="4"/>
  <c r="BY73" i="4"/>
  <c r="BX73" i="4"/>
  <c r="BW73" i="4"/>
  <c r="BT73" i="4"/>
  <c r="BS73" i="4"/>
  <c r="BR73" i="4"/>
  <c r="BQ73" i="4"/>
  <c r="BO73" i="4"/>
  <c r="BN73" i="4"/>
  <c r="BM73" i="4"/>
  <c r="BL73" i="4"/>
  <c r="BK73" i="4"/>
  <c r="BH74" i="4"/>
  <c r="BG74" i="4"/>
  <c r="BF74" i="4"/>
  <c r="BE74" i="4"/>
  <c r="BH73" i="4"/>
  <c r="BG73" i="4"/>
  <c r="BF73" i="4"/>
  <c r="BE73" i="4"/>
  <c r="BB74" i="4"/>
  <c r="BA74" i="4"/>
  <c r="AZ74" i="4"/>
  <c r="AY74" i="4"/>
  <c r="BB73" i="4"/>
  <c r="BA73" i="4"/>
  <c r="AZ73" i="4"/>
  <c r="AY73" i="4"/>
  <c r="AV74" i="4"/>
  <c r="AU74" i="4"/>
  <c r="AT74" i="4"/>
  <c r="AS74" i="4"/>
  <c r="AV73" i="4"/>
  <c r="AU73" i="4"/>
  <c r="AT73" i="4"/>
  <c r="AS73" i="4"/>
  <c r="AP74" i="4"/>
  <c r="AO74" i="4"/>
  <c r="AN74" i="4"/>
  <c r="AM74" i="4"/>
  <c r="AP73" i="4"/>
  <c r="AO73" i="4"/>
  <c r="AN73" i="4"/>
  <c r="AM73" i="4"/>
  <c r="AJ74" i="4"/>
  <c r="AI74" i="4"/>
  <c r="AH74" i="4"/>
  <c r="AG74" i="4"/>
  <c r="AJ73" i="4"/>
  <c r="AI73" i="4"/>
  <c r="AH73" i="4"/>
  <c r="AG73" i="4"/>
  <c r="AD74" i="4"/>
  <c r="AC74" i="4"/>
  <c r="AB74" i="4"/>
  <c r="AA74" i="4"/>
  <c r="AD73" i="4"/>
  <c r="AC73" i="4"/>
  <c r="AB73" i="4"/>
  <c r="AA73" i="4"/>
  <c r="X74" i="4"/>
  <c r="W74" i="4"/>
  <c r="V74" i="4"/>
  <c r="U74" i="4"/>
  <c r="X73" i="4"/>
  <c r="W73" i="4"/>
  <c r="V73" i="4"/>
  <c r="U73" i="4"/>
  <c r="R74" i="4"/>
  <c r="Q74" i="4"/>
  <c r="P74" i="4"/>
  <c r="O74" i="4"/>
  <c r="R73" i="4"/>
  <c r="Q73" i="4"/>
  <c r="P73" i="4"/>
  <c r="O73" i="4"/>
  <c r="DQ72" i="4"/>
  <c r="DK72" i="4"/>
  <c r="DE72" i="4"/>
  <c r="CY72" i="4"/>
  <c r="CS72" i="4"/>
  <c r="CM72" i="4"/>
  <c r="CG72" i="4"/>
  <c r="CG123" i="4" s="1"/>
  <c r="BU72" i="4"/>
  <c r="BU123" i="4" s="1"/>
  <c r="BO72" i="4"/>
  <c r="BO123" i="4" s="1"/>
  <c r="DY69" i="4"/>
  <c r="DV70" i="4"/>
  <c r="DU70" i="4"/>
  <c r="DT70" i="4"/>
  <c r="DS70" i="4"/>
  <c r="DP70" i="4"/>
  <c r="DV69" i="4"/>
  <c r="DU69" i="4"/>
  <c r="DY65" i="4"/>
  <c r="DV66" i="4"/>
  <c r="DU66" i="4"/>
  <c r="DT66" i="4"/>
  <c r="DS66" i="4"/>
  <c r="DP66" i="4"/>
  <c r="DV65" i="4"/>
  <c r="DU65" i="4"/>
  <c r="DY60" i="4"/>
  <c r="DY61" i="4" s="1"/>
  <c r="DP62" i="4"/>
  <c r="DO62" i="4"/>
  <c r="DN62" i="4"/>
  <c r="DM62" i="4"/>
  <c r="DJ62" i="4"/>
  <c r="DI62" i="4"/>
  <c r="DH62" i="4"/>
  <c r="DG62" i="4"/>
  <c r="DD62" i="4"/>
  <c r="DC62" i="4"/>
  <c r="DB62" i="4"/>
  <c r="DA62" i="4"/>
  <c r="CX62" i="4"/>
  <c r="CW62" i="4"/>
  <c r="CV62" i="4"/>
  <c r="CU62" i="4"/>
  <c r="CR62" i="4"/>
  <c r="CQ62" i="4"/>
  <c r="CP62" i="4"/>
  <c r="CO62" i="4"/>
  <c r="CL62" i="4"/>
  <c r="CK62" i="4"/>
  <c r="CJ62" i="4"/>
  <c r="CI62" i="4"/>
  <c r="CF62" i="4"/>
  <c r="CE62" i="4"/>
  <c r="CD62" i="4"/>
  <c r="CC62" i="4"/>
  <c r="BZ62" i="4"/>
  <c r="BY62" i="4"/>
  <c r="BW62" i="4"/>
  <c r="BT62" i="4"/>
  <c r="BS62" i="4"/>
  <c r="BR62" i="4"/>
  <c r="BQ62" i="4"/>
  <c r="BN62" i="4"/>
  <c r="BM62" i="4"/>
  <c r="BL62" i="4"/>
  <c r="BK62" i="4"/>
  <c r="DT62" i="4"/>
  <c r="DS62" i="4"/>
  <c r="DT61" i="4"/>
  <c r="DS61" i="4"/>
  <c r="DP61" i="4"/>
  <c r="DO61" i="4"/>
  <c r="DN61" i="4"/>
  <c r="DM61" i="4"/>
  <c r="DJ61" i="4"/>
  <c r="DI61" i="4"/>
  <c r="DH61" i="4"/>
  <c r="DG61" i="4"/>
  <c r="DD61" i="4"/>
  <c r="DC61" i="4"/>
  <c r="DB61" i="4"/>
  <c r="DA61" i="4"/>
  <c r="CX61" i="4"/>
  <c r="CW61" i="4"/>
  <c r="CV61" i="4"/>
  <c r="CU61" i="4"/>
  <c r="CR61" i="4"/>
  <c r="CQ61" i="4"/>
  <c r="CP61" i="4"/>
  <c r="CO61" i="4"/>
  <c r="CL61" i="4"/>
  <c r="CK61" i="4"/>
  <c r="CJ61" i="4"/>
  <c r="CI61" i="4"/>
  <c r="CF61" i="4"/>
  <c r="CE61" i="4"/>
  <c r="CD61" i="4"/>
  <c r="CC61" i="4"/>
  <c r="BZ61" i="4"/>
  <c r="BY61" i="4"/>
  <c r="BX61" i="4"/>
  <c r="BW61" i="4"/>
  <c r="BT61" i="4"/>
  <c r="BS61" i="4"/>
  <c r="BR61" i="4"/>
  <c r="BQ61" i="4"/>
  <c r="BO61" i="4"/>
  <c r="BN61" i="4"/>
  <c r="BM61" i="4"/>
  <c r="BL61" i="4"/>
  <c r="BK61" i="4"/>
  <c r="BH62" i="4"/>
  <c r="BG62" i="4"/>
  <c r="BF62" i="4"/>
  <c r="BE62" i="4"/>
  <c r="BH61" i="4"/>
  <c r="BG61" i="4"/>
  <c r="BF61" i="4"/>
  <c r="BE61" i="4"/>
  <c r="BB62" i="4"/>
  <c r="BA62" i="4"/>
  <c r="AZ62" i="4"/>
  <c r="AY62" i="4"/>
  <c r="BB61" i="4"/>
  <c r="BA61" i="4"/>
  <c r="AZ61" i="4"/>
  <c r="AY61" i="4"/>
  <c r="AV62" i="4"/>
  <c r="AU62" i="4"/>
  <c r="AT62" i="4"/>
  <c r="AS62" i="4"/>
  <c r="AV61" i="4"/>
  <c r="AU61" i="4"/>
  <c r="AT61" i="4"/>
  <c r="AS61" i="4"/>
  <c r="AP62" i="4"/>
  <c r="AO62" i="4"/>
  <c r="AN62" i="4"/>
  <c r="AM62" i="4"/>
  <c r="AP61" i="4"/>
  <c r="AO61" i="4"/>
  <c r="AN61" i="4"/>
  <c r="AM61" i="4"/>
  <c r="AJ62" i="4"/>
  <c r="AI62" i="4"/>
  <c r="AH62" i="4"/>
  <c r="AG62" i="4"/>
  <c r="AJ61" i="4"/>
  <c r="AI61" i="4"/>
  <c r="AH61" i="4"/>
  <c r="AG61" i="4"/>
  <c r="AD62" i="4"/>
  <c r="AC62" i="4"/>
  <c r="AB62" i="4"/>
  <c r="AA62" i="4"/>
  <c r="AD61" i="4"/>
  <c r="AC61" i="4"/>
  <c r="AB61" i="4"/>
  <c r="AA61" i="4"/>
  <c r="X62" i="4"/>
  <c r="W62" i="4"/>
  <c r="V62" i="4"/>
  <c r="U62" i="4"/>
  <c r="X61" i="4"/>
  <c r="W61" i="4"/>
  <c r="V61" i="4"/>
  <c r="U61" i="4"/>
  <c r="R62" i="4"/>
  <c r="Q62" i="4"/>
  <c r="P62" i="4"/>
  <c r="O62" i="4"/>
  <c r="R61" i="4"/>
  <c r="Q61" i="4"/>
  <c r="P61" i="4"/>
  <c r="O61" i="4"/>
  <c r="DQ60" i="4"/>
  <c r="DK60" i="4"/>
  <c r="DE60" i="4"/>
  <c r="CY60" i="4"/>
  <c r="CS60" i="4"/>
  <c r="CM60" i="4"/>
  <c r="CG60" i="4"/>
  <c r="CG119" i="4" s="1"/>
  <c r="BU60" i="4"/>
  <c r="BU119" i="4" s="1"/>
  <c r="BO60" i="4"/>
  <c r="BO119" i="4" s="1"/>
  <c r="BN58" i="4"/>
  <c r="BM58" i="4"/>
  <c r="BL58" i="4"/>
  <c r="BK58" i="4"/>
  <c r="BH58" i="4"/>
  <c r="BG58" i="4"/>
  <c r="BF58" i="4"/>
  <c r="BE58" i="4"/>
  <c r="BB58" i="4"/>
  <c r="BA58" i="4"/>
  <c r="AZ58" i="4"/>
  <c r="AY58" i="4"/>
  <c r="AV58" i="4"/>
  <c r="AU58" i="4"/>
  <c r="AT58" i="4"/>
  <c r="AS58" i="4"/>
  <c r="AP58" i="4"/>
  <c r="AO58" i="4"/>
  <c r="AN58" i="4"/>
  <c r="AM58" i="4"/>
  <c r="BO57" i="4"/>
  <c r="BN57" i="4"/>
  <c r="BM57" i="4"/>
  <c r="BL57" i="4"/>
  <c r="BK57" i="4"/>
  <c r="BI57" i="4"/>
  <c r="BH57" i="4"/>
  <c r="BG57" i="4"/>
  <c r="BF57" i="4"/>
  <c r="BE57" i="4"/>
  <c r="BC57" i="4"/>
  <c r="BB57" i="4"/>
  <c r="BA57" i="4"/>
  <c r="AZ57" i="4"/>
  <c r="AY57" i="4"/>
  <c r="AW57" i="4"/>
  <c r="AV57" i="4"/>
  <c r="AU57" i="4"/>
  <c r="AT57" i="4"/>
  <c r="AS57" i="4"/>
  <c r="AQ57" i="4"/>
  <c r="AP57" i="4"/>
  <c r="AO57" i="4"/>
  <c r="AN57" i="4"/>
  <c r="AM57" i="4"/>
  <c r="AJ58" i="4"/>
  <c r="AI58" i="4"/>
  <c r="AH58" i="4"/>
  <c r="AG58" i="4"/>
  <c r="AJ57" i="4"/>
  <c r="AI57" i="4"/>
  <c r="AH57" i="4"/>
  <c r="AG57" i="4"/>
  <c r="AD58" i="4"/>
  <c r="AC58" i="4"/>
  <c r="AB58" i="4"/>
  <c r="AA58" i="4"/>
  <c r="AD57" i="4"/>
  <c r="AC57" i="4"/>
  <c r="AB57" i="4"/>
  <c r="AA57" i="4"/>
  <c r="X58" i="4"/>
  <c r="W58" i="4"/>
  <c r="V58" i="4"/>
  <c r="U58" i="4"/>
  <c r="X57" i="4"/>
  <c r="W57" i="4"/>
  <c r="V57" i="4"/>
  <c r="U57" i="4"/>
  <c r="R58" i="4"/>
  <c r="Q58" i="4"/>
  <c r="P58" i="4"/>
  <c r="O58" i="4"/>
  <c r="R57" i="4"/>
  <c r="Q57" i="4"/>
  <c r="P57" i="4"/>
  <c r="O57" i="4"/>
  <c r="DV60" i="4"/>
  <c r="DV56" i="4" s="1"/>
  <c r="DV90" i="4" s="1"/>
  <c r="DU60" i="4"/>
  <c r="DU56" i="4" s="1"/>
  <c r="DU90" i="4" s="1"/>
  <c r="DT56" i="4"/>
  <c r="DT90" i="4" s="1"/>
  <c r="DS56" i="4"/>
  <c r="DP56" i="4"/>
  <c r="DP90" i="4" s="1"/>
  <c r="DP75" i="4" s="1"/>
  <c r="DO56" i="4"/>
  <c r="DN56" i="4"/>
  <c r="DN90" i="4" s="1"/>
  <c r="DN59" i="4" s="1"/>
  <c r="DM56" i="4"/>
  <c r="DM90" i="4" s="1"/>
  <c r="DM63" i="4" s="1"/>
  <c r="DJ56" i="4"/>
  <c r="DJ90" i="4" s="1"/>
  <c r="DG56" i="4"/>
  <c r="DG90" i="4" s="1"/>
  <c r="DD56" i="4"/>
  <c r="DD90" i="4" s="1"/>
  <c r="DC56" i="4"/>
  <c r="DC90" i="4" s="1"/>
  <c r="DB56" i="4"/>
  <c r="DB90" i="4" s="1"/>
  <c r="DB59" i="4" s="1"/>
  <c r="DA56" i="4"/>
  <c r="DA90" i="4" s="1"/>
  <c r="DA63" i="4" s="1"/>
  <c r="CX56" i="4"/>
  <c r="CX90" i="4" s="1"/>
  <c r="CX63" i="4" s="1"/>
  <c r="CW56" i="4"/>
  <c r="CW90" i="4" s="1"/>
  <c r="CW63" i="4" s="1"/>
  <c r="CV56" i="4"/>
  <c r="CV90" i="4" s="1"/>
  <c r="CU56" i="4"/>
  <c r="CR56" i="4"/>
  <c r="CR90" i="4" s="1"/>
  <c r="CR75" i="4" s="1"/>
  <c r="CQ56" i="4"/>
  <c r="CP56" i="4"/>
  <c r="CP90" i="4" s="1"/>
  <c r="CP59" i="4" s="1"/>
  <c r="CO56" i="4"/>
  <c r="CO90" i="4" s="1"/>
  <c r="CO75" i="4" s="1"/>
  <c r="CL56" i="4"/>
  <c r="CK56" i="4"/>
  <c r="CQ57" i="4" s="1"/>
  <c r="CJ56" i="4"/>
  <c r="CI56" i="4"/>
  <c r="CF56" i="4"/>
  <c r="CL57" i="4" s="1"/>
  <c r="CE56" i="4"/>
  <c r="CD56" i="4"/>
  <c r="CC56" i="4"/>
  <c r="BZ56" i="4"/>
  <c r="BY56" i="4"/>
  <c r="CE57" i="4" s="1"/>
  <c r="BX56" i="4"/>
  <c r="BW56" i="4"/>
  <c r="BT56" i="4"/>
  <c r="BS56" i="4"/>
  <c r="BS90" i="4" s="1"/>
  <c r="BR56" i="4"/>
  <c r="BQ56" i="4"/>
  <c r="CG46" i="4"/>
  <c r="CG45" i="4"/>
  <c r="CG44" i="4"/>
  <c r="CG43" i="4"/>
  <c r="CG42" i="4"/>
  <c r="CG41" i="4"/>
  <c r="CG40" i="4"/>
  <c r="CG39" i="4"/>
  <c r="CG38" i="4"/>
  <c r="CG37" i="4"/>
  <c r="CG35" i="4"/>
  <c r="CG11" i="4" s="1"/>
  <c r="CE49" i="4"/>
  <c r="CD49" i="4"/>
  <c r="CC49" i="4"/>
  <c r="CE48" i="4"/>
  <c r="CD48" i="4"/>
  <c r="CC48" i="4"/>
  <c r="CC47" i="4"/>
  <c r="BZ49" i="4"/>
  <c r="CA49" i="4" s="1"/>
  <c r="BZ48" i="4"/>
  <c r="CA48" i="4" s="1"/>
  <c r="BZ47" i="4"/>
  <c r="BY47" i="4"/>
  <c r="BX47" i="4"/>
  <c r="EO46" i="4"/>
  <c r="EO45" i="4"/>
  <c r="EO44" i="4"/>
  <c r="EO43" i="4"/>
  <c r="EO42" i="4"/>
  <c r="EO41" i="4"/>
  <c r="EO40" i="4"/>
  <c r="EO39" i="4"/>
  <c r="EO38" i="4"/>
  <c r="EO37" i="4"/>
  <c r="EO35" i="4"/>
  <c r="EI46" i="4"/>
  <c r="EI45" i="4"/>
  <c r="EI44" i="4"/>
  <c r="EI43" i="4"/>
  <c r="EI42" i="4"/>
  <c r="EI41" i="4"/>
  <c r="EI40" i="4"/>
  <c r="EI39" i="4"/>
  <c r="EI38" i="4"/>
  <c r="EI37" i="4"/>
  <c r="EI35" i="4"/>
  <c r="EI11" i="4" s="1"/>
  <c r="EC46" i="4"/>
  <c r="EC45" i="4"/>
  <c r="EC44" i="4"/>
  <c r="EC43" i="4"/>
  <c r="EC42" i="4"/>
  <c r="EC41" i="4"/>
  <c r="EC40" i="4"/>
  <c r="EC39" i="4"/>
  <c r="EC38" i="4"/>
  <c r="EC37" i="4"/>
  <c r="EC35" i="4"/>
  <c r="EC11" i="4" s="1"/>
  <c r="DW46" i="4"/>
  <c r="DW45" i="4"/>
  <c r="DW44" i="4"/>
  <c r="DW43" i="4"/>
  <c r="DW42" i="4"/>
  <c r="DW41" i="4"/>
  <c r="DW40" i="4"/>
  <c r="DW39" i="4"/>
  <c r="DW38" i="4"/>
  <c r="DW37" i="4"/>
  <c r="DW35" i="4"/>
  <c r="DW11" i="4" s="1"/>
  <c r="DQ46" i="4"/>
  <c r="DQ45" i="4"/>
  <c r="DQ44" i="4"/>
  <c r="DQ43" i="4"/>
  <c r="DQ42" i="4"/>
  <c r="DQ41" i="4"/>
  <c r="DQ40" i="4"/>
  <c r="DQ39" i="4"/>
  <c r="DQ38" i="4"/>
  <c r="DQ37" i="4"/>
  <c r="DQ35" i="4"/>
  <c r="DQ11" i="4" s="1"/>
  <c r="DK46" i="4"/>
  <c r="DK45" i="4"/>
  <c r="DK44" i="4"/>
  <c r="DK43" i="4"/>
  <c r="DK42" i="4"/>
  <c r="DK41" i="4"/>
  <c r="DK40" i="4"/>
  <c r="DK39" i="4"/>
  <c r="DK38" i="4"/>
  <c r="DK37" i="4"/>
  <c r="DK35" i="4"/>
  <c r="DK11" i="4" s="1"/>
  <c r="DE46" i="4"/>
  <c r="DE45" i="4"/>
  <c r="DE44" i="4"/>
  <c r="DE43" i="4"/>
  <c r="DE42" i="4"/>
  <c r="DE41" i="4"/>
  <c r="DE40" i="4"/>
  <c r="DE39" i="4"/>
  <c r="DE38" i="4"/>
  <c r="DE37" i="4"/>
  <c r="DE35" i="4"/>
  <c r="DE11" i="4" s="1"/>
  <c r="CY46" i="4"/>
  <c r="CY45" i="4"/>
  <c r="CY44" i="4"/>
  <c r="CY43" i="4"/>
  <c r="CY42" i="4"/>
  <c r="CY41" i="4"/>
  <c r="CY40" i="4"/>
  <c r="CY39" i="4"/>
  <c r="CY38" i="4"/>
  <c r="CY37" i="4"/>
  <c r="CY35" i="4"/>
  <c r="CY11" i="4" s="1"/>
  <c r="CS46" i="4"/>
  <c r="CS45" i="4"/>
  <c r="CS44" i="4"/>
  <c r="CS43" i="4"/>
  <c r="CS42" i="4"/>
  <c r="CS41" i="4"/>
  <c r="CS40" i="4"/>
  <c r="CS39" i="4"/>
  <c r="CS38" i="4"/>
  <c r="CS37" i="4"/>
  <c r="CS35" i="4"/>
  <c r="CS11" i="4" s="1"/>
  <c r="CM46" i="4"/>
  <c r="CM45" i="4"/>
  <c r="CM44" i="4"/>
  <c r="CM43" i="4"/>
  <c r="CM42" i="4"/>
  <c r="CM41" i="4"/>
  <c r="CM40" i="4"/>
  <c r="CM39" i="4"/>
  <c r="CM38" i="4"/>
  <c r="CM37" i="4"/>
  <c r="CM35" i="4"/>
  <c r="CM11" i="4" s="1"/>
  <c r="CA46" i="4"/>
  <c r="CA45" i="4"/>
  <c r="CA44" i="4"/>
  <c r="CA43" i="4"/>
  <c r="CA42" i="4"/>
  <c r="CA41" i="4"/>
  <c r="CA40" i="4"/>
  <c r="CA39" i="4"/>
  <c r="CA38" i="4"/>
  <c r="CA37" i="4"/>
  <c r="CA35" i="4"/>
  <c r="CA11" i="4" s="1"/>
  <c r="BU46" i="4"/>
  <c r="BU45" i="4"/>
  <c r="BU44" i="4"/>
  <c r="BU43" i="4"/>
  <c r="BU42" i="4"/>
  <c r="BU41" i="4"/>
  <c r="BU40" i="4"/>
  <c r="BU39" i="4"/>
  <c r="BU38" i="4"/>
  <c r="BU37" i="4"/>
  <c r="BU35" i="4"/>
  <c r="BU11" i="4" s="1"/>
  <c r="BO46" i="4"/>
  <c r="BO45" i="4"/>
  <c r="BO44" i="4"/>
  <c r="BO43" i="4"/>
  <c r="BO42" i="4"/>
  <c r="BO41" i="4"/>
  <c r="BO40" i="4"/>
  <c r="BO39" i="4"/>
  <c r="BO37" i="4"/>
  <c r="BO35" i="4"/>
  <c r="BI46" i="4"/>
  <c r="BI45" i="4"/>
  <c r="BI44" i="4"/>
  <c r="BI43" i="4"/>
  <c r="BI42" i="4"/>
  <c r="BI41" i="4"/>
  <c r="BI40" i="4"/>
  <c r="BI39" i="4"/>
  <c r="BI37" i="4"/>
  <c r="BI35" i="4"/>
  <c r="BI11" i="4" s="1"/>
  <c r="BC46" i="4"/>
  <c r="AW46" i="4"/>
  <c r="AQ46" i="4"/>
  <c r="BC44" i="4"/>
  <c r="AW44" i="4"/>
  <c r="AQ44" i="4"/>
  <c r="BN38" i="4"/>
  <c r="BM38" i="4"/>
  <c r="BL38" i="4"/>
  <c r="BK38" i="4"/>
  <c r="BH38" i="4"/>
  <c r="BI38" i="4" s="1"/>
  <c r="BC38" i="4"/>
  <c r="BC37" i="4"/>
  <c r="BC35" i="4"/>
  <c r="AW38" i="4"/>
  <c r="AW37" i="4"/>
  <c r="AW35" i="4"/>
  <c r="AW11" i="4" s="1"/>
  <c r="AW34" i="4"/>
  <c r="AQ38" i="4"/>
  <c r="AQ37" i="4"/>
  <c r="AQ35" i="4"/>
  <c r="AQ11" i="4" s="1"/>
  <c r="EN34" i="4"/>
  <c r="EM34" i="4"/>
  <c r="EL34" i="4"/>
  <c r="EK34" i="4"/>
  <c r="EQ33" i="4" s="1"/>
  <c r="EH34" i="4"/>
  <c r="EH36" i="4" s="1"/>
  <c r="EH51" i="4" s="1"/>
  <c r="EG34" i="4"/>
  <c r="EG36" i="4" s="1"/>
  <c r="EG51" i="4" s="1"/>
  <c r="EF34" i="4"/>
  <c r="EF36" i="4" s="1"/>
  <c r="EF51" i="4" s="1"/>
  <c r="EE34" i="4"/>
  <c r="EE36" i="4" s="1"/>
  <c r="EE51" i="4" s="1"/>
  <c r="EB34" i="4"/>
  <c r="EB36" i="4" s="1"/>
  <c r="EB51" i="4" s="1"/>
  <c r="EA34" i="4"/>
  <c r="EA36" i="4" s="1"/>
  <c r="EA51" i="4" s="1"/>
  <c r="DZ34" i="4"/>
  <c r="DZ36" i="4" s="1"/>
  <c r="DZ51" i="4" s="1"/>
  <c r="DY34" i="4"/>
  <c r="DV34" i="4"/>
  <c r="DV36" i="4" s="1"/>
  <c r="DV51" i="4" s="1"/>
  <c r="DU34" i="4"/>
  <c r="DU36" i="4" s="1"/>
  <c r="DU51" i="4" s="1"/>
  <c r="DT34" i="4"/>
  <c r="DT36" i="4" s="1"/>
  <c r="DT51" i="4" s="1"/>
  <c r="DS34" i="4"/>
  <c r="DS36" i="4" s="1"/>
  <c r="DS51" i="4" s="1"/>
  <c r="DP34" i="4"/>
  <c r="DP36" i="4" s="1"/>
  <c r="DP51" i="4" s="1"/>
  <c r="DO34" i="4"/>
  <c r="DO36" i="4" s="1"/>
  <c r="DO51" i="4" s="1"/>
  <c r="DN34" i="4"/>
  <c r="DN36" i="4" s="1"/>
  <c r="DN51" i="4" s="1"/>
  <c r="DM34" i="4"/>
  <c r="DJ34" i="4"/>
  <c r="DJ36" i="4" s="1"/>
  <c r="DJ51" i="4" s="1"/>
  <c r="DI34" i="4"/>
  <c r="DI36" i="4" s="1"/>
  <c r="DI51" i="4" s="1"/>
  <c r="DH34" i="4"/>
  <c r="DH36" i="4" s="1"/>
  <c r="DH51" i="4" s="1"/>
  <c r="DG34" i="4"/>
  <c r="DG36" i="4" s="1"/>
  <c r="DG51" i="4" s="1"/>
  <c r="DD34" i="4"/>
  <c r="DD36" i="4" s="1"/>
  <c r="DD51" i="4" s="1"/>
  <c r="DC34" i="4"/>
  <c r="DC36" i="4" s="1"/>
  <c r="DC51" i="4" s="1"/>
  <c r="DB34" i="4"/>
  <c r="DB36" i="4" s="1"/>
  <c r="DB51" i="4" s="1"/>
  <c r="DA34" i="4"/>
  <c r="CX34" i="4"/>
  <c r="CX36" i="4" s="1"/>
  <c r="CX51" i="4" s="1"/>
  <c r="CW34" i="4"/>
  <c r="CW36" i="4" s="1"/>
  <c r="CW51" i="4" s="1"/>
  <c r="CV34" i="4"/>
  <c r="CV36" i="4" s="1"/>
  <c r="CV51" i="4" s="1"/>
  <c r="CU34" i="4"/>
  <c r="CU36" i="4" s="1"/>
  <c r="CU51" i="4" s="1"/>
  <c r="CR34" i="4"/>
  <c r="CR36" i="4" s="1"/>
  <c r="CR51" i="4" s="1"/>
  <c r="CQ34" i="4"/>
  <c r="CQ36" i="4" s="1"/>
  <c r="CQ51" i="4" s="1"/>
  <c r="CP34" i="4"/>
  <c r="CP36" i="4" s="1"/>
  <c r="CP51" i="4" s="1"/>
  <c r="CO34" i="4"/>
  <c r="CL34" i="4"/>
  <c r="CL36" i="4" s="1"/>
  <c r="CL51" i="4" s="1"/>
  <c r="CK34" i="4"/>
  <c r="CK36" i="4" s="1"/>
  <c r="CK51" i="4" s="1"/>
  <c r="CJ34" i="4"/>
  <c r="CJ36" i="4" s="1"/>
  <c r="CJ51" i="4" s="1"/>
  <c r="CI34" i="4"/>
  <c r="CI36" i="4" s="1"/>
  <c r="CI51" i="4" s="1"/>
  <c r="CF34" i="4"/>
  <c r="CF36" i="4" s="1"/>
  <c r="CF51" i="4" s="1"/>
  <c r="CE34" i="4"/>
  <c r="CE36" i="4" s="1"/>
  <c r="CD34" i="4"/>
  <c r="CD36" i="4" s="1"/>
  <c r="CC34" i="4"/>
  <c r="CC36" i="4" s="1"/>
  <c r="BZ34" i="4"/>
  <c r="BZ36" i="4" s="1"/>
  <c r="BY34" i="4"/>
  <c r="BY36" i="4" s="1"/>
  <c r="BX34" i="4"/>
  <c r="BX36" i="4" s="1"/>
  <c r="BW34" i="4"/>
  <c r="BT34" i="4"/>
  <c r="BT36" i="4" s="1"/>
  <c r="BT51" i="4" s="1"/>
  <c r="BS34" i="4"/>
  <c r="BS36" i="4" s="1"/>
  <c r="BS51" i="4" s="1"/>
  <c r="BR34" i="4"/>
  <c r="BR36" i="4" s="1"/>
  <c r="BR51" i="4" s="1"/>
  <c r="BQ34" i="4"/>
  <c r="BQ36" i="4" s="1"/>
  <c r="BQ51" i="4" s="1"/>
  <c r="BN34" i="4"/>
  <c r="BN36" i="4" s="1"/>
  <c r="BM34" i="4"/>
  <c r="BM36" i="4" s="1"/>
  <c r="BL34" i="4"/>
  <c r="BL36" i="4" s="1"/>
  <c r="BK34" i="4"/>
  <c r="BH34" i="4"/>
  <c r="BH36" i="4" s="1"/>
  <c r="BG34" i="4"/>
  <c r="BG36" i="4" s="1"/>
  <c r="BG51" i="4" s="1"/>
  <c r="BF34" i="4"/>
  <c r="BF36" i="4" s="1"/>
  <c r="BF51" i="4" s="1"/>
  <c r="BE34" i="4"/>
  <c r="BE36" i="4" s="1"/>
  <c r="BE51" i="4" s="1"/>
  <c r="BB34" i="4"/>
  <c r="BB36" i="4" s="1"/>
  <c r="BB51" i="4" s="1"/>
  <c r="BA34" i="4"/>
  <c r="BA36" i="4" s="1"/>
  <c r="BA51" i="4" s="1"/>
  <c r="AZ34" i="4"/>
  <c r="AZ36" i="4" s="1"/>
  <c r="AZ51" i="4" s="1"/>
  <c r="AY34" i="4"/>
  <c r="AY36" i="4" s="1"/>
  <c r="AY51" i="4" s="1"/>
  <c r="AV34" i="4"/>
  <c r="AV36" i="4" s="1"/>
  <c r="AV51" i="4" s="1"/>
  <c r="AU34" i="4"/>
  <c r="AU36" i="4" s="1"/>
  <c r="AU51" i="4" s="1"/>
  <c r="AT34" i="4"/>
  <c r="AT36" i="4" s="1"/>
  <c r="AT51" i="4" s="1"/>
  <c r="AS34" i="4"/>
  <c r="AS36" i="4" s="1"/>
  <c r="AS51" i="4" s="1"/>
  <c r="AP34" i="4"/>
  <c r="AP36" i="4" s="1"/>
  <c r="AP51" i="4" s="1"/>
  <c r="AO34" i="4"/>
  <c r="AO36" i="4" s="1"/>
  <c r="AO51" i="4" s="1"/>
  <c r="AN34" i="4"/>
  <c r="AN36" i="4" s="1"/>
  <c r="AN51" i="4" s="1"/>
  <c r="AM34" i="4"/>
  <c r="AM36" i="4" s="1"/>
  <c r="AM51" i="4" s="1"/>
  <c r="AJ34" i="4"/>
  <c r="AJ36" i="4" s="1"/>
  <c r="AJ51" i="4" s="1"/>
  <c r="AI34" i="4"/>
  <c r="AI36" i="4" s="1"/>
  <c r="AI51" i="4" s="1"/>
  <c r="AH34" i="4"/>
  <c r="AH36" i="4" s="1"/>
  <c r="AH51" i="4" s="1"/>
  <c r="AG34" i="4"/>
  <c r="AG36" i="4" s="1"/>
  <c r="AG51" i="4" s="1"/>
  <c r="AD34" i="4"/>
  <c r="AD36" i="4" s="1"/>
  <c r="AD51" i="4" s="1"/>
  <c r="AC34" i="4"/>
  <c r="AC36" i="4" s="1"/>
  <c r="AC51" i="4" s="1"/>
  <c r="AB34" i="4"/>
  <c r="AB36" i="4" s="1"/>
  <c r="AB51" i="4" s="1"/>
  <c r="AA34" i="4"/>
  <c r="AA36" i="4" s="1"/>
  <c r="AA51" i="4" s="1"/>
  <c r="X34" i="4"/>
  <c r="X36" i="4" s="1"/>
  <c r="X51" i="4" s="1"/>
  <c r="W34" i="4"/>
  <c r="W36" i="4" s="1"/>
  <c r="W51" i="4" s="1"/>
  <c r="V34" i="4"/>
  <c r="V36" i="4" s="1"/>
  <c r="V51" i="4" s="1"/>
  <c r="U34" i="4"/>
  <c r="U36" i="4" s="1"/>
  <c r="U51" i="4" s="1"/>
  <c r="R34" i="4"/>
  <c r="R36" i="4" s="1"/>
  <c r="R51" i="4" s="1"/>
  <c r="R52" i="4" s="1"/>
  <c r="Q34" i="4"/>
  <c r="Q36" i="4" s="1"/>
  <c r="Q51" i="4" s="1"/>
  <c r="Q52" i="4" s="1"/>
  <c r="P34" i="4"/>
  <c r="P36" i="4" s="1"/>
  <c r="P51" i="4" s="1"/>
  <c r="P52" i="4" s="1"/>
  <c r="O34" i="4"/>
  <c r="O36" i="4" s="1"/>
  <c r="O51" i="4" s="1"/>
  <c r="O52" i="4" s="1"/>
  <c r="CG25" i="4"/>
  <c r="CG24" i="4"/>
  <c r="CG22" i="4"/>
  <c r="CG21" i="4"/>
  <c r="CG20" i="4"/>
  <c r="CG19" i="4"/>
  <c r="CG18" i="4"/>
  <c r="CG17" i="4"/>
  <c r="CG16" i="4"/>
  <c r="CG15" i="4"/>
  <c r="CG14" i="4"/>
  <c r="CG13" i="4"/>
  <c r="CA25" i="4"/>
  <c r="CA24" i="4"/>
  <c r="CA23" i="4"/>
  <c r="CA22" i="4"/>
  <c r="CA21" i="4"/>
  <c r="CA20" i="4"/>
  <c r="CA19" i="4"/>
  <c r="CA18" i="4"/>
  <c r="CA17" i="4"/>
  <c r="CA16" i="4"/>
  <c r="CA15" i="4"/>
  <c r="CA14" i="4"/>
  <c r="CA13" i="4"/>
  <c r="EO24" i="4"/>
  <c r="EO23" i="4"/>
  <c r="EO22" i="4"/>
  <c r="EO21" i="4"/>
  <c r="EO20" i="4"/>
  <c r="EO19" i="4"/>
  <c r="EO18" i="4"/>
  <c r="EO17" i="4"/>
  <c r="EO16" i="4"/>
  <c r="EO15" i="4"/>
  <c r="EO14" i="4"/>
  <c r="EO13" i="4"/>
  <c r="EO11" i="4"/>
  <c r="EI24" i="4"/>
  <c r="EI23" i="4"/>
  <c r="EI22" i="4"/>
  <c r="EI21" i="4"/>
  <c r="EI20" i="4"/>
  <c r="EI19" i="4"/>
  <c r="EI18" i="4"/>
  <c r="EI17" i="4"/>
  <c r="EI16" i="4"/>
  <c r="EI15" i="4"/>
  <c r="EI14" i="4"/>
  <c r="EI13" i="4"/>
  <c r="EC24" i="4"/>
  <c r="EC23" i="4"/>
  <c r="EC22" i="4"/>
  <c r="EC21" i="4"/>
  <c r="EC20" i="4"/>
  <c r="EC19" i="4"/>
  <c r="EC18" i="4"/>
  <c r="EC17" i="4"/>
  <c r="EC16" i="4"/>
  <c r="EC15" i="4"/>
  <c r="EC14" i="4"/>
  <c r="EC13" i="4"/>
  <c r="DW24" i="4"/>
  <c r="DW23" i="4"/>
  <c r="DW22" i="4"/>
  <c r="DW21" i="4"/>
  <c r="DW20" i="4"/>
  <c r="DW19" i="4"/>
  <c r="DW18" i="4"/>
  <c r="DW17" i="4"/>
  <c r="DW16" i="4"/>
  <c r="DW15" i="4"/>
  <c r="DW14" i="4"/>
  <c r="DW13" i="4"/>
  <c r="DQ24" i="4"/>
  <c r="DQ23" i="4"/>
  <c r="DQ22" i="4"/>
  <c r="DQ21" i="4"/>
  <c r="DQ20" i="4"/>
  <c r="DQ19" i="4"/>
  <c r="DQ18" i="4"/>
  <c r="DQ17" i="4"/>
  <c r="DQ16" i="4"/>
  <c r="DQ15" i="4"/>
  <c r="DQ14" i="4"/>
  <c r="DQ13" i="4"/>
  <c r="DK24" i="4"/>
  <c r="DK23" i="4"/>
  <c r="DK22" i="4"/>
  <c r="DK21" i="4"/>
  <c r="DK20" i="4"/>
  <c r="DK19" i="4"/>
  <c r="DK18" i="4"/>
  <c r="DK17" i="4"/>
  <c r="DK16" i="4"/>
  <c r="DK15" i="4"/>
  <c r="DK14" i="4"/>
  <c r="DK13" i="4"/>
  <c r="DE24" i="4"/>
  <c r="DE23" i="4"/>
  <c r="DE22" i="4"/>
  <c r="DE21" i="4"/>
  <c r="DE20" i="4"/>
  <c r="DE19" i="4"/>
  <c r="DE18" i="4"/>
  <c r="DE17" i="4"/>
  <c r="DE16" i="4"/>
  <c r="DE15" i="4"/>
  <c r="DE14" i="4"/>
  <c r="DE13" i="4"/>
  <c r="CY24" i="4"/>
  <c r="CY23" i="4"/>
  <c r="CY22" i="4"/>
  <c r="CY21" i="4"/>
  <c r="CY20" i="4"/>
  <c r="CY19" i="4"/>
  <c r="CY18" i="4"/>
  <c r="CY17" i="4"/>
  <c r="CY16" i="4"/>
  <c r="CY15" i="4"/>
  <c r="CY14" i="4"/>
  <c r="CY13" i="4"/>
  <c r="CS24" i="4"/>
  <c r="CS23" i="4"/>
  <c r="CS22" i="4"/>
  <c r="CS21" i="4"/>
  <c r="CS20" i="4"/>
  <c r="CS19" i="4"/>
  <c r="CS18" i="4"/>
  <c r="CS17" i="4"/>
  <c r="CS16" i="4"/>
  <c r="CS15" i="4"/>
  <c r="CS14" i="4"/>
  <c r="CS13" i="4"/>
  <c r="CM24" i="4"/>
  <c r="CM23" i="4"/>
  <c r="CM22" i="4"/>
  <c r="CM21" i="4"/>
  <c r="CM20" i="4"/>
  <c r="CM19" i="4"/>
  <c r="CM18" i="4"/>
  <c r="CM17" i="4"/>
  <c r="CM16" i="4"/>
  <c r="CM15" i="4"/>
  <c r="CM14" i="4"/>
  <c r="CM13" i="4"/>
  <c r="CD23" i="4"/>
  <c r="CD47" i="4" s="1"/>
  <c r="BU22" i="4"/>
  <c r="BU21" i="4"/>
  <c r="BU20" i="4"/>
  <c r="BU19" i="4"/>
  <c r="BU18" i="4"/>
  <c r="BU17" i="4"/>
  <c r="BU16" i="4"/>
  <c r="BU15" i="4"/>
  <c r="BU14" i="4"/>
  <c r="BU13" i="4"/>
  <c r="BO22" i="4"/>
  <c r="BO21" i="4"/>
  <c r="BO20" i="4"/>
  <c r="BO19" i="4"/>
  <c r="BO18" i="4"/>
  <c r="BO17" i="4"/>
  <c r="BO16" i="4"/>
  <c r="BO15" i="4"/>
  <c r="BO14" i="4"/>
  <c r="BO13" i="4"/>
  <c r="BO11" i="4"/>
  <c r="BI22" i="4"/>
  <c r="BI21" i="4"/>
  <c r="BI20" i="4"/>
  <c r="BI19" i="4"/>
  <c r="BI18" i="4"/>
  <c r="BI17" i="4"/>
  <c r="BI16" i="4"/>
  <c r="BI15" i="4"/>
  <c r="BI14" i="4"/>
  <c r="BI13" i="4"/>
  <c r="BC22" i="4"/>
  <c r="AW22" i="4"/>
  <c r="AQ22" i="4"/>
  <c r="BC20" i="4"/>
  <c r="AW20" i="4"/>
  <c r="AQ20" i="4"/>
  <c r="BC14" i="4"/>
  <c r="BC13" i="4"/>
  <c r="AW14" i="4"/>
  <c r="AW13" i="4"/>
  <c r="AQ14" i="4"/>
  <c r="AQ13" i="4"/>
  <c r="EN11" i="4"/>
  <c r="EM11" i="4"/>
  <c r="EL11" i="4"/>
  <c r="EK11" i="4"/>
  <c r="EN10" i="4"/>
  <c r="EM10" i="4"/>
  <c r="EH11" i="4"/>
  <c r="EG11" i="4"/>
  <c r="EF11" i="4"/>
  <c r="EE11" i="4"/>
  <c r="EE10" i="4"/>
  <c r="EB11" i="4"/>
  <c r="EA11" i="4"/>
  <c r="DZ11" i="4"/>
  <c r="DY11" i="4"/>
  <c r="DV11" i="4"/>
  <c r="DU11" i="4"/>
  <c r="DT11" i="4"/>
  <c r="DS11" i="4"/>
  <c r="DP11" i="4"/>
  <c r="DO11" i="4"/>
  <c r="DN11" i="4"/>
  <c r="DM11" i="4"/>
  <c r="DJ11" i="4"/>
  <c r="DI11" i="4"/>
  <c r="DH11" i="4"/>
  <c r="DG11" i="4"/>
  <c r="DG10" i="4"/>
  <c r="DD11" i="4"/>
  <c r="DC11" i="4"/>
  <c r="DB11" i="4"/>
  <c r="DA11" i="4"/>
  <c r="CX11" i="4"/>
  <c r="CW11" i="4"/>
  <c r="CV11" i="4"/>
  <c r="CU11" i="4"/>
  <c r="CR11" i="4"/>
  <c r="CQ11" i="4"/>
  <c r="CP11" i="4"/>
  <c r="CO11" i="4"/>
  <c r="CL11" i="4"/>
  <c r="CK11" i="4"/>
  <c r="CJ11" i="4"/>
  <c r="CI11" i="4"/>
  <c r="CF11" i="4"/>
  <c r="CE11" i="4"/>
  <c r="CD11" i="4"/>
  <c r="CC11" i="4"/>
  <c r="CF10" i="4"/>
  <c r="BZ11" i="4"/>
  <c r="BY11" i="4"/>
  <c r="BX11" i="4"/>
  <c r="BW11" i="4"/>
  <c r="BT11" i="4"/>
  <c r="BS11" i="4"/>
  <c r="BR11" i="4"/>
  <c r="BQ11" i="4"/>
  <c r="BN11" i="4"/>
  <c r="BM11" i="4"/>
  <c r="BL11" i="4"/>
  <c r="BK11" i="4"/>
  <c r="BH11" i="4"/>
  <c r="BG11" i="4"/>
  <c r="BF11" i="4"/>
  <c r="BE11" i="4"/>
  <c r="BB11" i="4"/>
  <c r="BA11" i="4"/>
  <c r="AZ11" i="4"/>
  <c r="AY11" i="4"/>
  <c r="AV11" i="4"/>
  <c r="AU11" i="4"/>
  <c r="AT11" i="4"/>
  <c r="AS11" i="4"/>
  <c r="AV10" i="4"/>
  <c r="AP11" i="4"/>
  <c r="AO11" i="4"/>
  <c r="AN11" i="4"/>
  <c r="AM11" i="4"/>
  <c r="AJ11" i="4"/>
  <c r="AI11" i="4"/>
  <c r="AH11" i="4"/>
  <c r="AG11" i="4"/>
  <c r="AI10" i="4"/>
  <c r="AD11" i="4"/>
  <c r="AC11" i="4"/>
  <c r="AB11" i="4"/>
  <c r="AA11" i="4"/>
  <c r="AD10" i="4"/>
  <c r="AC10" i="4"/>
  <c r="AB10" i="4"/>
  <c r="AA10" i="4"/>
  <c r="X11" i="4"/>
  <c r="W11" i="4"/>
  <c r="V11" i="4"/>
  <c r="U11" i="4"/>
  <c r="X10" i="4"/>
  <c r="AD9" i="4" s="1"/>
  <c r="W10" i="4"/>
  <c r="AC9" i="4" s="1"/>
  <c r="V10" i="4"/>
  <c r="AB9" i="4" s="1"/>
  <c r="U10" i="4"/>
  <c r="R11" i="4"/>
  <c r="Q11" i="4"/>
  <c r="P11" i="4"/>
  <c r="O11" i="4"/>
  <c r="R10" i="4"/>
  <c r="X9" i="4" s="1"/>
  <c r="Q10" i="4"/>
  <c r="W9" i="4" s="1"/>
  <c r="P10" i="4"/>
  <c r="V9" i="4" s="1"/>
  <c r="O10" i="4"/>
  <c r="O12" i="4" s="1"/>
  <c r="O27" i="4" s="1"/>
  <c r="O29" i="4" s="1"/>
  <c r="EO6" i="4"/>
  <c r="EO271" i="4" s="1"/>
  <c r="EN6" i="4"/>
  <c r="EN271" i="4" s="1"/>
  <c r="EM6" i="4"/>
  <c r="EM271" i="4" s="1"/>
  <c r="EL6" i="4"/>
  <c r="EL271" i="4" s="1"/>
  <c r="EK6" i="4"/>
  <c r="EK271" i="4" s="1"/>
  <c r="EI6" i="4"/>
  <c r="EI271" i="4" s="1"/>
  <c r="EH6" i="4"/>
  <c r="EH271" i="4" s="1"/>
  <c r="EG6" i="4"/>
  <c r="EG271" i="4" s="1"/>
  <c r="EF6" i="4"/>
  <c r="EF271" i="4" s="1"/>
  <c r="EE6" i="4"/>
  <c r="EE271" i="4" s="1"/>
  <c r="EC6" i="4"/>
  <c r="EC271" i="4" s="1"/>
  <c r="EB6" i="4"/>
  <c r="EB271" i="4" s="1"/>
  <c r="EA6" i="4"/>
  <c r="EA271" i="4" s="1"/>
  <c r="DZ6" i="4"/>
  <c r="DZ271" i="4" s="1"/>
  <c r="DY6" i="4"/>
  <c r="DY271" i="4" s="1"/>
  <c r="DW6" i="4"/>
  <c r="DW271" i="4" s="1"/>
  <c r="DV6" i="4"/>
  <c r="DV271" i="4" s="1"/>
  <c r="DU6" i="4"/>
  <c r="DU271" i="4" s="1"/>
  <c r="DT6" i="4"/>
  <c r="DT271" i="4" s="1"/>
  <c r="DS6" i="4"/>
  <c r="DS271" i="4" s="1"/>
  <c r="DQ6" i="4"/>
  <c r="DQ271" i="4" s="1"/>
  <c r="DP6" i="4"/>
  <c r="DP271" i="4" s="1"/>
  <c r="DO6" i="4"/>
  <c r="DO271" i="4" s="1"/>
  <c r="DN6" i="4"/>
  <c r="DN271" i="4" s="1"/>
  <c r="DM6" i="4"/>
  <c r="DM271" i="4" s="1"/>
  <c r="DK6" i="4"/>
  <c r="DK271" i="4" s="1"/>
  <c r="DJ6" i="4"/>
  <c r="DJ271" i="4" s="1"/>
  <c r="DI6" i="4"/>
  <c r="DI271" i="4" s="1"/>
  <c r="DH6" i="4"/>
  <c r="DH271" i="4" s="1"/>
  <c r="DG6" i="4"/>
  <c r="DG271" i="4" s="1"/>
  <c r="DE6" i="4"/>
  <c r="DE271" i="4" s="1"/>
  <c r="DD6" i="4"/>
  <c r="DD271" i="4" s="1"/>
  <c r="DC6" i="4"/>
  <c r="DC271" i="4" s="1"/>
  <c r="DB6" i="4"/>
  <c r="DB271" i="4" s="1"/>
  <c r="DA6" i="4"/>
  <c r="DA271" i="4" s="1"/>
  <c r="CY6" i="4"/>
  <c r="CX6" i="4"/>
  <c r="CW6" i="4"/>
  <c r="CV6" i="4"/>
  <c r="CU6" i="4"/>
  <c r="CS6" i="4"/>
  <c r="CR6" i="4"/>
  <c r="CQ6" i="4"/>
  <c r="CP6" i="4"/>
  <c r="CO6" i="4"/>
  <c r="CM6" i="4"/>
  <c r="CL6" i="4"/>
  <c r="CK6" i="4"/>
  <c r="CJ6" i="4"/>
  <c r="CI6" i="4"/>
  <c r="CG6" i="4"/>
  <c r="CF6" i="4"/>
  <c r="CE6" i="4"/>
  <c r="CD6" i="4"/>
  <c r="CC6" i="4"/>
  <c r="CA6" i="4"/>
  <c r="BZ6" i="4"/>
  <c r="BY6" i="4"/>
  <c r="BX6" i="4"/>
  <c r="BW6" i="4"/>
  <c r="BU6" i="4"/>
  <c r="BT6" i="4"/>
  <c r="BS6" i="4"/>
  <c r="BR6" i="4"/>
  <c r="BQ6" i="4"/>
  <c r="BO6" i="4"/>
  <c r="BN6" i="4"/>
  <c r="BM6" i="4"/>
  <c r="BL6" i="4"/>
  <c r="BK6" i="4"/>
  <c r="BI6" i="4"/>
  <c r="BH6" i="4"/>
  <c r="BG6" i="4"/>
  <c r="BF6" i="4"/>
  <c r="BE6" i="4"/>
  <c r="BE5" i="4"/>
  <c r="BC6" i="4"/>
  <c r="BB6" i="4"/>
  <c r="BA6" i="4"/>
  <c r="AZ6" i="4"/>
  <c r="AY6" i="4"/>
  <c r="AY5" i="4"/>
  <c r="AW6" i="4"/>
  <c r="AV6" i="4"/>
  <c r="AU6" i="4"/>
  <c r="AT6" i="4"/>
  <c r="AS6" i="4"/>
  <c r="AQ6" i="4"/>
  <c r="AP6" i="4"/>
  <c r="AO6" i="4"/>
  <c r="AN6" i="4"/>
  <c r="AM6" i="4"/>
  <c r="AK6" i="4"/>
  <c r="AJ6" i="4"/>
  <c r="AI6" i="4"/>
  <c r="AH6" i="4"/>
  <c r="AG6" i="4"/>
  <c r="AE6" i="4"/>
  <c r="AD6" i="4"/>
  <c r="AC6" i="4"/>
  <c r="AB6" i="4"/>
  <c r="AA6" i="4"/>
  <c r="Y6" i="4"/>
  <c r="X6" i="4"/>
  <c r="W6" i="4"/>
  <c r="V6" i="4"/>
  <c r="U6" i="4"/>
  <c r="S6" i="4"/>
  <c r="R6" i="4"/>
  <c r="Q6" i="4"/>
  <c r="P6" i="4"/>
  <c r="O6" i="4"/>
  <c r="M6" i="4"/>
  <c r="L6" i="4"/>
  <c r="K6" i="4"/>
  <c r="J6" i="4"/>
  <c r="I6" i="4"/>
  <c r="G6" i="4"/>
  <c r="F6" i="4"/>
  <c r="E6" i="4"/>
  <c r="D6" i="4"/>
  <c r="C6" i="4"/>
  <c r="EK5" i="4"/>
  <c r="EK270" i="4" s="1"/>
  <c r="EE5" i="4"/>
  <c r="EE270" i="4" s="1"/>
  <c r="DY5" i="4"/>
  <c r="DY270" i="4" s="1"/>
  <c r="DS5" i="4"/>
  <c r="DS270" i="4" s="1"/>
  <c r="DM5" i="4"/>
  <c r="DM270" i="4" s="1"/>
  <c r="DG5" i="4"/>
  <c r="DG270" i="4" s="1"/>
  <c r="DA5" i="4"/>
  <c r="DA270" i="4" s="1"/>
  <c r="CU5" i="4"/>
  <c r="CO5" i="4"/>
  <c r="CI5" i="4"/>
  <c r="CC5" i="4"/>
  <c r="BW5" i="4"/>
  <c r="BQ5" i="4"/>
  <c r="BK5" i="4"/>
  <c r="AS5" i="4"/>
  <c r="AM5" i="4"/>
  <c r="AG5" i="4"/>
  <c r="AA5" i="4"/>
  <c r="U5" i="4"/>
  <c r="O5" i="4"/>
  <c r="I5" i="4"/>
  <c r="C5" i="4"/>
  <c r="A1" i="4"/>
  <c r="Q372" i="484"/>
  <c r="Q401" i="484" s="1"/>
  <c r="P372" i="484"/>
  <c r="P401" i="484" s="1"/>
  <c r="O372" i="484"/>
  <c r="O401" i="484" s="1"/>
  <c r="N372" i="484"/>
  <c r="N401" i="484" s="1"/>
  <c r="M372" i="484"/>
  <c r="M401" i="484" s="1"/>
  <c r="L372" i="484"/>
  <c r="L401" i="484" s="1"/>
  <c r="K372" i="484"/>
  <c r="K401" i="484" s="1"/>
  <c r="J372" i="484"/>
  <c r="J401" i="484" s="1"/>
  <c r="O328" i="484"/>
  <c r="K328" i="484"/>
  <c r="L327" i="484"/>
  <c r="P328" i="484"/>
  <c r="O326" i="484"/>
  <c r="K326" i="484"/>
  <c r="L318" i="484"/>
  <c r="K318" i="484"/>
  <c r="J318" i="484"/>
  <c r="I318" i="484"/>
  <c r="M316" i="484"/>
  <c r="L316" i="484"/>
  <c r="K316" i="484"/>
  <c r="J316" i="484"/>
  <c r="I316" i="484"/>
  <c r="K313" i="484"/>
  <c r="J313" i="484"/>
  <c r="I313" i="484"/>
  <c r="H313" i="484"/>
  <c r="K311" i="484"/>
  <c r="J311" i="484"/>
  <c r="I311" i="484"/>
  <c r="H311" i="484"/>
  <c r="Q308" i="484"/>
  <c r="P308" i="484"/>
  <c r="O308" i="484"/>
  <c r="N308" i="484"/>
  <c r="M308" i="484"/>
  <c r="L308" i="484"/>
  <c r="K308" i="484"/>
  <c r="J308" i="484"/>
  <c r="I308" i="484"/>
  <c r="H308" i="484"/>
  <c r="Q306" i="484"/>
  <c r="P306" i="484"/>
  <c r="O306" i="484"/>
  <c r="N306" i="484"/>
  <c r="M306" i="484"/>
  <c r="L306" i="484"/>
  <c r="K306" i="484"/>
  <c r="J306" i="484"/>
  <c r="I306" i="484"/>
  <c r="H306" i="484"/>
  <c r="I291" i="484"/>
  <c r="H291" i="484"/>
  <c r="K290" i="484"/>
  <c r="J290" i="484"/>
  <c r="J291" i="484" s="1"/>
  <c r="P281" i="484"/>
  <c r="O281" i="484"/>
  <c r="L281" i="484"/>
  <c r="N280" i="484"/>
  <c r="M279" i="484"/>
  <c r="N279" i="484" s="1"/>
  <c r="L279" i="484"/>
  <c r="I274" i="484"/>
  <c r="K273" i="484"/>
  <c r="J273" i="484"/>
  <c r="J274" i="484" s="1"/>
  <c r="G263" i="484"/>
  <c r="G261" i="484"/>
  <c r="I264" i="484"/>
  <c r="H264" i="484"/>
  <c r="H261" i="484"/>
  <c r="F261" i="484"/>
  <c r="E261" i="484"/>
  <c r="M266" i="484"/>
  <c r="K260" i="484"/>
  <c r="J260" i="484"/>
  <c r="G247" i="484"/>
  <c r="G251" i="484" s="1"/>
  <c r="Q246" i="484"/>
  <c r="Q352" i="484" s="1"/>
  <c r="P246" i="484"/>
  <c r="P352" i="484" s="1"/>
  <c r="I237" i="484"/>
  <c r="H237" i="484"/>
  <c r="G237" i="484"/>
  <c r="Q233" i="484"/>
  <c r="P233" i="484"/>
  <c r="O233" i="484"/>
  <c r="N233" i="484"/>
  <c r="M233" i="484"/>
  <c r="L233" i="484"/>
  <c r="K233" i="484"/>
  <c r="J233" i="484"/>
  <c r="I233" i="484"/>
  <c r="G230" i="484"/>
  <c r="G220" i="484"/>
  <c r="H219" i="484"/>
  <c r="H218" i="484" s="1"/>
  <c r="H206" i="484"/>
  <c r="G207" i="484"/>
  <c r="G242" i="484" s="1"/>
  <c r="G243" i="484" s="1"/>
  <c r="G206" i="484"/>
  <c r="I215" i="484"/>
  <c r="Q206" i="484"/>
  <c r="P206" i="484"/>
  <c r="O206" i="484"/>
  <c r="N206" i="484"/>
  <c r="M206" i="484"/>
  <c r="L206" i="484"/>
  <c r="K206" i="484"/>
  <c r="J206" i="484"/>
  <c r="I206" i="484"/>
  <c r="I193" i="484"/>
  <c r="K192" i="484"/>
  <c r="K237" i="484" s="1"/>
  <c r="J192" i="484"/>
  <c r="J237" i="484" s="1"/>
  <c r="I189" i="484"/>
  <c r="I188" i="484" s="1"/>
  <c r="H188" i="484"/>
  <c r="Q188" i="484"/>
  <c r="P188" i="484"/>
  <c r="O188" i="484"/>
  <c r="N188" i="484"/>
  <c r="M188" i="484"/>
  <c r="L188" i="484"/>
  <c r="K188" i="484"/>
  <c r="J188" i="484"/>
  <c r="H182" i="484"/>
  <c r="H181" i="484"/>
  <c r="H180" i="484"/>
  <c r="H179" i="484" s="1"/>
  <c r="G174" i="484"/>
  <c r="G172" i="484"/>
  <c r="G195" i="484" s="1"/>
  <c r="G262" i="484" s="1"/>
  <c r="H144" i="484"/>
  <c r="H143" i="484"/>
  <c r="H142" i="484"/>
  <c r="H133" i="484"/>
  <c r="H132" i="484"/>
  <c r="I123" i="484"/>
  <c r="I133" i="484" s="1"/>
  <c r="I121" i="484"/>
  <c r="J121" i="484" s="1"/>
  <c r="K121" i="484" s="1"/>
  <c r="Q120" i="484"/>
  <c r="P120" i="484"/>
  <c r="Q118" i="484"/>
  <c r="P118" i="484"/>
  <c r="Q116" i="484"/>
  <c r="P116" i="484"/>
  <c r="I111" i="484"/>
  <c r="J111" i="484" s="1"/>
  <c r="I109" i="484"/>
  <c r="J109" i="484" s="1"/>
  <c r="K109" i="484" s="1"/>
  <c r="I107" i="484"/>
  <c r="J107" i="484" s="1"/>
  <c r="K107" i="484" s="1"/>
  <c r="I105" i="484"/>
  <c r="J105" i="484" s="1"/>
  <c r="K105" i="484" s="1"/>
  <c r="L105" i="484" s="1"/>
  <c r="I103" i="484"/>
  <c r="J103" i="484" s="1"/>
  <c r="K103" i="484" s="1"/>
  <c r="I101" i="484"/>
  <c r="J101" i="484" s="1"/>
  <c r="I99" i="484"/>
  <c r="J99" i="484" s="1"/>
  <c r="K99" i="484" s="1"/>
  <c r="L96" i="484"/>
  <c r="K96" i="484"/>
  <c r="M94" i="484"/>
  <c r="N94" i="484" s="1"/>
  <c r="N96" i="484" s="1"/>
  <c r="O92" i="484"/>
  <c r="P92" i="484" s="1"/>
  <c r="M89" i="484"/>
  <c r="Q69" i="484"/>
  <c r="P69" i="484"/>
  <c r="O69" i="484"/>
  <c r="N69" i="484"/>
  <c r="J69" i="484"/>
  <c r="Q68" i="484"/>
  <c r="P68" i="484"/>
  <c r="O68" i="484"/>
  <c r="N68" i="484"/>
  <c r="P67" i="484"/>
  <c r="O67" i="484"/>
  <c r="N67" i="484"/>
  <c r="M66" i="484"/>
  <c r="M68" i="484" s="1"/>
  <c r="L66" i="484"/>
  <c r="L68" i="484" s="1"/>
  <c r="K66" i="484"/>
  <c r="K68" i="484" s="1"/>
  <c r="J66" i="484"/>
  <c r="J65" i="484" s="1"/>
  <c r="I66" i="484"/>
  <c r="I79" i="484" s="1"/>
  <c r="H66" i="484"/>
  <c r="H68" i="484" s="1"/>
  <c r="H69" i="484" s="1"/>
  <c r="H82" i="484" s="1"/>
  <c r="Q62" i="484"/>
  <c r="Q63" i="484" s="1"/>
  <c r="P62" i="484"/>
  <c r="P63" i="484" s="1"/>
  <c r="O62" i="484"/>
  <c r="O63" i="484" s="1"/>
  <c r="N62" i="484"/>
  <c r="M62" i="484"/>
  <c r="M63" i="484" s="1"/>
  <c r="L62" i="484"/>
  <c r="L63" i="484" s="1"/>
  <c r="K62" i="484"/>
  <c r="K63" i="484" s="1"/>
  <c r="J62" i="484"/>
  <c r="J63" i="484" s="1"/>
  <c r="I62" i="484"/>
  <c r="I61" i="484" s="1"/>
  <c r="H62" i="484"/>
  <c r="H75" i="484" s="1"/>
  <c r="P60" i="484"/>
  <c r="Q60" i="484" s="1"/>
  <c r="R60" i="484" s="1"/>
  <c r="N56" i="484"/>
  <c r="M56" i="484"/>
  <c r="L56" i="484"/>
  <c r="K56" i="484"/>
  <c r="J56" i="484"/>
  <c r="I56" i="484"/>
  <c r="H56" i="484"/>
  <c r="H57" i="484" s="1"/>
  <c r="H224" i="484" s="1"/>
  <c r="H55" i="484"/>
  <c r="O54" i="484"/>
  <c r="P54" i="484" s="1"/>
  <c r="Q54" i="484" s="1"/>
  <c r="R54" i="484" s="1"/>
  <c r="Q53" i="484"/>
  <c r="P53" i="484"/>
  <c r="O53" i="484"/>
  <c r="N53" i="484"/>
  <c r="M53" i="484"/>
  <c r="L53" i="484"/>
  <c r="K53" i="484"/>
  <c r="J53" i="484"/>
  <c r="I53" i="484"/>
  <c r="H53" i="484"/>
  <c r="H52" i="484" s="1"/>
  <c r="H50" i="484"/>
  <c r="H48" i="484"/>
  <c r="O46" i="484"/>
  <c r="K45" i="484"/>
  <c r="J45" i="484"/>
  <c r="I45" i="484"/>
  <c r="H45" i="484"/>
  <c r="H35" i="484"/>
  <c r="H172" i="484" s="1"/>
  <c r="H204" i="484" s="1"/>
  <c r="H32" i="484"/>
  <c r="Q31" i="484"/>
  <c r="Q347" i="484" s="1"/>
  <c r="P31" i="484"/>
  <c r="P347" i="484" s="1"/>
  <c r="O31" i="484"/>
  <c r="O347" i="484" s="1"/>
  <c r="N31" i="484"/>
  <c r="N347" i="484" s="1"/>
  <c r="M31" i="484"/>
  <c r="M347" i="484" s="1"/>
  <c r="L31" i="484"/>
  <c r="L347" i="484" s="1"/>
  <c r="K31" i="484"/>
  <c r="K347" i="484" s="1"/>
  <c r="J31" i="484"/>
  <c r="J347" i="484" s="1"/>
  <c r="I31" i="484"/>
  <c r="I30" i="484" s="1"/>
  <c r="I16" i="484"/>
  <c r="J16" i="484" s="1"/>
  <c r="I15" i="484"/>
  <c r="J15" i="484" s="1"/>
  <c r="I14" i="484"/>
  <c r="H10" i="484"/>
  <c r="G6" i="484"/>
  <c r="G4" i="484" s="1"/>
  <c r="BS225" i="2"/>
  <c r="CM190" i="1"/>
  <c r="DV75" i="4" l="1"/>
  <c r="EB91" i="4"/>
  <c r="ET147" i="2"/>
  <c r="ET140" i="2" s="1"/>
  <c r="ES140" i="2"/>
  <c r="ER150" i="2"/>
  <c r="EQ148" i="2"/>
  <c r="ER156" i="1"/>
  <c r="EQ153" i="1"/>
  <c r="DK58" i="3"/>
  <c r="DQ131" i="3"/>
  <c r="EN76" i="1"/>
  <c r="EN325" i="1" s="1"/>
  <c r="EQ69" i="1"/>
  <c r="ET68" i="1"/>
  <c r="EO40" i="2"/>
  <c r="EM95" i="1"/>
  <c r="EO22" i="2"/>
  <c r="EO46" i="2"/>
  <c r="EO38" i="2"/>
  <c r="EO18" i="2"/>
  <c r="EN95" i="1"/>
  <c r="EO10" i="2"/>
  <c r="EO21" i="2"/>
  <c r="EO39" i="2"/>
  <c r="EK95" i="1"/>
  <c r="EO41" i="2"/>
  <c r="EO131" i="3"/>
  <c r="CR31" i="3"/>
  <c r="EQ56" i="3"/>
  <c r="DQ109" i="3"/>
  <c r="BO137" i="2"/>
  <c r="DA105" i="3"/>
  <c r="DA113" i="3" s="1"/>
  <c r="DA139" i="3" s="1"/>
  <c r="CI105" i="3"/>
  <c r="CI113" i="3" s="1"/>
  <c r="CI145" i="3" s="1"/>
  <c r="BW105" i="3"/>
  <c r="BW113" i="3" s="1"/>
  <c r="BW145" i="3" s="1"/>
  <c r="DQ111" i="3"/>
  <c r="BO171" i="2"/>
  <c r="BC137" i="2"/>
  <c r="BI137" i="2"/>
  <c r="DH109" i="3"/>
  <c r="DI34" i="3"/>
  <c r="DH110" i="3"/>
  <c r="DI35" i="3"/>
  <c r="DI33" i="3"/>
  <c r="DH37" i="3"/>
  <c r="DH112" i="3" s="1"/>
  <c r="DH108" i="3"/>
  <c r="CE106" i="3"/>
  <c r="CF31" i="3"/>
  <c r="DB110" i="3"/>
  <c r="DC35" i="3"/>
  <c r="DB37" i="3"/>
  <c r="DB112" i="3" s="1"/>
  <c r="CJ108" i="3"/>
  <c r="CJ37" i="3"/>
  <c r="CJ112" i="3" s="1"/>
  <c r="CK33" i="3"/>
  <c r="CV110" i="3"/>
  <c r="CW35" i="3"/>
  <c r="CV108" i="3"/>
  <c r="CV37" i="3"/>
  <c r="CV112" i="3" s="1"/>
  <c r="CW33" i="3"/>
  <c r="DN108" i="3"/>
  <c r="DO108" i="3"/>
  <c r="CV109" i="3"/>
  <c r="CW34" i="3"/>
  <c r="DG105" i="3"/>
  <c r="DG113" i="3" s="1"/>
  <c r="CO105" i="3"/>
  <c r="CO113" i="3" s="1"/>
  <c r="CL32" i="3"/>
  <c r="CK107" i="3"/>
  <c r="CP111" i="3"/>
  <c r="CQ36" i="3"/>
  <c r="CP37" i="3"/>
  <c r="CP112" i="3" s="1"/>
  <c r="BX110" i="3"/>
  <c r="BY35" i="3"/>
  <c r="CD111" i="3"/>
  <c r="CE36" i="3"/>
  <c r="CU105" i="3"/>
  <c r="CU113" i="3" s="1"/>
  <c r="DM139" i="3"/>
  <c r="DM145" i="3"/>
  <c r="CI139" i="3"/>
  <c r="BX111" i="3"/>
  <c r="BY36" i="3"/>
  <c r="CQ108" i="3"/>
  <c r="CR33" i="3"/>
  <c r="DC106" i="3"/>
  <c r="DD31" i="3"/>
  <c r="DI107" i="3"/>
  <c r="DJ32" i="3"/>
  <c r="CJ111" i="3"/>
  <c r="CK36" i="3"/>
  <c r="CJ110" i="3"/>
  <c r="CK35" i="3"/>
  <c r="CD110" i="3"/>
  <c r="CE35" i="3"/>
  <c r="CD37" i="3"/>
  <c r="CD112" i="3" s="1"/>
  <c r="BX108" i="3"/>
  <c r="BX37" i="3"/>
  <c r="BX112" i="3" s="1"/>
  <c r="BY33" i="3"/>
  <c r="CV111" i="3"/>
  <c r="CW36" i="3"/>
  <c r="BX109" i="3"/>
  <c r="BY34" i="3"/>
  <c r="CJ109" i="3"/>
  <c r="CK34" i="3"/>
  <c r="CC105" i="3"/>
  <c r="CC113" i="3" s="1"/>
  <c r="EM12" i="4"/>
  <c r="ES9" i="4"/>
  <c r="EL36" i="4"/>
  <c r="ER33" i="4"/>
  <c r="EN12" i="4"/>
  <c r="ET9" i="4"/>
  <c r="EM36" i="4"/>
  <c r="ES33" i="4"/>
  <c r="EN36" i="4"/>
  <c r="ET33" i="4"/>
  <c r="DO70" i="1"/>
  <c r="DU70" i="1"/>
  <c r="V487" i="4"/>
  <c r="AH487" i="4"/>
  <c r="AT487" i="4"/>
  <c r="AT493" i="4" s="1"/>
  <c r="BL56" i="1"/>
  <c r="BX57" i="1"/>
  <c r="DG56" i="1"/>
  <c r="BQ60" i="1"/>
  <c r="CC61" i="1"/>
  <c r="AD51" i="1"/>
  <c r="P487" i="4"/>
  <c r="AB487" i="4"/>
  <c r="AN487" i="4"/>
  <c r="AH428" i="4"/>
  <c r="AN428" i="4"/>
  <c r="AT428" i="4"/>
  <c r="C85" i="1"/>
  <c r="G85" i="1"/>
  <c r="CL65" i="1"/>
  <c r="CR65" i="1"/>
  <c r="CS100" i="1"/>
  <c r="BC36" i="1"/>
  <c r="BC210" i="1" s="1"/>
  <c r="BL60" i="1"/>
  <c r="DS65" i="1"/>
  <c r="DE100" i="1"/>
  <c r="DE54" i="1"/>
  <c r="DY44" i="1"/>
  <c r="CK56" i="1"/>
  <c r="AP10" i="4"/>
  <c r="AV9" i="4" s="1"/>
  <c r="BT10" i="4"/>
  <c r="DA10" i="4"/>
  <c r="DA12" i="4" s="1"/>
  <c r="DA27" i="4" s="1"/>
  <c r="DY10" i="4"/>
  <c r="DY12" i="4" s="1"/>
  <c r="DY27" i="4" s="1"/>
  <c r="BH86" i="4"/>
  <c r="AP86" i="4"/>
  <c r="AP90" i="4" s="1"/>
  <c r="DH338" i="4"/>
  <c r="BN436" i="4"/>
  <c r="CO436" i="4"/>
  <c r="CP438" i="4" s="1"/>
  <c r="DN436" i="4"/>
  <c r="DN437" i="4" s="1"/>
  <c r="BS487" i="4"/>
  <c r="BS48" i="1"/>
  <c r="CV48" i="1"/>
  <c r="DH48" i="1"/>
  <c r="CG39" i="1"/>
  <c r="BM56" i="1"/>
  <c r="CO61" i="1"/>
  <c r="DH61" i="1"/>
  <c r="CI70" i="1"/>
  <c r="W99" i="2"/>
  <c r="W100" i="2" s="1"/>
  <c r="BH10" i="4"/>
  <c r="BH12" i="4" s="1"/>
  <c r="BH27" i="4" s="1"/>
  <c r="CO10" i="4"/>
  <c r="CO12" i="4" s="1"/>
  <c r="CO27" i="4" s="1"/>
  <c r="DM10" i="4"/>
  <c r="DM9" i="4" s="1"/>
  <c r="EK10" i="4"/>
  <c r="EQ9" i="4" s="1"/>
  <c r="AV436" i="4"/>
  <c r="BZ436" i="4"/>
  <c r="AI487" i="4"/>
  <c r="BN37" i="1"/>
  <c r="CF48" i="1"/>
  <c r="BW60" i="1"/>
  <c r="CP60" i="1"/>
  <c r="CJ65" i="1"/>
  <c r="CC65" i="1"/>
  <c r="DW134" i="3"/>
  <c r="DW139" i="3" s="1"/>
  <c r="BN10" i="4"/>
  <c r="BN12" i="4" s="1"/>
  <c r="BN27" i="4" s="1"/>
  <c r="CU10" i="4"/>
  <c r="CU12" i="4" s="1"/>
  <c r="CU27" i="4" s="1"/>
  <c r="DS10" i="4"/>
  <c r="DS12" i="4" s="1"/>
  <c r="DS27" i="4" s="1"/>
  <c r="BH436" i="4"/>
  <c r="BK438" i="4" s="1"/>
  <c r="CF436" i="4"/>
  <c r="DH37" i="1"/>
  <c r="BU68" i="1"/>
  <c r="CD69" i="1"/>
  <c r="CG66" i="1"/>
  <c r="BU36" i="1"/>
  <c r="CM39" i="1"/>
  <c r="BW57" i="1"/>
  <c r="BW56" i="1"/>
  <c r="BX65" i="1"/>
  <c r="CE57" i="1"/>
  <c r="CR56" i="1"/>
  <c r="DV61" i="1"/>
  <c r="CJ79" i="1"/>
  <c r="CJ428" i="4" s="1"/>
  <c r="BZ70" i="1"/>
  <c r="CV37" i="1"/>
  <c r="CQ110" i="2"/>
  <c r="CF37" i="1"/>
  <c r="CU56" i="1"/>
  <c r="BU62" i="1"/>
  <c r="CG71" i="1"/>
  <c r="CL64" i="1"/>
  <c r="DG60" i="1"/>
  <c r="EF93" i="1"/>
  <c r="CJ37" i="1"/>
  <c r="BI54" i="1"/>
  <c r="CE56" i="1"/>
  <c r="CE60" i="1"/>
  <c r="BW64" i="1"/>
  <c r="DI56" i="1"/>
  <c r="BI58" i="1"/>
  <c r="DO61" i="1"/>
  <c r="CA71" i="1"/>
  <c r="CA70" i="1" s="1"/>
  <c r="BZ69" i="1"/>
  <c r="CD61" i="1"/>
  <c r="DY70" i="1"/>
  <c r="BX61" i="1"/>
  <c r="DU61" i="1"/>
  <c r="DZ60" i="1"/>
  <c r="CO64" i="1"/>
  <c r="AO10" i="4"/>
  <c r="BA10" i="4"/>
  <c r="BA9" i="4" s="1"/>
  <c r="BS10" i="4"/>
  <c r="BS12" i="4" s="1"/>
  <c r="BS27" i="4" s="1"/>
  <c r="CL10" i="4"/>
  <c r="CL12" i="4" s="1"/>
  <c r="CL27" i="4" s="1"/>
  <c r="CX10" i="4"/>
  <c r="CX12" i="4" s="1"/>
  <c r="CX27" i="4" s="1"/>
  <c r="DJ10" i="4"/>
  <c r="DJ12" i="4" s="1"/>
  <c r="DJ27" i="4" s="1"/>
  <c r="DV10" i="4"/>
  <c r="DV12" i="4" s="1"/>
  <c r="DV27" i="4" s="1"/>
  <c r="EH10" i="4"/>
  <c r="EN9" i="4" s="1"/>
  <c r="CL436" i="4"/>
  <c r="CL437" i="4" s="1"/>
  <c r="AC487" i="4"/>
  <c r="BX37" i="1"/>
  <c r="CU48" i="1"/>
  <c r="CU50" i="1" s="1"/>
  <c r="DC48" i="1"/>
  <c r="BS37" i="1"/>
  <c r="CJ40" i="1"/>
  <c r="E51" i="1"/>
  <c r="L85" i="1"/>
  <c r="Q85" i="1"/>
  <c r="W85" i="1"/>
  <c r="AC85" i="1"/>
  <c r="CE61" i="1"/>
  <c r="CM54" i="1"/>
  <c r="BE60" i="1"/>
  <c r="AY60" i="1"/>
  <c r="DC60" i="1"/>
  <c r="BQ64" i="1"/>
  <c r="BK64" i="1"/>
  <c r="BT65" i="1"/>
  <c r="CO65" i="1"/>
  <c r="CR64" i="1"/>
  <c r="BO71" i="1"/>
  <c r="DC70" i="1"/>
  <c r="DC126" i="2"/>
  <c r="DC125" i="2" s="1"/>
  <c r="CG72" i="1"/>
  <c r="CI69" i="1"/>
  <c r="CM71" i="1"/>
  <c r="CI126" i="2"/>
  <c r="CI125" i="2" s="1"/>
  <c r="CJ93" i="1"/>
  <c r="CJ138" i="1" s="1"/>
  <c r="EB25" i="1"/>
  <c r="AU436" i="4"/>
  <c r="W487" i="4"/>
  <c r="AU487" i="4"/>
  <c r="AU493" i="4" s="1"/>
  <c r="AY37" i="1"/>
  <c r="CD65" i="1"/>
  <c r="DN56" i="1"/>
  <c r="DA61" i="1"/>
  <c r="BQ79" i="1"/>
  <c r="BQ428" i="4" s="1"/>
  <c r="CM62" i="1"/>
  <c r="CU64" i="1"/>
  <c r="DY65" i="1"/>
  <c r="EB64" i="1"/>
  <c r="CO68" i="1"/>
  <c r="CJ70" i="1"/>
  <c r="CL70" i="1"/>
  <c r="CL126" i="2"/>
  <c r="CL125" i="2" s="1"/>
  <c r="CL110" i="2" s="1"/>
  <c r="CO110" i="2" s="1"/>
  <c r="DD70" i="1"/>
  <c r="DD126" i="2"/>
  <c r="DD125" i="2" s="1"/>
  <c r="BT70" i="1"/>
  <c r="CP70" i="1"/>
  <c r="AU10" i="4"/>
  <c r="AU9" i="4" s="1"/>
  <c r="BM10" i="4"/>
  <c r="BM12" i="4" s="1"/>
  <c r="BM27" i="4" s="1"/>
  <c r="BY10" i="4"/>
  <c r="BY9" i="4" s="1"/>
  <c r="CR10" i="4"/>
  <c r="CR12" i="4" s="1"/>
  <c r="CR27" i="4" s="1"/>
  <c r="DD10" i="4"/>
  <c r="DP10" i="4"/>
  <c r="DP9" i="4" s="1"/>
  <c r="EB10" i="4"/>
  <c r="EB12" i="4" s="1"/>
  <c r="EB27" i="4" s="1"/>
  <c r="AI436" i="4"/>
  <c r="Q487" i="4"/>
  <c r="AO487" i="4"/>
  <c r="DG12" i="1"/>
  <c r="DD426" i="4"/>
  <c r="DE426" i="4" s="1"/>
  <c r="CJ16" i="1"/>
  <c r="CJ427" i="4"/>
  <c r="CM427" i="4" s="1"/>
  <c r="DV359" i="4"/>
  <c r="EB32" i="1"/>
  <c r="BU39" i="1"/>
  <c r="BU211" i="1" s="1"/>
  <c r="CS39" i="1"/>
  <c r="BR40" i="1"/>
  <c r="CE64" i="1"/>
  <c r="BG60" i="1"/>
  <c r="BM61" i="1"/>
  <c r="DN61" i="1"/>
  <c r="DT61" i="1"/>
  <c r="Y64" i="1"/>
  <c r="BS64" i="1"/>
  <c r="CU65" i="1"/>
  <c r="DT65" i="1"/>
  <c r="CG68" i="1"/>
  <c r="CK70" i="1"/>
  <c r="CS71" i="1"/>
  <c r="CS70" i="1" s="1"/>
  <c r="CO126" i="2"/>
  <c r="CO125" i="2" s="1"/>
  <c r="CS125" i="2" s="1"/>
  <c r="CY71" i="1"/>
  <c r="CY70" i="1" s="1"/>
  <c r="CU126" i="2"/>
  <c r="CU125" i="2" s="1"/>
  <c r="DB70" i="1"/>
  <c r="DK71" i="1"/>
  <c r="DK70" i="1" s="1"/>
  <c r="DG126" i="2"/>
  <c r="DG125" i="2" s="1"/>
  <c r="DK125" i="2" s="1"/>
  <c r="DQ71" i="1"/>
  <c r="DQ70" i="1" s="1"/>
  <c r="DM126" i="2"/>
  <c r="DM125" i="2" s="1"/>
  <c r="DQ125" i="2" s="1"/>
  <c r="DW71" i="1"/>
  <c r="DS126" i="2"/>
  <c r="DS125" i="2" s="1"/>
  <c r="DW125" i="2" s="1"/>
  <c r="BZ79" i="1"/>
  <c r="BZ428" i="4" s="1"/>
  <c r="BZ68" i="1"/>
  <c r="CC70" i="1"/>
  <c r="CF70" i="1"/>
  <c r="DE71" i="1"/>
  <c r="H268" i="484" s="1"/>
  <c r="DA126" i="2"/>
  <c r="DA125" i="2" s="1"/>
  <c r="DD131" i="3"/>
  <c r="DD134" i="3" s="1"/>
  <c r="DE58" i="3"/>
  <c r="AW48" i="1"/>
  <c r="DY68" i="1"/>
  <c r="BM436" i="4"/>
  <c r="BY436" i="4"/>
  <c r="BR487" i="4"/>
  <c r="BX492" i="4"/>
  <c r="AO436" i="4"/>
  <c r="BA436" i="4"/>
  <c r="CR436" i="4"/>
  <c r="DM436" i="4"/>
  <c r="DN438" i="4" s="1"/>
  <c r="AU86" i="4"/>
  <c r="AU90" i="4" s="1"/>
  <c r="BA86" i="4"/>
  <c r="BS436" i="4"/>
  <c r="BX487" i="4"/>
  <c r="DS27" i="1"/>
  <c r="S56" i="2"/>
  <c r="I51" i="1"/>
  <c r="R51" i="1"/>
  <c r="AC51" i="1"/>
  <c r="AW60" i="1"/>
  <c r="EK69" i="1"/>
  <c r="C247" i="1"/>
  <c r="C428" i="4"/>
  <c r="L428" i="4"/>
  <c r="Q428" i="4"/>
  <c r="Q58" i="2"/>
  <c r="W81" i="1"/>
  <c r="W428" i="4"/>
  <c r="W58" i="2"/>
  <c r="AC81" i="1"/>
  <c r="AC428" i="4"/>
  <c r="AC58" i="2"/>
  <c r="DT27" i="1"/>
  <c r="DT47" i="1"/>
  <c r="DU26" i="1"/>
  <c r="Y56" i="2"/>
  <c r="J51" i="1"/>
  <c r="U51" i="1"/>
  <c r="D428" i="4"/>
  <c r="I428" i="4"/>
  <c r="R81" i="1"/>
  <c r="R428" i="4"/>
  <c r="R58" i="2"/>
  <c r="X81" i="1"/>
  <c r="X428" i="4"/>
  <c r="X58" i="2"/>
  <c r="AD428" i="4"/>
  <c r="AD58" i="2"/>
  <c r="AK93" i="1"/>
  <c r="DV26" i="1"/>
  <c r="DU47" i="1"/>
  <c r="DY47" i="1"/>
  <c r="F51" i="1"/>
  <c r="M51" i="1"/>
  <c r="V51" i="1"/>
  <c r="AQ64" i="1"/>
  <c r="E428" i="4"/>
  <c r="J428" i="4"/>
  <c r="O81" i="1"/>
  <c r="O428" i="4"/>
  <c r="O58" i="2"/>
  <c r="U428" i="4"/>
  <c r="U58" i="2"/>
  <c r="AA81" i="1"/>
  <c r="AA428" i="4"/>
  <c r="AA58" i="2"/>
  <c r="AE81" i="1"/>
  <c r="AE58" i="2"/>
  <c r="Q51" i="1"/>
  <c r="F428" i="4"/>
  <c r="K428" i="4"/>
  <c r="P428" i="4"/>
  <c r="P58" i="2"/>
  <c r="V428" i="4"/>
  <c r="V58" i="2"/>
  <c r="AB81" i="1"/>
  <c r="AB428" i="4"/>
  <c r="AB58" i="2"/>
  <c r="BO131" i="3"/>
  <c r="BO134" i="3" s="1"/>
  <c r="DG68" i="1"/>
  <c r="EI16" i="3"/>
  <c r="K274" i="484"/>
  <c r="G205" i="484"/>
  <c r="L311" i="484"/>
  <c r="K261" i="484"/>
  <c r="J256" i="484"/>
  <c r="K355" i="484"/>
  <c r="L285" i="484"/>
  <c r="BI93" i="1"/>
  <c r="DU75" i="4"/>
  <c r="EA91" i="4"/>
  <c r="I57" i="484"/>
  <c r="I224" i="484" s="1"/>
  <c r="EA69" i="1"/>
  <c r="EA76" i="1"/>
  <c r="EA325" i="1" s="1"/>
  <c r="DZ393" i="4"/>
  <c r="CV69" i="1"/>
  <c r="BU138" i="1"/>
  <c r="DQ95" i="1"/>
  <c r="DV270" i="1"/>
  <c r="DV272" i="1" s="1"/>
  <c r="L313" i="484"/>
  <c r="J123" i="484"/>
  <c r="I132" i="484"/>
  <c r="L192" i="484"/>
  <c r="M192" i="484" s="1"/>
  <c r="CG121" i="2"/>
  <c r="DG69" i="1"/>
  <c r="AK70" i="1"/>
  <c r="DM69" i="1"/>
  <c r="DY76" i="1"/>
  <c r="DZ69" i="1"/>
  <c r="DT76" i="1"/>
  <c r="DT325" i="1" s="1"/>
  <c r="DZ68" i="1"/>
  <c r="DP69" i="1"/>
  <c r="DQ134" i="3"/>
  <c r="M65" i="484"/>
  <c r="M69" i="484" s="1"/>
  <c r="K65" i="484"/>
  <c r="K69" i="484" s="1"/>
  <c r="O61" i="484"/>
  <c r="H65" i="484"/>
  <c r="L65" i="484"/>
  <c r="L69" i="484" s="1"/>
  <c r="H61" i="484"/>
  <c r="H74" i="484" s="1"/>
  <c r="P61" i="484"/>
  <c r="P326" i="484"/>
  <c r="EM47" i="1"/>
  <c r="L326" i="484"/>
  <c r="EC66" i="1"/>
  <c r="DE94" i="1"/>
  <c r="DA93" i="1"/>
  <c r="DM94" i="1"/>
  <c r="DM93" i="1" s="1"/>
  <c r="DW95" i="1"/>
  <c r="DK95" i="1"/>
  <c r="DE95" i="1"/>
  <c r="L61" i="484"/>
  <c r="CA327" i="4"/>
  <c r="CA276" i="1" s="1"/>
  <c r="CC328" i="4"/>
  <c r="DT79" i="4"/>
  <c r="DZ91" i="4"/>
  <c r="O94" i="484"/>
  <c r="P94" i="484" s="1"/>
  <c r="Q94" i="484" s="1"/>
  <c r="R94" i="484" s="1"/>
  <c r="I17" i="484"/>
  <c r="H220" i="484"/>
  <c r="EG13" i="2"/>
  <c r="EF33" i="3"/>
  <c r="EF108" i="3" s="1"/>
  <c r="EG29" i="2"/>
  <c r="EF37" i="3"/>
  <c r="EF112" i="3" s="1"/>
  <c r="AY10" i="4"/>
  <c r="AY12" i="4" s="1"/>
  <c r="AY27" i="4" s="1"/>
  <c r="BK436" i="4"/>
  <c r="BK437" i="4" s="1"/>
  <c r="BK10" i="4"/>
  <c r="DB436" i="4"/>
  <c r="DB437" i="4" s="1"/>
  <c r="AM10" i="4"/>
  <c r="CC10" i="4"/>
  <c r="CC12" i="4" s="1"/>
  <c r="CC27" i="4" s="1"/>
  <c r="BW86" i="4"/>
  <c r="BW88" i="4" s="1"/>
  <c r="BK86" i="4"/>
  <c r="BK90" i="4" s="1"/>
  <c r="BK59" i="4" s="1"/>
  <c r="DI338" i="4"/>
  <c r="AG436" i="4"/>
  <c r="AY436" i="4"/>
  <c r="AY437" i="4" s="1"/>
  <c r="BT487" i="4"/>
  <c r="DU27" i="1"/>
  <c r="AG9" i="4"/>
  <c r="BW10" i="4"/>
  <c r="BW12" i="4" s="1"/>
  <c r="BW27" i="4" s="1"/>
  <c r="CI10" i="4"/>
  <c r="CI12" i="4" s="1"/>
  <c r="CI27" i="4" s="1"/>
  <c r="BE436" i="4"/>
  <c r="CC436" i="4"/>
  <c r="DO436" i="4"/>
  <c r="DO438" i="4" s="1"/>
  <c r="CI436" i="4"/>
  <c r="CI437" i="4" s="1"/>
  <c r="DQ425" i="4"/>
  <c r="BE10" i="4"/>
  <c r="AY86" i="4"/>
  <c r="BE86" i="4"/>
  <c r="BK87" i="4" s="1"/>
  <c r="AM436" i="4"/>
  <c r="BW436" i="4"/>
  <c r="DI436" i="4"/>
  <c r="DI437" i="4" s="1"/>
  <c r="BW442" i="4"/>
  <c r="AK428" i="4"/>
  <c r="AQ428" i="4"/>
  <c r="AW428" i="4"/>
  <c r="AI9" i="4"/>
  <c r="BX442" i="4"/>
  <c r="AH10" i="4"/>
  <c r="AH9" i="4" s="1"/>
  <c r="BL10" i="4"/>
  <c r="BL12" i="4" s="1"/>
  <c r="BL27" i="4" s="1"/>
  <c r="CQ10" i="4"/>
  <c r="CQ12" i="4" s="1"/>
  <c r="CQ27" i="4" s="1"/>
  <c r="EG10" i="4"/>
  <c r="EM9" i="4" s="1"/>
  <c r="DO10" i="4"/>
  <c r="DO12" i="4" s="1"/>
  <c r="DO27" i="4" s="1"/>
  <c r="AH436" i="4"/>
  <c r="CW436" i="4"/>
  <c r="CW437" i="4" s="1"/>
  <c r="AN425" i="4"/>
  <c r="BF86" i="4"/>
  <c r="BF90" i="4" s="1"/>
  <c r="BF436" i="4"/>
  <c r="BF437" i="4" s="1"/>
  <c r="BL436" i="4"/>
  <c r="BM438" i="4" s="1"/>
  <c r="BR436" i="4"/>
  <c r="BX436" i="4"/>
  <c r="CD436" i="4"/>
  <c r="CD437" i="4" s="1"/>
  <c r="CQ436" i="4"/>
  <c r="CQ437" i="4" s="1"/>
  <c r="DM13" i="1"/>
  <c r="BG10" i="4"/>
  <c r="BG425" i="4"/>
  <c r="BI425" i="4" s="1"/>
  <c r="BO425" i="4"/>
  <c r="CE436" i="4"/>
  <c r="CF438" i="4" s="1"/>
  <c r="CE425" i="4"/>
  <c r="CG425" i="4" s="1"/>
  <c r="CS425" i="4"/>
  <c r="DS359" i="4"/>
  <c r="DS425" i="4"/>
  <c r="BF10" i="4"/>
  <c r="CK10" i="4"/>
  <c r="CK12" i="4" s="1"/>
  <c r="CK27" i="4" s="1"/>
  <c r="DI10" i="4"/>
  <c r="DI12" i="4" s="1"/>
  <c r="DI27" i="4" s="1"/>
  <c r="AT10" i="4"/>
  <c r="AZ10" i="4"/>
  <c r="AZ12" i="4" s="1"/>
  <c r="AZ27" i="4" s="1"/>
  <c r="CD10" i="4"/>
  <c r="CD12" i="4" s="1"/>
  <c r="CD27" i="4" s="1"/>
  <c r="DC10" i="4"/>
  <c r="EA10" i="4"/>
  <c r="BC33" i="4"/>
  <c r="DJ338" i="4"/>
  <c r="AT436" i="4"/>
  <c r="AZ436" i="4"/>
  <c r="BA438" i="4" s="1"/>
  <c r="DJ436" i="4"/>
  <c r="DM438" i="4" s="1"/>
  <c r="DP436" i="4"/>
  <c r="DP438" i="4" s="1"/>
  <c r="BW492" i="4"/>
  <c r="AJ425" i="4"/>
  <c r="DA436" i="4"/>
  <c r="DB438" i="4" s="1"/>
  <c r="DA425" i="4"/>
  <c r="DH425" i="4"/>
  <c r="DK425" i="4" s="1"/>
  <c r="DT359" i="4"/>
  <c r="DT425" i="4"/>
  <c r="AN10" i="4"/>
  <c r="AN12" i="4" s="1"/>
  <c r="AN27" i="4" s="1"/>
  <c r="BR10" i="4"/>
  <c r="BR12" i="4" s="1"/>
  <c r="BR27" i="4" s="1"/>
  <c r="BX10" i="4"/>
  <c r="CW10" i="4"/>
  <c r="DU10" i="4"/>
  <c r="DU12" i="4" s="1"/>
  <c r="DU27" i="4" s="1"/>
  <c r="DC436" i="4"/>
  <c r="DC437" i="4" s="1"/>
  <c r="BQ487" i="4"/>
  <c r="BQ493" i="4" s="1"/>
  <c r="BW487" i="4"/>
  <c r="AG100" i="2"/>
  <c r="AG425" i="4"/>
  <c r="AW425" i="4"/>
  <c r="BC425" i="4"/>
  <c r="BQ10" i="4"/>
  <c r="BQ425" i="4"/>
  <c r="BU425" i="4" s="1"/>
  <c r="CA425" i="4"/>
  <c r="CV436" i="4"/>
  <c r="CV437" i="4" s="1"/>
  <c r="CV425" i="4"/>
  <c r="CY425" i="4" s="1"/>
  <c r="DU425" i="4"/>
  <c r="BC295" i="1"/>
  <c r="DT338" i="4"/>
  <c r="DT341" i="4" s="1"/>
  <c r="BT332" i="4"/>
  <c r="BZ332" i="4"/>
  <c r="DV336" i="4"/>
  <c r="CI408" i="4"/>
  <c r="CU392" i="4"/>
  <c r="DM392" i="4"/>
  <c r="DS392" i="4"/>
  <c r="BI295" i="1"/>
  <c r="CQ332" i="4"/>
  <c r="DO332" i="4"/>
  <c r="DU338" i="4"/>
  <c r="DU341" i="4" s="1"/>
  <c r="CA391" i="4"/>
  <c r="DK391" i="4"/>
  <c r="I199" i="484" s="1"/>
  <c r="CI332" i="4"/>
  <c r="DG332" i="4"/>
  <c r="DS332" i="4"/>
  <c r="DN286" i="4"/>
  <c r="BN86" i="4"/>
  <c r="BN90" i="4" s="1"/>
  <c r="BN59" i="4" s="1"/>
  <c r="R9" i="4"/>
  <c r="Q33" i="4"/>
  <c r="BR399" i="4"/>
  <c r="CA405" i="4"/>
  <c r="CK405" i="4"/>
  <c r="DH405" i="4"/>
  <c r="AA9" i="4"/>
  <c r="O33" i="4"/>
  <c r="P33" i="4"/>
  <c r="R33" i="4"/>
  <c r="BG399" i="4"/>
  <c r="AT230" i="4"/>
  <c r="AS230" i="4" s="1"/>
  <c r="AP230" i="4" s="1"/>
  <c r="AQ230" i="4" s="1"/>
  <c r="AG90" i="4"/>
  <c r="DE257" i="4"/>
  <c r="BX329" i="4"/>
  <c r="DH169" i="2"/>
  <c r="BQ169" i="2"/>
  <c r="DA169" i="2"/>
  <c r="BM51" i="4"/>
  <c r="BM52" i="4" s="1"/>
  <c r="CE51" i="4"/>
  <c r="CE52" i="4" s="1"/>
  <c r="DV420" i="4"/>
  <c r="DV425" i="4"/>
  <c r="DW419" i="4"/>
  <c r="DW420" i="4" s="1"/>
  <c r="DV427" i="4"/>
  <c r="DW427" i="4" s="1"/>
  <c r="DY419" i="4"/>
  <c r="DV426" i="4"/>
  <c r="DW426" i="4" s="1"/>
  <c r="Q9" i="4"/>
  <c r="BX51" i="4"/>
  <c r="BX52" i="4" s="1"/>
  <c r="BI82" i="4"/>
  <c r="BO82" i="4"/>
  <c r="AM160" i="4"/>
  <c r="DI307" i="4"/>
  <c r="P9" i="4"/>
  <c r="AS160" i="4"/>
  <c r="AY160" i="4"/>
  <c r="CG47" i="4"/>
  <c r="BY51" i="4"/>
  <c r="BY52" i="4" s="1"/>
  <c r="BM90" i="4"/>
  <c r="BM75" i="4" s="1"/>
  <c r="DH56" i="4"/>
  <c r="DH90" i="4" s="1"/>
  <c r="DH259" i="4" s="1"/>
  <c r="BC102" i="4"/>
  <c r="BS58" i="4"/>
  <c r="AJ90" i="4"/>
  <c r="AP91" i="4" s="1"/>
  <c r="BE160" i="4"/>
  <c r="DB393" i="4"/>
  <c r="BR58" i="4"/>
  <c r="CV58" i="4"/>
  <c r="CY73" i="4"/>
  <c r="DE77" i="4"/>
  <c r="BR57" i="4"/>
  <c r="CA61" i="4"/>
  <c r="AV97" i="4"/>
  <c r="BM97" i="4"/>
  <c r="AP160" i="4"/>
  <c r="AV160" i="4"/>
  <c r="BB160" i="4"/>
  <c r="BI276" i="1"/>
  <c r="BI108" i="4"/>
  <c r="AW174" i="4"/>
  <c r="AW296" i="1" s="1"/>
  <c r="AY96" i="4"/>
  <c r="AW276" i="1"/>
  <c r="BL375" i="4"/>
  <c r="DM92" i="4"/>
  <c r="AP97" i="4"/>
  <c r="AU97" i="4"/>
  <c r="BA97" i="4"/>
  <c r="BI105" i="4"/>
  <c r="BA160" i="4"/>
  <c r="DK257" i="4"/>
  <c r="CG260" i="4"/>
  <c r="CM261" i="4" s="1"/>
  <c r="DK265" i="4"/>
  <c r="BZ57" i="4"/>
  <c r="DI56" i="4"/>
  <c r="DI90" i="4" s="1"/>
  <c r="DI84" i="4" s="1"/>
  <c r="DK61" i="4"/>
  <c r="AW82" i="4"/>
  <c r="DE82" i="4"/>
  <c r="BK96" i="4"/>
  <c r="BO102" i="4"/>
  <c r="BC105" i="4"/>
  <c r="CG139" i="4"/>
  <c r="AW151" i="4"/>
  <c r="AW154" i="4"/>
  <c r="BF160" i="4"/>
  <c r="AQ174" i="4"/>
  <c r="AQ296" i="1" s="1"/>
  <c r="AV233" i="4"/>
  <c r="CM265" i="4"/>
  <c r="DM281" i="4"/>
  <c r="DM314" i="4" s="1"/>
  <c r="BI396" i="4"/>
  <c r="BF159" i="4"/>
  <c r="AG12" i="4"/>
  <c r="AG27" i="4" s="1"/>
  <c r="CI57" i="4"/>
  <c r="BX62" i="4"/>
  <c r="DY56" i="4"/>
  <c r="DY90" i="4" s="1"/>
  <c r="DZ92" i="4" s="1"/>
  <c r="DK82" i="4"/>
  <c r="AT86" i="4"/>
  <c r="AT90" i="4" s="1"/>
  <c r="AT142" i="4" s="1"/>
  <c r="BO105" i="4"/>
  <c r="BU219" i="4"/>
  <c r="BX221" i="4"/>
  <c r="AY227" i="4"/>
  <c r="BS232" i="4"/>
  <c r="DQ257" i="4"/>
  <c r="CE58" i="4"/>
  <c r="CS73" i="4"/>
  <c r="CM77" i="4"/>
  <c r="AN97" i="4"/>
  <c r="AW99" i="4"/>
  <c r="AZ175" i="4"/>
  <c r="BX232" i="4"/>
  <c r="CX399" i="4"/>
  <c r="DJ393" i="4"/>
  <c r="DP393" i="4"/>
  <c r="CE399" i="4"/>
  <c r="CJ405" i="4"/>
  <c r="CV406" i="4"/>
  <c r="DG405" i="4"/>
  <c r="DP405" i="4"/>
  <c r="DP406" i="4"/>
  <c r="O30" i="4"/>
  <c r="BO399" i="4"/>
  <c r="CU399" i="4"/>
  <c r="DA399" i="4"/>
  <c r="DJ399" i="4"/>
  <c r="AN378" i="4"/>
  <c r="AN379" i="4"/>
  <c r="BU399" i="4"/>
  <c r="CV399" i="4"/>
  <c r="DB399" i="4"/>
  <c r="CJ399" i="4"/>
  <c r="DD393" i="4"/>
  <c r="BZ401" i="4"/>
  <c r="BA375" i="4"/>
  <c r="BA378" i="4"/>
  <c r="CL399" i="4"/>
  <c r="BZ378" i="4"/>
  <c r="CO393" i="4"/>
  <c r="DM399" i="4"/>
  <c r="CR401" i="4"/>
  <c r="BF406" i="4"/>
  <c r="BX406" i="4"/>
  <c r="CL405" i="4"/>
  <c r="CL406" i="4"/>
  <c r="CR406" i="4"/>
  <c r="DD406" i="4"/>
  <c r="AP393" i="4"/>
  <c r="CD399" i="4"/>
  <c r="BO405" i="4"/>
  <c r="CD406" i="4"/>
  <c r="BT393" i="4"/>
  <c r="BZ393" i="4"/>
  <c r="CL393" i="4"/>
  <c r="CQ400" i="4"/>
  <c r="CM391" i="4"/>
  <c r="CP393" i="4" s="1"/>
  <c r="BR406" i="4"/>
  <c r="BW57" i="4"/>
  <c r="CU57" i="4"/>
  <c r="DC58" i="4"/>
  <c r="AO86" i="4"/>
  <c r="AW105" i="4"/>
  <c r="AW108" i="4"/>
  <c r="BC147" i="4"/>
  <c r="AW157" i="4"/>
  <c r="BC159" i="4" s="1"/>
  <c r="BC154" i="4"/>
  <c r="AI160" i="4"/>
  <c r="AU160" i="4"/>
  <c r="AV159" i="4"/>
  <c r="AW295" i="1"/>
  <c r="BU173" i="4"/>
  <c r="BU295" i="1"/>
  <c r="BA175" i="4"/>
  <c r="BA296" i="1"/>
  <c r="BF175" i="4"/>
  <c r="BF296" i="1"/>
  <c r="BL175" i="4"/>
  <c r="BL296" i="1"/>
  <c r="BW175" i="4"/>
  <c r="BW296" i="1"/>
  <c r="BU191" i="4"/>
  <c r="BC297" i="1"/>
  <c r="CA226" i="4"/>
  <c r="CA297" i="1"/>
  <c r="BB232" i="4"/>
  <c r="BB298" i="1"/>
  <c r="BH236" i="4"/>
  <c r="BH298" i="1"/>
  <c r="BN232" i="4"/>
  <c r="BN298" i="1"/>
  <c r="AV227" i="4"/>
  <c r="AZ232" i="4"/>
  <c r="BR232" i="4"/>
  <c r="DG286" i="4"/>
  <c r="DU293" i="4"/>
  <c r="DJ310" i="4"/>
  <c r="DP308" i="4"/>
  <c r="BU276" i="1"/>
  <c r="CY328" i="4"/>
  <c r="CS276" i="1"/>
  <c r="DC377" i="4"/>
  <c r="DC276" i="1"/>
  <c r="AK214" i="2"/>
  <c r="AK291" i="1"/>
  <c r="AK206" i="2" s="1"/>
  <c r="AK173" i="1"/>
  <c r="BF214" i="2"/>
  <c r="BF291" i="1"/>
  <c r="BI134" i="2"/>
  <c r="BU291" i="1"/>
  <c r="BU172" i="1"/>
  <c r="BU174" i="1" s="1"/>
  <c r="BL51" i="4"/>
  <c r="BL52" i="4" s="1"/>
  <c r="CG48" i="4"/>
  <c r="CR58" i="4"/>
  <c r="DC57" i="4"/>
  <c r="DP58" i="4"/>
  <c r="DO58" i="4"/>
  <c r="CS61" i="4"/>
  <c r="DQ61" i="4"/>
  <c r="DE73" i="4"/>
  <c r="CA73" i="4"/>
  <c r="AI90" i="4"/>
  <c r="AI91" i="4" s="1"/>
  <c r="CQ90" i="4"/>
  <c r="CQ75" i="4" s="1"/>
  <c r="AH97" i="4"/>
  <c r="BO99" i="4"/>
  <c r="AW102" i="4"/>
  <c r="BA159" i="4"/>
  <c r="CA174" i="4"/>
  <c r="CA296" i="1" s="1"/>
  <c r="CA295" i="1"/>
  <c r="BB175" i="4"/>
  <c r="BB296" i="1"/>
  <c r="BM175" i="4"/>
  <c r="BM296" i="1"/>
  <c r="BR175" i="4"/>
  <c r="BR296" i="1"/>
  <c r="BI244" i="4"/>
  <c r="BI223" i="4" s="1"/>
  <c r="BI297" i="1"/>
  <c r="BK232" i="4"/>
  <c r="BK298" i="1"/>
  <c r="BO226" i="4"/>
  <c r="BO298" i="1" s="1"/>
  <c r="BT232" i="4"/>
  <c r="BT298" i="1"/>
  <c r="AY233" i="4"/>
  <c r="AY235" i="4"/>
  <c r="AZ236" i="4" s="1"/>
  <c r="AZ237" i="4" s="1"/>
  <c r="DK261" i="4"/>
  <c r="DH322" i="4"/>
  <c r="DV293" i="4"/>
  <c r="BI328" i="4"/>
  <c r="BC276" i="1"/>
  <c r="CG328" i="4"/>
  <c r="DD370" i="4"/>
  <c r="DD276" i="1"/>
  <c r="AT393" i="4"/>
  <c r="CQ412" i="4"/>
  <c r="CC396" i="4"/>
  <c r="R291" i="1"/>
  <c r="AQ214" i="2"/>
  <c r="AW215" i="2" s="1"/>
  <c r="AQ291" i="1"/>
  <c r="AQ206" i="2" s="1"/>
  <c r="AQ173" i="1"/>
  <c r="BG214" i="2"/>
  <c r="BG291" i="1"/>
  <c r="BO291" i="1"/>
  <c r="BO172" i="1"/>
  <c r="BO174" i="1" s="1"/>
  <c r="CA291" i="1"/>
  <c r="CA172" i="1"/>
  <c r="CA174" i="1" s="1"/>
  <c r="CM291" i="1"/>
  <c r="CM172" i="1"/>
  <c r="CM174" i="1" s="1"/>
  <c r="DG57" i="4"/>
  <c r="DS90" i="4"/>
  <c r="AU96" i="4"/>
  <c r="BH96" i="4"/>
  <c r="AY175" i="4"/>
  <c r="AY296" i="1"/>
  <c r="BH175" i="4"/>
  <c r="BH296" i="1"/>
  <c r="BS175" i="4"/>
  <c r="BS296" i="1"/>
  <c r="BY175" i="4"/>
  <c r="BY296" i="1"/>
  <c r="G174" i="4"/>
  <c r="F296" i="1"/>
  <c r="CA219" i="4"/>
  <c r="BF232" i="4"/>
  <c r="BF298" i="1"/>
  <c r="BL232" i="4"/>
  <c r="BL298" i="1"/>
  <c r="BW232" i="4"/>
  <c r="BE232" i="4"/>
  <c r="BO244" i="4"/>
  <c r="BO241" i="4" s="1"/>
  <c r="DV285" i="4"/>
  <c r="DW285" i="4" s="1"/>
  <c r="DQ276" i="4"/>
  <c r="DN314" i="4"/>
  <c r="DS293" i="4"/>
  <c r="DH310" i="4"/>
  <c r="DN308" i="4"/>
  <c r="CM328" i="4"/>
  <c r="CG276" i="1"/>
  <c r="DA377" i="4"/>
  <c r="DA276" i="1"/>
  <c r="DA329" i="4"/>
  <c r="BC373" i="4"/>
  <c r="BE374" i="4"/>
  <c r="BR373" i="4"/>
  <c r="BR375" i="4" s="1"/>
  <c r="BC396" i="4"/>
  <c r="BQ405" i="4"/>
  <c r="DJ405" i="4"/>
  <c r="Y291" i="1"/>
  <c r="Y206" i="2" s="1"/>
  <c r="Y214" i="2"/>
  <c r="Y173" i="1"/>
  <c r="AW291" i="1"/>
  <c r="AW173" i="1"/>
  <c r="BI291" i="1"/>
  <c r="BI206" i="2" s="1"/>
  <c r="BI173" i="1"/>
  <c r="BQ291" i="1"/>
  <c r="BQ293" i="1" s="1"/>
  <c r="CC291" i="1"/>
  <c r="CC293" i="1" s="1"/>
  <c r="CO291" i="1"/>
  <c r="CO293" i="1" s="1"/>
  <c r="BH51" i="4"/>
  <c r="BH52" i="4" s="1"/>
  <c r="BN51" i="4"/>
  <c r="BN52" i="4" s="1"/>
  <c r="BS57" i="4"/>
  <c r="CK57" i="4"/>
  <c r="CQ58" i="4"/>
  <c r="BX74" i="4"/>
  <c r="CM90" i="4"/>
  <c r="CP528" i="4" s="1"/>
  <c r="BC82" i="4"/>
  <c r="AM86" i="4"/>
  <c r="AM90" i="4" s="1"/>
  <c r="AM142" i="4" s="1"/>
  <c r="AS97" i="4"/>
  <c r="BI102" i="4"/>
  <c r="BO108" i="4"/>
  <c r="AW147" i="4"/>
  <c r="AZ160" i="4"/>
  <c r="AQ295" i="1"/>
  <c r="BO191" i="4"/>
  <c r="BO295" i="1"/>
  <c r="BE175" i="4"/>
  <c r="BE296" i="1"/>
  <c r="BK175" i="4"/>
  <c r="BK296" i="1"/>
  <c r="BO174" i="4"/>
  <c r="BO296" i="1" s="1"/>
  <c r="BT175" i="4"/>
  <c r="BT296" i="1"/>
  <c r="BZ175" i="4"/>
  <c r="BZ296" i="1"/>
  <c r="S174" i="4"/>
  <c r="S296" i="1" s="1"/>
  <c r="R296" i="1"/>
  <c r="Y174" i="4"/>
  <c r="Y296" i="1" s="1"/>
  <c r="X296" i="1"/>
  <c r="AE174" i="4"/>
  <c r="AE296" i="1" s="1"/>
  <c r="AD296" i="1"/>
  <c r="AW191" i="4"/>
  <c r="AW225" i="4"/>
  <c r="AW235" i="4" s="1"/>
  <c r="BU244" i="4"/>
  <c r="BU241" i="4" s="1"/>
  <c r="BU297" i="1"/>
  <c r="BA232" i="4"/>
  <c r="BA298" i="1"/>
  <c r="BG236" i="4"/>
  <c r="BG298" i="1"/>
  <c r="BM232" i="4"/>
  <c r="BM298" i="1"/>
  <c r="AV226" i="4"/>
  <c r="AV232" i="4" s="1"/>
  <c r="BQ232" i="4"/>
  <c r="CJ258" i="4"/>
  <c r="DS314" i="4"/>
  <c r="DN292" i="4"/>
  <c r="DI310" i="4"/>
  <c r="DM310" i="4"/>
  <c r="DS312" i="4" s="1"/>
  <c r="AQ276" i="1"/>
  <c r="BO276" i="1"/>
  <c r="CS328" i="4"/>
  <c r="CM276" i="1"/>
  <c r="DB377" i="4"/>
  <c r="DB276" i="1"/>
  <c r="BW377" i="4"/>
  <c r="BX379" i="4" s="1"/>
  <c r="BW276" i="1"/>
  <c r="AZ375" i="4"/>
  <c r="BF375" i="4"/>
  <c r="BL379" i="4"/>
  <c r="AM393" i="4"/>
  <c r="BN393" i="4"/>
  <c r="CY391" i="4"/>
  <c r="DY393" i="4"/>
  <c r="BO396" i="4"/>
  <c r="BI399" i="4"/>
  <c r="BW406" i="4"/>
  <c r="BZ406" i="4"/>
  <c r="AE291" i="1"/>
  <c r="AE206" i="2" s="1"/>
  <c r="AE214" i="2"/>
  <c r="AE173" i="1"/>
  <c r="BC291" i="1"/>
  <c r="BC206" i="2" s="1"/>
  <c r="BC173" i="1"/>
  <c r="BU134" i="2"/>
  <c r="CI291" i="1"/>
  <c r="CI293" i="1" s="1"/>
  <c r="BC36" i="4"/>
  <c r="BC51" i="4" s="1"/>
  <c r="AP392" i="4"/>
  <c r="AY392" i="4"/>
  <c r="BS392" i="4"/>
  <c r="DO392" i="4"/>
  <c r="DM393" i="4"/>
  <c r="BE406" i="4"/>
  <c r="CI406" i="4"/>
  <c r="CK406" i="4"/>
  <c r="CX406" i="4"/>
  <c r="DC406" i="4"/>
  <c r="DM406" i="4"/>
  <c r="BB393" i="4"/>
  <c r="BG392" i="4"/>
  <c r="BW412" i="4"/>
  <c r="CF393" i="4"/>
  <c r="CJ393" i="4"/>
  <c r="CI392" i="4"/>
  <c r="CX393" i="4"/>
  <c r="DC392" i="4"/>
  <c r="DS412" i="4"/>
  <c r="DW391" i="4"/>
  <c r="K199" i="484" s="1"/>
  <c r="BF393" i="4"/>
  <c r="DN393" i="4"/>
  <c r="BX405" i="4"/>
  <c r="CO406" i="4"/>
  <c r="CQ406" i="4"/>
  <c r="DG406" i="4"/>
  <c r="R53" i="4"/>
  <c r="AU392" i="4"/>
  <c r="BW392" i="4"/>
  <c r="CQ392" i="4"/>
  <c r="BR393" i="4"/>
  <c r="DA393" i="4"/>
  <c r="DT393" i="4"/>
  <c r="BH405" i="4"/>
  <c r="BZ405" i="4"/>
  <c r="CW406" i="4"/>
  <c r="DN405" i="4"/>
  <c r="AO9" i="4"/>
  <c r="BL393" i="4"/>
  <c r="CE392" i="4"/>
  <c r="DA392" i="4"/>
  <c r="DG392" i="4"/>
  <c r="CD393" i="4"/>
  <c r="CQ401" i="4"/>
  <c r="BT405" i="4"/>
  <c r="CC406" i="4"/>
  <c r="BI405" i="4"/>
  <c r="AZ332" i="4"/>
  <c r="AS379" i="4"/>
  <c r="CE384" i="4"/>
  <c r="CA331" i="4"/>
  <c r="AV332" i="4"/>
  <c r="BT378" i="4"/>
  <c r="DN32" i="1"/>
  <c r="DO338" i="4"/>
  <c r="DO341" i="4" s="1"/>
  <c r="DB32" i="1"/>
  <c r="BW63" i="1"/>
  <c r="DO55" i="1"/>
  <c r="AN398" i="4"/>
  <c r="AM378" i="4"/>
  <c r="CS11" i="1"/>
  <c r="DK15" i="1"/>
  <c r="BY33" i="1"/>
  <c r="CU370" i="4"/>
  <c r="CX32" i="1"/>
  <c r="BN32" i="1"/>
  <c r="BL400" i="4"/>
  <c r="CQ59" i="4"/>
  <c r="DB91" i="4"/>
  <c r="CW59" i="4"/>
  <c r="DA75" i="4"/>
  <c r="CO79" i="4"/>
  <c r="CX59" i="4"/>
  <c r="DJ59" i="4"/>
  <c r="CO63" i="4"/>
  <c r="DM75" i="4"/>
  <c r="DU63" i="4"/>
  <c r="DN84" i="4"/>
  <c r="DV63" i="4"/>
  <c r="BC11" i="4"/>
  <c r="BZ51" i="4"/>
  <c r="BZ52" i="4" s="1"/>
  <c r="CC51" i="4"/>
  <c r="CA47" i="4"/>
  <c r="CG49" i="4"/>
  <c r="AQ36" i="4"/>
  <c r="AQ51" i="4" s="1"/>
  <c r="AQ52" i="4" s="1"/>
  <c r="AQ53" i="4" s="1"/>
  <c r="AI52" i="4"/>
  <c r="AI53" i="4" s="1"/>
  <c r="BO38" i="4"/>
  <c r="DY293" i="4"/>
  <c r="DJ307" i="4"/>
  <c r="DI292" i="4"/>
  <c r="DM307" i="4"/>
  <c r="DV292" i="4"/>
  <c r="DO308" i="4"/>
  <c r="AS398" i="4"/>
  <c r="BM370" i="4"/>
  <c r="CO333" i="4"/>
  <c r="BZ370" i="4"/>
  <c r="AY379" i="4"/>
  <c r="AV437" i="4"/>
  <c r="BQ437" i="4"/>
  <c r="DI13" i="1"/>
  <c r="CG15" i="1"/>
  <c r="AY32" i="1"/>
  <c r="AS56" i="2"/>
  <c r="AS87" i="2"/>
  <c r="AS100" i="2"/>
  <c r="AS57" i="2"/>
  <c r="BB56" i="2"/>
  <c r="BB87" i="2"/>
  <c r="BC87" i="2" s="1"/>
  <c r="BB57" i="2"/>
  <c r="BB100" i="2"/>
  <c r="BC100" i="2" s="1"/>
  <c r="BL87" i="2"/>
  <c r="BL56" i="2"/>
  <c r="BL57" i="2"/>
  <c r="BZ87" i="2"/>
  <c r="CA87" i="2" s="1"/>
  <c r="BZ57" i="2"/>
  <c r="BZ56" i="2"/>
  <c r="BZ100" i="2"/>
  <c r="CA100" i="2" s="1"/>
  <c r="CP87" i="2"/>
  <c r="CP56" i="2"/>
  <c r="CP57" i="2"/>
  <c r="DH33" i="1"/>
  <c r="DG87" i="2"/>
  <c r="DG56" i="2"/>
  <c r="DG57" i="2"/>
  <c r="DV57" i="2"/>
  <c r="DV87" i="2"/>
  <c r="DV56" i="2"/>
  <c r="ET289" i="1" s="1"/>
  <c r="EU289" i="1" s="1"/>
  <c r="AS10" i="4"/>
  <c r="CP10" i="4"/>
  <c r="CV10" i="4"/>
  <c r="DB10" i="4"/>
  <c r="DH10" i="4"/>
  <c r="DN10" i="4"/>
  <c r="DT10" i="4"/>
  <c r="DT12" i="4" s="1"/>
  <c r="DT27" i="4" s="1"/>
  <c r="DZ10" i="4"/>
  <c r="DZ12" i="4" s="1"/>
  <c r="DZ27" i="4" s="1"/>
  <c r="EF10" i="4"/>
  <c r="EL10" i="4"/>
  <c r="BB86" i="4"/>
  <c r="BB90" i="4" s="1"/>
  <c r="BB187" i="4" s="1"/>
  <c r="BB189" i="4" s="1"/>
  <c r="AP398" i="4"/>
  <c r="BB370" i="4"/>
  <c r="BF398" i="4"/>
  <c r="BQ370" i="4"/>
  <c r="CD370" i="4"/>
  <c r="CD371" i="4" s="1"/>
  <c r="CX332" i="4"/>
  <c r="CW370" i="4"/>
  <c r="DP336" i="4"/>
  <c r="DO336" i="4"/>
  <c r="DN338" i="4"/>
  <c r="CQ370" i="4"/>
  <c r="BE379" i="4"/>
  <c r="BG379" i="4"/>
  <c r="BR379" i="4"/>
  <c r="BQ378" i="4"/>
  <c r="AJ379" i="4"/>
  <c r="AV379" i="4"/>
  <c r="BZ379" i="4"/>
  <c r="CE379" i="4"/>
  <c r="CX379" i="4"/>
  <c r="CO379" i="4"/>
  <c r="CJ383" i="4"/>
  <c r="CJ386" i="4" s="1"/>
  <c r="AV438" i="4"/>
  <c r="BG438" i="4"/>
  <c r="BT437" i="4"/>
  <c r="BZ438" i="4"/>
  <c r="DG436" i="4"/>
  <c r="DH438" i="4" s="1"/>
  <c r="DV436" i="4"/>
  <c r="DV438" i="4" s="1"/>
  <c r="BZ442" i="4"/>
  <c r="CV13" i="1"/>
  <c r="DB13" i="1"/>
  <c r="DH13" i="1"/>
  <c r="AO32" i="1"/>
  <c r="AI57" i="2"/>
  <c r="AI56" i="2"/>
  <c r="AI87" i="2"/>
  <c r="AN33" i="1"/>
  <c r="AM56" i="2"/>
  <c r="AM87" i="2"/>
  <c r="AM57" i="2"/>
  <c r="AP32" i="1"/>
  <c r="AV87" i="2"/>
  <c r="AW87" i="2" s="1"/>
  <c r="AV57" i="2"/>
  <c r="AV56" i="2"/>
  <c r="AV100" i="2"/>
  <c r="AW100" i="2" s="1"/>
  <c r="BB33" i="1"/>
  <c r="BA87" i="2"/>
  <c r="BA57" i="2"/>
  <c r="BA56" i="2"/>
  <c r="BA65" i="2"/>
  <c r="BA100" i="2"/>
  <c r="BF65" i="2"/>
  <c r="BF56" i="2"/>
  <c r="BF87" i="2"/>
  <c r="BF57" i="2"/>
  <c r="BF100" i="2"/>
  <c r="BL33" i="1"/>
  <c r="BK65" i="2"/>
  <c r="BK87" i="2"/>
  <c r="BK56" i="2"/>
  <c r="BK57" i="2"/>
  <c r="BT57" i="2"/>
  <c r="BT87" i="2"/>
  <c r="BU87" i="2" s="1"/>
  <c r="BT56" i="2"/>
  <c r="BT100" i="2"/>
  <c r="BU100" i="2" s="1"/>
  <c r="BZ33" i="1"/>
  <c r="BY57" i="2"/>
  <c r="BY87" i="2"/>
  <c r="BY56" i="2"/>
  <c r="CD56" i="2"/>
  <c r="CD57" i="2"/>
  <c r="CD87" i="2"/>
  <c r="CI56" i="2"/>
  <c r="CI87" i="2"/>
  <c r="CI57" i="2"/>
  <c r="CO55" i="1"/>
  <c r="CO87" i="2"/>
  <c r="CO56" i="2"/>
  <c r="CO57" i="2"/>
  <c r="CV33" i="1"/>
  <c r="CU56" i="2"/>
  <c r="CU87" i="2"/>
  <c r="CU57" i="2"/>
  <c r="DJ57" i="2"/>
  <c r="DJ87" i="2"/>
  <c r="DK87" i="2" s="1"/>
  <c r="DJ56" i="2"/>
  <c r="DP55" i="1"/>
  <c r="DP56" i="2"/>
  <c r="DP57" i="2"/>
  <c r="DP87" i="2"/>
  <c r="DQ87" i="2" s="1"/>
  <c r="DV33" i="1"/>
  <c r="DU87" i="2"/>
  <c r="DU56" i="2"/>
  <c r="DU57" i="2"/>
  <c r="AW40" i="1"/>
  <c r="BW59" i="1"/>
  <c r="CU55" i="1"/>
  <c r="AH100" i="2"/>
  <c r="AM100" i="2"/>
  <c r="AY370" i="4"/>
  <c r="BG398" i="4"/>
  <c r="BR370" i="4"/>
  <c r="BX371" i="4" s="1"/>
  <c r="DN332" i="4"/>
  <c r="BK333" i="4"/>
  <c r="CF379" i="4"/>
  <c r="CC381" i="4"/>
  <c r="CC388" i="4" s="1"/>
  <c r="BH438" i="4"/>
  <c r="BR438" i="4"/>
  <c r="CF437" i="4"/>
  <c r="AQ11" i="1"/>
  <c r="CW13" i="1"/>
  <c r="DC13" i="1"/>
  <c r="BI15" i="1"/>
  <c r="AO33" i="1"/>
  <c r="AN56" i="2"/>
  <c r="AN87" i="2"/>
  <c r="AN57" i="2"/>
  <c r="AT32" i="1"/>
  <c r="BR33" i="1"/>
  <c r="BQ87" i="2"/>
  <c r="BQ56" i="2"/>
  <c r="BQ57" i="2"/>
  <c r="CK32" i="1"/>
  <c r="CE57" i="2"/>
  <c r="CE87" i="2"/>
  <c r="CE56" i="2"/>
  <c r="CV55" i="1"/>
  <c r="CV57" i="2"/>
  <c r="CV87" i="2"/>
  <c r="CV56" i="2"/>
  <c r="DN33" i="1"/>
  <c r="DM87" i="2"/>
  <c r="DM56" i="2"/>
  <c r="DM57" i="2"/>
  <c r="CW33" i="1"/>
  <c r="CE10" i="4"/>
  <c r="AN86" i="4"/>
  <c r="AS86" i="4"/>
  <c r="AS90" i="4" s="1"/>
  <c r="AS168" i="4" s="1"/>
  <c r="AJ333" i="4"/>
  <c r="AT398" i="4"/>
  <c r="BB398" i="4"/>
  <c r="BH332" i="4"/>
  <c r="BN370" i="4"/>
  <c r="BS370" i="4"/>
  <c r="CL332" i="4"/>
  <c r="CK370" i="4"/>
  <c r="CP370" i="4"/>
  <c r="CU332" i="4"/>
  <c r="DJ332" i="4"/>
  <c r="DJ333" i="4"/>
  <c r="DS336" i="4"/>
  <c r="DS338" i="4"/>
  <c r="DS341" i="4" s="1"/>
  <c r="CE370" i="4"/>
  <c r="BA379" i="4"/>
  <c r="BB378" i="4"/>
  <c r="BN378" i="4"/>
  <c r="BT379" i="4"/>
  <c r="AT379" i="4"/>
  <c r="AV378" i="4"/>
  <c r="BQ379" i="4"/>
  <c r="CL379" i="4"/>
  <c r="CQ379" i="4"/>
  <c r="CY377" i="4"/>
  <c r="CU378" i="4"/>
  <c r="CC379" i="4"/>
  <c r="CV379" i="4"/>
  <c r="CE383" i="4"/>
  <c r="CE386" i="4" s="1"/>
  <c r="CE388" i="4"/>
  <c r="AS436" i="4"/>
  <c r="BB436" i="4"/>
  <c r="BE438" i="4" s="1"/>
  <c r="BH437" i="4"/>
  <c r="BN438" i="4"/>
  <c r="BS438" i="4"/>
  <c r="BW437" i="4"/>
  <c r="CC437" i="4"/>
  <c r="CD438" i="4"/>
  <c r="AQ31" i="1"/>
  <c r="AQ530" i="4" s="1"/>
  <c r="BO11" i="1"/>
  <c r="CM11" i="1"/>
  <c r="AW11" i="1"/>
  <c r="CX13" i="1"/>
  <c r="DD13" i="1"/>
  <c r="DN13" i="1"/>
  <c r="DT13" i="1"/>
  <c r="AM32" i="1"/>
  <c r="AG87" i="2"/>
  <c r="AG56" i="2"/>
  <c r="AG57" i="2"/>
  <c r="AG32" i="1"/>
  <c r="AP33" i="1"/>
  <c r="AO87" i="2"/>
  <c r="AO56" i="2"/>
  <c r="AO57" i="2"/>
  <c r="AT57" i="2"/>
  <c r="AT56" i="2"/>
  <c r="AT87" i="2"/>
  <c r="AT100" i="2"/>
  <c r="AZ33" i="1"/>
  <c r="AY100" i="2"/>
  <c r="AY56" i="2"/>
  <c r="AY87" i="2"/>
  <c r="AY57" i="2"/>
  <c r="AY65" i="2"/>
  <c r="BB32" i="1"/>
  <c r="BH57" i="2"/>
  <c r="BH56" i="2"/>
  <c r="BH87" i="2"/>
  <c r="BI87" i="2" s="1"/>
  <c r="BH100" i="2"/>
  <c r="BI100" i="2" s="1"/>
  <c r="BH65" i="2"/>
  <c r="BN33" i="1"/>
  <c r="BM57" i="2"/>
  <c r="BM87" i="2"/>
  <c r="BM56" i="2"/>
  <c r="BR87" i="2"/>
  <c r="BR57" i="2"/>
  <c r="BR56" i="2"/>
  <c r="BX33" i="1"/>
  <c r="BW87" i="2"/>
  <c r="BW56" i="2"/>
  <c r="BW57" i="2"/>
  <c r="BZ32" i="1"/>
  <c r="CF56" i="2"/>
  <c r="CF87" i="2"/>
  <c r="CG87" i="2" s="1"/>
  <c r="CF57" i="2"/>
  <c r="CF100" i="2"/>
  <c r="CG100" i="2" s="1"/>
  <c r="CL87" i="2"/>
  <c r="CM87" i="2" s="1"/>
  <c r="CL57" i="2"/>
  <c r="CL56" i="2"/>
  <c r="CW32" i="1"/>
  <c r="CQ87" i="2"/>
  <c r="CQ56" i="2"/>
  <c r="CQ57" i="2"/>
  <c r="CX33" i="1"/>
  <c r="CW87" i="2"/>
  <c r="CW56" i="2"/>
  <c r="CW57" i="2"/>
  <c r="DB56" i="2"/>
  <c r="DB87" i="2"/>
  <c r="DB57" i="2"/>
  <c r="DH87" i="2"/>
  <c r="DH57" i="2"/>
  <c r="DH56" i="2"/>
  <c r="DN87" i="2"/>
  <c r="DN56" i="2"/>
  <c r="DN57" i="2"/>
  <c r="DT33" i="1"/>
  <c r="DS87" i="2"/>
  <c r="DS56" i="2"/>
  <c r="DS57" i="2"/>
  <c r="DV32" i="1"/>
  <c r="DI33" i="1"/>
  <c r="AN100" i="2"/>
  <c r="CP332" i="4"/>
  <c r="CX370" i="4"/>
  <c r="DM336" i="4"/>
  <c r="BH379" i="4"/>
  <c r="CJ379" i="4"/>
  <c r="CP379" i="4"/>
  <c r="BB438" i="4"/>
  <c r="BZ437" i="4"/>
  <c r="DE15" i="1"/>
  <c r="AJ57" i="2"/>
  <c r="AJ87" i="2"/>
  <c r="AK87" i="2" s="1"/>
  <c r="AJ56" i="2"/>
  <c r="AJ100" i="2"/>
  <c r="AK100" i="2" s="1"/>
  <c r="BM32" i="1"/>
  <c r="BG87" i="2"/>
  <c r="BG57" i="2"/>
  <c r="BG100" i="2"/>
  <c r="BG65" i="2"/>
  <c r="BG56" i="2"/>
  <c r="BR32" i="1"/>
  <c r="CL33" i="1"/>
  <c r="CK56" i="2"/>
  <c r="CK87" i="2"/>
  <c r="CK57" i="2"/>
  <c r="DB33" i="1"/>
  <c r="DA56" i="2"/>
  <c r="DA87" i="2"/>
  <c r="DA57" i="2"/>
  <c r="BB65" i="2"/>
  <c r="AJ10" i="4"/>
  <c r="AP9" i="4" s="1"/>
  <c r="BB10" i="4"/>
  <c r="BZ10" i="4"/>
  <c r="CF9" i="4" s="1"/>
  <c r="AQ33" i="4"/>
  <c r="BG86" i="4"/>
  <c r="BH88" i="4" s="1"/>
  <c r="AK331" i="4"/>
  <c r="AQ331" i="4"/>
  <c r="AN332" i="4"/>
  <c r="AZ398" i="4"/>
  <c r="BE398" i="4"/>
  <c r="BK370" i="4"/>
  <c r="BL332" i="4"/>
  <c r="BW333" i="4"/>
  <c r="CC333" i="4"/>
  <c r="CE332" i="4"/>
  <c r="CL370" i="4"/>
  <c r="DB332" i="4"/>
  <c r="DA333" i="4"/>
  <c r="DC332" i="4"/>
  <c r="DN336" i="4"/>
  <c r="DV338" i="4"/>
  <c r="DV341" i="4" s="1"/>
  <c r="CI370" i="4"/>
  <c r="BG378" i="4"/>
  <c r="BK378" i="4"/>
  <c r="AH379" i="4"/>
  <c r="CE378" i="4"/>
  <c r="CD379" i="4"/>
  <c r="AN436" i="4"/>
  <c r="AU438" i="4"/>
  <c r="BE437" i="4"/>
  <c r="BF438" i="4"/>
  <c r="BN437" i="4"/>
  <c r="BT438" i="4"/>
  <c r="CE438" i="4"/>
  <c r="CK436" i="4"/>
  <c r="CP436" i="4"/>
  <c r="CX438" i="4"/>
  <c r="DC438" i="4"/>
  <c r="BU11" i="1"/>
  <c r="CU13" i="1"/>
  <c r="DA13" i="1"/>
  <c r="DG13" i="1"/>
  <c r="DO13" i="1"/>
  <c r="DU13" i="1"/>
  <c r="BU15" i="1"/>
  <c r="AH56" i="2"/>
  <c r="AH87" i="2"/>
  <c r="AH57" i="2"/>
  <c r="AH32" i="1"/>
  <c r="AP87" i="2"/>
  <c r="AQ87" i="2" s="1"/>
  <c r="AP56" i="2"/>
  <c r="AP57" i="2"/>
  <c r="AP100" i="2"/>
  <c r="AQ100" i="2" s="1"/>
  <c r="BA32" i="1"/>
  <c r="AU100" i="2"/>
  <c r="AU87" i="2"/>
  <c r="AU57" i="2"/>
  <c r="AU56" i="2"/>
  <c r="BA33" i="1"/>
  <c r="AZ56" i="2"/>
  <c r="AZ87" i="2"/>
  <c r="AZ57" i="2"/>
  <c r="AZ65" i="2"/>
  <c r="AZ100" i="2"/>
  <c r="BF33" i="1"/>
  <c r="BE65" i="2"/>
  <c r="BE56" i="2"/>
  <c r="BE87" i="2"/>
  <c r="BE57" i="2"/>
  <c r="BE100" i="2"/>
  <c r="BF32" i="1"/>
  <c r="BN57" i="2"/>
  <c r="BN87" i="2"/>
  <c r="BO87" i="2" s="1"/>
  <c r="BN56" i="2"/>
  <c r="BN100" i="2"/>
  <c r="BO100" i="2" s="1"/>
  <c r="BY32" i="1"/>
  <c r="BS87" i="2"/>
  <c r="BS57" i="2"/>
  <c r="BS56" i="2"/>
  <c r="BX56" i="2"/>
  <c r="BX57" i="2"/>
  <c r="BX87" i="2"/>
  <c r="CD33" i="1"/>
  <c r="CC87" i="2"/>
  <c r="CC56" i="2"/>
  <c r="CC57" i="2"/>
  <c r="CD32" i="1"/>
  <c r="CL32" i="1"/>
  <c r="CR87" i="2"/>
  <c r="CS87" i="2" s="1"/>
  <c r="CR56" i="2"/>
  <c r="CR57" i="2"/>
  <c r="CX56" i="2"/>
  <c r="CX87" i="2"/>
  <c r="CY87" i="2" s="1"/>
  <c r="CX57" i="2"/>
  <c r="DI32" i="1"/>
  <c r="DC87" i="2"/>
  <c r="DC57" i="2"/>
  <c r="DC56" i="2"/>
  <c r="DJ33" i="1"/>
  <c r="DI56" i="2"/>
  <c r="DI57" i="2"/>
  <c r="DI87" i="2"/>
  <c r="DU32" i="1"/>
  <c r="DO56" i="2"/>
  <c r="DO87" i="2"/>
  <c r="DO57" i="2"/>
  <c r="DT57" i="2"/>
  <c r="DT87" i="2"/>
  <c r="DT56" i="2"/>
  <c r="BM33" i="1"/>
  <c r="DU33" i="1"/>
  <c r="CS40" i="1"/>
  <c r="BW55" i="1"/>
  <c r="CK55" i="1"/>
  <c r="BQ58" i="2"/>
  <c r="AJ58" i="2"/>
  <c r="AP58" i="2"/>
  <c r="AV58" i="2"/>
  <c r="CJ58" i="2"/>
  <c r="AG58" i="2"/>
  <c r="AM58" i="2"/>
  <c r="AS58" i="2"/>
  <c r="AH58" i="2"/>
  <c r="AN58" i="2"/>
  <c r="AT58" i="2"/>
  <c r="BZ58" i="2"/>
  <c r="BR58" i="2"/>
  <c r="AI58" i="2"/>
  <c r="AO58" i="2"/>
  <c r="AU58" i="2"/>
  <c r="O487" i="4"/>
  <c r="U487" i="4"/>
  <c r="AA487" i="4"/>
  <c r="AG487" i="4"/>
  <c r="AM487" i="4"/>
  <c r="AS487" i="4"/>
  <c r="EL71" i="1"/>
  <c r="ER71" i="1" s="1"/>
  <c r="EF126" i="2"/>
  <c r="BI70" i="1"/>
  <c r="AQ70" i="1"/>
  <c r="EI71" i="1"/>
  <c r="EI70" i="1" s="1"/>
  <c r="EE126" i="2"/>
  <c r="I268" i="484"/>
  <c r="BO70" i="1"/>
  <c r="EM71" i="1"/>
  <c r="ES71" i="1" s="1"/>
  <c r="EG126" i="2"/>
  <c r="Y70" i="1"/>
  <c r="AE70" i="1"/>
  <c r="J268" i="484"/>
  <c r="DO69" i="1"/>
  <c r="EN71" i="1"/>
  <c r="ET71" i="1" s="1"/>
  <c r="EH126" i="2"/>
  <c r="S70" i="1"/>
  <c r="S176" i="2"/>
  <c r="EC71" i="1"/>
  <c r="EC70" i="1" s="1"/>
  <c r="AW70" i="1"/>
  <c r="BC70" i="1"/>
  <c r="O138" i="1"/>
  <c r="S138" i="1"/>
  <c r="X138" i="1"/>
  <c r="AC138" i="1"/>
  <c r="AI138" i="1"/>
  <c r="AY138" i="1"/>
  <c r="BE138" i="1"/>
  <c r="BK138" i="1"/>
  <c r="CA138" i="1"/>
  <c r="CI138" i="1"/>
  <c r="CP138" i="1"/>
  <c r="BO93" i="1"/>
  <c r="P138" i="1"/>
  <c r="U138" i="1"/>
  <c r="Y138" i="1"/>
  <c r="AD138" i="1"/>
  <c r="AJ138" i="1"/>
  <c r="AZ138" i="1"/>
  <c r="BF138" i="1"/>
  <c r="BL138" i="1"/>
  <c r="CK138" i="1"/>
  <c r="CQ138" i="1"/>
  <c r="DW94" i="1"/>
  <c r="DW93" i="1" s="1"/>
  <c r="K250" i="484" s="1"/>
  <c r="K264" i="484" s="1"/>
  <c r="CG93" i="1"/>
  <c r="CY93" i="1"/>
  <c r="Q138" i="1"/>
  <c r="V138" i="1"/>
  <c r="AA138" i="1"/>
  <c r="AG138" i="1"/>
  <c r="BA138" i="1"/>
  <c r="BG138" i="1"/>
  <c r="BM138" i="1"/>
  <c r="CL138" i="1"/>
  <c r="CR138" i="1"/>
  <c r="DU322" i="1"/>
  <c r="AK138" i="1"/>
  <c r="CA93" i="1"/>
  <c r="CS93" i="1"/>
  <c r="R138" i="1"/>
  <c r="W138" i="1"/>
  <c r="AB138" i="1"/>
  <c r="AH138" i="1"/>
  <c r="BB138" i="1"/>
  <c r="BH138" i="1"/>
  <c r="BN138" i="1"/>
  <c r="CO138" i="1"/>
  <c r="DK94" i="1"/>
  <c r="EG94" i="1"/>
  <c r="EH94" i="1" s="1"/>
  <c r="AE93" i="1"/>
  <c r="AE98" i="1" s="1"/>
  <c r="AE105" i="1" s="1"/>
  <c r="BU93" i="1"/>
  <c r="EE76" i="1"/>
  <c r="EE325" i="1" s="1"/>
  <c r="EE14" i="3"/>
  <c r="EE89" i="3" s="1"/>
  <c r="EE137" i="2" s="1"/>
  <c r="DJ68" i="1"/>
  <c r="EL68" i="1"/>
  <c r="EK76" i="1"/>
  <c r="EK14" i="3"/>
  <c r="EK89" i="3" s="1"/>
  <c r="EK137" i="2" s="1"/>
  <c r="EN68" i="1"/>
  <c r="DC69" i="1"/>
  <c r="DQ66" i="1"/>
  <c r="DM68" i="1"/>
  <c r="EH69" i="1"/>
  <c r="DT68" i="1"/>
  <c r="DZ325" i="1"/>
  <c r="DZ89" i="3"/>
  <c r="DZ137" i="2" s="1"/>
  <c r="H63" i="484"/>
  <c r="H76" i="484" s="1"/>
  <c r="J61" i="484"/>
  <c r="Q61" i="484"/>
  <c r="H67" i="484"/>
  <c r="L67" i="484"/>
  <c r="Q53" i="4"/>
  <c r="O53" i="4"/>
  <c r="P53" i="4"/>
  <c r="BU134" i="3"/>
  <c r="BH134" i="3"/>
  <c r="BH132" i="2"/>
  <c r="BH135" i="2" s="1"/>
  <c r="BH131" i="2"/>
  <c r="BB287" i="1"/>
  <c r="BE271" i="1" s="1"/>
  <c r="BB136" i="2"/>
  <c r="DJ106" i="3"/>
  <c r="DK106" i="3" s="1"/>
  <c r="DK31" i="3"/>
  <c r="EH130" i="3"/>
  <c r="EI130" i="3" s="1"/>
  <c r="EI57" i="3"/>
  <c r="DD111" i="3"/>
  <c r="DE111" i="3" s="1"/>
  <c r="DE36" i="3"/>
  <c r="BH118" i="2"/>
  <c r="BI118" i="2" s="1"/>
  <c r="BH284" i="1"/>
  <c r="BI284" i="1" s="1"/>
  <c r="BB288" i="1"/>
  <c r="BC288" i="1" s="1"/>
  <c r="BB124" i="2"/>
  <c r="BB125" i="2" s="1"/>
  <c r="BB110" i="2" s="1"/>
  <c r="BC110" i="2" s="1"/>
  <c r="BN284" i="1"/>
  <c r="BO284" i="1" s="1"/>
  <c r="BN118" i="2"/>
  <c r="BN125" i="3"/>
  <c r="DE52" i="3"/>
  <c r="DD66" i="3"/>
  <c r="BM125" i="2"/>
  <c r="BI128" i="3"/>
  <c r="BI134" i="3" s="1"/>
  <c r="CL125" i="3"/>
  <c r="CF109" i="3"/>
  <c r="CG109" i="3" s="1"/>
  <c r="CG34" i="3"/>
  <c r="CR125" i="3"/>
  <c r="DD107" i="3"/>
  <c r="DE107" i="3" s="1"/>
  <c r="DE32" i="3"/>
  <c r="BZ107" i="3"/>
  <c r="CA107" i="3" s="1"/>
  <c r="CA32" i="3"/>
  <c r="BN134" i="3"/>
  <c r="BN132" i="2"/>
  <c r="BN131" i="2"/>
  <c r="BN130" i="2" s="1"/>
  <c r="BZ40" i="3"/>
  <c r="CG125" i="3"/>
  <c r="DD108" i="3"/>
  <c r="DE108" i="3" s="1"/>
  <c r="DE33" i="3"/>
  <c r="BH125" i="3"/>
  <c r="CX125" i="3"/>
  <c r="BA271" i="1"/>
  <c r="CR110" i="3"/>
  <c r="CS110" i="3" s="1"/>
  <c r="CS35" i="3"/>
  <c r="DK131" i="3"/>
  <c r="DK134" i="3" s="1"/>
  <c r="CX131" i="3"/>
  <c r="CX61" i="3"/>
  <c r="CY61" i="3" s="1"/>
  <c r="CY58" i="3"/>
  <c r="BI117" i="3"/>
  <c r="BA150" i="2"/>
  <c r="BA151" i="2" s="1"/>
  <c r="BA283" i="1"/>
  <c r="BZ125" i="3"/>
  <c r="BO118" i="2"/>
  <c r="CF108" i="3"/>
  <c r="CG108" i="3" s="1"/>
  <c r="CG33" i="3"/>
  <c r="CY52" i="3"/>
  <c r="DW66" i="3"/>
  <c r="DD109" i="3"/>
  <c r="DE109" i="3" s="1"/>
  <c r="DE34" i="3"/>
  <c r="BH150" i="2"/>
  <c r="BH151" i="2" s="1"/>
  <c r="BH283" i="1"/>
  <c r="BI148" i="2"/>
  <c r="BZ131" i="3"/>
  <c r="CA58" i="3"/>
  <c r="BZ61" i="3"/>
  <c r="CA61" i="3" s="1"/>
  <c r="DK125" i="3"/>
  <c r="DK52" i="3"/>
  <c r="DJ66" i="3"/>
  <c r="EB116" i="3"/>
  <c r="CR106" i="3"/>
  <c r="CS31" i="3"/>
  <c r="BC88" i="3"/>
  <c r="CL66" i="3"/>
  <c r="EN91" i="3"/>
  <c r="EO91" i="3" s="1"/>
  <c r="EO16" i="3"/>
  <c r="BM130" i="2"/>
  <c r="BB150" i="2"/>
  <c r="BB151" i="2" s="1"/>
  <c r="BB283" i="1"/>
  <c r="CU145" i="3"/>
  <c r="CU139" i="3"/>
  <c r="BI131" i="2"/>
  <c r="CS52" i="3"/>
  <c r="CR109" i="3"/>
  <c r="CS109" i="3" s="1"/>
  <c r="CS34" i="3"/>
  <c r="BG125" i="2"/>
  <c r="BH136" i="2"/>
  <c r="BI136" i="2" s="1"/>
  <c r="BH287" i="1"/>
  <c r="BM271" i="1" s="1"/>
  <c r="CX106" i="3"/>
  <c r="CY31" i="3"/>
  <c r="AZ195" i="1"/>
  <c r="BB194" i="1"/>
  <c r="BB195" i="1" s="1"/>
  <c r="DP134" i="3"/>
  <c r="BB134" i="3"/>
  <c r="BB284" i="1"/>
  <c r="BC284" i="1" s="1"/>
  <c r="BB118" i="2"/>
  <c r="BC136" i="2"/>
  <c r="CM131" i="3"/>
  <c r="CM134" i="3" s="1"/>
  <c r="BH288" i="1"/>
  <c r="BI288" i="1" s="1"/>
  <c r="BH124" i="2"/>
  <c r="BH125" i="2" s="1"/>
  <c r="BH110" i="2" s="1"/>
  <c r="BI110" i="2" s="1"/>
  <c r="CF125" i="3"/>
  <c r="BO132" i="2"/>
  <c r="BO135" i="2" s="1"/>
  <c r="CL106" i="3"/>
  <c r="CM31" i="3"/>
  <c r="CX107" i="3"/>
  <c r="CY107" i="3" s="1"/>
  <c r="CY32" i="3"/>
  <c r="BC124" i="2"/>
  <c r="BC125" i="2" s="1"/>
  <c r="CF131" i="3"/>
  <c r="CF61" i="3"/>
  <c r="CG61" i="3" s="1"/>
  <c r="CG58" i="3"/>
  <c r="CR107" i="3"/>
  <c r="CS107" i="3" s="1"/>
  <c r="CS32" i="3"/>
  <c r="DW148" i="3"/>
  <c r="BT134" i="3"/>
  <c r="BZ106" i="3"/>
  <c r="CA31" i="3"/>
  <c r="BG135" i="2"/>
  <c r="BN124" i="2"/>
  <c r="BN125" i="2" s="1"/>
  <c r="BN110" i="2" s="1"/>
  <c r="BO110" i="2" s="1"/>
  <c r="BN288" i="1"/>
  <c r="BO288" i="1" s="1"/>
  <c r="BI125" i="3"/>
  <c r="BC131" i="3"/>
  <c r="BC90" i="3"/>
  <c r="BC287" i="1" s="1"/>
  <c r="CF107" i="3"/>
  <c r="CG107" i="3" s="1"/>
  <c r="CG32" i="3"/>
  <c r="DJ125" i="3"/>
  <c r="CR131" i="3"/>
  <c r="CR61" i="3"/>
  <c r="CS61" i="3" s="1"/>
  <c r="CS58" i="3"/>
  <c r="BC129" i="3"/>
  <c r="BC148" i="2" s="1"/>
  <c r="BM260" i="2"/>
  <c r="BM261" i="2" s="1"/>
  <c r="CG275" i="2"/>
  <c r="EO164" i="2"/>
  <c r="EI162" i="2"/>
  <c r="BU168" i="2"/>
  <c r="BT169" i="2"/>
  <c r="CL169" i="2"/>
  <c r="CM168" i="2"/>
  <c r="CM169" i="2" s="1"/>
  <c r="DP282" i="1"/>
  <c r="DQ282" i="1" s="1"/>
  <c r="DQ48" i="2"/>
  <c r="BZ169" i="2"/>
  <c r="CA168" i="2"/>
  <c r="CG169" i="2" s="1"/>
  <c r="DA115" i="2"/>
  <c r="DB115" i="2" s="1"/>
  <c r="DC115" i="2" s="1"/>
  <c r="DD115" i="2" s="1"/>
  <c r="CY115" i="2"/>
  <c r="EK148" i="2"/>
  <c r="EK56" i="3" s="1"/>
  <c r="EK129" i="3" s="1"/>
  <c r="EL150" i="2"/>
  <c r="AZ211" i="2"/>
  <c r="BA204" i="2"/>
  <c r="AZ297" i="2"/>
  <c r="DI151" i="2"/>
  <c r="DJ141" i="2"/>
  <c r="CA222" i="2"/>
  <c r="CD222" i="2"/>
  <c r="CE222" i="2" s="1"/>
  <c r="DB169" i="2"/>
  <c r="CO169" i="2"/>
  <c r="EI165" i="2"/>
  <c r="EI166" i="2" s="1"/>
  <c r="CY171" i="2"/>
  <c r="BU50" i="2"/>
  <c r="BU52" i="2" s="1"/>
  <c r="BT52" i="2"/>
  <c r="AC96" i="2"/>
  <c r="AC99" i="2"/>
  <c r="AC100" i="2" s="1"/>
  <c r="EE96" i="2"/>
  <c r="BX223" i="2"/>
  <c r="BY223" i="2" s="1"/>
  <c r="BU223" i="2"/>
  <c r="EO162" i="2"/>
  <c r="CM145" i="2"/>
  <c r="CO143" i="2"/>
  <c r="CS143" i="2" s="1"/>
  <c r="AO99" i="2"/>
  <c r="AO100" i="2" s="1"/>
  <c r="BY98" i="2"/>
  <c r="Y271" i="2"/>
  <c r="EE138" i="2"/>
  <c r="EE283" i="1"/>
  <c r="CM171" i="2"/>
  <c r="BU171" i="2"/>
  <c r="DP50" i="2"/>
  <c r="CX169" i="2"/>
  <c r="CY168" i="2"/>
  <c r="CY169" i="2" s="1"/>
  <c r="CE98" i="2"/>
  <c r="DM169" i="2"/>
  <c r="DS168" i="2"/>
  <c r="DW171" i="2"/>
  <c r="CV110" i="2"/>
  <c r="CW106" i="2"/>
  <c r="BR169" i="2"/>
  <c r="CU169" i="2"/>
  <c r="CV169" i="2"/>
  <c r="BY121" i="2"/>
  <c r="BY122" i="2"/>
  <c r="BZ121" i="2"/>
  <c r="BZ122" i="2"/>
  <c r="AZ253" i="2"/>
  <c r="BO180" i="1"/>
  <c r="BO177" i="1"/>
  <c r="BA209" i="2"/>
  <c r="BB202" i="2"/>
  <c r="BB209" i="2" s="1"/>
  <c r="EC34" i="4"/>
  <c r="EC36" i="4" s="1"/>
  <c r="EC51" i="4" s="1"/>
  <c r="EO34" i="4"/>
  <c r="BC399" i="4"/>
  <c r="BB399" i="4" s="1"/>
  <c r="BB400" i="4" s="1"/>
  <c r="CS50" i="2"/>
  <c r="CS52" i="2" s="1"/>
  <c r="CR52" i="2"/>
  <c r="BG256" i="2"/>
  <c r="BG257" i="2" s="1"/>
  <c r="BW168" i="2"/>
  <c r="CA171" i="2"/>
  <c r="CX221" i="2"/>
  <c r="DA221" i="2"/>
  <c r="AE271" i="2"/>
  <c r="BT116" i="2"/>
  <c r="BU116" i="2" s="1"/>
  <c r="BU114" i="2"/>
  <c r="BW114" i="2" s="1"/>
  <c r="BN169" i="2"/>
  <c r="BO168" i="2"/>
  <c r="BO169" i="2" s="1"/>
  <c r="CX121" i="2"/>
  <c r="CY121" i="2" s="1"/>
  <c r="CY107" i="2"/>
  <c r="DA107" i="2" s="1"/>
  <c r="EE98" i="2"/>
  <c r="BG297" i="2"/>
  <c r="BG211" i="2"/>
  <c r="BH204" i="2"/>
  <c r="EC95" i="1"/>
  <c r="EI95" i="1"/>
  <c r="DW164" i="2"/>
  <c r="DQ162" i="2"/>
  <c r="DQ165" i="2" s="1"/>
  <c r="DQ166" i="2" s="1"/>
  <c r="DW162" i="2"/>
  <c r="AI99" i="2"/>
  <c r="AI100" i="2" s="1"/>
  <c r="EG150" i="2"/>
  <c r="EF148" i="2"/>
  <c r="EF56" i="3" s="1"/>
  <c r="EF129" i="3" s="1"/>
  <c r="BM169" i="2"/>
  <c r="DE169" i="2"/>
  <c r="DJ169" i="2"/>
  <c r="DK168" i="2"/>
  <c r="DK169" i="2" s="1"/>
  <c r="BB214" i="2"/>
  <c r="BC214" i="2" s="1"/>
  <c r="BB206" i="2"/>
  <c r="BB208" i="2"/>
  <c r="Y181" i="1"/>
  <c r="Y178" i="1"/>
  <c r="AE204" i="2"/>
  <c r="Y211" i="2"/>
  <c r="Y297" i="2"/>
  <c r="AE216" i="2"/>
  <c r="AA236" i="2" s="1"/>
  <c r="Y176" i="1"/>
  <c r="CW141" i="2"/>
  <c r="CV151" i="2"/>
  <c r="DV169" i="2"/>
  <c r="DW168" i="2"/>
  <c r="DW169" i="2" s="1"/>
  <c r="CC169" i="2"/>
  <c r="CD169" i="2"/>
  <c r="CJ169" i="2"/>
  <c r="DY169" i="2"/>
  <c r="CM177" i="2"/>
  <c r="CL116" i="2"/>
  <c r="CM116" i="2" s="1"/>
  <c r="CM113" i="2"/>
  <c r="CO113" i="2" s="1"/>
  <c r="BA216" i="2"/>
  <c r="U233" i="2"/>
  <c r="BZ81" i="1"/>
  <c r="BR262" i="1"/>
  <c r="BR81" i="1"/>
  <c r="DS13" i="1"/>
  <c r="BQ262" i="1"/>
  <c r="BQ81" i="1"/>
  <c r="BS262" i="1"/>
  <c r="CJ81" i="1"/>
  <c r="BK63" i="4"/>
  <c r="AY262" i="1"/>
  <c r="BQ438" i="4"/>
  <c r="CC438" i="4"/>
  <c r="CW438" i="4"/>
  <c r="DI438" i="4"/>
  <c r="AW206" i="1"/>
  <c r="BU206" i="1"/>
  <c r="CS206" i="1"/>
  <c r="DZ260" i="1"/>
  <c r="DZ206" i="1"/>
  <c r="DZ222" i="1"/>
  <c r="DD12" i="1"/>
  <c r="DJ13" i="1" s="1"/>
  <c r="BC207" i="1"/>
  <c r="CA207" i="1"/>
  <c r="DQ207" i="1"/>
  <c r="DT26" i="1"/>
  <c r="DY25" i="1"/>
  <c r="AH243" i="1"/>
  <c r="AH239" i="1"/>
  <c r="AH246" i="1"/>
  <c r="AH242" i="1"/>
  <c r="AH238" i="1"/>
  <c r="AH245" i="1"/>
  <c r="AH261" i="1"/>
  <c r="AH240" i="1"/>
  <c r="AH224" i="1"/>
  <c r="AH244" i="1"/>
  <c r="AH208" i="1"/>
  <c r="AH55" i="1"/>
  <c r="AH63" i="1"/>
  <c r="AH59" i="1"/>
  <c r="AP261" i="1"/>
  <c r="AP243" i="1"/>
  <c r="AP238" i="1"/>
  <c r="AP246" i="1"/>
  <c r="AP242" i="1"/>
  <c r="AP245" i="1"/>
  <c r="AP240" i="1"/>
  <c r="AP239" i="1"/>
  <c r="AP224" i="1"/>
  <c r="AP244" i="1"/>
  <c r="AP208" i="1"/>
  <c r="AP55" i="1"/>
  <c r="AP63" i="1"/>
  <c r="AP59" i="1"/>
  <c r="AT243" i="1"/>
  <c r="AT246" i="1"/>
  <c r="AT242" i="1"/>
  <c r="AT240" i="1"/>
  <c r="AT245" i="1"/>
  <c r="AT239" i="1"/>
  <c r="AT261" i="1"/>
  <c r="AT244" i="1"/>
  <c r="AT238" i="1"/>
  <c r="AT224" i="1"/>
  <c r="AT208" i="1"/>
  <c r="AT55" i="1"/>
  <c r="AT63" i="1"/>
  <c r="AT59" i="1"/>
  <c r="AS32" i="1"/>
  <c r="BB261" i="1"/>
  <c r="BB243" i="1"/>
  <c r="BB240" i="1"/>
  <c r="BB239" i="1"/>
  <c r="BB238" i="1"/>
  <c r="BB224" i="1"/>
  <c r="BB208" i="1"/>
  <c r="BB63" i="1"/>
  <c r="BF243" i="1"/>
  <c r="BF239" i="1"/>
  <c r="BF242" i="1"/>
  <c r="BF238" i="1"/>
  <c r="BF261" i="1"/>
  <c r="BF240" i="1"/>
  <c r="BF224" i="1"/>
  <c r="BF208" i="1"/>
  <c r="BE32" i="1"/>
  <c r="BN261" i="1"/>
  <c r="BN243" i="1"/>
  <c r="BN238" i="1"/>
  <c r="BN240" i="1"/>
  <c r="BN224" i="1"/>
  <c r="BN239" i="1"/>
  <c r="BN208" i="1"/>
  <c r="BN67" i="1"/>
  <c r="BR244" i="1"/>
  <c r="BR246" i="1"/>
  <c r="BR261" i="1"/>
  <c r="BR240" i="1"/>
  <c r="BR245" i="1"/>
  <c r="BR242" i="1"/>
  <c r="BR239" i="1"/>
  <c r="BR238" i="1"/>
  <c r="BR224" i="1"/>
  <c r="BR208" i="1"/>
  <c r="BR59" i="1"/>
  <c r="BR67" i="1"/>
  <c r="BR63" i="1"/>
  <c r="BR55" i="1"/>
  <c r="BQ32" i="1"/>
  <c r="BZ261" i="1"/>
  <c r="BZ243" i="1"/>
  <c r="BZ240" i="1"/>
  <c r="BZ239" i="1"/>
  <c r="BZ238" i="1"/>
  <c r="BZ224" i="1"/>
  <c r="BZ208" i="1"/>
  <c r="BZ67" i="1"/>
  <c r="BZ63" i="1"/>
  <c r="BZ59" i="1"/>
  <c r="BZ55" i="1"/>
  <c r="CD239" i="1"/>
  <c r="CD238" i="1"/>
  <c r="CD240" i="1"/>
  <c r="CD261" i="1"/>
  <c r="CD224" i="1"/>
  <c r="CD208" i="1"/>
  <c r="CD67" i="1"/>
  <c r="CC32" i="1"/>
  <c r="CL238" i="1"/>
  <c r="CL240" i="1"/>
  <c r="CL224" i="1"/>
  <c r="CL239" i="1"/>
  <c r="CL208" i="1"/>
  <c r="CR117" i="1"/>
  <c r="CL67" i="1"/>
  <c r="CL63" i="1"/>
  <c r="CP261" i="1"/>
  <c r="CP243" i="1"/>
  <c r="CP240" i="1"/>
  <c r="CP239" i="1"/>
  <c r="CP238" i="1"/>
  <c r="CP224" i="1"/>
  <c r="CP67" i="1"/>
  <c r="CP63" i="1"/>
  <c r="CO32" i="1"/>
  <c r="CX261" i="1"/>
  <c r="CX240" i="1"/>
  <c r="CX239" i="1"/>
  <c r="CX238" i="1"/>
  <c r="CX224" i="1"/>
  <c r="CX208" i="1"/>
  <c r="DB261" i="1"/>
  <c r="DB239" i="1"/>
  <c r="DB238" i="1"/>
  <c r="DB224" i="1"/>
  <c r="DB208" i="1"/>
  <c r="DB240" i="1"/>
  <c r="DA32" i="1"/>
  <c r="DJ261" i="1"/>
  <c r="DJ238" i="1"/>
  <c r="DJ240" i="1"/>
  <c r="DJ224" i="1"/>
  <c r="DJ239" i="1"/>
  <c r="DJ112" i="1"/>
  <c r="DJ63" i="1"/>
  <c r="DJ67" i="1"/>
  <c r="DN240" i="1"/>
  <c r="DN261" i="1"/>
  <c r="DN239" i="1"/>
  <c r="DN238" i="1"/>
  <c r="DN208" i="1"/>
  <c r="DN224" i="1"/>
  <c r="DN67" i="1"/>
  <c r="DN59" i="1"/>
  <c r="DM32" i="1"/>
  <c r="DV261" i="1"/>
  <c r="DV240" i="1"/>
  <c r="DV239" i="1"/>
  <c r="DV238" i="1"/>
  <c r="DV224" i="1"/>
  <c r="DV208" i="1"/>
  <c r="DV59" i="1"/>
  <c r="AH33" i="1"/>
  <c r="AT33" i="1"/>
  <c r="CP33" i="1"/>
  <c r="AK210" i="1"/>
  <c r="BB242" i="1"/>
  <c r="BE226" i="1"/>
  <c r="BB226" i="1"/>
  <c r="BB210" i="1"/>
  <c r="BH210" i="1"/>
  <c r="BK242" i="1"/>
  <c r="BK210" i="1"/>
  <c r="BK226" i="1"/>
  <c r="BO36" i="1"/>
  <c r="BT242" i="1"/>
  <c r="BT226" i="1"/>
  <c r="BT210" i="1"/>
  <c r="BY242" i="1"/>
  <c r="BY226" i="1"/>
  <c r="BY210" i="1"/>
  <c r="CC242" i="1"/>
  <c r="CC226" i="1"/>
  <c r="CC210" i="1"/>
  <c r="CG36" i="1"/>
  <c r="CK226" i="1"/>
  <c r="CK210" i="1"/>
  <c r="CK242" i="1"/>
  <c r="CO242" i="1"/>
  <c r="CO226" i="1"/>
  <c r="CO210" i="1"/>
  <c r="CS36" i="1"/>
  <c r="CW242" i="1"/>
  <c r="CW226" i="1"/>
  <c r="CW210" i="1"/>
  <c r="DA242" i="1"/>
  <c r="DA226" i="1"/>
  <c r="DA210" i="1"/>
  <c r="DE36" i="1"/>
  <c r="DD37" i="1"/>
  <c r="DI242" i="1"/>
  <c r="DI226" i="1"/>
  <c r="DI210" i="1"/>
  <c r="DM242" i="1"/>
  <c r="DM226" i="1"/>
  <c r="DM210" i="1"/>
  <c r="DQ36" i="1"/>
  <c r="DU226" i="1"/>
  <c r="DU242" i="1"/>
  <c r="DU210" i="1"/>
  <c r="AW37" i="1"/>
  <c r="BB37" i="1"/>
  <c r="BG37" i="1"/>
  <c r="AK211" i="1"/>
  <c r="BI211" i="1"/>
  <c r="BT243" i="1"/>
  <c r="BW227" i="1"/>
  <c r="BZ211" i="1"/>
  <c r="BT227" i="1"/>
  <c r="BT211" i="1"/>
  <c r="CF243" i="1"/>
  <c r="CF227" i="1"/>
  <c r="CF211" i="1"/>
  <c r="CL243" i="1"/>
  <c r="CL227" i="1"/>
  <c r="CL211" i="1"/>
  <c r="CR227" i="1"/>
  <c r="CR243" i="1"/>
  <c r="CR211" i="1"/>
  <c r="CW243" i="1"/>
  <c r="CW227" i="1"/>
  <c r="CW211" i="1"/>
  <c r="DA243" i="1"/>
  <c r="DA211" i="1"/>
  <c r="DA227" i="1"/>
  <c r="DE39" i="1"/>
  <c r="DI243" i="1"/>
  <c r="DI227" i="1"/>
  <c r="DI211" i="1"/>
  <c r="DM243" i="1"/>
  <c r="DM211" i="1"/>
  <c r="DM227" i="1"/>
  <c r="DQ39" i="1"/>
  <c r="DU243" i="1"/>
  <c r="DU227" i="1"/>
  <c r="DU211" i="1"/>
  <c r="AI262" i="1"/>
  <c r="AI81" i="1"/>
  <c r="AN262" i="1"/>
  <c r="AN81" i="1"/>
  <c r="AS262" i="1"/>
  <c r="AS81" i="1"/>
  <c r="BB48" i="1"/>
  <c r="CO48" i="1"/>
  <c r="CO50" i="1" s="1"/>
  <c r="DM48" i="1"/>
  <c r="F249" i="1"/>
  <c r="F233" i="1"/>
  <c r="F136" i="1"/>
  <c r="F98" i="1"/>
  <c r="F86" i="1"/>
  <c r="J249" i="1"/>
  <c r="J233" i="1"/>
  <c r="J217" i="1"/>
  <c r="J136" i="1"/>
  <c r="J98" i="1"/>
  <c r="J86" i="1"/>
  <c r="R249" i="1"/>
  <c r="R233" i="1"/>
  <c r="R217" i="1"/>
  <c r="R136" i="1"/>
  <c r="R98" i="1"/>
  <c r="R86" i="1"/>
  <c r="V249" i="1"/>
  <c r="V233" i="1"/>
  <c r="V217" i="1"/>
  <c r="V136" i="1"/>
  <c r="V98" i="1"/>
  <c r="V86" i="1"/>
  <c r="AD249" i="1"/>
  <c r="AD217" i="1"/>
  <c r="AD233" i="1"/>
  <c r="AD136" i="1"/>
  <c r="AD86" i="1"/>
  <c r="AD98" i="1"/>
  <c r="AH50" i="1"/>
  <c r="AP50" i="1"/>
  <c r="AT50" i="1"/>
  <c r="BF50" i="1"/>
  <c r="BN50" i="1"/>
  <c r="BR50" i="1"/>
  <c r="BZ50" i="1"/>
  <c r="CX50" i="1"/>
  <c r="DV50" i="1"/>
  <c r="AQ212" i="1"/>
  <c r="AQ79" i="1"/>
  <c r="AW56" i="1"/>
  <c r="BA244" i="1"/>
  <c r="BA228" i="1"/>
  <c r="BA212" i="1"/>
  <c r="BA79" i="1"/>
  <c r="BG56" i="1"/>
  <c r="BB57" i="1"/>
  <c r="AZ55" i="1"/>
  <c r="BN244" i="1"/>
  <c r="BN228" i="1"/>
  <c r="BN212" i="1"/>
  <c r="BN79" i="1"/>
  <c r="BQ57" i="1"/>
  <c r="BT56" i="1"/>
  <c r="BM55" i="1"/>
  <c r="BS244" i="1"/>
  <c r="BS228" i="1"/>
  <c r="BS212" i="1"/>
  <c r="BS57" i="1"/>
  <c r="BS55" i="1"/>
  <c r="BS79" i="1"/>
  <c r="BT57" i="1"/>
  <c r="BX244" i="1"/>
  <c r="BX228" i="1"/>
  <c r="BX212" i="1"/>
  <c r="BX79" i="1"/>
  <c r="BX428" i="4" s="1"/>
  <c r="BY55" i="1"/>
  <c r="BX245" i="1"/>
  <c r="BX267" i="1"/>
  <c r="BX229" i="1"/>
  <c r="BX213" i="1"/>
  <c r="BY59" i="1"/>
  <c r="BW61" i="1"/>
  <c r="BX246" i="1"/>
  <c r="BX230" i="1"/>
  <c r="BX214" i="1"/>
  <c r="BY63" i="1"/>
  <c r="BW65" i="1"/>
  <c r="CE244" i="1"/>
  <c r="CE228" i="1"/>
  <c r="CE212" i="1"/>
  <c r="CF57" i="1"/>
  <c r="CE79" i="1"/>
  <c r="CE81" i="1" s="1"/>
  <c r="CE267" i="1"/>
  <c r="CE245" i="1"/>
  <c r="CE229" i="1"/>
  <c r="CE213" i="1"/>
  <c r="CF61" i="1"/>
  <c r="CK60" i="1"/>
  <c r="CE246" i="1"/>
  <c r="CE230" i="1"/>
  <c r="CE214" i="1"/>
  <c r="CF65" i="1"/>
  <c r="CK64" i="1"/>
  <c r="CL244" i="1"/>
  <c r="CL212" i="1"/>
  <c r="CL228" i="1"/>
  <c r="CO57" i="1"/>
  <c r="CL79" i="1"/>
  <c r="CO244" i="1"/>
  <c r="CO228" i="1"/>
  <c r="CO212" i="1"/>
  <c r="CO79" i="1"/>
  <c r="CP57" i="1"/>
  <c r="CS54" i="1"/>
  <c r="CR55" i="1"/>
  <c r="CQ56" i="1"/>
  <c r="CV244" i="1"/>
  <c r="CV228" i="1"/>
  <c r="CV212" i="1"/>
  <c r="CV79" i="1"/>
  <c r="CV81" i="1" s="1"/>
  <c r="CW57" i="1"/>
  <c r="DD228" i="1"/>
  <c r="DD212" i="1"/>
  <c r="DG57" i="1"/>
  <c r="DD79" i="1"/>
  <c r="DD81" i="1" s="1"/>
  <c r="DD56" i="1"/>
  <c r="DI244" i="1"/>
  <c r="DI228" i="1"/>
  <c r="DI212" i="1"/>
  <c r="DI79" i="1"/>
  <c r="DJ57" i="1"/>
  <c r="DH55" i="1"/>
  <c r="DP244" i="1"/>
  <c r="DP228" i="1"/>
  <c r="DP212" i="1"/>
  <c r="DP79" i="1"/>
  <c r="DS57" i="1"/>
  <c r="DS244" i="1"/>
  <c r="DS228" i="1"/>
  <c r="DS212" i="1"/>
  <c r="DY56" i="1"/>
  <c r="DT57" i="1"/>
  <c r="DS79" i="1"/>
  <c r="DS81" i="1" s="1"/>
  <c r="DW54" i="1"/>
  <c r="DS55" i="1"/>
  <c r="DV56" i="1"/>
  <c r="S59" i="1"/>
  <c r="BT59" i="1"/>
  <c r="BQ63" i="1"/>
  <c r="CX325" i="1"/>
  <c r="CX168" i="1"/>
  <c r="CY168" i="1" s="1"/>
  <c r="CY76" i="1"/>
  <c r="CY325" i="1" s="1"/>
  <c r="DP325" i="1"/>
  <c r="DQ76" i="1"/>
  <c r="DQ325" i="1" s="1"/>
  <c r="EK325" i="1"/>
  <c r="CI55" i="1"/>
  <c r="AC83" i="1"/>
  <c r="AC82" i="1"/>
  <c r="BO34" i="4"/>
  <c r="BO36" i="4" s="1"/>
  <c r="CA34" i="4"/>
  <c r="CA36" i="4" s="1"/>
  <c r="CA51" i="4" s="1"/>
  <c r="CS34" i="4"/>
  <c r="CS36" i="4" s="1"/>
  <c r="CS51" i="4" s="1"/>
  <c r="DE34" i="4"/>
  <c r="DE36" i="4" s="1"/>
  <c r="DE51" i="4" s="1"/>
  <c r="DQ34" i="4"/>
  <c r="DQ36" i="4" s="1"/>
  <c r="DQ51" i="4" s="1"/>
  <c r="BC206" i="1"/>
  <c r="CA206" i="1"/>
  <c r="CY206" i="1"/>
  <c r="DQ206" i="1"/>
  <c r="EA260" i="1"/>
  <c r="EA206" i="1"/>
  <c r="EA222" i="1"/>
  <c r="DQ11" i="1"/>
  <c r="AK207" i="1"/>
  <c r="BI207" i="1"/>
  <c r="CG207" i="1"/>
  <c r="CY207" i="1"/>
  <c r="DW207" i="1"/>
  <c r="AQ15" i="1"/>
  <c r="BO15" i="1"/>
  <c r="DY26" i="1"/>
  <c r="S242" i="1"/>
  <c r="S240" i="1"/>
  <c r="S239" i="1"/>
  <c r="S243" i="1"/>
  <c r="S208" i="1"/>
  <c r="S238" i="1"/>
  <c r="AI261" i="1"/>
  <c r="AI246" i="1"/>
  <c r="AI242" i="1"/>
  <c r="AI238" i="1"/>
  <c r="AI245" i="1"/>
  <c r="AI244" i="1"/>
  <c r="AI240" i="1"/>
  <c r="AI239" i="1"/>
  <c r="AI243" i="1"/>
  <c r="AI224" i="1"/>
  <c r="AI208" i="1"/>
  <c r="AI63" i="1"/>
  <c r="AI59" i="1"/>
  <c r="AI55" i="1"/>
  <c r="AM261" i="1"/>
  <c r="AM246" i="1"/>
  <c r="AM242" i="1"/>
  <c r="AM245" i="1"/>
  <c r="AM240" i="1"/>
  <c r="AM244" i="1"/>
  <c r="AM239" i="1"/>
  <c r="AM243" i="1"/>
  <c r="AM224" i="1"/>
  <c r="AM208" i="1"/>
  <c r="AM238" i="1"/>
  <c r="AM63" i="1"/>
  <c r="AM59" i="1"/>
  <c r="AM55" i="1"/>
  <c r="AU261" i="1"/>
  <c r="AU246" i="1"/>
  <c r="AU242" i="1"/>
  <c r="AU240" i="1"/>
  <c r="AU245" i="1"/>
  <c r="AU239" i="1"/>
  <c r="AU244" i="1"/>
  <c r="AU238" i="1"/>
  <c r="AU243" i="1"/>
  <c r="AU224" i="1"/>
  <c r="AU208" i="1"/>
  <c r="AU63" i="1"/>
  <c r="AU59" i="1"/>
  <c r="AU55" i="1"/>
  <c r="AY261" i="1"/>
  <c r="AY239" i="1"/>
  <c r="AY238" i="1"/>
  <c r="AY240" i="1"/>
  <c r="AY243" i="1"/>
  <c r="AY224" i="1"/>
  <c r="AY208" i="1"/>
  <c r="AY63" i="1"/>
  <c r="AY59" i="1"/>
  <c r="BC31" i="1"/>
  <c r="BC242" i="1" s="1"/>
  <c r="BG261" i="1"/>
  <c r="BG238" i="1"/>
  <c r="BG240" i="1"/>
  <c r="BG243" i="1"/>
  <c r="BG239" i="1"/>
  <c r="BG224" i="1"/>
  <c r="BG208" i="1"/>
  <c r="BK261" i="1"/>
  <c r="BK240" i="1"/>
  <c r="BK239" i="1"/>
  <c r="BK238" i="1"/>
  <c r="BK224" i="1"/>
  <c r="BK208" i="1"/>
  <c r="BK243" i="1"/>
  <c r="BK67" i="1"/>
  <c r="BK63" i="1"/>
  <c r="BO31" i="1"/>
  <c r="BO239" i="1" s="1"/>
  <c r="BS261" i="1"/>
  <c r="BS240" i="1"/>
  <c r="BS239" i="1"/>
  <c r="BS238" i="1"/>
  <c r="BS224" i="1"/>
  <c r="BS208" i="1"/>
  <c r="BS67" i="1"/>
  <c r="BW261" i="1"/>
  <c r="BW243" i="1"/>
  <c r="BW239" i="1"/>
  <c r="BW238" i="1"/>
  <c r="BW240" i="1"/>
  <c r="BW224" i="1"/>
  <c r="BW208" i="1"/>
  <c r="BW67" i="1"/>
  <c r="CA31" i="1"/>
  <c r="CA243" i="1" s="1"/>
  <c r="CE243" i="1"/>
  <c r="CE261" i="1"/>
  <c r="CE238" i="1"/>
  <c r="CE240" i="1"/>
  <c r="CE224" i="1"/>
  <c r="CE208" i="1"/>
  <c r="CE239" i="1"/>
  <c r="CE67" i="1"/>
  <c r="CI261" i="1"/>
  <c r="CI240" i="1"/>
  <c r="CI239" i="1"/>
  <c r="CI238" i="1"/>
  <c r="CI224" i="1"/>
  <c r="CI208" i="1"/>
  <c r="CQ261" i="1"/>
  <c r="CQ240" i="1"/>
  <c r="CQ239" i="1"/>
  <c r="CQ238" i="1"/>
  <c r="CQ224" i="1"/>
  <c r="CQ208" i="1"/>
  <c r="CQ67" i="1"/>
  <c r="CQ59" i="1"/>
  <c r="CU261" i="1"/>
  <c r="CU239" i="1"/>
  <c r="CU238" i="1"/>
  <c r="CU224" i="1"/>
  <c r="CU240" i="1"/>
  <c r="CU208" i="1"/>
  <c r="CU59" i="1"/>
  <c r="CY31" i="1"/>
  <c r="DC261" i="1"/>
  <c r="DC238" i="1"/>
  <c r="DC240" i="1"/>
  <c r="DC239" i="1"/>
  <c r="DC224" i="1"/>
  <c r="DC208" i="1"/>
  <c r="DG240" i="1"/>
  <c r="DG239" i="1"/>
  <c r="DG238" i="1"/>
  <c r="DG224" i="1"/>
  <c r="DG208" i="1"/>
  <c r="DG67" i="1"/>
  <c r="DK31" i="1"/>
  <c r="DK239" i="1" s="1"/>
  <c r="DO261" i="1"/>
  <c r="DO240" i="1"/>
  <c r="DO239" i="1"/>
  <c r="DO238" i="1"/>
  <c r="DO208" i="1"/>
  <c r="DO224" i="1"/>
  <c r="DO59" i="1"/>
  <c r="DS261" i="1"/>
  <c r="DS239" i="1"/>
  <c r="DS238" i="1"/>
  <c r="DS240" i="1"/>
  <c r="DS224" i="1"/>
  <c r="DS208" i="1"/>
  <c r="DS63" i="1"/>
  <c r="DW31" i="1"/>
  <c r="Y32" i="1"/>
  <c r="AI33" i="1"/>
  <c r="AU33" i="1"/>
  <c r="BG33" i="1"/>
  <c r="BS33" i="1"/>
  <c r="CE33" i="1"/>
  <c r="CQ33" i="1"/>
  <c r="DC33" i="1"/>
  <c r="DO33" i="1"/>
  <c r="AQ210" i="1"/>
  <c r="BL226" i="1"/>
  <c r="BL242" i="1"/>
  <c r="BR210" i="1"/>
  <c r="BL210" i="1"/>
  <c r="BU210" i="1"/>
  <c r="BZ242" i="1"/>
  <c r="BZ226" i="1"/>
  <c r="BZ210" i="1"/>
  <c r="CD242" i="1"/>
  <c r="CD226" i="1"/>
  <c r="CD210" i="1"/>
  <c r="CL242" i="1"/>
  <c r="CL226" i="1"/>
  <c r="CL210" i="1"/>
  <c r="CP242" i="1"/>
  <c r="CP226" i="1"/>
  <c r="CP210" i="1"/>
  <c r="CX242" i="1"/>
  <c r="CX226" i="1"/>
  <c r="CX210" i="1"/>
  <c r="DB242" i="1"/>
  <c r="DB226" i="1"/>
  <c r="DB210" i="1"/>
  <c r="DJ242" i="1"/>
  <c r="DJ226" i="1"/>
  <c r="DJ210" i="1"/>
  <c r="DN242" i="1"/>
  <c r="DN226" i="1"/>
  <c r="DN210" i="1"/>
  <c r="DV242" i="1"/>
  <c r="DV226" i="1"/>
  <c r="DV210" i="1"/>
  <c r="AQ211" i="1"/>
  <c r="BO211" i="1"/>
  <c r="CG211" i="1"/>
  <c r="CM211" i="1"/>
  <c r="CS211" i="1"/>
  <c r="CX243" i="1"/>
  <c r="CX227" i="1"/>
  <c r="CX211" i="1"/>
  <c r="DB243" i="1"/>
  <c r="DB227" i="1"/>
  <c r="DB211" i="1"/>
  <c r="DJ243" i="1"/>
  <c r="DJ227" i="1"/>
  <c r="DJ211" i="1"/>
  <c r="DN243" i="1"/>
  <c r="DN227" i="1"/>
  <c r="DN211" i="1"/>
  <c r="DV243" i="1"/>
  <c r="DV227" i="1"/>
  <c r="DV211" i="1"/>
  <c r="BC40" i="1"/>
  <c r="CA40" i="1"/>
  <c r="CF40" i="1"/>
  <c r="AJ262" i="1"/>
  <c r="AJ81" i="1"/>
  <c r="AO262" i="1"/>
  <c r="AO81" i="1"/>
  <c r="AT262" i="1"/>
  <c r="AT81" i="1"/>
  <c r="BH262" i="1"/>
  <c r="CK48" i="1"/>
  <c r="CK50" i="1" s="1"/>
  <c r="CP48" i="1"/>
  <c r="DI48" i="1"/>
  <c r="DN48" i="1"/>
  <c r="C249" i="1"/>
  <c r="C136" i="1"/>
  <c r="C98" i="1"/>
  <c r="C86" i="1"/>
  <c r="G249" i="1"/>
  <c r="G217" i="1"/>
  <c r="G136" i="1"/>
  <c r="G98" i="1"/>
  <c r="G86" i="1"/>
  <c r="K249" i="1"/>
  <c r="K233" i="1"/>
  <c r="K217" i="1"/>
  <c r="K136" i="1"/>
  <c r="K98" i="1"/>
  <c r="K86" i="1"/>
  <c r="O249" i="1"/>
  <c r="O233" i="1"/>
  <c r="O217" i="1"/>
  <c r="O136" i="1"/>
  <c r="O86" i="1"/>
  <c r="O98" i="1"/>
  <c r="S50" i="1"/>
  <c r="W249" i="1"/>
  <c r="W233" i="1"/>
  <c r="W217" i="1"/>
  <c r="W136" i="1"/>
  <c r="W98" i="1"/>
  <c r="W86" i="1"/>
  <c r="AA249" i="1"/>
  <c r="AA233" i="1"/>
  <c r="AA217" i="1"/>
  <c r="AA136" i="1"/>
  <c r="AA86" i="1"/>
  <c r="AA98" i="1"/>
  <c r="AE249" i="1"/>
  <c r="AE136" i="1"/>
  <c r="AE86" i="1"/>
  <c r="AI50" i="1"/>
  <c r="AM50" i="1"/>
  <c r="AU50" i="1"/>
  <c r="AY50" i="1"/>
  <c r="BG50" i="1"/>
  <c r="BS50" i="1"/>
  <c r="BW50" i="1"/>
  <c r="CE50" i="1"/>
  <c r="DC50" i="1"/>
  <c r="DS50" i="1"/>
  <c r="S244" i="1"/>
  <c r="S212" i="1"/>
  <c r="S79" i="1"/>
  <c r="S81" i="1" s="1"/>
  <c r="Y56" i="1"/>
  <c r="S56" i="1"/>
  <c r="S55" i="1"/>
  <c r="AW212" i="1"/>
  <c r="AW79" i="1"/>
  <c r="AW170" i="1" s="1"/>
  <c r="BB244" i="1"/>
  <c r="BH212" i="1"/>
  <c r="BB212" i="1"/>
  <c r="BB228" i="1"/>
  <c r="BE57" i="1"/>
  <c r="BB79" i="1"/>
  <c r="BH56" i="1"/>
  <c r="BA55" i="1"/>
  <c r="BE244" i="1"/>
  <c r="BE212" i="1"/>
  <c r="BE228" i="1"/>
  <c r="BF57" i="1"/>
  <c r="BE79" i="1"/>
  <c r="BE428" i="4" s="1"/>
  <c r="BE55" i="1"/>
  <c r="BK244" i="1"/>
  <c r="BK228" i="1"/>
  <c r="BK212" i="1"/>
  <c r="BK79" i="1"/>
  <c r="BL57" i="1"/>
  <c r="BK57" i="1"/>
  <c r="BQ56" i="1"/>
  <c r="BO54" i="1"/>
  <c r="BN55" i="1"/>
  <c r="BT244" i="1"/>
  <c r="BT228" i="1"/>
  <c r="BT212" i="1"/>
  <c r="BT79" i="1"/>
  <c r="BZ215" i="1" s="1"/>
  <c r="BZ56" i="1"/>
  <c r="BT55" i="1"/>
  <c r="BY244" i="1"/>
  <c r="BY228" i="1"/>
  <c r="BY212" i="1"/>
  <c r="BY79" i="1"/>
  <c r="BZ57" i="1"/>
  <c r="BY245" i="1"/>
  <c r="BY267" i="1"/>
  <c r="BY229" i="1"/>
  <c r="BY213" i="1"/>
  <c r="BZ61" i="1"/>
  <c r="BY246" i="1"/>
  <c r="BY230" i="1"/>
  <c r="BY214" i="1"/>
  <c r="BZ65" i="1"/>
  <c r="CD55" i="1"/>
  <c r="CD59" i="1"/>
  <c r="CD63" i="1"/>
  <c r="CP244" i="1"/>
  <c r="CP228" i="1"/>
  <c r="CP212" i="1"/>
  <c r="CP79" i="1"/>
  <c r="CQ57" i="1"/>
  <c r="CW244" i="1"/>
  <c r="CW228" i="1"/>
  <c r="CW212" i="1"/>
  <c r="CW79" i="1"/>
  <c r="CX57" i="1"/>
  <c r="DJ244" i="1"/>
  <c r="DJ228" i="1"/>
  <c r="DJ212" i="1"/>
  <c r="DJ79" i="1"/>
  <c r="DM57" i="1"/>
  <c r="DI55" i="1"/>
  <c r="DM244" i="1"/>
  <c r="DM228" i="1"/>
  <c r="DM212" i="1"/>
  <c r="DN57" i="1"/>
  <c r="DM79" i="1"/>
  <c r="DQ54" i="1"/>
  <c r="DT244" i="1"/>
  <c r="DT228" i="1"/>
  <c r="DT212" i="1"/>
  <c r="DT79" i="1"/>
  <c r="DT58" i="2" s="1"/>
  <c r="DU57" i="1"/>
  <c r="DT55" i="1"/>
  <c r="BZ325" i="1"/>
  <c r="BZ168" i="1"/>
  <c r="CI59" i="1"/>
  <c r="DA67" i="1"/>
  <c r="X82" i="1"/>
  <c r="X83" i="1"/>
  <c r="AY438" i="4"/>
  <c r="BW438" i="4"/>
  <c r="AK206" i="1"/>
  <c r="BI206" i="1"/>
  <c r="CG206" i="1"/>
  <c r="DG260" i="1"/>
  <c r="DD260" i="1"/>
  <c r="DH260" i="1"/>
  <c r="DI260" i="1"/>
  <c r="DD222" i="1"/>
  <c r="DG222" i="1"/>
  <c r="DJ206" i="1"/>
  <c r="DD206" i="1"/>
  <c r="DW206" i="1"/>
  <c r="EB260" i="1"/>
  <c r="EB222" i="1"/>
  <c r="EB206" i="1"/>
  <c r="BC11" i="1"/>
  <c r="CA11" i="1"/>
  <c r="CY11" i="1"/>
  <c r="DD11" i="1"/>
  <c r="DW11" i="1"/>
  <c r="AQ207" i="1"/>
  <c r="BO207" i="1"/>
  <c r="CK223" i="1"/>
  <c r="CJ207" i="1"/>
  <c r="CJ223" i="1"/>
  <c r="CP207" i="1"/>
  <c r="DE207" i="1"/>
  <c r="AW15" i="1"/>
  <c r="CJ15" i="1"/>
  <c r="DQ15" i="1"/>
  <c r="CK16" i="1"/>
  <c r="DZ24" i="1"/>
  <c r="DZ47" i="1" s="1"/>
  <c r="DW24" i="1"/>
  <c r="DV27" i="1"/>
  <c r="Y238" i="1"/>
  <c r="Y243" i="1"/>
  <c r="Y242" i="1"/>
  <c r="Y240" i="1"/>
  <c r="Y239" i="1"/>
  <c r="Y208" i="1"/>
  <c r="AE208" i="1"/>
  <c r="AJ261" i="1"/>
  <c r="AJ245" i="1"/>
  <c r="AJ244" i="1"/>
  <c r="AJ240" i="1"/>
  <c r="AJ243" i="1"/>
  <c r="AJ239" i="1"/>
  <c r="AJ242" i="1"/>
  <c r="AJ224" i="1"/>
  <c r="AJ238" i="1"/>
  <c r="AJ246" i="1"/>
  <c r="AJ208" i="1"/>
  <c r="AJ59" i="1"/>
  <c r="AJ55" i="1"/>
  <c r="AJ63" i="1"/>
  <c r="AI32" i="1"/>
  <c r="AN245" i="1"/>
  <c r="AN240" i="1"/>
  <c r="AN244" i="1"/>
  <c r="AN239" i="1"/>
  <c r="AN243" i="1"/>
  <c r="AN238" i="1"/>
  <c r="AN246" i="1"/>
  <c r="AN242" i="1"/>
  <c r="AN208" i="1"/>
  <c r="AN261" i="1"/>
  <c r="AN224" i="1"/>
  <c r="AN59" i="1"/>
  <c r="AN55" i="1"/>
  <c r="AN63" i="1"/>
  <c r="AV261" i="1"/>
  <c r="AV245" i="1"/>
  <c r="AV239" i="1"/>
  <c r="AV244" i="1"/>
  <c r="AV238" i="1"/>
  <c r="AV243" i="1"/>
  <c r="AV246" i="1"/>
  <c r="AV224" i="1"/>
  <c r="AV242" i="1"/>
  <c r="AV240" i="1"/>
  <c r="AV208" i="1"/>
  <c r="AV59" i="1"/>
  <c r="AV55" i="1"/>
  <c r="AV63" i="1"/>
  <c r="AU32" i="1"/>
  <c r="AZ238" i="1"/>
  <c r="AZ261" i="1"/>
  <c r="AZ243" i="1"/>
  <c r="AZ240" i="1"/>
  <c r="AZ239" i="1"/>
  <c r="AZ242" i="1"/>
  <c r="AZ208" i="1"/>
  <c r="AZ224" i="1"/>
  <c r="AZ59" i="1"/>
  <c r="BH261" i="1"/>
  <c r="BH245" i="1"/>
  <c r="BH244" i="1"/>
  <c r="BH240" i="1"/>
  <c r="BH243" i="1"/>
  <c r="BH239" i="1"/>
  <c r="BH224" i="1"/>
  <c r="BH242" i="1"/>
  <c r="BH208" i="1"/>
  <c r="BH238" i="1"/>
  <c r="BH55" i="1"/>
  <c r="BH59" i="1"/>
  <c r="BG32" i="1"/>
  <c r="BL240" i="1"/>
  <c r="BL239" i="1"/>
  <c r="BL243" i="1"/>
  <c r="BL238" i="1"/>
  <c r="BL261" i="1"/>
  <c r="BL208" i="1"/>
  <c r="BL224" i="1"/>
  <c r="BL63" i="1"/>
  <c r="BL67" i="1"/>
  <c r="BK32" i="1"/>
  <c r="BT261" i="1"/>
  <c r="BT239" i="1"/>
  <c r="BT238" i="1"/>
  <c r="BT240" i="1"/>
  <c r="BT224" i="1"/>
  <c r="BT208" i="1"/>
  <c r="BT67" i="1"/>
  <c r="BS32" i="1"/>
  <c r="BX261" i="1"/>
  <c r="BX238" i="1"/>
  <c r="BX243" i="1"/>
  <c r="BX240" i="1"/>
  <c r="BX239" i="1"/>
  <c r="BX208" i="1"/>
  <c r="BX224" i="1"/>
  <c r="BX67" i="1"/>
  <c r="BW32" i="1"/>
  <c r="CF261" i="1"/>
  <c r="CF240" i="1"/>
  <c r="CF239" i="1"/>
  <c r="CF224" i="1"/>
  <c r="CF238" i="1"/>
  <c r="CF208" i="1"/>
  <c r="CF67" i="1"/>
  <c r="CF63" i="1"/>
  <c r="CF59" i="1"/>
  <c r="CF55" i="1"/>
  <c r="CE32" i="1"/>
  <c r="CJ31" i="1"/>
  <c r="CJ243" i="1" s="1"/>
  <c r="CI32" i="1"/>
  <c r="CR261" i="1"/>
  <c r="CR239" i="1"/>
  <c r="CR238" i="1"/>
  <c r="CR224" i="1"/>
  <c r="CR240" i="1"/>
  <c r="CR208" i="1"/>
  <c r="CR59" i="1"/>
  <c r="CR67" i="1"/>
  <c r="CQ32" i="1"/>
  <c r="CV238" i="1"/>
  <c r="CV261" i="1"/>
  <c r="CV240" i="1"/>
  <c r="CV239" i="1"/>
  <c r="CV208" i="1"/>
  <c r="CV224" i="1"/>
  <c r="CV63" i="1"/>
  <c r="CU32" i="1"/>
  <c r="DD31" i="1"/>
  <c r="DD245" i="1" s="1"/>
  <c r="DC32" i="1"/>
  <c r="DH240" i="1"/>
  <c r="DH239" i="1"/>
  <c r="DH238" i="1"/>
  <c r="DH208" i="1"/>
  <c r="DH224" i="1"/>
  <c r="DH59" i="1"/>
  <c r="DG32" i="1"/>
  <c r="DP261" i="1"/>
  <c r="DP239" i="1"/>
  <c r="DP238" i="1"/>
  <c r="DP224" i="1"/>
  <c r="DP240" i="1"/>
  <c r="DP208" i="1"/>
  <c r="DP63" i="1"/>
  <c r="DO32" i="1"/>
  <c r="DT261" i="1"/>
  <c r="DT238" i="1"/>
  <c r="DT240" i="1"/>
  <c r="DT239" i="1"/>
  <c r="DT224" i="1"/>
  <c r="DT208" i="1"/>
  <c r="DT63" i="1"/>
  <c r="DT67" i="1"/>
  <c r="DS32" i="1"/>
  <c r="AE32" i="1"/>
  <c r="AJ33" i="1"/>
  <c r="AV33" i="1"/>
  <c r="BH33" i="1"/>
  <c r="BT33" i="1"/>
  <c r="CF33" i="1"/>
  <c r="CR33" i="1"/>
  <c r="DP33" i="1"/>
  <c r="AW210" i="1"/>
  <c r="BG242" i="1"/>
  <c r="BG226" i="1"/>
  <c r="BG210" i="1"/>
  <c r="BH226" i="1"/>
  <c r="BM242" i="1"/>
  <c r="BM226" i="1"/>
  <c r="BM210" i="1"/>
  <c r="BL37" i="1"/>
  <c r="BQ242" i="1"/>
  <c r="BR226" i="1"/>
  <c r="BQ226" i="1"/>
  <c r="BQ210" i="1"/>
  <c r="BW242" i="1"/>
  <c r="BW226" i="1"/>
  <c r="BW210" i="1"/>
  <c r="CA36" i="1"/>
  <c r="BZ37" i="1"/>
  <c r="CE242" i="1"/>
  <c r="CE226" i="1"/>
  <c r="CE210" i="1"/>
  <c r="CD37" i="1"/>
  <c r="CI242" i="1"/>
  <c r="CI226" i="1"/>
  <c r="CI210" i="1"/>
  <c r="CM36" i="1"/>
  <c r="CL37" i="1"/>
  <c r="CQ242" i="1"/>
  <c r="CQ226" i="1"/>
  <c r="CQ210" i="1"/>
  <c r="CP37" i="1"/>
  <c r="CU242" i="1"/>
  <c r="CU226" i="1"/>
  <c r="CU210" i="1"/>
  <c r="CY36" i="1"/>
  <c r="CX37" i="1"/>
  <c r="DC242" i="1"/>
  <c r="DC226" i="1"/>
  <c r="DC210" i="1"/>
  <c r="DB37" i="1"/>
  <c r="DG242" i="1"/>
  <c r="DG226" i="1"/>
  <c r="DG210" i="1"/>
  <c r="DK36" i="1"/>
  <c r="DJ37" i="1"/>
  <c r="DO242" i="1"/>
  <c r="DO226" i="1"/>
  <c r="DO210" i="1"/>
  <c r="DN37" i="1"/>
  <c r="DS242" i="1"/>
  <c r="DS226" i="1"/>
  <c r="DS210" i="1"/>
  <c r="DW36" i="1"/>
  <c r="DV37" i="1"/>
  <c r="AK37" i="1"/>
  <c r="BT37" i="1"/>
  <c r="AW211" i="1"/>
  <c r="BR243" i="1"/>
  <c r="BR227" i="1"/>
  <c r="BR211" i="1"/>
  <c r="BX211" i="1"/>
  <c r="CI243" i="1"/>
  <c r="CI227" i="1"/>
  <c r="CI211" i="1"/>
  <c r="CO243" i="1"/>
  <c r="CP227" i="1"/>
  <c r="CO227" i="1"/>
  <c r="CO211" i="1"/>
  <c r="CU243" i="1"/>
  <c r="CU227" i="1"/>
  <c r="CU211" i="1"/>
  <c r="CY39" i="1"/>
  <c r="CX40" i="1"/>
  <c r="DC243" i="1"/>
  <c r="DC227" i="1"/>
  <c r="DC211" i="1"/>
  <c r="DB40" i="1"/>
  <c r="DG243" i="1"/>
  <c r="DG227" i="1"/>
  <c r="DG211" i="1"/>
  <c r="DK39" i="1"/>
  <c r="DJ40" i="1"/>
  <c r="DO243" i="1"/>
  <c r="DO227" i="1"/>
  <c r="DO211" i="1"/>
  <c r="DN40" i="1"/>
  <c r="DS243" i="1"/>
  <c r="DS227" i="1"/>
  <c r="DS211" i="1"/>
  <c r="DW39" i="1"/>
  <c r="DV40" i="1"/>
  <c r="AK40" i="1"/>
  <c r="BI40" i="1"/>
  <c r="CG40" i="1"/>
  <c r="CL40" i="1"/>
  <c r="DS47" i="1"/>
  <c r="AG262" i="1"/>
  <c r="AG81" i="1"/>
  <c r="AK48" i="1"/>
  <c r="AP262" i="1"/>
  <c r="AP81" i="1"/>
  <c r="AU262" i="1"/>
  <c r="AU81" i="1"/>
  <c r="AZ262" i="1"/>
  <c r="BE81" i="1"/>
  <c r="BI48" i="1"/>
  <c r="CC48" i="1"/>
  <c r="CL48" i="1"/>
  <c r="CQ48" i="1"/>
  <c r="DA48" i="1"/>
  <c r="DA50" i="1" s="1"/>
  <c r="DJ48" i="1"/>
  <c r="DJ428" i="4" s="1"/>
  <c r="DO48" i="1"/>
  <c r="D249" i="1"/>
  <c r="D233" i="1"/>
  <c r="D136" i="1"/>
  <c r="D98" i="1"/>
  <c r="D86" i="1"/>
  <c r="C51" i="1"/>
  <c r="G51" i="1"/>
  <c r="L249" i="1"/>
  <c r="L217" i="1"/>
  <c r="L233" i="1"/>
  <c r="L136" i="1"/>
  <c r="L98" i="1"/>
  <c r="L86" i="1"/>
  <c r="K51" i="1"/>
  <c r="P249" i="1"/>
  <c r="P233" i="1"/>
  <c r="P217" i="1"/>
  <c r="P136" i="1"/>
  <c r="P98" i="1"/>
  <c r="P86" i="1"/>
  <c r="O51" i="1"/>
  <c r="X249" i="1"/>
  <c r="X233" i="1"/>
  <c r="X217" i="1"/>
  <c r="X136" i="1"/>
  <c r="X86" i="1"/>
  <c r="X98" i="1"/>
  <c r="W51" i="1"/>
  <c r="AB249" i="1"/>
  <c r="AB233" i="1"/>
  <c r="AB217" i="1"/>
  <c r="AB136" i="1"/>
  <c r="AB98" i="1"/>
  <c r="AB86" i="1"/>
  <c r="AA51" i="1"/>
  <c r="AE51" i="1"/>
  <c r="AJ50" i="1"/>
  <c r="AN50" i="1"/>
  <c r="AV50" i="1"/>
  <c r="AZ50" i="1"/>
  <c r="BH50" i="1"/>
  <c r="BL50" i="1"/>
  <c r="BX50" i="1"/>
  <c r="CF50" i="1"/>
  <c r="CV50" i="1"/>
  <c r="DH50" i="1"/>
  <c r="Y244" i="1"/>
  <c r="Y212" i="1"/>
  <c r="AE212" i="1"/>
  <c r="Y55" i="1"/>
  <c r="AE56" i="1"/>
  <c r="Y79" i="1"/>
  <c r="Y58" i="2" s="1"/>
  <c r="AY244" i="1"/>
  <c r="AY228" i="1"/>
  <c r="AY212" i="1"/>
  <c r="AZ57" i="1"/>
  <c r="AY57" i="1"/>
  <c r="AY79" i="1"/>
  <c r="AY81" i="1" s="1"/>
  <c r="BE56" i="1"/>
  <c r="BC54" i="1"/>
  <c r="BB55" i="1"/>
  <c r="BA56" i="1"/>
  <c r="BF244" i="1"/>
  <c r="BF228" i="1"/>
  <c r="BF212" i="1"/>
  <c r="BF79" i="1"/>
  <c r="BF58" i="2" s="1"/>
  <c r="BF55" i="1"/>
  <c r="BG57" i="1"/>
  <c r="BL244" i="1"/>
  <c r="BL228" i="1"/>
  <c r="BL212" i="1"/>
  <c r="BR212" i="1"/>
  <c r="BR56" i="1"/>
  <c r="BL79" i="1"/>
  <c r="BM57" i="1"/>
  <c r="BK55" i="1"/>
  <c r="BN56" i="1"/>
  <c r="BU54" i="1"/>
  <c r="BX56" i="1"/>
  <c r="BY57" i="1"/>
  <c r="BX60" i="1"/>
  <c r="BY61" i="1"/>
  <c r="BX64" i="1"/>
  <c r="BY65" i="1"/>
  <c r="CE55" i="1"/>
  <c r="CE59" i="1"/>
  <c r="CE63" i="1"/>
  <c r="CL56" i="1"/>
  <c r="CQ244" i="1"/>
  <c r="CQ228" i="1"/>
  <c r="CQ212" i="1"/>
  <c r="CQ79" i="1"/>
  <c r="CR57" i="1"/>
  <c r="CP55" i="1"/>
  <c r="CO56" i="1"/>
  <c r="CS56" i="1"/>
  <c r="CX244" i="1"/>
  <c r="CX228" i="1"/>
  <c r="CX212" i="1"/>
  <c r="DA57" i="1"/>
  <c r="CX79" i="1"/>
  <c r="CX81" i="1" s="1"/>
  <c r="CW55" i="1"/>
  <c r="CV56" i="1"/>
  <c r="DB244" i="1"/>
  <c r="DB228" i="1"/>
  <c r="DB212" i="1"/>
  <c r="DB79" i="1"/>
  <c r="DB57" i="1"/>
  <c r="DC57" i="1"/>
  <c r="DB55" i="1"/>
  <c r="DB56" i="1"/>
  <c r="DG228" i="1"/>
  <c r="DG244" i="1"/>
  <c r="DG212" i="1"/>
  <c r="DG79" i="1"/>
  <c r="DH57" i="1"/>
  <c r="DK54" i="1"/>
  <c r="DJ55" i="1"/>
  <c r="DN244" i="1"/>
  <c r="DN228" i="1"/>
  <c r="DN212" i="1"/>
  <c r="DT56" i="1"/>
  <c r="DN79" i="1"/>
  <c r="DO57" i="1"/>
  <c r="DM55" i="1"/>
  <c r="DP56" i="1"/>
  <c r="DU244" i="1"/>
  <c r="DU228" i="1"/>
  <c r="DU212" i="1"/>
  <c r="DU79" i="1"/>
  <c r="DU55" i="1"/>
  <c r="DV57" i="1"/>
  <c r="BE59" i="1"/>
  <c r="BQ247" i="1"/>
  <c r="BQ231" i="1"/>
  <c r="BQ215" i="1"/>
  <c r="BZ247" i="1"/>
  <c r="BZ231" i="1"/>
  <c r="CI63" i="1"/>
  <c r="DE70" i="1"/>
  <c r="AA83" i="1"/>
  <c r="EK94" i="1"/>
  <c r="EH93" i="1"/>
  <c r="AT437" i="4"/>
  <c r="BL438" i="4"/>
  <c r="BX438" i="4"/>
  <c r="CR438" i="4"/>
  <c r="CI438" i="4"/>
  <c r="AQ206" i="1"/>
  <c r="BO238" i="1"/>
  <c r="BO206" i="1"/>
  <c r="CM206" i="1"/>
  <c r="DE10" i="1"/>
  <c r="DY260" i="1"/>
  <c r="DY222" i="1"/>
  <c r="DY206" i="1"/>
  <c r="BI11" i="1"/>
  <c r="CG11" i="1"/>
  <c r="DJ11" i="1"/>
  <c r="AW207" i="1"/>
  <c r="BU207" i="1"/>
  <c r="CM14" i="1"/>
  <c r="CM40" i="1" s="1"/>
  <c r="DK207" i="1"/>
  <c r="BC15" i="1"/>
  <c r="CA15" i="1"/>
  <c r="CP15" i="1"/>
  <c r="CY15" i="1"/>
  <c r="DW15" i="1"/>
  <c r="AG261" i="1"/>
  <c r="AG244" i="1"/>
  <c r="AG240" i="1"/>
  <c r="AG243" i="1"/>
  <c r="AG239" i="1"/>
  <c r="AG246" i="1"/>
  <c r="AG242" i="1"/>
  <c r="AG238" i="1"/>
  <c r="AG245" i="1"/>
  <c r="AG224" i="1"/>
  <c r="AG208" i="1"/>
  <c r="AG59" i="1"/>
  <c r="AG55" i="1"/>
  <c r="AG63" i="1"/>
  <c r="AK31" i="1"/>
  <c r="AK244" i="1" s="1"/>
  <c r="AJ32" i="1"/>
  <c r="AO261" i="1"/>
  <c r="AO244" i="1"/>
  <c r="AO239" i="1"/>
  <c r="AO243" i="1"/>
  <c r="AO238" i="1"/>
  <c r="AO246" i="1"/>
  <c r="AO242" i="1"/>
  <c r="AO245" i="1"/>
  <c r="AO240" i="1"/>
  <c r="AO224" i="1"/>
  <c r="AO208" i="1"/>
  <c r="AO59" i="1"/>
  <c r="AO55" i="1"/>
  <c r="AO63" i="1"/>
  <c r="AN32" i="1"/>
  <c r="AS261" i="1"/>
  <c r="AS244" i="1"/>
  <c r="AS238" i="1"/>
  <c r="AS243" i="1"/>
  <c r="AS246" i="1"/>
  <c r="AS242" i="1"/>
  <c r="AS240" i="1"/>
  <c r="AS239" i="1"/>
  <c r="AS224" i="1"/>
  <c r="AS208" i="1"/>
  <c r="AS245" i="1"/>
  <c r="AS59" i="1"/>
  <c r="AS55" i="1"/>
  <c r="AS63" i="1"/>
  <c r="AW31" i="1"/>
  <c r="AW246" i="1" s="1"/>
  <c r="AV32" i="1"/>
  <c r="BA261" i="1"/>
  <c r="BA243" i="1"/>
  <c r="BA240" i="1"/>
  <c r="BA242" i="1"/>
  <c r="BA239" i="1"/>
  <c r="BA238" i="1"/>
  <c r="BA208" i="1"/>
  <c r="BA224" i="1"/>
  <c r="AZ32" i="1"/>
  <c r="BE261" i="1"/>
  <c r="BE240" i="1"/>
  <c r="BE243" i="1"/>
  <c r="BE239" i="1"/>
  <c r="BE246" i="1"/>
  <c r="BE242" i="1"/>
  <c r="BE238" i="1"/>
  <c r="BE224" i="1"/>
  <c r="BE208" i="1"/>
  <c r="BE63" i="1"/>
  <c r="BI31" i="1"/>
  <c r="BI59" i="1" s="1"/>
  <c r="BH32" i="1"/>
  <c r="BM261" i="1"/>
  <c r="BM239" i="1"/>
  <c r="BM243" i="1"/>
  <c r="BM238" i="1"/>
  <c r="BM240" i="1"/>
  <c r="BM224" i="1"/>
  <c r="BM208" i="1"/>
  <c r="BM67" i="1"/>
  <c r="BM59" i="1"/>
  <c r="BL32" i="1"/>
  <c r="BQ261" i="1"/>
  <c r="BQ243" i="1"/>
  <c r="BQ238" i="1"/>
  <c r="BQ240" i="1"/>
  <c r="BQ224" i="1"/>
  <c r="BQ239" i="1"/>
  <c r="BQ208" i="1"/>
  <c r="BQ67" i="1"/>
  <c r="BU31" i="1"/>
  <c r="BU67" i="1" s="1"/>
  <c r="BT32" i="1"/>
  <c r="BY261" i="1"/>
  <c r="BY243" i="1"/>
  <c r="BY240" i="1"/>
  <c r="BY239" i="1"/>
  <c r="BY238" i="1"/>
  <c r="BY208" i="1"/>
  <c r="BY224" i="1"/>
  <c r="BY67" i="1"/>
  <c r="BX32" i="1"/>
  <c r="CC261" i="1"/>
  <c r="CC243" i="1"/>
  <c r="CC240" i="1"/>
  <c r="CC239" i="1"/>
  <c r="CC238" i="1"/>
  <c r="CC224" i="1"/>
  <c r="CC208" i="1"/>
  <c r="CG31" i="1"/>
  <c r="CF32" i="1"/>
  <c r="CK243" i="1"/>
  <c r="CK239" i="1"/>
  <c r="CK238" i="1"/>
  <c r="CK240" i="1"/>
  <c r="CK208" i="1"/>
  <c r="CK67" i="1"/>
  <c r="CK63" i="1"/>
  <c r="CO238" i="1"/>
  <c r="CO240" i="1"/>
  <c r="CO239" i="1"/>
  <c r="CO224" i="1"/>
  <c r="CO208" i="1"/>
  <c r="CO67" i="1"/>
  <c r="CO63" i="1"/>
  <c r="CS31" i="1"/>
  <c r="CR32" i="1"/>
  <c r="CW261" i="1"/>
  <c r="CW240" i="1"/>
  <c r="CW239" i="1"/>
  <c r="CW238" i="1"/>
  <c r="CW208" i="1"/>
  <c r="CW224" i="1"/>
  <c r="CW67" i="1"/>
  <c r="CW63" i="1"/>
  <c r="CV32" i="1"/>
  <c r="DA261" i="1"/>
  <c r="DA240" i="1"/>
  <c r="DA239" i="1"/>
  <c r="DA238" i="1"/>
  <c r="DA224" i="1"/>
  <c r="DA208" i="1"/>
  <c r="DI239" i="1"/>
  <c r="DI238" i="1"/>
  <c r="DI224" i="1"/>
  <c r="DI240" i="1"/>
  <c r="DI208" i="1"/>
  <c r="DI63" i="1"/>
  <c r="DH32" i="1"/>
  <c r="DM261" i="1"/>
  <c r="DM238" i="1"/>
  <c r="DM240" i="1"/>
  <c r="DM239" i="1"/>
  <c r="DM224" i="1"/>
  <c r="DM208" i="1"/>
  <c r="DM63" i="1"/>
  <c r="DM67" i="1"/>
  <c r="DQ31" i="1"/>
  <c r="DP32" i="1"/>
  <c r="DU261" i="1"/>
  <c r="DU240" i="1"/>
  <c r="DU239" i="1"/>
  <c r="DU238" i="1"/>
  <c r="DU224" i="1"/>
  <c r="DU208" i="1"/>
  <c r="DU67" i="1"/>
  <c r="DT32" i="1"/>
  <c r="DY31" i="1"/>
  <c r="AG33" i="1"/>
  <c r="AM33" i="1"/>
  <c r="AS33" i="1"/>
  <c r="AY33" i="1"/>
  <c r="BE33" i="1"/>
  <c r="BK33" i="1"/>
  <c r="BQ33" i="1"/>
  <c r="BW33" i="1"/>
  <c r="CC33" i="1"/>
  <c r="CI33" i="1"/>
  <c r="CO33" i="1"/>
  <c r="CU33" i="1"/>
  <c r="DA33" i="1"/>
  <c r="DM33" i="1"/>
  <c r="DS33" i="1"/>
  <c r="DY33" i="1"/>
  <c r="CA35" i="1"/>
  <c r="AY242" i="1"/>
  <c r="AZ226" i="1"/>
  <c r="AY210" i="1"/>
  <c r="BE210" i="1"/>
  <c r="AY226" i="1"/>
  <c r="BI36" i="1"/>
  <c r="BN242" i="1"/>
  <c r="BN226" i="1"/>
  <c r="BN210" i="1"/>
  <c r="BM37" i="1"/>
  <c r="BS242" i="1"/>
  <c r="BS226" i="1"/>
  <c r="BS210" i="1"/>
  <c r="BX242" i="1"/>
  <c r="BX226" i="1"/>
  <c r="BX210" i="1"/>
  <c r="BW37" i="1"/>
  <c r="CF242" i="1"/>
  <c r="CF226" i="1"/>
  <c r="CF210" i="1"/>
  <c r="CE37" i="1"/>
  <c r="CJ226" i="1"/>
  <c r="CJ210" i="1"/>
  <c r="CI37" i="1"/>
  <c r="CR242" i="1"/>
  <c r="CR226" i="1"/>
  <c r="CR210" i="1"/>
  <c r="CQ37" i="1"/>
  <c r="CV242" i="1"/>
  <c r="CV226" i="1"/>
  <c r="CV210" i="1"/>
  <c r="CU37" i="1"/>
  <c r="DD226" i="1"/>
  <c r="DD210" i="1"/>
  <c r="DC37" i="1"/>
  <c r="DH242" i="1"/>
  <c r="DH226" i="1"/>
  <c r="DH210" i="1"/>
  <c r="DG37" i="1"/>
  <c r="DP242" i="1"/>
  <c r="DP226" i="1"/>
  <c r="DP210" i="1"/>
  <c r="DO37" i="1"/>
  <c r="DT242" i="1"/>
  <c r="DT226" i="1"/>
  <c r="DT210" i="1"/>
  <c r="DS37" i="1"/>
  <c r="AQ37" i="1"/>
  <c r="BQ37" i="1"/>
  <c r="BU37" i="1"/>
  <c r="BC211" i="1"/>
  <c r="BS243" i="1"/>
  <c r="BS227" i="1"/>
  <c r="BY211" i="1"/>
  <c r="BS211" i="1"/>
  <c r="CD243" i="1"/>
  <c r="CD227" i="1"/>
  <c r="CE227" i="1"/>
  <c r="CD211" i="1"/>
  <c r="CJ227" i="1"/>
  <c r="CK227" i="1"/>
  <c r="CP211" i="1"/>
  <c r="CJ211" i="1"/>
  <c r="CQ243" i="1"/>
  <c r="CQ227" i="1"/>
  <c r="CQ211" i="1"/>
  <c r="CV227" i="1"/>
  <c r="CV243" i="1"/>
  <c r="CV211" i="1"/>
  <c r="CU40" i="1"/>
  <c r="DD227" i="1"/>
  <c r="DD211" i="1"/>
  <c r="DC40" i="1"/>
  <c r="DH243" i="1"/>
  <c r="DH227" i="1"/>
  <c r="DH211" i="1"/>
  <c r="DG40" i="1"/>
  <c r="DP243" i="1"/>
  <c r="DP227" i="1"/>
  <c r="DP211" i="1"/>
  <c r="DO40" i="1"/>
  <c r="DT243" i="1"/>
  <c r="DT227" i="1"/>
  <c r="DT211" i="1"/>
  <c r="DS40" i="1"/>
  <c r="AQ40" i="1"/>
  <c r="BO40" i="1"/>
  <c r="BT40" i="1"/>
  <c r="CD40" i="1"/>
  <c r="CI40" i="1"/>
  <c r="CR40" i="1"/>
  <c r="AH262" i="1"/>
  <c r="AH81" i="1"/>
  <c r="AM262" i="1"/>
  <c r="AM81" i="1"/>
  <c r="AQ48" i="1"/>
  <c r="AQ58" i="2" s="1"/>
  <c r="AV262" i="1"/>
  <c r="AV81" i="1"/>
  <c r="BA262" i="1"/>
  <c r="BA81" i="1"/>
  <c r="BF262" i="1"/>
  <c r="BF81" i="1"/>
  <c r="BK48" i="1"/>
  <c r="BK428" i="4" s="1"/>
  <c r="BT48" i="1"/>
  <c r="BY48" i="1"/>
  <c r="BY428" i="4" s="1"/>
  <c r="CD48" i="1"/>
  <c r="CI48" i="1"/>
  <c r="CR48" i="1"/>
  <c r="CW48" i="1"/>
  <c r="CW428" i="4" s="1"/>
  <c r="DB48" i="1"/>
  <c r="DG48" i="1"/>
  <c r="DP48" i="1"/>
  <c r="E249" i="1"/>
  <c r="E233" i="1"/>
  <c r="E136" i="1"/>
  <c r="E98" i="1"/>
  <c r="E86" i="1"/>
  <c r="D51" i="1"/>
  <c r="I249" i="1"/>
  <c r="I233" i="1"/>
  <c r="I217" i="1"/>
  <c r="I136" i="1"/>
  <c r="I98" i="1"/>
  <c r="I86" i="1"/>
  <c r="M249" i="1"/>
  <c r="M217" i="1"/>
  <c r="M136" i="1"/>
  <c r="M98" i="1"/>
  <c r="M87" i="1"/>
  <c r="M86" i="1"/>
  <c r="L51" i="1"/>
  <c r="Q233" i="1"/>
  <c r="Q249" i="1"/>
  <c r="Q217" i="1"/>
  <c r="Q136" i="1"/>
  <c r="Q98" i="1"/>
  <c r="Q86" i="1"/>
  <c r="P51" i="1"/>
  <c r="U249" i="1"/>
  <c r="U233" i="1"/>
  <c r="U217" i="1"/>
  <c r="U136" i="1"/>
  <c r="U86" i="1"/>
  <c r="U98" i="1"/>
  <c r="Y50" i="1"/>
  <c r="X51" i="1"/>
  <c r="AC233" i="1"/>
  <c r="AC249" i="1"/>
  <c r="AC217" i="1"/>
  <c r="AC136" i="1"/>
  <c r="AC86" i="1"/>
  <c r="AC98" i="1"/>
  <c r="AB51" i="1"/>
  <c r="AG50" i="1"/>
  <c r="AO50" i="1"/>
  <c r="AS50" i="1"/>
  <c r="BA50" i="1"/>
  <c r="BE50" i="1"/>
  <c r="BM50" i="1"/>
  <c r="BQ50" i="1"/>
  <c r="CC50" i="1"/>
  <c r="DI50" i="1"/>
  <c r="DM50" i="1"/>
  <c r="AK212" i="1"/>
  <c r="AK56" i="1"/>
  <c r="AK79" i="1"/>
  <c r="AQ56" i="1"/>
  <c r="AZ244" i="1"/>
  <c r="AZ228" i="1"/>
  <c r="AZ212" i="1"/>
  <c r="AZ79" i="1"/>
  <c r="AZ81" i="1" s="1"/>
  <c r="BF56" i="1"/>
  <c r="BA57" i="1"/>
  <c r="AY55" i="1"/>
  <c r="BB56" i="1"/>
  <c r="BG244" i="1"/>
  <c r="BG228" i="1"/>
  <c r="BH228" i="1"/>
  <c r="BG212" i="1"/>
  <c r="BG55" i="1"/>
  <c r="BH57" i="1"/>
  <c r="BG79" i="1"/>
  <c r="BG81" i="1" s="1"/>
  <c r="BM244" i="1"/>
  <c r="BM228" i="1"/>
  <c r="BM212" i="1"/>
  <c r="BS56" i="1"/>
  <c r="BM79" i="1"/>
  <c r="BN57" i="1"/>
  <c r="BL55" i="1"/>
  <c r="BK56" i="1"/>
  <c r="BW244" i="1"/>
  <c r="BW228" i="1"/>
  <c r="BW212" i="1"/>
  <c r="CC56" i="1"/>
  <c r="CA54" i="1"/>
  <c r="BW79" i="1"/>
  <c r="BZ263" i="1" s="1"/>
  <c r="BX55" i="1"/>
  <c r="BY56" i="1"/>
  <c r="BW267" i="1"/>
  <c r="BW245" i="1"/>
  <c r="BW229" i="1"/>
  <c r="BW213" i="1"/>
  <c r="CC60" i="1"/>
  <c r="CA58" i="1"/>
  <c r="BX59" i="1"/>
  <c r="BY60" i="1"/>
  <c r="BW246" i="1"/>
  <c r="BW230" i="1"/>
  <c r="BW214" i="1"/>
  <c r="CC64" i="1"/>
  <c r="CA62" i="1"/>
  <c r="BX63" i="1"/>
  <c r="BY64" i="1"/>
  <c r="CD244" i="1"/>
  <c r="CD228" i="1"/>
  <c r="CD212" i="1"/>
  <c r="CD79" i="1"/>
  <c r="CJ56" i="1"/>
  <c r="CG54" i="1"/>
  <c r="CD56" i="1"/>
  <c r="CD267" i="1"/>
  <c r="CD229" i="1"/>
  <c r="CD245" i="1"/>
  <c r="CD213" i="1"/>
  <c r="CJ60" i="1"/>
  <c r="CG58" i="1"/>
  <c r="CD60" i="1"/>
  <c r="CD246" i="1"/>
  <c r="CD230" i="1"/>
  <c r="CD214" i="1"/>
  <c r="CJ64" i="1"/>
  <c r="CG62" i="1"/>
  <c r="CM214" i="1" s="1"/>
  <c r="CD64" i="1"/>
  <c r="CK244" i="1"/>
  <c r="CK228" i="1"/>
  <c r="CK212" i="1"/>
  <c r="CL57" i="1"/>
  <c r="CK79" i="1"/>
  <c r="CK57" i="1"/>
  <c r="CL55" i="1"/>
  <c r="CR244" i="1"/>
  <c r="CR228" i="1"/>
  <c r="CR212" i="1"/>
  <c r="CR79" i="1"/>
  <c r="CU57" i="1"/>
  <c r="CQ55" i="1"/>
  <c r="CP56" i="1"/>
  <c r="CU244" i="1"/>
  <c r="CU228" i="1"/>
  <c r="CU212" i="1"/>
  <c r="CU79" i="1"/>
  <c r="CU428" i="4" s="1"/>
  <c r="DA56" i="1"/>
  <c r="CV57" i="1"/>
  <c r="CY54" i="1"/>
  <c r="DE212" i="1" s="1"/>
  <c r="CX55" i="1"/>
  <c r="CW56" i="1"/>
  <c r="DC228" i="1"/>
  <c r="DC244" i="1"/>
  <c r="DC212" i="1"/>
  <c r="DD57" i="1"/>
  <c r="DC79" i="1"/>
  <c r="DC58" i="2" s="1"/>
  <c r="DC55" i="1"/>
  <c r="DC56" i="1"/>
  <c r="DH244" i="1"/>
  <c r="DH228" i="1"/>
  <c r="DH212" i="1"/>
  <c r="DH79" i="1"/>
  <c r="DH81" i="1" s="1"/>
  <c r="DI57" i="1"/>
  <c r="DG55" i="1"/>
  <c r="DJ56" i="1"/>
  <c r="DO228" i="1"/>
  <c r="DO244" i="1"/>
  <c r="DO212" i="1"/>
  <c r="DO79" i="1"/>
  <c r="DP57" i="1"/>
  <c r="DU56" i="1"/>
  <c r="DN55" i="1"/>
  <c r="DM56" i="1"/>
  <c r="DV244" i="1"/>
  <c r="DV228" i="1"/>
  <c r="DV212" i="1"/>
  <c r="DV79" i="1"/>
  <c r="DV58" i="2" s="1"/>
  <c r="DY57" i="1"/>
  <c r="DV55" i="1"/>
  <c r="DS56" i="1"/>
  <c r="BF59" i="1"/>
  <c r="CG70" i="1"/>
  <c r="CI325" i="1"/>
  <c r="CI168" i="1"/>
  <c r="CM168" i="1" s="1"/>
  <c r="CM76" i="1"/>
  <c r="CM325" i="1" s="1"/>
  <c r="DY325" i="1"/>
  <c r="AB83" i="1"/>
  <c r="AK213" i="1"/>
  <c r="AZ245" i="1"/>
  <c r="AZ229" i="1"/>
  <c r="AZ267" i="1"/>
  <c r="AZ213" i="1"/>
  <c r="BB60" i="1"/>
  <c r="BH267" i="1"/>
  <c r="BG267" i="1"/>
  <c r="BG245" i="1"/>
  <c r="BG229" i="1"/>
  <c r="BG213" i="1"/>
  <c r="BH229" i="1"/>
  <c r="BM267" i="1"/>
  <c r="BM245" i="1"/>
  <c r="BM229" i="1"/>
  <c r="BM213" i="1"/>
  <c r="BL59" i="1"/>
  <c r="BK60" i="1"/>
  <c r="CK245" i="1"/>
  <c r="CK267" i="1"/>
  <c r="CK229" i="1"/>
  <c r="CK213" i="1"/>
  <c r="CL59" i="1"/>
  <c r="CR267" i="1"/>
  <c r="CR245" i="1"/>
  <c r="CR229" i="1"/>
  <c r="CR213" i="1"/>
  <c r="CU267" i="1"/>
  <c r="CU245" i="1"/>
  <c r="CU213" i="1"/>
  <c r="CU229" i="1"/>
  <c r="CY58" i="1"/>
  <c r="CX59" i="1"/>
  <c r="DC245" i="1"/>
  <c r="DC267" i="1"/>
  <c r="DC229" i="1"/>
  <c r="DC213" i="1"/>
  <c r="DC59" i="1"/>
  <c r="DH267" i="1"/>
  <c r="DH245" i="1"/>
  <c r="DH229" i="1"/>
  <c r="DH213" i="1"/>
  <c r="DG59" i="1"/>
  <c r="DO267" i="1"/>
  <c r="DO245" i="1"/>
  <c r="DO229" i="1"/>
  <c r="DO213" i="1"/>
  <c r="DM60" i="1"/>
  <c r="DV267" i="1"/>
  <c r="DV229" i="1"/>
  <c r="DV245" i="1"/>
  <c r="DV213" i="1"/>
  <c r="DU59" i="1"/>
  <c r="DT60" i="1"/>
  <c r="Y60" i="1"/>
  <c r="AK60" i="1"/>
  <c r="BS59" i="1"/>
  <c r="BS60" i="1"/>
  <c r="AZ61" i="1"/>
  <c r="BF61" i="1"/>
  <c r="BL61" i="1"/>
  <c r="CU61" i="1"/>
  <c r="DB61" i="1"/>
  <c r="Y246" i="1"/>
  <c r="AE214" i="1"/>
  <c r="Y214" i="1"/>
  <c r="AY246" i="1"/>
  <c r="AY230" i="1"/>
  <c r="AY214" i="1"/>
  <c r="BE214" i="1"/>
  <c r="BC62" i="1"/>
  <c r="BC64" i="1" s="1"/>
  <c r="BG246" i="1"/>
  <c r="BG230" i="1"/>
  <c r="BG214" i="1"/>
  <c r="BL230" i="1"/>
  <c r="BL246" i="1"/>
  <c r="BR214" i="1"/>
  <c r="BL214" i="1"/>
  <c r="BT246" i="1"/>
  <c r="BT230" i="1"/>
  <c r="BT214" i="1"/>
  <c r="CP246" i="1"/>
  <c r="CP230" i="1"/>
  <c r="CP214" i="1"/>
  <c r="CW230" i="1"/>
  <c r="CW246" i="1"/>
  <c r="CW214" i="1"/>
  <c r="DE62" i="1"/>
  <c r="DJ246" i="1"/>
  <c r="DJ230" i="1"/>
  <c r="DJ214" i="1"/>
  <c r="DM246" i="1"/>
  <c r="DM230" i="1"/>
  <c r="DM214" i="1"/>
  <c r="DQ62" i="1"/>
  <c r="DT246" i="1"/>
  <c r="DT230" i="1"/>
  <c r="DT214" i="1"/>
  <c r="DV64" i="1"/>
  <c r="S64" i="1"/>
  <c r="AE64" i="1"/>
  <c r="BF63" i="1"/>
  <c r="BE64" i="1"/>
  <c r="BT63" i="1"/>
  <c r="AZ65" i="1"/>
  <c r="BF65" i="1"/>
  <c r="BL65" i="1"/>
  <c r="BR65" i="1"/>
  <c r="CX65" i="1"/>
  <c r="DG65" i="1"/>
  <c r="DM65" i="1"/>
  <c r="CJ57" i="1"/>
  <c r="DB67" i="1"/>
  <c r="DB68" i="1"/>
  <c r="DK66" i="1"/>
  <c r="DI68" i="1"/>
  <c r="DP68" i="1"/>
  <c r="DS68" i="1"/>
  <c r="EF68" i="1"/>
  <c r="EO66" i="1"/>
  <c r="EU68" i="1" s="1"/>
  <c r="EM68" i="1"/>
  <c r="BO68" i="1"/>
  <c r="CV67" i="1"/>
  <c r="CU68" i="1"/>
  <c r="CW69" i="1"/>
  <c r="DD69" i="1"/>
  <c r="DH69" i="1"/>
  <c r="DN69" i="1"/>
  <c r="DT69" i="1"/>
  <c r="EF69" i="1"/>
  <c r="EL69" i="1"/>
  <c r="BZ60" i="1"/>
  <c r="BZ64" i="1"/>
  <c r="CC57" i="1"/>
  <c r="CC69" i="1"/>
  <c r="CF244" i="1"/>
  <c r="CF228" i="1"/>
  <c r="CF212" i="1"/>
  <c r="CF267" i="1"/>
  <c r="CF245" i="1"/>
  <c r="CF229" i="1"/>
  <c r="CF213" i="1"/>
  <c r="CF246" i="1"/>
  <c r="CF230" i="1"/>
  <c r="CF214" i="1"/>
  <c r="CI67" i="1"/>
  <c r="DA60" i="1"/>
  <c r="DA68" i="1"/>
  <c r="DY61" i="1"/>
  <c r="DY69" i="1"/>
  <c r="CM72" i="1"/>
  <c r="CM70" i="1" s="1"/>
  <c r="BW325" i="1"/>
  <c r="BW168" i="1"/>
  <c r="CA76" i="1"/>
  <c r="CA325" i="1" s="1"/>
  <c r="CF76" i="1"/>
  <c r="DV76" i="1"/>
  <c r="DV325" i="1" s="1"/>
  <c r="EF76" i="1"/>
  <c r="EF325" i="1" s="1"/>
  <c r="F247" i="1"/>
  <c r="F231" i="1"/>
  <c r="K263" i="1"/>
  <c r="K264" i="1" s="1"/>
  <c r="K266" i="1" s="1"/>
  <c r="K247" i="1"/>
  <c r="K231" i="1"/>
  <c r="K215" i="1"/>
  <c r="P263" i="1"/>
  <c r="P247" i="1"/>
  <c r="P231" i="1"/>
  <c r="P215" i="1"/>
  <c r="U263" i="1"/>
  <c r="U247" i="1"/>
  <c r="U231" i="1"/>
  <c r="U215" i="1"/>
  <c r="AD263" i="1"/>
  <c r="AD247" i="1"/>
  <c r="AD215" i="1"/>
  <c r="AD231" i="1"/>
  <c r="AI263" i="1"/>
  <c r="AI231" i="1"/>
  <c r="AI247" i="1"/>
  <c r="AI215" i="1"/>
  <c r="AN263" i="1"/>
  <c r="AN247" i="1"/>
  <c r="AN231" i="1"/>
  <c r="AN215" i="1"/>
  <c r="AS263" i="1"/>
  <c r="AS247" i="1"/>
  <c r="AS231" i="1"/>
  <c r="AS215" i="1"/>
  <c r="BC93" i="1"/>
  <c r="CU138" i="1"/>
  <c r="CU322" i="1" s="1"/>
  <c r="DA138" i="1"/>
  <c r="DG138" i="1"/>
  <c r="DG322" i="1" s="1"/>
  <c r="DM138" i="1"/>
  <c r="DT138" i="1"/>
  <c r="DT322" i="1" s="1"/>
  <c r="EB322" i="1"/>
  <c r="EF138" i="1"/>
  <c r="EF322" i="1" s="1"/>
  <c r="AW96" i="1"/>
  <c r="AV96" i="1" s="1"/>
  <c r="AQ213" i="1"/>
  <c r="BA267" i="1"/>
  <c r="BA229" i="1"/>
  <c r="BA245" i="1"/>
  <c r="BA213" i="1"/>
  <c r="BN267" i="1"/>
  <c r="BN245" i="1"/>
  <c r="BN229" i="1"/>
  <c r="BN213" i="1"/>
  <c r="BS267" i="1"/>
  <c r="BS245" i="1"/>
  <c r="BS229" i="1"/>
  <c r="BS213" i="1"/>
  <c r="CL267" i="1"/>
  <c r="CL229" i="1"/>
  <c r="CL245" i="1"/>
  <c r="CL213" i="1"/>
  <c r="CO267" i="1"/>
  <c r="CO245" i="1"/>
  <c r="CO229" i="1"/>
  <c r="CO213" i="1"/>
  <c r="CS58" i="1"/>
  <c r="CQ60" i="1"/>
  <c r="CV245" i="1"/>
  <c r="CV229" i="1"/>
  <c r="CV267" i="1"/>
  <c r="CV213" i="1"/>
  <c r="CX60" i="1"/>
  <c r="DD267" i="1"/>
  <c r="DD229" i="1"/>
  <c r="DD213" i="1"/>
  <c r="DD60" i="1"/>
  <c r="DI267" i="1"/>
  <c r="DI245" i="1"/>
  <c r="DI229" i="1"/>
  <c r="DI213" i="1"/>
  <c r="DP267" i="1"/>
  <c r="DP245" i="1"/>
  <c r="DP229" i="1"/>
  <c r="DP213" i="1"/>
  <c r="DN60" i="1"/>
  <c r="DS267" i="1"/>
  <c r="DS245" i="1"/>
  <c r="DS229" i="1"/>
  <c r="DS213" i="1"/>
  <c r="DW58" i="1"/>
  <c r="DU60" i="1"/>
  <c r="BT60" i="1"/>
  <c r="BA61" i="1"/>
  <c r="BG61" i="1"/>
  <c r="BT61" i="1"/>
  <c r="CP61" i="1"/>
  <c r="CV61" i="1"/>
  <c r="DC61" i="1"/>
  <c r="DI61" i="1"/>
  <c r="AK246" i="1"/>
  <c r="AK214" i="1"/>
  <c r="AZ230" i="1"/>
  <c r="AZ246" i="1"/>
  <c r="AZ214" i="1"/>
  <c r="BH246" i="1"/>
  <c r="BH230" i="1"/>
  <c r="BH214" i="1"/>
  <c r="BM246" i="1"/>
  <c r="BM230" i="1"/>
  <c r="BM214" i="1"/>
  <c r="BQ61" i="1"/>
  <c r="BU246" i="1"/>
  <c r="CQ246" i="1"/>
  <c r="CQ230" i="1"/>
  <c r="CQ214" i="1"/>
  <c r="CX246" i="1"/>
  <c r="CX230" i="1"/>
  <c r="CX214" i="1"/>
  <c r="CV64" i="1"/>
  <c r="DB246" i="1"/>
  <c r="DB230" i="1"/>
  <c r="DB214" i="1"/>
  <c r="DB63" i="1"/>
  <c r="DB64" i="1"/>
  <c r="DG246" i="1"/>
  <c r="DG230" i="1"/>
  <c r="DG214" i="1"/>
  <c r="DK62" i="1"/>
  <c r="DN246" i="1"/>
  <c r="DN230" i="1"/>
  <c r="DN214" i="1"/>
  <c r="DP64" i="1"/>
  <c r="DU246" i="1"/>
  <c r="DU230" i="1"/>
  <c r="DU214" i="1"/>
  <c r="DS64" i="1"/>
  <c r="Y63" i="1"/>
  <c r="BG63" i="1"/>
  <c r="BF64" i="1"/>
  <c r="CA64" i="1"/>
  <c r="BA65" i="1"/>
  <c r="BG65" i="1"/>
  <c r="BM65" i="1"/>
  <c r="BS65" i="1"/>
  <c r="DB65" i="1"/>
  <c r="DH65" i="1"/>
  <c r="DN65" i="1"/>
  <c r="CJ228" i="1"/>
  <c r="CJ212" i="1"/>
  <c r="CJ267" i="1"/>
  <c r="CJ229" i="1"/>
  <c r="CJ213" i="1"/>
  <c r="CJ230" i="1"/>
  <c r="CJ214" i="1"/>
  <c r="DC67" i="1"/>
  <c r="EI66" i="1"/>
  <c r="CJ68" i="1"/>
  <c r="CJ69" i="1"/>
  <c r="CX69" i="1"/>
  <c r="DI69" i="1"/>
  <c r="DU69" i="1"/>
  <c r="EG69" i="1"/>
  <c r="EM69" i="1"/>
  <c r="EA68" i="1"/>
  <c r="CC244" i="1"/>
  <c r="CC228" i="1"/>
  <c r="CC212" i="1"/>
  <c r="CC267" i="1"/>
  <c r="CC245" i="1"/>
  <c r="CC229" i="1"/>
  <c r="CC213" i="1"/>
  <c r="CC246" i="1"/>
  <c r="CC230" i="1"/>
  <c r="CC214" i="1"/>
  <c r="CI56" i="1"/>
  <c r="CI60" i="1"/>
  <c r="CI64" i="1"/>
  <c r="CI68" i="1"/>
  <c r="DA65" i="1"/>
  <c r="DA69" i="1"/>
  <c r="DY244" i="1"/>
  <c r="DY228" i="1"/>
  <c r="DY212" i="1"/>
  <c r="DY267" i="1"/>
  <c r="DY245" i="1"/>
  <c r="DY229" i="1"/>
  <c r="DY213" i="1"/>
  <c r="DY246" i="1"/>
  <c r="DY230" i="1"/>
  <c r="DY214" i="1"/>
  <c r="BU71" i="1"/>
  <c r="BX325" i="1"/>
  <c r="BX168" i="1"/>
  <c r="CC76" i="1"/>
  <c r="DS76" i="1"/>
  <c r="EG76" i="1"/>
  <c r="EG325" i="1" s="1"/>
  <c r="EL76" i="1"/>
  <c r="EL325" i="1" s="1"/>
  <c r="G247" i="1"/>
  <c r="G215" i="1"/>
  <c r="L263" i="1"/>
  <c r="L264" i="1" s="1"/>
  <c r="L266" i="1" s="1"/>
  <c r="L247" i="1"/>
  <c r="L231" i="1"/>
  <c r="L215" i="1"/>
  <c r="Q263" i="1"/>
  <c r="Q247" i="1"/>
  <c r="Q231" i="1"/>
  <c r="Q215" i="1"/>
  <c r="V247" i="1"/>
  <c r="V263" i="1"/>
  <c r="V231" i="1"/>
  <c r="V215" i="1"/>
  <c r="AA263" i="1"/>
  <c r="AA247" i="1"/>
  <c r="AA215" i="1"/>
  <c r="AA231" i="1"/>
  <c r="AE247" i="1"/>
  <c r="AE215" i="1"/>
  <c r="AE170" i="1"/>
  <c r="AJ263" i="1"/>
  <c r="AJ247" i="1"/>
  <c r="AJ231" i="1"/>
  <c r="AJ215" i="1"/>
  <c r="AO263" i="1"/>
  <c r="AO247" i="1"/>
  <c r="AO231" i="1"/>
  <c r="AO215" i="1"/>
  <c r="AT247" i="1"/>
  <c r="AT263" i="1"/>
  <c r="AT231" i="1"/>
  <c r="AT215" i="1"/>
  <c r="BH79" i="1"/>
  <c r="BH81" i="1" s="1"/>
  <c r="BR247" i="1"/>
  <c r="BR263" i="1"/>
  <c r="BR231" i="1"/>
  <c r="BR215" i="1"/>
  <c r="CF79" i="1"/>
  <c r="CF428" i="4" s="1"/>
  <c r="CG138" i="1"/>
  <c r="CV138" i="1"/>
  <c r="CV322" i="1" s="1"/>
  <c r="DB138" i="1"/>
  <c r="DB322" i="1" s="1"/>
  <c r="DH138" i="1"/>
  <c r="DH322" i="1" s="1"/>
  <c r="DN138" i="1"/>
  <c r="DN322" i="1" s="1"/>
  <c r="EG93" i="1"/>
  <c r="DY94" i="1"/>
  <c r="DQ157" i="1"/>
  <c r="DP158" i="1"/>
  <c r="DS157" i="1"/>
  <c r="DS200" i="2" s="1"/>
  <c r="CV314" i="1"/>
  <c r="CV313" i="1" s="1"/>
  <c r="CU313" i="1"/>
  <c r="S245" i="1"/>
  <c r="S213" i="1"/>
  <c r="AW213" i="1"/>
  <c r="BB267" i="1"/>
  <c r="BB245" i="1"/>
  <c r="BH213" i="1"/>
  <c r="BB229" i="1"/>
  <c r="BB213" i="1"/>
  <c r="BA59" i="1"/>
  <c r="AZ60" i="1"/>
  <c r="BE267" i="1"/>
  <c r="BE245" i="1"/>
  <c r="BE213" i="1"/>
  <c r="BE229" i="1"/>
  <c r="BK267" i="1"/>
  <c r="BK245" i="1"/>
  <c r="BK229" i="1"/>
  <c r="BK213" i="1"/>
  <c r="BO58" i="1"/>
  <c r="BN59" i="1"/>
  <c r="BM60" i="1"/>
  <c r="BT267" i="1"/>
  <c r="BT245" i="1"/>
  <c r="BT213" i="1"/>
  <c r="BT229" i="1"/>
  <c r="CM58" i="1"/>
  <c r="CP267" i="1"/>
  <c r="CP245" i="1"/>
  <c r="CP229" i="1"/>
  <c r="CP213" i="1"/>
  <c r="CO59" i="1"/>
  <c r="CR60" i="1"/>
  <c r="CW245" i="1"/>
  <c r="CW267" i="1"/>
  <c r="CW229" i="1"/>
  <c r="CW213" i="1"/>
  <c r="CV59" i="1"/>
  <c r="CU60" i="1"/>
  <c r="DE58" i="1"/>
  <c r="DJ267" i="1"/>
  <c r="DJ229" i="1"/>
  <c r="DJ245" i="1"/>
  <c r="DJ213" i="1"/>
  <c r="DI59" i="1"/>
  <c r="DM267" i="1"/>
  <c r="DM245" i="1"/>
  <c r="DM229" i="1"/>
  <c r="DM213" i="1"/>
  <c r="DQ58" i="1"/>
  <c r="DP59" i="1"/>
  <c r="DO60" i="1"/>
  <c r="DT267" i="1"/>
  <c r="DT245" i="1"/>
  <c r="DT229" i="1"/>
  <c r="DT213" i="1"/>
  <c r="DS59" i="1"/>
  <c r="DV60" i="1"/>
  <c r="S60" i="1"/>
  <c r="AQ60" i="1"/>
  <c r="BB61" i="1"/>
  <c r="BH61" i="1"/>
  <c r="BN61" i="1"/>
  <c r="CK61" i="1"/>
  <c r="CQ61" i="1"/>
  <c r="CW61" i="1"/>
  <c r="DD61" i="1"/>
  <c r="DJ61" i="1"/>
  <c r="DP61" i="1"/>
  <c r="AQ214" i="1"/>
  <c r="BA246" i="1"/>
  <c r="BA230" i="1"/>
  <c r="BA214" i="1"/>
  <c r="AZ63" i="1"/>
  <c r="AY64" i="1"/>
  <c r="BI62" i="1"/>
  <c r="BN246" i="1"/>
  <c r="BN230" i="1"/>
  <c r="BN214" i="1"/>
  <c r="BM63" i="1"/>
  <c r="BQ244" i="1"/>
  <c r="BR228" i="1"/>
  <c r="BQ228" i="1"/>
  <c r="BQ212" i="1"/>
  <c r="BQ267" i="1"/>
  <c r="BQ245" i="1"/>
  <c r="BR267" i="1"/>
  <c r="BR229" i="1"/>
  <c r="BQ229" i="1"/>
  <c r="BQ213" i="1"/>
  <c r="BQ246" i="1"/>
  <c r="BR230" i="1"/>
  <c r="BQ230" i="1"/>
  <c r="BQ214" i="1"/>
  <c r="CK230" i="1"/>
  <c r="CK246" i="1"/>
  <c r="CK214" i="1"/>
  <c r="CR246" i="1"/>
  <c r="CR230" i="1"/>
  <c r="CR214" i="1"/>
  <c r="CQ63" i="1"/>
  <c r="CP64" i="1"/>
  <c r="CU246" i="1"/>
  <c r="CU230" i="1"/>
  <c r="CU214" i="1"/>
  <c r="CY62" i="1"/>
  <c r="CX63" i="1"/>
  <c r="CW64" i="1"/>
  <c r="DC246" i="1"/>
  <c r="DC230" i="1"/>
  <c r="DC214" i="1"/>
  <c r="DC63" i="1"/>
  <c r="DC64" i="1"/>
  <c r="DH246" i="1"/>
  <c r="DH230" i="1"/>
  <c r="DH214" i="1"/>
  <c r="DG63" i="1"/>
  <c r="DO246" i="1"/>
  <c r="DO230" i="1"/>
  <c r="DO214" i="1"/>
  <c r="DN63" i="1"/>
  <c r="DM64" i="1"/>
  <c r="DV246" i="1"/>
  <c r="DV230" i="1"/>
  <c r="DV214" i="1"/>
  <c r="DU63" i="1"/>
  <c r="DT64" i="1"/>
  <c r="AK64" i="1"/>
  <c r="AW64" i="1"/>
  <c r="BH63" i="1"/>
  <c r="BG64" i="1"/>
  <c r="BB65" i="1"/>
  <c r="BH65" i="1"/>
  <c r="BN65" i="1"/>
  <c r="CV65" i="1"/>
  <c r="DC65" i="1"/>
  <c r="DI65" i="1"/>
  <c r="DO65" i="1"/>
  <c r="DU65" i="1"/>
  <c r="CJ55" i="1"/>
  <c r="CM66" i="1"/>
  <c r="DD68" i="1"/>
  <c r="DH67" i="1"/>
  <c r="DO67" i="1"/>
  <c r="DW66" i="1"/>
  <c r="DV67" i="1"/>
  <c r="DU68" i="1"/>
  <c r="EH68" i="1"/>
  <c r="EK68" i="1"/>
  <c r="CX67" i="1"/>
  <c r="CA68" i="1"/>
  <c r="CK69" i="1"/>
  <c r="CU69" i="1"/>
  <c r="DB69" i="1"/>
  <c r="DJ69" i="1"/>
  <c r="DV69" i="1"/>
  <c r="EN69" i="1"/>
  <c r="BZ244" i="1"/>
  <c r="BZ228" i="1"/>
  <c r="BZ212" i="1"/>
  <c r="BZ267" i="1"/>
  <c r="BZ245" i="1"/>
  <c r="BZ213" i="1"/>
  <c r="BZ229" i="1"/>
  <c r="BZ246" i="1"/>
  <c r="BZ214" i="1"/>
  <c r="BZ230" i="1"/>
  <c r="CC55" i="1"/>
  <c r="CC59" i="1"/>
  <c r="CC63" i="1"/>
  <c r="CC67" i="1"/>
  <c r="CF56" i="1"/>
  <c r="CF60" i="1"/>
  <c r="CF64" i="1"/>
  <c r="CF68" i="1"/>
  <c r="CI57" i="1"/>
  <c r="CI61" i="1"/>
  <c r="CI65" i="1"/>
  <c r="DA244" i="1"/>
  <c r="DA228" i="1"/>
  <c r="DA212" i="1"/>
  <c r="DA267" i="1"/>
  <c r="DA245" i="1"/>
  <c r="DA229" i="1"/>
  <c r="DA213" i="1"/>
  <c r="DA246" i="1"/>
  <c r="DA230" i="1"/>
  <c r="DA214" i="1"/>
  <c r="DA70" i="1"/>
  <c r="DY55" i="1"/>
  <c r="EK55" i="1" s="1"/>
  <c r="EQ55" i="1" s="1"/>
  <c r="DY59" i="1"/>
  <c r="EE59" i="1" s="1"/>
  <c r="EK59" i="1" s="1"/>
  <c r="EQ59" i="1" s="1"/>
  <c r="DY63" i="1"/>
  <c r="EK63" i="1" s="1"/>
  <c r="EQ63" i="1" s="1"/>
  <c r="DY67" i="1"/>
  <c r="BU72" i="1"/>
  <c r="BO76" i="1"/>
  <c r="BO325" i="1" s="1"/>
  <c r="BY325" i="1"/>
  <c r="BY168" i="1"/>
  <c r="CD325" i="1"/>
  <c r="CD168" i="1"/>
  <c r="CS76" i="1"/>
  <c r="CS325" i="1" s="1"/>
  <c r="EH76" i="1"/>
  <c r="EH325" i="1" s="1"/>
  <c r="EM76" i="1"/>
  <c r="EM325" i="1" s="1"/>
  <c r="D247" i="1"/>
  <c r="D231" i="1"/>
  <c r="I263" i="1"/>
  <c r="I264" i="1" s="1"/>
  <c r="I266" i="1" s="1"/>
  <c r="I247" i="1"/>
  <c r="I231" i="1"/>
  <c r="I215" i="1"/>
  <c r="M247" i="1"/>
  <c r="M215" i="1"/>
  <c r="R263" i="1"/>
  <c r="R247" i="1"/>
  <c r="R215" i="1"/>
  <c r="R231" i="1"/>
  <c r="W263" i="1"/>
  <c r="W247" i="1"/>
  <c r="W231" i="1"/>
  <c r="W215" i="1"/>
  <c r="AB263" i="1"/>
  <c r="AB247" i="1"/>
  <c r="AB231" i="1"/>
  <c r="AB215" i="1"/>
  <c r="AG263" i="1"/>
  <c r="AG247" i="1"/>
  <c r="AG231" i="1"/>
  <c r="AG215" i="1"/>
  <c r="AP263" i="1"/>
  <c r="AP247" i="1"/>
  <c r="AP215" i="1"/>
  <c r="AP231" i="1"/>
  <c r="AU263" i="1"/>
  <c r="AU247" i="1"/>
  <c r="AU231" i="1"/>
  <c r="AU215" i="1"/>
  <c r="CC79" i="1"/>
  <c r="DA79" i="1"/>
  <c r="DY79" i="1"/>
  <c r="DY81" i="1" s="1"/>
  <c r="P81" i="1"/>
  <c r="U81" i="1"/>
  <c r="CW138" i="1"/>
  <c r="CW322" i="1" s="1"/>
  <c r="DC138" i="1"/>
  <c r="DC322" i="1" s="1"/>
  <c r="DI138" i="1"/>
  <c r="DI322" i="1" s="1"/>
  <c r="DO138" i="1"/>
  <c r="DO322" i="1" s="1"/>
  <c r="CY100" i="1"/>
  <c r="BZ192" i="1"/>
  <c r="BY192" i="1" s="1"/>
  <c r="BX192" i="1" s="1"/>
  <c r="BW192" i="1" s="1"/>
  <c r="CG192" i="1"/>
  <c r="DN314" i="1"/>
  <c r="DM313" i="1"/>
  <c r="DM311" i="1"/>
  <c r="Y245" i="1"/>
  <c r="AE213" i="1"/>
  <c r="Y213" i="1"/>
  <c r="AY267" i="1"/>
  <c r="AY245" i="1"/>
  <c r="AY213" i="1"/>
  <c r="AY229" i="1"/>
  <c r="BC58" i="1"/>
  <c r="BB59" i="1"/>
  <c r="BA60" i="1"/>
  <c r="BF267" i="1"/>
  <c r="BF245" i="1"/>
  <c r="BF229" i="1"/>
  <c r="BF213" i="1"/>
  <c r="BL245" i="1"/>
  <c r="BL267" i="1"/>
  <c r="BL229" i="1"/>
  <c r="BL213" i="1"/>
  <c r="BR213" i="1"/>
  <c r="BK59" i="1"/>
  <c r="BN60" i="1"/>
  <c r="BU58" i="1"/>
  <c r="CK59" i="1"/>
  <c r="CL60" i="1"/>
  <c r="CQ267" i="1"/>
  <c r="CQ245" i="1"/>
  <c r="CQ229" i="1"/>
  <c r="CQ213" i="1"/>
  <c r="CP59" i="1"/>
  <c r="CO60" i="1"/>
  <c r="CX267" i="1"/>
  <c r="CX245" i="1"/>
  <c r="CX229" i="1"/>
  <c r="CX213" i="1"/>
  <c r="CW59" i="1"/>
  <c r="CV60" i="1"/>
  <c r="DB267" i="1"/>
  <c r="DB245" i="1"/>
  <c r="DB229" i="1"/>
  <c r="DB213" i="1"/>
  <c r="DB59" i="1"/>
  <c r="DB60" i="1"/>
  <c r="DG267" i="1"/>
  <c r="DG245" i="1"/>
  <c r="DG229" i="1"/>
  <c r="DG213" i="1"/>
  <c r="DK58" i="1"/>
  <c r="DJ59" i="1"/>
  <c r="DI60" i="1"/>
  <c r="DN245" i="1"/>
  <c r="DN229" i="1"/>
  <c r="DN213" i="1"/>
  <c r="DN267" i="1"/>
  <c r="DM59" i="1"/>
  <c r="DP60" i="1"/>
  <c r="DU267" i="1"/>
  <c r="DU245" i="1"/>
  <c r="DU229" i="1"/>
  <c r="DU213" i="1"/>
  <c r="DT59" i="1"/>
  <c r="DS60" i="1"/>
  <c r="Y59" i="1"/>
  <c r="BG59" i="1"/>
  <c r="BF60" i="1"/>
  <c r="BR60" i="1"/>
  <c r="AY61" i="1"/>
  <c r="BE61" i="1"/>
  <c r="BK61" i="1"/>
  <c r="CL61" i="1"/>
  <c r="CR61" i="1"/>
  <c r="CX61" i="1"/>
  <c r="DG61" i="1"/>
  <c r="DM61" i="1"/>
  <c r="DS61" i="1"/>
  <c r="S246" i="1"/>
  <c r="S214" i="1"/>
  <c r="AW214" i="1"/>
  <c r="BB246" i="1"/>
  <c r="BE230" i="1"/>
  <c r="BB214" i="1"/>
  <c r="BB230" i="1"/>
  <c r="BA63" i="1"/>
  <c r="AZ64" i="1"/>
  <c r="BF246" i="1"/>
  <c r="BF230" i="1"/>
  <c r="BF214" i="1"/>
  <c r="BK246" i="1"/>
  <c r="BK230" i="1"/>
  <c r="BK214" i="1"/>
  <c r="BO62" i="1"/>
  <c r="BU214" i="1" s="1"/>
  <c r="BN63" i="1"/>
  <c r="BM64" i="1"/>
  <c r="BQ55" i="1"/>
  <c r="BQ59" i="1"/>
  <c r="BS246" i="1"/>
  <c r="BS230" i="1"/>
  <c r="BS214" i="1"/>
  <c r="CL246" i="1"/>
  <c r="CL230" i="1"/>
  <c r="CL214" i="1"/>
  <c r="CO246" i="1"/>
  <c r="CO230" i="1"/>
  <c r="CO214" i="1"/>
  <c r="CS62" i="1"/>
  <c r="CS64" i="1" s="1"/>
  <c r="CR63" i="1"/>
  <c r="CQ64" i="1"/>
  <c r="CV246" i="1"/>
  <c r="CV230" i="1"/>
  <c r="CV214" i="1"/>
  <c r="CU63" i="1"/>
  <c r="CX64" i="1"/>
  <c r="DD246" i="1"/>
  <c r="DD230" i="1"/>
  <c r="DD214" i="1"/>
  <c r="DD64" i="1"/>
  <c r="DI246" i="1"/>
  <c r="DI230" i="1"/>
  <c r="DI214" i="1"/>
  <c r="DH63" i="1"/>
  <c r="DG64" i="1"/>
  <c r="DP246" i="1"/>
  <c r="DP230" i="1"/>
  <c r="DP214" i="1"/>
  <c r="DO63" i="1"/>
  <c r="DN64" i="1"/>
  <c r="DS246" i="1"/>
  <c r="DS230" i="1"/>
  <c r="DS214" i="1"/>
  <c r="DW62" i="1"/>
  <c r="DV63" i="1"/>
  <c r="DU64" i="1"/>
  <c r="S63" i="1"/>
  <c r="BH64" i="1"/>
  <c r="BS63" i="1"/>
  <c r="BR64" i="1"/>
  <c r="AY65" i="1"/>
  <c r="BE65" i="1"/>
  <c r="BK65" i="1"/>
  <c r="BQ65" i="1"/>
  <c r="CK65" i="1"/>
  <c r="CQ65" i="1"/>
  <c r="CW65" i="1"/>
  <c r="DD65" i="1"/>
  <c r="DJ65" i="1"/>
  <c r="DP65" i="1"/>
  <c r="DV65" i="1"/>
  <c r="CY66" i="1"/>
  <c r="DE66" i="1"/>
  <c r="DI67" i="1"/>
  <c r="DH68" i="1"/>
  <c r="DP67" i="1"/>
  <c r="DS67" i="1"/>
  <c r="DV68" i="1"/>
  <c r="EE68" i="1"/>
  <c r="BO67" i="1"/>
  <c r="CP68" i="1"/>
  <c r="CU67" i="1"/>
  <c r="CX68" i="1"/>
  <c r="DS69" i="1"/>
  <c r="EE69" i="1"/>
  <c r="EK71" i="1"/>
  <c r="EQ71" i="1" s="1"/>
  <c r="CI244" i="1"/>
  <c r="CI228" i="1"/>
  <c r="CI212" i="1"/>
  <c r="CI245" i="1"/>
  <c r="CI267" i="1"/>
  <c r="CI229" i="1"/>
  <c r="CI213" i="1"/>
  <c r="CI246" i="1"/>
  <c r="CI214" i="1"/>
  <c r="CI230" i="1"/>
  <c r="DA55" i="1"/>
  <c r="DA59" i="1"/>
  <c r="DA63" i="1"/>
  <c r="DY60" i="1"/>
  <c r="DY64" i="1"/>
  <c r="BU76" i="1"/>
  <c r="BU325" i="1" s="1"/>
  <c r="CE325" i="1"/>
  <c r="CE168" i="1"/>
  <c r="CO325" i="1"/>
  <c r="CO168" i="1"/>
  <c r="CS168" i="1" s="1"/>
  <c r="E247" i="1"/>
  <c r="E231" i="1"/>
  <c r="J247" i="1"/>
  <c r="J231" i="1"/>
  <c r="J263" i="1"/>
  <c r="J264" i="1" s="1"/>
  <c r="J266" i="1" s="1"/>
  <c r="J215" i="1"/>
  <c r="O263" i="1"/>
  <c r="O247" i="1"/>
  <c r="O215" i="1"/>
  <c r="O231" i="1"/>
  <c r="X263" i="1"/>
  <c r="X247" i="1"/>
  <c r="X231" i="1"/>
  <c r="X215" i="1"/>
  <c r="AC263" i="1"/>
  <c r="AC247" i="1"/>
  <c r="AC231" i="1"/>
  <c r="AC215" i="1"/>
  <c r="AH247" i="1"/>
  <c r="AH263" i="1"/>
  <c r="AH231" i="1"/>
  <c r="AH215" i="1"/>
  <c r="AM263" i="1"/>
  <c r="AM247" i="1"/>
  <c r="AM215" i="1"/>
  <c r="AM231" i="1"/>
  <c r="AV263" i="1"/>
  <c r="AV247" i="1"/>
  <c r="AV231" i="1"/>
  <c r="AV215" i="1"/>
  <c r="CI79" i="1"/>
  <c r="CJ231" i="1" s="1"/>
  <c r="Q81" i="1"/>
  <c r="V81" i="1"/>
  <c r="AD81" i="1"/>
  <c r="CX138" i="1"/>
  <c r="CX322" i="1" s="1"/>
  <c r="DD138" i="1"/>
  <c r="DD322" i="1" s="1"/>
  <c r="DJ138" i="1"/>
  <c r="DJ322" i="1" s="1"/>
  <c r="DS138" i="1"/>
  <c r="EE138" i="1"/>
  <c r="EE322" i="1" s="1"/>
  <c r="AQ96" i="1"/>
  <c r="AP96" i="1" s="1"/>
  <c r="CM94" i="1"/>
  <c r="CM93" i="1" s="1"/>
  <c r="CS184" i="1"/>
  <c r="U52" i="4"/>
  <c r="U53" i="4" s="1"/>
  <c r="AA52" i="4"/>
  <c r="AA53" i="4" s="1"/>
  <c r="AG52" i="4"/>
  <c r="AG53" i="4" s="1"/>
  <c r="AM52" i="4"/>
  <c r="AM53" i="4" s="1"/>
  <c r="AS52" i="4"/>
  <c r="AS53" i="4" s="1"/>
  <c r="AY52" i="4"/>
  <c r="AY53" i="4" s="1"/>
  <c r="BE52" i="4"/>
  <c r="BE53" i="4" s="1"/>
  <c r="CI52" i="4"/>
  <c r="BS209" i="4"/>
  <c r="BS168" i="4"/>
  <c r="BS79" i="4"/>
  <c r="BS84" i="4"/>
  <c r="BS187" i="4"/>
  <c r="BS59" i="4"/>
  <c r="BS75" i="4"/>
  <c r="BS63" i="4"/>
  <c r="DG92" i="4"/>
  <c r="DY79" i="4"/>
  <c r="DY84" i="4"/>
  <c r="DY71" i="4"/>
  <c r="DY67" i="4"/>
  <c r="DY63" i="4"/>
  <c r="DY59" i="4"/>
  <c r="DY75" i="4"/>
  <c r="CM263" i="4"/>
  <c r="V52" i="4"/>
  <c r="V53" i="4" s="1"/>
  <c r="AB52" i="4"/>
  <c r="AB53" i="4" s="1"/>
  <c r="AH52" i="4"/>
  <c r="AH53" i="4" s="1"/>
  <c r="AN52" i="4"/>
  <c r="AN53" i="4" s="1"/>
  <c r="AT52" i="4"/>
  <c r="AT53" i="4" s="1"/>
  <c r="AZ52" i="4"/>
  <c r="AZ53" i="4" s="1"/>
  <c r="BF52" i="4"/>
  <c r="BR52" i="4"/>
  <c r="CD51" i="4"/>
  <c r="CD52" i="4" s="1"/>
  <c r="CJ52" i="4"/>
  <c r="CP52" i="4"/>
  <c r="CV52" i="4"/>
  <c r="DB52" i="4"/>
  <c r="DH52" i="4"/>
  <c r="DN52" i="4"/>
  <c r="DN53" i="4" s="1"/>
  <c r="DT52" i="4"/>
  <c r="DT53" i="4" s="1"/>
  <c r="DZ52" i="4"/>
  <c r="DZ53" i="4" s="1"/>
  <c r="EF52" i="4"/>
  <c r="EF53" i="4" s="1"/>
  <c r="W52" i="4"/>
  <c r="W53" i="4" s="1"/>
  <c r="AC52" i="4"/>
  <c r="AC53" i="4" s="1"/>
  <c r="AO52" i="4"/>
  <c r="AO53" i="4" s="1"/>
  <c r="AU52" i="4"/>
  <c r="AU53" i="4" s="1"/>
  <c r="BA52" i="4"/>
  <c r="BA53" i="4" s="1"/>
  <c r="BG52" i="4"/>
  <c r="BS52" i="4"/>
  <c r="CK52" i="4"/>
  <c r="CQ52" i="4"/>
  <c r="CW52" i="4"/>
  <c r="DC52" i="4"/>
  <c r="DI52" i="4"/>
  <c r="DO52" i="4"/>
  <c r="DO53" i="4" s="1"/>
  <c r="DU52" i="4"/>
  <c r="DU53" i="4" s="1"/>
  <c r="EA52" i="4"/>
  <c r="EA53" i="4" s="1"/>
  <c r="EG52" i="4"/>
  <c r="EG53" i="4" s="1"/>
  <c r="DM91" i="4"/>
  <c r="DG79" i="4"/>
  <c r="DG267" i="4"/>
  <c r="DG263" i="4"/>
  <c r="DG84" i="4"/>
  <c r="DG259" i="4"/>
  <c r="DG75" i="4"/>
  <c r="DG63" i="4"/>
  <c r="X52" i="4"/>
  <c r="X53" i="4" s="1"/>
  <c r="AD52" i="4"/>
  <c r="AD53" i="4" s="1"/>
  <c r="AJ52" i="4"/>
  <c r="AJ53" i="4" s="1"/>
  <c r="AP52" i="4"/>
  <c r="AP53" i="4" s="1"/>
  <c r="AV52" i="4"/>
  <c r="AV53" i="4" s="1"/>
  <c r="BB52" i="4"/>
  <c r="BB53" i="4" s="1"/>
  <c r="BT52" i="4"/>
  <c r="CF52" i="4"/>
  <c r="CL52" i="4"/>
  <c r="CR52" i="4"/>
  <c r="CX52" i="4"/>
  <c r="DD52" i="4"/>
  <c r="DJ52" i="4"/>
  <c r="DP52" i="4"/>
  <c r="DP53" i="4" s="1"/>
  <c r="DV52" i="4"/>
  <c r="DV53" i="4" s="1"/>
  <c r="EB52" i="4"/>
  <c r="EB53" i="4" s="1"/>
  <c r="EH52" i="4"/>
  <c r="EH53" i="4" s="1"/>
  <c r="DC259" i="4"/>
  <c r="DD92" i="4"/>
  <c r="DC84" i="4"/>
  <c r="DC168" i="4"/>
  <c r="DC267" i="4"/>
  <c r="DC263" i="4"/>
  <c r="DC63" i="4"/>
  <c r="DC59" i="4"/>
  <c r="DC79" i="4"/>
  <c r="DC75" i="4"/>
  <c r="O9" i="4"/>
  <c r="AM9" i="4"/>
  <c r="DG12" i="4"/>
  <c r="DG27" i="4" s="1"/>
  <c r="EE12" i="4"/>
  <c r="EE27" i="4" s="1"/>
  <c r="Q12" i="4"/>
  <c r="Q27" i="4" s="1"/>
  <c r="Q29" i="4" s="1"/>
  <c r="Q30" i="4" s="1"/>
  <c r="W12" i="4"/>
  <c r="W27" i="4" s="1"/>
  <c r="AC12" i="4"/>
  <c r="AC27" i="4" s="1"/>
  <c r="AI12" i="4"/>
  <c r="AI27" i="4" s="1"/>
  <c r="AO12" i="4"/>
  <c r="AO27" i="4" s="1"/>
  <c r="AU12" i="4"/>
  <c r="AU27" i="4" s="1"/>
  <c r="CG23" i="4"/>
  <c r="V33" i="4"/>
  <c r="AB33" i="4"/>
  <c r="AH33" i="4"/>
  <c r="AN33" i="4"/>
  <c r="AT33" i="4"/>
  <c r="AZ33" i="4"/>
  <c r="BF33" i="4"/>
  <c r="BL33" i="4"/>
  <c r="BR33" i="4"/>
  <c r="BX33" i="4"/>
  <c r="CD33" i="4"/>
  <c r="CJ33" i="4"/>
  <c r="CP33" i="4"/>
  <c r="CV33" i="4"/>
  <c r="DB33" i="4"/>
  <c r="DH33" i="4"/>
  <c r="DN33" i="4"/>
  <c r="DT33" i="4"/>
  <c r="DZ33" i="4"/>
  <c r="EF33" i="4"/>
  <c r="EL33" i="4"/>
  <c r="AW36" i="4"/>
  <c r="AW51" i="4" s="1"/>
  <c r="BR86" i="4"/>
  <c r="BQ57" i="4"/>
  <c r="BZ86" i="4"/>
  <c r="BZ87" i="4" s="1"/>
  <c r="BY57" i="4"/>
  <c r="CD90" i="4"/>
  <c r="CC57" i="4"/>
  <c r="CL90" i="4"/>
  <c r="CP267" i="4"/>
  <c r="CP263" i="4"/>
  <c r="CP259" i="4"/>
  <c r="CQ92" i="4"/>
  <c r="CV91" i="4"/>
  <c r="CP79" i="4"/>
  <c r="CP168" i="4"/>
  <c r="CP305" i="1" s="1"/>
  <c r="CO57" i="4"/>
  <c r="CX267" i="4"/>
  <c r="CX84" i="4"/>
  <c r="DD91" i="4"/>
  <c r="CX263" i="4"/>
  <c r="CX259" i="4"/>
  <c r="CW57" i="4"/>
  <c r="DB263" i="4"/>
  <c r="DB79" i="4"/>
  <c r="DB259" i="4"/>
  <c r="DC92" i="4"/>
  <c r="DB84" i="4"/>
  <c r="DB168" i="4"/>
  <c r="DB267" i="4"/>
  <c r="DA57" i="4"/>
  <c r="DJ267" i="4"/>
  <c r="DP91" i="4"/>
  <c r="DJ79" i="4"/>
  <c r="DJ263" i="4"/>
  <c r="DJ84" i="4"/>
  <c r="DJ259" i="4"/>
  <c r="DI57" i="4"/>
  <c r="DN267" i="4"/>
  <c r="DN263" i="4"/>
  <c r="DN259" i="4"/>
  <c r="DT91" i="4"/>
  <c r="DN79" i="4"/>
  <c r="DM57" i="4"/>
  <c r="DT57" i="4"/>
  <c r="DT59" i="4"/>
  <c r="DV57" i="4"/>
  <c r="DV59" i="4"/>
  <c r="BQ58" i="4"/>
  <c r="BW58" i="4"/>
  <c r="CC58" i="4"/>
  <c r="CI58" i="4"/>
  <c r="CO58" i="4"/>
  <c r="CO59" i="4"/>
  <c r="CU58" i="4"/>
  <c r="DA58" i="4"/>
  <c r="DA59" i="4"/>
  <c r="DG58" i="4"/>
  <c r="DG59" i="4"/>
  <c r="DM58" i="4"/>
  <c r="DM59" i="4"/>
  <c r="BU61" i="4"/>
  <c r="DV61" i="4"/>
  <c r="DV62" i="4"/>
  <c r="CQ63" i="4"/>
  <c r="CV63" i="4"/>
  <c r="DJ63" i="4"/>
  <c r="DY57" i="4"/>
  <c r="DU67" i="4"/>
  <c r="DU71" i="4"/>
  <c r="CM73" i="4"/>
  <c r="DK73" i="4"/>
  <c r="CW75" i="4"/>
  <c r="DI75" i="4"/>
  <c r="DN77" i="4"/>
  <c r="DH77" i="4"/>
  <c r="DI78" i="4"/>
  <c r="DH127" i="4"/>
  <c r="CG77" i="4"/>
  <c r="CX79" i="4"/>
  <c r="DE90" i="4"/>
  <c r="DE63" i="4" s="1"/>
  <c r="DD84" i="4"/>
  <c r="AP142" i="4"/>
  <c r="BN187" i="4"/>
  <c r="BK187" i="4"/>
  <c r="CU90" i="4"/>
  <c r="CU91" i="4" s="1"/>
  <c r="DO90" i="4"/>
  <c r="DO92" i="4" s="1"/>
  <c r="DS92" i="4"/>
  <c r="DA92" i="4"/>
  <c r="BL97" i="4"/>
  <c r="U9" i="4"/>
  <c r="U12" i="4"/>
  <c r="U27" i="4" s="1"/>
  <c r="U29" i="4" s="1"/>
  <c r="U30" i="4" s="1"/>
  <c r="AA12" i="4"/>
  <c r="AA27" i="4" s="1"/>
  <c r="R12" i="4"/>
  <c r="R27" i="4" s="1"/>
  <c r="R29" i="4" s="1"/>
  <c r="R30" i="4" s="1"/>
  <c r="X12" i="4"/>
  <c r="X27" i="4" s="1"/>
  <c r="AD12" i="4"/>
  <c r="AD27" i="4" s="1"/>
  <c r="AP12" i="4"/>
  <c r="AP27" i="4" s="1"/>
  <c r="AV12" i="4"/>
  <c r="AV27" i="4" s="1"/>
  <c r="CF12" i="4"/>
  <c r="CF27" i="4" s="1"/>
  <c r="W33" i="4"/>
  <c r="AC33" i="4"/>
  <c r="AI33" i="4"/>
  <c r="AO33" i="4"/>
  <c r="AU33" i="4"/>
  <c r="BA33" i="4"/>
  <c r="BG33" i="4"/>
  <c r="BM33" i="4"/>
  <c r="BS33" i="4"/>
  <c r="BY33" i="4"/>
  <c r="CE33" i="4"/>
  <c r="CK33" i="4"/>
  <c r="CQ33" i="4"/>
  <c r="CW33" i="4"/>
  <c r="DC33" i="4"/>
  <c r="DI33" i="4"/>
  <c r="DO33" i="4"/>
  <c r="DU33" i="4"/>
  <c r="EA33" i="4"/>
  <c r="EG33" i="4"/>
  <c r="EM33" i="4"/>
  <c r="AW33" i="4"/>
  <c r="BI34" i="4"/>
  <c r="BU34" i="4"/>
  <c r="CM34" i="4"/>
  <c r="CY34" i="4"/>
  <c r="DK34" i="4"/>
  <c r="DW34" i="4"/>
  <c r="EI34" i="4"/>
  <c r="CG34" i="4"/>
  <c r="CA56" i="4"/>
  <c r="CA115" i="4" s="1"/>
  <c r="CD57" i="4"/>
  <c r="CM56" i="4"/>
  <c r="CP57" i="4"/>
  <c r="CY56" i="4"/>
  <c r="CX57" i="4"/>
  <c r="DB57" i="4"/>
  <c r="DJ57" i="4"/>
  <c r="DS58" i="4"/>
  <c r="DV92" i="4"/>
  <c r="DU79" i="4"/>
  <c r="DU58" i="4"/>
  <c r="CJ58" i="4"/>
  <c r="CP58" i="4"/>
  <c r="CV59" i="4"/>
  <c r="DB58" i="4"/>
  <c r="DN58" i="4"/>
  <c r="CY61" i="4"/>
  <c r="CR63" i="4"/>
  <c r="DB63" i="4"/>
  <c r="DP63" i="4"/>
  <c r="DV67" i="4"/>
  <c r="DV71" i="4"/>
  <c r="BU73" i="4"/>
  <c r="DQ73" i="4"/>
  <c r="CX75" i="4"/>
  <c r="DD75" i="4"/>
  <c r="DJ75" i="4"/>
  <c r="CA77" i="4"/>
  <c r="BU127" i="4"/>
  <c r="CS77" i="4"/>
  <c r="DI77" i="4"/>
  <c r="DJ78" i="4"/>
  <c r="DI127" i="4"/>
  <c r="CP84" i="4"/>
  <c r="AU142" i="4"/>
  <c r="AU168" i="4"/>
  <c r="CE90" i="4"/>
  <c r="CY90" i="4"/>
  <c r="CY79" i="4" s="1"/>
  <c r="BL86" i="4"/>
  <c r="BL90" i="4" s="1"/>
  <c r="BL96" i="4"/>
  <c r="BC108" i="4"/>
  <c r="BI241" i="4"/>
  <c r="BK241" i="4" s="1"/>
  <c r="AM12" i="4"/>
  <c r="AM27" i="4" s="1"/>
  <c r="AM29" i="4" s="1"/>
  <c r="AM30" i="4" s="1"/>
  <c r="AM258" i="1" s="1"/>
  <c r="X33" i="4"/>
  <c r="AD33" i="4"/>
  <c r="AJ33" i="4"/>
  <c r="AP33" i="4"/>
  <c r="AV33" i="4"/>
  <c r="BB33" i="4"/>
  <c r="BH33" i="4"/>
  <c r="BN33" i="4"/>
  <c r="BT33" i="4"/>
  <c r="BZ33" i="4"/>
  <c r="CF33" i="4"/>
  <c r="CL33" i="4"/>
  <c r="CR33" i="4"/>
  <c r="CX33" i="4"/>
  <c r="DD33" i="4"/>
  <c r="DJ33" i="4"/>
  <c r="DP33" i="4"/>
  <c r="DV33" i="4"/>
  <c r="EB33" i="4"/>
  <c r="EH33" i="4"/>
  <c r="EN33" i="4"/>
  <c r="BT90" i="4"/>
  <c r="BT92" i="4" s="1"/>
  <c r="BX86" i="4"/>
  <c r="BX90" i="4" s="1"/>
  <c r="CF90" i="4"/>
  <c r="CF59" i="4" s="1"/>
  <c r="CJ90" i="4"/>
  <c r="CR79" i="4"/>
  <c r="CR84" i="4"/>
  <c r="CR263" i="4"/>
  <c r="CR267" i="4"/>
  <c r="CR259" i="4"/>
  <c r="CR169" i="4"/>
  <c r="CV263" i="4"/>
  <c r="CV259" i="4"/>
  <c r="CW92" i="4"/>
  <c r="CV79" i="4"/>
  <c r="CV84" i="4"/>
  <c r="CV264" i="4"/>
  <c r="DD267" i="4"/>
  <c r="DD263" i="4"/>
  <c r="DD79" i="4"/>
  <c r="DD259" i="4"/>
  <c r="DV91" i="4"/>
  <c r="DP79" i="4"/>
  <c r="DP267" i="4"/>
  <c r="DP84" i="4"/>
  <c r="DP263" i="4"/>
  <c r="DP259" i="4"/>
  <c r="DT84" i="4"/>
  <c r="DU92" i="4"/>
  <c r="DT58" i="4"/>
  <c r="DV79" i="4"/>
  <c r="DV84" i="4"/>
  <c r="DV58" i="4"/>
  <c r="BY58" i="4"/>
  <c r="CK58" i="4"/>
  <c r="CW58" i="4"/>
  <c r="CG61" i="4"/>
  <c r="DE61" i="4"/>
  <c r="DT63" i="4"/>
  <c r="AG168" i="4"/>
  <c r="AG305" i="1" s="1"/>
  <c r="AG142" i="4"/>
  <c r="CQ267" i="4"/>
  <c r="CQ259" i="4"/>
  <c r="CQ169" i="4"/>
  <c r="CR92" i="4"/>
  <c r="CW91" i="4"/>
  <c r="CQ79" i="4"/>
  <c r="CQ84" i="4"/>
  <c r="CQ263" i="4"/>
  <c r="CX91" i="4"/>
  <c r="DS263" i="4"/>
  <c r="DS259" i="4"/>
  <c r="DS79" i="4"/>
  <c r="DS267" i="4"/>
  <c r="DS84" i="4"/>
  <c r="DY91" i="4"/>
  <c r="DT92" i="4"/>
  <c r="AN96" i="4"/>
  <c r="AI97" i="4"/>
  <c r="AH90" i="4"/>
  <c r="AZ86" i="4"/>
  <c r="BF96" i="4"/>
  <c r="AZ96" i="4"/>
  <c r="BN241" i="4"/>
  <c r="BO243" i="4"/>
  <c r="P12" i="4"/>
  <c r="P27" i="4" s="1"/>
  <c r="P29" i="4" s="1"/>
  <c r="P30" i="4" s="1"/>
  <c r="V12" i="4"/>
  <c r="V27" i="4" s="1"/>
  <c r="AB12" i="4"/>
  <c r="AB27" i="4" s="1"/>
  <c r="U33" i="4"/>
  <c r="AA33" i="4"/>
  <c r="AG33" i="4"/>
  <c r="AM33" i="4"/>
  <c r="AS33" i="4"/>
  <c r="AY33" i="4"/>
  <c r="BE33" i="4"/>
  <c r="BK33" i="4"/>
  <c r="BQ33" i="4"/>
  <c r="BW33" i="4"/>
  <c r="CC33" i="4"/>
  <c r="CI33" i="4"/>
  <c r="CO33" i="4"/>
  <c r="CU33" i="4"/>
  <c r="DA33" i="4"/>
  <c r="DG33" i="4"/>
  <c r="DM33" i="4"/>
  <c r="DS33" i="4"/>
  <c r="DY33" i="4"/>
  <c r="EE33" i="4"/>
  <c r="EK33" i="4"/>
  <c r="BK36" i="4"/>
  <c r="BK51" i="4" s="1"/>
  <c r="BK52" i="4" s="1"/>
  <c r="BW36" i="4"/>
  <c r="BW51" i="4" s="1"/>
  <c r="BW52" i="4" s="1"/>
  <c r="CO36" i="4"/>
  <c r="CO51" i="4" s="1"/>
  <c r="CO52" i="4" s="1"/>
  <c r="DA36" i="4"/>
  <c r="DA51" i="4" s="1"/>
  <c r="DA52" i="4" s="1"/>
  <c r="DM36" i="4"/>
  <c r="DM51" i="4" s="1"/>
  <c r="DM52" i="4" s="1"/>
  <c r="DM53" i="4" s="1"/>
  <c r="DY36" i="4"/>
  <c r="DY51" i="4" s="1"/>
  <c r="DY52" i="4" s="1"/>
  <c r="DY53" i="4" s="1"/>
  <c r="EK36" i="4"/>
  <c r="BQ86" i="4"/>
  <c r="BU56" i="4"/>
  <c r="BU115" i="4" s="1"/>
  <c r="BT57" i="4"/>
  <c r="BY86" i="4"/>
  <c r="BY87" i="4" s="1"/>
  <c r="BX57" i="4"/>
  <c r="CC90" i="4"/>
  <c r="CC59" i="4" s="1"/>
  <c r="CG56" i="4"/>
  <c r="CG115" i="4" s="1"/>
  <c r="CF57" i="4"/>
  <c r="CK90" i="4"/>
  <c r="CJ57" i="4"/>
  <c r="CO267" i="4"/>
  <c r="CO84" i="4"/>
  <c r="CO263" i="4"/>
  <c r="CO259" i="4"/>
  <c r="CP92" i="4"/>
  <c r="CS56" i="4"/>
  <c r="CR57" i="4"/>
  <c r="CW259" i="4"/>
  <c r="CX92" i="4"/>
  <c r="CW79" i="4"/>
  <c r="CW267" i="4"/>
  <c r="CW84" i="4"/>
  <c r="DC91" i="4"/>
  <c r="CW263" i="4"/>
  <c r="CV57" i="4"/>
  <c r="DA267" i="4"/>
  <c r="DA263" i="4"/>
  <c r="DA79" i="4"/>
  <c r="DA259" i="4"/>
  <c r="DA169" i="4"/>
  <c r="DB92" i="4"/>
  <c r="DG91" i="4"/>
  <c r="DA84" i="4"/>
  <c r="DE56" i="4"/>
  <c r="DD57" i="4"/>
  <c r="DM84" i="4"/>
  <c r="DM263" i="4"/>
  <c r="DM267" i="4"/>
  <c r="DM259" i="4"/>
  <c r="DN92" i="4"/>
  <c r="DQ56" i="4"/>
  <c r="DP57" i="4"/>
  <c r="DS57" i="4"/>
  <c r="DU57" i="4"/>
  <c r="DU59" i="4"/>
  <c r="BT58" i="4"/>
  <c r="BZ58" i="4"/>
  <c r="CF58" i="4"/>
  <c r="CL58" i="4"/>
  <c r="CR59" i="4"/>
  <c r="CX58" i="4"/>
  <c r="DD58" i="4"/>
  <c r="DD59" i="4"/>
  <c r="DP59" i="4"/>
  <c r="CM61" i="4"/>
  <c r="DU61" i="4"/>
  <c r="DU62" i="4"/>
  <c r="CP63" i="4"/>
  <c r="DD63" i="4"/>
  <c r="DN63" i="4"/>
  <c r="DT67" i="4"/>
  <c r="DP67" i="4"/>
  <c r="DT71" i="4"/>
  <c r="DP71" i="4"/>
  <c r="CG73" i="4"/>
  <c r="DT75" i="4"/>
  <c r="CP75" i="4"/>
  <c r="CV75" i="4"/>
  <c r="DB75" i="4"/>
  <c r="DN75" i="4"/>
  <c r="BO127" i="4"/>
  <c r="CG127" i="4"/>
  <c r="CG90" i="4"/>
  <c r="CG63" i="4" s="1"/>
  <c r="CY77" i="4"/>
  <c r="DK76" i="4"/>
  <c r="BU77" i="4"/>
  <c r="DM79" i="4"/>
  <c r="BU82" i="4"/>
  <c r="BO132" i="4"/>
  <c r="DU84" i="4"/>
  <c r="BA90" i="4"/>
  <c r="CI90" i="4"/>
  <c r="CI59" i="4" s="1"/>
  <c r="DJ91" i="4"/>
  <c r="DS91" i="4"/>
  <c r="AT96" i="4"/>
  <c r="BB96" i="4"/>
  <c r="AY97" i="4"/>
  <c r="AV96" i="4"/>
  <c r="AV90" i="4"/>
  <c r="AV92" i="4" s="1"/>
  <c r="AO97" i="4"/>
  <c r="BI99" i="4"/>
  <c r="BC99" i="4"/>
  <c r="AZ239" i="4"/>
  <c r="AQ157" i="4"/>
  <c r="AJ160" i="4"/>
  <c r="AP159" i="4"/>
  <c r="AU159" i="4"/>
  <c r="AZ159" i="4"/>
  <c r="BO173" i="4"/>
  <c r="BU174" i="4"/>
  <c r="AQ191" i="4"/>
  <c r="BO223" i="4"/>
  <c r="BI226" i="4"/>
  <c r="BI298" i="1" s="1"/>
  <c r="BH232" i="4"/>
  <c r="AV235" i="4"/>
  <c r="CM256" i="4"/>
  <c r="CS257" i="4" s="1"/>
  <c r="CK257" i="4"/>
  <c r="CP257" i="4"/>
  <c r="CY257" i="4"/>
  <c r="DQ265" i="4"/>
  <c r="DQ277" i="4"/>
  <c r="DJ281" i="4"/>
  <c r="DJ311" i="4"/>
  <c r="DO312" i="4"/>
  <c r="DV311" i="4"/>
  <c r="AI372" i="4"/>
  <c r="CS82" i="4"/>
  <c r="DQ82" i="4"/>
  <c r="BH90" i="4"/>
  <c r="AI96" i="4"/>
  <c r="AW95" i="4"/>
  <c r="BE96" i="4"/>
  <c r="BB97" i="4"/>
  <c r="BN97" i="4"/>
  <c r="BU132" i="4"/>
  <c r="BC151" i="4"/>
  <c r="AN160" i="4"/>
  <c r="AT160" i="4"/>
  <c r="BI173" i="4"/>
  <c r="BG175" i="4"/>
  <c r="BN175" i="4"/>
  <c r="BQ175" i="4"/>
  <c r="BX175" i="4"/>
  <c r="DQ261" i="4"/>
  <c r="DI322" i="4"/>
  <c r="DI323" i="4" s="1"/>
  <c r="DJ280" i="4"/>
  <c r="DO286" i="4"/>
  <c r="DY312" i="4"/>
  <c r="DY311" i="4"/>
  <c r="CA82" i="4"/>
  <c r="CY82" i="4"/>
  <c r="BE90" i="4"/>
  <c r="CS90" i="4"/>
  <c r="CS79" i="4" s="1"/>
  <c r="DQ90" i="4"/>
  <c r="DQ267" i="4" s="1"/>
  <c r="AJ97" i="4"/>
  <c r="AS96" i="4"/>
  <c r="BA96" i="4"/>
  <c r="BI95" i="4"/>
  <c r="AM97" i="4"/>
  <c r="BE97" i="4"/>
  <c r="BK97" i="4"/>
  <c r="CA132" i="4"/>
  <c r="AH160" i="4"/>
  <c r="AN159" i="4"/>
  <c r="AS159" i="4"/>
  <c r="BB159" i="4"/>
  <c r="AO160" i="4"/>
  <c r="BC173" i="4"/>
  <c r="BI174" i="4"/>
  <c r="BI296" i="1" s="1"/>
  <c r="CA173" i="4"/>
  <c r="BC191" i="4"/>
  <c r="CA191" i="4"/>
  <c r="BU226" i="4"/>
  <c r="BU298" i="1" s="1"/>
  <c r="BA230" i="4"/>
  <c r="CA230" i="4"/>
  <c r="AZ233" i="4"/>
  <c r="AY236" i="4"/>
  <c r="BC244" i="4"/>
  <c r="BC241" i="4" s="1"/>
  <c r="CY261" i="4"/>
  <c r="CS265" i="4"/>
  <c r="DW273" i="4"/>
  <c r="DU281" i="4"/>
  <c r="DT314" i="4"/>
  <c r="DH286" i="4"/>
  <c r="DP286" i="4"/>
  <c r="DT311" i="4"/>
  <c r="BX83" i="4"/>
  <c r="AQ95" i="4"/>
  <c r="BC95" i="4"/>
  <c r="BO95" i="4"/>
  <c r="BQ104" i="4" s="1"/>
  <c r="BG96" i="4"/>
  <c r="AT97" i="4"/>
  <c r="AZ97" i="4"/>
  <c r="BF97" i="4"/>
  <c r="BC174" i="4"/>
  <c r="BI191" i="4"/>
  <c r="BG232" i="4"/>
  <c r="CJ257" i="4"/>
  <c r="CS261" i="4"/>
  <c r="DE261" i="4"/>
  <c r="DI286" i="4"/>
  <c r="DQ285" i="4"/>
  <c r="DN293" i="4"/>
  <c r="DN310" i="4"/>
  <c r="DO311" i="4" s="1"/>
  <c r="DU312" i="4"/>
  <c r="DU311" i="4"/>
  <c r="DM286" i="4"/>
  <c r="DM292" i="4"/>
  <c r="DM293" i="4"/>
  <c r="DW291" i="4"/>
  <c r="DH292" i="4"/>
  <c r="DT292" i="4"/>
  <c r="DT293" i="4"/>
  <c r="DP307" i="4"/>
  <c r="DS307" i="4"/>
  <c r="DS308" i="4"/>
  <c r="DY307" i="4"/>
  <c r="DY308" i="4"/>
  <c r="DP315" i="4"/>
  <c r="DG327" i="4"/>
  <c r="DG329" i="4" s="1"/>
  <c r="DC329" i="4"/>
  <c r="AM398" i="4"/>
  <c r="AM332" i="4"/>
  <c r="AU398" i="4"/>
  <c r="AU332" i="4"/>
  <c r="AY398" i="4"/>
  <c r="AY332" i="4"/>
  <c r="BG332" i="4"/>
  <c r="BK398" i="4"/>
  <c r="BK332" i="4"/>
  <c r="BS398" i="4"/>
  <c r="BS332" i="4"/>
  <c r="BW328" i="4"/>
  <c r="BY398" i="4"/>
  <c r="CD398" i="4"/>
  <c r="CD332" i="4"/>
  <c r="CF398" i="4"/>
  <c r="CM331" i="4"/>
  <c r="CP398" i="4"/>
  <c r="CR398" i="4"/>
  <c r="CY331" i="4"/>
  <c r="DB398" i="4"/>
  <c r="DD398" i="4"/>
  <c r="DK331" i="4"/>
  <c r="DN398" i="4"/>
  <c r="DW331" i="4"/>
  <c r="DV332" i="4"/>
  <c r="BW332" i="4"/>
  <c r="AP333" i="4"/>
  <c r="AV333" i="4"/>
  <c r="BB333" i="4"/>
  <c r="BH333" i="4"/>
  <c r="BN333" i="4"/>
  <c r="BT333" i="4"/>
  <c r="BZ333" i="4"/>
  <c r="CF333" i="4"/>
  <c r="CL333" i="4"/>
  <c r="CR333" i="4"/>
  <c r="CX333" i="4"/>
  <c r="DD333" i="4"/>
  <c r="DP333" i="4"/>
  <c r="DV333" i="4"/>
  <c r="DM338" i="4"/>
  <c r="AJ370" i="4"/>
  <c r="AO370" i="4"/>
  <c r="AO371" i="4" s="1"/>
  <c r="AS370" i="4"/>
  <c r="AS372" i="4" s="1"/>
  <c r="BA370" i="4"/>
  <c r="BE370" i="4"/>
  <c r="BY370" i="4"/>
  <c r="BY372" i="4" s="1"/>
  <c r="CC370" i="4"/>
  <c r="CO370" i="4"/>
  <c r="DA370" i="4"/>
  <c r="BB375" i="4"/>
  <c r="BM374" i="4"/>
  <c r="BM375" i="4"/>
  <c r="BG374" i="4"/>
  <c r="BU377" i="4"/>
  <c r="AO379" i="4"/>
  <c r="AU379" i="4"/>
  <c r="AZ378" i="4"/>
  <c r="AS378" i="4"/>
  <c r="BM379" i="4"/>
  <c r="BM378" i="4"/>
  <c r="CM377" i="4"/>
  <c r="CR379" i="4"/>
  <c r="CW379" i="4"/>
  <c r="AZ379" i="4"/>
  <c r="BY388" i="4"/>
  <c r="BY384" i="4"/>
  <c r="AN412" i="4"/>
  <c r="AO393" i="4"/>
  <c r="AT392" i="4"/>
  <c r="AN408" i="4"/>
  <c r="AN410" i="4" s="1"/>
  <c r="AN393" i="4"/>
  <c r="DU292" i="4"/>
  <c r="DT307" i="4"/>
  <c r="DT308" i="4"/>
  <c r="DP310" i="4"/>
  <c r="DS311" i="4" s="1"/>
  <c r="DH327" i="4"/>
  <c r="AQ328" i="4"/>
  <c r="BO328" i="4"/>
  <c r="DD329" i="4"/>
  <c r="AW331" i="4"/>
  <c r="BI331" i="4"/>
  <c r="BL398" i="4"/>
  <c r="BN398" i="4"/>
  <c r="BU331" i="4"/>
  <c r="CE398" i="4"/>
  <c r="CI398" i="4"/>
  <c r="CQ402" i="4"/>
  <c r="CQ398" i="4"/>
  <c r="CU398" i="4"/>
  <c r="DC398" i="4"/>
  <c r="DG398" i="4"/>
  <c r="DO398" i="4"/>
  <c r="AH333" i="4"/>
  <c r="BX332" i="4"/>
  <c r="AM333" i="4"/>
  <c r="AS333" i="4"/>
  <c r="AY333" i="4"/>
  <c r="BE333" i="4"/>
  <c r="BQ333" i="4"/>
  <c r="CI333" i="4"/>
  <c r="CU333" i="4"/>
  <c r="DG333" i="4"/>
  <c r="DM333" i="4"/>
  <c r="DS333" i="4"/>
  <c r="AG370" i="4"/>
  <c r="AT370" i="4"/>
  <c r="BF370" i="4"/>
  <c r="DB370" i="4"/>
  <c r="BC376" i="4"/>
  <c r="BE375" i="4"/>
  <c r="BK374" i="4"/>
  <c r="BW373" i="4"/>
  <c r="BQ376" i="4"/>
  <c r="BQ375" i="4"/>
  <c r="BC377" i="4"/>
  <c r="BH375" i="4"/>
  <c r="BK375" i="4"/>
  <c r="BS379" i="4"/>
  <c r="BX378" i="4"/>
  <c r="AI379" i="4"/>
  <c r="AP379" i="4"/>
  <c r="AU378" i="4"/>
  <c r="AO378" i="4"/>
  <c r="BN379" i="4"/>
  <c r="BS378" i="4"/>
  <c r="BY379" i="4"/>
  <c r="CD378" i="4"/>
  <c r="CK379" i="4"/>
  <c r="CP378" i="4"/>
  <c r="CU379" i="4"/>
  <c r="CX378" i="4"/>
  <c r="DD377" i="4"/>
  <c r="BF379" i="4"/>
  <c r="CK388" i="4"/>
  <c r="CK383" i="4"/>
  <c r="CK384" i="4"/>
  <c r="AY402" i="4"/>
  <c r="BE400" i="4"/>
  <c r="DO292" i="4"/>
  <c r="DO293" i="4"/>
  <c r="DU307" i="4"/>
  <c r="DU308" i="4"/>
  <c r="DI327" i="4"/>
  <c r="AW328" i="4"/>
  <c r="BU328" i="4"/>
  <c r="AO402" i="4"/>
  <c r="AO398" i="4"/>
  <c r="AO332" i="4"/>
  <c r="AS332" i="4"/>
  <c r="BA398" i="4"/>
  <c r="BA332" i="4"/>
  <c r="BE332" i="4"/>
  <c r="BM398" i="4"/>
  <c r="BM332" i="4"/>
  <c r="BQ398" i="4"/>
  <c r="BQ332" i="4"/>
  <c r="BT398" i="4"/>
  <c r="BZ398" i="4"/>
  <c r="CG331" i="4"/>
  <c r="CF332" i="4"/>
  <c r="CJ398" i="4"/>
  <c r="CJ332" i="4"/>
  <c r="CL398" i="4"/>
  <c r="CS331" i="4"/>
  <c r="CR332" i="4"/>
  <c r="CV398" i="4"/>
  <c r="CV332" i="4"/>
  <c r="CX398" i="4"/>
  <c r="DE331" i="4"/>
  <c r="DD332" i="4"/>
  <c r="DH398" i="4"/>
  <c r="DH332" i="4"/>
  <c r="DJ398" i="4"/>
  <c r="DQ331" i="4"/>
  <c r="DP332" i="4"/>
  <c r="DT332" i="4"/>
  <c r="AI333" i="4"/>
  <c r="BY332" i="4"/>
  <c r="AN333" i="4"/>
  <c r="AT333" i="4"/>
  <c r="AZ333" i="4"/>
  <c r="BF333" i="4"/>
  <c r="BL333" i="4"/>
  <c r="BR333" i="4"/>
  <c r="BX333" i="4"/>
  <c r="CD333" i="4"/>
  <c r="CJ333" i="4"/>
  <c r="CP333" i="4"/>
  <c r="CV333" i="4"/>
  <c r="DB333" i="4"/>
  <c r="DH333" i="4"/>
  <c r="DN333" i="4"/>
  <c r="DT333" i="4"/>
  <c r="DT336" i="4"/>
  <c r="AM370" i="4"/>
  <c r="AU370" i="4"/>
  <c r="BG370" i="4"/>
  <c r="BW370" i="4"/>
  <c r="DC370" i="4"/>
  <c r="BF374" i="4"/>
  <c r="BN375" i="4"/>
  <c r="BN374" i="4"/>
  <c r="BT373" i="4"/>
  <c r="BR374" i="4"/>
  <c r="BG375" i="4"/>
  <c r="AY378" i="4"/>
  <c r="BE378" i="4"/>
  <c r="CI379" i="4"/>
  <c r="CL378" i="4"/>
  <c r="CS377" i="4"/>
  <c r="CQ381" i="4"/>
  <c r="AZ412" i="4"/>
  <c r="BA393" i="4"/>
  <c r="BF392" i="4"/>
  <c r="AZ408" i="4"/>
  <c r="BL412" i="4"/>
  <c r="BM393" i="4"/>
  <c r="BL408" i="4"/>
  <c r="BL410" i="4" s="1"/>
  <c r="BR392" i="4"/>
  <c r="BX412" i="4"/>
  <c r="BY393" i="4"/>
  <c r="CD392" i="4"/>
  <c r="CJ412" i="4"/>
  <c r="CJ408" i="4"/>
  <c r="CJ410" i="4" s="1"/>
  <c r="CK393" i="4"/>
  <c r="CP392" i="4"/>
  <c r="CV412" i="4"/>
  <c r="CW393" i="4"/>
  <c r="DB392" i="4"/>
  <c r="CV408" i="4"/>
  <c r="DH412" i="4"/>
  <c r="DI393" i="4"/>
  <c r="DH408" i="4"/>
  <c r="DN392" i="4"/>
  <c r="DT412" i="4"/>
  <c r="DU393" i="4"/>
  <c r="DT408" i="4"/>
  <c r="DZ409" i="4" s="1"/>
  <c r="AZ393" i="4"/>
  <c r="BX393" i="4"/>
  <c r="DH393" i="4"/>
  <c r="BN400" i="4"/>
  <c r="BH402" i="4"/>
  <c r="BI402" i="4" s="1"/>
  <c r="AM402" i="4"/>
  <c r="AS402" i="4"/>
  <c r="DP292" i="4"/>
  <c r="DP293" i="4"/>
  <c r="DS292" i="4"/>
  <c r="DY292" i="4"/>
  <c r="DO307" i="4"/>
  <c r="DV307" i="4"/>
  <c r="DV308" i="4"/>
  <c r="DJ327" i="4"/>
  <c r="BC328" i="4"/>
  <c r="DE327" i="4"/>
  <c r="DB329" i="4"/>
  <c r="AP332" i="4"/>
  <c r="AT332" i="4"/>
  <c r="AV398" i="4"/>
  <c r="AV402" i="4"/>
  <c r="AW402" i="4" s="1"/>
  <c r="BC331" i="4"/>
  <c r="BB332" i="4"/>
  <c r="BF332" i="4"/>
  <c r="BH398" i="4"/>
  <c r="BO331" i="4"/>
  <c r="BN332" i="4"/>
  <c r="BR398" i="4"/>
  <c r="BR332" i="4"/>
  <c r="CC398" i="4"/>
  <c r="CC332" i="4"/>
  <c r="CK398" i="4"/>
  <c r="CK332" i="4"/>
  <c r="CO398" i="4"/>
  <c r="CO332" i="4"/>
  <c r="CW398" i="4"/>
  <c r="CW332" i="4"/>
  <c r="DA398" i="4"/>
  <c r="DA332" i="4"/>
  <c r="DI332" i="4"/>
  <c r="DM398" i="4"/>
  <c r="DM332" i="4"/>
  <c r="DU332" i="4"/>
  <c r="AO333" i="4"/>
  <c r="AU333" i="4"/>
  <c r="BA333" i="4"/>
  <c r="BG333" i="4"/>
  <c r="BM333" i="4"/>
  <c r="BS333" i="4"/>
  <c r="BY333" i="4"/>
  <c r="CE333" i="4"/>
  <c r="CK333" i="4"/>
  <c r="CQ333" i="4"/>
  <c r="CW333" i="4"/>
  <c r="DC333" i="4"/>
  <c r="DI333" i="4"/>
  <c r="DO333" i="4"/>
  <c r="DU333" i="4"/>
  <c r="DU336" i="4"/>
  <c r="DP338" i="4"/>
  <c r="AN370" i="4"/>
  <c r="AV370" i="4"/>
  <c r="AZ370" i="4"/>
  <c r="BH370" i="4"/>
  <c r="BL370" i="4"/>
  <c r="BT370" i="4"/>
  <c r="CF370" i="4"/>
  <c r="CJ370" i="4"/>
  <c r="CR370" i="4"/>
  <c r="CV370" i="4"/>
  <c r="BI373" i="4"/>
  <c r="BO373" i="4"/>
  <c r="BL374" i="4"/>
  <c r="BF378" i="4"/>
  <c r="BS376" i="4"/>
  <c r="AP378" i="4"/>
  <c r="AM379" i="4"/>
  <c r="AQ377" i="4"/>
  <c r="AW377" i="4"/>
  <c r="BO377" i="4"/>
  <c r="BL378" i="4"/>
  <c r="CF378" i="4"/>
  <c r="CG377" i="4"/>
  <c r="CR378" i="4"/>
  <c r="AV412" i="4"/>
  <c r="AW391" i="4"/>
  <c r="BC392" i="4" s="1"/>
  <c r="AV408" i="4"/>
  <c r="AV410" i="4" s="1"/>
  <c r="AY393" i="4"/>
  <c r="BB392" i="4"/>
  <c r="BH412" i="4"/>
  <c r="BH408" i="4"/>
  <c r="BI391" i="4"/>
  <c r="BO392" i="4" s="1"/>
  <c r="BK393" i="4"/>
  <c r="BN392" i="4"/>
  <c r="BT412" i="4"/>
  <c r="BU391" i="4"/>
  <c r="CA392" i="4" s="1"/>
  <c r="BW393" i="4"/>
  <c r="BZ392" i="4"/>
  <c r="BT408" i="4"/>
  <c r="CF412" i="4"/>
  <c r="CG391" i="4"/>
  <c r="CM392" i="4" s="1"/>
  <c r="CF408" i="4"/>
  <c r="CI393" i="4"/>
  <c r="CL392" i="4"/>
  <c r="CR412" i="4"/>
  <c r="CS391" i="4"/>
  <c r="CR408" i="4"/>
  <c r="CU393" i="4"/>
  <c r="CX392" i="4"/>
  <c r="DD408" i="4"/>
  <c r="DE391" i="4"/>
  <c r="DG393" i="4"/>
  <c r="DJ392" i="4"/>
  <c r="DP412" i="4"/>
  <c r="DQ391" i="4"/>
  <c r="DQ392" i="4" s="1"/>
  <c r="J200" i="484" s="1"/>
  <c r="DS393" i="4"/>
  <c r="DV392" i="4"/>
  <c r="CV393" i="4"/>
  <c r="BW397" i="4"/>
  <c r="BX395" i="4"/>
  <c r="BW399" i="4"/>
  <c r="BW396" i="4"/>
  <c r="BW398" i="4"/>
  <c r="BA402" i="4"/>
  <c r="AN402" i="4"/>
  <c r="AT402" i="4"/>
  <c r="BS402" i="4"/>
  <c r="BT401" i="4"/>
  <c r="BY400" i="4"/>
  <c r="BI377" i="4"/>
  <c r="BH378" i="4"/>
  <c r="BY378" i="4"/>
  <c r="CK378" i="4"/>
  <c r="CO378" i="4"/>
  <c r="CW378" i="4"/>
  <c r="BB379" i="4"/>
  <c r="BW381" i="4"/>
  <c r="CI381" i="4"/>
  <c r="CJ384" i="4" s="1"/>
  <c r="BX388" i="4"/>
  <c r="AP408" i="4"/>
  <c r="AP412" i="4"/>
  <c r="AT408" i="4"/>
  <c r="AT412" i="4"/>
  <c r="AS392" i="4"/>
  <c r="BB408" i="4"/>
  <c r="BB412" i="4"/>
  <c r="BA392" i="4"/>
  <c r="BF408" i="4"/>
  <c r="BF412" i="4"/>
  <c r="BE392" i="4"/>
  <c r="BN408" i="4"/>
  <c r="BN412" i="4"/>
  <c r="BM392" i="4"/>
  <c r="BR408" i="4"/>
  <c r="BR412" i="4"/>
  <c r="BQ392" i="4"/>
  <c r="BZ408" i="4"/>
  <c r="BZ412" i="4"/>
  <c r="BY392" i="4"/>
  <c r="CD408" i="4"/>
  <c r="CD412" i="4"/>
  <c r="CC392" i="4"/>
  <c r="CL408" i="4"/>
  <c r="CL412" i="4"/>
  <c r="CK392" i="4"/>
  <c r="CP408" i="4"/>
  <c r="CP412" i="4"/>
  <c r="CO392" i="4"/>
  <c r="CX408" i="4"/>
  <c r="CX412" i="4"/>
  <c r="CW392" i="4"/>
  <c r="DB408" i="4"/>
  <c r="DB412" i="4"/>
  <c r="DJ408" i="4"/>
  <c r="DJ412" i="4"/>
  <c r="DI392" i="4"/>
  <c r="DN408" i="4"/>
  <c r="DN412" i="4"/>
  <c r="DV412" i="4"/>
  <c r="DU392" i="4"/>
  <c r="DY392" i="4"/>
  <c r="AV393" i="4"/>
  <c r="BH393" i="4"/>
  <c r="CR393" i="4"/>
  <c r="DV393" i="4"/>
  <c r="AW396" i="4"/>
  <c r="BU396" i="4"/>
  <c r="BM401" i="4"/>
  <c r="CW400" i="4"/>
  <c r="CW402" i="4"/>
  <c r="DC400" i="4"/>
  <c r="DC402" i="4"/>
  <c r="DG401" i="4"/>
  <c r="DH402" i="4"/>
  <c r="DN400" i="4"/>
  <c r="BF402" i="4"/>
  <c r="BL402" i="4"/>
  <c r="CF400" i="4"/>
  <c r="BK405" i="4"/>
  <c r="BQ406" i="4"/>
  <c r="BW405" i="4"/>
  <c r="BY406" i="4"/>
  <c r="CU406" i="4"/>
  <c r="DA406" i="4"/>
  <c r="DI405" i="4"/>
  <c r="DM405" i="4"/>
  <c r="AU412" i="4"/>
  <c r="CP381" i="4"/>
  <c r="CD383" i="4"/>
  <c r="CD386" i="4" s="1"/>
  <c r="BS408" i="4"/>
  <c r="BW408" i="4"/>
  <c r="CE408" i="4"/>
  <c r="CQ408" i="4"/>
  <c r="CU408" i="4"/>
  <c r="DC408" i="4"/>
  <c r="DG408" i="4"/>
  <c r="DO408" i="4"/>
  <c r="DS408" i="4"/>
  <c r="AS393" i="4"/>
  <c r="BE393" i="4"/>
  <c r="BQ393" i="4"/>
  <c r="CC393" i="4"/>
  <c r="BS400" i="4"/>
  <c r="BZ400" i="4"/>
  <c r="BN401" i="4"/>
  <c r="DD401" i="4"/>
  <c r="DD402" i="4"/>
  <c r="DO400" i="4"/>
  <c r="BM402" i="4"/>
  <c r="BT402" i="4"/>
  <c r="BU402" i="4" s="1"/>
  <c r="BG406" i="4"/>
  <c r="BL405" i="4"/>
  <c r="BS406" i="4"/>
  <c r="DO405" i="4"/>
  <c r="DJ406" i="4"/>
  <c r="AM412" i="4"/>
  <c r="BG412" i="4"/>
  <c r="CI412" i="4"/>
  <c r="DC412" i="4"/>
  <c r="AP402" i="4"/>
  <c r="AQ402" i="4" s="1"/>
  <c r="BN402" i="4"/>
  <c r="BO402" i="4" s="1"/>
  <c r="BT400" i="4"/>
  <c r="BQ401" i="4"/>
  <c r="BT406" i="4"/>
  <c r="BY405" i="4"/>
  <c r="BS405" i="4"/>
  <c r="CC399" i="4"/>
  <c r="CF406" i="4"/>
  <c r="CC405" i="4"/>
  <c r="CJ406" i="4"/>
  <c r="CI399" i="4"/>
  <c r="CI405" i="4"/>
  <c r="CP406" i="4"/>
  <c r="CO399" i="4"/>
  <c r="CO405" i="4"/>
  <c r="CU405" i="4"/>
  <c r="DA405" i="4"/>
  <c r="AY412" i="4"/>
  <c r="BS412" i="4"/>
  <c r="CU412" i="4"/>
  <c r="DO412" i="4"/>
  <c r="BR378" i="4"/>
  <c r="AT378" i="4"/>
  <c r="CJ378" i="4"/>
  <c r="CV378" i="4"/>
  <c r="AO412" i="4"/>
  <c r="AO408" i="4"/>
  <c r="AS412" i="4"/>
  <c r="AS408" i="4"/>
  <c r="AV392" i="4"/>
  <c r="BA412" i="4"/>
  <c r="BA408" i="4"/>
  <c r="BA409" i="4" s="1"/>
  <c r="AZ392" i="4"/>
  <c r="BE412" i="4"/>
  <c r="BE408" i="4"/>
  <c r="BE409" i="4" s="1"/>
  <c r="BH392" i="4"/>
  <c r="BM412" i="4"/>
  <c r="BM408" i="4"/>
  <c r="BL392" i="4"/>
  <c r="BQ412" i="4"/>
  <c r="BQ408" i="4"/>
  <c r="BQ409" i="4" s="1"/>
  <c r="BT392" i="4"/>
  <c r="BY412" i="4"/>
  <c r="BY408" i="4"/>
  <c r="BX392" i="4"/>
  <c r="CC412" i="4"/>
  <c r="CC408" i="4"/>
  <c r="CF392" i="4"/>
  <c r="CK412" i="4"/>
  <c r="CK408" i="4"/>
  <c r="CJ392" i="4"/>
  <c r="CO412" i="4"/>
  <c r="CO408" i="4"/>
  <c r="CO409" i="4" s="1"/>
  <c r="CR392" i="4"/>
  <c r="CW412" i="4"/>
  <c r="CW408" i="4"/>
  <c r="CV392" i="4"/>
  <c r="DA412" i="4"/>
  <c r="DA408" i="4"/>
  <c r="DD392" i="4"/>
  <c r="DI412" i="4"/>
  <c r="DI408" i="4"/>
  <c r="DH392" i="4"/>
  <c r="DM412" i="4"/>
  <c r="DM408" i="4"/>
  <c r="DP392" i="4"/>
  <c r="DU412" i="4"/>
  <c r="DU408" i="4"/>
  <c r="EA409" i="4" s="1"/>
  <c r="DT392" i="4"/>
  <c r="DY412" i="4"/>
  <c r="AU393" i="4"/>
  <c r="BG393" i="4"/>
  <c r="BS393" i="4"/>
  <c r="CE393" i="4"/>
  <c r="CQ393" i="4"/>
  <c r="DC393" i="4"/>
  <c r="DO393" i="4"/>
  <c r="AZ402" i="4"/>
  <c r="AU402" i="4"/>
  <c r="BK399" i="4"/>
  <c r="BE402" i="4"/>
  <c r="BF401" i="4"/>
  <c r="DI400" i="4"/>
  <c r="DG402" i="4"/>
  <c r="BQ402" i="4"/>
  <c r="CP402" i="4"/>
  <c r="BH406" i="4"/>
  <c r="BN405" i="4"/>
  <c r="BK406" i="4"/>
  <c r="BU405" i="4"/>
  <c r="CE405" i="4"/>
  <c r="CQ405" i="4"/>
  <c r="CW405" i="4"/>
  <c r="DC405" i="4"/>
  <c r="BL406" i="4"/>
  <c r="BK412" i="4"/>
  <c r="CE412" i="4"/>
  <c r="DG412" i="4"/>
  <c r="CF405" i="4"/>
  <c r="CD405" i="4"/>
  <c r="BS291" i="1"/>
  <c r="BS293" i="1" s="1"/>
  <c r="CD291" i="1"/>
  <c r="CD293" i="1" s="1"/>
  <c r="CK291" i="1"/>
  <c r="CK293" i="1" s="1"/>
  <c r="DU437" i="4"/>
  <c r="BL437" i="4"/>
  <c r="BR437" i="4"/>
  <c r="CR437" i="4"/>
  <c r="CX437" i="4"/>
  <c r="DP437" i="4"/>
  <c r="AU437" i="4"/>
  <c r="BA437" i="4"/>
  <c r="BG437" i="4"/>
  <c r="BM437" i="4"/>
  <c r="BS437" i="4"/>
  <c r="BY437" i="4"/>
  <c r="CE437" i="4"/>
  <c r="CO437" i="4"/>
  <c r="CO438" i="4"/>
  <c r="CU437" i="4"/>
  <c r="CU438" i="4"/>
  <c r="DM437" i="4"/>
  <c r="DS437" i="4"/>
  <c r="CJ438" i="4"/>
  <c r="DT437" i="4"/>
  <c r="H223" i="484"/>
  <c r="H19" i="484"/>
  <c r="J14" i="484"/>
  <c r="J17" i="484" s="1"/>
  <c r="P46" i="484"/>
  <c r="O56" i="484"/>
  <c r="M61" i="484"/>
  <c r="M67" i="484"/>
  <c r="H81" i="484"/>
  <c r="H77" i="484" s="1"/>
  <c r="Q92" i="484"/>
  <c r="R92" i="484" s="1"/>
  <c r="R96" i="484" s="1"/>
  <c r="M96" i="484"/>
  <c r="I67" i="484"/>
  <c r="I80" i="484" s="1"/>
  <c r="O96" i="484"/>
  <c r="J30" i="484"/>
  <c r="I35" i="484"/>
  <c r="I47" i="484"/>
  <c r="I55" i="484"/>
  <c r="I32" i="484" s="1"/>
  <c r="N63" i="484"/>
  <c r="N61" i="484"/>
  <c r="I65" i="484"/>
  <c r="I68" i="484"/>
  <c r="N89" i="484"/>
  <c r="K101" i="484"/>
  <c r="L119" i="484"/>
  <c r="H37" i="484"/>
  <c r="I63" i="484"/>
  <c r="L103" i="484"/>
  <c r="L117" i="484"/>
  <c r="M105" i="484"/>
  <c r="N105" i="484" s="1"/>
  <c r="O105" i="484" s="1"/>
  <c r="P105" i="484" s="1"/>
  <c r="Q105" i="484" s="1"/>
  <c r="R105" i="484" s="1"/>
  <c r="L107" i="484"/>
  <c r="L109" i="484"/>
  <c r="L121" i="484"/>
  <c r="K132" i="484"/>
  <c r="K111" i="484"/>
  <c r="J132" i="484"/>
  <c r="G204" i="484"/>
  <c r="G253" i="484"/>
  <c r="G265" i="484" s="1"/>
  <c r="G272" i="484" s="1"/>
  <c r="G276" i="484" s="1"/>
  <c r="G248" i="484"/>
  <c r="O279" i="484"/>
  <c r="M313" i="484"/>
  <c r="M311" i="484"/>
  <c r="M328" i="484"/>
  <c r="M326" i="484"/>
  <c r="M281" i="484"/>
  <c r="N327" i="484"/>
  <c r="K291" i="484"/>
  <c r="J355" i="484"/>
  <c r="J386" i="484"/>
  <c r="N386" i="484"/>
  <c r="K386" i="484"/>
  <c r="O386" i="484"/>
  <c r="L328" i="484"/>
  <c r="L386" i="484"/>
  <c r="P386" i="484"/>
  <c r="M386" i="484"/>
  <c r="Q386" i="484"/>
  <c r="BT225" i="2"/>
  <c r="CS190" i="1"/>
  <c r="ES150" i="2" l="1"/>
  <c r="ER148" i="2"/>
  <c r="EU147" i="2"/>
  <c r="EU140" i="2" s="1"/>
  <c r="EQ283" i="1"/>
  <c r="EQ138" i="2"/>
  <c r="ET154" i="2"/>
  <c r="EU154" i="2" s="1"/>
  <c r="ET70" i="1"/>
  <c r="ET126" i="2"/>
  <c r="EU71" i="1"/>
  <c r="EU70" i="1" s="1"/>
  <c r="EQ70" i="1"/>
  <c r="EQ126" i="2"/>
  <c r="ES126" i="2"/>
  <c r="ES70" i="1"/>
  <c r="ER70" i="1"/>
  <c r="ER126" i="2"/>
  <c r="EQ165" i="1"/>
  <c r="ES156" i="1"/>
  <c r="ER153" i="1"/>
  <c r="ER165" i="1" s="1"/>
  <c r="Q326" i="484"/>
  <c r="R327" i="484"/>
  <c r="R326" i="484" s="1"/>
  <c r="EK126" i="2"/>
  <c r="EQ129" i="3"/>
  <c r="EK12" i="4"/>
  <c r="EK27" i="4" s="1"/>
  <c r="EK29" i="4" s="1"/>
  <c r="EK30" i="4" s="1"/>
  <c r="DD9" i="4"/>
  <c r="EH9" i="4"/>
  <c r="BY12" i="4"/>
  <c r="BY27" i="4" s="1"/>
  <c r="BY29" i="4" s="1"/>
  <c r="EB9" i="4"/>
  <c r="DG9" i="4"/>
  <c r="BN9" i="4"/>
  <c r="CE9" i="4"/>
  <c r="BH9" i="4"/>
  <c r="DD12" i="4"/>
  <c r="DD27" i="4" s="1"/>
  <c r="DD29" i="4" s="1"/>
  <c r="DS9" i="4"/>
  <c r="DM12" i="4"/>
  <c r="DM27" i="4" s="1"/>
  <c r="DM29" i="4" s="1"/>
  <c r="DM30" i="4" s="1"/>
  <c r="EO95" i="1"/>
  <c r="CA211" i="1"/>
  <c r="BC37" i="1"/>
  <c r="BU40" i="1"/>
  <c r="BC48" i="1"/>
  <c r="CL9" i="4"/>
  <c r="DA145" i="3"/>
  <c r="DA147" i="3" s="1"/>
  <c r="CD105" i="3"/>
  <c r="CD113" i="3" s="1"/>
  <c r="CD145" i="3" s="1"/>
  <c r="BW147" i="3"/>
  <c r="BW148" i="3"/>
  <c r="DQ108" i="3"/>
  <c r="BW139" i="3"/>
  <c r="DB105" i="3"/>
  <c r="DB113" i="3" s="1"/>
  <c r="DD35" i="3"/>
  <c r="DC110" i="3"/>
  <c r="DC37" i="3"/>
  <c r="DC112" i="3" s="1"/>
  <c r="BY111" i="3"/>
  <c r="BZ36" i="3"/>
  <c r="CC145" i="3"/>
  <c r="BI132" i="2"/>
  <c r="BI135" i="2" s="1"/>
  <c r="BO131" i="2"/>
  <c r="CK109" i="3"/>
  <c r="CL34" i="3"/>
  <c r="CW111" i="3"/>
  <c r="CX36" i="3"/>
  <c r="BX105" i="3"/>
  <c r="BX113" i="3" s="1"/>
  <c r="CK110" i="3"/>
  <c r="CL35" i="3"/>
  <c r="DJ107" i="3"/>
  <c r="DK107" i="3" s="1"/>
  <c r="DK32" i="3"/>
  <c r="DM147" i="3"/>
  <c r="DM148" i="3"/>
  <c r="CQ111" i="3"/>
  <c r="CQ37" i="3"/>
  <c r="CQ112" i="3" s="1"/>
  <c r="CR36" i="3"/>
  <c r="CO145" i="3"/>
  <c r="CO139" i="3"/>
  <c r="CV105" i="3"/>
  <c r="CV113" i="3" s="1"/>
  <c r="DI110" i="3"/>
  <c r="DJ35" i="3"/>
  <c r="CE111" i="3"/>
  <c r="CF36" i="3"/>
  <c r="CM32" i="3"/>
  <c r="CL107" i="3"/>
  <c r="CM107" i="3" s="1"/>
  <c r="DI108" i="3"/>
  <c r="DJ33" i="3"/>
  <c r="DI37" i="3"/>
  <c r="DI112" i="3" s="1"/>
  <c r="DY9" i="4"/>
  <c r="BA12" i="4"/>
  <c r="BA27" i="4" s="1"/>
  <c r="BA29" i="4" s="1"/>
  <c r="BA30" i="4" s="1"/>
  <c r="BA258" i="1" s="1"/>
  <c r="CC139" i="3"/>
  <c r="CS33" i="3"/>
  <c r="CR108" i="3"/>
  <c r="CS108" i="3" s="1"/>
  <c r="CI147" i="3"/>
  <c r="CI148" i="3"/>
  <c r="BY110" i="3"/>
  <c r="BZ35" i="3"/>
  <c r="CP105" i="3"/>
  <c r="CP113" i="3" s="1"/>
  <c r="DG145" i="3"/>
  <c r="DM146" i="3" s="1"/>
  <c r="DG139" i="3"/>
  <c r="CX35" i="3"/>
  <c r="CW110" i="3"/>
  <c r="CJ105" i="3"/>
  <c r="CJ113" i="3" s="1"/>
  <c r="CF106" i="3"/>
  <c r="CG106" i="3" s="1"/>
  <c r="CG31" i="3"/>
  <c r="DH105" i="3"/>
  <c r="DH113" i="3" s="1"/>
  <c r="CK108" i="3"/>
  <c r="CK37" i="3"/>
  <c r="CK112" i="3" s="1"/>
  <c r="CL33" i="3"/>
  <c r="DA148" i="3"/>
  <c r="BY109" i="3"/>
  <c r="BZ34" i="3"/>
  <c r="BY108" i="3"/>
  <c r="BY37" i="3"/>
  <c r="BY112" i="3" s="1"/>
  <c r="BZ33" i="3"/>
  <c r="CE110" i="3"/>
  <c r="CF35" i="3"/>
  <c r="CE37" i="3"/>
  <c r="CE112" i="3" s="1"/>
  <c r="CK111" i="3"/>
  <c r="CL36" i="3"/>
  <c r="DD106" i="3"/>
  <c r="DE106" i="3" s="1"/>
  <c r="DE31" i="3"/>
  <c r="CW109" i="3"/>
  <c r="CX34" i="3"/>
  <c r="CX33" i="3"/>
  <c r="CW37" i="3"/>
  <c r="CW112" i="3" s="1"/>
  <c r="CW108" i="3"/>
  <c r="DJ34" i="3"/>
  <c r="DI109" i="3"/>
  <c r="EK9" i="4"/>
  <c r="DA9" i="4"/>
  <c r="EE9" i="4"/>
  <c r="BM9" i="4"/>
  <c r="DP12" i="4"/>
  <c r="DP27" i="4" s="1"/>
  <c r="DP29" i="4" s="1"/>
  <c r="DP30" i="4" s="1"/>
  <c r="DV9" i="4"/>
  <c r="CU9" i="4"/>
  <c r="BT9" i="4"/>
  <c r="EO36" i="4"/>
  <c r="EU33" i="4"/>
  <c r="EM51" i="4"/>
  <c r="EM52" i="4" s="1"/>
  <c r="EM53" i="4" s="1"/>
  <c r="ES52" i="4"/>
  <c r="ES53" i="4" s="1"/>
  <c r="EL51" i="4"/>
  <c r="EL52" i="4" s="1"/>
  <c r="EL53" i="4" s="1"/>
  <c r="ER52" i="4"/>
  <c r="ER53" i="4" s="1"/>
  <c r="EL12" i="4"/>
  <c r="ER9" i="4"/>
  <c r="EK51" i="4"/>
  <c r="EK52" i="4" s="1"/>
  <c r="EK53" i="4" s="1"/>
  <c r="EQ52" i="4"/>
  <c r="EQ53" i="4" s="1"/>
  <c r="EN51" i="4"/>
  <c r="EN52" i="4" s="1"/>
  <c r="EN53" i="4" s="1"/>
  <c r="ET52" i="4"/>
  <c r="ET53" i="4" s="1"/>
  <c r="EN27" i="4"/>
  <c r="ET29" i="4"/>
  <c r="ET30" i="4" s="1"/>
  <c r="EM27" i="4"/>
  <c r="ES29" i="4"/>
  <c r="ES30" i="4" s="1"/>
  <c r="EH12" i="4"/>
  <c r="EH27" i="4" s="1"/>
  <c r="EH29" i="4" s="1"/>
  <c r="EH30" i="4" s="1"/>
  <c r="CR9" i="4"/>
  <c r="CX9" i="4"/>
  <c r="BT12" i="4"/>
  <c r="BT27" i="4" s="1"/>
  <c r="BT29" i="4" s="1"/>
  <c r="BS9" i="4"/>
  <c r="DJ9" i="4"/>
  <c r="BG271" i="1"/>
  <c r="DI340" i="4"/>
  <c r="BB271" i="1"/>
  <c r="DE131" i="3"/>
  <c r="DE134" i="3" s="1"/>
  <c r="BF271" i="1"/>
  <c r="DE79" i="1"/>
  <c r="AQ246" i="1"/>
  <c r="DB428" i="4"/>
  <c r="CL428" i="4"/>
  <c r="BO243" i="1"/>
  <c r="DE125" i="2"/>
  <c r="AQ59" i="1"/>
  <c r="DP428" i="4"/>
  <c r="BT428" i="4"/>
  <c r="AQ243" i="1"/>
  <c r="AQ240" i="1"/>
  <c r="DG428" i="4"/>
  <c r="CU110" i="2"/>
  <c r="CU108" i="2"/>
  <c r="CY125" i="2"/>
  <c r="CI108" i="2"/>
  <c r="CI109" i="2" s="1"/>
  <c r="CM125" i="2"/>
  <c r="DW70" i="1"/>
  <c r="K268" i="484"/>
  <c r="CS138" i="1"/>
  <c r="AQ425" i="4"/>
  <c r="EB325" i="1"/>
  <c r="AT90" i="2"/>
  <c r="AT91" i="2"/>
  <c r="AT92" i="2"/>
  <c r="AA264" i="1"/>
  <c r="AA266" i="1" s="1"/>
  <c r="AA90" i="2"/>
  <c r="AA91" i="2"/>
  <c r="AA92" i="2"/>
  <c r="Q264" i="1"/>
  <c r="Q266" i="1" s="1"/>
  <c r="Q92" i="2"/>
  <c r="Q91" i="2"/>
  <c r="Q90" i="2"/>
  <c r="BQ263" i="1"/>
  <c r="CD428" i="4"/>
  <c r="CK428" i="4"/>
  <c r="BN81" i="1"/>
  <c r="CX58" i="2"/>
  <c r="BL58" i="2"/>
  <c r="BH58" i="2"/>
  <c r="CV58" i="2"/>
  <c r="CF58" i="2"/>
  <c r="BS58" i="2"/>
  <c r="BG58" i="2"/>
  <c r="DT428" i="4"/>
  <c r="DS428" i="4"/>
  <c r="AY428" i="4"/>
  <c r="AE428" i="4"/>
  <c r="Y428" i="4"/>
  <c r="DD428" i="4"/>
  <c r="BS428" i="4"/>
  <c r="S58" i="2"/>
  <c r="BW428" i="4"/>
  <c r="CA428" i="4" s="1"/>
  <c r="G428" i="4"/>
  <c r="BA428" i="4"/>
  <c r="AU92" i="2"/>
  <c r="AU91" i="2"/>
  <c r="AU90" i="2"/>
  <c r="AP90" i="2"/>
  <c r="AQ90" i="2" s="1"/>
  <c r="AP91" i="2"/>
  <c r="AQ91" i="2" s="1"/>
  <c r="AP92" i="2"/>
  <c r="AQ92" i="2" s="1"/>
  <c r="AG91" i="2"/>
  <c r="AG92" i="2"/>
  <c r="AG90" i="2"/>
  <c r="AB264" i="1"/>
  <c r="AB266" i="1" s="1"/>
  <c r="AB91" i="2"/>
  <c r="AB92" i="2"/>
  <c r="AB90" i="2"/>
  <c r="W264" i="1"/>
  <c r="W266" i="1" s="1"/>
  <c r="W92" i="2"/>
  <c r="W91" i="2"/>
  <c r="W90" i="2"/>
  <c r="R264" i="1"/>
  <c r="R266" i="1" s="1"/>
  <c r="R90" i="2"/>
  <c r="S90" i="2" s="1"/>
  <c r="R91" i="2"/>
  <c r="S91" i="2" s="1"/>
  <c r="R92" i="2"/>
  <c r="S92" i="2" s="1"/>
  <c r="BO60" i="1"/>
  <c r="AO92" i="2"/>
  <c r="AO91" i="2"/>
  <c r="AO90" i="2"/>
  <c r="AJ90" i="2"/>
  <c r="AK90" i="2" s="1"/>
  <c r="AJ91" i="2"/>
  <c r="AK91" i="2" s="1"/>
  <c r="AJ92" i="2"/>
  <c r="AK92" i="2" s="1"/>
  <c r="AS90" i="2"/>
  <c r="AS91" i="2"/>
  <c r="AS92" i="2"/>
  <c r="AN90" i="2"/>
  <c r="AN91" i="2"/>
  <c r="AN92" i="2"/>
  <c r="AI92" i="2"/>
  <c r="AI91" i="2"/>
  <c r="AI90" i="2"/>
  <c r="AD264" i="1"/>
  <c r="AD266" i="1" s="1"/>
  <c r="AD92" i="2"/>
  <c r="AE92" i="2" s="1"/>
  <c r="AD90" i="2"/>
  <c r="AE90" i="2" s="1"/>
  <c r="AD91" i="2"/>
  <c r="AE91" i="2" s="1"/>
  <c r="U264" i="1"/>
  <c r="U266" i="1" s="1"/>
  <c r="U90" i="2"/>
  <c r="U91" i="2"/>
  <c r="U92" i="2"/>
  <c r="P264" i="1"/>
  <c r="P266" i="1" s="1"/>
  <c r="P90" i="2"/>
  <c r="P91" i="2"/>
  <c r="P92" i="2"/>
  <c r="CC428" i="4"/>
  <c r="AK58" i="2"/>
  <c r="CO428" i="4"/>
  <c r="CU58" i="2"/>
  <c r="BW58" i="2"/>
  <c r="BM58" i="2"/>
  <c r="DS58" i="2"/>
  <c r="BH428" i="4"/>
  <c r="BF428" i="4"/>
  <c r="CV428" i="4"/>
  <c r="BN428" i="4"/>
  <c r="DC428" i="4"/>
  <c r="BM428" i="4"/>
  <c r="CX428" i="4"/>
  <c r="W82" i="1"/>
  <c r="AH92" i="2"/>
  <c r="AH90" i="2"/>
  <c r="AH91" i="2"/>
  <c r="CR428" i="4"/>
  <c r="DA428" i="4"/>
  <c r="BO56" i="1"/>
  <c r="BB428" i="4"/>
  <c r="BE58" i="2"/>
  <c r="BA58" i="2"/>
  <c r="AY58" i="2"/>
  <c r="AZ58" i="2"/>
  <c r="DD58" i="2"/>
  <c r="BX58" i="2"/>
  <c r="BN58" i="2"/>
  <c r="DV428" i="4"/>
  <c r="DH428" i="4"/>
  <c r="AZ428" i="4"/>
  <c r="BG428" i="4"/>
  <c r="M428" i="4"/>
  <c r="BL428" i="4"/>
  <c r="AV91" i="2"/>
  <c r="AW91" i="2" s="1"/>
  <c r="AV92" i="2"/>
  <c r="AW92" i="2" s="1"/>
  <c r="AV90" i="2"/>
  <c r="AW90" i="2" s="1"/>
  <c r="AM92" i="2"/>
  <c r="AM90" i="2"/>
  <c r="AM91" i="2"/>
  <c r="AC264" i="1"/>
  <c r="AC266" i="1" s="1"/>
  <c r="AC92" i="2"/>
  <c r="AC91" i="2"/>
  <c r="AC90" i="2"/>
  <c r="X264" i="1"/>
  <c r="X266" i="1" s="1"/>
  <c r="X91" i="2"/>
  <c r="Y91" i="2" s="1"/>
  <c r="X92" i="2"/>
  <c r="Y92" i="2" s="1"/>
  <c r="X90" i="2"/>
  <c r="Y90" i="2" s="1"/>
  <c r="O264" i="1"/>
  <c r="O266" i="1" s="1"/>
  <c r="O92" i="2"/>
  <c r="O90" i="2"/>
  <c r="O91" i="2"/>
  <c r="BI213" i="1"/>
  <c r="BR92" i="2"/>
  <c r="BR91" i="2"/>
  <c r="BR90" i="2"/>
  <c r="V264" i="1"/>
  <c r="V266" i="1" s="1"/>
  <c r="V90" i="2"/>
  <c r="V91" i="2"/>
  <c r="V92" i="2"/>
  <c r="BZ92" i="2"/>
  <c r="CA92" i="2" s="1"/>
  <c r="BZ90" i="2"/>
  <c r="CA90" i="2" s="1"/>
  <c r="BZ91" i="2"/>
  <c r="CA91" i="2" s="1"/>
  <c r="CI428" i="4"/>
  <c r="DY359" i="4"/>
  <c r="CQ428" i="4"/>
  <c r="CP428" i="4"/>
  <c r="EB528" i="4"/>
  <c r="EB534" i="4"/>
  <c r="EB529" i="4"/>
  <c r="EB533" i="4"/>
  <c r="CE58" i="2"/>
  <c r="DH58" i="2"/>
  <c r="S428" i="4"/>
  <c r="DY58" i="2"/>
  <c r="AW58" i="2"/>
  <c r="CE428" i="4"/>
  <c r="CG428" i="4" s="1"/>
  <c r="BC194" i="1"/>
  <c r="BC195" i="1" s="1"/>
  <c r="EL14" i="3"/>
  <c r="EL89" i="3" s="1"/>
  <c r="EL137" i="2" s="1"/>
  <c r="EF14" i="3"/>
  <c r="BO130" i="2"/>
  <c r="R281" i="484"/>
  <c r="R328" i="484"/>
  <c r="P96" i="484"/>
  <c r="CS169" i="2"/>
  <c r="CA121" i="2"/>
  <c r="DW359" i="4"/>
  <c r="EA533" i="4"/>
  <c r="DY528" i="4"/>
  <c r="EA529" i="4"/>
  <c r="EA528" i="4"/>
  <c r="EA534" i="4"/>
  <c r="DY529" i="4"/>
  <c r="DD242" i="1"/>
  <c r="DI261" i="1"/>
  <c r="CM138" i="1"/>
  <c r="AE101" i="1"/>
  <c r="AE274" i="1" s="1"/>
  <c r="AE275" i="1" s="1"/>
  <c r="Q96" i="484"/>
  <c r="J133" i="484"/>
  <c r="K123" i="484"/>
  <c r="CA169" i="2"/>
  <c r="DK93" i="1"/>
  <c r="Q328" i="484"/>
  <c r="Q281" i="484"/>
  <c r="EN47" i="1"/>
  <c r="DW138" i="1"/>
  <c r="DW322" i="1" s="1"/>
  <c r="DE93" i="1"/>
  <c r="CA328" i="4"/>
  <c r="AJ168" i="4"/>
  <c r="AJ305" i="1" s="1"/>
  <c r="AJ142" i="4"/>
  <c r="AJ92" i="4"/>
  <c r="BN87" i="4"/>
  <c r="BK84" i="4"/>
  <c r="BN84" i="4"/>
  <c r="BK75" i="4"/>
  <c r="BN88" i="4"/>
  <c r="BQ87" i="4"/>
  <c r="BK168" i="4"/>
  <c r="BK79" i="4"/>
  <c r="BN79" i="4"/>
  <c r="BE87" i="4"/>
  <c r="BT87" i="4"/>
  <c r="BK209" i="4"/>
  <c r="BN209" i="4"/>
  <c r="BN168" i="4"/>
  <c r="BK88" i="4"/>
  <c r="DJ340" i="4"/>
  <c r="EG12" i="4"/>
  <c r="EG27" i="4" s="1"/>
  <c r="DI9" i="4"/>
  <c r="DU340" i="4"/>
  <c r="BM209" i="4"/>
  <c r="BT59" i="4"/>
  <c r="CD9" i="4"/>
  <c r="BE9" i="4"/>
  <c r="BM187" i="4"/>
  <c r="BS189" i="4" s="1"/>
  <c r="EO165" i="2"/>
  <c r="EO166" i="2" s="1"/>
  <c r="EH29" i="2"/>
  <c r="EG37" i="3"/>
  <c r="EG112" i="3" s="1"/>
  <c r="EH13" i="2"/>
  <c r="EG33" i="3"/>
  <c r="EG108" i="3" s="1"/>
  <c r="BE12" i="4"/>
  <c r="BE27" i="4" s="1"/>
  <c r="BE29" i="4" s="1"/>
  <c r="BE30" i="4" s="1"/>
  <c r="BE258" i="1" s="1"/>
  <c r="CC9" i="4"/>
  <c r="CI9" i="4"/>
  <c r="DC9" i="4"/>
  <c r="AY9" i="4"/>
  <c r="DC12" i="4"/>
  <c r="DC27" i="4" s="1"/>
  <c r="CO9" i="4"/>
  <c r="BL9" i="4"/>
  <c r="CS10" i="4"/>
  <c r="CS12" i="4" s="1"/>
  <c r="CS27" i="4" s="1"/>
  <c r="CW9" i="4"/>
  <c r="BK9" i="4"/>
  <c r="AH12" i="4"/>
  <c r="AH27" i="4" s="1"/>
  <c r="AH29" i="4" s="1"/>
  <c r="AH30" i="4" s="1"/>
  <c r="AH258" i="1" s="1"/>
  <c r="BO10" i="4"/>
  <c r="BO12" i="4" s="1"/>
  <c r="BO27" i="4" s="1"/>
  <c r="BG12" i="4"/>
  <c r="BG27" i="4" s="1"/>
  <c r="DD67" i="1"/>
  <c r="BU63" i="1"/>
  <c r="DD59" i="1"/>
  <c r="BI245" i="1"/>
  <c r="DD243" i="1"/>
  <c r="DD33" i="1"/>
  <c r="DA437" i="4"/>
  <c r="BX12" i="4"/>
  <c r="BX27" i="4" s="1"/>
  <c r="BX29" i="4" s="1"/>
  <c r="DD63" i="1"/>
  <c r="DE31" i="1"/>
  <c r="DW27" i="1"/>
  <c r="BY438" i="4"/>
  <c r="BQ9" i="4"/>
  <c r="DJ437" i="4"/>
  <c r="DD412" i="4"/>
  <c r="DE412" i="4" s="1"/>
  <c r="BK12" i="4"/>
  <c r="BK27" i="4" s="1"/>
  <c r="AK59" i="1"/>
  <c r="AK63" i="1"/>
  <c r="AK245" i="1"/>
  <c r="AK55" i="1"/>
  <c r="DO9" i="4"/>
  <c r="BF9" i="4"/>
  <c r="BX437" i="4"/>
  <c r="DO437" i="4"/>
  <c r="BF12" i="4"/>
  <c r="BF27" i="4" s="1"/>
  <c r="BF29" i="4" s="1"/>
  <c r="DD438" i="4"/>
  <c r="AZ438" i="4"/>
  <c r="AY90" i="4"/>
  <c r="AY209" i="4" s="1"/>
  <c r="BW9" i="4"/>
  <c r="BF88" i="4"/>
  <c r="DW238" i="1"/>
  <c r="DJ438" i="4"/>
  <c r="BW90" i="4"/>
  <c r="CC91" i="4" s="1"/>
  <c r="DN58" i="2"/>
  <c r="DN428" i="4"/>
  <c r="CW50" i="1"/>
  <c r="CW85" i="1" s="1"/>
  <c r="BY50" i="1"/>
  <c r="BY85" i="1" s="1"/>
  <c r="CQ9" i="4"/>
  <c r="DU58" i="2"/>
  <c r="DU428" i="4"/>
  <c r="CW12" i="4"/>
  <c r="CW27" i="4" s="1"/>
  <c r="CW29" i="4" s="1"/>
  <c r="CS428" i="4"/>
  <c r="DO58" i="2"/>
  <c r="DO428" i="4"/>
  <c r="BE262" i="1"/>
  <c r="DI58" i="2"/>
  <c r="DI428" i="4"/>
  <c r="BB50" i="1"/>
  <c r="BB85" i="1" s="1"/>
  <c r="DK10" i="4"/>
  <c r="DK12" i="4" s="1"/>
  <c r="DK27" i="4" s="1"/>
  <c r="DM58" i="2"/>
  <c r="DM428" i="4"/>
  <c r="DE10" i="4"/>
  <c r="DE12" i="4" s="1"/>
  <c r="DE27" i="4" s="1"/>
  <c r="BI10" i="4"/>
  <c r="BI12" i="4" s="1"/>
  <c r="BI27" i="4" s="1"/>
  <c r="BR9" i="4"/>
  <c r="BQ12" i="4"/>
  <c r="BQ27" i="4" s="1"/>
  <c r="BU10" i="4"/>
  <c r="BU12" i="4" s="1"/>
  <c r="BU27" i="4" s="1"/>
  <c r="BG9" i="4"/>
  <c r="DU9" i="4"/>
  <c r="EA9" i="4"/>
  <c r="AT9" i="4"/>
  <c r="EA12" i="4"/>
  <c r="EA27" i="4" s="1"/>
  <c r="EA29" i="4" s="1"/>
  <c r="EA30" i="4" s="1"/>
  <c r="DD425" i="4"/>
  <c r="DE425" i="4" s="1"/>
  <c r="EG9" i="4"/>
  <c r="AZ9" i="4"/>
  <c r="AK425" i="4"/>
  <c r="BX9" i="4"/>
  <c r="AZ437" i="4"/>
  <c r="AT12" i="4"/>
  <c r="AT27" i="4" s="1"/>
  <c r="AQ10" i="4"/>
  <c r="AQ12" i="4" s="1"/>
  <c r="AQ27" i="4" s="1"/>
  <c r="AQ29" i="4" s="1"/>
  <c r="AQ30" i="4" s="1"/>
  <c r="AQ258" i="1" s="1"/>
  <c r="AN9" i="4"/>
  <c r="DW425" i="4"/>
  <c r="BC243" i="1"/>
  <c r="CJ425" i="4"/>
  <c r="CR402" i="4"/>
  <c r="BW400" i="4"/>
  <c r="CM75" i="4"/>
  <c r="DH91" i="4"/>
  <c r="CM63" i="4"/>
  <c r="CQ528" i="4"/>
  <c r="DG400" i="4"/>
  <c r="DD400" i="4"/>
  <c r="CK400" i="4"/>
  <c r="CC401" i="4"/>
  <c r="DI402" i="4"/>
  <c r="CY84" i="4"/>
  <c r="DH84" i="4"/>
  <c r="CM79" i="4"/>
  <c r="CM84" i="4"/>
  <c r="BS401" i="4"/>
  <c r="DO402" i="4"/>
  <c r="CM267" i="4"/>
  <c r="DH63" i="4"/>
  <c r="DY427" i="4"/>
  <c r="CK401" i="4"/>
  <c r="CE400" i="4"/>
  <c r="BN92" i="4"/>
  <c r="AI168" i="4"/>
  <c r="AI305" i="1" s="1"/>
  <c r="DO91" i="4"/>
  <c r="DM311" i="4"/>
  <c r="DI59" i="4"/>
  <c r="BM63" i="4"/>
  <c r="DO315" i="4"/>
  <c r="AI142" i="4"/>
  <c r="BS91" i="4"/>
  <c r="BM168" i="4"/>
  <c r="DE267" i="4"/>
  <c r="CY392" i="4"/>
  <c r="DI311" i="4"/>
  <c r="CV402" i="4"/>
  <c r="CV400" i="4"/>
  <c r="BR401" i="4"/>
  <c r="AW159" i="4"/>
  <c r="DH263" i="4"/>
  <c r="DH59" i="4"/>
  <c r="BS375" i="4"/>
  <c r="CU92" i="4"/>
  <c r="DH267" i="4"/>
  <c r="DH58" i="4"/>
  <c r="DH92" i="4"/>
  <c r="DN91" i="4"/>
  <c r="BR402" i="4"/>
  <c r="DH75" i="4"/>
  <c r="DH57" i="4"/>
  <c r="DH79" i="4"/>
  <c r="DN57" i="4"/>
  <c r="BN75" i="4"/>
  <c r="BN63" i="4"/>
  <c r="DJ401" i="4"/>
  <c r="DJ402" i="4"/>
  <c r="CC413" i="4"/>
  <c r="BR400" i="4"/>
  <c r="BI86" i="4"/>
  <c r="BX414" i="4"/>
  <c r="CL401" i="4"/>
  <c r="DH400" i="4"/>
  <c r="CD402" i="4"/>
  <c r="CP400" i="4"/>
  <c r="BH91" i="4"/>
  <c r="DG437" i="4"/>
  <c r="DM400" i="4"/>
  <c r="DM402" i="4"/>
  <c r="CJ402" i="4"/>
  <c r="AM92" i="4"/>
  <c r="BN372" i="4"/>
  <c r="BG402" i="4"/>
  <c r="BM400" i="4"/>
  <c r="DV437" i="4"/>
  <c r="BG401" i="4"/>
  <c r="AM91" i="4"/>
  <c r="AM168" i="4"/>
  <c r="AM305" i="1" s="1"/>
  <c r="BH401" i="4"/>
  <c r="BO169" i="1"/>
  <c r="DB378" i="4"/>
  <c r="AQ86" i="4"/>
  <c r="CV401" i="4"/>
  <c r="DC378" i="4"/>
  <c r="AO90" i="4"/>
  <c r="AO91" i="4" s="1"/>
  <c r="AP88" i="4"/>
  <c r="CU402" i="4"/>
  <c r="AU92" i="4"/>
  <c r="AO88" i="4"/>
  <c r="CU401" i="4"/>
  <c r="BX397" i="4"/>
  <c r="BS372" i="4"/>
  <c r="BM79" i="4"/>
  <c r="BM59" i="4"/>
  <c r="DQ169" i="2"/>
  <c r="BM84" i="4"/>
  <c r="DZ419" i="4"/>
  <c r="DY426" i="4"/>
  <c r="DY420" i="4"/>
  <c r="DY425" i="4"/>
  <c r="DY428" i="4"/>
  <c r="BU373" i="4"/>
  <c r="BU376" i="4" s="1"/>
  <c r="BX373" i="4"/>
  <c r="DK286" i="4"/>
  <c r="DS316" i="4"/>
  <c r="BU223" i="4"/>
  <c r="BW229" i="4" s="1"/>
  <c r="AT168" i="4"/>
  <c r="AT305" i="1" s="1"/>
  <c r="CG79" i="4"/>
  <c r="DI63" i="4"/>
  <c r="DI263" i="4"/>
  <c r="DI267" i="4"/>
  <c r="DI91" i="4"/>
  <c r="DN315" i="4"/>
  <c r="DE84" i="4"/>
  <c r="DE79" i="4"/>
  <c r="DJ92" i="4"/>
  <c r="DI58" i="4"/>
  <c r="DI92" i="4"/>
  <c r="DE263" i="4"/>
  <c r="DO57" i="4"/>
  <c r="CM378" i="4"/>
  <c r="BR376" i="4"/>
  <c r="DS315" i="4"/>
  <c r="DJ58" i="4"/>
  <c r="DI259" i="4"/>
  <c r="DI79" i="4"/>
  <c r="DK56" i="4"/>
  <c r="DK57" i="4" s="1"/>
  <c r="BO51" i="4"/>
  <c r="BL92" i="4"/>
  <c r="DM401" i="4"/>
  <c r="BU400" i="4"/>
  <c r="DY27" i="1"/>
  <c r="DY56" i="2"/>
  <c r="EK56" i="2" s="1"/>
  <c r="DY87" i="2"/>
  <c r="EE87" i="2" s="1"/>
  <c r="EK87" i="2" s="1"/>
  <c r="EQ87" i="2" s="1"/>
  <c r="DY57" i="2"/>
  <c r="CL372" i="4"/>
  <c r="CJ372" i="4"/>
  <c r="DB400" i="4"/>
  <c r="CX401" i="4"/>
  <c r="CL400" i="4"/>
  <c r="DC379" i="4"/>
  <c r="AS12" i="4"/>
  <c r="AS27" i="4" s="1"/>
  <c r="AS29" i="4" s="1"/>
  <c r="AS30" i="4" s="1"/>
  <c r="AS258" i="1" s="1"/>
  <c r="AS9" i="4"/>
  <c r="CE372" i="4"/>
  <c r="CX400" i="4"/>
  <c r="DC401" i="4"/>
  <c r="DA378" i="4"/>
  <c r="AW10" i="4"/>
  <c r="DJ400" i="4"/>
  <c r="DB402" i="4"/>
  <c r="CX402" i="4"/>
  <c r="CC383" i="4"/>
  <c r="CC386" i="4" s="1"/>
  <c r="CF381" i="4"/>
  <c r="CG381" i="4" s="1"/>
  <c r="CG388" i="4" s="1"/>
  <c r="BO400" i="4"/>
  <c r="DA401" i="4"/>
  <c r="CJ400" i="4"/>
  <c r="BE372" i="4"/>
  <c r="BB88" i="4"/>
  <c r="AS142" i="4"/>
  <c r="DG29" i="4"/>
  <c r="DG30" i="4" s="1"/>
  <c r="BM87" i="4"/>
  <c r="BG90" i="4"/>
  <c r="BH92" i="4" s="1"/>
  <c r="BE88" i="4"/>
  <c r="BG88" i="4"/>
  <c r="DD378" i="4"/>
  <c r="BG87" i="4"/>
  <c r="AS91" i="4"/>
  <c r="AJ12" i="4"/>
  <c r="AJ27" i="4" s="1"/>
  <c r="AJ29" i="4" s="1"/>
  <c r="AJ30" i="4" s="1"/>
  <c r="AJ258" i="1" s="1"/>
  <c r="BB209" i="4"/>
  <c r="CQ371" i="4"/>
  <c r="DA400" i="4"/>
  <c r="CW401" i="4"/>
  <c r="CR372" i="4"/>
  <c r="CW371" i="4"/>
  <c r="CK371" i="4"/>
  <c r="DA402" i="4"/>
  <c r="DA372" i="4"/>
  <c r="AN88" i="4"/>
  <c r="AN90" i="4"/>
  <c r="AT91" i="4" s="1"/>
  <c r="CR400" i="4"/>
  <c r="CO401" i="4"/>
  <c r="BT371" i="4"/>
  <c r="AW332" i="4"/>
  <c r="AW86" i="4"/>
  <c r="BY402" i="4"/>
  <c r="BC378" i="4"/>
  <c r="BW379" i="4"/>
  <c r="BO370" i="4"/>
  <c r="AS92" i="4"/>
  <c r="AT92" i="4"/>
  <c r="DO340" i="4"/>
  <c r="AQ332" i="4"/>
  <c r="CX372" i="4"/>
  <c r="CQ372" i="4"/>
  <c r="DD371" i="4"/>
  <c r="BZ12" i="4"/>
  <c r="BZ27" i="4" s="1"/>
  <c r="CK402" i="4"/>
  <c r="CF372" i="4"/>
  <c r="DB12" i="4"/>
  <c r="DB27" i="4" s="1"/>
  <c r="CA10" i="4"/>
  <c r="CA12" i="4" s="1"/>
  <c r="CA27" i="4" s="1"/>
  <c r="BI400" i="4"/>
  <c r="CV372" i="4"/>
  <c r="CA377" i="4"/>
  <c r="CG378" i="4" s="1"/>
  <c r="CA332" i="4"/>
  <c r="BW378" i="4"/>
  <c r="DU339" i="4"/>
  <c r="BC86" i="4"/>
  <c r="DT414" i="4"/>
  <c r="DN341" i="4"/>
  <c r="BE401" i="4"/>
  <c r="BB401" i="4"/>
  <c r="DB379" i="4"/>
  <c r="CC372" i="4"/>
  <c r="DA379" i="4"/>
  <c r="BH87" i="4"/>
  <c r="DO339" i="4"/>
  <c r="BZ402" i="4"/>
  <c r="CA402" i="4" s="1"/>
  <c r="BC370" i="4"/>
  <c r="CC378" i="4"/>
  <c r="BB402" i="4"/>
  <c r="BC402" i="4" s="1"/>
  <c r="AW392" i="4"/>
  <c r="DH276" i="1"/>
  <c r="CX133" i="2"/>
  <c r="DV133" i="2"/>
  <c r="DS133" i="2"/>
  <c r="CQ133" i="2"/>
  <c r="DY133" i="2"/>
  <c r="DC133" i="2"/>
  <c r="BK291" i="1"/>
  <c r="BK292" i="1" s="1"/>
  <c r="BI214" i="2"/>
  <c r="BI215" i="2" s="1"/>
  <c r="BU275" i="2"/>
  <c r="AK215" i="2"/>
  <c r="DE328" i="4"/>
  <c r="DE276" i="1"/>
  <c r="DT286" i="4"/>
  <c r="DD133" i="2"/>
  <c r="DA133" i="2"/>
  <c r="DH133" i="2"/>
  <c r="EE133" i="2"/>
  <c r="DI133" i="2"/>
  <c r="EF133" i="2"/>
  <c r="BO275" i="2"/>
  <c r="BO278" i="2" s="1"/>
  <c r="AE215" i="2"/>
  <c r="R293" i="1"/>
  <c r="S293" i="1" s="1"/>
  <c r="R292" i="1"/>
  <c r="S292" i="1" s="1"/>
  <c r="CG226" i="4"/>
  <c r="CA298" i="1"/>
  <c r="CQ291" i="1"/>
  <c r="CQ293" i="1" s="1"/>
  <c r="S214" i="2"/>
  <c r="BC275" i="2" s="1"/>
  <c r="BC278" i="2" s="1"/>
  <c r="S291" i="1"/>
  <c r="BO175" i="4"/>
  <c r="DE259" i="4"/>
  <c r="DJ133" i="2"/>
  <c r="EG133" i="2"/>
  <c r="DG133" i="2"/>
  <c r="EH133" i="2"/>
  <c r="DN133" i="2"/>
  <c r="EK133" i="2"/>
  <c r="DO133" i="2"/>
  <c r="EL133" i="2"/>
  <c r="BI275" i="2"/>
  <c r="BI278" i="2" s="1"/>
  <c r="DS63" i="4"/>
  <c r="DS75" i="4"/>
  <c r="DS67" i="4"/>
  <c r="DS71" i="4"/>
  <c r="AW378" i="4"/>
  <c r="DJ276" i="1"/>
  <c r="DI276" i="1"/>
  <c r="DG276" i="1"/>
  <c r="BC175" i="4"/>
  <c r="BC296" i="1"/>
  <c r="BU175" i="4"/>
  <c r="BU296" i="1"/>
  <c r="CP291" i="1"/>
  <c r="CP293" i="1" s="1"/>
  <c r="DP133" i="2"/>
  <c r="EM133" i="2"/>
  <c r="DM133" i="2"/>
  <c r="EN133" i="2"/>
  <c r="DT133" i="2"/>
  <c r="CW133" i="2"/>
  <c r="DU133" i="2"/>
  <c r="DU140" i="2" s="1"/>
  <c r="BR291" i="1"/>
  <c r="BR293" i="1" s="1"/>
  <c r="BG206" i="2"/>
  <c r="BG293" i="1"/>
  <c r="CA275" i="2"/>
  <c r="AQ215" i="2"/>
  <c r="BF206" i="2"/>
  <c r="BF293" i="1"/>
  <c r="BC226" i="4"/>
  <c r="DS59" i="4"/>
  <c r="DE392" i="4"/>
  <c r="H200" i="484" s="1"/>
  <c r="CS392" i="4"/>
  <c r="DN409" i="4"/>
  <c r="BU392" i="4"/>
  <c r="AO29" i="4"/>
  <c r="AO30" i="4" s="1"/>
  <c r="AO258" i="1" s="1"/>
  <c r="BU378" i="4"/>
  <c r="DI398" i="4"/>
  <c r="BQ88" i="4"/>
  <c r="BL87" i="4"/>
  <c r="AW59" i="1"/>
  <c r="CJ63" i="1"/>
  <c r="AW245" i="1"/>
  <c r="CJ67" i="1"/>
  <c r="CJ244" i="1"/>
  <c r="AW63" i="1"/>
  <c r="CO261" i="1"/>
  <c r="CO84" i="2" s="1"/>
  <c r="CK224" i="1"/>
  <c r="CJ59" i="1"/>
  <c r="CJ246" i="1"/>
  <c r="CJ245" i="1"/>
  <c r="CJ242" i="1"/>
  <c r="CK261" i="1"/>
  <c r="CK84" i="2" s="1"/>
  <c r="DH261" i="1"/>
  <c r="BS371" i="4"/>
  <c r="BL372" i="4"/>
  <c r="BQ372" i="4"/>
  <c r="BN119" i="2"/>
  <c r="EC10" i="4"/>
  <c r="EC12" i="4" s="1"/>
  <c r="EC27" i="4" s="1"/>
  <c r="DZ9" i="4"/>
  <c r="DB9" i="4"/>
  <c r="CS91" i="4"/>
  <c r="CS259" i="4"/>
  <c r="CS263" i="4"/>
  <c r="BB12" i="4"/>
  <c r="BB27" i="4" s="1"/>
  <c r="BB29" i="4" s="1"/>
  <c r="BB30" i="4" s="1"/>
  <c r="BB258" i="1" s="1"/>
  <c r="DB169" i="4"/>
  <c r="DB305" i="1"/>
  <c r="BS305" i="1"/>
  <c r="BC10" i="4"/>
  <c r="BC12" i="4" s="1"/>
  <c r="BC27" i="4" s="1"/>
  <c r="EL9" i="4"/>
  <c r="CC29" i="4"/>
  <c r="DC169" i="4"/>
  <c r="DC305" i="1"/>
  <c r="EI10" i="4"/>
  <c r="EI12" i="4" s="1"/>
  <c r="EI27" i="4" s="1"/>
  <c r="DH12" i="4"/>
  <c r="DH27" i="4" s="1"/>
  <c r="V29" i="4"/>
  <c r="V30" i="4" s="1"/>
  <c r="AW52" i="4"/>
  <c r="AW53" i="4" s="1"/>
  <c r="CE12" i="4"/>
  <c r="CE27" i="4" s="1"/>
  <c r="CK9" i="4"/>
  <c r="EF12" i="4"/>
  <c r="EF27" i="4" s="1"/>
  <c r="EF29" i="4" s="1"/>
  <c r="EF30" i="4" s="1"/>
  <c r="AC29" i="4"/>
  <c r="AC30" i="4" s="1"/>
  <c r="CG10" i="4"/>
  <c r="CG12" i="4" s="1"/>
  <c r="CG27" i="4" s="1"/>
  <c r="BB9" i="4"/>
  <c r="DZ29" i="4"/>
  <c r="DZ30" i="4" s="1"/>
  <c r="CV12" i="4"/>
  <c r="CV27" i="4" s="1"/>
  <c r="CX29" i="4"/>
  <c r="AD29" i="4"/>
  <c r="AD30" i="4" s="1"/>
  <c r="AA29" i="4"/>
  <c r="AA30" i="4" s="1"/>
  <c r="DW10" i="4"/>
  <c r="DW12" i="4" s="1"/>
  <c r="DW27" i="4" s="1"/>
  <c r="DT9" i="4"/>
  <c r="CV9" i="4"/>
  <c r="CY10" i="4"/>
  <c r="CY12" i="4" s="1"/>
  <c r="CY27" i="4" s="1"/>
  <c r="CS33" i="4"/>
  <c r="DV312" i="4"/>
  <c r="CO119" i="2"/>
  <c r="DP84" i="2"/>
  <c r="DQ84" i="2" s="1"/>
  <c r="DP119" i="2"/>
  <c r="DP95" i="2"/>
  <c r="DQ119" i="2"/>
  <c r="AH84" i="2"/>
  <c r="AH119" i="2"/>
  <c r="AH96" i="2"/>
  <c r="CK437" i="4"/>
  <c r="CL438" i="4"/>
  <c r="BX384" i="4"/>
  <c r="AW398" i="4"/>
  <c r="CY378" i="4"/>
  <c r="CC382" i="4"/>
  <c r="DN339" i="4"/>
  <c r="CG398" i="4"/>
  <c r="CR371" i="4"/>
  <c r="BR372" i="4"/>
  <c r="DN12" i="4"/>
  <c r="DN27" i="4" s="1"/>
  <c r="CP12" i="4"/>
  <c r="CP27" i="4" s="1"/>
  <c r="AU305" i="1"/>
  <c r="AQ245" i="1"/>
  <c r="CG243" i="1"/>
  <c r="CG56" i="2"/>
  <c r="BY84" i="2"/>
  <c r="BY119" i="2"/>
  <c r="BM84" i="2"/>
  <c r="BM95" i="2"/>
  <c r="BM99" i="2" s="1"/>
  <c r="BM100" i="2" s="1"/>
  <c r="BE84" i="2"/>
  <c r="BE96" i="2"/>
  <c r="BE62" i="2"/>
  <c r="BE119" i="2"/>
  <c r="AO84" i="2"/>
  <c r="AO119" i="2"/>
  <c r="AG84" i="2"/>
  <c r="AG96" i="2"/>
  <c r="AG119" i="2"/>
  <c r="CR95" i="2"/>
  <c r="CR84" i="2"/>
  <c r="CS84" i="2" s="1"/>
  <c r="CR119" i="2"/>
  <c r="CS119" i="2"/>
  <c r="BL84" i="2"/>
  <c r="BL95" i="2"/>
  <c r="BL99" i="2" s="1"/>
  <c r="BL100" i="2" s="1"/>
  <c r="BL119" i="2"/>
  <c r="DW56" i="2"/>
  <c r="CY56" i="2"/>
  <c r="CE84" i="2"/>
  <c r="CE119" i="2"/>
  <c r="AY84" i="2"/>
  <c r="AY96" i="2"/>
  <c r="AY62" i="2"/>
  <c r="AY119" i="2"/>
  <c r="AM84" i="2"/>
  <c r="AM119" i="2"/>
  <c r="AM96" i="2"/>
  <c r="CX119" i="2"/>
  <c r="CX84" i="2"/>
  <c r="CY84" i="2" s="1"/>
  <c r="CY119" i="2"/>
  <c r="CX95" i="2"/>
  <c r="BZ119" i="2"/>
  <c r="BZ96" i="2"/>
  <c r="BZ84" i="2"/>
  <c r="CA84" i="2" s="1"/>
  <c r="CA119" i="2"/>
  <c r="BF119" i="2"/>
  <c r="BF96" i="2"/>
  <c r="BF62" i="2"/>
  <c r="BF84" i="2"/>
  <c r="BB62" i="2"/>
  <c r="BB84" i="2"/>
  <c r="BC84" i="2" s="1"/>
  <c r="BB96" i="2"/>
  <c r="AO96" i="2"/>
  <c r="CP437" i="4"/>
  <c r="CQ438" i="4"/>
  <c r="DW87" i="2"/>
  <c r="BU398" i="4"/>
  <c r="CF84" i="2"/>
  <c r="CG84" i="2" s="1"/>
  <c r="CF96" i="2"/>
  <c r="CJ96" i="2" s="1"/>
  <c r="CF119" i="2"/>
  <c r="CG119" i="2"/>
  <c r="CM398" i="4"/>
  <c r="DU84" i="2"/>
  <c r="DU95" i="2"/>
  <c r="DU99" i="2" s="1"/>
  <c r="DU100" i="2" s="1"/>
  <c r="DU119" i="2"/>
  <c r="BH62" i="2"/>
  <c r="BH96" i="2"/>
  <c r="BH84" i="2"/>
  <c r="BI84" i="2" s="1"/>
  <c r="CP84" i="2"/>
  <c r="CP119" i="2"/>
  <c r="CP95" i="2"/>
  <c r="CP99" i="2" s="1"/>
  <c r="CP100" i="2" s="1"/>
  <c r="AT96" i="2"/>
  <c r="AT119" i="2"/>
  <c r="AT84" i="2"/>
  <c r="AP84" i="2"/>
  <c r="AQ84" i="2" s="1"/>
  <c r="AP119" i="2"/>
  <c r="AP96" i="2"/>
  <c r="AQ119" i="2"/>
  <c r="AQ56" i="2"/>
  <c r="BI398" i="4"/>
  <c r="CD384" i="4"/>
  <c r="BO398" i="4"/>
  <c r="DT340" i="4"/>
  <c r="BQ371" i="4"/>
  <c r="AS305" i="1"/>
  <c r="DA84" i="2"/>
  <c r="DA95" i="2"/>
  <c r="DA99" i="2" s="1"/>
  <c r="DA100" i="2" s="1"/>
  <c r="DA119" i="2"/>
  <c r="CK119" i="2"/>
  <c r="BU56" i="2"/>
  <c r="BQ84" i="2"/>
  <c r="BQ119" i="2"/>
  <c r="BI56" i="2"/>
  <c r="AK56" i="2"/>
  <c r="DK11" i="1"/>
  <c r="CV95" i="2"/>
  <c r="CV99" i="2" s="1"/>
  <c r="CV100" i="2" s="1"/>
  <c r="CV84" i="2"/>
  <c r="CV119" i="2"/>
  <c r="CJ56" i="2"/>
  <c r="CJ87" i="2"/>
  <c r="CJ57" i="2"/>
  <c r="BX84" i="2"/>
  <c r="BX119" i="2"/>
  <c r="BT96" i="2"/>
  <c r="BT84" i="2"/>
  <c r="BU84" i="2" s="1"/>
  <c r="BT119" i="2"/>
  <c r="BU119" i="2"/>
  <c r="AN84" i="2"/>
  <c r="AN119" i="2"/>
  <c r="AN96" i="2"/>
  <c r="AJ96" i="2"/>
  <c r="AJ84" i="2"/>
  <c r="AK84" i="2" s="1"/>
  <c r="AJ119" i="2"/>
  <c r="AK119" i="2"/>
  <c r="AQ239" i="1"/>
  <c r="AQ242" i="1"/>
  <c r="DO84" i="2"/>
  <c r="DO119" i="2"/>
  <c r="DO95" i="2"/>
  <c r="DO99" i="2" s="1"/>
  <c r="DO100" i="2" s="1"/>
  <c r="CA56" i="2"/>
  <c r="BW84" i="2"/>
  <c r="BW119" i="2"/>
  <c r="BO56" i="2"/>
  <c r="BG84" i="2"/>
  <c r="BG62" i="2"/>
  <c r="BG96" i="2"/>
  <c r="AU84" i="2"/>
  <c r="AU96" i="2"/>
  <c r="AU119" i="2"/>
  <c r="AI84" i="2"/>
  <c r="AI119" i="2"/>
  <c r="DQ10" i="4"/>
  <c r="DQ12" i="4" s="1"/>
  <c r="DQ27" i="4" s="1"/>
  <c r="DV119" i="2"/>
  <c r="DV84" i="2"/>
  <c r="DW119" i="2"/>
  <c r="DV95" i="2"/>
  <c r="DN119" i="2"/>
  <c r="DN95" i="2"/>
  <c r="DN99" i="2" s="1"/>
  <c r="DN100" i="2" s="1"/>
  <c r="DN84" i="2"/>
  <c r="DB119" i="2"/>
  <c r="DB84" i="2"/>
  <c r="DB95" i="2"/>
  <c r="DB99" i="2" s="1"/>
  <c r="DB100" i="2" s="1"/>
  <c r="CD84" i="2"/>
  <c r="CD119" i="2"/>
  <c r="AI96" i="2"/>
  <c r="BI119" i="2"/>
  <c r="BB119" i="2"/>
  <c r="BO119" i="2"/>
  <c r="BH119" i="2"/>
  <c r="AS437" i="4"/>
  <c r="AT438" i="4"/>
  <c r="DN9" i="4"/>
  <c r="CS238" i="1"/>
  <c r="CS56" i="2"/>
  <c r="BA62" i="2"/>
  <c r="BA96" i="2"/>
  <c r="BA84" i="2"/>
  <c r="AS84" i="2"/>
  <c r="AS96" i="2"/>
  <c r="AS119" i="2"/>
  <c r="DT84" i="2"/>
  <c r="DT95" i="2"/>
  <c r="DT99" i="2" s="1"/>
  <c r="DT100" i="2" s="1"/>
  <c r="DT119" i="2"/>
  <c r="DH95" i="2"/>
  <c r="DH99" i="2" s="1"/>
  <c r="DH100" i="2" s="1"/>
  <c r="DH84" i="2"/>
  <c r="DH119" i="2"/>
  <c r="AZ96" i="2"/>
  <c r="AZ62" i="2"/>
  <c r="AZ84" i="2"/>
  <c r="AZ119" i="2"/>
  <c r="AV62" i="2"/>
  <c r="AV96" i="2"/>
  <c r="AV84" i="2"/>
  <c r="AW84" i="2" s="1"/>
  <c r="AV119" i="2"/>
  <c r="AW119" i="2"/>
  <c r="CI95" i="2"/>
  <c r="CI99" i="2" s="1"/>
  <c r="CI100" i="2" s="1"/>
  <c r="CI84" i="2"/>
  <c r="CI119" i="2"/>
  <c r="BS84" i="2"/>
  <c r="BS119" i="2"/>
  <c r="BR119" i="2"/>
  <c r="BR84" i="2"/>
  <c r="BA119" i="2"/>
  <c r="BB437" i="4"/>
  <c r="CW413" i="4"/>
  <c r="CA398" i="4"/>
  <c r="CE402" i="4"/>
  <c r="DT339" i="4"/>
  <c r="DV340" i="4"/>
  <c r="AT29" i="4"/>
  <c r="AT30" i="4" s="1"/>
  <c r="AT258" i="1" s="1"/>
  <c r="AZ90" i="4"/>
  <c r="EO10" i="4"/>
  <c r="AQ63" i="1"/>
  <c r="DQ238" i="1"/>
  <c r="DQ56" i="2"/>
  <c r="DM95" i="2"/>
  <c r="DM99" i="2" s="1"/>
  <c r="DM100" i="2" s="1"/>
  <c r="DM84" i="2"/>
  <c r="DM119" i="2"/>
  <c r="DI84" i="2"/>
  <c r="DI95" i="2"/>
  <c r="DI99" i="2" s="1"/>
  <c r="DI100" i="2" s="1"/>
  <c r="DI119" i="2"/>
  <c r="CW84" i="2"/>
  <c r="CW119" i="2"/>
  <c r="CW95" i="2"/>
  <c r="CW99" i="2" s="1"/>
  <c r="CW100" i="2" s="1"/>
  <c r="CC84" i="2"/>
  <c r="CC119" i="2"/>
  <c r="AW55" i="1"/>
  <c r="AW56" i="2"/>
  <c r="AQ238" i="1"/>
  <c r="DJ208" i="1"/>
  <c r="DD56" i="2"/>
  <c r="DD87" i="2"/>
  <c r="DE87" i="2" s="1"/>
  <c r="DD57" i="2"/>
  <c r="DS95" i="2"/>
  <c r="DS99" i="2" s="1"/>
  <c r="DS100" i="2" s="1"/>
  <c r="DS84" i="2"/>
  <c r="DS119" i="2"/>
  <c r="DK238" i="1"/>
  <c r="DK56" i="2"/>
  <c r="DC84" i="2"/>
  <c r="DC119" i="2"/>
  <c r="DC95" i="2"/>
  <c r="DC99" i="2" s="1"/>
  <c r="DC100" i="2" s="1"/>
  <c r="CU95" i="2"/>
  <c r="CU99" i="2" s="1"/>
  <c r="CU100" i="2" s="1"/>
  <c r="CU84" i="2"/>
  <c r="CU119" i="2"/>
  <c r="CQ84" i="2"/>
  <c r="CQ95" i="2"/>
  <c r="CQ99" i="2" s="1"/>
  <c r="CQ100" i="2" s="1"/>
  <c r="CQ119" i="2"/>
  <c r="BK95" i="2"/>
  <c r="BK99" i="2" s="1"/>
  <c r="BK100" i="2" s="1"/>
  <c r="BK84" i="2"/>
  <c r="BK62" i="2"/>
  <c r="BK119" i="2"/>
  <c r="BC56" i="2"/>
  <c r="AQ55" i="1"/>
  <c r="AQ244" i="1"/>
  <c r="DJ84" i="2"/>
  <c r="DK84" i="2" s="1"/>
  <c r="DJ119" i="2"/>
  <c r="DK119" i="2"/>
  <c r="DJ95" i="2"/>
  <c r="BN84" i="2"/>
  <c r="BO84" i="2" s="1"/>
  <c r="BN96" i="2"/>
  <c r="BG119" i="2"/>
  <c r="BM119" i="2"/>
  <c r="BZ9" i="4"/>
  <c r="AJ9" i="4"/>
  <c r="BC398" i="4"/>
  <c r="AQ398" i="4"/>
  <c r="EF9" i="4"/>
  <c r="DH9" i="4"/>
  <c r="DG58" i="2"/>
  <c r="CI58" i="2"/>
  <c r="BK58" i="2"/>
  <c r="DJ50" i="1"/>
  <c r="DJ51" i="1" s="1"/>
  <c r="DJ58" i="2"/>
  <c r="CC58" i="2"/>
  <c r="EB226" i="1"/>
  <c r="CP58" i="2"/>
  <c r="BB58" i="2"/>
  <c r="DC262" i="1"/>
  <c r="DB58" i="2"/>
  <c r="CD58" i="2"/>
  <c r="DA58" i="2"/>
  <c r="CK58" i="2"/>
  <c r="CY48" i="1"/>
  <c r="CW58" i="2"/>
  <c r="BY58" i="2"/>
  <c r="CQ50" i="1"/>
  <c r="CQ85" i="1" s="1"/>
  <c r="CQ58" i="2"/>
  <c r="DS262" i="1"/>
  <c r="DP58" i="2"/>
  <c r="CR50" i="1"/>
  <c r="CR51" i="1" s="1"/>
  <c r="CR58" i="2"/>
  <c r="BU48" i="1"/>
  <c r="BT58" i="2"/>
  <c r="CL58" i="2"/>
  <c r="CO58" i="2"/>
  <c r="EN70" i="1"/>
  <c r="EN126" i="2"/>
  <c r="EL70" i="1"/>
  <c r="EL126" i="2"/>
  <c r="Y176" i="2"/>
  <c r="S179" i="2"/>
  <c r="EM70" i="1"/>
  <c r="EM126" i="2"/>
  <c r="DS322" i="1"/>
  <c r="AE178" i="2"/>
  <c r="BO138" i="1"/>
  <c r="AE138" i="1"/>
  <c r="AE152" i="3"/>
  <c r="EI94" i="1"/>
  <c r="EI93" i="1" s="1"/>
  <c r="M250" i="484" s="1"/>
  <c r="BI138" i="1"/>
  <c r="DQ33" i="4"/>
  <c r="EM14" i="3"/>
  <c r="BR29" i="4"/>
  <c r="CR134" i="3"/>
  <c r="CS131" i="3"/>
  <c r="CS134" i="3" s="1"/>
  <c r="CA106" i="3"/>
  <c r="CY106" i="3"/>
  <c r="BG110" i="2"/>
  <c r="BI125" i="2"/>
  <c r="CU148" i="3"/>
  <c r="CU146" i="3"/>
  <c r="CU147" i="3"/>
  <c r="DA146" i="3"/>
  <c r="BH271" i="1"/>
  <c r="CX66" i="3"/>
  <c r="BO124" i="2"/>
  <c r="BC150" i="2"/>
  <c r="BC151" i="2" s="1"/>
  <c r="BC283" i="1"/>
  <c r="CJ145" i="3"/>
  <c r="CJ139" i="3"/>
  <c r="CP145" i="3"/>
  <c r="CP139" i="3"/>
  <c r="BX145" i="3"/>
  <c r="BX139" i="3"/>
  <c r="CM66" i="3"/>
  <c r="EC116" i="3"/>
  <c r="BC118" i="2"/>
  <c r="BC119" i="2" s="1"/>
  <c r="BK271" i="1"/>
  <c r="BM110" i="2"/>
  <c r="BO125" i="2"/>
  <c r="CC148" i="3"/>
  <c r="CC147" i="3"/>
  <c r="CS106" i="3"/>
  <c r="DH145" i="3"/>
  <c r="DH139" i="3"/>
  <c r="BL271" i="1"/>
  <c r="CX134" i="3"/>
  <c r="CY131" i="3"/>
  <c r="CY134" i="3" s="1"/>
  <c r="DB139" i="3"/>
  <c r="DB145" i="3"/>
  <c r="CF134" i="3"/>
  <c r="CG131" i="3"/>
  <c r="CG134" i="3" s="1"/>
  <c r="CM106" i="3"/>
  <c r="BI124" i="2"/>
  <c r="CR66" i="3"/>
  <c r="CF66" i="3"/>
  <c r="DK66" i="3"/>
  <c r="BC134" i="3"/>
  <c r="BZ134" i="3"/>
  <c r="CA131" i="3"/>
  <c r="CA134" i="3" s="1"/>
  <c r="BI283" i="1"/>
  <c r="BI150" i="2"/>
  <c r="BI151" i="2" s="1"/>
  <c r="BZ66" i="3"/>
  <c r="DE66" i="3"/>
  <c r="CM275" i="2"/>
  <c r="BC215" i="2"/>
  <c r="EO33" i="4"/>
  <c r="AE181" i="1"/>
  <c r="AE178" i="1"/>
  <c r="AE297" i="2"/>
  <c r="AK204" i="2"/>
  <c r="AE211" i="2"/>
  <c r="AE176" i="1"/>
  <c r="AK216" i="2"/>
  <c r="AG240" i="2" s="1"/>
  <c r="EG148" i="2"/>
  <c r="EG56" i="3" s="1"/>
  <c r="EG129" i="3" s="1"/>
  <c r="EH150" i="2"/>
  <c r="EI150" i="2" s="1"/>
  <c r="DW165" i="2"/>
  <c r="DW166" i="2" s="1"/>
  <c r="DA121" i="2"/>
  <c r="DB107" i="2"/>
  <c r="BC400" i="4"/>
  <c r="BO176" i="1"/>
  <c r="CX106" i="2"/>
  <c r="CW110" i="2"/>
  <c r="DS169" i="2"/>
  <c r="DT169" i="2"/>
  <c r="DQ50" i="2"/>
  <c r="DQ52" i="2" s="1"/>
  <c r="DP52" i="2"/>
  <c r="BZ223" i="2"/>
  <c r="CC223" i="2"/>
  <c r="EF96" i="2"/>
  <c r="DJ151" i="2"/>
  <c r="DM141" i="2"/>
  <c r="DK141" i="2"/>
  <c r="EM150" i="2"/>
  <c r="EL148" i="2"/>
  <c r="EL56" i="3" s="1"/>
  <c r="EL129" i="3" s="1"/>
  <c r="CU29" i="4"/>
  <c r="V232" i="2"/>
  <c r="BU285" i="2"/>
  <c r="BB216" i="2"/>
  <c r="BH256" i="2"/>
  <c r="BI256" i="2" s="1"/>
  <c r="BA252" i="2"/>
  <c r="CF222" i="2"/>
  <c r="CI222" i="2"/>
  <c r="EK138" i="2"/>
  <c r="EK283" i="1"/>
  <c r="DQ177" i="2"/>
  <c r="BN260" i="2"/>
  <c r="BN261" i="2" s="1"/>
  <c r="AA237" i="2"/>
  <c r="BW169" i="2"/>
  <c r="BX169" i="2"/>
  <c r="CL29" i="4"/>
  <c r="BN29" i="4"/>
  <c r="CO116" i="2"/>
  <c r="CP113" i="2"/>
  <c r="CW151" i="2"/>
  <c r="CY141" i="2"/>
  <c r="EF138" i="2"/>
  <c r="EF283" i="1"/>
  <c r="BH211" i="2"/>
  <c r="BK216" i="2"/>
  <c r="EF98" i="2"/>
  <c r="BX114" i="2"/>
  <c r="BW116" i="2"/>
  <c r="DB221" i="2"/>
  <c r="DC221" i="2" s="1"/>
  <c r="CY221" i="2"/>
  <c r="BA297" i="2"/>
  <c r="BA211" i="2"/>
  <c r="BB204" i="2"/>
  <c r="DG115" i="2"/>
  <c r="DH115" i="2" s="1"/>
  <c r="DI115" i="2" s="1"/>
  <c r="DJ115" i="2" s="1"/>
  <c r="DE115" i="2"/>
  <c r="BU169" i="2"/>
  <c r="BG83" i="1"/>
  <c r="BG82" i="1"/>
  <c r="AY83" i="1"/>
  <c r="AY82" i="1"/>
  <c r="DE247" i="1"/>
  <c r="DY82" i="1"/>
  <c r="BH83" i="1"/>
  <c r="AZ83" i="1"/>
  <c r="AZ82" i="1"/>
  <c r="DD82" i="1"/>
  <c r="EE29" i="4"/>
  <c r="EE30" i="4" s="1"/>
  <c r="CY184" i="1"/>
  <c r="V83" i="1"/>
  <c r="V82" i="1"/>
  <c r="DE67" i="1"/>
  <c r="DK68" i="1"/>
  <c r="DW246" i="1"/>
  <c r="DW214" i="1"/>
  <c r="DW63" i="1"/>
  <c r="BU245" i="1"/>
  <c r="BU213" i="1"/>
  <c r="BU59" i="1"/>
  <c r="CA60" i="1"/>
  <c r="DN313" i="1"/>
  <c r="DO314" i="1"/>
  <c r="DN311" i="1"/>
  <c r="U82" i="1"/>
  <c r="U83" i="1"/>
  <c r="CC263" i="1"/>
  <c r="CC247" i="1"/>
  <c r="CC231" i="1"/>
  <c r="CC215" i="1"/>
  <c r="CY246" i="1"/>
  <c r="CY214" i="1"/>
  <c r="CY63" i="1"/>
  <c r="DE64" i="1"/>
  <c r="CM213" i="1"/>
  <c r="CS60" i="1"/>
  <c r="DS158" i="1"/>
  <c r="DT157" i="1"/>
  <c r="DT200" i="2" s="1"/>
  <c r="CC325" i="1"/>
  <c r="CC168" i="1"/>
  <c r="CG76" i="1"/>
  <c r="CG325" i="1" s="1"/>
  <c r="DK138" i="1"/>
  <c r="DK322" i="1" s="1"/>
  <c r="CY138" i="1"/>
  <c r="CY322" i="1" s="1"/>
  <c r="CF325" i="1"/>
  <c r="CF168" i="1"/>
  <c r="DE246" i="1"/>
  <c r="DE214" i="1"/>
  <c r="DK64" i="1"/>
  <c r="DE63" i="1"/>
  <c r="EC76" i="1"/>
  <c r="EC325" i="1" s="1"/>
  <c r="DC247" i="1"/>
  <c r="DC231" i="1"/>
  <c r="DC263" i="1"/>
  <c r="DC215" i="1"/>
  <c r="CD247" i="1"/>
  <c r="CD263" i="1"/>
  <c r="CD231" i="1"/>
  <c r="CD215" i="1"/>
  <c r="AK247" i="1"/>
  <c r="AK215" i="1"/>
  <c r="DU85" i="1"/>
  <c r="BA85" i="1"/>
  <c r="BA51" i="1"/>
  <c r="U139" i="1"/>
  <c r="U137" i="1"/>
  <c r="Q137" i="1"/>
  <c r="Q139" i="1"/>
  <c r="M101" i="1"/>
  <c r="M274" i="1" s="1"/>
  <c r="M275" i="1" s="1"/>
  <c r="M105" i="1"/>
  <c r="DG262" i="1"/>
  <c r="DG81" i="1"/>
  <c r="DK48" i="1"/>
  <c r="CI262" i="1"/>
  <c r="CI81" i="1"/>
  <c r="CJ83" i="1" s="1"/>
  <c r="CM48" i="1"/>
  <c r="BK262" i="1"/>
  <c r="BK81" i="1"/>
  <c r="BO48" i="1"/>
  <c r="AM83" i="1"/>
  <c r="AM82" i="1"/>
  <c r="EB210" i="1"/>
  <c r="BI242" i="1"/>
  <c r="BI210" i="1"/>
  <c r="BI37" i="1"/>
  <c r="BU240" i="1"/>
  <c r="BU208" i="1"/>
  <c r="BR530" i="4"/>
  <c r="BQ530" i="4"/>
  <c r="BN570" i="4"/>
  <c r="BT530" i="4"/>
  <c r="BU32" i="1"/>
  <c r="BS530" i="4"/>
  <c r="BQ292" i="1"/>
  <c r="BI240" i="1"/>
  <c r="BI208" i="1"/>
  <c r="BE530" i="4"/>
  <c r="BG530" i="4"/>
  <c r="BI32" i="1"/>
  <c r="BF530" i="4"/>
  <c r="AK240" i="1"/>
  <c r="AK208" i="1"/>
  <c r="AK50" i="1"/>
  <c r="AQ32" i="1"/>
  <c r="AK32" i="1"/>
  <c r="CM207" i="1"/>
  <c r="CM15" i="1"/>
  <c r="AW239" i="1"/>
  <c r="CQ263" i="1"/>
  <c r="CQ247" i="1"/>
  <c r="CQ231" i="1"/>
  <c r="CQ215" i="1"/>
  <c r="BC244" i="1"/>
  <c r="BC212" i="1"/>
  <c r="BC79" i="1"/>
  <c r="BC58" i="2" s="1"/>
  <c r="BI56" i="1"/>
  <c r="BC55" i="1"/>
  <c r="Y247" i="1"/>
  <c r="Y215" i="1"/>
  <c r="DH85" i="1"/>
  <c r="DH51" i="1"/>
  <c r="BX85" i="1"/>
  <c r="BX51" i="1"/>
  <c r="AZ85" i="1"/>
  <c r="AZ51" i="1"/>
  <c r="AB137" i="1"/>
  <c r="AB139" i="1"/>
  <c r="X139" i="1"/>
  <c r="X137" i="1"/>
  <c r="P137" i="1"/>
  <c r="P139" i="1"/>
  <c r="L139" i="1"/>
  <c r="L137" i="1"/>
  <c r="D101" i="1"/>
  <c r="D105" i="1"/>
  <c r="DO262" i="1"/>
  <c r="DO81" i="1"/>
  <c r="CL262" i="1"/>
  <c r="CL81" i="1"/>
  <c r="AU264" i="1"/>
  <c r="AU266" i="1" s="1"/>
  <c r="AG82" i="1"/>
  <c r="AG83" i="1"/>
  <c r="DW243" i="1"/>
  <c r="DW211" i="1"/>
  <c r="DW40" i="1"/>
  <c r="AW243" i="1"/>
  <c r="CM210" i="1"/>
  <c r="CM37" i="1"/>
  <c r="CF292" i="1"/>
  <c r="CG292" i="1" s="1"/>
  <c r="BH292" i="1"/>
  <c r="BI292" i="1" s="1"/>
  <c r="AZ292" i="1"/>
  <c r="AV292" i="1"/>
  <c r="AW292" i="1" s="1"/>
  <c r="DE239" i="1"/>
  <c r="CG238" i="1"/>
  <c r="AK238" i="1"/>
  <c r="CJ215" i="1"/>
  <c r="DT263" i="1"/>
  <c r="DT247" i="1"/>
  <c r="DT231" i="1"/>
  <c r="DT215" i="1"/>
  <c r="DQ244" i="1"/>
  <c r="DQ212" i="1"/>
  <c r="DQ79" i="1"/>
  <c r="DQ55" i="1"/>
  <c r="DW56" i="1"/>
  <c r="DJ263" i="1"/>
  <c r="DJ247" i="1"/>
  <c r="DJ231" i="1"/>
  <c r="DJ215" i="1"/>
  <c r="BT263" i="1"/>
  <c r="BT247" i="1"/>
  <c r="BT231" i="1"/>
  <c r="BT215" i="1"/>
  <c r="DC85" i="1"/>
  <c r="DC51" i="1"/>
  <c r="CE85" i="1"/>
  <c r="CE51" i="1"/>
  <c r="BG85" i="1"/>
  <c r="BG51" i="1"/>
  <c r="AI85" i="1"/>
  <c r="AI51" i="1"/>
  <c r="AE139" i="1"/>
  <c r="AE137" i="1"/>
  <c r="AA105" i="1"/>
  <c r="AA185" i="2" s="1"/>
  <c r="AA101" i="1"/>
  <c r="W101" i="1"/>
  <c r="W105" i="1"/>
  <c r="W185" i="2" s="1"/>
  <c r="K137" i="1"/>
  <c r="K139" i="1"/>
  <c r="C139" i="1"/>
  <c r="C137" i="1"/>
  <c r="CP262" i="1"/>
  <c r="CP81" i="1"/>
  <c r="BC170" i="1"/>
  <c r="AO264" i="1"/>
  <c r="Y170" i="1"/>
  <c r="DW240" i="1"/>
  <c r="DW208" i="1"/>
  <c r="DZ534" i="4"/>
  <c r="DZ528" i="4"/>
  <c r="DW32" i="1"/>
  <c r="DY534" i="4"/>
  <c r="DZ533" i="4"/>
  <c r="DY533" i="4"/>
  <c r="DZ529" i="4"/>
  <c r="CA240" i="1"/>
  <c r="CA208" i="1"/>
  <c r="CA67" i="1"/>
  <c r="BR570" i="4"/>
  <c r="BX530" i="4"/>
  <c r="CA32" i="1"/>
  <c r="BQ570" i="4"/>
  <c r="BW530" i="4"/>
  <c r="BT570" i="4"/>
  <c r="BX540" i="4"/>
  <c r="BS570" i="4"/>
  <c r="BW540" i="4"/>
  <c r="BY530" i="4"/>
  <c r="BW292" i="1"/>
  <c r="BO240" i="1"/>
  <c r="BO208" i="1"/>
  <c r="BL530" i="4"/>
  <c r="BO32" i="1"/>
  <c r="BH530" i="4"/>
  <c r="BN530" i="4"/>
  <c r="BG570" i="4"/>
  <c r="BM530" i="4"/>
  <c r="BG292" i="1"/>
  <c r="AU292" i="1"/>
  <c r="AI292" i="1"/>
  <c r="CA238" i="1"/>
  <c r="DD55" i="1"/>
  <c r="BX247" i="1"/>
  <c r="BX263" i="1"/>
  <c r="BX231" i="1"/>
  <c r="BX215" i="1"/>
  <c r="CL50" i="1"/>
  <c r="BN85" i="1"/>
  <c r="BN51" i="1"/>
  <c r="AP85" i="1"/>
  <c r="AP51" i="1"/>
  <c r="AD139" i="1"/>
  <c r="AD137" i="1"/>
  <c r="J101" i="1"/>
  <c r="J274" i="1" s="1"/>
  <c r="J275" i="1" s="1"/>
  <c r="J105" i="1"/>
  <c r="F139" i="1"/>
  <c r="F137" i="1"/>
  <c r="CO262" i="1"/>
  <c r="CO81" i="1"/>
  <c r="CS48" i="1"/>
  <c r="AN83" i="1"/>
  <c r="AN82" i="1"/>
  <c r="DQ243" i="1"/>
  <c r="DQ211" i="1"/>
  <c r="DQ40" i="1"/>
  <c r="BN292" i="1"/>
  <c r="BO292" i="1" s="1"/>
  <c r="BU238" i="1"/>
  <c r="BX81" i="1"/>
  <c r="AW81" i="1"/>
  <c r="AQ208" i="1"/>
  <c r="DT262" i="1"/>
  <c r="BW262" i="1"/>
  <c r="BM81" i="1"/>
  <c r="BI244" i="1"/>
  <c r="BL262" i="1"/>
  <c r="BY90" i="4"/>
  <c r="BY168" i="4" s="1"/>
  <c r="AW90" i="4"/>
  <c r="AW168" i="4" s="1"/>
  <c r="AW305" i="1" s="1"/>
  <c r="AV91" i="4"/>
  <c r="BZ90" i="4"/>
  <c r="CF91" i="4" s="1"/>
  <c r="DU29" i="4"/>
  <c r="DU30" i="4" s="1"/>
  <c r="BC52" i="4"/>
  <c r="BC53" i="4" s="1"/>
  <c r="DS52" i="4"/>
  <c r="DS53" i="4" s="1"/>
  <c r="CU52" i="4"/>
  <c r="CY67" i="1"/>
  <c r="DE68" i="1"/>
  <c r="BO246" i="1"/>
  <c r="BO214" i="1"/>
  <c r="BU64" i="1"/>
  <c r="BO63" i="1"/>
  <c r="CM192" i="1"/>
  <c r="CF192" i="1"/>
  <c r="CE192" i="1" s="1"/>
  <c r="CD192" i="1" s="1"/>
  <c r="CC192" i="1" s="1"/>
  <c r="DQ245" i="1"/>
  <c r="DQ213" i="1"/>
  <c r="DW60" i="1"/>
  <c r="DQ59" i="1"/>
  <c r="EI68" i="1"/>
  <c r="EO68" i="1"/>
  <c r="DW245" i="1"/>
  <c r="DW213" i="1"/>
  <c r="DW59" i="1"/>
  <c r="DQ68" i="1"/>
  <c r="DK67" i="1"/>
  <c r="DQ246" i="1"/>
  <c r="DQ214" i="1"/>
  <c r="DW64" i="1"/>
  <c r="DQ63" i="1"/>
  <c r="CR263" i="1"/>
  <c r="CR231" i="1"/>
  <c r="CR247" i="1"/>
  <c r="CR215" i="1"/>
  <c r="CG246" i="1"/>
  <c r="CG214" i="1"/>
  <c r="CG63" i="1"/>
  <c r="CM64" i="1"/>
  <c r="CA245" i="1"/>
  <c r="CA213" i="1"/>
  <c r="CG60" i="1"/>
  <c r="CA59" i="1"/>
  <c r="BW263" i="1"/>
  <c r="BW247" i="1"/>
  <c r="BW231" i="1"/>
  <c r="BW215" i="1"/>
  <c r="DM85" i="1"/>
  <c r="DM51" i="1"/>
  <c r="CO85" i="1"/>
  <c r="CO51" i="1"/>
  <c r="BQ85" i="1"/>
  <c r="BQ51" i="1"/>
  <c r="AS85" i="1"/>
  <c r="AS51" i="1"/>
  <c r="AC101" i="1"/>
  <c r="AC105" i="1"/>
  <c r="AC185" i="2" s="1"/>
  <c r="Y85" i="1"/>
  <c r="Y51" i="1"/>
  <c r="M139" i="1"/>
  <c r="M137" i="1"/>
  <c r="DB262" i="1"/>
  <c r="DB81" i="1"/>
  <c r="CD262" i="1"/>
  <c r="CD81" i="1"/>
  <c r="BF83" i="1"/>
  <c r="BF82" i="1"/>
  <c r="AV82" i="1"/>
  <c r="AV83" i="1"/>
  <c r="AM264" i="1"/>
  <c r="AM266" i="1" s="1"/>
  <c r="DQ240" i="1"/>
  <c r="DQ208" i="1"/>
  <c r="DU534" i="4"/>
  <c r="DT533" i="4"/>
  <c r="DU528" i="4"/>
  <c r="DT534" i="4"/>
  <c r="DS533" i="4"/>
  <c r="DU529" i="4"/>
  <c r="DT528" i="4"/>
  <c r="DS534" i="4"/>
  <c r="DT529" i="4"/>
  <c r="DS528" i="4"/>
  <c r="DQ32" i="1"/>
  <c r="DU533" i="4"/>
  <c r="DS529" i="4"/>
  <c r="CC292" i="1"/>
  <c r="AW240" i="1"/>
  <c r="AW208" i="1"/>
  <c r="AW50" i="1"/>
  <c r="BC32" i="1"/>
  <c r="AW530" i="4"/>
  <c r="DY238" i="1"/>
  <c r="AA82" i="1"/>
  <c r="DN247" i="1"/>
  <c r="DN263" i="1"/>
  <c r="DN231" i="1"/>
  <c r="DN215" i="1"/>
  <c r="DG263" i="1"/>
  <c r="DG247" i="1"/>
  <c r="DG231" i="1"/>
  <c r="DG215" i="1"/>
  <c r="DB263" i="1"/>
  <c r="DB247" i="1"/>
  <c r="DB231" i="1"/>
  <c r="DB215" i="1"/>
  <c r="CV85" i="1"/>
  <c r="CV51" i="1"/>
  <c r="BT50" i="1"/>
  <c r="AV85" i="1"/>
  <c r="AV51" i="1"/>
  <c r="D137" i="1"/>
  <c r="D139" i="1"/>
  <c r="DJ262" i="1"/>
  <c r="DJ264" i="1" s="1"/>
  <c r="DJ81" i="1"/>
  <c r="CC262" i="1"/>
  <c r="CC264" i="1" s="1"/>
  <c r="CC266" i="1" s="1"/>
  <c r="CC81" i="1"/>
  <c r="CG48" i="1"/>
  <c r="AP83" i="1"/>
  <c r="AP82" i="1"/>
  <c r="AG264" i="1"/>
  <c r="AG266" i="1" s="1"/>
  <c r="DK243" i="1"/>
  <c r="DK211" i="1"/>
  <c r="DK40" i="1"/>
  <c r="DW242" i="1"/>
  <c r="DW210" i="1"/>
  <c r="DW37" i="1"/>
  <c r="CA242" i="1"/>
  <c r="CA210" i="1"/>
  <c r="CA37" i="1"/>
  <c r="CJ240" i="1"/>
  <c r="CJ261" i="1"/>
  <c r="CJ238" i="1"/>
  <c r="CJ208" i="1"/>
  <c r="CJ224" i="1"/>
  <c r="CJ32" i="1"/>
  <c r="CJ50" i="1"/>
  <c r="CJ442" i="4"/>
  <c r="CJ10" i="4"/>
  <c r="CK33" i="1"/>
  <c r="CP32" i="1"/>
  <c r="CJ436" i="4"/>
  <c r="BX292" i="1"/>
  <c r="BT292" i="1"/>
  <c r="BU292" i="1" s="1"/>
  <c r="AN292" i="1"/>
  <c r="AJ292" i="1"/>
  <c r="AK292" i="1" s="1"/>
  <c r="DZ26" i="1"/>
  <c r="DZ25" i="1"/>
  <c r="CJ239" i="1"/>
  <c r="DQ67" i="1"/>
  <c r="DM263" i="1"/>
  <c r="DM247" i="1"/>
  <c r="DM215" i="1"/>
  <c r="DM231" i="1"/>
  <c r="CW263" i="1"/>
  <c r="CW247" i="1"/>
  <c r="CW231" i="1"/>
  <c r="CW215" i="1"/>
  <c r="BO244" i="1"/>
  <c r="BO212" i="1"/>
  <c r="BO79" i="1"/>
  <c r="BU56" i="1"/>
  <c r="BO55" i="1"/>
  <c r="BK263" i="1"/>
  <c r="BK247" i="1"/>
  <c r="BK231" i="1"/>
  <c r="BK215" i="1"/>
  <c r="BB263" i="1"/>
  <c r="BB247" i="1"/>
  <c r="BB215" i="1"/>
  <c r="BB231" i="1"/>
  <c r="DS85" i="1"/>
  <c r="DS51" i="1"/>
  <c r="DW50" i="1"/>
  <c r="CU85" i="1"/>
  <c r="CU51" i="1"/>
  <c r="BW85" i="1"/>
  <c r="BW51" i="1"/>
  <c r="AY85" i="1"/>
  <c r="AY51" i="1"/>
  <c r="W137" i="1"/>
  <c r="W139" i="1"/>
  <c r="O139" i="1"/>
  <c r="O137" i="1"/>
  <c r="CK262" i="1"/>
  <c r="CK81" i="1"/>
  <c r="AT83" i="1"/>
  <c r="AT82" i="1"/>
  <c r="AJ82" i="1"/>
  <c r="AJ83" i="1"/>
  <c r="CS243" i="1"/>
  <c r="CY240" i="1"/>
  <c r="CY208" i="1"/>
  <c r="CY32" i="1"/>
  <c r="CM31" i="1"/>
  <c r="BC240" i="1"/>
  <c r="BC208" i="1"/>
  <c r="BC530" i="4"/>
  <c r="BC50" i="1"/>
  <c r="CY239" i="1"/>
  <c r="BI239" i="1"/>
  <c r="EO76" i="1"/>
  <c r="EO325" i="1" s="1"/>
  <c r="DW244" i="1"/>
  <c r="DW212" i="1"/>
  <c r="DW79" i="1"/>
  <c r="DW55" i="1"/>
  <c r="DP263" i="1"/>
  <c r="DP231" i="1"/>
  <c r="DP247" i="1"/>
  <c r="DP215" i="1"/>
  <c r="DD263" i="1"/>
  <c r="DD231" i="1"/>
  <c r="DD247" i="1"/>
  <c r="DD215" i="1"/>
  <c r="DD244" i="1"/>
  <c r="CS244" i="1"/>
  <c r="CS212" i="1"/>
  <c r="CS79" i="1"/>
  <c r="CY56" i="1"/>
  <c r="CS55" i="1"/>
  <c r="BS247" i="1"/>
  <c r="BS263" i="1"/>
  <c r="BS231" i="1"/>
  <c r="BS215" i="1"/>
  <c r="BA263" i="1"/>
  <c r="BA247" i="1"/>
  <c r="BA231" i="1"/>
  <c r="BA215" i="1"/>
  <c r="DB50" i="1"/>
  <c r="CD50" i="1"/>
  <c r="CG50" i="1" s="1"/>
  <c r="BF85" i="1"/>
  <c r="BF51" i="1"/>
  <c r="AH85" i="1"/>
  <c r="AH51" i="1"/>
  <c r="R101" i="1"/>
  <c r="R105" i="1"/>
  <c r="R185" i="2" s="1"/>
  <c r="J137" i="1"/>
  <c r="J139" i="1"/>
  <c r="BB262" i="1"/>
  <c r="BB81" i="1"/>
  <c r="AN264" i="1"/>
  <c r="AN266" i="1" s="1"/>
  <c r="BI243" i="1"/>
  <c r="CG242" i="1"/>
  <c r="CG210" i="1"/>
  <c r="CG37" i="1"/>
  <c r="AK242" i="1"/>
  <c r="DZ31" i="1"/>
  <c r="BZ292" i="1"/>
  <c r="CA292" i="1" s="1"/>
  <c r="BF292" i="1"/>
  <c r="BB292" i="1"/>
  <c r="BC292" i="1" s="1"/>
  <c r="DQ239" i="1"/>
  <c r="CA239" i="1"/>
  <c r="DD262" i="1"/>
  <c r="CJ262" i="1"/>
  <c r="BX262" i="1"/>
  <c r="BX264" i="1" s="1"/>
  <c r="BX266" i="1" s="1"/>
  <c r="BN262" i="1"/>
  <c r="CE262" i="1"/>
  <c r="BM262" i="1"/>
  <c r="BI55" i="1"/>
  <c r="BR83" i="1"/>
  <c r="CJ33" i="1"/>
  <c r="DV13" i="1"/>
  <c r="CI263" i="1"/>
  <c r="CI247" i="1"/>
  <c r="CI231" i="1"/>
  <c r="CI215" i="1"/>
  <c r="EK70" i="1"/>
  <c r="EO71" i="1"/>
  <c r="EO70" i="1" s="1"/>
  <c r="CS246" i="1"/>
  <c r="CS214" i="1"/>
  <c r="CY64" i="1"/>
  <c r="CS63" i="1"/>
  <c r="BC245" i="1"/>
  <c r="BC213" i="1"/>
  <c r="BI60" i="1"/>
  <c r="BC60" i="1"/>
  <c r="BC59" i="1"/>
  <c r="DY263" i="1"/>
  <c r="DY247" i="1"/>
  <c r="DY215" i="1"/>
  <c r="DY231" i="1"/>
  <c r="DW67" i="1"/>
  <c r="EC68" i="1"/>
  <c r="BI246" i="1"/>
  <c r="BI214" i="1"/>
  <c r="BI63" i="1"/>
  <c r="BO64" i="1"/>
  <c r="DQ158" i="1"/>
  <c r="CF263" i="1"/>
  <c r="CF247" i="1"/>
  <c r="CF231" i="1"/>
  <c r="CF215" i="1"/>
  <c r="DQ138" i="1"/>
  <c r="DE138" i="1"/>
  <c r="DE322" i="1" s="1"/>
  <c r="BC138" i="1"/>
  <c r="BC96" i="1"/>
  <c r="CA168" i="1"/>
  <c r="CY245" i="1"/>
  <c r="CY213" i="1"/>
  <c r="DE60" i="1"/>
  <c r="CY59" i="1"/>
  <c r="AB82" i="1"/>
  <c r="DV263" i="1"/>
  <c r="DV247" i="1"/>
  <c r="DV231" i="1"/>
  <c r="DV215" i="1"/>
  <c r="DH263" i="1"/>
  <c r="DH231" i="1"/>
  <c r="DH247" i="1"/>
  <c r="DH215" i="1"/>
  <c r="CU263" i="1"/>
  <c r="CU247" i="1"/>
  <c r="CU231" i="1"/>
  <c r="CU215" i="1"/>
  <c r="CG244" i="1"/>
  <c r="CG212" i="1"/>
  <c r="CG79" i="1"/>
  <c r="CG55" i="1"/>
  <c r="CM56" i="1"/>
  <c r="CA246" i="1"/>
  <c r="CA214" i="1"/>
  <c r="CG64" i="1"/>
  <c r="CA63" i="1"/>
  <c r="CA244" i="1"/>
  <c r="CA212" i="1"/>
  <c r="CG56" i="1"/>
  <c r="CA55" i="1"/>
  <c r="CA79" i="1"/>
  <c r="BM263" i="1"/>
  <c r="BM247" i="1"/>
  <c r="BM231" i="1"/>
  <c r="BM215" i="1"/>
  <c r="BN472" i="4"/>
  <c r="BN473" i="4" s="1"/>
  <c r="BM474" i="4"/>
  <c r="AZ247" i="1"/>
  <c r="AZ231" i="1"/>
  <c r="AZ263" i="1"/>
  <c r="AZ215" i="1"/>
  <c r="DI85" i="1"/>
  <c r="DI51" i="1"/>
  <c r="CK85" i="1"/>
  <c r="CK51" i="1"/>
  <c r="BM85" i="1"/>
  <c r="BM51" i="1"/>
  <c r="AO85" i="1"/>
  <c r="AO51" i="1"/>
  <c r="U105" i="1"/>
  <c r="U185" i="2" s="1"/>
  <c r="U101" i="1"/>
  <c r="I101" i="1"/>
  <c r="I274" i="1" s="1"/>
  <c r="I275" i="1" s="1"/>
  <c r="I105" i="1"/>
  <c r="E101" i="1"/>
  <c r="E105" i="1"/>
  <c r="DU262" i="1"/>
  <c r="DU81" i="1"/>
  <c r="CW262" i="1"/>
  <c r="CW81" i="1"/>
  <c r="BY262" i="1"/>
  <c r="BY81" i="1"/>
  <c r="AV264" i="1"/>
  <c r="AV266" i="1" s="1"/>
  <c r="AH83" i="1"/>
  <c r="AH82" i="1"/>
  <c r="DE240" i="1"/>
  <c r="DE208" i="1"/>
  <c r="DE32" i="1"/>
  <c r="CG240" i="1"/>
  <c r="CG208" i="1"/>
  <c r="CG67" i="1"/>
  <c r="CE530" i="4"/>
  <c r="CG32" i="1"/>
  <c r="BY292" i="1"/>
  <c r="BE292" i="1"/>
  <c r="AO292" i="1"/>
  <c r="AO266" i="1"/>
  <c r="AG292" i="1"/>
  <c r="BU239" i="1"/>
  <c r="EC206" i="1"/>
  <c r="EE260" i="1"/>
  <c r="EE222" i="1"/>
  <c r="EE206" i="1"/>
  <c r="EH138" i="1"/>
  <c r="EH322" i="1" s="1"/>
  <c r="DU263" i="1"/>
  <c r="DU247" i="1"/>
  <c r="DU231" i="1"/>
  <c r="DU215" i="1"/>
  <c r="BU244" i="1"/>
  <c r="BU212" i="1"/>
  <c r="BU55" i="1"/>
  <c r="BU79" i="1"/>
  <c r="CA56" i="1"/>
  <c r="BL263" i="1"/>
  <c r="BL247" i="1"/>
  <c r="BL231" i="1"/>
  <c r="BL215" i="1"/>
  <c r="BM472" i="4"/>
  <c r="BM473" i="4" s="1"/>
  <c r="BF263" i="1"/>
  <c r="BF247" i="1"/>
  <c r="BF231" i="1"/>
  <c r="BF215" i="1"/>
  <c r="AY263" i="1"/>
  <c r="AY247" i="1"/>
  <c r="AY231" i="1"/>
  <c r="AY215" i="1"/>
  <c r="DT85" i="1"/>
  <c r="BL85" i="1"/>
  <c r="BL51" i="1"/>
  <c r="AN85" i="1"/>
  <c r="AN51" i="1"/>
  <c r="X101" i="1"/>
  <c r="X105" i="1"/>
  <c r="X185" i="2" s="1"/>
  <c r="DA262" i="1"/>
  <c r="DA81" i="1"/>
  <c r="DE48" i="1"/>
  <c r="AZ264" i="1"/>
  <c r="AZ266" i="1" s="1"/>
  <c r="AP264" i="1"/>
  <c r="AP266" i="1" s="1"/>
  <c r="CY243" i="1"/>
  <c r="CY211" i="1"/>
  <c r="CY40" i="1"/>
  <c r="DK242" i="1"/>
  <c r="DK210" i="1"/>
  <c r="DK37" i="1"/>
  <c r="AW242" i="1"/>
  <c r="DD261" i="1"/>
  <c r="DD240" i="1"/>
  <c r="DD239" i="1"/>
  <c r="DD224" i="1"/>
  <c r="DD208" i="1"/>
  <c r="DG33" i="1"/>
  <c r="DD32" i="1"/>
  <c r="DD50" i="1"/>
  <c r="DJ32" i="1"/>
  <c r="DD436" i="4"/>
  <c r="DY239" i="1"/>
  <c r="DY223" i="1"/>
  <c r="DY207" i="1"/>
  <c r="DD238" i="1"/>
  <c r="BI238" i="1"/>
  <c r="DW68" i="1"/>
  <c r="CJ247" i="1"/>
  <c r="CP263" i="1"/>
  <c r="CP247" i="1"/>
  <c r="CP231" i="1"/>
  <c r="CP215" i="1"/>
  <c r="CM79" i="1"/>
  <c r="BY263" i="1"/>
  <c r="BY247" i="1"/>
  <c r="BY231" i="1"/>
  <c r="BY215" i="1"/>
  <c r="BE263" i="1"/>
  <c r="BE247" i="1"/>
  <c r="BE215" i="1"/>
  <c r="BE231" i="1"/>
  <c r="AW244" i="1"/>
  <c r="S247" i="1"/>
  <c r="S215" i="1"/>
  <c r="DO50" i="1"/>
  <c r="BS85" i="1"/>
  <c r="BS51" i="1"/>
  <c r="AU85" i="1"/>
  <c r="AU51" i="1"/>
  <c r="AE250" i="1"/>
  <c r="AE109" i="1"/>
  <c r="AE107" i="1"/>
  <c r="AA139" i="1"/>
  <c r="AA137" i="1"/>
  <c r="S85" i="1"/>
  <c r="S51" i="1"/>
  <c r="G105" i="1"/>
  <c r="G101" i="1"/>
  <c r="DN262" i="1"/>
  <c r="DN264" i="1" s="1"/>
  <c r="DN266" i="1" s="1"/>
  <c r="DN81" i="1"/>
  <c r="AT264" i="1"/>
  <c r="AT266" i="1" s="1"/>
  <c r="AJ264" i="1"/>
  <c r="AJ266" i="1" s="1"/>
  <c r="BU242" i="1"/>
  <c r="DG261" i="1"/>
  <c r="AY292" i="1"/>
  <c r="AM292" i="1"/>
  <c r="EG260" i="1"/>
  <c r="EG222" i="1"/>
  <c r="EG206" i="1"/>
  <c r="CY238" i="1"/>
  <c r="BC238" i="1"/>
  <c r="W83" i="1"/>
  <c r="DS263" i="1"/>
  <c r="DS247" i="1"/>
  <c r="DS231" i="1"/>
  <c r="DS215" i="1"/>
  <c r="BN263" i="1"/>
  <c r="BN247" i="1"/>
  <c r="BN231" i="1"/>
  <c r="BN215" i="1"/>
  <c r="BN474" i="4"/>
  <c r="DV85" i="1"/>
  <c r="DV51" i="1"/>
  <c r="CX85" i="1"/>
  <c r="CX51" i="1"/>
  <c r="BZ85" i="1"/>
  <c r="BZ51" i="1"/>
  <c r="BB51" i="1"/>
  <c r="AD105" i="1"/>
  <c r="AD185" i="2" s="1"/>
  <c r="AD101" i="1"/>
  <c r="V105" i="1"/>
  <c r="V185" i="2" s="1"/>
  <c r="V101" i="1"/>
  <c r="R139" i="1"/>
  <c r="R137" i="1"/>
  <c r="AS82" i="1"/>
  <c r="AS83" i="1"/>
  <c r="AI83" i="1"/>
  <c r="AI82" i="1"/>
  <c r="CS242" i="1"/>
  <c r="CS210" i="1"/>
  <c r="CS37" i="1"/>
  <c r="DJ266" i="1"/>
  <c r="CL261" i="1"/>
  <c r="AT292" i="1"/>
  <c r="AP292" i="1"/>
  <c r="AQ292" i="1" s="1"/>
  <c r="AH292" i="1"/>
  <c r="CS207" i="1"/>
  <c r="EF260" i="1"/>
  <c r="EF222" i="1"/>
  <c r="EF206" i="1"/>
  <c r="AW238" i="1"/>
  <c r="DV81" i="1"/>
  <c r="CF81" i="1"/>
  <c r="BS81" i="1"/>
  <c r="AW32" i="1"/>
  <c r="DY262" i="1"/>
  <c r="DY264" i="1" s="1"/>
  <c r="DH262" i="1"/>
  <c r="DH264" i="1" s="1"/>
  <c r="DH266" i="1" s="1"/>
  <c r="CU81" i="1"/>
  <c r="CA48" i="1"/>
  <c r="BQ82" i="1"/>
  <c r="BQ83" i="1"/>
  <c r="BI79" i="1"/>
  <c r="BI170" i="1" s="1"/>
  <c r="BR264" i="1"/>
  <c r="BR266" i="1" s="1"/>
  <c r="BZ262" i="1"/>
  <c r="BZ264" i="1" s="1"/>
  <c r="BZ266" i="1" s="1"/>
  <c r="DP13" i="1"/>
  <c r="AD83" i="1"/>
  <c r="AD82" i="1"/>
  <c r="DK245" i="1"/>
  <c r="DK213" i="1"/>
  <c r="DQ60" i="1"/>
  <c r="DK59" i="1"/>
  <c r="DZ322" i="1"/>
  <c r="DA263" i="1"/>
  <c r="DA247" i="1"/>
  <c r="DA231" i="1"/>
  <c r="DA215" i="1"/>
  <c r="CS68" i="1"/>
  <c r="CM68" i="1"/>
  <c r="CM67" i="1"/>
  <c r="DE245" i="1"/>
  <c r="DE213" i="1"/>
  <c r="DE59" i="1"/>
  <c r="DK60" i="1"/>
  <c r="BO245" i="1"/>
  <c r="BO213" i="1"/>
  <c r="BO59" i="1"/>
  <c r="BU60" i="1"/>
  <c r="EG138" i="1"/>
  <c r="BH263" i="1"/>
  <c r="BH264" i="1" s="1"/>
  <c r="BH266" i="1" s="1"/>
  <c r="BH247" i="1"/>
  <c r="BH231" i="1"/>
  <c r="BH215" i="1"/>
  <c r="DS325" i="1"/>
  <c r="DW76" i="1"/>
  <c r="DW325" i="1" s="1"/>
  <c r="BU70" i="1"/>
  <c r="DK246" i="1"/>
  <c r="DK214" i="1"/>
  <c r="DQ64" i="1"/>
  <c r="DK63" i="1"/>
  <c r="CS245" i="1"/>
  <c r="CS213" i="1"/>
  <c r="CY60" i="1"/>
  <c r="CS59" i="1"/>
  <c r="DM322" i="1"/>
  <c r="DA322" i="1"/>
  <c r="CY68" i="1"/>
  <c r="BC246" i="1"/>
  <c r="BC214" i="1"/>
  <c r="BC63" i="1"/>
  <c r="BI64" i="1"/>
  <c r="EI76" i="1"/>
  <c r="EI325" i="1" s="1"/>
  <c r="DO247" i="1"/>
  <c r="DO263" i="1"/>
  <c r="DO231" i="1"/>
  <c r="DO215" i="1"/>
  <c r="CY244" i="1"/>
  <c r="CY212" i="1"/>
  <c r="CY79" i="1"/>
  <c r="DE215" i="1" s="1"/>
  <c r="DE56" i="1"/>
  <c r="CY55" i="1"/>
  <c r="CK263" i="1"/>
  <c r="CK247" i="1"/>
  <c r="CK231" i="1"/>
  <c r="CK215" i="1"/>
  <c r="CG245" i="1"/>
  <c r="CG213" i="1"/>
  <c r="CG59" i="1"/>
  <c r="CM60" i="1"/>
  <c r="BG263" i="1"/>
  <c r="BG247" i="1"/>
  <c r="BG231" i="1"/>
  <c r="BG215" i="1"/>
  <c r="DA85" i="1"/>
  <c r="DA51" i="1"/>
  <c r="CC85" i="1"/>
  <c r="CC51" i="1"/>
  <c r="BE85" i="1"/>
  <c r="BI50" i="1"/>
  <c r="BE51" i="1"/>
  <c r="AG85" i="1"/>
  <c r="AG51" i="1"/>
  <c r="AC137" i="1"/>
  <c r="AC139" i="1"/>
  <c r="Q105" i="1"/>
  <c r="Q185" i="2" s="1"/>
  <c r="Q101" i="1"/>
  <c r="I139" i="1"/>
  <c r="I137" i="1"/>
  <c r="E137" i="1"/>
  <c r="E139" i="1"/>
  <c r="DP262" i="1"/>
  <c r="DP264" i="1" s="1"/>
  <c r="DP266" i="1" s="1"/>
  <c r="DP81" i="1"/>
  <c r="CR262" i="1"/>
  <c r="CR264" i="1" s="1"/>
  <c r="CR266" i="1" s="1"/>
  <c r="CR81" i="1"/>
  <c r="BT262" i="1"/>
  <c r="BT264" i="1" s="1"/>
  <c r="BT266" i="1" s="1"/>
  <c r="BT81" i="1"/>
  <c r="BA83" i="1"/>
  <c r="BA82" i="1"/>
  <c r="AQ170" i="1"/>
  <c r="AQ81" i="1"/>
  <c r="AH264" i="1"/>
  <c r="AH266" i="1" s="1"/>
  <c r="DY261" i="1"/>
  <c r="DY240" i="1"/>
  <c r="DY224" i="1"/>
  <c r="DY208" i="1"/>
  <c r="DY50" i="1"/>
  <c r="DY32" i="1"/>
  <c r="DY436" i="4"/>
  <c r="CS240" i="1"/>
  <c r="CS208" i="1"/>
  <c r="CS32" i="1"/>
  <c r="CO292" i="1"/>
  <c r="BA292" i="1"/>
  <c r="AS292" i="1"/>
  <c r="DE238" i="1"/>
  <c r="DE206" i="1"/>
  <c r="DE11" i="1"/>
  <c r="EL94" i="1"/>
  <c r="EK93" i="1"/>
  <c r="DK244" i="1"/>
  <c r="DK212" i="1"/>
  <c r="DK79" i="1"/>
  <c r="DQ56" i="1"/>
  <c r="DK55" i="1"/>
  <c r="CX263" i="1"/>
  <c r="CX247" i="1"/>
  <c r="CX231" i="1"/>
  <c r="CX215" i="1"/>
  <c r="DP50" i="1"/>
  <c r="CF85" i="1"/>
  <c r="CF51" i="1"/>
  <c r="BH85" i="1"/>
  <c r="BH51" i="1"/>
  <c r="AJ85" i="1"/>
  <c r="AJ51" i="1"/>
  <c r="AB101" i="1"/>
  <c r="AB105" i="1"/>
  <c r="AB185" i="2" s="1"/>
  <c r="P105" i="1"/>
  <c r="P185" i="2" s="1"/>
  <c r="P101" i="1"/>
  <c r="L105" i="1"/>
  <c r="L101" i="1"/>
  <c r="L274" i="1" s="1"/>
  <c r="L275" i="1" s="1"/>
  <c r="CQ262" i="1"/>
  <c r="CQ264" i="1" s="1"/>
  <c r="CQ266" i="1" s="1"/>
  <c r="CQ81" i="1"/>
  <c r="BE82" i="1"/>
  <c r="BE83" i="1"/>
  <c r="AU83" i="1"/>
  <c r="AU82" i="1"/>
  <c r="AK170" i="1"/>
  <c r="AK81" i="1"/>
  <c r="EA226" i="1"/>
  <c r="CY242" i="1"/>
  <c r="CY210" i="1"/>
  <c r="CY37" i="1"/>
  <c r="CS15" i="1"/>
  <c r="EH260" i="1"/>
  <c r="EH222" i="1"/>
  <c r="EH206" i="1"/>
  <c r="CS67" i="1"/>
  <c r="CJ263" i="1"/>
  <c r="DE244" i="1"/>
  <c r="CM212" i="1"/>
  <c r="AW247" i="1"/>
  <c r="AW215" i="1"/>
  <c r="DG50" i="1"/>
  <c r="CI50" i="1"/>
  <c r="BK50" i="1"/>
  <c r="AM85" i="1"/>
  <c r="AM51" i="1"/>
  <c r="O101" i="1"/>
  <c r="O105" i="1"/>
  <c r="O185" i="2" s="1"/>
  <c r="K105" i="1"/>
  <c r="K101" i="1"/>
  <c r="K274" i="1" s="1"/>
  <c r="K275" i="1" s="1"/>
  <c r="G139" i="1"/>
  <c r="G137" i="1"/>
  <c r="C105" i="1"/>
  <c r="C101" i="1"/>
  <c r="DI262" i="1"/>
  <c r="DI81" i="1"/>
  <c r="AO83" i="1"/>
  <c r="AO82" i="1"/>
  <c r="Y81" i="1"/>
  <c r="BU243" i="1"/>
  <c r="DK240" i="1"/>
  <c r="DK208" i="1"/>
  <c r="DN529" i="4"/>
  <c r="DK32" i="1"/>
  <c r="DN528" i="4"/>
  <c r="CI292" i="1"/>
  <c r="BS292" i="1"/>
  <c r="DW239" i="1"/>
  <c r="CG239" i="1"/>
  <c r="AK239" i="1"/>
  <c r="DI263" i="1"/>
  <c r="DI247" i="1"/>
  <c r="DI231" i="1"/>
  <c r="DI215" i="1"/>
  <c r="CV263" i="1"/>
  <c r="CV247" i="1"/>
  <c r="CV231" i="1"/>
  <c r="CV215" i="1"/>
  <c r="CO263" i="1"/>
  <c r="CO247" i="1"/>
  <c r="CO231" i="1"/>
  <c r="CO215" i="1"/>
  <c r="CL263" i="1"/>
  <c r="CL247" i="1"/>
  <c r="CL231" i="1"/>
  <c r="CL215" i="1"/>
  <c r="CE247" i="1"/>
  <c r="CE263" i="1"/>
  <c r="CE231" i="1"/>
  <c r="CE215" i="1"/>
  <c r="AQ247" i="1"/>
  <c r="AQ215" i="1"/>
  <c r="DN50" i="1"/>
  <c r="CP50" i="1"/>
  <c r="BR85" i="1"/>
  <c r="BR51" i="1"/>
  <c r="AT85" i="1"/>
  <c r="AT51" i="1"/>
  <c r="V137" i="1"/>
  <c r="V139" i="1"/>
  <c r="F105" i="1"/>
  <c r="F101" i="1"/>
  <c r="DM262" i="1"/>
  <c r="DM264" i="1" s="1"/>
  <c r="DM266" i="1" s="1"/>
  <c r="DM81" i="1"/>
  <c r="DQ48" i="1"/>
  <c r="AS264" i="1"/>
  <c r="AS266" i="1" s="1"/>
  <c r="AI264" i="1"/>
  <c r="AI266" i="1" s="1"/>
  <c r="DE243" i="1"/>
  <c r="DE211" i="1"/>
  <c r="DE40" i="1"/>
  <c r="AK243" i="1"/>
  <c r="DQ242" i="1"/>
  <c r="DQ210" i="1"/>
  <c r="DQ37" i="1"/>
  <c r="DE242" i="1"/>
  <c r="DE210" i="1"/>
  <c r="DE37" i="1"/>
  <c r="BO242" i="1"/>
  <c r="BO210" i="1"/>
  <c r="BO37" i="1"/>
  <c r="CP208" i="1"/>
  <c r="CD292" i="1"/>
  <c r="CS239" i="1"/>
  <c r="BC239" i="1"/>
  <c r="DK206" i="1"/>
  <c r="DV262" i="1"/>
  <c r="DV264" i="1" s="1"/>
  <c r="DV266" i="1" s="1"/>
  <c r="CV262" i="1"/>
  <c r="CF262" i="1"/>
  <c r="CF264" i="1" s="1"/>
  <c r="CF266" i="1" s="1"/>
  <c r="BS264" i="1"/>
  <c r="BS266" i="1" s="1"/>
  <c r="BG262" i="1"/>
  <c r="BG264" i="1" s="1"/>
  <c r="BG266" i="1" s="1"/>
  <c r="AQ50" i="1"/>
  <c r="BC56" i="1"/>
  <c r="DT81" i="1"/>
  <c r="DC81" i="1"/>
  <c r="CU262" i="1"/>
  <c r="CU264" i="1" s="1"/>
  <c r="CU266" i="1" s="1"/>
  <c r="BW81" i="1"/>
  <c r="BQ264" i="1"/>
  <c r="BQ266" i="1" s="1"/>
  <c r="DK56" i="1"/>
  <c r="BI212" i="1"/>
  <c r="DW48" i="1"/>
  <c r="CX262" i="1"/>
  <c r="BL81" i="1"/>
  <c r="BX187" i="4"/>
  <c r="BX79" i="4"/>
  <c r="BX210" i="4"/>
  <c r="BX168" i="4"/>
  <c r="BX84" i="4"/>
  <c r="BX75" i="4"/>
  <c r="CD91" i="4"/>
  <c r="BX63" i="4"/>
  <c r="BX59" i="4"/>
  <c r="CE291" i="1"/>
  <c r="CE293" i="1" s="1"/>
  <c r="DH414" i="4"/>
  <c r="DM413" i="4"/>
  <c r="DK412" i="4"/>
  <c r="DN410" i="4"/>
  <c r="DS409" i="4"/>
  <c r="DJ410" i="4"/>
  <c r="DO409" i="4"/>
  <c r="DG409" i="4"/>
  <c r="CX410" i="4"/>
  <c r="DC409" i="4"/>
  <c r="CP410" i="4"/>
  <c r="CU409" i="4"/>
  <c r="CQ409" i="4"/>
  <c r="CL410" i="4"/>
  <c r="CD410" i="4"/>
  <c r="CI409" i="4"/>
  <c r="BZ414" i="4"/>
  <c r="CE413" i="4"/>
  <c r="BU412" i="4"/>
  <c r="BW413" i="4"/>
  <c r="BR414" i="4"/>
  <c r="BB410" i="4"/>
  <c r="BG409" i="4"/>
  <c r="AW412" i="4"/>
  <c r="AY413" i="4"/>
  <c r="AT414" i="4"/>
  <c r="DP414" i="4"/>
  <c r="DU413" i="4"/>
  <c r="CO402" i="4"/>
  <c r="CU400" i="4"/>
  <c r="CP401" i="4"/>
  <c r="DD414" i="4"/>
  <c r="DI413" i="4"/>
  <c r="DU409" i="4"/>
  <c r="DI409" i="4"/>
  <c r="DD410" i="4"/>
  <c r="CW409" i="4"/>
  <c r="CR410" i="4"/>
  <c r="CK409" i="4"/>
  <c r="CF410" i="4"/>
  <c r="DY414" i="4"/>
  <c r="DM410" i="4"/>
  <c r="DK408" i="4"/>
  <c r="CJ413" i="4"/>
  <c r="CE414" i="4"/>
  <c r="CC414" i="4"/>
  <c r="CF413" i="4"/>
  <c r="BX413" i="4"/>
  <c r="BS414" i="4"/>
  <c r="BQ414" i="4"/>
  <c r="BT413" i="4"/>
  <c r="BL409" i="4"/>
  <c r="BG410" i="4"/>
  <c r="AS410" i="4"/>
  <c r="AV409" i="4"/>
  <c r="AQ408" i="4"/>
  <c r="CU410" i="4"/>
  <c r="CS408" i="4"/>
  <c r="CX409" i="4"/>
  <c r="BK414" i="4"/>
  <c r="BN413" i="4"/>
  <c r="BO376" i="4"/>
  <c r="BO374" i="4"/>
  <c r="CP371" i="4"/>
  <c r="CK372" i="4"/>
  <c r="BK372" i="4"/>
  <c r="BN371" i="4"/>
  <c r="DS340" i="4"/>
  <c r="DV339" i="4"/>
  <c r="DP339" i="4"/>
  <c r="DP341" i="4"/>
  <c r="BC332" i="4"/>
  <c r="DJ377" i="4"/>
  <c r="DP327" i="4"/>
  <c r="DJ370" i="4"/>
  <c r="DU410" i="4"/>
  <c r="CW410" i="4"/>
  <c r="DB409" i="4"/>
  <c r="DB413" i="4"/>
  <c r="CW414" i="4"/>
  <c r="CK414" i="4"/>
  <c r="CP413" i="4"/>
  <c r="BM410" i="4"/>
  <c r="BR409" i="4"/>
  <c r="BA410" i="4"/>
  <c r="BF409" i="4"/>
  <c r="CQ383" i="4"/>
  <c r="CW381" i="4"/>
  <c r="CQ388" i="4"/>
  <c r="CQ384" i="4"/>
  <c r="CQ382" i="4"/>
  <c r="BX372" i="4"/>
  <c r="CA370" i="4"/>
  <c r="CC371" i="4"/>
  <c r="CA412" i="4"/>
  <c r="AU372" i="4"/>
  <c r="AZ371" i="4"/>
  <c r="DH377" i="4"/>
  <c r="DH370" i="4"/>
  <c r="DN327" i="4"/>
  <c r="DI329" i="4"/>
  <c r="AO410" i="4"/>
  <c r="AT409" i="4"/>
  <c r="CP372" i="4"/>
  <c r="CU371" i="4"/>
  <c r="CO371" i="4"/>
  <c r="CS370" i="4"/>
  <c r="BK371" i="4"/>
  <c r="BF372" i="4"/>
  <c r="BI370" i="4"/>
  <c r="AM372" i="4"/>
  <c r="AP371" i="4"/>
  <c r="DW332" i="4"/>
  <c r="CY370" i="4"/>
  <c r="BT372" i="4"/>
  <c r="AY237" i="4"/>
  <c r="BI175" i="4"/>
  <c r="DJ322" i="4"/>
  <c r="DJ323" i="4" s="1"/>
  <c r="DM280" i="4"/>
  <c r="DK280" i="4"/>
  <c r="CM370" i="4"/>
  <c r="DJ314" i="4"/>
  <c r="DI281" i="4"/>
  <c r="DU286" i="4"/>
  <c r="CY259" i="4"/>
  <c r="CY57" i="4"/>
  <c r="CS59" i="4"/>
  <c r="BU86" i="4"/>
  <c r="BW87" i="4"/>
  <c r="BR88" i="4"/>
  <c r="BL241" i="4"/>
  <c r="AI92" i="4"/>
  <c r="AH142" i="4"/>
  <c r="AH168" i="4"/>
  <c r="AH305" i="1" s="1"/>
  <c r="BW187" i="4"/>
  <c r="DQ84" i="4"/>
  <c r="CW266" i="4"/>
  <c r="CV267" i="4"/>
  <c r="CV266" i="4"/>
  <c r="CY264" i="4"/>
  <c r="DB265" i="4"/>
  <c r="CV265" i="4"/>
  <c r="BM88" i="4"/>
  <c r="BL88" i="4"/>
  <c r="BR87" i="4"/>
  <c r="BO86" i="4"/>
  <c r="DW36" i="4"/>
  <c r="DW51" i="4" s="1"/>
  <c r="DW52" i="4" s="1"/>
  <c r="DW53" i="4" s="1"/>
  <c r="DW33" i="4"/>
  <c r="BU36" i="4"/>
  <c r="BU51" i="4" s="1"/>
  <c r="BU52" i="4" s="1"/>
  <c r="BU53" i="4" s="1"/>
  <c r="BU33" i="4"/>
  <c r="BQ101" i="4"/>
  <c r="CD187" i="4"/>
  <c r="CD79" i="4"/>
  <c r="CD209" i="4"/>
  <c r="CE92" i="4"/>
  <c r="CJ91" i="4"/>
  <c r="CD84" i="4"/>
  <c r="CD168" i="4"/>
  <c r="CD75" i="4"/>
  <c r="CD63" i="4"/>
  <c r="CD59" i="4"/>
  <c r="DQ63" i="4"/>
  <c r="DQ79" i="4"/>
  <c r="BS220" i="4"/>
  <c r="BY211" i="4"/>
  <c r="BS211" i="4"/>
  <c r="CC52" i="4"/>
  <c r="DA29" i="4"/>
  <c r="CF414" i="4"/>
  <c r="CK413" i="4"/>
  <c r="DQ412" i="4"/>
  <c r="DS413" i="4"/>
  <c r="DN414" i="4"/>
  <c r="DJ414" i="4"/>
  <c r="DO413" i="4"/>
  <c r="DG413" i="4"/>
  <c r="DB414" i="4"/>
  <c r="CX414" i="4"/>
  <c r="DC413" i="4"/>
  <c r="CS412" i="4"/>
  <c r="CU413" i="4"/>
  <c r="CP414" i="4"/>
  <c r="CG412" i="4"/>
  <c r="CI413" i="4"/>
  <c r="CD414" i="4"/>
  <c r="BF410" i="4"/>
  <c r="BK409" i="4"/>
  <c r="BB414" i="4"/>
  <c r="BG413" i="4"/>
  <c r="AU409" i="4"/>
  <c r="AP410" i="4"/>
  <c r="CV414" i="4"/>
  <c r="DA413" i="4"/>
  <c r="CY412" i="4"/>
  <c r="CJ414" i="4"/>
  <c r="CO413" i="4"/>
  <c r="CM412" i="4"/>
  <c r="AZ410" i="4"/>
  <c r="AV414" i="4"/>
  <c r="BA413" i="4"/>
  <c r="DH413" i="4"/>
  <c r="DC414" i="4"/>
  <c r="DA414" i="4"/>
  <c r="CV413" i="4"/>
  <c r="CQ414" i="4"/>
  <c r="CO414" i="4"/>
  <c r="CR413" i="4"/>
  <c r="BQ410" i="4"/>
  <c r="BT409" i="4"/>
  <c r="BO408" i="4"/>
  <c r="AZ413" i="4"/>
  <c r="AU414" i="4"/>
  <c r="CC400" i="4"/>
  <c r="BW402" i="4"/>
  <c r="BW401" i="4"/>
  <c r="DW392" i="4"/>
  <c r="K200" i="484" s="1"/>
  <c r="J199" i="484"/>
  <c r="CI414" i="4"/>
  <c r="CL413" i="4"/>
  <c r="AY414" i="4"/>
  <c r="BB413" i="4"/>
  <c r="BI376" i="4"/>
  <c r="BI374" i="4"/>
  <c r="CI372" i="4"/>
  <c r="CL371" i="4"/>
  <c r="BA372" i="4"/>
  <c r="BF371" i="4"/>
  <c r="BY414" i="4"/>
  <c r="CD413" i="4"/>
  <c r="BT376" i="4"/>
  <c r="BT375" i="4"/>
  <c r="BT374" i="4"/>
  <c r="DD372" i="4"/>
  <c r="BH372" i="4"/>
  <c r="BM371" i="4"/>
  <c r="CS332" i="4"/>
  <c r="CF402" i="4"/>
  <c r="CG332" i="4"/>
  <c r="DD379" i="4"/>
  <c r="BI392" i="4"/>
  <c r="BI378" i="4"/>
  <c r="BW375" i="4"/>
  <c r="BW376" i="4"/>
  <c r="AM371" i="4"/>
  <c r="AH372" i="4"/>
  <c r="AK370" i="4"/>
  <c r="DP312" i="4"/>
  <c r="DP311" i="4"/>
  <c r="CS378" i="4"/>
  <c r="CF371" i="4"/>
  <c r="BB372" i="4"/>
  <c r="BG371" i="4"/>
  <c r="DP340" i="4"/>
  <c r="DS339" i="4"/>
  <c r="DN340" i="4"/>
  <c r="DM341" i="4"/>
  <c r="DM340" i="4"/>
  <c r="DK332" i="4"/>
  <c r="DE377" i="4"/>
  <c r="DQ286" i="4"/>
  <c r="AW96" i="4"/>
  <c r="CS267" i="4"/>
  <c r="CY91" i="4"/>
  <c r="CS75" i="4"/>
  <c r="BE371" i="4"/>
  <c r="AJ372" i="4"/>
  <c r="BC96" i="4"/>
  <c r="BH168" i="4"/>
  <c r="BH187" i="4"/>
  <c r="BH189" i="4" s="1"/>
  <c r="BH209" i="4"/>
  <c r="BN211" i="4" s="1"/>
  <c r="BN91" i="4"/>
  <c r="BK92" i="4"/>
  <c r="DC371" i="4"/>
  <c r="BH371" i="4"/>
  <c r="DQ259" i="4"/>
  <c r="DS286" i="4"/>
  <c r="CO91" i="4"/>
  <c r="CI79" i="4"/>
  <c r="CI263" i="4"/>
  <c r="CI187" i="4"/>
  <c r="CI84" i="4"/>
  <c r="CI259" i="4"/>
  <c r="CI209" i="4"/>
  <c r="CJ92" i="4"/>
  <c r="CI267" i="4"/>
  <c r="CI168" i="4"/>
  <c r="CI75" i="4"/>
  <c r="CI63" i="4"/>
  <c r="CA86" i="4"/>
  <c r="BB92" i="4"/>
  <c r="BA209" i="4"/>
  <c r="BA168" i="4"/>
  <c r="BA187" i="4"/>
  <c r="BA189" i="4" s="1"/>
  <c r="DQ59" i="4"/>
  <c r="CK267" i="4"/>
  <c r="CK259" i="4"/>
  <c r="CK209" i="4"/>
  <c r="CL92" i="4"/>
  <c r="CK168" i="4"/>
  <c r="CQ91" i="4"/>
  <c r="CK79" i="4"/>
  <c r="CK263" i="4"/>
  <c r="CK187" i="4"/>
  <c r="CK63" i="4"/>
  <c r="CK59" i="4"/>
  <c r="CK84" i="4"/>
  <c r="CK75" i="4"/>
  <c r="CC187" i="4"/>
  <c r="CC79" i="4"/>
  <c r="CC209" i="4"/>
  <c r="CD92" i="4"/>
  <c r="CI91" i="4"/>
  <c r="CC84" i="4"/>
  <c r="CC168" i="4"/>
  <c r="CC75" i="4"/>
  <c r="CC63" i="4"/>
  <c r="BQ90" i="4"/>
  <c r="AZ29" i="4"/>
  <c r="AZ30" i="4" s="1"/>
  <c r="AZ258" i="1" s="1"/>
  <c r="AB29" i="4"/>
  <c r="AB30" i="4" s="1"/>
  <c r="BF187" i="4"/>
  <c r="BF209" i="4"/>
  <c r="BL91" i="4"/>
  <c r="BF168" i="4"/>
  <c r="CS84" i="4"/>
  <c r="CJ263" i="4"/>
  <c r="CJ187" i="4"/>
  <c r="CJ84" i="4"/>
  <c r="CJ259" i="4"/>
  <c r="CJ209" i="4"/>
  <c r="CK92" i="4"/>
  <c r="CJ267" i="4"/>
  <c r="CJ168" i="4"/>
  <c r="CP170" i="4" s="1"/>
  <c r="CP91" i="4"/>
  <c r="CJ75" i="4"/>
  <c r="CJ63" i="4"/>
  <c r="CJ79" i="4"/>
  <c r="DY29" i="4"/>
  <c r="DY30" i="4" s="1"/>
  <c r="BE241" i="4"/>
  <c r="BH241" i="4"/>
  <c r="BA91" i="4"/>
  <c r="CY59" i="4"/>
  <c r="DE57" i="4"/>
  <c r="BS183" i="4"/>
  <c r="DK36" i="4"/>
  <c r="DK51" i="4" s="1"/>
  <c r="DK52" i="4" s="1"/>
  <c r="DK53" i="4" s="1"/>
  <c r="DK33" i="4"/>
  <c r="BI36" i="4"/>
  <c r="BI51" i="4" s="1"/>
  <c r="BI52" i="4" s="1"/>
  <c r="BI53" i="4" s="1"/>
  <c r="BI33" i="4"/>
  <c r="CR29" i="4"/>
  <c r="AV29" i="4"/>
  <c r="AV30" i="4" s="1"/>
  <c r="AV258" i="1" s="1"/>
  <c r="X29" i="4"/>
  <c r="X30" i="4" s="1"/>
  <c r="DO267" i="4"/>
  <c r="DO259" i="4"/>
  <c r="DP92" i="4"/>
  <c r="DU91" i="4"/>
  <c r="DO79" i="4"/>
  <c r="DO84" i="4"/>
  <c r="DO263" i="4"/>
  <c r="DO71" i="4"/>
  <c r="DO67" i="4"/>
  <c r="DO59" i="4"/>
  <c r="DO75" i="4"/>
  <c r="DO63" i="4"/>
  <c r="BK220" i="4"/>
  <c r="CS168" i="4"/>
  <c r="CS305" i="1" s="1"/>
  <c r="CL267" i="4"/>
  <c r="CL168" i="4"/>
  <c r="CR91" i="4"/>
  <c r="CL79" i="4"/>
  <c r="CL263" i="4"/>
  <c r="CL187" i="4"/>
  <c r="CL84" i="4"/>
  <c r="CL259" i="4"/>
  <c r="CL209" i="4"/>
  <c r="CL59" i="4"/>
  <c r="CO92" i="4"/>
  <c r="CL75" i="4"/>
  <c r="CL63" i="4"/>
  <c r="AI29" i="4"/>
  <c r="AI30" i="4" s="1"/>
  <c r="AI258" i="1" s="1"/>
  <c r="CO29" i="4"/>
  <c r="CS63" i="4"/>
  <c r="CJ59" i="4"/>
  <c r="EC33" i="4"/>
  <c r="DG52" i="4"/>
  <c r="DG53" i="4" s="1"/>
  <c r="BO33" i="4"/>
  <c r="AG29" i="4"/>
  <c r="AG30" i="4" s="1"/>
  <c r="AG258" i="1" s="1"/>
  <c r="BL414" i="4"/>
  <c r="BQ413" i="4"/>
  <c r="BO412" i="4"/>
  <c r="BK402" i="4"/>
  <c r="BL401" i="4"/>
  <c r="BQ400" i="4"/>
  <c r="BK400" i="4"/>
  <c r="DV414" i="4"/>
  <c r="CL414" i="4"/>
  <c r="CQ413" i="4"/>
  <c r="BN410" i="4"/>
  <c r="BS409" i="4"/>
  <c r="BI412" i="4"/>
  <c r="BK413" i="4"/>
  <c r="BF414" i="4"/>
  <c r="AP414" i="4"/>
  <c r="AU413" i="4"/>
  <c r="BT414" i="4"/>
  <c r="BY413" i="4"/>
  <c r="BH414" i="4"/>
  <c r="BM413" i="4"/>
  <c r="DT410" i="4"/>
  <c r="DH410" i="4"/>
  <c r="DM409" i="4"/>
  <c r="CV410" i="4"/>
  <c r="DA409" i="4"/>
  <c r="CC409" i="4"/>
  <c r="CP388" i="4"/>
  <c r="CP382" i="4"/>
  <c r="CV381" i="4"/>
  <c r="CP383" i="4"/>
  <c r="DT413" i="4"/>
  <c r="DO414" i="4"/>
  <c r="DM414" i="4"/>
  <c r="DP413" i="4"/>
  <c r="DH409" i="4"/>
  <c r="DC410" i="4"/>
  <c r="CV409" i="4"/>
  <c r="CQ410" i="4"/>
  <c r="CO410" i="4"/>
  <c r="CR409" i="4"/>
  <c r="CM408" i="4"/>
  <c r="CJ409" i="4"/>
  <c r="CE410" i="4"/>
  <c r="CC410" i="4"/>
  <c r="CF409" i="4"/>
  <c r="CA408" i="4"/>
  <c r="BS410" i="4"/>
  <c r="BE414" i="4"/>
  <c r="BH413" i="4"/>
  <c r="AZ409" i="4"/>
  <c r="AU410" i="4"/>
  <c r="CI388" i="4"/>
  <c r="CI383" i="4"/>
  <c r="CI386" i="4" s="1"/>
  <c r="CI382" i="4"/>
  <c r="CO381" i="4"/>
  <c r="CD396" i="4"/>
  <c r="BX399" i="4"/>
  <c r="BX398" i="4"/>
  <c r="BY397" i="4"/>
  <c r="BX396" i="4"/>
  <c r="DK392" i="4"/>
  <c r="I200" i="484" s="1"/>
  <c r="H199" i="484"/>
  <c r="I201" i="484" s="1"/>
  <c r="CI410" i="4"/>
  <c r="CG408" i="4"/>
  <c r="CL409" i="4"/>
  <c r="BW410" i="4"/>
  <c r="BU408" i="4"/>
  <c r="BZ409" i="4"/>
  <c r="BU374" i="4"/>
  <c r="CW372" i="4"/>
  <c r="DB371" i="4"/>
  <c r="BZ371" i="4"/>
  <c r="BW372" i="4"/>
  <c r="BB371" i="4"/>
  <c r="AY372" i="4"/>
  <c r="BK401" i="4"/>
  <c r="DU414" i="4"/>
  <c r="BM414" i="4"/>
  <c r="BR413" i="4"/>
  <c r="AV372" i="4"/>
  <c r="BA371" i="4"/>
  <c r="DE332" i="4"/>
  <c r="DY413" i="4"/>
  <c r="DC372" i="4"/>
  <c r="BU332" i="4"/>
  <c r="CI371" i="4"/>
  <c r="CD372" i="4"/>
  <c r="CG370" i="4"/>
  <c r="AT372" i="4"/>
  <c r="AY371" i="4"/>
  <c r="AW370" i="4"/>
  <c r="CY332" i="4"/>
  <c r="DN311" i="4"/>
  <c r="DN312" i="4"/>
  <c r="CV371" i="4"/>
  <c r="DT312" i="4"/>
  <c r="DT316" i="4"/>
  <c r="DT315" i="4"/>
  <c r="BE187" i="4"/>
  <c r="BK189" i="4" s="1"/>
  <c r="BE209" i="4"/>
  <c r="BF92" i="4"/>
  <c r="BK91" i="4"/>
  <c r="BE168" i="4"/>
  <c r="BK170" i="4" s="1"/>
  <c r="BU370" i="4"/>
  <c r="CM259" i="4"/>
  <c r="CM257" i="4"/>
  <c r="DQ77" i="4"/>
  <c r="DK90" i="4"/>
  <c r="DK79" i="4" s="1"/>
  <c r="DE59" i="4"/>
  <c r="CF168" i="4"/>
  <c r="CF187" i="4"/>
  <c r="CF79" i="4"/>
  <c r="CF209" i="4"/>
  <c r="CF84" i="4"/>
  <c r="CF63" i="4"/>
  <c r="CI92" i="4"/>
  <c r="CL91" i="4"/>
  <c r="CF75" i="4"/>
  <c r="CA175" i="4"/>
  <c r="BL187" i="4"/>
  <c r="BL84" i="4"/>
  <c r="BL209" i="4"/>
  <c r="BM92" i="4"/>
  <c r="BL168" i="4"/>
  <c r="BL79" i="4"/>
  <c r="BL75" i="4"/>
  <c r="BO90" i="4"/>
  <c r="BL63" i="4"/>
  <c r="BL59" i="4"/>
  <c r="DE91" i="4"/>
  <c r="CY263" i="4"/>
  <c r="CY63" i="4"/>
  <c r="DQ57" i="4"/>
  <c r="CG36" i="4"/>
  <c r="CG51" i="4" s="1"/>
  <c r="CG52" i="4" s="1"/>
  <c r="CG33" i="4"/>
  <c r="CY36" i="4"/>
  <c r="CY51" i="4" s="1"/>
  <c r="CY52" i="4" s="1"/>
  <c r="CY33" i="4"/>
  <c r="CU267" i="4"/>
  <c r="DA91" i="4"/>
  <c r="CU259" i="4"/>
  <c r="CV92" i="4"/>
  <c r="CU79" i="4"/>
  <c r="CU263" i="4"/>
  <c r="CU169" i="4"/>
  <c r="CU63" i="4"/>
  <c r="CU84" i="4"/>
  <c r="CU75" i="4"/>
  <c r="CU59" i="4"/>
  <c r="BX87" i="4"/>
  <c r="BS88" i="4"/>
  <c r="CA33" i="4"/>
  <c r="BZ410" i="4"/>
  <c r="CE409" i="4"/>
  <c r="BR410" i="4"/>
  <c r="BW409" i="4"/>
  <c r="BN414" i="4"/>
  <c r="BS413" i="4"/>
  <c r="AT410" i="4"/>
  <c r="AY409" i="4"/>
  <c r="AZ414" i="4"/>
  <c r="BE413" i="4"/>
  <c r="BC412" i="4"/>
  <c r="CO400" i="4"/>
  <c r="CI402" i="4"/>
  <c r="CJ401" i="4"/>
  <c r="CI400" i="4"/>
  <c r="CC402" i="4"/>
  <c r="CF401" i="4"/>
  <c r="AN414" i="4"/>
  <c r="AS413" i="4"/>
  <c r="AQ412" i="4"/>
  <c r="CI401" i="4"/>
  <c r="BY409" i="4"/>
  <c r="BT410" i="4"/>
  <c r="BM409" i="4"/>
  <c r="AS409" i="4"/>
  <c r="DT409" i="4"/>
  <c r="DO410" i="4"/>
  <c r="DA410" i="4"/>
  <c r="DD409" i="4"/>
  <c r="CY408" i="4"/>
  <c r="BL413" i="4"/>
  <c r="BG414" i="4"/>
  <c r="BE410" i="4"/>
  <c r="BH409" i="4"/>
  <c r="BC408" i="4"/>
  <c r="AS414" i="4"/>
  <c r="AV413" i="4"/>
  <c r="BW388" i="4"/>
  <c r="BZ381" i="4"/>
  <c r="CA381" i="4" s="1"/>
  <c r="BW382" i="4"/>
  <c r="BO378" i="4"/>
  <c r="DS414" i="4"/>
  <c r="DV413" i="4"/>
  <c r="DG410" i="4"/>
  <c r="DE408" i="4"/>
  <c r="DJ409" i="4"/>
  <c r="CU414" i="4"/>
  <c r="CX413" i="4"/>
  <c r="BW414" i="4"/>
  <c r="BZ413" i="4"/>
  <c r="BK410" i="4"/>
  <c r="BI408" i="4"/>
  <c r="BN409" i="4"/>
  <c r="AY410" i="4"/>
  <c r="AW408" i="4"/>
  <c r="BC409" i="4" s="1"/>
  <c r="BB409" i="4"/>
  <c r="CU372" i="4"/>
  <c r="CX371" i="4"/>
  <c r="BR371" i="4"/>
  <c r="BM372" i="4"/>
  <c r="AT371" i="4"/>
  <c r="AO372" i="4"/>
  <c r="BO332" i="4"/>
  <c r="DI414" i="4"/>
  <c r="DN413" i="4"/>
  <c r="CR414" i="4"/>
  <c r="CK410" i="4"/>
  <c r="CP409" i="4"/>
  <c r="BX408" i="4"/>
  <c r="BH410" i="4"/>
  <c r="BF413" i="4"/>
  <c r="BA414" i="4"/>
  <c r="BX376" i="4"/>
  <c r="BX375" i="4"/>
  <c r="AQ370" i="4"/>
  <c r="AS371" i="4"/>
  <c r="AN372" i="4"/>
  <c r="DQ332" i="4"/>
  <c r="DI377" i="4"/>
  <c r="DO327" i="4"/>
  <c r="DJ329" i="4"/>
  <c r="DI370" i="4"/>
  <c r="DW412" i="4"/>
  <c r="CG392" i="4"/>
  <c r="BG372" i="4"/>
  <c r="BL371" i="4"/>
  <c r="BI332" i="4"/>
  <c r="AO414" i="4"/>
  <c r="AT413" i="4"/>
  <c r="DB372" i="4"/>
  <c r="DA371" i="4"/>
  <c r="DE370" i="4"/>
  <c r="BZ372" i="4"/>
  <c r="CE371" i="4"/>
  <c r="AP372" i="4"/>
  <c r="AU371" i="4"/>
  <c r="DN402" i="4"/>
  <c r="CL402" i="4"/>
  <c r="CM332" i="4"/>
  <c r="DG377" i="4"/>
  <c r="DH329" i="4"/>
  <c r="DG370" i="4"/>
  <c r="DG371" i="4" s="1"/>
  <c r="DK327" i="4"/>
  <c r="DM327" i="4"/>
  <c r="DM276" i="1" s="1"/>
  <c r="CO372" i="4"/>
  <c r="BI96" i="4"/>
  <c r="BY371" i="4"/>
  <c r="AV371" i="4"/>
  <c r="DV281" i="4"/>
  <c r="DU314" i="4"/>
  <c r="CA235" i="4"/>
  <c r="BA235" i="4"/>
  <c r="BA233" i="4"/>
  <c r="BB230" i="4"/>
  <c r="BO96" i="4"/>
  <c r="AZ372" i="4"/>
  <c r="CJ371" i="4"/>
  <c r="BW371" i="4"/>
  <c r="AN371" i="4"/>
  <c r="AV239" i="4"/>
  <c r="AV236" i="4"/>
  <c r="AV237" i="4" s="1"/>
  <c r="BU243" i="4"/>
  <c r="BT241" i="4"/>
  <c r="BW241" i="4"/>
  <c r="BQ241" i="4"/>
  <c r="AV142" i="4"/>
  <c r="BB91" i="4"/>
  <c r="DK77" i="4"/>
  <c r="CM91" i="4"/>
  <c r="CG84" i="4"/>
  <c r="CG75" i="4"/>
  <c r="CM57" i="4"/>
  <c r="CG59" i="4"/>
  <c r="CA57" i="4"/>
  <c r="BX58" i="4"/>
  <c r="BU57" i="4"/>
  <c r="AN29" i="4"/>
  <c r="AN30" i="4" s="1"/>
  <c r="AN258" i="1" s="1"/>
  <c r="DQ263" i="4"/>
  <c r="BA88" i="4"/>
  <c r="BF87" i="4"/>
  <c r="AZ88" i="4"/>
  <c r="AH92" i="4"/>
  <c r="BT209" i="4"/>
  <c r="BT168" i="4"/>
  <c r="BT79" i="4"/>
  <c r="BT84" i="4"/>
  <c r="BT187" i="4"/>
  <c r="BT189" i="4" s="1"/>
  <c r="BT75" i="4"/>
  <c r="BT63" i="4"/>
  <c r="AY239" i="4"/>
  <c r="CY169" i="4"/>
  <c r="CE209" i="4"/>
  <c r="CF92" i="4"/>
  <c r="CK91" i="4"/>
  <c r="CE84" i="4"/>
  <c r="CE168" i="4"/>
  <c r="CE187" i="4"/>
  <c r="CE63" i="4"/>
  <c r="CE59" i="4"/>
  <c r="CE79" i="4"/>
  <c r="CE75" i="4"/>
  <c r="CM59" i="4"/>
  <c r="CS57" i="4"/>
  <c r="CD58" i="4"/>
  <c r="CG57" i="4"/>
  <c r="EI36" i="4"/>
  <c r="EI51" i="4" s="1"/>
  <c r="EI52" i="4" s="1"/>
  <c r="EI53" i="4" s="1"/>
  <c r="EI33" i="4"/>
  <c r="CM36" i="4"/>
  <c r="CM51" i="4" s="1"/>
  <c r="CM33" i="4"/>
  <c r="EB29" i="4"/>
  <c r="EB30" i="4" s="1"/>
  <c r="BQ107" i="4"/>
  <c r="BE92" i="4"/>
  <c r="BT91" i="4"/>
  <c r="DK91" i="4"/>
  <c r="DE75" i="4"/>
  <c r="BR90" i="4"/>
  <c r="BR91" i="4" s="1"/>
  <c r="DO29" i="4"/>
  <c r="DO30" i="4" s="1"/>
  <c r="CQ29" i="4"/>
  <c r="BS29" i="4"/>
  <c r="AU29" i="4"/>
  <c r="AU30" i="4" s="1"/>
  <c r="AU258" i="1" s="1"/>
  <c r="W29" i="4"/>
  <c r="W30" i="4" s="1"/>
  <c r="CI29" i="4"/>
  <c r="CY75" i="4"/>
  <c r="DQ75" i="4"/>
  <c r="BS170" i="4"/>
  <c r="EE52" i="4"/>
  <c r="EE53" i="4" s="1"/>
  <c r="DE33" i="4"/>
  <c r="BQ52" i="4"/>
  <c r="G293" i="484"/>
  <c r="G277" i="484"/>
  <c r="I78" i="484"/>
  <c r="N313" i="484"/>
  <c r="N311" i="484"/>
  <c r="O312" i="484"/>
  <c r="L132" i="484"/>
  <c r="M121" i="484"/>
  <c r="O89" i="484"/>
  <c r="I50" i="484"/>
  <c r="I12" i="484" s="1"/>
  <c r="I48" i="484"/>
  <c r="I52" i="484"/>
  <c r="I13" i="484" s="1"/>
  <c r="N281" i="484"/>
  <c r="N328" i="484"/>
  <c r="N326" i="484"/>
  <c r="M107" i="484"/>
  <c r="P56" i="484"/>
  <c r="Q46" i="484"/>
  <c r="R46" i="484" s="1"/>
  <c r="R56" i="484" s="1"/>
  <c r="H222" i="484"/>
  <c r="O266" i="484"/>
  <c r="L111" i="484"/>
  <c r="M109" i="484"/>
  <c r="M103" i="484"/>
  <c r="N103" i="484" s="1"/>
  <c r="O103" i="484" s="1"/>
  <c r="P103" i="484" s="1"/>
  <c r="Q103" i="484" s="1"/>
  <c r="R103" i="484" s="1"/>
  <c r="I172" i="484"/>
  <c r="I204" i="484" s="1"/>
  <c r="I37" i="484"/>
  <c r="H229" i="484"/>
  <c r="H18" i="484"/>
  <c r="I81" i="484" s="1"/>
  <c r="G254" i="484"/>
  <c r="G257" i="484" s="1"/>
  <c r="N192" i="484"/>
  <c r="N237" i="484" s="1"/>
  <c r="H44" i="484"/>
  <c r="H9" i="484" s="1"/>
  <c r="H42" i="484"/>
  <c r="H8" i="484" s="1"/>
  <c r="H40" i="484"/>
  <c r="H7" i="484" s="1"/>
  <c r="L115" i="484"/>
  <c r="L101" i="484"/>
  <c r="I69" i="484"/>
  <c r="I82" i="484" s="1"/>
  <c r="I223" i="484" s="1"/>
  <c r="I222" i="484" s="1"/>
  <c r="J346" i="484"/>
  <c r="J55" i="484"/>
  <c r="J32" i="484" s="1"/>
  <c r="J47" i="484"/>
  <c r="J35" i="484"/>
  <c r="K30" i="484"/>
  <c r="J57" i="484"/>
  <c r="H208" i="484"/>
  <c r="H73" i="484"/>
  <c r="H187" i="484"/>
  <c r="H190" i="484" s="1"/>
  <c r="H149" i="484"/>
  <c r="BU225" i="2"/>
  <c r="CY190" i="1"/>
  <c r="EQ289" i="1" l="1"/>
  <c r="EQ56" i="2"/>
  <c r="ER138" i="2"/>
  <c r="ER283" i="1"/>
  <c r="ER56" i="3"/>
  <c r="ET150" i="2"/>
  <c r="ES148" i="2"/>
  <c r="ET156" i="1"/>
  <c r="ET153" i="1" s="1"/>
  <c r="ET165" i="1" s="1"/>
  <c r="ES153" i="1"/>
  <c r="ES165" i="1" s="1"/>
  <c r="EU153" i="1"/>
  <c r="ER129" i="3"/>
  <c r="BG29" i="4"/>
  <c r="DV29" i="4"/>
  <c r="DV30" i="4" s="1"/>
  <c r="DS29" i="4"/>
  <c r="DS30" i="4" s="1"/>
  <c r="CE29" i="4"/>
  <c r="EQ29" i="4"/>
  <c r="EQ30" i="4" s="1"/>
  <c r="DJ29" i="4"/>
  <c r="EN29" i="4"/>
  <c r="EN30" i="4" s="1"/>
  <c r="CD148" i="3"/>
  <c r="CD147" i="3"/>
  <c r="DC105" i="3"/>
  <c r="DC113" i="3" s="1"/>
  <c r="ES56" i="3"/>
  <c r="CW105" i="3"/>
  <c r="CW113" i="3" s="1"/>
  <c r="CD139" i="3"/>
  <c r="CE105" i="3"/>
  <c r="CE113" i="3" s="1"/>
  <c r="CL37" i="3"/>
  <c r="CL112" i="3" s="1"/>
  <c r="DI105" i="3"/>
  <c r="DI113" i="3" s="1"/>
  <c r="BZ108" i="3"/>
  <c r="CA108" i="3" s="1"/>
  <c r="BZ37" i="3"/>
  <c r="CA33" i="3"/>
  <c r="CV139" i="3"/>
  <c r="CV145" i="3"/>
  <c r="DB146" i="3" s="1"/>
  <c r="CM34" i="3"/>
  <c r="CL109" i="3"/>
  <c r="CM109" i="3" s="1"/>
  <c r="CK105" i="3"/>
  <c r="CK113" i="3" s="1"/>
  <c r="DG146" i="3"/>
  <c r="DG148" i="3"/>
  <c r="DG147" i="3"/>
  <c r="CQ105" i="3"/>
  <c r="CQ113" i="3" s="1"/>
  <c r="CY33" i="3"/>
  <c r="CX108" i="3"/>
  <c r="CY108" i="3" s="1"/>
  <c r="CX37" i="3"/>
  <c r="CF110" i="3"/>
  <c r="CG35" i="3"/>
  <c r="CF37" i="3"/>
  <c r="BY105" i="3"/>
  <c r="BY113" i="3" s="1"/>
  <c r="DJ37" i="3"/>
  <c r="DJ108" i="3"/>
  <c r="DK108" i="3" s="1"/>
  <c r="DK33" i="3"/>
  <c r="CF111" i="3"/>
  <c r="CG111" i="3" s="1"/>
  <c r="CG36" i="3"/>
  <c r="DK35" i="3"/>
  <c r="DJ110" i="3"/>
  <c r="DK110" i="3" s="1"/>
  <c r="CO147" i="3"/>
  <c r="CO146" i="3"/>
  <c r="CO148" i="3"/>
  <c r="CX111" i="3"/>
  <c r="CY111" i="3" s="1"/>
  <c r="CY36" i="3"/>
  <c r="CA36" i="3"/>
  <c r="BZ111" i="3"/>
  <c r="CA111" i="3" s="1"/>
  <c r="DD110" i="3"/>
  <c r="DE110" i="3" s="1"/>
  <c r="DE35" i="3"/>
  <c r="DD37" i="3"/>
  <c r="DK34" i="3"/>
  <c r="DJ109" i="3"/>
  <c r="DK109" i="3" s="1"/>
  <c r="CX109" i="3"/>
  <c r="CY109" i="3" s="1"/>
  <c r="CY34" i="3"/>
  <c r="CL111" i="3"/>
  <c r="CM111" i="3" s="1"/>
  <c r="CM36" i="3"/>
  <c r="BZ109" i="3"/>
  <c r="CA109" i="3" s="1"/>
  <c r="CA34" i="3"/>
  <c r="CL108" i="3"/>
  <c r="CM108" i="3" s="1"/>
  <c r="CM33" i="3"/>
  <c r="CX110" i="3"/>
  <c r="CY110" i="3" s="1"/>
  <c r="CY35" i="3"/>
  <c r="BZ110" i="3"/>
  <c r="CA110" i="3" s="1"/>
  <c r="CA35" i="3"/>
  <c r="CR37" i="3"/>
  <c r="CR111" i="3"/>
  <c r="CS111" i="3" s="1"/>
  <c r="CS36" i="3"/>
  <c r="CL110" i="3"/>
  <c r="CM110" i="3" s="1"/>
  <c r="CM35" i="3"/>
  <c r="DC145" i="3"/>
  <c r="DC139" i="3"/>
  <c r="BZ29" i="4"/>
  <c r="EI138" i="1"/>
  <c r="EO12" i="4"/>
  <c r="EU9" i="4"/>
  <c r="EL27" i="4"/>
  <c r="EL29" i="4" s="1"/>
  <c r="EL30" i="4" s="1"/>
  <c r="ER29" i="4"/>
  <c r="ER30" i="4" s="1"/>
  <c r="EO51" i="4"/>
  <c r="EO52" i="4" s="1"/>
  <c r="EO53" i="4" s="1"/>
  <c r="EU52" i="4"/>
  <c r="EU53" i="4" s="1"/>
  <c r="DW428" i="4"/>
  <c r="CO95" i="2"/>
  <c r="CO99" i="2" s="1"/>
  <c r="CO100" i="2" s="1"/>
  <c r="CX264" i="1"/>
  <c r="CX266" i="1" s="1"/>
  <c r="CD264" i="1"/>
  <c r="CD266" i="1" s="1"/>
  <c r="BU428" i="4"/>
  <c r="DT264" i="1"/>
  <c r="DT266" i="1" s="1"/>
  <c r="DD264" i="1"/>
  <c r="DD266" i="1" s="1"/>
  <c r="CW264" i="1"/>
  <c r="CW266" i="1" s="1"/>
  <c r="CV264" i="1"/>
  <c r="CV266" i="1" s="1"/>
  <c r="BB264" i="1"/>
  <c r="BB266" i="1" s="1"/>
  <c r="DE56" i="2"/>
  <c r="DE55" i="1"/>
  <c r="CV108" i="2"/>
  <c r="CU109" i="2"/>
  <c r="BC81" i="1"/>
  <c r="DH53" i="4"/>
  <c r="DE428" i="4"/>
  <c r="DK428" i="4"/>
  <c r="BY51" i="1"/>
  <c r="BO428" i="4"/>
  <c r="BN82" i="1"/>
  <c r="CW51" i="1"/>
  <c r="CY428" i="4"/>
  <c r="DJ413" i="4"/>
  <c r="DD413" i="4"/>
  <c r="BQ96" i="2"/>
  <c r="BQ95" i="2" s="1"/>
  <c r="BQ99" i="2" s="1"/>
  <c r="BQ100" i="2" s="1"/>
  <c r="DG414" i="4"/>
  <c r="CJ90" i="2"/>
  <c r="CJ91" i="2"/>
  <c r="CJ92" i="2"/>
  <c r="BN90" i="2"/>
  <c r="BO90" i="2" s="1"/>
  <c r="BN91" i="2"/>
  <c r="BO91" i="2" s="1"/>
  <c r="BN92" i="2"/>
  <c r="BO92" i="2" s="1"/>
  <c r="DS264" i="1"/>
  <c r="DS266" i="1" s="1"/>
  <c r="DS92" i="2"/>
  <c r="DS90" i="2"/>
  <c r="DS91" i="2"/>
  <c r="AY264" i="1"/>
  <c r="AY266" i="1" s="1"/>
  <c r="AY90" i="2"/>
  <c r="AY91" i="2"/>
  <c r="AY92" i="2"/>
  <c r="BF264" i="1"/>
  <c r="BF266" i="1" s="1"/>
  <c r="BF92" i="2"/>
  <c r="BF90" i="2"/>
  <c r="BF91" i="2"/>
  <c r="AZ91" i="2"/>
  <c r="AZ92" i="2"/>
  <c r="AZ90" i="2"/>
  <c r="BM92" i="2"/>
  <c r="BM91" i="2"/>
  <c r="BM90" i="2"/>
  <c r="DY91" i="2"/>
  <c r="EE91" i="2" s="1"/>
  <c r="EK91" i="2" s="1"/>
  <c r="EQ91" i="2" s="1"/>
  <c r="DY92" i="2"/>
  <c r="EE92" i="2" s="1"/>
  <c r="EK92" i="2" s="1"/>
  <c r="EQ92" i="2" s="1"/>
  <c r="DY90" i="2"/>
  <c r="EE90" i="2" s="1"/>
  <c r="EK90" i="2" s="1"/>
  <c r="EQ90" i="2" s="1"/>
  <c r="BS90" i="2"/>
  <c r="BS91" i="2"/>
  <c r="BS92" i="2"/>
  <c r="CG58" i="2"/>
  <c r="CS58" i="2"/>
  <c r="BT92" i="2"/>
  <c r="BU92" i="2" s="1"/>
  <c r="BT91" i="2"/>
  <c r="BU91" i="2" s="1"/>
  <c r="BT90" i="2"/>
  <c r="BU90" i="2" s="1"/>
  <c r="DJ90" i="2"/>
  <c r="DK90" i="2" s="1"/>
  <c r="DJ91" i="2"/>
  <c r="DK91" i="2" s="1"/>
  <c r="DJ92" i="2"/>
  <c r="DK92" i="2" s="1"/>
  <c r="CC91" i="2"/>
  <c r="CC92" i="2"/>
  <c r="CC90" i="2"/>
  <c r="BU58" i="2"/>
  <c r="BC428" i="4"/>
  <c r="BI58" i="2"/>
  <c r="BQ91" i="2"/>
  <c r="BQ90" i="2"/>
  <c r="BQ92" i="2"/>
  <c r="CL90" i="2"/>
  <c r="CM90" i="2" s="1"/>
  <c r="CL91" i="2"/>
  <c r="CM91" i="2" s="1"/>
  <c r="CL92" i="2"/>
  <c r="CM92" i="2" s="1"/>
  <c r="CO90" i="2"/>
  <c r="CO91" i="2"/>
  <c r="CO92" i="2"/>
  <c r="CV91" i="2"/>
  <c r="CV92" i="2"/>
  <c r="CV90" i="2"/>
  <c r="DI92" i="2"/>
  <c r="DI91" i="2"/>
  <c r="DI90" i="2"/>
  <c r="BE91" i="2"/>
  <c r="BE92" i="2"/>
  <c r="BE90" i="2"/>
  <c r="BL90" i="2"/>
  <c r="BL91" i="2"/>
  <c r="BL92" i="2"/>
  <c r="CF90" i="2"/>
  <c r="CG90" i="2" s="1"/>
  <c r="CF91" i="2"/>
  <c r="CG91" i="2" s="1"/>
  <c r="CF92" i="2"/>
  <c r="CG92" i="2" s="1"/>
  <c r="BA264" i="1"/>
  <c r="BA266" i="1" s="1"/>
  <c r="BA92" i="2"/>
  <c r="BA91" i="2"/>
  <c r="BA90" i="2"/>
  <c r="BX91" i="2"/>
  <c r="BX90" i="2"/>
  <c r="BX92" i="2"/>
  <c r="DT92" i="2"/>
  <c r="DT91" i="2"/>
  <c r="DT90" i="2"/>
  <c r="CQ92" i="2"/>
  <c r="CQ91" i="2"/>
  <c r="CQ90" i="2"/>
  <c r="DK58" i="2"/>
  <c r="CY58" i="2"/>
  <c r="BG92" i="2"/>
  <c r="BG91" i="2"/>
  <c r="BG90" i="2"/>
  <c r="CK92" i="2"/>
  <c r="CK91" i="2"/>
  <c r="CK90" i="2"/>
  <c r="DO92" i="2"/>
  <c r="DO90" i="2"/>
  <c r="DO91" i="2"/>
  <c r="BY92" i="2"/>
  <c r="BY90" i="2"/>
  <c r="BY91" i="2"/>
  <c r="DU90" i="2"/>
  <c r="DU91" i="2"/>
  <c r="DU92" i="2"/>
  <c r="CU90" i="2"/>
  <c r="CU91" i="2"/>
  <c r="CU92" i="2"/>
  <c r="DH90" i="2"/>
  <c r="DN90" i="2" s="1"/>
  <c r="DH91" i="2"/>
  <c r="DN91" i="2" s="1"/>
  <c r="DN12" i="2" s="1"/>
  <c r="DH92" i="2"/>
  <c r="DN92" i="2" s="1"/>
  <c r="DV90" i="2"/>
  <c r="DW90" i="2" s="1"/>
  <c r="DV91" i="2"/>
  <c r="DV92" i="2"/>
  <c r="DW92" i="2" s="1"/>
  <c r="BB92" i="2"/>
  <c r="BC92" i="2" s="1"/>
  <c r="BB90" i="2"/>
  <c r="BC90" i="2" s="1"/>
  <c r="BB91" i="2"/>
  <c r="BC91" i="2" s="1"/>
  <c r="BK92" i="2"/>
  <c r="BK90" i="2"/>
  <c r="BK91" i="2"/>
  <c r="BW91" i="2"/>
  <c r="BW90" i="2"/>
  <c r="BW92" i="2"/>
  <c r="CR91" i="2"/>
  <c r="CS91" i="2" s="1"/>
  <c r="CR92" i="2"/>
  <c r="CS92" i="2" s="1"/>
  <c r="CR90" i="2"/>
  <c r="CS90" i="2" s="1"/>
  <c r="CM58" i="2"/>
  <c r="DC92" i="2"/>
  <c r="DC91" i="2"/>
  <c r="DC90" i="2"/>
  <c r="CM428" i="4"/>
  <c r="CE92" i="2"/>
  <c r="CE91" i="2"/>
  <c r="CE90" i="2"/>
  <c r="CX92" i="2"/>
  <c r="CY92" i="2" s="1"/>
  <c r="CX90" i="2"/>
  <c r="CY90" i="2" s="1"/>
  <c r="CX91" i="2"/>
  <c r="CY91" i="2" s="1"/>
  <c r="BH90" i="2"/>
  <c r="BI90" i="2" s="1"/>
  <c r="BH91" i="2"/>
  <c r="BI91" i="2" s="1"/>
  <c r="BH92" i="2"/>
  <c r="BI92" i="2" s="1"/>
  <c r="DA91" i="2"/>
  <c r="DA92" i="2"/>
  <c r="DA90" i="2"/>
  <c r="CP90" i="2"/>
  <c r="CP91" i="2"/>
  <c r="CP92" i="2"/>
  <c r="CI92" i="2"/>
  <c r="CI90" i="2"/>
  <c r="CI91" i="2"/>
  <c r="DZ33" i="1"/>
  <c r="DZ87" i="2"/>
  <c r="EL87" i="2" s="1"/>
  <c r="ER87" i="2" s="1"/>
  <c r="DZ57" i="2"/>
  <c r="DZ56" i="2"/>
  <c r="EL56" i="2" s="1"/>
  <c r="DZ359" i="4"/>
  <c r="DZ59" i="1"/>
  <c r="DZ67" i="1"/>
  <c r="DZ50" i="1"/>
  <c r="DZ51" i="1" s="1"/>
  <c r="DZ63" i="1"/>
  <c r="EL63" i="1" s="1"/>
  <c r="ER63" i="1" s="1"/>
  <c r="DZ55" i="1"/>
  <c r="EL55" i="1" s="1"/>
  <c r="ER55" i="1" s="1"/>
  <c r="DZ412" i="4"/>
  <c r="DD90" i="2"/>
  <c r="DE90" i="2" s="1"/>
  <c r="DD91" i="2"/>
  <c r="DE91" i="2" s="1"/>
  <c r="DD92" i="2"/>
  <c r="DE92" i="2" s="1"/>
  <c r="DP90" i="2"/>
  <c r="DQ90" i="2" s="1"/>
  <c r="DP91" i="2"/>
  <c r="DQ91" i="2" s="1"/>
  <c r="DP92" i="2"/>
  <c r="DQ92" i="2" s="1"/>
  <c r="CW92" i="2"/>
  <c r="CW91" i="2"/>
  <c r="CW90" i="2"/>
  <c r="DM92" i="2"/>
  <c r="DM90" i="2"/>
  <c r="DM91" i="2"/>
  <c r="DB92" i="2"/>
  <c r="DB90" i="2"/>
  <c r="DB91" i="2"/>
  <c r="DG92" i="2"/>
  <c r="DG90" i="2"/>
  <c r="DG91" i="2"/>
  <c r="BO58" i="2"/>
  <c r="CD92" i="2"/>
  <c r="CD90" i="2"/>
  <c r="CD91" i="2"/>
  <c r="BI428" i="4"/>
  <c r="EF89" i="3"/>
  <c r="EF137" i="2" s="1"/>
  <c r="EG14" i="3"/>
  <c r="I77" i="484"/>
  <c r="DQ428" i="4"/>
  <c r="CK292" i="1"/>
  <c r="K133" i="484"/>
  <c r="L123" i="484"/>
  <c r="BO260" i="2"/>
  <c r="H72" i="484"/>
  <c r="H84" i="484" s="1"/>
  <c r="EM29" i="4"/>
  <c r="EM30" i="4" s="1"/>
  <c r="EI361" i="4"/>
  <c r="DI29" i="4"/>
  <c r="BN220" i="4"/>
  <c r="BM305" i="1"/>
  <c r="BK305" i="1"/>
  <c r="BK29" i="4"/>
  <c r="BK183" i="4"/>
  <c r="BM220" i="4"/>
  <c r="BN183" i="4"/>
  <c r="BN305" i="1"/>
  <c r="BM183" i="4"/>
  <c r="AZ92" i="4"/>
  <c r="AY187" i="4"/>
  <c r="AY189" i="4" s="1"/>
  <c r="AY91" i="4"/>
  <c r="DC29" i="4"/>
  <c r="BQ29" i="4"/>
  <c r="DK9" i="4"/>
  <c r="BX92" i="4"/>
  <c r="BE91" i="4"/>
  <c r="BW63" i="4"/>
  <c r="BW92" i="4"/>
  <c r="BW168" i="4"/>
  <c r="EH37" i="3"/>
  <c r="EI29" i="2"/>
  <c r="EK29" i="2"/>
  <c r="EH33" i="3"/>
  <c r="EI13" i="2"/>
  <c r="EK13" i="2"/>
  <c r="S185" i="2"/>
  <c r="EA89" i="3"/>
  <c r="EA137" i="2" s="1"/>
  <c r="CD29" i="4"/>
  <c r="CY29" i="4"/>
  <c r="EG29" i="4"/>
  <c r="EG30" i="4" s="1"/>
  <c r="DZ436" i="4"/>
  <c r="BW75" i="4"/>
  <c r="BW79" i="4"/>
  <c r="CA50" i="1"/>
  <c r="CA85" i="1" s="1"/>
  <c r="DJ85" i="1"/>
  <c r="DM265" i="1" s="1"/>
  <c r="CQ51" i="1"/>
  <c r="AY92" i="4"/>
  <c r="BW59" i="4"/>
  <c r="BW84" i="4"/>
  <c r="BW210" i="4"/>
  <c r="BM29" i="4"/>
  <c r="AY168" i="4"/>
  <c r="BO9" i="4"/>
  <c r="DQ50" i="1"/>
  <c r="DQ85" i="1" s="1"/>
  <c r="CA29" i="4"/>
  <c r="CA30" i="4" s="1"/>
  <c r="BL29" i="4"/>
  <c r="BU9" i="4"/>
  <c r="BO29" i="4"/>
  <c r="BO30" i="4" s="1"/>
  <c r="BO258" i="1" s="1"/>
  <c r="DC264" i="1"/>
  <c r="DC266" i="1" s="1"/>
  <c r="CR85" i="1"/>
  <c r="DQ29" i="4"/>
  <c r="DQ30" i="4" s="1"/>
  <c r="CY50" i="1"/>
  <c r="CY51" i="1" s="1"/>
  <c r="BE264" i="1"/>
  <c r="BE266" i="1" s="1"/>
  <c r="BW29" i="4"/>
  <c r="AQ9" i="4"/>
  <c r="CM425" i="4"/>
  <c r="AW9" i="4"/>
  <c r="CA9" i="4"/>
  <c r="CM57" i="2"/>
  <c r="DU415" i="4"/>
  <c r="CG57" i="2"/>
  <c r="DC415" i="4"/>
  <c r="DK57" i="2"/>
  <c r="CS57" i="2"/>
  <c r="CU415" i="4"/>
  <c r="DQ57" i="2"/>
  <c r="AW142" i="4"/>
  <c r="AU91" i="4"/>
  <c r="CL381" i="4"/>
  <c r="CM381" i="4" s="1"/>
  <c r="CM388" i="4" s="1"/>
  <c r="AY29" i="4"/>
  <c r="AY30" i="4" s="1"/>
  <c r="AY258" i="1" s="1"/>
  <c r="BI87" i="4"/>
  <c r="AW371" i="4"/>
  <c r="CA378" i="4"/>
  <c r="AO142" i="4"/>
  <c r="CF388" i="4"/>
  <c r="BA92" i="4"/>
  <c r="AO92" i="4"/>
  <c r="AP92" i="4"/>
  <c r="CF384" i="4"/>
  <c r="CI384" i="4"/>
  <c r="CP292" i="1"/>
  <c r="AP29" i="4"/>
  <c r="AP30" i="4" s="1"/>
  <c r="AP258" i="1" s="1"/>
  <c r="AO168" i="4"/>
  <c r="AO305" i="1" s="1"/>
  <c r="CF382" i="4"/>
  <c r="AQ90" i="4"/>
  <c r="AW91" i="4" s="1"/>
  <c r="CS409" i="4"/>
  <c r="BI90" i="4"/>
  <c r="BO91" i="4" s="1"/>
  <c r="DH29" i="4"/>
  <c r="BU371" i="4"/>
  <c r="BO409" i="4"/>
  <c r="CK29" i="4"/>
  <c r="CA52" i="4"/>
  <c r="CA53" i="4" s="1"/>
  <c r="AV209" i="4"/>
  <c r="DT29" i="4"/>
  <c r="DT30" i="4" s="1"/>
  <c r="BR241" i="4"/>
  <c r="DK409" i="4"/>
  <c r="AW12" i="4"/>
  <c r="AW27" i="4" s="1"/>
  <c r="AW29" i="4" s="1"/>
  <c r="AW30" i="4" s="1"/>
  <c r="AW258" i="1" s="1"/>
  <c r="BG91" i="4"/>
  <c r="BZ187" i="4"/>
  <c r="CF189" i="4" s="1"/>
  <c r="BG92" i="4"/>
  <c r="DZ426" i="4"/>
  <c r="DZ420" i="4"/>
  <c r="DZ425" i="4"/>
  <c r="DK59" i="4"/>
  <c r="DZ106" i="3"/>
  <c r="BC371" i="4"/>
  <c r="CM371" i="4"/>
  <c r="BG168" i="4"/>
  <c r="BI168" i="4" s="1"/>
  <c r="BI305" i="1" s="1"/>
  <c r="BG187" i="4"/>
  <c r="BM189" i="4" s="1"/>
  <c r="BG209" i="4"/>
  <c r="BG211" i="4" s="1"/>
  <c r="BM91" i="4"/>
  <c r="AZ91" i="4"/>
  <c r="BZ63" i="4"/>
  <c r="AZ168" i="4"/>
  <c r="AN168" i="4"/>
  <c r="AN305" i="1" s="1"/>
  <c r="BZ209" i="4"/>
  <c r="AZ209" i="4"/>
  <c r="AT209" i="4" s="1"/>
  <c r="AN142" i="4"/>
  <c r="CF29" i="4"/>
  <c r="BZ91" i="4"/>
  <c r="AN92" i="4"/>
  <c r="BC90" i="4"/>
  <c r="BC168" i="4" s="1"/>
  <c r="BC305" i="1" s="1"/>
  <c r="BZ75" i="4"/>
  <c r="BZ168" i="4"/>
  <c r="AN91" i="4"/>
  <c r="BF91" i="4"/>
  <c r="AZ187" i="4"/>
  <c r="AZ189" i="4" s="1"/>
  <c r="BO371" i="4"/>
  <c r="BI371" i="4"/>
  <c r="CC92" i="4"/>
  <c r="BZ79" i="4"/>
  <c r="BZ84" i="4"/>
  <c r="BR292" i="1"/>
  <c r="CF383" i="4"/>
  <c r="CF385" i="4" s="1"/>
  <c r="BZ59" i="4"/>
  <c r="CQ292" i="1"/>
  <c r="Y215" i="2"/>
  <c r="DA415" i="4"/>
  <c r="DG415" i="4"/>
  <c r="DB415" i="4"/>
  <c r="DS415" i="4"/>
  <c r="DT415" i="4"/>
  <c r="DI415" i="4"/>
  <c r="DJ415" i="4"/>
  <c r="DP415" i="4"/>
  <c r="DV415" i="4"/>
  <c r="DH415" i="4"/>
  <c r="DD415" i="4"/>
  <c r="DM415" i="4"/>
  <c r="DN415" i="4"/>
  <c r="CX415" i="4"/>
  <c r="DO415" i="4"/>
  <c r="CW415" i="4"/>
  <c r="CV415" i="4"/>
  <c r="BO134" i="2"/>
  <c r="DK328" i="4"/>
  <c r="DK276" i="1"/>
  <c r="DP276" i="1"/>
  <c r="CE292" i="1"/>
  <c r="DU135" i="2"/>
  <c r="DU203" i="2"/>
  <c r="DM140" i="2"/>
  <c r="DQ133" i="2"/>
  <c r="DM135" i="2"/>
  <c r="DM203" i="2"/>
  <c r="DN135" i="2"/>
  <c r="DN203" i="2"/>
  <c r="DN140" i="2"/>
  <c r="DJ135" i="2"/>
  <c r="DJ203" i="2"/>
  <c r="DJ140" i="2"/>
  <c r="EE203" i="2"/>
  <c r="EE140" i="2"/>
  <c r="EI133" i="2"/>
  <c r="EI140" i="2" s="1"/>
  <c r="EA203" i="2"/>
  <c r="DY135" i="2"/>
  <c r="EE135" i="2" s="1"/>
  <c r="EK135" i="2" s="1"/>
  <c r="EQ135" i="2" s="1"/>
  <c r="EQ132" i="2" s="1"/>
  <c r="EQ131" i="2" s="1"/>
  <c r="DY203" i="2"/>
  <c r="EC133" i="2"/>
  <c r="EC140" i="2" s="1"/>
  <c r="DY140" i="2"/>
  <c r="CX203" i="2"/>
  <c r="CX140" i="2"/>
  <c r="CX135" i="2"/>
  <c r="DN276" i="1"/>
  <c r="CR291" i="1"/>
  <c r="CW135" i="2"/>
  <c r="CY133" i="2"/>
  <c r="CY135" i="2" s="1"/>
  <c r="CW203" i="2"/>
  <c r="CW140" i="2"/>
  <c r="EM203" i="2"/>
  <c r="EM140" i="2"/>
  <c r="EL203" i="2"/>
  <c r="EL140" i="2"/>
  <c r="EH203" i="2"/>
  <c r="EH140" i="2"/>
  <c r="DH203" i="2"/>
  <c r="DH135" i="2"/>
  <c r="DH140" i="2"/>
  <c r="DD203" i="2"/>
  <c r="DD135" i="2"/>
  <c r="DD140" i="2"/>
  <c r="BK206" i="2"/>
  <c r="BK293" i="1"/>
  <c r="CQ203" i="2"/>
  <c r="CS133" i="2"/>
  <c r="CQ135" i="2"/>
  <c r="CQ140" i="2"/>
  <c r="DT135" i="2"/>
  <c r="DT140" i="2"/>
  <c r="DT203" i="2"/>
  <c r="DP135" i="2"/>
  <c r="DP140" i="2"/>
  <c r="DP203" i="2"/>
  <c r="DO203" i="2"/>
  <c r="DO140" i="2"/>
  <c r="DO135" i="2"/>
  <c r="DG203" i="2"/>
  <c r="DG140" i="2"/>
  <c r="DG135" i="2"/>
  <c r="DK133" i="2"/>
  <c r="CM226" i="4"/>
  <c r="CM298" i="1" s="1"/>
  <c r="CG298" i="1"/>
  <c r="CG225" i="4"/>
  <c r="EF203" i="2"/>
  <c r="EF140" i="2"/>
  <c r="EB203" i="2"/>
  <c r="DZ203" i="2"/>
  <c r="DS135" i="2"/>
  <c r="DW133" i="2"/>
  <c r="DS203" i="2"/>
  <c r="DS140" i="2"/>
  <c r="DO276" i="1"/>
  <c r="EN140" i="2"/>
  <c r="EN203" i="2"/>
  <c r="EK140" i="2"/>
  <c r="EO133" i="2"/>
  <c r="EO140" i="2" s="1"/>
  <c r="EK203" i="2"/>
  <c r="EG203" i="2"/>
  <c r="EG140" i="2"/>
  <c r="DI135" i="2"/>
  <c r="DI140" i="2"/>
  <c r="DI203" i="2"/>
  <c r="DA135" i="2"/>
  <c r="DA203" i="2"/>
  <c r="DA140" i="2"/>
  <c r="DE133" i="2"/>
  <c r="CS275" i="2"/>
  <c r="BO214" i="2"/>
  <c r="BL291" i="1"/>
  <c r="DC203" i="2"/>
  <c r="DC135" i="2"/>
  <c r="DC140" i="2"/>
  <c r="DV203" i="2"/>
  <c r="DV140" i="2"/>
  <c r="DV135" i="2"/>
  <c r="CG382" i="4"/>
  <c r="CG409" i="4"/>
  <c r="CY9" i="4"/>
  <c r="DE9" i="4"/>
  <c r="BH29" i="4"/>
  <c r="CG383" i="4"/>
  <c r="CG386" i="4" s="1"/>
  <c r="CD189" i="4"/>
  <c r="BY187" i="4"/>
  <c r="BY189" i="4" s="1"/>
  <c r="CM409" i="4"/>
  <c r="BY210" i="4"/>
  <c r="DN29" i="4"/>
  <c r="DN30" i="4" s="1"/>
  <c r="EI29" i="4"/>
  <c r="EI30" i="4" s="1"/>
  <c r="DE50" i="1"/>
  <c r="DE51" i="1" s="1"/>
  <c r="CV29" i="4"/>
  <c r="BL189" i="4"/>
  <c r="EA210" i="1"/>
  <c r="DJ378" i="4"/>
  <c r="BW96" i="2"/>
  <c r="BW95" i="2" s="1"/>
  <c r="BW99" i="2" s="1"/>
  <c r="BW100" i="2" s="1"/>
  <c r="BY91" i="4"/>
  <c r="CA90" i="4"/>
  <c r="CA59" i="4" s="1"/>
  <c r="BY75" i="4"/>
  <c r="CE91" i="4"/>
  <c r="BY79" i="4"/>
  <c r="BY92" i="4"/>
  <c r="EC9" i="4"/>
  <c r="BC9" i="4"/>
  <c r="EO9" i="4"/>
  <c r="CJ189" i="4"/>
  <c r="BY63" i="4"/>
  <c r="BY84" i="4"/>
  <c r="BZ92" i="4"/>
  <c r="BI29" i="4"/>
  <c r="BI30" i="4" s="1"/>
  <c r="BI258" i="1" s="1"/>
  <c r="BY59" i="4"/>
  <c r="EI9" i="4"/>
  <c r="BI9" i="4"/>
  <c r="CL305" i="1"/>
  <c r="CI305" i="1"/>
  <c r="CD305" i="1"/>
  <c r="CD211" i="4"/>
  <c r="CF305" i="1"/>
  <c r="CJ211" i="4"/>
  <c r="CK305" i="1"/>
  <c r="CJ305" i="1"/>
  <c r="CC305" i="1"/>
  <c r="CE305" i="1"/>
  <c r="CE211" i="4"/>
  <c r="BT305" i="1"/>
  <c r="DW29" i="4"/>
  <c r="DW30" i="4" s="1"/>
  <c r="DW9" i="4"/>
  <c r="DQ9" i="4"/>
  <c r="DB29" i="4"/>
  <c r="CG9" i="4"/>
  <c r="DE57" i="2"/>
  <c r="BF305" i="1"/>
  <c r="BH305" i="1"/>
  <c r="BY305" i="1"/>
  <c r="DG379" i="4"/>
  <c r="BX305" i="1"/>
  <c r="CL95" i="2"/>
  <c r="CL119" i="2"/>
  <c r="CL84" i="2"/>
  <c r="CM84" i="2" s="1"/>
  <c r="CM119" i="2"/>
  <c r="CJ84" i="2"/>
  <c r="CJ119" i="2"/>
  <c r="CJ95" i="2"/>
  <c r="CJ99" i="2" s="1"/>
  <c r="CJ100" i="2" s="1"/>
  <c r="CK96" i="2"/>
  <c r="CK95" i="2" s="1"/>
  <c r="CK99" i="2" s="1"/>
  <c r="CK100" i="2" s="1"/>
  <c r="DK95" i="2"/>
  <c r="DJ99" i="2"/>
  <c r="DW95" i="2"/>
  <c r="DV99" i="2"/>
  <c r="CY95" i="2"/>
  <c r="CX99" i="2"/>
  <c r="CA371" i="4"/>
  <c r="BA305" i="1"/>
  <c r="BH211" i="4"/>
  <c r="BU87" i="4"/>
  <c r="CY371" i="4"/>
  <c r="CS95" i="2"/>
  <c r="CR99" i="2"/>
  <c r="BE305" i="1"/>
  <c r="DW57" i="2"/>
  <c r="BL305" i="1"/>
  <c r="AU209" i="4"/>
  <c r="AU183" i="4" s="1"/>
  <c r="CY57" i="2"/>
  <c r="DY84" i="2"/>
  <c r="EE84" i="2" s="1"/>
  <c r="DY95" i="2"/>
  <c r="DY99" i="2" s="1"/>
  <c r="DY100" i="2" s="1"/>
  <c r="DY119" i="2"/>
  <c r="EE119" i="2" s="1"/>
  <c r="EK119" i="2" s="1"/>
  <c r="EQ119" i="2" s="1"/>
  <c r="DG95" i="2"/>
  <c r="DG99" i="2" s="1"/>
  <c r="DG100" i="2" s="1"/>
  <c r="DG84" i="2"/>
  <c r="DG119" i="2"/>
  <c r="DD84" i="2"/>
  <c r="DE84" i="2" s="1"/>
  <c r="DD119" i="2"/>
  <c r="DE119" i="2"/>
  <c r="DD95" i="2"/>
  <c r="CM245" i="1"/>
  <c r="CM56" i="2"/>
  <c r="DW84" i="2"/>
  <c r="EC87" i="2"/>
  <c r="CC96" i="2"/>
  <c r="DQ95" i="2"/>
  <c r="DP99" i="2"/>
  <c r="DQ81" i="1"/>
  <c r="DS602" i="4" s="1"/>
  <c r="DQ58" i="2"/>
  <c r="DE81" i="1"/>
  <c r="DE58" i="2"/>
  <c r="BN83" i="1"/>
  <c r="AK82" i="1"/>
  <c r="AK2" i="1" s="1"/>
  <c r="CA81" i="1"/>
  <c r="CA58" i="2"/>
  <c r="BC82" i="1"/>
  <c r="BC2" i="1" s="1"/>
  <c r="DW81" i="1"/>
  <c r="DW58" i="2"/>
  <c r="CX82" i="1"/>
  <c r="CV83" i="1"/>
  <c r="CJ82" i="1"/>
  <c r="DH83" i="1"/>
  <c r="AE176" i="2"/>
  <c r="Y179" i="2"/>
  <c r="M264" i="484"/>
  <c r="P274" i="1"/>
  <c r="P275" i="1" s="1"/>
  <c r="P152" i="3"/>
  <c r="V274" i="1"/>
  <c r="V275" i="1" s="1"/>
  <c r="V152" i="3"/>
  <c r="AE195" i="2"/>
  <c r="U274" i="1"/>
  <c r="U275" i="1" s="1"/>
  <c r="U152" i="3"/>
  <c r="R274" i="1"/>
  <c r="R275" i="1" s="1"/>
  <c r="R152" i="3"/>
  <c r="W274" i="1"/>
  <c r="W275" i="1" s="1"/>
  <c r="W152" i="3"/>
  <c r="O274" i="1"/>
  <c r="O275" i="1" s="1"/>
  <c r="O152" i="3"/>
  <c r="X274" i="1"/>
  <c r="X275" i="1" s="1"/>
  <c r="X152" i="3"/>
  <c r="Y185" i="2"/>
  <c r="AC274" i="1"/>
  <c r="AC275" i="1" s="1"/>
  <c r="AC152" i="3"/>
  <c r="AA274" i="1"/>
  <c r="AA275" i="1" s="1"/>
  <c r="AA152" i="3"/>
  <c r="AD274" i="1"/>
  <c r="AD275" i="1" s="1"/>
  <c r="AD152" i="3"/>
  <c r="AE185" i="2"/>
  <c r="AB274" i="1"/>
  <c r="AB275" i="1" s="1"/>
  <c r="AB152" i="3"/>
  <c r="AB153" i="3" s="1"/>
  <c r="Q274" i="1"/>
  <c r="Q275" i="1" s="1"/>
  <c r="Q152" i="3"/>
  <c r="EI322" i="1"/>
  <c r="EM89" i="3"/>
  <c r="EN14" i="3"/>
  <c r="CG29" i="4"/>
  <c r="I19" i="484"/>
  <c r="J82" i="484" s="1"/>
  <c r="J223" i="484" s="1"/>
  <c r="DQ52" i="4"/>
  <c r="DQ53" i="4" s="1"/>
  <c r="DH146" i="3"/>
  <c r="DH148" i="3"/>
  <c r="DH147" i="3"/>
  <c r="CY66" i="3"/>
  <c r="DB148" i="3"/>
  <c r="DB147" i="3"/>
  <c r="DK29" i="4"/>
  <c r="DK30" i="4" s="1"/>
  <c r="CA66" i="3"/>
  <c r="CS66" i="3"/>
  <c r="BX148" i="3"/>
  <c r="BX147" i="3"/>
  <c r="EC29" i="4"/>
  <c r="EC30" i="4" s="1"/>
  <c r="CG66" i="3"/>
  <c r="CP148" i="3"/>
  <c r="CP146" i="3"/>
  <c r="CP147" i="3"/>
  <c r="CJ148" i="3"/>
  <c r="CJ147" i="3"/>
  <c r="CW145" i="3"/>
  <c r="CW139" i="3"/>
  <c r="BU228" i="2"/>
  <c r="EG98" i="2"/>
  <c r="AG241" i="2"/>
  <c r="DM115" i="2"/>
  <c r="DN115" i="2" s="1"/>
  <c r="DO115" i="2" s="1"/>
  <c r="DP115" i="2" s="1"/>
  <c r="DK115" i="2"/>
  <c r="DG221" i="2"/>
  <c r="DD221" i="2"/>
  <c r="CQ113" i="2"/>
  <c r="CP116" i="2"/>
  <c r="BH257" i="2"/>
  <c r="V233" i="2"/>
  <c r="DK293" i="2"/>
  <c r="DK292" i="2"/>
  <c r="DK151" i="2"/>
  <c r="CD223" i="2"/>
  <c r="CE223" i="2" s="1"/>
  <c r="CA223" i="2"/>
  <c r="EG138" i="2"/>
  <c r="EG283" i="1"/>
  <c r="AK181" i="1"/>
  <c r="AK178" i="1"/>
  <c r="BB211" i="2"/>
  <c r="BE216" i="2"/>
  <c r="EL138" i="2"/>
  <c r="EL283" i="1"/>
  <c r="DN141" i="2"/>
  <c r="DM151" i="2"/>
  <c r="EG96" i="2"/>
  <c r="BO261" i="2"/>
  <c r="BQ260" i="2"/>
  <c r="CG222" i="2"/>
  <c r="CJ222" i="2"/>
  <c r="CK222" i="2" s="1"/>
  <c r="BU180" i="1"/>
  <c r="BU177" i="1"/>
  <c r="BU169" i="1" s="1"/>
  <c r="BU170" i="1" s="1"/>
  <c r="EH148" i="2"/>
  <c r="BU29" i="4"/>
  <c r="BU30" i="4" s="1"/>
  <c r="BX116" i="2"/>
  <c r="BY114" i="2"/>
  <c r="CY293" i="2"/>
  <c r="CY292" i="2"/>
  <c r="CY151" i="2"/>
  <c r="AB236" i="2"/>
  <c r="AB237" i="2" s="1"/>
  <c r="BA253" i="2"/>
  <c r="DE276" i="2"/>
  <c r="BU291" i="2"/>
  <c r="BU277" i="2"/>
  <c r="BU278" i="2" s="1"/>
  <c r="EM148" i="2"/>
  <c r="EM56" i="3" s="1"/>
  <c r="EM129" i="3" s="1"/>
  <c r="EN150" i="2"/>
  <c r="CX110" i="2"/>
  <c r="CY106" i="2"/>
  <c r="DA106" i="2" s="1"/>
  <c r="DB121" i="2"/>
  <c r="DC107" i="2"/>
  <c r="AK297" i="2"/>
  <c r="AK211" i="2"/>
  <c r="AQ204" i="2"/>
  <c r="AK176" i="1"/>
  <c r="AQ216" i="2"/>
  <c r="AM244" i="2" s="1"/>
  <c r="DQ51" i="1"/>
  <c r="BL83" i="1"/>
  <c r="BL82" i="1"/>
  <c r="BW83" i="1"/>
  <c r="BW82" i="1"/>
  <c r="DY242" i="1"/>
  <c r="DY226" i="1"/>
  <c r="DY210" i="1"/>
  <c r="DM83" i="1"/>
  <c r="DM82" i="1"/>
  <c r="V147" i="1"/>
  <c r="V141" i="1"/>
  <c r="C250" i="1"/>
  <c r="C107" i="1"/>
  <c r="K250" i="1"/>
  <c r="K234" i="1"/>
  <c r="K218" i="1"/>
  <c r="K107" i="1"/>
  <c r="K109" i="1"/>
  <c r="AM249" i="1"/>
  <c r="AM233" i="1"/>
  <c r="AM217" i="1"/>
  <c r="AM129" i="1"/>
  <c r="AM136" i="1"/>
  <c r="AM86" i="1"/>
  <c r="AM89" i="1"/>
  <c r="AM90" i="1" s="1"/>
  <c r="AM98" i="1"/>
  <c r="EH226" i="1"/>
  <c r="EH210" i="1"/>
  <c r="P234" i="1"/>
  <c r="P250" i="1"/>
  <c r="P218" i="1"/>
  <c r="P109" i="1"/>
  <c r="P107" i="1"/>
  <c r="AJ249" i="1"/>
  <c r="AJ233" i="1"/>
  <c r="AJ217" i="1"/>
  <c r="AJ136" i="1"/>
  <c r="AJ98" i="1"/>
  <c r="AJ86" i="1"/>
  <c r="CF249" i="1"/>
  <c r="CF217" i="1"/>
  <c r="CF233" i="1"/>
  <c r="CF136" i="1"/>
  <c r="CF129" i="1"/>
  <c r="CF89" i="1"/>
  <c r="CF90" i="1" s="1"/>
  <c r="CF87" i="1"/>
  <c r="CF98" i="1"/>
  <c r="CF86" i="1"/>
  <c r="DK247" i="1"/>
  <c r="DK215" i="1"/>
  <c r="EL93" i="1"/>
  <c r="EM94" i="1"/>
  <c r="AQ82" i="1"/>
  <c r="AQ2" i="1" s="1"/>
  <c r="BT82" i="1"/>
  <c r="BT83" i="1"/>
  <c r="DP82" i="1"/>
  <c r="DP83" i="1"/>
  <c r="AC147" i="1"/>
  <c r="AC141" i="1"/>
  <c r="CG85" i="1"/>
  <c r="CG51" i="1"/>
  <c r="DA345" i="1"/>
  <c r="DA265" i="1"/>
  <c r="DA249" i="1"/>
  <c r="DA233" i="1"/>
  <c r="DA217" i="1"/>
  <c r="DA129" i="1"/>
  <c r="DA136" i="1"/>
  <c r="DA98" i="1"/>
  <c r="DA87" i="1"/>
  <c r="DA89" i="1"/>
  <c r="DA90" i="1" s="1"/>
  <c r="DA86" i="1"/>
  <c r="DV82" i="1"/>
  <c r="DV83" i="1"/>
  <c r="EF226" i="1"/>
  <c r="EF210" i="1"/>
  <c r="EG226" i="1"/>
  <c r="EG210" i="1"/>
  <c r="CM247" i="1"/>
  <c r="CM215" i="1"/>
  <c r="DG438" i="4"/>
  <c r="DD437" i="4"/>
  <c r="X250" i="1"/>
  <c r="X234" i="1"/>
  <c r="X218" i="1"/>
  <c r="X109" i="1"/>
  <c r="X107" i="1"/>
  <c r="EE226" i="1"/>
  <c r="EE210" i="1"/>
  <c r="BY83" i="1"/>
  <c r="BY82" i="1"/>
  <c r="DU83" i="1"/>
  <c r="DU82" i="1"/>
  <c r="I250" i="1"/>
  <c r="I234" i="1"/>
  <c r="I218" i="1"/>
  <c r="I109" i="1"/>
  <c r="I107" i="1"/>
  <c r="BZ82" i="1"/>
  <c r="BB83" i="1"/>
  <c r="BB82" i="1"/>
  <c r="R250" i="1"/>
  <c r="R218" i="1"/>
  <c r="R234" i="1"/>
  <c r="R107" i="1"/>
  <c r="R109" i="1"/>
  <c r="DW247" i="1"/>
  <c r="DW215" i="1"/>
  <c r="O147" i="1"/>
  <c r="O141" i="1"/>
  <c r="AY265" i="1"/>
  <c r="AY249" i="1"/>
  <c r="AY233" i="1"/>
  <c r="AY217" i="1"/>
  <c r="AY136" i="1"/>
  <c r="AY129" i="1"/>
  <c r="AY98" i="1"/>
  <c r="AY89" i="1"/>
  <c r="AY90" i="1" s="1"/>
  <c r="AY87" i="1"/>
  <c r="AY86" i="1"/>
  <c r="CP9" i="4"/>
  <c r="CJ9" i="4"/>
  <c r="CM10" i="4"/>
  <c r="CJ12" i="4"/>
  <c r="CC82" i="1"/>
  <c r="CC83" i="1"/>
  <c r="D147" i="1"/>
  <c r="D141" i="1"/>
  <c r="BT85" i="1"/>
  <c r="BZ217" i="1" s="1"/>
  <c r="BT51" i="1"/>
  <c r="DB83" i="1"/>
  <c r="DB82" i="1"/>
  <c r="BQ265" i="1"/>
  <c r="BQ249" i="1"/>
  <c r="BQ233" i="1"/>
  <c r="BQ129" i="1"/>
  <c r="BQ136" i="1"/>
  <c r="BQ98" i="1"/>
  <c r="BQ86" i="1"/>
  <c r="BQ89" i="1"/>
  <c r="BQ90" i="1" s="1"/>
  <c r="BL264" i="1"/>
  <c r="BL266" i="1" s="1"/>
  <c r="BX83" i="1"/>
  <c r="BX82" i="1"/>
  <c r="CO82" i="1"/>
  <c r="CO83" i="1"/>
  <c r="J250" i="1"/>
  <c r="J234" i="1"/>
  <c r="J218" i="1"/>
  <c r="J109" i="1"/>
  <c r="J107" i="1"/>
  <c r="CL85" i="1"/>
  <c r="CL51" i="1"/>
  <c r="CP83" i="1"/>
  <c r="CP82" i="1"/>
  <c r="K147" i="1"/>
  <c r="K141" i="1"/>
  <c r="DO83" i="1"/>
  <c r="DO82" i="1"/>
  <c r="CM239" i="1"/>
  <c r="BH529" i="4"/>
  <c r="BH528" i="4"/>
  <c r="BO170" i="1"/>
  <c r="BO81" i="1"/>
  <c r="CI83" i="1"/>
  <c r="CI82" i="1"/>
  <c r="DG264" i="1"/>
  <c r="DG266" i="1" s="1"/>
  <c r="BA265" i="1"/>
  <c r="BA249" i="1"/>
  <c r="BA233" i="1"/>
  <c r="BA217" i="1"/>
  <c r="BA136" i="1"/>
  <c r="BA129" i="1"/>
  <c r="BA87" i="1"/>
  <c r="BA86" i="1"/>
  <c r="BA98" i="1"/>
  <c r="BA89" i="1"/>
  <c r="BA90" i="1" s="1"/>
  <c r="CW345" i="1"/>
  <c r="CW249" i="1"/>
  <c r="CW233" i="1"/>
  <c r="CW217" i="1"/>
  <c r="CW136" i="1"/>
  <c r="CW129" i="1"/>
  <c r="CW86" i="1"/>
  <c r="CW98" i="1"/>
  <c r="CW89" i="1"/>
  <c r="CW90" i="1" s="1"/>
  <c r="CG168" i="1"/>
  <c r="DP314" i="1"/>
  <c r="DO313" i="1"/>
  <c r="DO311" i="1"/>
  <c r="BU81" i="1"/>
  <c r="DY83" i="1"/>
  <c r="DS82" i="1"/>
  <c r="CV82" i="1"/>
  <c r="AQ85" i="1"/>
  <c r="AQ51" i="1"/>
  <c r="BR249" i="1"/>
  <c r="BR265" i="1"/>
  <c r="BR233" i="1"/>
  <c r="BR217" i="1"/>
  <c r="BR136" i="1"/>
  <c r="BR129" i="1"/>
  <c r="BR87" i="1"/>
  <c r="BR98" i="1"/>
  <c r="BR86" i="1"/>
  <c r="BR89" i="1"/>
  <c r="BR90" i="1" s="1"/>
  <c r="Y82" i="1"/>
  <c r="AE82" i="1"/>
  <c r="DI82" i="1"/>
  <c r="DI83" i="1"/>
  <c r="O250" i="1"/>
  <c r="O234" i="1"/>
  <c r="O218" i="1"/>
  <c r="O107" i="1"/>
  <c r="O109" i="1"/>
  <c r="BK85" i="1"/>
  <c r="BL265" i="1" s="1"/>
  <c r="BK51" i="1"/>
  <c r="BO50" i="1"/>
  <c r="EN260" i="1"/>
  <c r="EN222" i="1"/>
  <c r="EN206" i="1"/>
  <c r="AB250" i="1"/>
  <c r="AB234" i="1"/>
  <c r="AB218" i="1"/>
  <c r="AB107" i="1"/>
  <c r="AB109" i="1"/>
  <c r="DP85" i="1"/>
  <c r="DV217" i="1" s="1"/>
  <c r="DP51" i="1"/>
  <c r="I147" i="1"/>
  <c r="I150" i="1" s="1"/>
  <c r="I141" i="1"/>
  <c r="BI85" i="1"/>
  <c r="BI51" i="1"/>
  <c r="CC265" i="1"/>
  <c r="CC249" i="1"/>
  <c r="CC233" i="1"/>
  <c r="CC217" i="1"/>
  <c r="CC129" i="1"/>
  <c r="CC136" i="1"/>
  <c r="CC98" i="1"/>
  <c r="CC86" i="1"/>
  <c r="CC89" i="1"/>
  <c r="CC90" i="1" s="1"/>
  <c r="CC87" i="1"/>
  <c r="BI247" i="1"/>
  <c r="BI215" i="1"/>
  <c r="R147" i="1"/>
  <c r="R141" i="1"/>
  <c r="AD250" i="1"/>
  <c r="AD234" i="1"/>
  <c r="AD218" i="1"/>
  <c r="AD109" i="1"/>
  <c r="AD107" i="1"/>
  <c r="BZ265" i="1"/>
  <c r="BZ249" i="1"/>
  <c r="BZ233" i="1"/>
  <c r="BZ136" i="1"/>
  <c r="BZ129" i="1"/>
  <c r="BZ86" i="1"/>
  <c r="BZ98" i="1"/>
  <c r="BZ89" i="1"/>
  <c r="BZ90" i="1" s="1"/>
  <c r="BZ87" i="1"/>
  <c r="DV345" i="1"/>
  <c r="DV265" i="1"/>
  <c r="DV249" i="1"/>
  <c r="DV233" i="1"/>
  <c r="DV136" i="1"/>
  <c r="DV129" i="1"/>
  <c r="DV98" i="1"/>
  <c r="DV89" i="1"/>
  <c r="DV90" i="1" s="1"/>
  <c r="DV86" i="1"/>
  <c r="EM260" i="1"/>
  <c r="EM222" i="1"/>
  <c r="EM206" i="1"/>
  <c r="G250" i="1"/>
  <c r="G218" i="1"/>
  <c r="G107" i="1"/>
  <c r="G219" i="1" s="1"/>
  <c r="AA147" i="1"/>
  <c r="AA141" i="1"/>
  <c r="BS249" i="1"/>
  <c r="BS265" i="1"/>
  <c r="BS233" i="1"/>
  <c r="BS217" i="1"/>
  <c r="BS136" i="1"/>
  <c r="BS129" i="1"/>
  <c r="BS98" i="1"/>
  <c r="BS86" i="1"/>
  <c r="BS89" i="1"/>
  <c r="BS90" i="1" s="1"/>
  <c r="BS87" i="1"/>
  <c r="BL249" i="1"/>
  <c r="BL217" i="1"/>
  <c r="BL129" i="1"/>
  <c r="BL136" i="1"/>
  <c r="BL89" i="1"/>
  <c r="BL90" i="1" s="1"/>
  <c r="BL86" i="1"/>
  <c r="BL98" i="1"/>
  <c r="BL87" i="1"/>
  <c r="EK260" i="1"/>
  <c r="EK222" i="1"/>
  <c r="EK206" i="1"/>
  <c r="BY264" i="1"/>
  <c r="BY266" i="1" s="1"/>
  <c r="DU264" i="1"/>
  <c r="DU266" i="1" s="1"/>
  <c r="AO233" i="1"/>
  <c r="AO249" i="1"/>
  <c r="AO217" i="1"/>
  <c r="AO136" i="1"/>
  <c r="AO129" i="1"/>
  <c r="AO98" i="1"/>
  <c r="AO86" i="1"/>
  <c r="AO89" i="1"/>
  <c r="AO90" i="1" s="1"/>
  <c r="CK249" i="1"/>
  <c r="CK217" i="1"/>
  <c r="CK136" i="1"/>
  <c r="CK129" i="1"/>
  <c r="CK98" i="1"/>
  <c r="CK87" i="1"/>
  <c r="CK89" i="1"/>
  <c r="CK90" i="1" s="1"/>
  <c r="CK86" i="1"/>
  <c r="BZ83" i="1"/>
  <c r="BM264" i="1"/>
  <c r="BM266" i="1" s="1"/>
  <c r="CJ264" i="1"/>
  <c r="CJ266" i="1" s="1"/>
  <c r="DZ261" i="1"/>
  <c r="DZ84" i="2" s="1"/>
  <c r="EF84" i="2" s="1"/>
  <c r="EL84" i="2" s="1"/>
  <c r="ER84" i="2" s="1"/>
  <c r="DZ240" i="1"/>
  <c r="DZ208" i="1"/>
  <c r="DZ224" i="1"/>
  <c r="DZ32" i="1"/>
  <c r="DZ238" i="1"/>
  <c r="BF249" i="1"/>
  <c r="BF233" i="1"/>
  <c r="BF265" i="1"/>
  <c r="BF217" i="1"/>
  <c r="BF129" i="1"/>
  <c r="BF136" i="1"/>
  <c r="BF89" i="1"/>
  <c r="BF90" i="1" s="1"/>
  <c r="BF87" i="1"/>
  <c r="BF98" i="1"/>
  <c r="BF86" i="1"/>
  <c r="CM240" i="1"/>
  <c r="CM208" i="1"/>
  <c r="CM32" i="1"/>
  <c r="CM243" i="1"/>
  <c r="CM55" i="1"/>
  <c r="CM63" i="1"/>
  <c r="CM238" i="1"/>
  <c r="CM244" i="1"/>
  <c r="CM246" i="1"/>
  <c r="DZ242" i="1"/>
  <c r="DZ226" i="1"/>
  <c r="DZ210" i="1"/>
  <c r="CK83" i="1"/>
  <c r="CK82" i="1"/>
  <c r="W147" i="1"/>
  <c r="W141" i="1"/>
  <c r="DS345" i="1"/>
  <c r="DS249" i="1"/>
  <c r="DS217" i="1"/>
  <c r="DS136" i="1"/>
  <c r="DS129" i="1"/>
  <c r="DS98" i="1"/>
  <c r="DS89" i="1"/>
  <c r="DS90" i="1" s="1"/>
  <c r="DS87" i="1"/>
  <c r="DS86" i="1"/>
  <c r="BO247" i="1"/>
  <c r="BO215" i="1"/>
  <c r="CJ437" i="4"/>
  <c r="CK438" i="4"/>
  <c r="DB264" i="1"/>
  <c r="DB266" i="1" s="1"/>
  <c r="Y249" i="1"/>
  <c r="Y217" i="1"/>
  <c r="Y136" i="1"/>
  <c r="Y86" i="1"/>
  <c r="Y98" i="1"/>
  <c r="Y87" i="1"/>
  <c r="AE87" i="1"/>
  <c r="AE217" i="1"/>
  <c r="AS265" i="1"/>
  <c r="AS233" i="1"/>
  <c r="AS249" i="1"/>
  <c r="AS217" i="1"/>
  <c r="AS129" i="1"/>
  <c r="AS136" i="1"/>
  <c r="AS86" i="1"/>
  <c r="AS98" i="1"/>
  <c r="AS89" i="1"/>
  <c r="AS90" i="1" s="1"/>
  <c r="CO264" i="1"/>
  <c r="CO266" i="1" s="1"/>
  <c r="AP249" i="1"/>
  <c r="AP233" i="1"/>
  <c r="AP217" i="1"/>
  <c r="AP136" i="1"/>
  <c r="AP129" i="1"/>
  <c r="AP98" i="1"/>
  <c r="AP86" i="1"/>
  <c r="AP89" i="1"/>
  <c r="AP90" i="1" s="1"/>
  <c r="CP264" i="1"/>
  <c r="CP266" i="1" s="1"/>
  <c r="AA250" i="1"/>
  <c r="AA234" i="1"/>
  <c r="AA218" i="1"/>
  <c r="AA109" i="1"/>
  <c r="AA107" i="1"/>
  <c r="AI249" i="1"/>
  <c r="AI233" i="1"/>
  <c r="AI217" i="1"/>
  <c r="AI136" i="1"/>
  <c r="AI98" i="1"/>
  <c r="AI86" i="1"/>
  <c r="CE249" i="1"/>
  <c r="CE217" i="1"/>
  <c r="CE129" i="1"/>
  <c r="CE136" i="1"/>
  <c r="CE89" i="1"/>
  <c r="CE90" i="1" s="1"/>
  <c r="CE87" i="1"/>
  <c r="CE98" i="1"/>
  <c r="CE86" i="1"/>
  <c r="CM242" i="1"/>
  <c r="DO264" i="1"/>
  <c r="DO266" i="1" s="1"/>
  <c r="L147" i="1"/>
  <c r="L141" i="1"/>
  <c r="X147" i="1"/>
  <c r="X141" i="1"/>
  <c r="AZ249" i="1"/>
  <c r="AZ265" i="1"/>
  <c r="AZ233" i="1"/>
  <c r="AZ217" i="1"/>
  <c r="AZ136" i="1"/>
  <c r="AZ129" i="1"/>
  <c r="AZ98" i="1"/>
  <c r="AZ89" i="1"/>
  <c r="AZ90" i="1" s="1"/>
  <c r="AZ87" i="1"/>
  <c r="AZ86" i="1"/>
  <c r="DH345" i="1"/>
  <c r="DH249" i="1"/>
  <c r="DH129" i="1"/>
  <c r="DH136" i="1"/>
  <c r="DH89" i="1"/>
  <c r="DH90" i="1" s="1"/>
  <c r="DH98" i="1"/>
  <c r="DH86" i="1"/>
  <c r="CC529" i="4"/>
  <c r="CC528" i="4"/>
  <c r="CA529" i="4"/>
  <c r="CA528" i="4"/>
  <c r="BK83" i="1"/>
  <c r="BK82" i="1"/>
  <c r="CI264" i="1"/>
  <c r="CI266" i="1" s="1"/>
  <c r="M250" i="1"/>
  <c r="M218" i="1"/>
  <c r="M109" i="1"/>
  <c r="M107" i="1"/>
  <c r="CM59" i="1"/>
  <c r="BN170" i="4"/>
  <c r="DC83" i="1"/>
  <c r="DC82" i="1"/>
  <c r="CP85" i="1"/>
  <c r="CV217" i="1" s="1"/>
  <c r="CP51" i="1"/>
  <c r="DI264" i="1"/>
  <c r="DI266" i="1" s="1"/>
  <c r="G147" i="1"/>
  <c r="G141" i="1"/>
  <c r="CI85" i="1"/>
  <c r="CO87" i="1" s="1"/>
  <c r="CI51" i="1"/>
  <c r="CM50" i="1"/>
  <c r="L250" i="1"/>
  <c r="L218" i="1"/>
  <c r="L234" i="1"/>
  <c r="L107" i="1"/>
  <c r="L109" i="1"/>
  <c r="BH249" i="1"/>
  <c r="BH265" i="1"/>
  <c r="BH233" i="1"/>
  <c r="BH217" i="1"/>
  <c r="BH136" i="1"/>
  <c r="BH129" i="1"/>
  <c r="BH89" i="1"/>
  <c r="BH90" i="1" s="1"/>
  <c r="BH87" i="1"/>
  <c r="BH98" i="1"/>
  <c r="BH86" i="1"/>
  <c r="DY438" i="4"/>
  <c r="DY437" i="4"/>
  <c r="DY85" i="1"/>
  <c r="DY51" i="1"/>
  <c r="DY266" i="1"/>
  <c r="CR82" i="1"/>
  <c r="CR83" i="1"/>
  <c r="E147" i="1"/>
  <c r="E141" i="1"/>
  <c r="BE265" i="1"/>
  <c r="BE249" i="1"/>
  <c r="BE233" i="1"/>
  <c r="BE217" i="1"/>
  <c r="BE129" i="1"/>
  <c r="BE136" i="1"/>
  <c r="BE98" i="1"/>
  <c r="BE86" i="1"/>
  <c r="BE89" i="1"/>
  <c r="BE90" i="1" s="1"/>
  <c r="BE87" i="1"/>
  <c r="CU83" i="1"/>
  <c r="CU82" i="1"/>
  <c r="BS83" i="1"/>
  <c r="BS82" i="1"/>
  <c r="EL260" i="1"/>
  <c r="EL222" i="1"/>
  <c r="EL206" i="1"/>
  <c r="CL292" i="1"/>
  <c r="CM292" i="1" s="1"/>
  <c r="DN83" i="1"/>
  <c r="DN82" i="1"/>
  <c r="DO85" i="1"/>
  <c r="DU217" i="1" s="1"/>
  <c r="DO51" i="1"/>
  <c r="DY243" i="1"/>
  <c r="DY227" i="1"/>
  <c r="DY211" i="1"/>
  <c r="DD85" i="1"/>
  <c r="DD51" i="1"/>
  <c r="DA82" i="1"/>
  <c r="DA83" i="1"/>
  <c r="EI206" i="1"/>
  <c r="CW83" i="1"/>
  <c r="CW82" i="1"/>
  <c r="E250" i="1"/>
  <c r="E234" i="1"/>
  <c r="E107" i="1"/>
  <c r="CG247" i="1"/>
  <c r="CG215" i="1"/>
  <c r="BR82" i="1"/>
  <c r="CE264" i="1"/>
  <c r="CE266" i="1" s="1"/>
  <c r="J147" i="1"/>
  <c r="J141" i="1"/>
  <c r="CD85" i="1"/>
  <c r="CE233" i="1" s="1"/>
  <c r="CD51" i="1"/>
  <c r="BC85" i="1"/>
  <c r="BC51" i="1"/>
  <c r="CK264" i="1"/>
  <c r="CK266" i="1" s="1"/>
  <c r="CU345" i="1"/>
  <c r="CU249" i="1"/>
  <c r="CU217" i="1"/>
  <c r="CU136" i="1"/>
  <c r="CU129" i="1"/>
  <c r="CU86" i="1"/>
  <c r="CU98" i="1"/>
  <c r="CU89" i="1"/>
  <c r="CU90" i="1" s="1"/>
  <c r="CU87" i="1"/>
  <c r="CJ85" i="1"/>
  <c r="CJ51" i="1"/>
  <c r="DJ83" i="1"/>
  <c r="DJ82" i="1"/>
  <c r="CV345" i="1"/>
  <c r="CV249" i="1"/>
  <c r="CV233" i="1"/>
  <c r="CV136" i="1"/>
  <c r="CV129" i="1"/>
  <c r="CV98" i="1"/>
  <c r="CV89" i="1"/>
  <c r="CV90" i="1" s="1"/>
  <c r="CV86" i="1"/>
  <c r="CD83" i="1"/>
  <c r="CD82" i="1"/>
  <c r="AC250" i="1"/>
  <c r="AC234" i="1"/>
  <c r="AC218" i="1"/>
  <c r="AC107" i="1"/>
  <c r="AC109" i="1"/>
  <c r="CS50" i="1"/>
  <c r="DM345" i="1"/>
  <c r="DM249" i="1"/>
  <c r="DM129" i="1"/>
  <c r="DM136" i="1"/>
  <c r="DM86" i="1"/>
  <c r="DM98" i="1"/>
  <c r="DM89" i="1"/>
  <c r="DM90" i="1" s="1"/>
  <c r="CS192" i="1"/>
  <c r="CL192" i="1"/>
  <c r="CK192" i="1" s="1"/>
  <c r="CJ192" i="1" s="1"/>
  <c r="CI192" i="1" s="1"/>
  <c r="BM83" i="1"/>
  <c r="BM82" i="1"/>
  <c r="W250" i="1"/>
  <c r="W234" i="1"/>
  <c r="W218" i="1"/>
  <c r="W109" i="1"/>
  <c r="W107" i="1"/>
  <c r="CL83" i="1"/>
  <c r="CL82" i="1"/>
  <c r="D234" i="1"/>
  <c r="D250" i="1"/>
  <c r="D107" i="1"/>
  <c r="D235" i="1" s="1"/>
  <c r="P147" i="1"/>
  <c r="P141" i="1"/>
  <c r="AB147" i="1"/>
  <c r="AB141" i="1"/>
  <c r="BC247" i="1"/>
  <c r="BC215" i="1"/>
  <c r="BK264" i="1"/>
  <c r="BK266" i="1" s="1"/>
  <c r="DK81" i="1"/>
  <c r="U147" i="1"/>
  <c r="U141" i="1"/>
  <c r="BY265" i="1"/>
  <c r="BY233" i="1"/>
  <c r="BY249" i="1"/>
  <c r="BY217" i="1"/>
  <c r="BY136" i="1"/>
  <c r="BY129" i="1"/>
  <c r="BY87" i="1"/>
  <c r="BY86" i="1"/>
  <c r="BY98" i="1"/>
  <c r="BY89" i="1"/>
  <c r="BY90" i="1" s="1"/>
  <c r="DU345" i="1"/>
  <c r="DU233" i="1"/>
  <c r="DU249" i="1"/>
  <c r="DU136" i="1"/>
  <c r="DU129" i="1"/>
  <c r="DU86" i="1"/>
  <c r="DU98" i="1"/>
  <c r="DU89" i="1"/>
  <c r="DU90" i="1" s="1"/>
  <c r="DT158" i="1"/>
  <c r="DU157" i="1"/>
  <c r="DU200" i="2" s="1"/>
  <c r="DD83" i="1"/>
  <c r="BH82" i="1"/>
  <c r="CQ345" i="1"/>
  <c r="CQ249" i="1"/>
  <c r="CQ217" i="1"/>
  <c r="CQ136" i="1"/>
  <c r="CQ129" i="1"/>
  <c r="CQ98" i="1"/>
  <c r="CQ86" i="1"/>
  <c r="CQ89" i="1"/>
  <c r="CQ90" i="1" s="1"/>
  <c r="CQ87" i="1"/>
  <c r="CX83" i="1"/>
  <c r="CE82" i="1"/>
  <c r="DT82" i="1"/>
  <c r="DT83" i="1"/>
  <c r="F250" i="1"/>
  <c r="F234" i="1"/>
  <c r="F107" i="1"/>
  <c r="AT249" i="1"/>
  <c r="AT233" i="1"/>
  <c r="AT265" i="1"/>
  <c r="AT217" i="1"/>
  <c r="AT136" i="1"/>
  <c r="AT129" i="1"/>
  <c r="AT98" i="1"/>
  <c r="AT89" i="1"/>
  <c r="AT90" i="1" s="1"/>
  <c r="AT86" i="1"/>
  <c r="DN85" i="1"/>
  <c r="DT217" i="1" s="1"/>
  <c r="DN51" i="1"/>
  <c r="DG85" i="1"/>
  <c r="DG51" i="1"/>
  <c r="DK50" i="1"/>
  <c r="CQ83" i="1"/>
  <c r="CQ82" i="1"/>
  <c r="EK138" i="1"/>
  <c r="Q250" i="1"/>
  <c r="Q234" i="1"/>
  <c r="Q218" i="1"/>
  <c r="Q109" i="1"/>
  <c r="Q107" i="1"/>
  <c r="AG249" i="1"/>
  <c r="AG233" i="1"/>
  <c r="AG217" i="1"/>
  <c r="AG136" i="1"/>
  <c r="AG98" i="1"/>
  <c r="AG86" i="1"/>
  <c r="CY247" i="1"/>
  <c r="CY215" i="1"/>
  <c r="EG322" i="1"/>
  <c r="CF82" i="1"/>
  <c r="CF83" i="1"/>
  <c r="V250" i="1"/>
  <c r="V234" i="1"/>
  <c r="V218" i="1"/>
  <c r="V107" i="1"/>
  <c r="V109" i="1"/>
  <c r="BB265" i="1"/>
  <c r="BB249" i="1"/>
  <c r="BB217" i="1"/>
  <c r="BB233" i="1"/>
  <c r="BB136" i="1"/>
  <c r="BB129" i="1"/>
  <c r="BB86" i="1"/>
  <c r="BB98" i="1"/>
  <c r="BB89" i="1"/>
  <c r="BB90" i="1" s="1"/>
  <c r="BB87" i="1"/>
  <c r="CX345" i="1"/>
  <c r="CX265" i="1"/>
  <c r="CX249" i="1"/>
  <c r="CX233" i="1"/>
  <c r="CX136" i="1"/>
  <c r="CX129" i="1"/>
  <c r="CX86" i="1"/>
  <c r="CX98" i="1"/>
  <c r="CX89" i="1"/>
  <c r="CX90" i="1" s="1"/>
  <c r="S249" i="1"/>
  <c r="S217" i="1"/>
  <c r="S136" i="1"/>
  <c r="S87" i="1"/>
  <c r="S98" i="1"/>
  <c r="S86" i="1"/>
  <c r="AU249" i="1"/>
  <c r="AU265" i="1"/>
  <c r="AU233" i="1"/>
  <c r="AU217" i="1"/>
  <c r="AU136" i="1"/>
  <c r="AU129" i="1"/>
  <c r="AU98" i="1"/>
  <c r="AU89" i="1"/>
  <c r="AU90" i="1" s="1"/>
  <c r="AU86" i="1"/>
  <c r="BI81" i="1"/>
  <c r="DA264" i="1"/>
  <c r="DA266" i="1" s="1"/>
  <c r="AN249" i="1"/>
  <c r="AN233" i="1"/>
  <c r="AN217" i="1"/>
  <c r="AN136" i="1"/>
  <c r="AN129" i="1"/>
  <c r="AN89" i="1"/>
  <c r="AN90" i="1" s="1"/>
  <c r="AN98" i="1"/>
  <c r="AN86" i="1"/>
  <c r="DT345" i="1"/>
  <c r="DT249" i="1"/>
  <c r="DT233" i="1"/>
  <c r="DT136" i="1"/>
  <c r="DT129" i="1"/>
  <c r="DT98" i="1"/>
  <c r="DT89" i="1"/>
  <c r="DT90" i="1" s="1"/>
  <c r="DT86" i="1"/>
  <c r="BU247" i="1"/>
  <c r="BU215" i="1"/>
  <c r="U250" i="1"/>
  <c r="U234" i="1"/>
  <c r="U218" i="1"/>
  <c r="U107" i="1"/>
  <c r="U109" i="1"/>
  <c r="BM233" i="1"/>
  <c r="BM249" i="1"/>
  <c r="BM217" i="1"/>
  <c r="BM136" i="1"/>
  <c r="BM129" i="1"/>
  <c r="BM98" i="1"/>
  <c r="BM87" i="1"/>
  <c r="BM89" i="1"/>
  <c r="BM90" i="1" s="1"/>
  <c r="BM86" i="1"/>
  <c r="DI345" i="1"/>
  <c r="DI233" i="1"/>
  <c r="DI249" i="1"/>
  <c r="DI217" i="1"/>
  <c r="DI136" i="1"/>
  <c r="DI129" i="1"/>
  <c r="DI98" i="1"/>
  <c r="DI87" i="1"/>
  <c r="DI86" i="1"/>
  <c r="DI89" i="1"/>
  <c r="DI90" i="1" s="1"/>
  <c r="CA247" i="1"/>
  <c r="CA215" i="1"/>
  <c r="BN264" i="1"/>
  <c r="BN266" i="1" s="1"/>
  <c r="AH249" i="1"/>
  <c r="AH233" i="1"/>
  <c r="AH217" i="1"/>
  <c r="AH136" i="1"/>
  <c r="AH98" i="1"/>
  <c r="AH86" i="1"/>
  <c r="DB85" i="1"/>
  <c r="DH217" i="1" s="1"/>
  <c r="DB51" i="1"/>
  <c r="CS247" i="1"/>
  <c r="CS215" i="1"/>
  <c r="BW265" i="1"/>
  <c r="BW249" i="1"/>
  <c r="BW233" i="1"/>
  <c r="BW217" i="1"/>
  <c r="BW136" i="1"/>
  <c r="BW129" i="1"/>
  <c r="BW98" i="1"/>
  <c r="BW89" i="1"/>
  <c r="BW90" i="1" s="1"/>
  <c r="BW87" i="1"/>
  <c r="BW86" i="1"/>
  <c r="DW85" i="1"/>
  <c r="DW51" i="1"/>
  <c r="DZ27" i="1"/>
  <c r="CJ292" i="1"/>
  <c r="CG81" i="1"/>
  <c r="AV249" i="1"/>
  <c r="AV265" i="1"/>
  <c r="AV233" i="1"/>
  <c r="AV217" i="1"/>
  <c r="AV136" i="1"/>
  <c r="AV129" i="1"/>
  <c r="AV89" i="1"/>
  <c r="AV90" i="1" s="1"/>
  <c r="AV86" i="1"/>
  <c r="AV98" i="1"/>
  <c r="AW85" i="1"/>
  <c r="AW51" i="1"/>
  <c r="M147" i="1"/>
  <c r="M141" i="1"/>
  <c r="BU50" i="1"/>
  <c r="CO345" i="1"/>
  <c r="CO249" i="1"/>
  <c r="CO129" i="1"/>
  <c r="CO136" i="1"/>
  <c r="CO98" i="1"/>
  <c r="CO86" i="1"/>
  <c r="CO89" i="1"/>
  <c r="CO90" i="1" s="1"/>
  <c r="BW264" i="1"/>
  <c r="BW266" i="1" s="1"/>
  <c r="AW82" i="1"/>
  <c r="AW2" i="1" s="1"/>
  <c r="CS81" i="1"/>
  <c r="F147" i="1"/>
  <c r="F141" i="1"/>
  <c r="AD147" i="1"/>
  <c r="AD141" i="1"/>
  <c r="BN249" i="1"/>
  <c r="BN233" i="1"/>
  <c r="BN217" i="1"/>
  <c r="BN136" i="1"/>
  <c r="BN129" i="1"/>
  <c r="BN98" i="1"/>
  <c r="BN87" i="1"/>
  <c r="BN89" i="1"/>
  <c r="BN90" i="1" s="1"/>
  <c r="BN86" i="1"/>
  <c r="C147" i="1"/>
  <c r="C141" i="1"/>
  <c r="AE147" i="1"/>
  <c r="AE10" i="3" s="1"/>
  <c r="AE141" i="1"/>
  <c r="BG249" i="1"/>
  <c r="BG265" i="1"/>
  <c r="BG233" i="1"/>
  <c r="BG217" i="1"/>
  <c r="BG129" i="1"/>
  <c r="BG136" i="1"/>
  <c r="BG89" i="1"/>
  <c r="BG90" i="1" s="1"/>
  <c r="BG87" i="1"/>
  <c r="BG98" i="1"/>
  <c r="BG86" i="1"/>
  <c r="DC345" i="1"/>
  <c r="DC249" i="1"/>
  <c r="DC217" i="1"/>
  <c r="DC129" i="1"/>
  <c r="DC136" i="1"/>
  <c r="DC87" i="1"/>
  <c r="DC89" i="1"/>
  <c r="DC90" i="1" s="1"/>
  <c r="DC86" i="1"/>
  <c r="DC98" i="1"/>
  <c r="DQ247" i="1"/>
  <c r="DQ215" i="1"/>
  <c r="CL264" i="1"/>
  <c r="CL266" i="1" s="1"/>
  <c r="BX249" i="1"/>
  <c r="BX265" i="1"/>
  <c r="BX233" i="1"/>
  <c r="BX217" i="1"/>
  <c r="BX136" i="1"/>
  <c r="BX129" i="1"/>
  <c r="BX98" i="1"/>
  <c r="BX89" i="1"/>
  <c r="BX90" i="1" s="1"/>
  <c r="BX87" i="1"/>
  <c r="BX86" i="1"/>
  <c r="AK85" i="1"/>
  <c r="AK51" i="1"/>
  <c r="CM81" i="1"/>
  <c r="DG83" i="1"/>
  <c r="DG82" i="1"/>
  <c r="Q147" i="1"/>
  <c r="Q141" i="1"/>
  <c r="DE184" i="1"/>
  <c r="DH82" i="1"/>
  <c r="CY81" i="1"/>
  <c r="DS83" i="1"/>
  <c r="CE83" i="1"/>
  <c r="BT170" i="4"/>
  <c r="BT183" i="4"/>
  <c r="BC230" i="4"/>
  <c r="BB235" i="4"/>
  <c r="BB233" i="4"/>
  <c r="DO377" i="4"/>
  <c r="DU327" i="4"/>
  <c r="DU276" i="1" s="1"/>
  <c r="DO370" i="4"/>
  <c r="DO371" i="4" s="1"/>
  <c r="DB410" i="4"/>
  <c r="DE409" i="4"/>
  <c r="AW413" i="4"/>
  <c r="BI413" i="4"/>
  <c r="BL220" i="4"/>
  <c r="BR221" i="4" s="1"/>
  <c r="BR211" i="4"/>
  <c r="BL211" i="4"/>
  <c r="AV168" i="4"/>
  <c r="EF314" i="4"/>
  <c r="BX402" i="4"/>
  <c r="CD400" i="4"/>
  <c r="BY401" i="4"/>
  <c r="BX400" i="4"/>
  <c r="BO209" i="4"/>
  <c r="CC189" i="4"/>
  <c r="CG187" i="4"/>
  <c r="CM209" i="4"/>
  <c r="CI211" i="4"/>
  <c r="BU409" i="4"/>
  <c r="CS413" i="4"/>
  <c r="DE413" i="4"/>
  <c r="CM413" i="4"/>
  <c r="BS221" i="4"/>
  <c r="BY221" i="4"/>
  <c r="BY170" i="4"/>
  <c r="DN280" i="4"/>
  <c r="DM322" i="4"/>
  <c r="DM323" i="4" s="1"/>
  <c r="DI372" i="4"/>
  <c r="BO187" i="4"/>
  <c r="BT211" i="4"/>
  <c r="BT220" i="4"/>
  <c r="BS241" i="4"/>
  <c r="DU316" i="4"/>
  <c r="DU315" i="4"/>
  <c r="DM377" i="4"/>
  <c r="DS327" i="4"/>
  <c r="DS276" i="1" s="1"/>
  <c r="DM370" i="4"/>
  <c r="DM372" i="4" s="1"/>
  <c r="DQ327" i="4"/>
  <c r="DQ276" i="1" s="1"/>
  <c r="DK377" i="4"/>
  <c r="DH379" i="4"/>
  <c r="DG378" i="4"/>
  <c r="DJ379" i="4"/>
  <c r="DI378" i="4"/>
  <c r="CA388" i="4"/>
  <c r="CA382" i="4"/>
  <c r="BU381" i="4"/>
  <c r="BU382" i="4" s="1"/>
  <c r="DE52" i="4"/>
  <c r="CF183" i="4"/>
  <c r="DH371" i="4"/>
  <c r="CO383" i="4"/>
  <c r="CO386" i="4" s="1"/>
  <c r="CU381" i="4"/>
  <c r="CO382" i="4"/>
  <c r="CO388" i="4"/>
  <c r="CV383" i="4"/>
  <c r="CV382" i="4"/>
  <c r="CV388" i="4"/>
  <c r="CS52" i="4"/>
  <c r="CS169" i="4"/>
  <c r="CY170" i="4"/>
  <c r="BK211" i="4"/>
  <c r="CK189" i="4"/>
  <c r="CK170" i="4"/>
  <c r="CK183" i="4"/>
  <c r="BA183" i="4"/>
  <c r="CO170" i="4"/>
  <c r="CI170" i="4"/>
  <c r="CM168" i="4"/>
  <c r="CM305" i="1" s="1"/>
  <c r="CI183" i="4"/>
  <c r="BH183" i="4"/>
  <c r="BX401" i="4"/>
  <c r="CY413" i="4"/>
  <c r="EC52" i="4"/>
  <c r="EC53" i="4" s="1"/>
  <c r="DE29" i="4"/>
  <c r="CY267" i="4"/>
  <c r="CY265" i="4"/>
  <c r="DE265" i="4"/>
  <c r="CA87" i="4"/>
  <c r="BX88" i="4"/>
  <c r="DI314" i="4"/>
  <c r="DH281" i="4"/>
  <c r="DE371" i="4"/>
  <c r="DI379" i="4"/>
  <c r="DH378" i="4"/>
  <c r="CG371" i="4"/>
  <c r="DJ371" i="4"/>
  <c r="AW409" i="4"/>
  <c r="CA413" i="4"/>
  <c r="CE170" i="4"/>
  <c r="CE183" i="4"/>
  <c r="BX241" i="4"/>
  <c r="BW223" i="4"/>
  <c r="BY410" i="4"/>
  <c r="CD409" i="4"/>
  <c r="BR187" i="4"/>
  <c r="BR189" i="4" s="1"/>
  <c r="BS92" i="4"/>
  <c r="BX91" i="4"/>
  <c r="BR210" i="4"/>
  <c r="BR168" i="4"/>
  <c r="BX170" i="4" s="1"/>
  <c r="BR79" i="4"/>
  <c r="BR75" i="4"/>
  <c r="BR63" i="4"/>
  <c r="BR59" i="4"/>
  <c r="BR84" i="4"/>
  <c r="BA239" i="4"/>
  <c r="BA236" i="4"/>
  <c r="DV314" i="4"/>
  <c r="DY281" i="4"/>
  <c r="DW281" i="4"/>
  <c r="DJ372" i="4"/>
  <c r="BL170" i="4"/>
  <c r="BL183" i="4"/>
  <c r="CF212" i="4"/>
  <c r="BE170" i="4"/>
  <c r="BE183" i="4"/>
  <c r="CA409" i="4"/>
  <c r="BX410" i="4"/>
  <c r="CL189" i="4"/>
  <c r="CL170" i="4"/>
  <c r="CL183" i="4"/>
  <c r="BN189" i="4"/>
  <c r="BS184" i="4"/>
  <c r="BS205" i="4"/>
  <c r="CJ170" i="4"/>
  <c r="CJ183" i="4"/>
  <c r="CG168" i="4"/>
  <c r="CG305" i="1" s="1"/>
  <c r="CC183" i="4"/>
  <c r="CC211" i="4"/>
  <c r="CG209" i="4"/>
  <c r="DE378" i="4"/>
  <c r="K201" i="484"/>
  <c r="J201" i="484"/>
  <c r="DK413" i="4"/>
  <c r="BM241" i="4"/>
  <c r="DM315" i="4"/>
  <c r="DP316" i="4"/>
  <c r="CW388" i="4"/>
  <c r="CW384" i="4"/>
  <c r="CW383" i="4"/>
  <c r="CW382" i="4"/>
  <c r="DP370" i="4"/>
  <c r="DP377" i="4"/>
  <c r="DP378" i="4" s="1"/>
  <c r="DV327" i="4"/>
  <c r="DV276" i="1" s="1"/>
  <c r="DQ413" i="4"/>
  <c r="BO168" i="4"/>
  <c r="BO305" i="1" s="1"/>
  <c r="CM52" i="4"/>
  <c r="DK370" i="4"/>
  <c r="DK371" i="4" s="1"/>
  <c r="DH372" i="4"/>
  <c r="DG372" i="4"/>
  <c r="BZ384" i="4"/>
  <c r="BZ382" i="4"/>
  <c r="BZ388" i="4"/>
  <c r="CC384" i="4"/>
  <c r="BI409" i="4"/>
  <c r="BO75" i="4"/>
  <c r="BO59" i="4"/>
  <c r="BO63" i="4"/>
  <c r="BO84" i="4"/>
  <c r="BO79" i="4"/>
  <c r="DQ91" i="4"/>
  <c r="DK259" i="4"/>
  <c r="DK263" i="4"/>
  <c r="DK63" i="4"/>
  <c r="DK75" i="4"/>
  <c r="DK84" i="4"/>
  <c r="DK267" i="4"/>
  <c r="BE189" i="4"/>
  <c r="BX409" i="4"/>
  <c r="CP384" i="4"/>
  <c r="BO413" i="4"/>
  <c r="BU413" i="4"/>
  <c r="CL211" i="4"/>
  <c r="BF241" i="4"/>
  <c r="BF183" i="4"/>
  <c r="BQ84" i="4"/>
  <c r="BQ187" i="4"/>
  <c r="BU90" i="4"/>
  <c r="BQ209" i="4"/>
  <c r="BR92" i="4"/>
  <c r="BW91" i="4"/>
  <c r="BQ168" i="4"/>
  <c r="BQ92" i="4"/>
  <c r="BQ75" i="4"/>
  <c r="BQ63" i="4"/>
  <c r="BQ79" i="4"/>
  <c r="BQ59" i="4"/>
  <c r="BQ91" i="4"/>
  <c r="CK211" i="4"/>
  <c r="CI189" i="4"/>
  <c r="CM187" i="4"/>
  <c r="DV286" i="4"/>
  <c r="AQ371" i="4"/>
  <c r="DI371" i="4"/>
  <c r="DW413" i="4"/>
  <c r="BO52" i="4"/>
  <c r="BO53" i="4" s="1"/>
  <c r="CD170" i="4"/>
  <c r="CD183" i="4"/>
  <c r="BN184" i="4"/>
  <c r="BN205" i="4"/>
  <c r="BO87" i="4"/>
  <c r="CS371" i="4"/>
  <c r="DN377" i="4"/>
  <c r="DT327" i="4"/>
  <c r="DT276" i="1" s="1"/>
  <c r="DN370" i="4"/>
  <c r="DN371" i="4" s="1"/>
  <c r="CG413" i="4"/>
  <c r="CY409" i="4"/>
  <c r="BC413" i="4"/>
  <c r="BX183" i="4"/>
  <c r="I182" i="484"/>
  <c r="J80" i="484"/>
  <c r="I144" i="484"/>
  <c r="H139" i="484"/>
  <c r="H177" i="484"/>
  <c r="I75" i="484"/>
  <c r="I229" i="484"/>
  <c r="H186" i="484"/>
  <c r="H148" i="484"/>
  <c r="H22" i="484"/>
  <c r="H64" i="484"/>
  <c r="N109" i="484"/>
  <c r="M111" i="484"/>
  <c r="Q56" i="484"/>
  <c r="P89" i="484"/>
  <c r="J224" i="484"/>
  <c r="J48" i="484"/>
  <c r="J52" i="484"/>
  <c r="J50" i="484"/>
  <c r="H178" i="484"/>
  <c r="H140" i="484"/>
  <c r="I76" i="484"/>
  <c r="N107" i="484"/>
  <c r="J79" i="484"/>
  <c r="I181" i="484"/>
  <c r="I143" i="484"/>
  <c r="M101" i="484"/>
  <c r="H228" i="484"/>
  <c r="I18" i="484"/>
  <c r="P312" i="484"/>
  <c r="O313" i="484"/>
  <c r="O311" i="484"/>
  <c r="K346" i="484"/>
  <c r="K57" i="484"/>
  <c r="K55" i="484"/>
  <c r="K47" i="484"/>
  <c r="K35" i="484"/>
  <c r="L30" i="484"/>
  <c r="H176" i="484"/>
  <c r="H138" i="484"/>
  <c r="I74" i="484"/>
  <c r="H6" i="484"/>
  <c r="H60" i="484" s="1"/>
  <c r="O192" i="484"/>
  <c r="I44" i="484"/>
  <c r="I42" i="484"/>
  <c r="I40" i="484"/>
  <c r="P266" i="484"/>
  <c r="N121" i="484"/>
  <c r="M132" i="484"/>
  <c r="I219" i="484"/>
  <c r="I11" i="484"/>
  <c r="J172" i="484"/>
  <c r="J204" i="484" s="1"/>
  <c r="J37" i="484"/>
  <c r="BW225" i="2"/>
  <c r="DE190" i="1"/>
  <c r="ET267" i="2" l="1"/>
  <c r="ET271" i="2" s="1"/>
  <c r="ES267" i="2"/>
  <c r="ES271" i="2" s="1"/>
  <c r="ER267" i="2"/>
  <c r="ER271" i="2" s="1"/>
  <c r="EQ267" i="2"/>
  <c r="BM184" i="4"/>
  <c r="BT221" i="4"/>
  <c r="ER56" i="2"/>
  <c r="ER289" i="1" s="1"/>
  <c r="EQ55" i="3"/>
  <c r="EQ130" i="2"/>
  <c r="ES138" i="2"/>
  <c r="ES283" i="1"/>
  <c r="ET148" i="2"/>
  <c r="EU150" i="2"/>
  <c r="O290" i="484"/>
  <c r="EU165" i="1"/>
  <c r="EU156" i="1"/>
  <c r="ES129" i="3"/>
  <c r="EA364" i="4"/>
  <c r="EB364" i="4"/>
  <c r="EK132" i="2"/>
  <c r="EK131" i="2" s="1"/>
  <c r="CM112" i="3"/>
  <c r="CL105" i="3"/>
  <c r="CL113" i="3" s="1"/>
  <c r="CM37" i="3"/>
  <c r="DI139" i="3"/>
  <c r="DI145" i="3"/>
  <c r="CE145" i="3"/>
  <c r="CE139" i="3"/>
  <c r="CG37" i="3"/>
  <c r="CF112" i="3"/>
  <c r="CG112" i="3" s="1"/>
  <c r="CA37" i="3"/>
  <c r="BZ112" i="3"/>
  <c r="CV148" i="3"/>
  <c r="CV146" i="3"/>
  <c r="CV147" i="3"/>
  <c r="DC147" i="3"/>
  <c r="DC148" i="3"/>
  <c r="DD112" i="3"/>
  <c r="DE37" i="3"/>
  <c r="DJ112" i="3"/>
  <c r="DK37" i="3"/>
  <c r="CG110" i="3"/>
  <c r="CQ145" i="3"/>
  <c r="CQ139" i="3"/>
  <c r="CK145" i="3"/>
  <c r="CK139" i="3"/>
  <c r="CR112" i="3"/>
  <c r="CS37" i="3"/>
  <c r="BY145" i="3"/>
  <c r="BY139" i="3"/>
  <c r="CX112" i="3"/>
  <c r="CY37" i="3"/>
  <c r="EO27" i="4"/>
  <c r="EO29" i="4" s="1"/>
  <c r="EO30" i="4" s="1"/>
  <c r="EU29" i="4"/>
  <c r="EU30" i="4" s="1"/>
  <c r="BX96" i="2"/>
  <c r="BX95" i="2" s="1"/>
  <c r="BX99" i="2" s="1"/>
  <c r="BX100" i="2" s="1"/>
  <c r="BW183" i="4"/>
  <c r="CC170" i="4"/>
  <c r="BR96" i="2"/>
  <c r="BK184" i="4"/>
  <c r="BK205" i="4"/>
  <c r="DH30" i="4"/>
  <c r="CW108" i="2"/>
  <c r="CV109" i="2"/>
  <c r="X153" i="3"/>
  <c r="EC362" i="4"/>
  <c r="DE85" i="1"/>
  <c r="DU603" i="4"/>
  <c r="DJ136" i="1"/>
  <c r="DT603" i="4"/>
  <c r="BN265" i="1"/>
  <c r="DJ86" i="1"/>
  <c r="DM233" i="1"/>
  <c r="DJ217" i="1"/>
  <c r="DJ345" i="1"/>
  <c r="BM265" i="1"/>
  <c r="CW265" i="1"/>
  <c r="DC265" i="1"/>
  <c r="DZ413" i="4"/>
  <c r="DZ414" i="4"/>
  <c r="DN16" i="2"/>
  <c r="DN24" i="2" s="1"/>
  <c r="DN102" i="2"/>
  <c r="DN32" i="3"/>
  <c r="DC233" i="1"/>
  <c r="DW91" i="2"/>
  <c r="EG89" i="3"/>
  <c r="EG137" i="2" s="1"/>
  <c r="EH14" i="3"/>
  <c r="DZ364" i="4"/>
  <c r="DY364" i="4"/>
  <c r="CY85" i="1"/>
  <c r="DW82" i="1"/>
  <c r="K322" i="484" s="1"/>
  <c r="K321" i="484" s="1"/>
  <c r="EB603" i="4"/>
  <c r="DZ603" i="4"/>
  <c r="EA603" i="4"/>
  <c r="EB602" i="4"/>
  <c r="DZ602" i="4"/>
  <c r="EA602" i="4"/>
  <c r="EC43" i="1"/>
  <c r="CA82" i="1"/>
  <c r="EC28" i="1"/>
  <c r="L133" i="484"/>
  <c r="M123" i="484"/>
  <c r="F235" i="1"/>
  <c r="AA153" i="3"/>
  <c r="AD153" i="3"/>
  <c r="AC153" i="3"/>
  <c r="AY183" i="4"/>
  <c r="I149" i="484"/>
  <c r="I187" i="484"/>
  <c r="I190" i="484" s="1"/>
  <c r="I208" i="484"/>
  <c r="DU602" i="4"/>
  <c r="DQ82" i="1"/>
  <c r="J322" i="484" s="1"/>
  <c r="J321" i="484" s="1"/>
  <c r="CV87" i="1"/>
  <c r="J245" i="484"/>
  <c r="J263" i="484" s="1"/>
  <c r="DS603" i="4"/>
  <c r="CQ233" i="1"/>
  <c r="CA51" i="1"/>
  <c r="DT602" i="4"/>
  <c r="DY602" i="4"/>
  <c r="DS233" i="1"/>
  <c r="EO361" i="4"/>
  <c r="EA29" i="1"/>
  <c r="EA30" i="1"/>
  <c r="EG361" i="4"/>
  <c r="EF361" i="4"/>
  <c r="EE361" i="4"/>
  <c r="EI362" i="4"/>
  <c r="AY305" i="1"/>
  <c r="BM205" i="4"/>
  <c r="BS185" i="4"/>
  <c r="BW305" i="1"/>
  <c r="CA258" i="1"/>
  <c r="EK33" i="3"/>
  <c r="EK108" i="3" s="1"/>
  <c r="EL13" i="2"/>
  <c r="EH112" i="3"/>
  <c r="EI112" i="3" s="1"/>
  <c r="EI37" i="3"/>
  <c r="EI33" i="3"/>
  <c r="EH108" i="3"/>
  <c r="EI108" i="3" s="1"/>
  <c r="EK37" i="3"/>
  <c r="EK112" i="3" s="1"/>
  <c r="EL29" i="2"/>
  <c r="DY603" i="4"/>
  <c r="EB89" i="3"/>
  <c r="DZ438" i="4"/>
  <c r="DZ437" i="4"/>
  <c r="CK265" i="1"/>
  <c r="CO217" i="1"/>
  <c r="DJ89" i="1"/>
  <c r="DJ90" i="1" s="1"/>
  <c r="DJ129" i="1"/>
  <c r="DJ130" i="1" s="1"/>
  <c r="DJ265" i="1"/>
  <c r="CL384" i="4"/>
  <c r="DJ98" i="1"/>
  <c r="DJ105" i="1" s="1"/>
  <c r="DJ233" i="1"/>
  <c r="CR98" i="1"/>
  <c r="CR101" i="1" s="1"/>
  <c r="CU233" i="1"/>
  <c r="DJ113" i="1"/>
  <c r="DJ249" i="1"/>
  <c r="CR233" i="1"/>
  <c r="DI265" i="1"/>
  <c r="DT87" i="1"/>
  <c r="CX217" i="1"/>
  <c r="DJ87" i="1"/>
  <c r="CR89" i="1"/>
  <c r="CR90" i="1" s="1"/>
  <c r="CR86" i="1"/>
  <c r="CR136" i="1"/>
  <c r="CR137" i="1" s="1"/>
  <c r="CR345" i="1"/>
  <c r="CR249" i="1"/>
  <c r="CM383" i="4"/>
  <c r="CR129" i="1"/>
  <c r="CR265" i="1"/>
  <c r="CV265" i="1"/>
  <c r="CU265" i="1"/>
  <c r="DU265" i="1"/>
  <c r="BL233" i="1"/>
  <c r="CQ265" i="1"/>
  <c r="CR87" i="1"/>
  <c r="CR217" i="1"/>
  <c r="CO233" i="1"/>
  <c r="DU87" i="1"/>
  <c r="CO265" i="1"/>
  <c r="DT265" i="1"/>
  <c r="CA75" i="4"/>
  <c r="CL388" i="4"/>
  <c r="CO384" i="4"/>
  <c r="CR381" i="4"/>
  <c r="CS381" i="4" s="1"/>
  <c r="CS388" i="4" s="1"/>
  <c r="BF170" i="4"/>
  <c r="CL382" i="4"/>
  <c r="AZ305" i="1"/>
  <c r="AQ168" i="4"/>
  <c r="AQ305" i="1" s="1"/>
  <c r="AQ142" i="4"/>
  <c r="DQ328" i="4"/>
  <c r="CA84" i="4"/>
  <c r="BZ189" i="4"/>
  <c r="CG91" i="4"/>
  <c r="BZ170" i="4"/>
  <c r="BI91" i="4"/>
  <c r="BI209" i="4"/>
  <c r="BI210" i="4" s="1"/>
  <c r="BC29" i="4"/>
  <c r="BC30" i="4" s="1"/>
  <c r="BC258" i="1" s="1"/>
  <c r="AV210" i="4"/>
  <c r="EI148" i="2"/>
  <c r="EH56" i="3"/>
  <c r="EB419" i="4"/>
  <c r="EA426" i="4"/>
  <c r="DJ315" i="4"/>
  <c r="CE189" i="4"/>
  <c r="BC91" i="4"/>
  <c r="BG189" i="4"/>
  <c r="CA63" i="4"/>
  <c r="AZ183" i="4"/>
  <c r="BI187" i="4"/>
  <c r="BO189" i="4" s="1"/>
  <c r="CA187" i="4"/>
  <c r="CG189" i="4" s="1"/>
  <c r="BY183" i="4"/>
  <c r="BF189" i="4"/>
  <c r="BN185" i="4"/>
  <c r="BC209" i="4"/>
  <c r="BC213" i="4" s="1"/>
  <c r="CA79" i="4"/>
  <c r="BC187" i="4"/>
  <c r="BC188" i="4" s="1"/>
  <c r="BG183" i="4"/>
  <c r="BG185" i="4" s="1"/>
  <c r="BG305" i="1"/>
  <c r="BM170" i="4"/>
  <c r="BM211" i="4"/>
  <c r="BG170" i="4"/>
  <c r="CA209" i="4"/>
  <c r="CA210" i="4" s="1"/>
  <c r="AZ205" i="4"/>
  <c r="CA168" i="4"/>
  <c r="CA305" i="1" s="1"/>
  <c r="CF211" i="4"/>
  <c r="CF170" i="4"/>
  <c r="DO378" i="4"/>
  <c r="BZ305" i="1"/>
  <c r="BX189" i="4"/>
  <c r="BZ183" i="4"/>
  <c r="BZ220" i="4"/>
  <c r="BZ221" i="4" s="1"/>
  <c r="BZ211" i="4"/>
  <c r="DM371" i="4"/>
  <c r="CU291" i="1"/>
  <c r="BM291" i="1"/>
  <c r="BN214" i="2"/>
  <c r="BN201" i="2" s="1"/>
  <c r="BU214" i="2"/>
  <c r="BL214" i="2"/>
  <c r="BL201" i="2" s="1"/>
  <c r="BM214" i="2"/>
  <c r="BM201" i="2" s="1"/>
  <c r="CY275" i="2"/>
  <c r="BK214" i="2"/>
  <c r="DK140" i="2"/>
  <c r="DK135" i="2"/>
  <c r="CR293" i="1"/>
  <c r="CS293" i="1" s="1"/>
  <c r="CR292" i="1"/>
  <c r="CS292" i="1" s="1"/>
  <c r="EE132" i="2"/>
  <c r="DH314" i="4"/>
  <c r="DN316" i="4" s="1"/>
  <c r="CG297" i="1"/>
  <c r="CM225" i="4"/>
  <c r="CM297" i="1" s="1"/>
  <c r="DQ140" i="2"/>
  <c r="DQ135" i="2"/>
  <c r="CS291" i="1"/>
  <c r="CS172" i="1"/>
  <c r="CS174" i="1" s="1"/>
  <c r="DE140" i="2"/>
  <c r="DE135" i="2"/>
  <c r="DW140" i="2"/>
  <c r="DW135" i="2"/>
  <c r="CS140" i="2"/>
  <c r="CS135" i="2"/>
  <c r="BL293" i="1"/>
  <c r="BL292" i="1"/>
  <c r="CW157" i="1"/>
  <c r="CY140" i="2"/>
  <c r="CS170" i="4"/>
  <c r="BS206" i="4"/>
  <c r="BK185" i="4"/>
  <c r="DP100" i="2"/>
  <c r="DQ100" i="2" s="1"/>
  <c r="DQ99" i="2"/>
  <c r="EH84" i="2"/>
  <c r="EC84" i="2"/>
  <c r="DV100" i="2"/>
  <c r="DW100" i="2" s="1"/>
  <c r="DW99" i="2"/>
  <c r="DK99" i="2"/>
  <c r="DJ100" i="2"/>
  <c r="DK100" i="2" s="1"/>
  <c r="CL99" i="2"/>
  <c r="CM95" i="2"/>
  <c r="DZ95" i="2"/>
  <c r="DZ99" i="2" s="1"/>
  <c r="DZ100" i="2" s="1"/>
  <c r="CD96" i="2"/>
  <c r="CC95" i="2"/>
  <c r="CC99" i="2" s="1"/>
  <c r="CC100" i="2" s="1"/>
  <c r="EI87" i="2"/>
  <c r="EN87" i="2"/>
  <c r="ET87" i="2" s="1"/>
  <c r="EU87" i="2" s="1"/>
  <c r="EK84" i="2"/>
  <c r="EQ84" i="2" s="1"/>
  <c r="AT210" i="4"/>
  <c r="AT183" i="4"/>
  <c r="CR100" i="2"/>
  <c r="CS100" i="2" s="1"/>
  <c r="CS99" i="2"/>
  <c r="BQ305" i="1"/>
  <c r="BR95" i="2"/>
  <c r="BR99" i="2" s="1"/>
  <c r="BR100" i="2" s="1"/>
  <c r="BS96" i="2"/>
  <c r="BS95" i="2" s="1"/>
  <c r="BS99" i="2" s="1"/>
  <c r="BS100" i="2" s="1"/>
  <c r="BR305" i="1"/>
  <c r="DN378" i="4"/>
  <c r="DE95" i="2"/>
  <c r="DD99" i="2"/>
  <c r="AU210" i="4"/>
  <c r="CX100" i="2"/>
  <c r="CY100" i="2" s="1"/>
  <c r="CY99" i="2"/>
  <c r="CM82" i="1"/>
  <c r="BI82" i="1"/>
  <c r="BI2" i="1" s="1"/>
  <c r="DS265" i="1"/>
  <c r="DV87" i="1"/>
  <c r="BQ469" i="4"/>
  <c r="DE82" i="1"/>
  <c r="H322" i="484" s="1"/>
  <c r="H323" i="484" s="1"/>
  <c r="CG82" i="1"/>
  <c r="BR512" i="4"/>
  <c r="CQ346" i="1"/>
  <c r="DK82" i="1"/>
  <c r="I322" i="484" s="1"/>
  <c r="I246" i="484" s="1"/>
  <c r="DH346" i="1"/>
  <c r="BU82" i="1"/>
  <c r="AK176" i="2"/>
  <c r="AE179" i="2"/>
  <c r="AE180" i="2" s="1"/>
  <c r="V195" i="2"/>
  <c r="AB195" i="2"/>
  <c r="O195" i="2"/>
  <c r="X195" i="2"/>
  <c r="Q195" i="2"/>
  <c r="W195" i="2"/>
  <c r="AD195" i="2"/>
  <c r="AC195" i="2"/>
  <c r="AA195" i="2"/>
  <c r="W153" i="3"/>
  <c r="U153" i="3"/>
  <c r="V153" i="3"/>
  <c r="U195" i="2"/>
  <c r="R195" i="2"/>
  <c r="P195" i="2"/>
  <c r="Q186" i="2"/>
  <c r="Q188" i="2" s="1"/>
  <c r="AD186" i="2"/>
  <c r="AD188" i="2" s="1"/>
  <c r="U186" i="2"/>
  <c r="U10" i="3"/>
  <c r="V10" i="3" s="1"/>
  <c r="W10" i="3" s="1"/>
  <c r="AC186" i="2"/>
  <c r="AC188" i="2" s="1"/>
  <c r="V186" i="2"/>
  <c r="V188" i="2" s="1"/>
  <c r="P186" i="2"/>
  <c r="P188" i="2" s="1"/>
  <c r="X186" i="2"/>
  <c r="X188" i="2" s="1"/>
  <c r="AA10" i="3"/>
  <c r="AB10" i="3" s="1"/>
  <c r="AC10" i="3" s="1"/>
  <c r="AA186" i="2"/>
  <c r="R186" i="2"/>
  <c r="R188" i="2" s="1"/>
  <c r="W186" i="2"/>
  <c r="W188" i="2" s="1"/>
  <c r="AB186" i="2"/>
  <c r="AB188" i="2" s="1"/>
  <c r="O10" i="3"/>
  <c r="O186" i="2"/>
  <c r="EN89" i="3"/>
  <c r="EN137" i="2" s="1"/>
  <c r="EO14" i="3"/>
  <c r="EM137" i="2"/>
  <c r="I8" i="484"/>
  <c r="J75" i="484" s="1"/>
  <c r="J13" i="484"/>
  <c r="J144" i="484" s="1"/>
  <c r="I9" i="484"/>
  <c r="J76" i="484" s="1"/>
  <c r="H175" i="484"/>
  <c r="H209" i="484" s="1"/>
  <c r="J12" i="484"/>
  <c r="K79" i="484" s="1"/>
  <c r="BU258" i="1"/>
  <c r="DA346" i="1"/>
  <c r="CM105" i="3"/>
  <c r="CM113" i="3" s="1"/>
  <c r="CW146" i="3"/>
  <c r="CW148" i="3"/>
  <c r="CW147" i="3"/>
  <c r="DC146" i="3"/>
  <c r="CW346" i="1"/>
  <c r="EI283" i="1"/>
  <c r="EN148" i="2"/>
  <c r="EN56" i="3" s="1"/>
  <c r="EO150" i="2"/>
  <c r="BQ261" i="2"/>
  <c r="DE221" i="2"/>
  <c r="DH221" i="2"/>
  <c r="DI221" i="2" s="1"/>
  <c r="AH240" i="2"/>
  <c r="AH241" i="2" s="1"/>
  <c r="CO222" i="2"/>
  <c r="CL222" i="2"/>
  <c r="EH98" i="2"/>
  <c r="AQ178" i="1"/>
  <c r="AQ181" i="1"/>
  <c r="BB252" i="2"/>
  <c r="BC252" i="2" s="1"/>
  <c r="BY116" i="2"/>
  <c r="BZ114" i="2"/>
  <c r="BU176" i="1"/>
  <c r="DO141" i="2"/>
  <c r="DN151" i="2"/>
  <c r="W232" i="2"/>
  <c r="AM245" i="2"/>
  <c r="BI257" i="2"/>
  <c r="BK256" i="2"/>
  <c r="AQ211" i="2"/>
  <c r="AS204" i="2"/>
  <c r="AW216" i="2"/>
  <c r="AQ297" i="2"/>
  <c r="AQ176" i="1"/>
  <c r="DC121" i="2"/>
  <c r="DD107" i="2"/>
  <c r="DA110" i="2"/>
  <c r="DB110" i="2" s="1"/>
  <c r="DB106" i="2"/>
  <c r="EM138" i="2"/>
  <c r="EM283" i="1"/>
  <c r="AC236" i="2"/>
  <c r="AC237" i="2" s="1"/>
  <c r="EH138" i="2"/>
  <c r="EH283" i="1"/>
  <c r="EH96" i="2"/>
  <c r="CF223" i="2"/>
  <c r="CI223" i="2"/>
  <c r="CR113" i="2"/>
  <c r="CQ116" i="2"/>
  <c r="DS115" i="2"/>
  <c r="DT115" i="2" s="1"/>
  <c r="DU115" i="2" s="1"/>
  <c r="DV115" i="2" s="1"/>
  <c r="DQ115" i="2"/>
  <c r="DE274" i="2"/>
  <c r="EL267" i="2"/>
  <c r="EL271" i="2" s="1"/>
  <c r="EE267" i="2"/>
  <c r="EB267" i="2"/>
  <c r="EB271" i="2" s="1"/>
  <c r="DU267" i="2"/>
  <c r="DU271" i="2" s="1"/>
  <c r="DN267" i="2"/>
  <c r="DN271" i="2" s="1"/>
  <c r="DG267" i="2"/>
  <c r="DD267" i="2"/>
  <c r="DD271" i="2" s="1"/>
  <c r="CW267" i="2"/>
  <c r="CW271" i="2" s="1"/>
  <c r="CP267" i="2"/>
  <c r="CP271" i="2" s="1"/>
  <c r="CI267" i="2"/>
  <c r="CF267" i="2"/>
  <c r="BY267" i="2"/>
  <c r="EN267" i="2"/>
  <c r="EN271" i="2" s="1"/>
  <c r="EG267" i="2"/>
  <c r="EG271" i="2" s="1"/>
  <c r="DZ267" i="2"/>
  <c r="DZ271" i="2" s="1"/>
  <c r="DS267" i="2"/>
  <c r="DP267" i="2"/>
  <c r="DP271" i="2" s="1"/>
  <c r="DI267" i="2"/>
  <c r="DI271" i="2" s="1"/>
  <c r="DB267" i="2"/>
  <c r="DB271" i="2" s="1"/>
  <c r="CU267" i="2"/>
  <c r="CR267" i="2"/>
  <c r="CR271" i="2" s="1"/>
  <c r="CK267" i="2"/>
  <c r="CK271" i="2" s="1"/>
  <c r="CD267" i="2"/>
  <c r="BW267" i="2"/>
  <c r="EM267" i="2"/>
  <c r="EM271" i="2" s="1"/>
  <c r="EF267" i="2"/>
  <c r="EF271" i="2" s="1"/>
  <c r="DY267" i="2"/>
  <c r="DV267" i="2"/>
  <c r="DV271" i="2" s="1"/>
  <c r="DO267" i="2"/>
  <c r="DO271" i="2" s="1"/>
  <c r="DH267" i="2"/>
  <c r="DH271" i="2" s="1"/>
  <c r="DA267" i="2"/>
  <c r="CX267" i="2"/>
  <c r="CX271" i="2" s="1"/>
  <c r="CQ267" i="2"/>
  <c r="CQ271" i="2" s="1"/>
  <c r="CJ267" i="2"/>
  <c r="CJ271" i="2" s="1"/>
  <c r="CC267" i="2"/>
  <c r="BZ267" i="2"/>
  <c r="CL267" i="2"/>
  <c r="CL271" i="2" s="1"/>
  <c r="CE267" i="2"/>
  <c r="BX267" i="2"/>
  <c r="EH267" i="2"/>
  <c r="EH271" i="2" s="1"/>
  <c r="EA267" i="2"/>
  <c r="EA271" i="2" s="1"/>
  <c r="DT267" i="2"/>
  <c r="DT271" i="2" s="1"/>
  <c r="DM267" i="2"/>
  <c r="DC267" i="2"/>
  <c r="DC271" i="2" s="1"/>
  <c r="CO267" i="2"/>
  <c r="DJ267" i="2"/>
  <c r="DJ271" i="2" s="1"/>
  <c r="CV267" i="2"/>
  <c r="CV271" i="2" s="1"/>
  <c r="BW268" i="2"/>
  <c r="EK267" i="2"/>
  <c r="H321" i="484"/>
  <c r="DC105" i="1"/>
  <c r="DC101" i="1"/>
  <c r="DC152" i="3" s="1"/>
  <c r="DC137" i="1"/>
  <c r="DC139" i="1"/>
  <c r="DC346" i="1"/>
  <c r="C154" i="1"/>
  <c r="C150" i="1" s="1"/>
  <c r="BN101" i="1"/>
  <c r="BN152" i="3" s="1"/>
  <c r="BN105" i="1"/>
  <c r="BN185" i="2" s="1"/>
  <c r="F154" i="1"/>
  <c r="F150" i="1" s="1"/>
  <c r="M154" i="1"/>
  <c r="M150" i="1"/>
  <c r="AV139" i="1"/>
  <c r="AV137" i="1"/>
  <c r="AH139" i="1"/>
  <c r="AH137" i="1"/>
  <c r="DI130" i="1"/>
  <c r="DI346" i="1"/>
  <c r="BM105" i="1"/>
  <c r="BM185" i="2" s="1"/>
  <c r="BM101" i="1"/>
  <c r="BM152" i="3" s="1"/>
  <c r="DT346" i="1"/>
  <c r="AU139" i="1"/>
  <c r="AU137" i="1"/>
  <c r="CX346" i="1"/>
  <c r="DE345" i="1"/>
  <c r="DE249" i="1"/>
  <c r="DE217" i="1"/>
  <c r="DE87" i="1"/>
  <c r="DE89" i="1"/>
  <c r="DE90" i="1" s="1"/>
  <c r="DE86" i="1"/>
  <c r="Q268" i="1"/>
  <c r="Q235" i="1"/>
  <c r="Q219" i="1"/>
  <c r="Q108" i="1"/>
  <c r="Q457" i="4"/>
  <c r="DG345" i="1"/>
  <c r="DG265" i="1"/>
  <c r="DG249" i="1"/>
  <c r="DG233" i="1"/>
  <c r="DG217" i="1"/>
  <c r="DG136" i="1"/>
  <c r="DG129" i="1"/>
  <c r="DG86" i="1"/>
  <c r="DG89" i="1"/>
  <c r="DG90" i="1" s="1"/>
  <c r="DG98" i="1"/>
  <c r="DG87" i="1"/>
  <c r="DN345" i="1"/>
  <c r="DN249" i="1"/>
  <c r="DN265" i="1"/>
  <c r="DN233" i="1"/>
  <c r="DN217" i="1"/>
  <c r="DN136" i="1"/>
  <c r="DN129" i="1"/>
  <c r="DN86" i="1"/>
  <c r="DN98" i="1"/>
  <c r="DN89" i="1"/>
  <c r="DN90" i="1" s="1"/>
  <c r="DN87" i="1"/>
  <c r="CQ139" i="1"/>
  <c r="CQ137" i="1"/>
  <c r="DU130" i="1"/>
  <c r="AB149" i="1"/>
  <c r="AB154" i="1"/>
  <c r="W268" i="1"/>
  <c r="W235" i="1"/>
  <c r="W219" i="1"/>
  <c r="W108" i="1"/>
  <c r="W457" i="4"/>
  <c r="DM130" i="1"/>
  <c r="CV130" i="1"/>
  <c r="CU130" i="1"/>
  <c r="CY129" i="1"/>
  <c r="CU346" i="1"/>
  <c r="E235" i="1"/>
  <c r="E154" i="1"/>
  <c r="E150" i="1" s="1"/>
  <c r="AZ139" i="1"/>
  <c r="AZ137" i="1"/>
  <c r="CE139" i="1"/>
  <c r="CE137" i="1"/>
  <c r="Y105" i="1"/>
  <c r="Y101" i="1"/>
  <c r="DW136" i="1"/>
  <c r="DS139" i="1"/>
  <c r="DS137" i="1"/>
  <c r="BF130" i="1"/>
  <c r="BF131" i="1"/>
  <c r="BF132" i="1" s="1"/>
  <c r="DZ267" i="1"/>
  <c r="DZ229" i="1"/>
  <c r="DZ245" i="1"/>
  <c r="DZ213" i="1"/>
  <c r="CK105" i="1"/>
  <c r="CK101" i="1"/>
  <c r="AO131" i="1"/>
  <c r="AO132" i="1" s="1"/>
  <c r="AO130" i="1"/>
  <c r="BL139" i="1"/>
  <c r="BL147" i="1" s="1"/>
  <c r="BL137" i="1"/>
  <c r="BS131" i="1"/>
  <c r="BS132" i="1" s="1"/>
  <c r="BS130" i="1"/>
  <c r="AA154" i="1"/>
  <c r="AA149" i="1"/>
  <c r="DV139" i="1"/>
  <c r="DV137" i="1"/>
  <c r="BZ130" i="1"/>
  <c r="CC130" i="1"/>
  <c r="DP345" i="1"/>
  <c r="DP265" i="1"/>
  <c r="DP249" i="1"/>
  <c r="DP233" i="1"/>
  <c r="DP217" i="1"/>
  <c r="DP136" i="1"/>
  <c r="DP129" i="1"/>
  <c r="DP89" i="1"/>
  <c r="DP90" i="1" s="1"/>
  <c r="DP87" i="1"/>
  <c r="DP86" i="1"/>
  <c r="DP98" i="1"/>
  <c r="BQ512" i="4"/>
  <c r="BR469" i="4"/>
  <c r="BR131" i="1"/>
  <c r="BR132" i="1" s="1"/>
  <c r="BR130" i="1"/>
  <c r="AQ249" i="1"/>
  <c r="AQ217" i="1"/>
  <c r="AQ136" i="1"/>
  <c r="AQ89" i="1"/>
  <c r="AQ90" i="1" s="1"/>
  <c r="AQ87" i="1"/>
  <c r="AQ98" i="1"/>
  <c r="AQ86" i="1"/>
  <c r="BA139" i="1"/>
  <c r="BA137" i="1"/>
  <c r="J268" i="1"/>
  <c r="J235" i="1"/>
  <c r="J219" i="1"/>
  <c r="J108" i="1"/>
  <c r="D154" i="1"/>
  <c r="D150" i="1" s="1"/>
  <c r="CS9" i="4"/>
  <c r="CM9" i="4"/>
  <c r="CM12" i="4"/>
  <c r="CY345" i="1"/>
  <c r="CY249" i="1"/>
  <c r="CY89" i="1"/>
  <c r="CY90" i="1" s="1"/>
  <c r="CY86" i="1"/>
  <c r="AY105" i="1"/>
  <c r="AY185" i="2" s="1"/>
  <c r="AY101" i="1"/>
  <c r="AY152" i="3" s="1"/>
  <c r="R268" i="1"/>
  <c r="R219" i="1"/>
  <c r="R235" i="1"/>
  <c r="R108" i="1"/>
  <c r="R457" i="4"/>
  <c r="EI210" i="1"/>
  <c r="DA101" i="1"/>
  <c r="DA152" i="3" s="1"/>
  <c r="DA105" i="1"/>
  <c r="EN94" i="1"/>
  <c r="EM93" i="1"/>
  <c r="AQ129" i="1"/>
  <c r="AM131" i="1"/>
  <c r="AM132" i="1" s="1"/>
  <c r="AM130" i="1"/>
  <c r="EC210" i="1"/>
  <c r="Q154" i="1"/>
  <c r="Q150" i="1" s="1"/>
  <c r="Q149" i="1"/>
  <c r="BX130" i="1"/>
  <c r="BG139" i="1"/>
  <c r="BG137" i="1"/>
  <c r="CS82" i="1"/>
  <c r="CO139" i="1"/>
  <c r="CO137" i="1"/>
  <c r="CO346" i="1"/>
  <c r="BW130" i="1"/>
  <c r="CA129" i="1"/>
  <c r="DB345" i="1"/>
  <c r="DB265" i="1"/>
  <c r="DB249" i="1"/>
  <c r="DB233" i="1"/>
  <c r="DB217" i="1"/>
  <c r="DB129" i="1"/>
  <c r="DB136" i="1"/>
  <c r="DB87" i="1"/>
  <c r="DB89" i="1"/>
  <c r="DB90" i="1" s="1"/>
  <c r="DB86" i="1"/>
  <c r="DB98" i="1"/>
  <c r="DI139" i="1"/>
  <c r="DI137" i="1"/>
  <c r="DT130" i="1"/>
  <c r="AN131" i="1"/>
  <c r="AN132" i="1" s="1"/>
  <c r="AN130" i="1"/>
  <c r="AU101" i="1"/>
  <c r="AU152" i="3" s="1"/>
  <c r="AU105" i="1"/>
  <c r="AU185" i="2" s="1"/>
  <c r="S139" i="1"/>
  <c r="S137" i="1"/>
  <c r="CX130" i="1"/>
  <c r="AT131" i="1"/>
  <c r="AT132" i="1" s="1"/>
  <c r="AT130" i="1"/>
  <c r="CQ105" i="1"/>
  <c r="CQ101" i="1"/>
  <c r="DU158" i="1"/>
  <c r="DV157" i="1"/>
  <c r="DU101" i="1"/>
  <c r="DU152" i="3" s="1"/>
  <c r="DU105" i="1"/>
  <c r="DU139" i="1"/>
  <c r="DU137" i="1"/>
  <c r="BY101" i="1"/>
  <c r="BY152" i="3" s="1"/>
  <c r="BY105" i="1"/>
  <c r="BY130" i="1"/>
  <c r="U154" i="1"/>
  <c r="U150" i="1" s="1"/>
  <c r="U149" i="1"/>
  <c r="CR192" i="1"/>
  <c r="CQ192" i="1" s="1"/>
  <c r="CP192" i="1" s="1"/>
  <c r="CO192" i="1" s="1"/>
  <c r="CY192" i="1"/>
  <c r="DM87" i="1"/>
  <c r="DM217" i="1"/>
  <c r="AC268" i="1"/>
  <c r="AC235" i="1"/>
  <c r="AC219" i="1"/>
  <c r="AC108" i="1"/>
  <c r="AC457" i="4"/>
  <c r="CV139" i="1"/>
  <c r="CV137" i="1"/>
  <c r="CY136" i="1"/>
  <c r="CU139" i="1"/>
  <c r="CU137" i="1"/>
  <c r="CD249" i="1"/>
  <c r="CD233" i="1"/>
  <c r="CD265" i="1"/>
  <c r="CD217" i="1"/>
  <c r="CD129" i="1"/>
  <c r="CG129" i="1" s="1"/>
  <c r="CD136" i="1"/>
  <c r="CG136" i="1" s="1"/>
  <c r="CD89" i="1"/>
  <c r="CD90" i="1" s="1"/>
  <c r="CD87" i="1"/>
  <c r="CD98" i="1"/>
  <c r="CG98" i="1" s="1"/>
  <c r="CD86" i="1"/>
  <c r="EL226" i="1"/>
  <c r="EL210" i="1"/>
  <c r="BE131" i="1"/>
  <c r="BE132" i="1" s="1"/>
  <c r="BE130" i="1"/>
  <c r="BI129" i="1"/>
  <c r="BH105" i="1"/>
  <c r="BH185" i="2" s="1"/>
  <c r="BH101" i="1"/>
  <c r="BH152" i="3" s="1"/>
  <c r="BH131" i="1"/>
  <c r="BH132" i="1" s="1"/>
  <c r="BH130" i="1"/>
  <c r="L268" i="1"/>
  <c r="L235" i="1"/>
  <c r="L219" i="1"/>
  <c r="L108" i="1"/>
  <c r="CM85" i="1"/>
  <c r="CM51" i="1"/>
  <c r="G154" i="1"/>
  <c r="G150" i="1"/>
  <c r="M219" i="1"/>
  <c r="M108" i="1"/>
  <c r="DH137" i="1"/>
  <c r="DH139" i="1"/>
  <c r="DH233" i="1"/>
  <c r="AZ101" i="1"/>
  <c r="AZ152" i="3" s="1"/>
  <c r="AZ105" i="1"/>
  <c r="AZ185" i="2" s="1"/>
  <c r="L154" i="1"/>
  <c r="L150" i="1" s="1"/>
  <c r="CE105" i="1"/>
  <c r="CE101" i="1"/>
  <c r="CE152" i="3" s="1"/>
  <c r="AI105" i="1"/>
  <c r="AI185" i="2" s="1"/>
  <c r="AI101" i="1"/>
  <c r="AP130" i="1"/>
  <c r="AP131" i="1"/>
  <c r="AP132" i="1" s="1"/>
  <c r="AS139" i="1"/>
  <c r="AS137" i="1"/>
  <c r="CA249" i="1"/>
  <c r="CA89" i="1"/>
  <c r="CA90" i="1" s="1"/>
  <c r="CA86" i="1"/>
  <c r="DZ246" i="1"/>
  <c r="DZ230" i="1"/>
  <c r="DZ214" i="1"/>
  <c r="AO139" i="1"/>
  <c r="AO137" i="1"/>
  <c r="EK226" i="1"/>
  <c r="EK210" i="1"/>
  <c r="BL105" i="1"/>
  <c r="BL185" i="2" s="1"/>
  <c r="BL101" i="1"/>
  <c r="BL152" i="3" s="1"/>
  <c r="BS139" i="1"/>
  <c r="BS137" i="1"/>
  <c r="EM226" i="1"/>
  <c r="EM210" i="1"/>
  <c r="DV105" i="1"/>
  <c r="DV101" i="1"/>
  <c r="DV152" i="3" s="1"/>
  <c r="BZ105" i="1"/>
  <c r="BZ101" i="1"/>
  <c r="BZ139" i="1"/>
  <c r="BZ137" i="1"/>
  <c r="R150" i="1"/>
  <c r="R149" i="1"/>
  <c r="R154" i="1"/>
  <c r="CC101" i="1"/>
  <c r="CC152" i="3" s="1"/>
  <c r="CC105" i="1"/>
  <c r="BK265" i="1"/>
  <c r="BK249" i="1"/>
  <c r="BK233" i="1"/>
  <c r="BK217" i="1"/>
  <c r="BK129" i="1"/>
  <c r="BK136" i="1"/>
  <c r="BK87" i="1"/>
  <c r="BK89" i="1"/>
  <c r="BK90" i="1" s="1"/>
  <c r="BK86" i="1"/>
  <c r="BK98" i="1"/>
  <c r="BR105" i="1"/>
  <c r="BR101" i="1"/>
  <c r="BR139" i="1"/>
  <c r="BR137" i="1"/>
  <c r="BO82" i="1"/>
  <c r="BQ105" i="1"/>
  <c r="BQ101" i="1"/>
  <c r="BQ131" i="1"/>
  <c r="BQ132" i="1" s="1"/>
  <c r="BQ130" i="1"/>
  <c r="AC154" i="1"/>
  <c r="AC149" i="1"/>
  <c r="EL138" i="1"/>
  <c r="EL322" i="1" s="1"/>
  <c r="CF105" i="1"/>
  <c r="CF101" i="1"/>
  <c r="CF130" i="1"/>
  <c r="CF265" i="1"/>
  <c r="AJ105" i="1"/>
  <c r="AJ185" i="2" s="1"/>
  <c r="AJ101" i="1"/>
  <c r="V154" i="1"/>
  <c r="V149" i="1"/>
  <c r="DJ101" i="1"/>
  <c r="DJ139" i="1"/>
  <c r="DJ137" i="1"/>
  <c r="CR130" i="1"/>
  <c r="DK184" i="1"/>
  <c r="BX137" i="1"/>
  <c r="BX139" i="1"/>
  <c r="DC130" i="1"/>
  <c r="BG105" i="1"/>
  <c r="BG185" i="2" s="1"/>
  <c r="BG101" i="1"/>
  <c r="BG152" i="3" s="1"/>
  <c r="AE154" i="1"/>
  <c r="AE149" i="1"/>
  <c r="AE150" i="1"/>
  <c r="AE196" i="2" s="1"/>
  <c r="BN131" i="1"/>
  <c r="BN132" i="1" s="1"/>
  <c r="BN130" i="1"/>
  <c r="AD154" i="1"/>
  <c r="AD150" i="1" s="1"/>
  <c r="AD149" i="1"/>
  <c r="BU85" i="1"/>
  <c r="BU51" i="1"/>
  <c r="AW249" i="1"/>
  <c r="AW217" i="1"/>
  <c r="AW136" i="1"/>
  <c r="AW86" i="1"/>
  <c r="AW98" i="1"/>
  <c r="AW89" i="1"/>
  <c r="AW90" i="1" s="1"/>
  <c r="AW87" i="1"/>
  <c r="CA136" i="1"/>
  <c r="BW139" i="1"/>
  <c r="BW137" i="1"/>
  <c r="BM131" i="1"/>
  <c r="BM132" i="1" s="1"/>
  <c r="BM130" i="1"/>
  <c r="U268" i="1"/>
  <c r="U235" i="1"/>
  <c r="U219" i="1"/>
  <c r="U108" i="1"/>
  <c r="U457" i="4"/>
  <c r="DT139" i="1"/>
  <c r="DT137" i="1"/>
  <c r="AN105" i="1"/>
  <c r="AN185" i="2" s="1"/>
  <c r="AN101" i="1"/>
  <c r="AN152" i="3" s="1"/>
  <c r="AN139" i="1"/>
  <c r="AN137" i="1"/>
  <c r="CX105" i="1"/>
  <c r="CX101" i="1"/>
  <c r="CX139" i="1"/>
  <c r="CX137" i="1"/>
  <c r="BB131" i="1"/>
  <c r="BB132" i="1" s="1"/>
  <c r="BB130" i="1"/>
  <c r="V268" i="1"/>
  <c r="V235" i="1"/>
  <c r="V219" i="1"/>
  <c r="V108" i="1"/>
  <c r="V457" i="4"/>
  <c r="AG101" i="1"/>
  <c r="AG105" i="1"/>
  <c r="AG185" i="2" s="1"/>
  <c r="DK85" i="1"/>
  <c r="DQ217" i="1" s="1"/>
  <c r="DK51" i="1"/>
  <c r="AT139" i="1"/>
  <c r="AT137" i="1"/>
  <c r="J246" i="484"/>
  <c r="J352" i="484" s="1"/>
  <c r="BY139" i="1"/>
  <c r="BY137" i="1"/>
  <c r="I323" i="484"/>
  <c r="P149" i="1"/>
  <c r="P154" i="1"/>
  <c r="DM139" i="1"/>
  <c r="DM137" i="1"/>
  <c r="DM346" i="1"/>
  <c r="CV101" i="1"/>
  <c r="CV152" i="3" s="1"/>
  <c r="CV105" i="1"/>
  <c r="CU105" i="1"/>
  <c r="CY98" i="1"/>
  <c r="CU101" i="1"/>
  <c r="CU152" i="3" s="1"/>
  <c r="DO345" i="1"/>
  <c r="DO249" i="1"/>
  <c r="DO265" i="1"/>
  <c r="DO233" i="1"/>
  <c r="DO217" i="1"/>
  <c r="DO136" i="1"/>
  <c r="DO129" i="1"/>
  <c r="DO98" i="1"/>
  <c r="DO89" i="1"/>
  <c r="DO90" i="1" s="1"/>
  <c r="DO87" i="1"/>
  <c r="DO86" i="1"/>
  <c r="BE101" i="1"/>
  <c r="BE152" i="3" s="1"/>
  <c r="BE105" i="1"/>
  <c r="BE185" i="2" s="1"/>
  <c r="BH139" i="1"/>
  <c r="BH137" i="1"/>
  <c r="CP345" i="1"/>
  <c r="CP265" i="1"/>
  <c r="CP249" i="1"/>
  <c r="CP233" i="1"/>
  <c r="CP217" i="1"/>
  <c r="CP136" i="1"/>
  <c r="CP129" i="1"/>
  <c r="CP87" i="1"/>
  <c r="CP98" i="1"/>
  <c r="CP86" i="1"/>
  <c r="CP89" i="1"/>
  <c r="CP90" i="1" s="1"/>
  <c r="DH87" i="1"/>
  <c r="DH265" i="1"/>
  <c r="CE130" i="1"/>
  <c r="CE265" i="1"/>
  <c r="AI139" i="1"/>
  <c r="AI137" i="1"/>
  <c r="AP139" i="1"/>
  <c r="AP137" i="1"/>
  <c r="Y139" i="1"/>
  <c r="Y137" i="1"/>
  <c r="DS105" i="1"/>
  <c r="DW98" i="1"/>
  <c r="DS101" i="1"/>
  <c r="DS152" i="3" s="1"/>
  <c r="BF139" i="1"/>
  <c r="BF137" i="1"/>
  <c r="CK130" i="1"/>
  <c r="BL131" i="1"/>
  <c r="BL132" i="1" s="1"/>
  <c r="BL130" i="1"/>
  <c r="BS101" i="1"/>
  <c r="BS105" i="1"/>
  <c r="DV346" i="1"/>
  <c r="CC139" i="1"/>
  <c r="CC137" i="1"/>
  <c r="AB268" i="1"/>
  <c r="AB235" i="1"/>
  <c r="AB219" i="1"/>
  <c r="AB108" i="1"/>
  <c r="AB457" i="4"/>
  <c r="EN226" i="1"/>
  <c r="EN210" i="1"/>
  <c r="CW130" i="1"/>
  <c r="BQ87" i="1"/>
  <c r="BQ217" i="1"/>
  <c r="BT249" i="1"/>
  <c r="BT265" i="1"/>
  <c r="BT233" i="1"/>
  <c r="BT217" i="1"/>
  <c r="BT129" i="1"/>
  <c r="BT136" i="1"/>
  <c r="BT89" i="1"/>
  <c r="BT90" i="1" s="1"/>
  <c r="BT87" i="1"/>
  <c r="BT98" i="1"/>
  <c r="BU98" i="1" s="1"/>
  <c r="BT86" i="1"/>
  <c r="AY131" i="1"/>
  <c r="AY132" i="1" s="1"/>
  <c r="AY130" i="1"/>
  <c r="BC129" i="1"/>
  <c r="O149" i="1"/>
  <c r="O154" i="1"/>
  <c r="X268" i="1"/>
  <c r="X235" i="1"/>
  <c r="X219" i="1"/>
  <c r="X108" i="1"/>
  <c r="X457" i="4"/>
  <c r="DA139" i="1"/>
  <c r="DA137" i="1"/>
  <c r="CF139" i="1"/>
  <c r="CF137" i="1"/>
  <c r="AJ139" i="1"/>
  <c r="AJ137" i="1"/>
  <c r="AM139" i="1"/>
  <c r="AM137" i="1"/>
  <c r="K268" i="1"/>
  <c r="K235" i="1"/>
  <c r="K219" i="1"/>
  <c r="K108" i="1"/>
  <c r="AV183" i="4"/>
  <c r="AV305" i="1"/>
  <c r="CY82" i="1"/>
  <c r="AK249" i="1"/>
  <c r="AK217" i="1"/>
  <c r="AK136" i="1"/>
  <c r="AK98" i="1"/>
  <c r="AK87" i="1"/>
  <c r="AK86" i="1"/>
  <c r="BX101" i="1"/>
  <c r="BX152" i="3" s="1"/>
  <c r="BX105" i="1"/>
  <c r="BG131" i="1"/>
  <c r="BG132" i="1" s="1"/>
  <c r="BG130" i="1"/>
  <c r="BN139" i="1"/>
  <c r="BN147" i="1" s="1"/>
  <c r="BN137" i="1"/>
  <c r="CO105" i="1"/>
  <c r="CO101" i="1"/>
  <c r="CO130" i="1"/>
  <c r="AV101" i="1"/>
  <c r="AV152" i="3" s="1"/>
  <c r="AV105" i="1"/>
  <c r="AV185" i="2" s="1"/>
  <c r="AV130" i="1"/>
  <c r="AV131" i="1"/>
  <c r="AV132" i="1" s="1"/>
  <c r="DW345" i="1"/>
  <c r="DW249" i="1"/>
  <c r="DW217" i="1"/>
  <c r="DW89" i="1"/>
  <c r="DW90" i="1" s="1"/>
  <c r="DW87" i="1"/>
  <c r="DW86" i="1"/>
  <c r="BW105" i="1"/>
  <c r="CA98" i="1"/>
  <c r="BW101" i="1"/>
  <c r="BW152" i="3" s="1"/>
  <c r="AH101" i="1"/>
  <c r="AH105" i="1"/>
  <c r="AH185" i="2" s="1"/>
  <c r="DI105" i="1"/>
  <c r="DI101" i="1"/>
  <c r="BM139" i="1"/>
  <c r="BM147" i="1" s="1"/>
  <c r="BM137" i="1"/>
  <c r="DT101" i="1"/>
  <c r="DT152" i="3" s="1"/>
  <c r="DT105" i="1"/>
  <c r="AU131" i="1"/>
  <c r="AU132" i="1" s="1"/>
  <c r="AU130" i="1"/>
  <c r="S105" i="1"/>
  <c r="S101" i="1"/>
  <c r="BB105" i="1"/>
  <c r="BB185" i="2" s="1"/>
  <c r="BB101" i="1"/>
  <c r="BB152" i="3" s="1"/>
  <c r="BB139" i="1"/>
  <c r="BB137" i="1"/>
  <c r="AG139" i="1"/>
  <c r="AG137" i="1"/>
  <c r="EK322" i="1"/>
  <c r="AT105" i="1"/>
  <c r="AT185" i="2" s="1"/>
  <c r="AT101" i="1"/>
  <c r="AT152" i="3" s="1"/>
  <c r="CQ130" i="1"/>
  <c r="DU346" i="1"/>
  <c r="DM105" i="1"/>
  <c r="DM101" i="1"/>
  <c r="DM152" i="3" s="1"/>
  <c r="CS85" i="1"/>
  <c r="CS51" i="1"/>
  <c r="CV346" i="1"/>
  <c r="CJ265" i="1"/>
  <c r="CJ249" i="1"/>
  <c r="CJ233" i="1"/>
  <c r="CJ217" i="1"/>
  <c r="CJ129" i="1"/>
  <c r="CJ136" i="1"/>
  <c r="CJ89" i="1"/>
  <c r="CJ90" i="1" s="1"/>
  <c r="CJ86" i="1"/>
  <c r="CJ98" i="1"/>
  <c r="CJ87" i="1"/>
  <c r="BC249" i="1"/>
  <c r="BC217" i="1"/>
  <c r="BC136" i="1"/>
  <c r="BC137" i="1" s="1"/>
  <c r="BC98" i="1"/>
  <c r="BC89" i="1"/>
  <c r="BC90" i="1" s="1"/>
  <c r="BC87" i="1"/>
  <c r="BC86" i="1"/>
  <c r="J154" i="1"/>
  <c r="J150" i="1" s="1"/>
  <c r="DD345" i="1"/>
  <c r="DD265" i="1"/>
  <c r="DD249" i="1"/>
  <c r="DD217" i="1"/>
  <c r="DD233" i="1"/>
  <c r="DD136" i="1"/>
  <c r="DD129" i="1"/>
  <c r="DD89" i="1"/>
  <c r="DD90" i="1" s="1"/>
  <c r="DD86" i="1"/>
  <c r="DD98" i="1"/>
  <c r="DD87" i="1"/>
  <c r="BI136" i="1"/>
  <c r="BE139" i="1"/>
  <c r="BE137" i="1"/>
  <c r="DY345" i="1"/>
  <c r="DY265" i="1"/>
  <c r="DY249" i="1"/>
  <c r="DY233" i="1"/>
  <c r="DY217" i="1"/>
  <c r="DY129" i="1"/>
  <c r="DY136" i="1"/>
  <c r="DY98" i="1"/>
  <c r="DY87" i="1"/>
  <c r="DY89" i="1"/>
  <c r="DY90" i="1" s="1"/>
  <c r="DY86" i="1"/>
  <c r="CI265" i="1"/>
  <c r="CI249" i="1"/>
  <c r="CI233" i="1"/>
  <c r="CI217" i="1"/>
  <c r="CI129" i="1"/>
  <c r="CI136" i="1"/>
  <c r="CI87" i="1"/>
  <c r="CI89" i="1"/>
  <c r="CI90" i="1" s="1"/>
  <c r="CI86" i="1"/>
  <c r="CI98" i="1"/>
  <c r="DH105" i="1"/>
  <c r="DH101" i="1"/>
  <c r="DH152" i="3" s="1"/>
  <c r="DH130" i="1"/>
  <c r="AZ131" i="1"/>
  <c r="AZ132" i="1" s="1"/>
  <c r="AZ130" i="1"/>
  <c r="X154" i="1"/>
  <c r="X149" i="1"/>
  <c r="AA268" i="1"/>
  <c r="AA235" i="1"/>
  <c r="AA219" i="1"/>
  <c r="AA108" i="1"/>
  <c r="AA457" i="4"/>
  <c r="AP101" i="1"/>
  <c r="AP152" i="3" s="1"/>
  <c r="AP105" i="1"/>
  <c r="AP185" i="2" s="1"/>
  <c r="AS105" i="1"/>
  <c r="AS185" i="2" s="1"/>
  <c r="AS101" i="1"/>
  <c r="AS152" i="3" s="1"/>
  <c r="AW129" i="1"/>
  <c r="AS131" i="1"/>
  <c r="AS132" i="1" s="1"/>
  <c r="AS130" i="1"/>
  <c r="DS130" i="1"/>
  <c r="DW129" i="1"/>
  <c r="DS346" i="1"/>
  <c r="W154" i="1"/>
  <c r="W149" i="1"/>
  <c r="BF101" i="1"/>
  <c r="BF152" i="3" s="1"/>
  <c r="BF105" i="1"/>
  <c r="BF185" i="2" s="1"/>
  <c r="DZ244" i="1"/>
  <c r="DZ228" i="1"/>
  <c r="DZ212" i="1"/>
  <c r="DZ79" i="1"/>
  <c r="DZ58" i="2" s="1"/>
  <c r="CK139" i="1"/>
  <c r="CK137" i="1"/>
  <c r="CK233" i="1"/>
  <c r="AO105" i="1"/>
  <c r="AO185" i="2" s="1"/>
  <c r="AO101" i="1"/>
  <c r="AO152" i="3" s="1"/>
  <c r="EO206" i="1"/>
  <c r="DV130" i="1"/>
  <c r="AD268" i="1"/>
  <c r="AD235" i="1"/>
  <c r="AD219" i="1"/>
  <c r="AD108" i="1"/>
  <c r="AD457" i="4"/>
  <c r="BI249" i="1"/>
  <c r="BI217" i="1"/>
  <c r="BI98" i="1"/>
  <c r="BI86" i="1"/>
  <c r="BI89" i="1"/>
  <c r="BI90" i="1" s="1"/>
  <c r="BI87" i="1"/>
  <c r="BO85" i="1"/>
  <c r="BO51" i="1"/>
  <c r="O268" i="1"/>
  <c r="O235" i="1"/>
  <c r="O219" i="1"/>
  <c r="O108" i="1"/>
  <c r="O457" i="4"/>
  <c r="DP313" i="1"/>
  <c r="DS314" i="1"/>
  <c r="DP311" i="1"/>
  <c r="DP94" i="1" s="1"/>
  <c r="DQ94" i="1" s="1"/>
  <c r="DQ93" i="1" s="1"/>
  <c r="CW101" i="1"/>
  <c r="CW152" i="3" s="1"/>
  <c r="CW105" i="1"/>
  <c r="CW139" i="1"/>
  <c r="CW137" i="1"/>
  <c r="BA101" i="1"/>
  <c r="BA152" i="3" s="1"/>
  <c r="BA105" i="1"/>
  <c r="BA185" i="2" s="1"/>
  <c r="BA130" i="1"/>
  <c r="BA131" i="1"/>
  <c r="BA132" i="1" s="1"/>
  <c r="K154" i="1"/>
  <c r="K150" i="1" s="1"/>
  <c r="CL265" i="1"/>
  <c r="CL249" i="1"/>
  <c r="CL233" i="1"/>
  <c r="CL217" i="1"/>
  <c r="CL136" i="1"/>
  <c r="CL129" i="1"/>
  <c r="CL98" i="1"/>
  <c r="CL87" i="1"/>
  <c r="CL89" i="1"/>
  <c r="CL90" i="1" s="1"/>
  <c r="CL86" i="1"/>
  <c r="BU136" i="1"/>
  <c r="BQ137" i="1"/>
  <c r="BQ139" i="1"/>
  <c r="CJ27" i="4"/>
  <c r="CJ29" i="4" s="1"/>
  <c r="CP29" i="4"/>
  <c r="AY139" i="1"/>
  <c r="AY137" i="1"/>
  <c r="DZ262" i="1"/>
  <c r="I268" i="1"/>
  <c r="I235" i="1"/>
  <c r="I219" i="1"/>
  <c r="I108" i="1"/>
  <c r="DA130" i="1"/>
  <c r="CG217" i="1"/>
  <c r="CG249" i="1"/>
  <c r="CG86" i="1"/>
  <c r="CG89" i="1"/>
  <c r="CG90" i="1" s="1"/>
  <c r="CG87" i="1"/>
  <c r="P268" i="1"/>
  <c r="P235" i="1"/>
  <c r="P219" i="1"/>
  <c r="P108" i="1"/>
  <c r="P457" i="4"/>
  <c r="AM101" i="1"/>
  <c r="AM152" i="3" s="1"/>
  <c r="AM105" i="1"/>
  <c r="AM185" i="2" s="1"/>
  <c r="DQ345" i="1"/>
  <c r="DQ249" i="1"/>
  <c r="DQ86" i="1"/>
  <c r="DQ89" i="1"/>
  <c r="DQ90" i="1" s="1"/>
  <c r="CD205" i="4"/>
  <c r="CD185" i="4"/>
  <c r="CD184" i="4"/>
  <c r="BQ170" i="4"/>
  <c r="BU168" i="4"/>
  <c r="BU305" i="1" s="1"/>
  <c r="BQ183" i="4"/>
  <c r="CA91" i="4"/>
  <c r="BU79" i="4"/>
  <c r="BU63" i="4"/>
  <c r="BU75" i="4"/>
  <c r="BU84" i="4"/>
  <c r="BU385" i="4"/>
  <c r="BU59" i="4"/>
  <c r="DO555" i="4"/>
  <c r="DN555" i="4"/>
  <c r="DM555" i="4"/>
  <c r="BW170" i="4"/>
  <c r="BB168" i="4"/>
  <c r="CL205" i="4"/>
  <c r="CL184" i="4"/>
  <c r="CL185" i="4"/>
  <c r="DV316" i="4"/>
  <c r="DV315" i="4"/>
  <c r="BY241" i="4"/>
  <c r="BX223" i="4"/>
  <c r="CE184" i="4"/>
  <c r="CE205" i="4"/>
  <c r="DQ377" i="4"/>
  <c r="DQ378" i="4" s="1"/>
  <c r="DN379" i="4"/>
  <c r="BO188" i="4"/>
  <c r="CA395" i="4"/>
  <c r="DO280" i="4"/>
  <c r="DN322" i="4"/>
  <c r="CM210" i="4"/>
  <c r="CM211" i="4"/>
  <c r="DP372" i="4"/>
  <c r="BB239" i="4"/>
  <c r="BB236" i="4"/>
  <c r="BB237" i="4" s="1"/>
  <c r="BX184" i="4"/>
  <c r="BX205" i="4"/>
  <c r="DO379" i="4"/>
  <c r="BU187" i="4"/>
  <c r="BQ189" i="4"/>
  <c r="BF184" i="4"/>
  <c r="BF205" i="4"/>
  <c r="BO170" i="4"/>
  <c r="BO169" i="4"/>
  <c r="BW189" i="4"/>
  <c r="CG210" i="4"/>
  <c r="CG169" i="4"/>
  <c r="BI170" i="4"/>
  <c r="BI169" i="4"/>
  <c r="BA237" i="4"/>
  <c r="BC236" i="4"/>
  <c r="DP371" i="4"/>
  <c r="BH205" i="4"/>
  <c r="BH184" i="4"/>
  <c r="CG188" i="4"/>
  <c r="DU377" i="4"/>
  <c r="DU378" i="4" s="1"/>
  <c r="DU370" i="4"/>
  <c r="EA327" i="4"/>
  <c r="EA276" i="1" s="1"/>
  <c r="BC231" i="4"/>
  <c r="BC235" i="4"/>
  <c r="BE230" i="4"/>
  <c r="DT370" i="4"/>
  <c r="DT371" i="4" s="1"/>
  <c r="DZ327" i="4"/>
  <c r="DZ276" i="1" s="1"/>
  <c r="DT377" i="4"/>
  <c r="BU91" i="4"/>
  <c r="CJ185" i="4"/>
  <c r="CJ205" i="4"/>
  <c r="CJ184" i="4"/>
  <c r="BR170" i="4"/>
  <c r="BR183" i="4"/>
  <c r="CM183" i="4"/>
  <c r="CI185" i="4"/>
  <c r="CI205" i="4"/>
  <c r="CI184" i="4"/>
  <c r="BA205" i="4"/>
  <c r="BA185" i="4"/>
  <c r="BA184" i="4"/>
  <c r="CU388" i="4"/>
  <c r="CU382" i="4"/>
  <c r="DA381" i="4"/>
  <c r="CU383" i="4"/>
  <c r="CF205" i="4"/>
  <c r="CF184" i="4"/>
  <c r="DN372" i="4"/>
  <c r="DQ370" i="4"/>
  <c r="EL314" i="4"/>
  <c r="DP379" i="4"/>
  <c r="BT185" i="4"/>
  <c r="BT184" i="4"/>
  <c r="BT205" i="4"/>
  <c r="DM379" i="4"/>
  <c r="DO372" i="4"/>
  <c r="CM189" i="4"/>
  <c r="CM188" i="4"/>
  <c r="BU209" i="4"/>
  <c r="BQ220" i="4"/>
  <c r="BW211" i="4"/>
  <c r="BQ211" i="4"/>
  <c r="BG241" i="4"/>
  <c r="DV377" i="4"/>
  <c r="DV378" i="4" s="1"/>
  <c r="DV370" i="4"/>
  <c r="DV371" i="4" s="1"/>
  <c r="EB327" i="4"/>
  <c r="EB276" i="1" s="1"/>
  <c r="DK378" i="4"/>
  <c r="CC205" i="4"/>
  <c r="CC184" i="4"/>
  <c r="CG183" i="4"/>
  <c r="BE185" i="4"/>
  <c r="BE184" i="4"/>
  <c r="BE205" i="4"/>
  <c r="BL205" i="4"/>
  <c r="BL185" i="4"/>
  <c r="BL184" i="4"/>
  <c r="DY314" i="4"/>
  <c r="DO316" i="4"/>
  <c r="CM170" i="4"/>
  <c r="CM169" i="4"/>
  <c r="CK185" i="4"/>
  <c r="CK205" i="4"/>
  <c r="CK184" i="4"/>
  <c r="CV384" i="4"/>
  <c r="DM378" i="4"/>
  <c r="DS377" i="4"/>
  <c r="DS378" i="4" s="1"/>
  <c r="DS370" i="4"/>
  <c r="DY327" i="4"/>
  <c r="DY276" i="1" s="1"/>
  <c r="DW327" i="4"/>
  <c r="DW276" i="1" s="1"/>
  <c r="BO183" i="4"/>
  <c r="AU184" i="4"/>
  <c r="AU205" i="4"/>
  <c r="BO220" i="4"/>
  <c r="BO213" i="4"/>
  <c r="BO210" i="4"/>
  <c r="J222" i="484"/>
  <c r="I22" i="484"/>
  <c r="J78" i="484"/>
  <c r="I10" i="484"/>
  <c r="I64" i="484" s="1"/>
  <c r="I142" i="484"/>
  <c r="I180" i="484"/>
  <c r="I179" i="484" s="1"/>
  <c r="I220" i="484" s="1"/>
  <c r="I218" i="484" s="1"/>
  <c r="O237" i="484"/>
  <c r="P192" i="484"/>
  <c r="K172" i="484"/>
  <c r="K204" i="484" s="1"/>
  <c r="K37" i="484"/>
  <c r="Q266" i="484"/>
  <c r="R266" i="484" s="1"/>
  <c r="I7" i="484"/>
  <c r="K52" i="484"/>
  <c r="K48" i="484"/>
  <c r="K50" i="484"/>
  <c r="P313" i="484"/>
  <c r="Q312" i="484"/>
  <c r="R312" i="484" s="1"/>
  <c r="N101" i="484"/>
  <c r="J19" i="484"/>
  <c r="Q89" i="484"/>
  <c r="R89" i="484" s="1"/>
  <c r="H141" i="484"/>
  <c r="N132" i="484"/>
  <c r="O121" i="484"/>
  <c r="I73" i="484"/>
  <c r="I72" i="484" s="1"/>
  <c r="I84" i="484" s="1"/>
  <c r="L346" i="484"/>
  <c r="L55" i="484"/>
  <c r="L32" i="484" s="1"/>
  <c r="L47" i="484"/>
  <c r="L35" i="484"/>
  <c r="L172" i="484" s="1"/>
  <c r="L204" i="484" s="1"/>
  <c r="M30" i="484"/>
  <c r="L57" i="484"/>
  <c r="K224" i="484"/>
  <c r="I186" i="484"/>
  <c r="J81" i="484"/>
  <c r="J18" i="484" s="1"/>
  <c r="I148" i="484"/>
  <c r="O107" i="484"/>
  <c r="O109" i="484"/>
  <c r="H4" i="484"/>
  <c r="H23" i="484" s="1"/>
  <c r="H21" i="484"/>
  <c r="H230" i="484"/>
  <c r="J44" i="484"/>
  <c r="J42" i="484"/>
  <c r="J40" i="484"/>
  <c r="H137" i="484"/>
  <c r="K32" i="484"/>
  <c r="N111" i="484"/>
  <c r="BX225" i="2"/>
  <c r="DK190" i="1"/>
  <c r="EQ271" i="2" l="1"/>
  <c r="EU267" i="2"/>
  <c r="CC185" i="4"/>
  <c r="BW184" i="4"/>
  <c r="BW205" i="4"/>
  <c r="ET138" i="2"/>
  <c r="EU138" i="2" s="1"/>
  <c r="ET283" i="1"/>
  <c r="EQ128" i="3"/>
  <c r="EQ134" i="3" s="1"/>
  <c r="EQ61" i="3"/>
  <c r="EU148" i="2"/>
  <c r="EU283" i="1" s="1"/>
  <c r="EN93" i="1"/>
  <c r="EQ94" i="1"/>
  <c r="BY96" i="2"/>
  <c r="BY95" i="2" s="1"/>
  <c r="BY99" i="2" s="1"/>
  <c r="BY100" i="2" s="1"/>
  <c r="ET56" i="3"/>
  <c r="EU361" i="4"/>
  <c r="EO362" i="4"/>
  <c r="R313" i="484"/>
  <c r="DI152" i="3"/>
  <c r="CF105" i="3"/>
  <c r="CF113" i="3" s="1"/>
  <c r="CE147" i="3"/>
  <c r="CE148" i="3"/>
  <c r="DI148" i="3"/>
  <c r="DI146" i="3"/>
  <c r="DI147" i="3"/>
  <c r="BY147" i="3"/>
  <c r="BY148" i="3"/>
  <c r="CQ148" i="3"/>
  <c r="CQ146" i="3"/>
  <c r="CQ147" i="3"/>
  <c r="DK112" i="3"/>
  <c r="DJ105" i="3"/>
  <c r="CA112" i="3"/>
  <c r="BZ105" i="3"/>
  <c r="CK148" i="3"/>
  <c r="CK147" i="3"/>
  <c r="CY112" i="3"/>
  <c r="CX105" i="3"/>
  <c r="DE112" i="3"/>
  <c r="DD105" i="3"/>
  <c r="CS112" i="3"/>
  <c r="CR105" i="3"/>
  <c r="AY205" i="4"/>
  <c r="DV200" i="2"/>
  <c r="EB158" i="1"/>
  <c r="CX108" i="2"/>
  <c r="CW109" i="2"/>
  <c r="BC183" i="4"/>
  <c r="K323" i="484"/>
  <c r="DE129" i="1"/>
  <c r="DE130" i="1" s="1"/>
  <c r="K246" i="484"/>
  <c r="K352" i="484" s="1"/>
  <c r="I321" i="484"/>
  <c r="J351" i="484"/>
  <c r="J323" i="484"/>
  <c r="BA133" i="1"/>
  <c r="CR105" i="1"/>
  <c r="CS98" i="1"/>
  <c r="CS101" i="1" s="1"/>
  <c r="EC91" i="2"/>
  <c r="EH91" i="2"/>
  <c r="DN52" i="2"/>
  <c r="DN171" i="2"/>
  <c r="DN37" i="3"/>
  <c r="DN107" i="3"/>
  <c r="DO107" i="3"/>
  <c r="EI14" i="3"/>
  <c r="EH89" i="3"/>
  <c r="J11" i="484"/>
  <c r="J10" i="484" s="1"/>
  <c r="J77" i="484"/>
  <c r="EC29" i="1"/>
  <c r="AY184" i="4"/>
  <c r="CR384" i="4"/>
  <c r="M133" i="484"/>
  <c r="N123" i="484"/>
  <c r="EC44" i="1"/>
  <c r="I140" i="484"/>
  <c r="CR139" i="1"/>
  <c r="CR147" i="1" s="1"/>
  <c r="CR130" i="2" s="1"/>
  <c r="CR131" i="2" s="1"/>
  <c r="EO137" i="2"/>
  <c r="K80" i="484"/>
  <c r="K13" i="484" s="1"/>
  <c r="L80" i="484" s="1"/>
  <c r="I177" i="484"/>
  <c r="I178" i="484"/>
  <c r="H195" i="484"/>
  <c r="H262" i="484" s="1"/>
  <c r="H174" i="484"/>
  <c r="H126" i="484" s="1"/>
  <c r="J182" i="484"/>
  <c r="J143" i="484"/>
  <c r="J181" i="484"/>
  <c r="I139" i="484"/>
  <c r="AZ133" i="1"/>
  <c r="H246" i="484"/>
  <c r="H245" i="484" s="1"/>
  <c r="I245" i="484" s="1"/>
  <c r="I263" i="484" s="1"/>
  <c r="CR346" i="1"/>
  <c r="EH361" i="4"/>
  <c r="EH362" i="4" s="1"/>
  <c r="EE28" i="1"/>
  <c r="EE362" i="4"/>
  <c r="EF363" i="4"/>
  <c r="EE363" i="4"/>
  <c r="EF28" i="1"/>
  <c r="EF43" i="1" s="1"/>
  <c r="EF362" i="4"/>
  <c r="EG363" i="4"/>
  <c r="EL361" i="4"/>
  <c r="EL362" i="4" s="1"/>
  <c r="EK361" i="4"/>
  <c r="EM361" i="4"/>
  <c r="EM362" i="4" s="1"/>
  <c r="EG28" i="1"/>
  <c r="EG362" i="4"/>
  <c r="DI153" i="3"/>
  <c r="EL37" i="3"/>
  <c r="EL112" i="3" s="1"/>
  <c r="EM29" i="2"/>
  <c r="EL33" i="3"/>
  <c r="EL108" i="3" s="1"/>
  <c r="EM13" i="2"/>
  <c r="EC137" i="2"/>
  <c r="EC89" i="3"/>
  <c r="CS129" i="1"/>
  <c r="DJ346" i="1"/>
  <c r="BL133" i="1"/>
  <c r="BF153" i="3"/>
  <c r="DQ98" i="1"/>
  <c r="DQ105" i="1" s="1"/>
  <c r="AS133" i="1"/>
  <c r="AU133" i="1"/>
  <c r="AT153" i="3"/>
  <c r="BE153" i="3"/>
  <c r="DQ87" i="1"/>
  <c r="DQ136" i="1"/>
  <c r="DQ139" i="1" s="1"/>
  <c r="DQ141" i="1" s="1"/>
  <c r="CE153" i="3"/>
  <c r="BA153" i="3"/>
  <c r="BN133" i="1"/>
  <c r="AQ185" i="2"/>
  <c r="DZ81" i="1"/>
  <c r="DZ82" i="1" s="1"/>
  <c r="DZ428" i="4"/>
  <c r="CR383" i="4"/>
  <c r="CS383" i="4"/>
  <c r="CR388" i="4"/>
  <c r="CU384" i="4"/>
  <c r="CX381" i="4"/>
  <c r="CY381" i="4" s="1"/>
  <c r="CY383" i="4" s="1"/>
  <c r="CR382" i="4"/>
  <c r="CG211" i="4"/>
  <c r="BY205" i="4"/>
  <c r="BO211" i="4"/>
  <c r="BZ205" i="4"/>
  <c r="BZ206" i="4" s="1"/>
  <c r="BY185" i="4"/>
  <c r="BI213" i="4"/>
  <c r="BO214" i="4" s="1"/>
  <c r="BI183" i="4"/>
  <c r="BI185" i="4" s="1"/>
  <c r="CE185" i="4"/>
  <c r="CA188" i="4"/>
  <c r="BI211" i="4"/>
  <c r="AW209" i="4"/>
  <c r="AY258" i="4" s="1"/>
  <c r="CA189" i="4"/>
  <c r="CA169" i="4"/>
  <c r="EO148" i="2"/>
  <c r="EN129" i="3"/>
  <c r="EO129" i="3" s="1"/>
  <c r="EO56" i="3"/>
  <c r="EH129" i="3"/>
  <c r="EI129" i="3" s="1"/>
  <c r="EI56" i="3"/>
  <c r="EE419" i="4"/>
  <c r="EB426" i="4"/>
  <c r="EC426" i="4" s="1"/>
  <c r="EB420" i="4"/>
  <c r="EC419" i="4"/>
  <c r="EC420" i="4" s="1"/>
  <c r="CG170" i="4"/>
  <c r="DI315" i="4"/>
  <c r="BI189" i="4"/>
  <c r="BI188" i="4"/>
  <c r="CA183" i="4"/>
  <c r="CA184" i="4" s="1"/>
  <c r="CA211" i="4"/>
  <c r="CA220" i="4"/>
  <c r="AZ184" i="4"/>
  <c r="AV205" i="4"/>
  <c r="BZ185" i="4"/>
  <c r="BY184" i="4"/>
  <c r="BF185" i="4"/>
  <c r="BC189" i="4"/>
  <c r="BG184" i="4"/>
  <c r="BG205" i="4"/>
  <c r="BM185" i="4"/>
  <c r="CF185" i="4"/>
  <c r="BZ184" i="4"/>
  <c r="AV184" i="4"/>
  <c r="CA170" i="4"/>
  <c r="CW158" i="1"/>
  <c r="DC158" i="1"/>
  <c r="CW200" i="2"/>
  <c r="EE131" i="2"/>
  <c r="CU293" i="1"/>
  <c r="CU292" i="1"/>
  <c r="CV291" i="1"/>
  <c r="EK55" i="3"/>
  <c r="EK130" i="2"/>
  <c r="BO201" i="2"/>
  <c r="BL202" i="2"/>
  <c r="BL204" i="2" s="1"/>
  <c r="BM202" i="2" s="1"/>
  <c r="BT214" i="2"/>
  <c r="DE275" i="2"/>
  <c r="BQ214" i="2"/>
  <c r="BS214" i="2"/>
  <c r="CA214" i="2"/>
  <c r="BR214" i="2"/>
  <c r="BM293" i="1"/>
  <c r="BM292" i="1"/>
  <c r="BW269" i="2"/>
  <c r="BX268" i="2" s="1"/>
  <c r="BX269" i="2" s="1"/>
  <c r="CK206" i="4"/>
  <c r="BT206" i="4"/>
  <c r="CJ206" i="4"/>
  <c r="BO205" i="4"/>
  <c r="BW185" i="4"/>
  <c r="EO87" i="2"/>
  <c r="CD95" i="2"/>
  <c r="CD99" i="2" s="1"/>
  <c r="CD100" i="2" s="1"/>
  <c r="CE96" i="2"/>
  <c r="CE95" i="2" s="1"/>
  <c r="CE99" i="2" s="1"/>
  <c r="CE100" i="2" s="1"/>
  <c r="BX185" i="4"/>
  <c r="BB305" i="1"/>
  <c r="AT184" i="4"/>
  <c r="AZ185" i="4"/>
  <c r="AT205" i="4"/>
  <c r="AS153" i="3"/>
  <c r="DP346" i="1"/>
  <c r="DD100" i="2"/>
  <c r="DE100" i="2" s="1"/>
  <c r="DE99" i="2"/>
  <c r="CL100" i="2"/>
  <c r="CM100" i="2" s="1"/>
  <c r="CM99" i="2"/>
  <c r="EN84" i="2"/>
  <c r="ET84" i="2" s="1"/>
  <c r="EU84" i="2" s="1"/>
  <c r="EI84" i="2"/>
  <c r="CY217" i="1"/>
  <c r="AY153" i="3"/>
  <c r="AV153" i="3"/>
  <c r="AZ153" i="3"/>
  <c r="AU153" i="3"/>
  <c r="AW185" i="2"/>
  <c r="BB153" i="3"/>
  <c r="DZ85" i="1"/>
  <c r="AV133" i="1"/>
  <c r="AQ176" i="2"/>
  <c r="AK179" i="2"/>
  <c r="S178" i="2"/>
  <c r="S180" i="2"/>
  <c r="DS153" i="3"/>
  <c r="BG190" i="2"/>
  <c r="BG189" i="2"/>
  <c r="BG198" i="2" s="1"/>
  <c r="AJ274" i="1"/>
  <c r="AJ275" i="1" s="1"/>
  <c r="AJ152" i="3"/>
  <c r="CC153" i="3"/>
  <c r="BL190" i="2"/>
  <c r="BL189" i="2"/>
  <c r="BL198" i="2" s="1"/>
  <c r="BH190" i="2"/>
  <c r="BH189" i="2"/>
  <c r="BH198" i="2" s="1"/>
  <c r="BC185" i="2"/>
  <c r="BF189" i="2"/>
  <c r="BF198" i="2" s="1"/>
  <c r="BF190" i="2"/>
  <c r="AI274" i="1"/>
  <c r="AI275" i="1" s="1"/>
  <c r="AI152" i="3"/>
  <c r="BN189" i="2"/>
  <c r="BN198" i="2" s="1"/>
  <c r="BN190" i="2"/>
  <c r="AH274" i="1"/>
  <c r="AH275" i="1" s="1"/>
  <c r="AH152" i="3"/>
  <c r="CO152" i="3"/>
  <c r="AK185" i="2"/>
  <c r="CQ152" i="3"/>
  <c r="CW153" i="3" s="1"/>
  <c r="EO94" i="1"/>
  <c r="EO93" i="1" s="1"/>
  <c r="N250" i="484" s="1"/>
  <c r="Y274" i="1"/>
  <c r="Y275" i="1" s="1"/>
  <c r="Y152" i="3"/>
  <c r="BM153" i="3"/>
  <c r="BN153" i="3"/>
  <c r="S274" i="1"/>
  <c r="S275" i="1" s="1"/>
  <c r="S152" i="3"/>
  <c r="AG274" i="1"/>
  <c r="AG275" i="1" s="1"/>
  <c r="AG152" i="3"/>
  <c r="BG153" i="3"/>
  <c r="BL153" i="3"/>
  <c r="BH153" i="3"/>
  <c r="DA153" i="3"/>
  <c r="CK152" i="3"/>
  <c r="CK153" i="3" s="1"/>
  <c r="Y180" i="2"/>
  <c r="Y178" i="2"/>
  <c r="BM190" i="2"/>
  <c r="BM189" i="2"/>
  <c r="BM198" i="2" s="1"/>
  <c r="AC85" i="3"/>
  <c r="AC113" i="3" s="1"/>
  <c r="AC139" i="3" s="1"/>
  <c r="AC39" i="3"/>
  <c r="AC66" i="3" s="1"/>
  <c r="AD10" i="3"/>
  <c r="BM186" i="2"/>
  <c r="BN186" i="2"/>
  <c r="O85" i="3"/>
  <c r="O39" i="3"/>
  <c r="O66" i="3" s="1"/>
  <c r="O70" i="3" s="1"/>
  <c r="O72" i="3" s="1"/>
  <c r="W85" i="3"/>
  <c r="W113" i="3" s="1"/>
  <c r="W139" i="3" s="1"/>
  <c r="W39" i="3"/>
  <c r="W66" i="3" s="1"/>
  <c r="AA188" i="2"/>
  <c r="AB192" i="2" s="1"/>
  <c r="AE186" i="2"/>
  <c r="P10" i="3"/>
  <c r="AB85" i="3"/>
  <c r="AB113" i="3" s="1"/>
  <c r="AB139" i="3" s="1"/>
  <c r="AB39" i="3"/>
  <c r="AB66" i="3" s="1"/>
  <c r="W190" i="2"/>
  <c r="W192" i="2"/>
  <c r="W189" i="2"/>
  <c r="W198" i="2" s="1"/>
  <c r="W272" i="2"/>
  <c r="AA85" i="3"/>
  <c r="AA39" i="3"/>
  <c r="AA66" i="3" s="1"/>
  <c r="P190" i="2"/>
  <c r="P189" i="2"/>
  <c r="P198" i="2" s="1"/>
  <c r="AC272" i="2"/>
  <c r="AC189" i="2"/>
  <c r="AC198" i="2" s="1"/>
  <c r="AC192" i="2"/>
  <c r="AC190" i="2"/>
  <c r="AD190" i="2"/>
  <c r="AD189" i="2"/>
  <c r="AD198" i="2" s="1"/>
  <c r="AD272" i="2"/>
  <c r="AD192" i="2"/>
  <c r="AB189" i="2"/>
  <c r="AB198" i="2" s="1"/>
  <c r="AB190" i="2"/>
  <c r="AB272" i="2"/>
  <c r="X10" i="3"/>
  <c r="V85" i="3"/>
  <c r="V113" i="3" s="1"/>
  <c r="V139" i="3" s="1"/>
  <c r="V39" i="3"/>
  <c r="V66" i="3" s="1"/>
  <c r="U85" i="3"/>
  <c r="U39" i="3"/>
  <c r="U66" i="3" s="1"/>
  <c r="BL186" i="2"/>
  <c r="S186" i="2"/>
  <c r="O188" i="2"/>
  <c r="P192" i="2" s="1"/>
  <c r="R189" i="2"/>
  <c r="R198" i="2" s="1"/>
  <c r="R190" i="2"/>
  <c r="R192" i="2"/>
  <c r="X190" i="2"/>
  <c r="X192" i="2"/>
  <c r="X272" i="2"/>
  <c r="X189" i="2"/>
  <c r="X198" i="2" s="1"/>
  <c r="V190" i="2"/>
  <c r="V189" i="2"/>
  <c r="V198" i="2" s="1"/>
  <c r="V272" i="2"/>
  <c r="Y186" i="2"/>
  <c r="U188" i="2"/>
  <c r="V192" i="2" s="1"/>
  <c r="Q189" i="2"/>
  <c r="Q198" i="2" s="1"/>
  <c r="Q192" i="2"/>
  <c r="Q190" i="2"/>
  <c r="U196" i="2"/>
  <c r="Q447" i="4"/>
  <c r="Q196" i="2"/>
  <c r="W502" i="4"/>
  <c r="EO89" i="3"/>
  <c r="X502" i="4"/>
  <c r="P502" i="4"/>
  <c r="V502" i="4"/>
  <c r="AC502" i="4"/>
  <c r="R502" i="4"/>
  <c r="AA502" i="4"/>
  <c r="AD502" i="4"/>
  <c r="V150" i="1"/>
  <c r="V447" i="4" s="1"/>
  <c r="AA150" i="1"/>
  <c r="AA151" i="1" s="1"/>
  <c r="O502" i="4"/>
  <c r="AD196" i="2"/>
  <c r="R447" i="4"/>
  <c r="R196" i="2"/>
  <c r="U502" i="4"/>
  <c r="Q502" i="4"/>
  <c r="AB502" i="4"/>
  <c r="CG267" i="2"/>
  <c r="K12" i="484"/>
  <c r="L79" i="484" s="1"/>
  <c r="J8" i="484"/>
  <c r="K75" i="484" s="1"/>
  <c r="J229" i="484"/>
  <c r="J9" i="484"/>
  <c r="J178" i="484" s="1"/>
  <c r="CL145" i="3"/>
  <c r="CL139" i="3"/>
  <c r="DY346" i="1"/>
  <c r="DO346" i="1"/>
  <c r="DC153" i="3"/>
  <c r="DG346" i="1"/>
  <c r="CM145" i="3"/>
  <c r="CM139" i="3"/>
  <c r="AD236" i="2"/>
  <c r="AE236" i="2" s="1"/>
  <c r="AI240" i="2"/>
  <c r="AI241" i="2" s="1"/>
  <c r="DA271" i="2"/>
  <c r="DE267" i="2"/>
  <c r="DY271" i="2"/>
  <c r="EC267" i="2"/>
  <c r="EO283" i="1"/>
  <c r="CA267" i="2"/>
  <c r="CY267" i="2"/>
  <c r="CU271" i="2"/>
  <c r="DW267" i="2"/>
  <c r="DS271" i="2"/>
  <c r="DY115" i="2"/>
  <c r="DZ115" i="2" s="1"/>
  <c r="EA115" i="2" s="1"/>
  <c r="EB115" i="2" s="1"/>
  <c r="DW115" i="2"/>
  <c r="AW181" i="1"/>
  <c r="AW178" i="1"/>
  <c r="CA114" i="2"/>
  <c r="CC114" i="2" s="1"/>
  <c r="BZ116" i="2"/>
  <c r="CA116" i="2" s="1"/>
  <c r="EK98" i="2"/>
  <c r="DJ221" i="2"/>
  <c r="DM221" i="2"/>
  <c r="BR260" i="2"/>
  <c r="EN138" i="2"/>
  <c r="EN283" i="1"/>
  <c r="DM271" i="2"/>
  <c r="DQ267" i="2"/>
  <c r="CG223" i="2"/>
  <c r="CJ223" i="2"/>
  <c r="CK223" i="2" s="1"/>
  <c r="CR116" i="2"/>
  <c r="CS116" i="2" s="1"/>
  <c r="CS113" i="2"/>
  <c r="CU113" i="2" s="1"/>
  <c r="DD121" i="2"/>
  <c r="DE121" i="2" s="1"/>
  <c r="DE107" i="2"/>
  <c r="DG107" i="2" s="1"/>
  <c r="AT236" i="2"/>
  <c r="AS248" i="2"/>
  <c r="DP141" i="2"/>
  <c r="DO151" i="2"/>
  <c r="CM222" i="2"/>
  <c r="CP222" i="2"/>
  <c r="CQ222" i="2" s="1"/>
  <c r="AN244" i="2"/>
  <c r="AN245" i="2" s="1"/>
  <c r="EK271" i="2"/>
  <c r="EO267" i="2"/>
  <c r="CO271" i="2"/>
  <c r="CS267" i="2"/>
  <c r="CM267" i="2"/>
  <c r="DK267" i="2"/>
  <c r="DG271" i="2"/>
  <c r="EI267" i="2"/>
  <c r="EE271" i="2"/>
  <c r="EK96" i="2"/>
  <c r="DC106" i="2"/>
  <c r="AS297" i="2"/>
  <c r="AT204" i="2"/>
  <c r="AS211" i="2"/>
  <c r="AT216" i="2"/>
  <c r="BK257" i="2"/>
  <c r="W233" i="2"/>
  <c r="CA180" i="1"/>
  <c r="CA177" i="1"/>
  <c r="CA169" i="1" s="1"/>
  <c r="CA170" i="1" s="1"/>
  <c r="BB253" i="2"/>
  <c r="EI138" i="2"/>
  <c r="CG130" i="1"/>
  <c r="BU105" i="1"/>
  <c r="BU101" i="1"/>
  <c r="BU274" i="1" s="1"/>
  <c r="BU275" i="1" s="1"/>
  <c r="BQ147" i="1"/>
  <c r="BQ10" i="3" s="1"/>
  <c r="BQ141" i="1"/>
  <c r="CL130" i="1"/>
  <c r="BA168" i="1"/>
  <c r="BA122" i="1"/>
  <c r="BA274" i="1"/>
  <c r="BA275" i="1" s="1"/>
  <c r="CW122" i="1"/>
  <c r="CW274" i="1"/>
  <c r="CW275" i="1" s="1"/>
  <c r="AO168" i="1"/>
  <c r="AO66" i="1" s="1"/>
  <c r="AO122" i="1" s="1"/>
  <c r="AO274" i="1"/>
  <c r="AO275" i="1" s="1"/>
  <c r="CK147" i="1"/>
  <c r="CK130" i="2" s="1"/>
  <c r="CK131" i="2" s="1"/>
  <c r="CK141" i="1"/>
  <c r="CK320" i="1" s="1"/>
  <c r="CK321" i="1" s="1"/>
  <c r="CK131" i="1" s="1"/>
  <c r="CK132" i="1" s="1"/>
  <c r="DW130" i="1"/>
  <c r="AP250" i="1"/>
  <c r="AP218" i="1"/>
  <c r="AP234" i="1"/>
  <c r="AP107" i="1"/>
  <c r="AP109" i="1"/>
  <c r="CI105" i="1"/>
  <c r="CO218" i="1" s="1"/>
  <c r="CM98" i="1"/>
  <c r="CI101" i="1"/>
  <c r="CM136" i="1"/>
  <c r="CI139" i="1"/>
  <c r="CI137" i="1"/>
  <c r="DY101" i="1"/>
  <c r="DY105" i="1"/>
  <c r="BI137" i="1"/>
  <c r="BI139" i="1"/>
  <c r="CJ139" i="1"/>
  <c r="CJ137" i="1"/>
  <c r="AT168" i="1"/>
  <c r="AT66" i="1" s="1"/>
  <c r="AT122" i="1" s="1"/>
  <c r="AT274" i="1"/>
  <c r="AT275" i="1" s="1"/>
  <c r="AG147" i="1"/>
  <c r="AG141" i="1"/>
  <c r="BB250" i="1"/>
  <c r="BB234" i="1"/>
  <c r="BB218" i="1"/>
  <c r="BB109" i="1"/>
  <c r="BB107" i="1"/>
  <c r="BM154" i="1"/>
  <c r="BM150" i="1"/>
  <c r="BM149" i="1"/>
  <c r="CO250" i="1"/>
  <c r="CO107" i="1"/>
  <c r="CO109" i="1"/>
  <c r="BG133" i="1"/>
  <c r="AJ147" i="1"/>
  <c r="AJ141" i="1"/>
  <c r="BT130" i="1"/>
  <c r="BT131" i="1"/>
  <c r="BT132" i="1" s="1"/>
  <c r="BT133" i="1" s="1"/>
  <c r="BF141" i="1"/>
  <c r="BF147" i="1"/>
  <c r="CP139" i="1"/>
  <c r="CP137" i="1"/>
  <c r="BE168" i="1"/>
  <c r="BE274" i="1"/>
  <c r="BE275" i="1" s="1"/>
  <c r="BE122" i="1"/>
  <c r="DO101" i="1"/>
  <c r="DO105" i="1"/>
  <c r="DU218" i="1" s="1"/>
  <c r="CU250" i="1"/>
  <c r="CU234" i="1"/>
  <c r="CU218" i="1"/>
  <c r="CU109" i="1"/>
  <c r="CU107" i="1"/>
  <c r="BM133" i="1"/>
  <c r="AW139" i="1"/>
  <c r="AW137" i="1"/>
  <c r="AD447" i="4"/>
  <c r="CR250" i="1"/>
  <c r="CR234" i="1"/>
  <c r="CR109" i="1"/>
  <c r="CR107" i="1"/>
  <c r="DJ250" i="1"/>
  <c r="DJ234" i="1"/>
  <c r="DJ107" i="1"/>
  <c r="DJ109" i="1"/>
  <c r="CF250" i="1"/>
  <c r="CF218" i="1"/>
  <c r="CF234" i="1"/>
  <c r="CF107" i="1"/>
  <c r="CF109" i="1"/>
  <c r="BQ274" i="1"/>
  <c r="BQ275" i="1" s="1"/>
  <c r="BQ122" i="1"/>
  <c r="BR147" i="1"/>
  <c r="BR141" i="1"/>
  <c r="CC122" i="1"/>
  <c r="CC274" i="1"/>
  <c r="CC275" i="1" s="1"/>
  <c r="BZ250" i="1"/>
  <c r="BZ234" i="1"/>
  <c r="BZ109" i="1"/>
  <c r="BZ107" i="1"/>
  <c r="BL141" i="1"/>
  <c r="BL274" i="1"/>
  <c r="BL275" i="1" s="1"/>
  <c r="BL122" i="1"/>
  <c r="CM249" i="1"/>
  <c r="CM217" i="1"/>
  <c r="CM87" i="1"/>
  <c r="CM89" i="1"/>
  <c r="CM90" i="1" s="1"/>
  <c r="CM86" i="1"/>
  <c r="BH250" i="1"/>
  <c r="BH218" i="1"/>
  <c r="BH234" i="1"/>
  <c r="BH107" i="1"/>
  <c r="BH109" i="1"/>
  <c r="CD101" i="1"/>
  <c r="CD152" i="3" s="1"/>
  <c r="CD153" i="3" s="1"/>
  <c r="CD105" i="1"/>
  <c r="CE234" i="1" s="1"/>
  <c r="CU147" i="1"/>
  <c r="CU130" i="2" s="1"/>
  <c r="CU141" i="1"/>
  <c r="CU320" i="1" s="1"/>
  <c r="BY250" i="1"/>
  <c r="BY234" i="1"/>
  <c r="BY218" i="1"/>
  <c r="BY107" i="1"/>
  <c r="BY109" i="1"/>
  <c r="DU250" i="1"/>
  <c r="DU234" i="1"/>
  <c r="DU109" i="1"/>
  <c r="CQ122" i="1"/>
  <c r="CQ274" i="1"/>
  <c r="CQ275" i="1" s="1"/>
  <c r="DB130" i="1"/>
  <c r="CA130" i="1"/>
  <c r="AQ131" i="1"/>
  <c r="AQ132" i="1" s="1"/>
  <c r="AQ130" i="1"/>
  <c r="AY168" i="1"/>
  <c r="AY122" i="1"/>
  <c r="AY274" i="1"/>
  <c r="AY275" i="1" s="1"/>
  <c r="CY346" i="1"/>
  <c r="AQ137" i="1"/>
  <c r="AQ139" i="1"/>
  <c r="DP101" i="1"/>
  <c r="DP105" i="1"/>
  <c r="DS234" i="1" s="1"/>
  <c r="CK122" i="1"/>
  <c r="CK274" i="1"/>
  <c r="CK275" i="1" s="1"/>
  <c r="DS147" i="1"/>
  <c r="DS130" i="2" s="1"/>
  <c r="DS141" i="1"/>
  <c r="DS320" i="1" s="1"/>
  <c r="CY130" i="1"/>
  <c r="DN130" i="1"/>
  <c r="DN346" i="1"/>
  <c r="AU147" i="1"/>
  <c r="AU141" i="1"/>
  <c r="AH141" i="1"/>
  <c r="AH147" i="1"/>
  <c r="BN141" i="1"/>
  <c r="BN122" i="1"/>
  <c r="BN274" i="1"/>
  <c r="BN275" i="1" s="1"/>
  <c r="DC147" i="1"/>
  <c r="DC130" i="2" s="1"/>
  <c r="DC131" i="2" s="1"/>
  <c r="DC141" i="1"/>
  <c r="DC320" i="1" s="1"/>
  <c r="DC321" i="1" s="1"/>
  <c r="DC131" i="1" s="1"/>
  <c r="DC132" i="1" s="1"/>
  <c r="AM250" i="1"/>
  <c r="AM234" i="1"/>
  <c r="AM218" i="1"/>
  <c r="AM107" i="1"/>
  <c r="AM109" i="1"/>
  <c r="AY147" i="1"/>
  <c r="BC139" i="1"/>
  <c r="AY141" i="1"/>
  <c r="CL139" i="1"/>
  <c r="CL137" i="1"/>
  <c r="DQ322" i="1"/>
  <c r="J250" i="484"/>
  <c r="J264" i="484" s="1"/>
  <c r="AO250" i="1"/>
  <c r="AO234" i="1"/>
  <c r="AO218" i="1"/>
  <c r="AO109" i="1"/>
  <c r="AO107" i="1"/>
  <c r="AW131" i="1"/>
  <c r="AW132" i="1" s="1"/>
  <c r="AW130" i="1"/>
  <c r="AP168" i="1"/>
  <c r="AP66" i="1" s="1"/>
  <c r="AP122" i="1" s="1"/>
  <c r="AP274" i="1"/>
  <c r="AP275" i="1" s="1"/>
  <c r="DD130" i="1"/>
  <c r="DD346" i="1"/>
  <c r="CJ105" i="1"/>
  <c r="CK234" i="1" s="1"/>
  <c r="CJ101" i="1"/>
  <c r="DM250" i="1"/>
  <c r="DM234" i="1"/>
  <c r="DM109" i="1"/>
  <c r="AT250" i="1"/>
  <c r="AT234" i="1"/>
  <c r="AT218" i="1"/>
  <c r="AT107" i="1"/>
  <c r="AT109" i="1"/>
  <c r="DT250" i="1"/>
  <c r="DT234" i="1"/>
  <c r="DT109" i="1"/>
  <c r="DI274" i="1"/>
  <c r="DI275" i="1" s="1"/>
  <c r="DI122" i="1"/>
  <c r="BW274" i="1"/>
  <c r="BW275" i="1" s="1"/>
  <c r="BW122" i="1"/>
  <c r="AV250" i="1"/>
  <c r="AV234" i="1"/>
  <c r="AV218" i="1"/>
  <c r="AV109" i="1"/>
  <c r="AV107" i="1"/>
  <c r="CS130" i="1"/>
  <c r="BX250" i="1"/>
  <c r="BX234" i="1"/>
  <c r="BX218" i="1"/>
  <c r="BX107" i="1"/>
  <c r="BX109" i="1"/>
  <c r="AK105" i="1"/>
  <c r="AK101" i="1"/>
  <c r="DA141" i="1"/>
  <c r="DA320" i="1" s="1"/>
  <c r="DA147" i="1"/>
  <c r="DA130" i="2" s="1"/>
  <c r="AY133" i="1"/>
  <c r="BS250" i="1"/>
  <c r="BS234" i="1"/>
  <c r="BS218" i="1"/>
  <c r="BS109" i="1"/>
  <c r="BS107" i="1"/>
  <c r="DS274" i="1"/>
  <c r="DS275" i="1" s="1"/>
  <c r="DS122" i="1"/>
  <c r="Y147" i="1"/>
  <c r="Y10" i="3" s="1"/>
  <c r="Y39" i="3" s="1"/>
  <c r="Y141" i="1"/>
  <c r="AI147" i="1"/>
  <c r="AI141" i="1"/>
  <c r="CP105" i="1"/>
  <c r="CQ234" i="1" s="1"/>
  <c r="CP101" i="1"/>
  <c r="CV234" i="1"/>
  <c r="CV250" i="1"/>
  <c r="CV218" i="1"/>
  <c r="CV107" i="1"/>
  <c r="CV109" i="1"/>
  <c r="DM147" i="1"/>
  <c r="DM130" i="2" s="1"/>
  <c r="DM141" i="1"/>
  <c r="DM320" i="1" s="1"/>
  <c r="DK345" i="1"/>
  <c r="DK249" i="1"/>
  <c r="DK217" i="1"/>
  <c r="DK86" i="1"/>
  <c r="DK89" i="1"/>
  <c r="DK90" i="1" s="1"/>
  <c r="DK83" i="1"/>
  <c r="DK87" i="1"/>
  <c r="CX147" i="1"/>
  <c r="CX130" i="2" s="1"/>
  <c r="CX131" i="2" s="1"/>
  <c r="CX141" i="1"/>
  <c r="CX320" i="1" s="1"/>
  <c r="CX321" i="1" s="1"/>
  <c r="CX131" i="1" s="1"/>
  <c r="CX132" i="1" s="1"/>
  <c r="AN147" i="1"/>
  <c r="AN141" i="1"/>
  <c r="DT141" i="1"/>
  <c r="DT320" i="1" s="1"/>
  <c r="DT321" i="1" s="1"/>
  <c r="DT131" i="1" s="1"/>
  <c r="DT132" i="1" s="1"/>
  <c r="DT147" i="1"/>
  <c r="DT130" i="2" s="1"/>
  <c r="DT131" i="2" s="1"/>
  <c r="BU249" i="1"/>
  <c r="BU217" i="1"/>
  <c r="BU87" i="1"/>
  <c r="BU86" i="1"/>
  <c r="BU89" i="1"/>
  <c r="BU90" i="1" s="1"/>
  <c r="DQ184" i="1"/>
  <c r="CR122" i="1"/>
  <c r="CR274" i="1"/>
  <c r="CR275" i="1" s="1"/>
  <c r="DJ274" i="1"/>
  <c r="DJ275" i="1" s="1"/>
  <c r="DJ122" i="1"/>
  <c r="BR122" i="1"/>
  <c r="BR274" i="1"/>
  <c r="BR275" i="1" s="1"/>
  <c r="BK130" i="1"/>
  <c r="BO129" i="1"/>
  <c r="BK131" i="1"/>
  <c r="BK132" i="1" s="1"/>
  <c r="BK133" i="1" s="1"/>
  <c r="CG105" i="1"/>
  <c r="CG101" i="1"/>
  <c r="DV122" i="1"/>
  <c r="DV274" i="1"/>
  <c r="DV275" i="1" s="1"/>
  <c r="BL250" i="1"/>
  <c r="BL218" i="1"/>
  <c r="BL109" i="1"/>
  <c r="BL107" i="1"/>
  <c r="CA217" i="1"/>
  <c r="AS147" i="1"/>
  <c r="AS141" i="1"/>
  <c r="AI250" i="1"/>
  <c r="AI234" i="1"/>
  <c r="AI218" i="1"/>
  <c r="AI107" i="1"/>
  <c r="AI109" i="1"/>
  <c r="DH147" i="1"/>
  <c r="DH130" i="2" s="1"/>
  <c r="DH131" i="2" s="1"/>
  <c r="DH141" i="1"/>
  <c r="DH320" i="1" s="1"/>
  <c r="DH321" i="1" s="1"/>
  <c r="DH131" i="1" s="1"/>
  <c r="DH132" i="1" s="1"/>
  <c r="BI131" i="1"/>
  <c r="BI132" i="1" s="1"/>
  <c r="BI130" i="1"/>
  <c r="CD130" i="1"/>
  <c r="CY139" i="1"/>
  <c r="CY141" i="1" s="1"/>
  <c r="CY137" i="1"/>
  <c r="U447" i="4"/>
  <c r="BY274" i="1"/>
  <c r="BY275" i="1" s="1"/>
  <c r="BY122" i="1"/>
  <c r="DU122" i="1"/>
  <c r="DU274" i="1"/>
  <c r="DU275" i="1" s="1"/>
  <c r="CQ250" i="1"/>
  <c r="CQ218" i="1"/>
  <c r="CQ109" i="1"/>
  <c r="CQ107" i="1"/>
  <c r="S147" i="1"/>
  <c r="S10" i="3" s="1"/>
  <c r="S141" i="1"/>
  <c r="DI147" i="1"/>
  <c r="DI130" i="2" s="1"/>
  <c r="DI131" i="2" s="1"/>
  <c r="DI141" i="1"/>
  <c r="DI320" i="1" s="1"/>
  <c r="DI321" i="1" s="1"/>
  <c r="DI131" i="1" s="1"/>
  <c r="DI132" i="1" s="1"/>
  <c r="CO147" i="1"/>
  <c r="CO130" i="2" s="1"/>
  <c r="CO141" i="1"/>
  <c r="CO320" i="1" s="1"/>
  <c r="BG147" i="1"/>
  <c r="BG141" i="1"/>
  <c r="DA250" i="1"/>
  <c r="DA234" i="1"/>
  <c r="DA218" i="1"/>
  <c r="DA109" i="1"/>
  <c r="DA107" i="1"/>
  <c r="AY250" i="1"/>
  <c r="AY234" i="1"/>
  <c r="AY218" i="1"/>
  <c r="AY109" i="1"/>
  <c r="AY107" i="1"/>
  <c r="CM27" i="4"/>
  <c r="CM29" i="4" s="1"/>
  <c r="CS29" i="4"/>
  <c r="AQ105" i="1"/>
  <c r="AQ178" i="2" s="1"/>
  <c r="AQ101" i="1"/>
  <c r="BR133" i="1"/>
  <c r="DP130" i="1"/>
  <c r="BL154" i="1"/>
  <c r="BL150" i="1"/>
  <c r="BL149" i="1"/>
  <c r="CK250" i="1"/>
  <c r="CK218" i="1"/>
  <c r="CK109" i="1"/>
  <c r="CK107" i="1"/>
  <c r="BF133" i="1"/>
  <c r="DW137" i="1"/>
  <c r="DW139" i="1"/>
  <c r="DW141" i="1" s="1"/>
  <c r="CE147" i="1"/>
  <c r="CE130" i="2" s="1"/>
  <c r="CE131" i="2" s="1"/>
  <c r="CE141" i="1"/>
  <c r="CE320" i="1" s="1"/>
  <c r="CE321" i="1" s="1"/>
  <c r="CE131" i="1" s="1"/>
  <c r="CE132" i="1" s="1"/>
  <c r="AB150" i="1"/>
  <c r="DN139" i="1"/>
  <c r="DN137" i="1"/>
  <c r="DE346" i="1"/>
  <c r="AM168" i="1"/>
  <c r="AM274" i="1"/>
  <c r="AM275" i="1" s="1"/>
  <c r="BU139" i="1"/>
  <c r="BU137" i="1"/>
  <c r="CL101" i="1"/>
  <c r="CL105" i="1"/>
  <c r="CW141" i="1"/>
  <c r="CW320" i="1" s="1"/>
  <c r="CW321" i="1" s="1"/>
  <c r="CW131" i="1" s="1"/>
  <c r="CW132" i="1" s="1"/>
  <c r="CW147" i="1"/>
  <c r="CW130" i="2" s="1"/>
  <c r="CW131" i="2" s="1"/>
  <c r="DT314" i="1"/>
  <c r="DS313" i="1"/>
  <c r="DS311" i="1"/>
  <c r="BO249" i="1"/>
  <c r="BO217" i="1"/>
  <c r="BO87" i="1"/>
  <c r="BO89" i="1"/>
  <c r="BO90" i="1" s="1"/>
  <c r="BO86" i="1"/>
  <c r="BO98" i="1"/>
  <c r="BI105" i="1"/>
  <c r="BI101" i="1"/>
  <c r="DZ263" i="1"/>
  <c r="DZ247" i="1"/>
  <c r="DZ231" i="1"/>
  <c r="DZ215" i="1"/>
  <c r="BF250" i="1"/>
  <c r="BF234" i="1"/>
  <c r="BF218" i="1"/>
  <c r="BF109" i="1"/>
  <c r="BF107" i="1"/>
  <c r="W150" i="1"/>
  <c r="AS168" i="1"/>
  <c r="AS274" i="1"/>
  <c r="AS275" i="1" s="1"/>
  <c r="DH122" i="1"/>
  <c r="DH274" i="1"/>
  <c r="DH275" i="1" s="1"/>
  <c r="CI130" i="1"/>
  <c r="CM129" i="1"/>
  <c r="DY137" i="1"/>
  <c r="DY139" i="1"/>
  <c r="DD105" i="1"/>
  <c r="DD101" i="1"/>
  <c r="DD139" i="1"/>
  <c r="DD137" i="1"/>
  <c r="CJ130" i="1"/>
  <c r="CS345" i="1"/>
  <c r="CS249" i="1"/>
  <c r="CS217" i="1"/>
  <c r="CS87" i="1"/>
  <c r="CS86" i="1"/>
  <c r="CS89" i="1"/>
  <c r="CS90" i="1" s="1"/>
  <c r="BB147" i="1"/>
  <c r="BB141" i="1"/>
  <c r="S250" i="1"/>
  <c r="S218" i="1"/>
  <c r="S107" i="1"/>
  <c r="S195" i="2" s="1"/>
  <c r="S109" i="1"/>
  <c r="DT274" i="1"/>
  <c r="DT275" i="1" s="1"/>
  <c r="DT122" i="1"/>
  <c r="DI250" i="1"/>
  <c r="DI234" i="1"/>
  <c r="DI218" i="1"/>
  <c r="DI109" i="1"/>
  <c r="DI107" i="1"/>
  <c r="CA105" i="1"/>
  <c r="CA101" i="1"/>
  <c r="DW346" i="1"/>
  <c r="AV168" i="1"/>
  <c r="AV66" i="1" s="1"/>
  <c r="AV122" i="1" s="1"/>
  <c r="AV274" i="1"/>
  <c r="AV275" i="1" s="1"/>
  <c r="CO122" i="1"/>
  <c r="CO274" i="1"/>
  <c r="CO275" i="1" s="1"/>
  <c r="BN150" i="1"/>
  <c r="BN149" i="1"/>
  <c r="BN154" i="1"/>
  <c r="BX274" i="1"/>
  <c r="BX275" i="1" s="1"/>
  <c r="BX122" i="1"/>
  <c r="AK137" i="1"/>
  <c r="AK139" i="1"/>
  <c r="AM147" i="1"/>
  <c r="AM141" i="1"/>
  <c r="CF141" i="1"/>
  <c r="CF320" i="1" s="1"/>
  <c r="CF321" i="1" s="1"/>
  <c r="CF131" i="1" s="1"/>
  <c r="CF132" i="1" s="1"/>
  <c r="CF147" i="1"/>
  <c r="CF130" i="2" s="1"/>
  <c r="CF131" i="2" s="1"/>
  <c r="DE136" i="1"/>
  <c r="O150" i="1"/>
  <c r="BT139" i="1"/>
  <c r="BT137" i="1"/>
  <c r="CC141" i="1"/>
  <c r="CC320" i="1" s="1"/>
  <c r="CC147" i="1"/>
  <c r="CC130" i="2" s="1"/>
  <c r="BS122" i="1"/>
  <c r="BS274" i="1"/>
  <c r="BS275" i="1" s="1"/>
  <c r="DW105" i="1"/>
  <c r="DW101" i="1"/>
  <c r="DW152" i="3" s="1"/>
  <c r="BH141" i="1"/>
  <c r="BH147" i="1"/>
  <c r="DO130" i="1"/>
  <c r="CU274" i="1"/>
  <c r="CU275" i="1" s="1"/>
  <c r="CU122" i="1"/>
  <c r="CV122" i="1"/>
  <c r="CV274" i="1"/>
  <c r="CV275" i="1" s="1"/>
  <c r="BY141" i="1"/>
  <c r="BY320" i="1" s="1"/>
  <c r="BY321" i="1" s="1"/>
  <c r="BY131" i="1" s="1"/>
  <c r="BY132" i="1" s="1"/>
  <c r="BY133" i="1" s="1"/>
  <c r="BY147" i="1"/>
  <c r="BY130" i="2" s="1"/>
  <c r="BY131" i="2" s="1"/>
  <c r="CX274" i="1"/>
  <c r="CX275" i="1" s="1"/>
  <c r="CX122" i="1"/>
  <c r="AN168" i="1"/>
  <c r="AN66" i="1" s="1"/>
  <c r="AN122" i="1" s="1"/>
  <c r="AN274" i="1"/>
  <c r="AN275" i="1" s="1"/>
  <c r="BW147" i="1"/>
  <c r="BW130" i="2" s="1"/>
  <c r="BW141" i="1"/>
  <c r="BW320" i="1" s="1"/>
  <c r="AW105" i="1"/>
  <c r="AW178" i="2" s="1"/>
  <c r="AW101" i="1"/>
  <c r="BG168" i="1"/>
  <c r="BG122" i="1"/>
  <c r="BG274" i="1"/>
  <c r="BG275" i="1" s="1"/>
  <c r="BX141" i="1"/>
  <c r="BX320" i="1" s="1"/>
  <c r="BX321" i="1" s="1"/>
  <c r="BX131" i="1" s="1"/>
  <c r="BX132" i="1" s="1"/>
  <c r="BX133" i="1" s="1"/>
  <c r="BX147" i="1"/>
  <c r="BX130" i="2" s="1"/>
  <c r="BX131" i="2" s="1"/>
  <c r="AC150" i="1"/>
  <c r="BQ250" i="1"/>
  <c r="BQ234" i="1"/>
  <c r="BQ107" i="1"/>
  <c r="BQ109" i="1"/>
  <c r="DQ311" i="1"/>
  <c r="DQ314" i="1" s="1"/>
  <c r="BR250" i="1"/>
  <c r="BR234" i="1"/>
  <c r="BR218" i="1"/>
  <c r="BR107" i="1"/>
  <c r="BR109" i="1"/>
  <c r="BZ147" i="1"/>
  <c r="BZ130" i="2" s="1"/>
  <c r="BZ131" i="2" s="1"/>
  <c r="BZ141" i="1"/>
  <c r="BZ320" i="1" s="1"/>
  <c r="BZ321" i="1" s="1"/>
  <c r="BZ131" i="1" s="1"/>
  <c r="BZ132" i="1" s="1"/>
  <c r="DV250" i="1"/>
  <c r="DV234" i="1"/>
  <c r="DV109" i="1"/>
  <c r="EO210" i="1"/>
  <c r="CE274" i="1"/>
  <c r="CE275" i="1" s="1"/>
  <c r="CE122" i="1"/>
  <c r="AZ234" i="1"/>
  <c r="AZ250" i="1"/>
  <c r="AZ218" i="1"/>
  <c r="AZ107" i="1"/>
  <c r="AZ109" i="1"/>
  <c r="BH133" i="1"/>
  <c r="DV158" i="1"/>
  <c r="DW157" i="1"/>
  <c r="EC158" i="1" s="1"/>
  <c r="DY157" i="1"/>
  <c r="AU250" i="1"/>
  <c r="AU234" i="1"/>
  <c r="AU218" i="1"/>
  <c r="AU109" i="1"/>
  <c r="AU107" i="1"/>
  <c r="DB101" i="1"/>
  <c r="DB152" i="3" s="1"/>
  <c r="DB153" i="3" s="1"/>
  <c r="DB105" i="1"/>
  <c r="DC234" i="1" s="1"/>
  <c r="DB346" i="1"/>
  <c r="CS136" i="1"/>
  <c r="EM138" i="1"/>
  <c r="DA274" i="1"/>
  <c r="DA275" i="1" s="1"/>
  <c r="DA122" i="1"/>
  <c r="DP139" i="1"/>
  <c r="DP137" i="1"/>
  <c r="DV147" i="1"/>
  <c r="DV130" i="2" s="1"/>
  <c r="DV131" i="2" s="1"/>
  <c r="DV141" i="1"/>
  <c r="DV320" i="1" s="1"/>
  <c r="DV321" i="1" s="1"/>
  <c r="DV131" i="1" s="1"/>
  <c r="DV132" i="1" s="1"/>
  <c r="DN105" i="1"/>
  <c r="DN101" i="1"/>
  <c r="DG101" i="1"/>
  <c r="DG152" i="3" s="1"/>
  <c r="DG153" i="3" s="1"/>
  <c r="DG105" i="1"/>
  <c r="DM218" i="1" s="1"/>
  <c r="DK98" i="1"/>
  <c r="DG130" i="1"/>
  <c r="DK129" i="1"/>
  <c r="BM141" i="1"/>
  <c r="BM122" i="1"/>
  <c r="BM274" i="1"/>
  <c r="BM275" i="1" s="1"/>
  <c r="AV141" i="1"/>
  <c r="AV147" i="1"/>
  <c r="DC274" i="1"/>
  <c r="DC275" i="1" s="1"/>
  <c r="DC122" i="1"/>
  <c r="DQ346" i="1"/>
  <c r="BA250" i="1"/>
  <c r="BA234" i="1"/>
  <c r="BA218" i="1"/>
  <c r="BA107" i="1"/>
  <c r="BA109" i="1"/>
  <c r="CW250" i="1"/>
  <c r="CW234" i="1"/>
  <c r="CW218" i="1"/>
  <c r="CW107" i="1"/>
  <c r="CW109" i="1"/>
  <c r="BF168" i="1"/>
  <c r="BF122" i="1"/>
  <c r="BF274" i="1"/>
  <c r="BF275" i="1" s="1"/>
  <c r="AS250" i="1"/>
  <c r="AS234" i="1"/>
  <c r="AS218" i="1"/>
  <c r="AS107" i="1"/>
  <c r="AS109" i="1"/>
  <c r="X150" i="1"/>
  <c r="DH250" i="1"/>
  <c r="DH109" i="1"/>
  <c r="DH107" i="1"/>
  <c r="DY130" i="1"/>
  <c r="BE141" i="1"/>
  <c r="BE147" i="1"/>
  <c r="BC105" i="1"/>
  <c r="BC101" i="1"/>
  <c r="DM122" i="1"/>
  <c r="DM274" i="1"/>
  <c r="DM275" i="1" s="1"/>
  <c r="BB168" i="1"/>
  <c r="BB122" i="1"/>
  <c r="BB274" i="1"/>
  <c r="BB275" i="1" s="1"/>
  <c r="AH250" i="1"/>
  <c r="AH234" i="1"/>
  <c r="AH218" i="1"/>
  <c r="AH109" i="1"/>
  <c r="AH107" i="1"/>
  <c r="BW250" i="1"/>
  <c r="BW218" i="1"/>
  <c r="BW109" i="1"/>
  <c r="BW107" i="1"/>
  <c r="CR141" i="1"/>
  <c r="CR320" i="1" s="1"/>
  <c r="CR321" i="1" s="1"/>
  <c r="CR131" i="1" s="1"/>
  <c r="CR132" i="1" s="1"/>
  <c r="BC131" i="1"/>
  <c r="BC132" i="1" s="1"/>
  <c r="BC130" i="1"/>
  <c r="BT101" i="1"/>
  <c r="BT105" i="1"/>
  <c r="BZ218" i="1" s="1"/>
  <c r="CG137" i="1"/>
  <c r="CG139" i="1"/>
  <c r="DS250" i="1"/>
  <c r="DS218" i="1"/>
  <c r="DS109" i="1"/>
  <c r="AP147" i="1"/>
  <c r="AP141" i="1"/>
  <c r="CP130" i="1"/>
  <c r="CP346" i="1"/>
  <c r="BE250" i="1"/>
  <c r="BE234" i="1"/>
  <c r="BE218" i="1"/>
  <c r="BE109" i="1"/>
  <c r="BE107" i="1"/>
  <c r="DO139" i="1"/>
  <c r="DO137" i="1"/>
  <c r="CY105" i="1"/>
  <c r="CY101" i="1"/>
  <c r="P150" i="1"/>
  <c r="AT147" i="1"/>
  <c r="AT141" i="1"/>
  <c r="AG250" i="1"/>
  <c r="AG234" i="1"/>
  <c r="AG218" i="1"/>
  <c r="AG109" i="1"/>
  <c r="AG107" i="1"/>
  <c r="BB133" i="1"/>
  <c r="CX250" i="1"/>
  <c r="CX234" i="1"/>
  <c r="CX218" i="1"/>
  <c r="CX109" i="1"/>
  <c r="CX107" i="1"/>
  <c r="AN250" i="1"/>
  <c r="AN234" i="1"/>
  <c r="AN218" i="1"/>
  <c r="AN109" i="1"/>
  <c r="AN107" i="1"/>
  <c r="CA139" i="1"/>
  <c r="CA137" i="1"/>
  <c r="BG250" i="1"/>
  <c r="BG234" i="1"/>
  <c r="BG218" i="1"/>
  <c r="BG107" i="1"/>
  <c r="BG109" i="1"/>
  <c r="DJ147" i="1"/>
  <c r="DJ130" i="2" s="1"/>
  <c r="DJ131" i="2" s="1"/>
  <c r="DJ141" i="1"/>
  <c r="DJ320" i="1" s="1"/>
  <c r="DJ321" i="1" s="1"/>
  <c r="DJ131" i="1" s="1"/>
  <c r="DJ132" i="1" s="1"/>
  <c r="AJ250" i="1"/>
  <c r="AJ218" i="1"/>
  <c r="AJ234" i="1"/>
  <c r="AJ107" i="1"/>
  <c r="AJ109" i="1"/>
  <c r="CF274" i="1"/>
  <c r="CF275" i="1" s="1"/>
  <c r="CF122" i="1"/>
  <c r="BU129" i="1"/>
  <c r="BK101" i="1"/>
  <c r="BK152" i="3" s="1"/>
  <c r="BK153" i="3" s="1"/>
  <c r="BK105" i="1"/>
  <c r="BO136" i="1"/>
  <c r="BK139" i="1"/>
  <c r="BK137" i="1"/>
  <c r="CC250" i="1"/>
  <c r="CC234" i="1"/>
  <c r="CC218" i="1"/>
  <c r="CC109" i="1"/>
  <c r="CC107" i="1"/>
  <c r="BZ122" i="1"/>
  <c r="BZ274" i="1"/>
  <c r="BZ275" i="1" s="1"/>
  <c r="BS147" i="1"/>
  <c r="BS141" i="1"/>
  <c r="AO147" i="1"/>
  <c r="AO141" i="1"/>
  <c r="CA87" i="1"/>
  <c r="CE250" i="1"/>
  <c r="CE218" i="1"/>
  <c r="CE107" i="1"/>
  <c r="CE109" i="1"/>
  <c r="AZ168" i="1"/>
  <c r="AZ122" i="1"/>
  <c r="AZ274" i="1"/>
  <c r="AZ275" i="1" s="1"/>
  <c r="BH168" i="1"/>
  <c r="BH274" i="1"/>
  <c r="BH275" i="1" s="1"/>
  <c r="BH122" i="1"/>
  <c r="BE133" i="1"/>
  <c r="CD139" i="1"/>
  <c r="CD137" i="1"/>
  <c r="CV141" i="1"/>
  <c r="CV320" i="1" s="1"/>
  <c r="CV321" i="1" s="1"/>
  <c r="CV131" i="1" s="1"/>
  <c r="CV132" i="1" s="1"/>
  <c r="CV147" i="1"/>
  <c r="CV130" i="2" s="1"/>
  <c r="CV131" i="2" s="1"/>
  <c r="CX192" i="1"/>
  <c r="CW192" i="1" s="1"/>
  <c r="CV192" i="1" s="1"/>
  <c r="CU192" i="1" s="1"/>
  <c r="DE192" i="1"/>
  <c r="DU141" i="1"/>
  <c r="DU320" i="1" s="1"/>
  <c r="DU321" i="1" s="1"/>
  <c r="DU131" i="1" s="1"/>
  <c r="DU132" i="1" s="1"/>
  <c r="DU147" i="1"/>
  <c r="DU130" i="2" s="1"/>
  <c r="DU131" i="2" s="1"/>
  <c r="AT133" i="1"/>
  <c r="AU168" i="1"/>
  <c r="AU66" i="1" s="1"/>
  <c r="AU122" i="1" s="1"/>
  <c r="AU274" i="1"/>
  <c r="AU275" i="1" s="1"/>
  <c r="DB139" i="1"/>
  <c r="DB137" i="1"/>
  <c r="EN138" i="1"/>
  <c r="EN322" i="1" s="1"/>
  <c r="DE98" i="1"/>
  <c r="CY87" i="1"/>
  <c r="BA141" i="1"/>
  <c r="BA147" i="1"/>
  <c r="BS133" i="1"/>
  <c r="Y250" i="1"/>
  <c r="Y218" i="1"/>
  <c r="Y107" i="1"/>
  <c r="Y195" i="2" s="1"/>
  <c r="Y109" i="1"/>
  <c r="AE218" i="1"/>
  <c r="AZ141" i="1"/>
  <c r="AZ147" i="1"/>
  <c r="DQ129" i="1"/>
  <c r="CQ147" i="1"/>
  <c r="CQ130" i="2" s="1"/>
  <c r="CQ131" i="2" s="1"/>
  <c r="CQ141" i="1"/>
  <c r="CQ320" i="1" s="1"/>
  <c r="CQ321" i="1" s="1"/>
  <c r="CQ131" i="1" s="1"/>
  <c r="CQ132" i="1" s="1"/>
  <c r="DG139" i="1"/>
  <c r="DK136" i="1"/>
  <c r="DG137" i="1"/>
  <c r="BM250" i="1"/>
  <c r="BM234" i="1"/>
  <c r="BM218" i="1"/>
  <c r="BM109" i="1"/>
  <c r="BM107" i="1"/>
  <c r="BN250" i="1"/>
  <c r="BN234" i="1"/>
  <c r="BN218" i="1"/>
  <c r="BN107" i="1"/>
  <c r="BN109" i="1"/>
  <c r="DC250" i="1"/>
  <c r="DC218" i="1"/>
  <c r="DC107" i="1"/>
  <c r="DC109" i="1"/>
  <c r="DY377" i="4"/>
  <c r="DY378" i="4" s="1"/>
  <c r="EE327" i="4"/>
  <c r="EE276" i="1" s="1"/>
  <c r="EC327" i="4"/>
  <c r="EC276" i="1" s="1"/>
  <c r="CG184" i="4"/>
  <c r="DA382" i="4"/>
  <c r="DA388" i="4"/>
  <c r="DA383" i="4"/>
  <c r="CI206" i="4"/>
  <c r="CM205" i="4"/>
  <c r="DU379" i="4"/>
  <c r="BE235" i="4"/>
  <c r="BE233" i="4"/>
  <c r="BF230" i="4"/>
  <c r="DV372" i="4"/>
  <c r="DN324" i="4"/>
  <c r="DN323" i="4"/>
  <c r="BZ241" i="4"/>
  <c r="BY223" i="4"/>
  <c r="BB169" i="4"/>
  <c r="BB183" i="4"/>
  <c r="BH170" i="4"/>
  <c r="DW370" i="4"/>
  <c r="DW371" i="4" s="1"/>
  <c r="DT372" i="4"/>
  <c r="DY316" i="4"/>
  <c r="EE314" i="4"/>
  <c r="DY315" i="4"/>
  <c r="BU210" i="4"/>
  <c r="BU220" i="4"/>
  <c r="BU221" i="4" s="1"/>
  <c r="BU213" i="4"/>
  <c r="BU214" i="4" s="1"/>
  <c r="BU211" i="4"/>
  <c r="DS371" i="4"/>
  <c r="DZ377" i="4"/>
  <c r="DZ378" i="4" s="1"/>
  <c r="EF327" i="4"/>
  <c r="EF276" i="1" s="1"/>
  <c r="DV379" i="4"/>
  <c r="DO282" i="4"/>
  <c r="DP280" i="4"/>
  <c r="DO322" i="4"/>
  <c r="BC184" i="4"/>
  <c r="BQ221" i="4"/>
  <c r="BW221" i="4"/>
  <c r="BO184" i="4"/>
  <c r="DW377" i="4"/>
  <c r="DW378" i="4" s="1"/>
  <c r="DT379" i="4"/>
  <c r="EB377" i="4"/>
  <c r="EB378" i="4" s="1"/>
  <c r="EH327" i="4"/>
  <c r="EH276" i="1" s="1"/>
  <c r="CM185" i="4"/>
  <c r="CM184" i="4"/>
  <c r="BR205" i="4"/>
  <c r="BR185" i="4"/>
  <c r="BR184" i="4"/>
  <c r="DU372" i="4"/>
  <c r="DU371" i="4"/>
  <c r="EH314" i="4"/>
  <c r="DS379" i="4"/>
  <c r="BQ184" i="4"/>
  <c r="BQ205" i="4"/>
  <c r="BU183" i="4"/>
  <c r="BQ185" i="4"/>
  <c r="CC206" i="4"/>
  <c r="CG205" i="4"/>
  <c r="DQ371" i="4"/>
  <c r="EG327" i="4"/>
  <c r="EG276" i="1" s="1"/>
  <c r="DS372" i="4"/>
  <c r="BU188" i="4"/>
  <c r="BU189" i="4"/>
  <c r="DT378" i="4"/>
  <c r="CA399" i="4"/>
  <c r="CG395" i="4"/>
  <c r="CG396" i="4" s="1"/>
  <c r="CA396" i="4"/>
  <c r="CL206" i="4"/>
  <c r="BU170" i="4"/>
  <c r="BU169" i="4"/>
  <c r="CD206" i="4"/>
  <c r="P109" i="484"/>
  <c r="I230" i="484"/>
  <c r="I228" i="484" s="1"/>
  <c r="O132" i="484"/>
  <c r="P121" i="484"/>
  <c r="I176" i="484"/>
  <c r="J74" i="484"/>
  <c r="J73" i="484" s="1"/>
  <c r="I6" i="484"/>
  <c r="I60" i="484" s="1"/>
  <c r="I138" i="484"/>
  <c r="I141" i="484"/>
  <c r="I134" i="484" s="1"/>
  <c r="J186" i="484"/>
  <c r="K81" i="484"/>
  <c r="K229" i="484" s="1"/>
  <c r="J148" i="484"/>
  <c r="P107" i="484"/>
  <c r="K44" i="484"/>
  <c r="K42" i="484"/>
  <c r="K40" i="484"/>
  <c r="H70" i="484"/>
  <c r="H27" i="484"/>
  <c r="H29" i="484"/>
  <c r="H28" i="484"/>
  <c r="L52" i="484"/>
  <c r="L50" i="484"/>
  <c r="L48" i="484"/>
  <c r="O111" i="484"/>
  <c r="H26" i="484"/>
  <c r="J187" i="484"/>
  <c r="J190" i="484" s="1"/>
  <c r="K82" i="484"/>
  <c r="K19" i="484" s="1"/>
  <c r="J149" i="484"/>
  <c r="J219" i="484"/>
  <c r="L224" i="484"/>
  <c r="P237" i="484"/>
  <c r="Q192" i="484"/>
  <c r="H131" i="484"/>
  <c r="H150" i="484"/>
  <c r="H156" i="484" s="1"/>
  <c r="M346" i="484"/>
  <c r="M47" i="484"/>
  <c r="M35" i="484"/>
  <c r="M172" i="484" s="1"/>
  <c r="M204" i="484" s="1"/>
  <c r="N30" i="484"/>
  <c r="M55" i="484"/>
  <c r="M32" i="484" s="1"/>
  <c r="M57" i="484"/>
  <c r="H213" i="484"/>
  <c r="H211" i="484"/>
  <c r="O101" i="484"/>
  <c r="Q313" i="484"/>
  <c r="BY225" i="2"/>
  <c r="DQ190" i="1"/>
  <c r="ER94" i="1" l="1"/>
  <c r="EQ93" i="1"/>
  <c r="K245" i="484"/>
  <c r="K263" i="484" s="1"/>
  <c r="ET129" i="3"/>
  <c r="EU129" i="3" s="1"/>
  <c r="EU56" i="3"/>
  <c r="ES362" i="4"/>
  <c r="ER363" i="4"/>
  <c r="EU362" i="4"/>
  <c r="ET361" i="4"/>
  <c r="ET363" i="4" s="1"/>
  <c r="EK362" i="4"/>
  <c r="EQ362" i="4"/>
  <c r="ER362" i="4"/>
  <c r="ES363" i="4"/>
  <c r="CG105" i="3"/>
  <c r="CG113" i="3" s="1"/>
  <c r="CF139" i="3"/>
  <c r="CF145" i="3"/>
  <c r="CR113" i="3"/>
  <c r="CS105" i="3"/>
  <c r="CS113" i="3" s="1"/>
  <c r="CY105" i="3"/>
  <c r="CY113" i="3" s="1"/>
  <c r="CX113" i="3"/>
  <c r="DJ113" i="3"/>
  <c r="DK105" i="3"/>
  <c r="DK113" i="3" s="1"/>
  <c r="AD237" i="2"/>
  <c r="AE237" i="2" s="1"/>
  <c r="DD113" i="3"/>
  <c r="DE105" i="3"/>
  <c r="DE113" i="3" s="1"/>
  <c r="CG139" i="3"/>
  <c r="CG145" i="3"/>
  <c r="BZ113" i="3"/>
  <c r="CA105" i="3"/>
  <c r="CA113" i="3" s="1"/>
  <c r="CF206" i="4"/>
  <c r="CY108" i="2"/>
  <c r="DA108" i="2" s="1"/>
  <c r="CX109" i="2"/>
  <c r="CY109" i="2" s="1"/>
  <c r="BY206" i="4"/>
  <c r="CS105" i="1"/>
  <c r="DQ101" i="1"/>
  <c r="DQ274" i="1" s="1"/>
  <c r="DQ275" i="1" s="1"/>
  <c r="BQ133" i="1"/>
  <c r="CG185" i="4"/>
  <c r="DQ107" i="3"/>
  <c r="EN91" i="2"/>
  <c r="ET91" i="2" s="1"/>
  <c r="EU91" i="2" s="1"/>
  <c r="EI91" i="2"/>
  <c r="DO112" i="3"/>
  <c r="DO105" i="3" s="1"/>
  <c r="DN112" i="3"/>
  <c r="DZ264" i="1"/>
  <c r="DZ266" i="1" s="1"/>
  <c r="DZ90" i="2"/>
  <c r="EF90" i="2" s="1"/>
  <c r="EL90" i="2" s="1"/>
  <c r="ER90" i="2" s="1"/>
  <c r="DZ92" i="2"/>
  <c r="EF92" i="2" s="1"/>
  <c r="EL92" i="2" s="1"/>
  <c r="ER92" i="2" s="1"/>
  <c r="DZ91" i="2"/>
  <c r="EF91" i="2" s="1"/>
  <c r="EL91" i="2" s="1"/>
  <c r="ER91" i="2" s="1"/>
  <c r="DN168" i="2"/>
  <c r="DQ171" i="2"/>
  <c r="DI53" i="4"/>
  <c r="DI30" i="4"/>
  <c r="H263" i="484"/>
  <c r="H272" i="484" s="1"/>
  <c r="H276" i="484" s="1"/>
  <c r="H293" i="484" s="1"/>
  <c r="K78" i="484"/>
  <c r="K77" i="484" s="1"/>
  <c r="EI89" i="3"/>
  <c r="EH137" i="2"/>
  <c r="J180" i="484"/>
  <c r="J179" i="484" s="1"/>
  <c r="J220" i="484" s="1"/>
  <c r="J218" i="484" s="1"/>
  <c r="J22" i="484"/>
  <c r="J142" i="484"/>
  <c r="J141" i="484" s="1"/>
  <c r="J134" i="484" s="1"/>
  <c r="Q237" i="484"/>
  <c r="R192" i="484"/>
  <c r="R237" i="484" s="1"/>
  <c r="K76" i="484"/>
  <c r="H269" i="484"/>
  <c r="AA447" i="4"/>
  <c r="N133" i="484"/>
  <c r="O123" i="484"/>
  <c r="J177" i="484"/>
  <c r="J139" i="484"/>
  <c r="DQ137" i="1"/>
  <c r="DY200" i="2"/>
  <c r="I175" i="484"/>
  <c r="I195" i="484" s="1"/>
  <c r="K181" i="484"/>
  <c r="K182" i="484"/>
  <c r="K8" i="484"/>
  <c r="K139" i="484" s="1"/>
  <c r="K18" i="484"/>
  <c r="K186" i="484" s="1"/>
  <c r="K144" i="484"/>
  <c r="K143" i="484"/>
  <c r="L13" i="484"/>
  <c r="M80" i="484" s="1"/>
  <c r="J140" i="484"/>
  <c r="O250" i="484"/>
  <c r="N264" i="484"/>
  <c r="EH28" i="1"/>
  <c r="EH30" i="1" s="1"/>
  <c r="EH363" i="4"/>
  <c r="EH364" i="4"/>
  <c r="EK363" i="4"/>
  <c r="EN361" i="4"/>
  <c r="EG29" i="1"/>
  <c r="EK28" i="1"/>
  <c r="EL363" i="4"/>
  <c r="EM363" i="4"/>
  <c r="EL28" i="1"/>
  <c r="EG30" i="1"/>
  <c r="EF29" i="1"/>
  <c r="EM28" i="1"/>
  <c r="EE29" i="1"/>
  <c r="EF30" i="1"/>
  <c r="EE30" i="1"/>
  <c r="EE43" i="1"/>
  <c r="EM37" i="3"/>
  <c r="EM112" i="3" s="1"/>
  <c r="EN29" i="2"/>
  <c r="EM33" i="3"/>
  <c r="EM108" i="3" s="1"/>
  <c r="EN13" i="2"/>
  <c r="DZ249" i="1"/>
  <c r="DZ136" i="1"/>
  <c r="DZ98" i="1"/>
  <c r="DZ129" i="1"/>
  <c r="DZ130" i="1" s="1"/>
  <c r="BR10" i="3"/>
  <c r="BR39" i="3" s="1"/>
  <c r="CA205" i="4"/>
  <c r="CG206" i="4" s="1"/>
  <c r="DI133" i="1"/>
  <c r="DZ87" i="1"/>
  <c r="DZ233" i="1"/>
  <c r="CQ133" i="1"/>
  <c r="DH234" i="1"/>
  <c r="BZ133" i="1"/>
  <c r="CX382" i="4"/>
  <c r="DV218" i="1"/>
  <c r="CX384" i="4"/>
  <c r="CY388" i="4"/>
  <c r="DZ83" i="1"/>
  <c r="CX388" i="4"/>
  <c r="DA384" i="4"/>
  <c r="CX383" i="4"/>
  <c r="DZ265" i="1"/>
  <c r="DZ86" i="1"/>
  <c r="DZ217" i="1"/>
  <c r="BI214" i="4"/>
  <c r="CA185" i="4"/>
  <c r="CE206" i="4"/>
  <c r="BI205" i="4"/>
  <c r="BI184" i="4"/>
  <c r="AQ209" i="4"/>
  <c r="BO185" i="4"/>
  <c r="AW183" i="4"/>
  <c r="AW184" i="4" s="1"/>
  <c r="AS209" i="4"/>
  <c r="EF419" i="4"/>
  <c r="EE426" i="4"/>
  <c r="EE420" i="4"/>
  <c r="CA221" i="4"/>
  <c r="DY379" i="4"/>
  <c r="BM204" i="2"/>
  <c r="BN202" i="2" s="1"/>
  <c r="BO202" i="2" s="1"/>
  <c r="BO228" i="2"/>
  <c r="BO208" i="2"/>
  <c r="BY214" i="2"/>
  <c r="BY201" i="2" s="1"/>
  <c r="DK275" i="2"/>
  <c r="BZ214" i="2"/>
  <c r="BZ201" i="2" s="1"/>
  <c r="CG214" i="2"/>
  <c r="BW214" i="2"/>
  <c r="BX214" i="2"/>
  <c r="EK61" i="3"/>
  <c r="EK128" i="3"/>
  <c r="EK134" i="3" s="1"/>
  <c r="EE55" i="3"/>
  <c r="EE130" i="2"/>
  <c r="CW291" i="1"/>
  <c r="CV293" i="1"/>
  <c r="CV292" i="1"/>
  <c r="BC133" i="1"/>
  <c r="BW206" i="4"/>
  <c r="BR206" i="4"/>
  <c r="BX206" i="4"/>
  <c r="EO84" i="2"/>
  <c r="AN195" i="2"/>
  <c r="DH218" i="1"/>
  <c r="AV195" i="2"/>
  <c r="AS195" i="2"/>
  <c r="AU195" i="2"/>
  <c r="AT195" i="2"/>
  <c r="AO195" i="2"/>
  <c r="AP195" i="2"/>
  <c r="BU111" i="1"/>
  <c r="AW274" i="1"/>
  <c r="AW275" i="1" s="1"/>
  <c r="AW152" i="3"/>
  <c r="AM195" i="2"/>
  <c r="AQ274" i="1"/>
  <c r="AQ275" i="1" s="1"/>
  <c r="AQ152" i="3"/>
  <c r="DZ109" i="3"/>
  <c r="AW176" i="2"/>
  <c r="AQ179" i="2"/>
  <c r="AQ180" i="2" s="1"/>
  <c r="BQ218" i="1"/>
  <c r="BK185" i="2"/>
  <c r="CS274" i="1"/>
  <c r="CS275" i="1" s="1"/>
  <c r="BC274" i="1"/>
  <c r="BC275" i="1" s="1"/>
  <c r="BC279" i="2"/>
  <c r="BC152" i="3"/>
  <c r="CA274" i="1"/>
  <c r="CA275" i="1" s="1"/>
  <c r="BI274" i="1"/>
  <c r="BI275" i="1" s="1"/>
  <c r="BI279" i="2"/>
  <c r="BI152" i="3"/>
  <c r="CG274" i="1"/>
  <c r="CG275" i="1" s="1"/>
  <c r="CP152" i="3"/>
  <c r="AK274" i="1"/>
  <c r="AK275" i="1" s="1"/>
  <c r="AK152" i="3"/>
  <c r="BG195" i="2"/>
  <c r="CS178" i="2"/>
  <c r="BC178" i="2"/>
  <c r="BA195" i="2"/>
  <c r="CA178" i="2"/>
  <c r="BI185" i="2"/>
  <c r="BI178" i="2"/>
  <c r="CG178" i="2"/>
  <c r="AK180" i="2"/>
  <c r="AK178" i="2"/>
  <c r="CJ152" i="3"/>
  <c r="CJ153" i="3" s="1"/>
  <c r="BB195" i="2"/>
  <c r="CI152" i="3"/>
  <c r="CI153" i="3" s="1"/>
  <c r="CQ153" i="3"/>
  <c r="DH153" i="3"/>
  <c r="AJ195" i="2"/>
  <c r="AG195" i="2"/>
  <c r="CY274" i="1"/>
  <c r="CY275" i="1" s="1"/>
  <c r="BE195" i="2"/>
  <c r="AH195" i="2"/>
  <c r="DW178" i="2"/>
  <c r="BL195" i="2"/>
  <c r="BU279" i="2"/>
  <c r="CG152" i="3"/>
  <c r="Y153" i="3"/>
  <c r="AE153" i="3"/>
  <c r="AH153" i="3"/>
  <c r="AN153" i="3"/>
  <c r="BN195" i="2"/>
  <c r="BM195" i="2"/>
  <c r="CY178" i="2"/>
  <c r="AZ195" i="2"/>
  <c r="BF195" i="2"/>
  <c r="AY195" i="2"/>
  <c r="AI195" i="2"/>
  <c r="BH195" i="2"/>
  <c r="DQ178" i="2"/>
  <c r="BU178" i="2"/>
  <c r="AG153" i="3"/>
  <c r="AM153" i="3"/>
  <c r="DM153" i="3"/>
  <c r="AI153" i="3"/>
  <c r="AO153" i="3"/>
  <c r="AJ153" i="3"/>
  <c r="AP153" i="3"/>
  <c r="CU153" i="3"/>
  <c r="BA186" i="2"/>
  <c r="CY131" i="2"/>
  <c r="CA131" i="2"/>
  <c r="CA130" i="2"/>
  <c r="BL196" i="2"/>
  <c r="AJ186" i="2"/>
  <c r="AJ188" i="2" s="1"/>
  <c r="BQ85" i="3"/>
  <c r="BQ39" i="3"/>
  <c r="AA189" i="2"/>
  <c r="AA198" i="2" s="1"/>
  <c r="AE188" i="2"/>
  <c r="AA272" i="2"/>
  <c r="AA192" i="2"/>
  <c r="AA190" i="2"/>
  <c r="O113" i="3"/>
  <c r="O139" i="3" s="1"/>
  <c r="O143" i="3" s="1"/>
  <c r="AO186" i="2"/>
  <c r="AZ186" i="2"/>
  <c r="AP186" i="2"/>
  <c r="BE186" i="2"/>
  <c r="BE10" i="3"/>
  <c r="BF10" i="3" s="1"/>
  <c r="BG10" i="3" s="1"/>
  <c r="BN196" i="2"/>
  <c r="BB186" i="2"/>
  <c r="BG186" i="2"/>
  <c r="AU186" i="2"/>
  <c r="U189" i="2"/>
  <c r="U198" i="2" s="1"/>
  <c r="U192" i="2"/>
  <c r="Y188" i="2"/>
  <c r="U190" i="2"/>
  <c r="U272" i="2"/>
  <c r="AD39" i="3"/>
  <c r="AD85" i="3"/>
  <c r="AD113" i="3" s="1"/>
  <c r="AD139" i="3" s="1"/>
  <c r="BH186" i="2"/>
  <c r="AM10" i="3"/>
  <c r="AM186" i="2"/>
  <c r="AN186" i="2"/>
  <c r="AI186" i="2"/>
  <c r="AI188" i="2" s="1"/>
  <c r="AH186" i="2"/>
  <c r="AH188" i="2" s="1"/>
  <c r="CY130" i="2"/>
  <c r="BF186" i="2"/>
  <c r="BM196" i="2"/>
  <c r="AG10" i="3"/>
  <c r="AG186" i="2"/>
  <c r="S188" i="2"/>
  <c r="O190" i="2"/>
  <c r="O189" i="2"/>
  <c r="O198" i="2" s="1"/>
  <c r="X85" i="3"/>
  <c r="X113" i="3" s="1"/>
  <c r="X139" i="3" s="1"/>
  <c r="X39" i="3"/>
  <c r="X66" i="3" s="1"/>
  <c r="Y66" i="3" s="1"/>
  <c r="P85" i="3"/>
  <c r="P113" i="3" s="1"/>
  <c r="P139" i="3" s="1"/>
  <c r="P39" i="3"/>
  <c r="P66" i="3" s="1"/>
  <c r="P70" i="3" s="1"/>
  <c r="P72" i="3" s="1"/>
  <c r="Q10" i="3"/>
  <c r="AT186" i="2"/>
  <c r="AV186" i="2"/>
  <c r="AS186" i="2"/>
  <c r="AS10" i="3"/>
  <c r="AT10" i="3" s="1"/>
  <c r="AY10" i="3"/>
  <c r="AY186" i="2"/>
  <c r="U113" i="3"/>
  <c r="U139" i="3" s="1"/>
  <c r="Y85" i="3"/>
  <c r="Y113" i="3" s="1"/>
  <c r="Y139" i="3" s="1"/>
  <c r="AA113" i="3"/>
  <c r="AA139" i="3" s="1"/>
  <c r="AC196" i="2"/>
  <c r="AA196" i="2"/>
  <c r="P447" i="4"/>
  <c r="P196" i="2"/>
  <c r="AB447" i="4"/>
  <c r="AB196" i="2"/>
  <c r="V196" i="2"/>
  <c r="AD151" i="1"/>
  <c r="X196" i="2"/>
  <c r="O447" i="4"/>
  <c r="O196" i="2"/>
  <c r="W196" i="2"/>
  <c r="DM131" i="2"/>
  <c r="DA131" i="2"/>
  <c r="DW130" i="2"/>
  <c r="DS131" i="2"/>
  <c r="DW131" i="2" s="1"/>
  <c r="CA176" i="1"/>
  <c r="CG180" i="1" s="1"/>
  <c r="K223" i="484"/>
  <c r="K222" i="484" s="1"/>
  <c r="K9" i="484"/>
  <c r="K178" i="484" s="1"/>
  <c r="L12" i="484"/>
  <c r="L181" i="484" s="1"/>
  <c r="CS346" i="1"/>
  <c r="CM148" i="3"/>
  <c r="CM146" i="3"/>
  <c r="CM147" i="3"/>
  <c r="CL148" i="3"/>
  <c r="CL152" i="3"/>
  <c r="CL147" i="3"/>
  <c r="BY268" i="2"/>
  <c r="BE252" i="2"/>
  <c r="BC253" i="2"/>
  <c r="DG121" i="2"/>
  <c r="DH107" i="2"/>
  <c r="EO138" i="2"/>
  <c r="AJ240" i="2"/>
  <c r="AK240" i="2" s="1"/>
  <c r="CR222" i="2"/>
  <c r="CU222" i="2"/>
  <c r="DS141" i="2"/>
  <c r="DP150" i="2"/>
  <c r="DN221" i="2"/>
  <c r="DO221" i="2" s="1"/>
  <c r="DK221" i="2"/>
  <c r="CE114" i="2"/>
  <c r="CE116" i="2" s="1"/>
  <c r="CC116" i="2"/>
  <c r="DD106" i="2"/>
  <c r="DC110" i="2"/>
  <c r="AO245" i="2"/>
  <c r="AO244" i="2"/>
  <c r="AS249" i="2"/>
  <c r="EE115" i="2"/>
  <c r="EC115" i="2"/>
  <c r="AG236" i="2"/>
  <c r="EL96" i="2"/>
  <c r="X232" i="2"/>
  <c r="Y232" i="2" s="1"/>
  <c r="Y233" i="2" s="1"/>
  <c r="BL256" i="2"/>
  <c r="BL257" i="2" s="1"/>
  <c r="AT297" i="2"/>
  <c r="AU204" i="2"/>
  <c r="AT211" i="2"/>
  <c r="AU216" i="2"/>
  <c r="DQ141" i="2"/>
  <c r="CU116" i="2"/>
  <c r="CV113" i="2"/>
  <c r="CO223" i="2"/>
  <c r="CL223" i="2"/>
  <c r="BR261" i="2"/>
  <c r="EL98" i="2"/>
  <c r="BN219" i="1"/>
  <c r="BN235" i="1"/>
  <c r="BN108" i="1"/>
  <c r="BN457" i="4"/>
  <c r="BM235" i="1"/>
  <c r="BM219" i="1"/>
  <c r="BM108" i="1"/>
  <c r="BM457" i="4"/>
  <c r="BH124" i="1"/>
  <c r="BH125" i="1" s="1"/>
  <c r="BH123" i="1"/>
  <c r="AZ124" i="1"/>
  <c r="AZ125" i="1" s="1"/>
  <c r="AZ123" i="1"/>
  <c r="BK147" i="1"/>
  <c r="BK141" i="1"/>
  <c r="BU131" i="1"/>
  <c r="BU132" i="1" s="1"/>
  <c r="BU130" i="1"/>
  <c r="AJ268" i="1"/>
  <c r="AJ235" i="1"/>
  <c r="AJ219" i="1"/>
  <c r="AJ108" i="1"/>
  <c r="AJ457" i="4"/>
  <c r="DO147" i="1"/>
  <c r="DO130" i="2" s="1"/>
  <c r="DO131" i="2" s="1"/>
  <c r="DO141" i="1"/>
  <c r="DO320" i="1" s="1"/>
  <c r="DO321" i="1" s="1"/>
  <c r="DO131" i="1" s="1"/>
  <c r="DO132" i="1" s="1"/>
  <c r="DO133" i="1" s="1"/>
  <c r="CG144" i="1"/>
  <c r="CG141" i="1"/>
  <c r="BT122" i="1"/>
  <c r="BU122" i="1" s="1"/>
  <c r="BT274" i="1"/>
  <c r="BT275" i="1" s="1"/>
  <c r="CR150" i="1"/>
  <c r="CR154" i="1"/>
  <c r="CR149" i="1"/>
  <c r="BW235" i="1"/>
  <c r="BW219" i="1"/>
  <c r="BW108" i="1"/>
  <c r="BW457" i="4"/>
  <c r="BT502" i="4"/>
  <c r="BW464" i="4"/>
  <c r="BC250" i="1"/>
  <c r="BC218" i="1"/>
  <c r="BC109" i="1"/>
  <c r="BC107" i="1"/>
  <c r="DC123" i="1"/>
  <c r="DC124" i="1"/>
  <c r="DC125" i="1" s="1"/>
  <c r="DK130" i="1"/>
  <c r="DG122" i="1"/>
  <c r="DG274" i="1"/>
  <c r="DG275" i="1" s="1"/>
  <c r="DV154" i="1"/>
  <c r="DV107" i="1" s="1"/>
  <c r="DV150" i="1"/>
  <c r="DV149" i="1"/>
  <c r="EO138" i="1"/>
  <c r="EO322" i="1" s="1"/>
  <c r="DB250" i="1"/>
  <c r="DB234" i="1"/>
  <c r="DB218" i="1"/>
  <c r="DB109" i="1"/>
  <c r="DB107" i="1"/>
  <c r="DW158" i="1"/>
  <c r="AZ235" i="1"/>
  <c r="AZ268" i="1"/>
  <c r="AZ219" i="1"/>
  <c r="AZ108" i="1"/>
  <c r="AZ457" i="4"/>
  <c r="CE124" i="1"/>
  <c r="CE125" i="1" s="1"/>
  <c r="CE123" i="1"/>
  <c r="AC151" i="1"/>
  <c r="AC447" i="4"/>
  <c r="BG124" i="1"/>
  <c r="BG125" i="1" s="1"/>
  <c r="BG123" i="1"/>
  <c r="CA320" i="1"/>
  <c r="CA321" i="1" s="1"/>
  <c r="CA131" i="1" s="1"/>
  <c r="CA132" i="1" s="1"/>
  <c r="BW321" i="1"/>
  <c r="BW131" i="1" s="1"/>
  <c r="BW132" i="1" s="1"/>
  <c r="BW133" i="1" s="1"/>
  <c r="CX123" i="1"/>
  <c r="CX124" i="1"/>
  <c r="CX125" i="1" s="1"/>
  <c r="CY122" i="1"/>
  <c r="CU124" i="1"/>
  <c r="CU125" i="1" s="1"/>
  <c r="CU123" i="1"/>
  <c r="BH163" i="1"/>
  <c r="BH187" i="2" s="1"/>
  <c r="BH149" i="1"/>
  <c r="BH154" i="1"/>
  <c r="BH150" i="1"/>
  <c r="BN151" i="1" s="1"/>
  <c r="DE137" i="1"/>
  <c r="DE139" i="1"/>
  <c r="DE141" i="1" s="1"/>
  <c r="AM163" i="1"/>
  <c r="AM187" i="2" s="1"/>
  <c r="AM149" i="1"/>
  <c r="AM154" i="1"/>
  <c r="AM150" i="1"/>
  <c r="DT124" i="1"/>
  <c r="DT125" i="1" s="1"/>
  <c r="DT123" i="1"/>
  <c r="DD250" i="1"/>
  <c r="DD218" i="1"/>
  <c r="DD234" i="1"/>
  <c r="DD107" i="1"/>
  <c r="DJ108" i="1" s="1"/>
  <c r="DD109" i="1"/>
  <c r="DH123" i="1"/>
  <c r="DH124" i="1"/>
  <c r="DH125" i="1" s="1"/>
  <c r="BF235" i="1"/>
  <c r="BF219" i="1"/>
  <c r="BF268" i="1"/>
  <c r="BF108" i="1"/>
  <c r="BF457" i="4"/>
  <c r="BI250" i="1"/>
  <c r="BI218" i="1"/>
  <c r="BI109" i="1"/>
  <c r="BI107" i="1"/>
  <c r="CW133" i="1"/>
  <c r="BU144" i="1"/>
  <c r="BU141" i="1"/>
  <c r="CE133" i="1"/>
  <c r="AY268" i="1"/>
  <c r="AY235" i="1"/>
  <c r="AY219" i="1"/>
  <c r="AY108" i="1"/>
  <c r="AY457" i="4"/>
  <c r="BG154" i="1"/>
  <c r="BG150" i="1"/>
  <c r="BM151" i="1" s="1"/>
  <c r="BG163" i="1"/>
  <c r="BG187" i="2" s="1"/>
  <c r="BG149" i="1"/>
  <c r="DI150" i="1"/>
  <c r="DI149" i="1"/>
  <c r="DI154" i="1"/>
  <c r="AS150" i="1"/>
  <c r="AS163" i="1"/>
  <c r="AS187" i="2" s="1"/>
  <c r="AS149" i="1"/>
  <c r="AS154" i="1"/>
  <c r="DV123" i="1"/>
  <c r="DV124" i="1"/>
  <c r="DV125" i="1" s="1"/>
  <c r="BO130" i="1"/>
  <c r="BO131" i="1"/>
  <c r="BO132" i="1" s="1"/>
  <c r="BO133" i="1" s="1"/>
  <c r="DM321" i="1"/>
  <c r="DM131" i="1" s="1"/>
  <c r="DM132" i="1" s="1"/>
  <c r="CP250" i="1"/>
  <c r="CP234" i="1"/>
  <c r="CP218" i="1"/>
  <c r="CP107" i="1"/>
  <c r="CR268" i="1" s="1"/>
  <c r="CP109" i="1"/>
  <c r="Y150" i="1"/>
  <c r="Y196" i="2" s="1"/>
  <c r="Y154" i="1"/>
  <c r="Y149" i="1"/>
  <c r="AK250" i="1"/>
  <c r="AK218" i="1"/>
  <c r="AK109" i="1"/>
  <c r="AK107" i="1"/>
  <c r="AV268" i="1"/>
  <c r="AV219" i="1"/>
  <c r="AV235" i="1"/>
  <c r="AV108" i="1"/>
  <c r="AV457" i="4"/>
  <c r="BC147" i="1"/>
  <c r="BC10" i="3" s="1"/>
  <c r="BC39" i="3" s="1"/>
  <c r="BC144" i="1"/>
  <c r="BC141" i="1"/>
  <c r="AM268" i="1"/>
  <c r="AM235" i="1"/>
  <c r="AM219" i="1"/>
  <c r="AM108" i="1"/>
  <c r="AM457" i="4"/>
  <c r="DC133" i="1"/>
  <c r="AU154" i="1"/>
  <c r="AU150" i="1"/>
  <c r="AU163" i="1"/>
  <c r="AU187" i="2" s="1"/>
  <c r="AU149" i="1"/>
  <c r="BC168" i="1"/>
  <c r="CQ124" i="1"/>
  <c r="CQ125" i="1" s="1"/>
  <c r="CQ123" i="1"/>
  <c r="CY147" i="1"/>
  <c r="CU154" i="1"/>
  <c r="CU150" i="1"/>
  <c r="CU149" i="1"/>
  <c r="BH268" i="1"/>
  <c r="BH235" i="1"/>
  <c r="BH219" i="1"/>
  <c r="BH108" i="1"/>
  <c r="BH457" i="4"/>
  <c r="CC124" i="1"/>
  <c r="CC125" i="1" s="1"/>
  <c r="CC123" i="1"/>
  <c r="DJ235" i="1"/>
  <c r="DJ114" i="1"/>
  <c r="DJ457" i="4"/>
  <c r="CR235" i="1"/>
  <c r="CR457" i="4"/>
  <c r="AW144" i="1"/>
  <c r="AW147" i="1"/>
  <c r="AW10" i="3" s="1"/>
  <c r="AW141" i="1"/>
  <c r="DO122" i="1"/>
  <c r="DO274" i="1"/>
  <c r="DO275" i="1" s="1"/>
  <c r="CO457" i="4"/>
  <c r="BI144" i="1"/>
  <c r="BI141" i="1"/>
  <c r="CI274" i="1"/>
  <c r="CI275" i="1" s="1"/>
  <c r="CI122" i="1"/>
  <c r="AP268" i="1"/>
  <c r="AP219" i="1"/>
  <c r="AP235" i="1"/>
  <c r="AP108" i="1"/>
  <c r="AP457" i="4"/>
  <c r="BU250" i="1"/>
  <c r="BU107" i="1"/>
  <c r="BU109" i="1"/>
  <c r="CQ150" i="1"/>
  <c r="CQ154" i="1"/>
  <c r="CQ149" i="1"/>
  <c r="AU124" i="1"/>
  <c r="AU125" i="1" s="1"/>
  <c r="AU123" i="1"/>
  <c r="DK192" i="1"/>
  <c r="DD192" i="1"/>
  <c r="DC192" i="1" s="1"/>
  <c r="DB192" i="1" s="1"/>
  <c r="DA192" i="1" s="1"/>
  <c r="AO154" i="1"/>
  <c r="AO150" i="1"/>
  <c r="AO163" i="1"/>
  <c r="AO187" i="2" s="1"/>
  <c r="AO149" i="1"/>
  <c r="BZ124" i="1"/>
  <c r="BZ125" i="1" s="1"/>
  <c r="BZ123" i="1"/>
  <c r="BO137" i="1"/>
  <c r="BO139" i="1"/>
  <c r="CF124" i="1"/>
  <c r="CF125" i="1" s="1"/>
  <c r="CF123" i="1"/>
  <c r="DJ150" i="1"/>
  <c r="DJ149" i="1"/>
  <c r="DJ154" i="1"/>
  <c r="CA144" i="1"/>
  <c r="CA141" i="1"/>
  <c r="AG268" i="1"/>
  <c r="AG235" i="1"/>
  <c r="AG219" i="1"/>
  <c r="AG108" i="1"/>
  <c r="AG457" i="4"/>
  <c r="BE268" i="1"/>
  <c r="BE235" i="1"/>
  <c r="BE219" i="1"/>
  <c r="BE108" i="1"/>
  <c r="BE457" i="4"/>
  <c r="AH268" i="1"/>
  <c r="AH235" i="1"/>
  <c r="AH219" i="1"/>
  <c r="AH108" i="1"/>
  <c r="AH457" i="4"/>
  <c r="BE154" i="1"/>
  <c r="BE150" i="1"/>
  <c r="BI147" i="1"/>
  <c r="BE163" i="1"/>
  <c r="BE187" i="2" s="1"/>
  <c r="BE149" i="1"/>
  <c r="AS268" i="1"/>
  <c r="AS235" i="1"/>
  <c r="AS219" i="1"/>
  <c r="AS108" i="1"/>
  <c r="AS457" i="4"/>
  <c r="CW268" i="1"/>
  <c r="CW235" i="1"/>
  <c r="CW219" i="1"/>
  <c r="CW108" i="1"/>
  <c r="CW457" i="4"/>
  <c r="BM124" i="1"/>
  <c r="BM125" i="1" s="1"/>
  <c r="BM123" i="1"/>
  <c r="DN274" i="1"/>
  <c r="DN275" i="1" s="1"/>
  <c r="DN122" i="1"/>
  <c r="DP141" i="1"/>
  <c r="DP320" i="1" s="1"/>
  <c r="DP321" i="1" s="1"/>
  <c r="DP131" i="1" s="1"/>
  <c r="DP132" i="1" s="1"/>
  <c r="DP133" i="1" s="1"/>
  <c r="DP147" i="1"/>
  <c r="DP130" i="2" s="1"/>
  <c r="DP131" i="2" s="1"/>
  <c r="EM322" i="1"/>
  <c r="DB122" i="1"/>
  <c r="DB274" i="1"/>
  <c r="DB275" i="1" s="1"/>
  <c r="BR268" i="1"/>
  <c r="BR235" i="1"/>
  <c r="BR219" i="1"/>
  <c r="BR108" i="1"/>
  <c r="BQ502" i="4"/>
  <c r="BR457" i="4"/>
  <c r="BX154" i="1"/>
  <c r="BX150" i="1"/>
  <c r="BX149" i="1"/>
  <c r="CA147" i="1"/>
  <c r="CA10" i="3" s="1"/>
  <c r="CA39" i="3" s="1"/>
  <c r="BW154" i="1"/>
  <c r="BW150" i="1"/>
  <c r="BW149" i="1"/>
  <c r="BS124" i="1"/>
  <c r="BS125" i="1" s="1"/>
  <c r="BS123" i="1"/>
  <c r="CF149" i="1"/>
  <c r="CF154" i="1"/>
  <c r="CF150" i="1"/>
  <c r="AK147" i="1"/>
  <c r="AK10" i="3" s="1"/>
  <c r="AK141" i="1"/>
  <c r="CO123" i="1"/>
  <c r="CO124" i="1"/>
  <c r="CO125" i="1" s="1"/>
  <c r="DY141" i="1"/>
  <c r="DY320" i="1" s="1"/>
  <c r="DY147" i="1"/>
  <c r="CM130" i="1"/>
  <c r="BO105" i="1"/>
  <c r="BO101" i="1"/>
  <c r="CL250" i="1"/>
  <c r="CL234" i="1"/>
  <c r="CL218" i="1"/>
  <c r="CL107" i="1"/>
  <c r="CL109" i="1"/>
  <c r="CE150" i="1"/>
  <c r="CE149" i="1"/>
  <c r="CE154" i="1"/>
  <c r="CK219" i="1"/>
  <c r="CK108" i="1"/>
  <c r="CK457" i="4"/>
  <c r="AQ250" i="1"/>
  <c r="AQ218" i="1"/>
  <c r="AQ107" i="1"/>
  <c r="AQ109" i="1"/>
  <c r="DA268" i="1"/>
  <c r="DA235" i="1"/>
  <c r="DA219" i="1"/>
  <c r="DA108" i="1"/>
  <c r="DA457" i="4"/>
  <c r="CO321" i="1"/>
  <c r="CO131" i="1" s="1"/>
  <c r="CO132" i="1" s="1"/>
  <c r="DU124" i="1"/>
  <c r="DU125" i="1" s="1"/>
  <c r="DU123" i="1"/>
  <c r="U151" i="1"/>
  <c r="DH154" i="1"/>
  <c r="DH150" i="1"/>
  <c r="DH149" i="1"/>
  <c r="V151" i="1"/>
  <c r="CR124" i="1"/>
  <c r="CR125" i="1" s="1"/>
  <c r="CR123" i="1"/>
  <c r="BQ604" i="4"/>
  <c r="BR604" i="4"/>
  <c r="AN154" i="1"/>
  <c r="AN150" i="1"/>
  <c r="AN163" i="1"/>
  <c r="AN187" i="2" s="1"/>
  <c r="AN149" i="1"/>
  <c r="DM150" i="1"/>
  <c r="DM154" i="1"/>
  <c r="DM107" i="1" s="1"/>
  <c r="DM149" i="1"/>
  <c r="DW122" i="1"/>
  <c r="DS124" i="1"/>
  <c r="DS125" i="1" s="1"/>
  <c r="DS123" i="1"/>
  <c r="DA154" i="1"/>
  <c r="DA150" i="1"/>
  <c r="DA149" i="1"/>
  <c r="BW124" i="1"/>
  <c r="BW125" i="1" s="1"/>
  <c r="BW123" i="1"/>
  <c r="CA122" i="1"/>
  <c r="CJ274" i="1"/>
  <c r="CJ275" i="1" s="1"/>
  <c r="CJ122" i="1"/>
  <c r="AW133" i="1"/>
  <c r="AY150" i="1"/>
  <c r="AY163" i="1"/>
  <c r="AY187" i="2" s="1"/>
  <c r="AY154" i="1"/>
  <c r="AY149" i="1"/>
  <c r="DC150" i="1"/>
  <c r="DC149" i="1"/>
  <c r="DC154" i="1"/>
  <c r="AH154" i="1"/>
  <c r="AH150" i="1" s="1"/>
  <c r="AH149" i="1"/>
  <c r="CK124" i="1"/>
  <c r="CK125" i="1" s="1"/>
  <c r="CK123" i="1"/>
  <c r="DP250" i="1"/>
  <c r="DP234" i="1"/>
  <c r="DP218" i="1"/>
  <c r="DP154" i="1"/>
  <c r="DP107" i="1" s="1"/>
  <c r="DP109" i="1"/>
  <c r="CD250" i="1"/>
  <c r="CD234" i="1"/>
  <c r="CD218" i="1"/>
  <c r="CD109" i="1"/>
  <c r="CD107" i="1"/>
  <c r="BE124" i="1"/>
  <c r="BE125" i="1" s="1"/>
  <c r="BE123" i="1"/>
  <c r="BI122" i="1"/>
  <c r="CP147" i="1"/>
  <c r="CP130" i="2" s="1"/>
  <c r="CP131" i="2" s="1"/>
  <c r="CS131" i="2" s="1"/>
  <c r="CP141" i="1"/>
  <c r="CP320" i="1" s="1"/>
  <c r="CP321" i="1" s="1"/>
  <c r="CP131" i="1" s="1"/>
  <c r="CP132" i="1" s="1"/>
  <c r="CV133" i="1" s="1"/>
  <c r="AJ149" i="1"/>
  <c r="AJ154" i="1"/>
  <c r="BM447" i="4"/>
  <c r="AG154" i="1"/>
  <c r="AG149" i="1"/>
  <c r="DQ250" i="1"/>
  <c r="DQ154" i="1"/>
  <c r="DQ107" i="1" s="1"/>
  <c r="DQ109" i="1"/>
  <c r="CM105" i="1"/>
  <c r="CS218" i="1" s="1"/>
  <c r="CM101" i="1"/>
  <c r="CM152" i="3" s="1"/>
  <c r="AO124" i="1"/>
  <c r="AO125" i="1" s="1"/>
  <c r="AO123" i="1"/>
  <c r="BA123" i="1"/>
  <c r="BA124" i="1"/>
  <c r="BA125" i="1" s="1"/>
  <c r="DK139" i="1"/>
  <c r="DK141" i="1" s="1"/>
  <c r="DK137" i="1"/>
  <c r="DQ130" i="1"/>
  <c r="DE105" i="1"/>
  <c r="DE101" i="1"/>
  <c r="DE274" i="1" s="1"/>
  <c r="DE275" i="1" s="1"/>
  <c r="CD141" i="1"/>
  <c r="CD320" i="1" s="1"/>
  <c r="CD321" i="1" s="1"/>
  <c r="CD131" i="1" s="1"/>
  <c r="CD132" i="1" s="1"/>
  <c r="CD133" i="1" s="1"/>
  <c r="CD147" i="1"/>
  <c r="CD130" i="2" s="1"/>
  <c r="CD131" i="2" s="1"/>
  <c r="CG131" i="2" s="1"/>
  <c r="CC268" i="1"/>
  <c r="CC235" i="1"/>
  <c r="CC219" i="1"/>
  <c r="CC108" i="1"/>
  <c r="CC457" i="4"/>
  <c r="BK250" i="1"/>
  <c r="BK234" i="1"/>
  <c r="BK218" i="1"/>
  <c r="BK107" i="1"/>
  <c r="BL235" i="1" s="1"/>
  <c r="BK109" i="1"/>
  <c r="AN268" i="1"/>
  <c r="AN235" i="1"/>
  <c r="AN219" i="1"/>
  <c r="AN108" i="1"/>
  <c r="AN457" i="4"/>
  <c r="CY250" i="1"/>
  <c r="CY218" i="1"/>
  <c r="CY109" i="1"/>
  <c r="CY107" i="1"/>
  <c r="AP150" i="1"/>
  <c r="AP163" i="1"/>
  <c r="AP187" i="2" s="1"/>
  <c r="AP149" i="1"/>
  <c r="AP154" i="1"/>
  <c r="EG43" i="1"/>
  <c r="DM123" i="1"/>
  <c r="DM124" i="1"/>
  <c r="DM125" i="1" s="1"/>
  <c r="DH457" i="4"/>
  <c r="BF123" i="1"/>
  <c r="BF124" i="1"/>
  <c r="BF125" i="1" s="1"/>
  <c r="BA268" i="1"/>
  <c r="BA235" i="1"/>
  <c r="BA219" i="1"/>
  <c r="BA108" i="1"/>
  <c r="BA457" i="4"/>
  <c r="AV150" i="1"/>
  <c r="AV163" i="1"/>
  <c r="AV187" i="2" s="1"/>
  <c r="AV149" i="1"/>
  <c r="AV154" i="1"/>
  <c r="DK105" i="1"/>
  <c r="DK101" i="1"/>
  <c r="DK274" i="1" s="1"/>
  <c r="DK275" i="1" s="1"/>
  <c r="DN250" i="1"/>
  <c r="DN234" i="1"/>
  <c r="DN218" i="1"/>
  <c r="DN154" i="1"/>
  <c r="DN107" i="1" s="1"/>
  <c r="DN109" i="1"/>
  <c r="DA124" i="1"/>
  <c r="DA125" i="1" s="1"/>
  <c r="DA123" i="1"/>
  <c r="CS139" i="1"/>
  <c r="CS141" i="1" s="1"/>
  <c r="CS137" i="1"/>
  <c r="AU268" i="1"/>
  <c r="AU235" i="1"/>
  <c r="AU219" i="1"/>
  <c r="AU108" i="1"/>
  <c r="AU457" i="4"/>
  <c r="BY149" i="1"/>
  <c r="BY154" i="1"/>
  <c r="BY150" i="1"/>
  <c r="K252" i="484"/>
  <c r="DW274" i="1"/>
  <c r="DW275" i="1" s="1"/>
  <c r="CC154" i="1"/>
  <c r="CC150" i="1"/>
  <c r="CC149" i="1"/>
  <c r="BT141" i="1"/>
  <c r="BT147" i="1"/>
  <c r="CF133" i="1"/>
  <c r="CA250" i="1"/>
  <c r="CA218" i="1"/>
  <c r="CA109" i="1"/>
  <c r="CA107" i="1"/>
  <c r="DD141" i="1"/>
  <c r="DD320" i="1" s="1"/>
  <c r="DD321" i="1" s="1"/>
  <c r="DD131" i="1" s="1"/>
  <c r="DD132" i="1" s="1"/>
  <c r="DD133" i="1" s="1"/>
  <c r="DD147" i="1"/>
  <c r="DD130" i="2" s="1"/>
  <c r="DD131" i="2" s="1"/>
  <c r="AW168" i="1"/>
  <c r="AS66" i="1"/>
  <c r="DU314" i="1"/>
  <c r="DT313" i="1"/>
  <c r="DT311" i="1"/>
  <c r="CL122" i="1"/>
  <c r="CL274" i="1"/>
  <c r="CL275" i="1" s="1"/>
  <c r="DN147" i="1"/>
  <c r="DN141" i="1"/>
  <c r="CO150" i="1"/>
  <c r="CO154" i="1"/>
  <c r="CO149" i="1"/>
  <c r="S154" i="1"/>
  <c r="S150" i="1"/>
  <c r="S196" i="2" s="1"/>
  <c r="S149" i="1"/>
  <c r="BY123" i="1"/>
  <c r="BY124" i="1"/>
  <c r="BY125" i="1" s="1"/>
  <c r="BL219" i="1"/>
  <c r="BL108" i="1"/>
  <c r="BL457" i="4"/>
  <c r="BL234" i="1"/>
  <c r="CG250" i="1"/>
  <c r="CG218" i="1"/>
  <c r="CG109" i="1"/>
  <c r="CG107" i="1"/>
  <c r="DJ124" i="1"/>
  <c r="DJ125" i="1" s="1"/>
  <c r="DJ123" i="1"/>
  <c r="DW184" i="1"/>
  <c r="DT154" i="1"/>
  <c r="DT107" i="1" s="1"/>
  <c r="DT150" i="1"/>
  <c r="DT149" i="1"/>
  <c r="CX133" i="1"/>
  <c r="AI154" i="1"/>
  <c r="AI150" i="1" s="1"/>
  <c r="AI149" i="1"/>
  <c r="DA321" i="1"/>
  <c r="DA131" i="1" s="1"/>
  <c r="DA132" i="1" s="1"/>
  <c r="BX235" i="1"/>
  <c r="BX219" i="1"/>
  <c r="BX108" i="1"/>
  <c r="BW502" i="4"/>
  <c r="BW507" i="4"/>
  <c r="BX464" i="4"/>
  <c r="BX457" i="4"/>
  <c r="CJ250" i="1"/>
  <c r="CJ234" i="1"/>
  <c r="CJ218" i="1"/>
  <c r="CJ109" i="1"/>
  <c r="CJ107" i="1"/>
  <c r="AO268" i="1"/>
  <c r="AO235" i="1"/>
  <c r="AO219" i="1"/>
  <c r="AO108" i="1"/>
  <c r="AO457" i="4"/>
  <c r="CL147" i="1"/>
  <c r="CL130" i="2" s="1"/>
  <c r="CL131" i="2" s="1"/>
  <c r="CL141" i="1"/>
  <c r="CL320" i="1" s="1"/>
  <c r="CL321" i="1" s="1"/>
  <c r="CL131" i="1" s="1"/>
  <c r="CL132" i="1" s="1"/>
  <c r="CL133" i="1" s="1"/>
  <c r="DW320" i="1"/>
  <c r="DW321" i="1" s="1"/>
  <c r="DW131" i="1" s="1"/>
  <c r="DW132" i="1" s="1"/>
  <c r="DS321" i="1"/>
  <c r="DS131" i="1" s="1"/>
  <c r="DS132" i="1" s="1"/>
  <c r="DP274" i="1"/>
  <c r="DP275" i="1" s="1"/>
  <c r="DP122" i="1"/>
  <c r="CD274" i="1"/>
  <c r="CD275" i="1" s="1"/>
  <c r="CD122" i="1"/>
  <c r="BZ268" i="1"/>
  <c r="BZ235" i="1"/>
  <c r="BZ464" i="4"/>
  <c r="BZ457" i="4"/>
  <c r="BY502" i="4"/>
  <c r="BR154" i="1"/>
  <c r="BR149" i="1"/>
  <c r="BR150" i="1"/>
  <c r="DJ218" i="1"/>
  <c r="CR218" i="1"/>
  <c r="CU235" i="1"/>
  <c r="CU219" i="1"/>
  <c r="CU108" i="1"/>
  <c r="CU457" i="4"/>
  <c r="BF154" i="1"/>
  <c r="BF150" i="1"/>
  <c r="BL151" i="1" s="1"/>
  <c r="BF163" i="1"/>
  <c r="BF187" i="2" s="1"/>
  <c r="BF149" i="1"/>
  <c r="CO234" i="1"/>
  <c r="DY250" i="1"/>
  <c r="DY234" i="1"/>
  <c r="DY218" i="1"/>
  <c r="DY109" i="1"/>
  <c r="CI147" i="1"/>
  <c r="CI130" i="2" s="1"/>
  <c r="CI141" i="1"/>
  <c r="CI320" i="1" s="1"/>
  <c r="CI250" i="1"/>
  <c r="CI234" i="1"/>
  <c r="CI218" i="1"/>
  <c r="CI107" i="1"/>
  <c r="CI109" i="1"/>
  <c r="CK133" i="1"/>
  <c r="BQ150" i="1"/>
  <c r="BQ154" i="1"/>
  <c r="BQ149" i="1"/>
  <c r="DC219" i="1"/>
  <c r="DC108" i="1"/>
  <c r="DC457" i="4"/>
  <c r="DG147" i="1"/>
  <c r="DG130" i="2" s="1"/>
  <c r="DG141" i="1"/>
  <c r="DG320" i="1" s="1"/>
  <c r="AZ150" i="1"/>
  <c r="AZ163" i="1"/>
  <c r="AZ187" i="2" s="1"/>
  <c r="AZ154" i="1"/>
  <c r="AZ149" i="1"/>
  <c r="Y219" i="1"/>
  <c r="Y108" i="1"/>
  <c r="AE108" i="1"/>
  <c r="AE219" i="1"/>
  <c r="BA163" i="1"/>
  <c r="BA187" i="2" s="1"/>
  <c r="BA154" i="1"/>
  <c r="BA149" i="1"/>
  <c r="BA150" i="1"/>
  <c r="DB141" i="1"/>
  <c r="DB320" i="1" s="1"/>
  <c r="DB321" i="1" s="1"/>
  <c r="DB131" i="1" s="1"/>
  <c r="DB132" i="1" s="1"/>
  <c r="DB133" i="1" s="1"/>
  <c r="DB147" i="1"/>
  <c r="DB130" i="2" s="1"/>
  <c r="DB131" i="2" s="1"/>
  <c r="DU149" i="1"/>
  <c r="DU154" i="1"/>
  <c r="DU107" i="1" s="1"/>
  <c r="DU150" i="1"/>
  <c r="CV154" i="1"/>
  <c r="CV150" i="1"/>
  <c r="CV149" i="1"/>
  <c r="CE219" i="1"/>
  <c r="CE108" i="1"/>
  <c r="CE457" i="4"/>
  <c r="BS150" i="1"/>
  <c r="BS154" i="1"/>
  <c r="BS149" i="1"/>
  <c r="BK274" i="1"/>
  <c r="BK275" i="1" s="1"/>
  <c r="BK122" i="1"/>
  <c r="BG268" i="1"/>
  <c r="BG235" i="1"/>
  <c r="BG219" i="1"/>
  <c r="BG108" i="1"/>
  <c r="BG457" i="4"/>
  <c r="CX268" i="1"/>
  <c r="CX235" i="1"/>
  <c r="CX219" i="1"/>
  <c r="CX108" i="1"/>
  <c r="CX457" i="4"/>
  <c r="AT163" i="1"/>
  <c r="AT187" i="2" s="1"/>
  <c r="AT149" i="1"/>
  <c r="AT154" i="1"/>
  <c r="AT150" i="1"/>
  <c r="BT250" i="1"/>
  <c r="BT234" i="1"/>
  <c r="BT218" i="1"/>
  <c r="BT109" i="1"/>
  <c r="BT107" i="1"/>
  <c r="BX268" i="1" s="1"/>
  <c r="CS250" i="1"/>
  <c r="CS107" i="1"/>
  <c r="CS109" i="1"/>
  <c r="BW234" i="1"/>
  <c r="BB124" i="1"/>
  <c r="BB125" i="1" s="1"/>
  <c r="BB123" i="1"/>
  <c r="X151" i="1"/>
  <c r="X447" i="4"/>
  <c r="DG250" i="1"/>
  <c r="DG234" i="1"/>
  <c r="DG218" i="1"/>
  <c r="DG107" i="1"/>
  <c r="DG109" i="1"/>
  <c r="DY158" i="1"/>
  <c r="DZ200" i="2"/>
  <c r="BZ154" i="1"/>
  <c r="BZ150" i="1" s="1"/>
  <c r="BZ149" i="1"/>
  <c r="BQ268" i="1"/>
  <c r="BQ219" i="1"/>
  <c r="BQ457" i="4"/>
  <c r="AW250" i="1"/>
  <c r="AW218" i="1"/>
  <c r="AW107" i="1"/>
  <c r="AW109" i="1"/>
  <c r="AN124" i="1"/>
  <c r="AN125" i="1" s="1"/>
  <c r="AN123" i="1"/>
  <c r="CV124" i="1"/>
  <c r="CV125" i="1" s="1"/>
  <c r="CV123" i="1"/>
  <c r="DW250" i="1"/>
  <c r="DW218" i="1"/>
  <c r="DW109" i="1"/>
  <c r="CC321" i="1"/>
  <c r="CC131" i="1" s="1"/>
  <c r="CC132" i="1" s="1"/>
  <c r="BX124" i="1"/>
  <c r="BX125" i="1" s="1"/>
  <c r="BX123" i="1"/>
  <c r="BN447" i="4"/>
  <c r="AV123" i="1"/>
  <c r="AV124" i="1"/>
  <c r="AV125" i="1" s="1"/>
  <c r="DI235" i="1"/>
  <c r="DI219" i="1"/>
  <c r="DI108" i="1"/>
  <c r="DI457" i="4"/>
  <c r="S219" i="1"/>
  <c r="S108" i="1"/>
  <c r="BB154" i="1"/>
  <c r="BB150" i="1"/>
  <c r="BB163" i="1"/>
  <c r="BB187" i="2" s="1"/>
  <c r="BB149" i="1"/>
  <c r="DD122" i="1"/>
  <c r="DD274" i="1"/>
  <c r="DD275" i="1" s="1"/>
  <c r="W151" i="1"/>
  <c r="W447" i="4"/>
  <c r="CW149" i="1"/>
  <c r="CW154" i="1"/>
  <c r="CW150" i="1"/>
  <c r="AQ168" i="1"/>
  <c r="AM66" i="1"/>
  <c r="BL447" i="4"/>
  <c r="CQ219" i="1"/>
  <c r="CQ108" i="1"/>
  <c r="CQ457" i="4"/>
  <c r="BI133" i="1"/>
  <c r="AI268" i="1"/>
  <c r="AI235" i="1"/>
  <c r="AI219" i="1"/>
  <c r="AI108" i="1"/>
  <c r="AI457" i="4"/>
  <c r="BR124" i="1"/>
  <c r="BR125" i="1" s="1"/>
  <c r="BR123" i="1"/>
  <c r="CX154" i="1"/>
  <c r="CX150" i="1"/>
  <c r="CX149" i="1"/>
  <c r="DK346" i="1"/>
  <c r="CV268" i="1"/>
  <c r="CV235" i="1"/>
  <c r="CV457" i="4"/>
  <c r="CP274" i="1"/>
  <c r="CP275" i="1" s="1"/>
  <c r="CP122" i="1"/>
  <c r="BS268" i="1"/>
  <c r="BS235" i="1"/>
  <c r="BS219" i="1"/>
  <c r="BS108" i="1"/>
  <c r="BR502" i="4"/>
  <c r="BS457" i="4"/>
  <c r="DI124" i="1"/>
  <c r="DI125" i="1" s="1"/>
  <c r="DI123" i="1"/>
  <c r="DT218" i="1"/>
  <c r="AT268" i="1"/>
  <c r="AT235" i="1"/>
  <c r="AT219" i="1"/>
  <c r="AT108" i="1"/>
  <c r="AT457" i="4"/>
  <c r="K351" i="484"/>
  <c r="AP123" i="1"/>
  <c r="AP124" i="1"/>
  <c r="AP125" i="1" s="1"/>
  <c r="BN124" i="1"/>
  <c r="BN125" i="1" s="1"/>
  <c r="BN123" i="1"/>
  <c r="DW147" i="1"/>
  <c r="DW10" i="3" s="1"/>
  <c r="DW39" i="3" s="1"/>
  <c r="DW40" i="3" s="1"/>
  <c r="DS154" i="1"/>
  <c r="DS107" i="1" s="1"/>
  <c r="DS150" i="1"/>
  <c r="DS149" i="1"/>
  <c r="AQ147" i="1"/>
  <c r="AQ10" i="3" s="1"/>
  <c r="AQ141" i="1"/>
  <c r="AY124" i="1"/>
  <c r="AY125" i="1" s="1"/>
  <c r="AY123" i="1"/>
  <c r="BC122" i="1"/>
  <c r="BY235" i="1"/>
  <c r="BY219" i="1"/>
  <c r="BY108" i="1"/>
  <c r="BX502" i="4"/>
  <c r="BX507" i="4"/>
  <c r="BY457" i="4"/>
  <c r="CY320" i="1"/>
  <c r="CY321" i="1" s="1"/>
  <c r="CY131" i="1" s="1"/>
  <c r="CY132" i="1" s="1"/>
  <c r="CU321" i="1"/>
  <c r="CU131" i="1" s="1"/>
  <c r="CU132" i="1" s="1"/>
  <c r="BL124" i="1"/>
  <c r="BL125" i="1" s="1"/>
  <c r="BL123" i="1"/>
  <c r="BQ124" i="1"/>
  <c r="BQ125" i="1" s="1"/>
  <c r="BQ123" i="1"/>
  <c r="CF235" i="1"/>
  <c r="CF219" i="1"/>
  <c r="CF108" i="1"/>
  <c r="CF457" i="4"/>
  <c r="DO250" i="1"/>
  <c r="DO234" i="1"/>
  <c r="DO218" i="1"/>
  <c r="DO154" i="1"/>
  <c r="DO107" i="1" s="1"/>
  <c r="DO109" i="1"/>
  <c r="BI168" i="1"/>
  <c r="BB268" i="1"/>
  <c r="BB235" i="1"/>
  <c r="BB219" i="1"/>
  <c r="BB108" i="1"/>
  <c r="BB457" i="4"/>
  <c r="AT124" i="1"/>
  <c r="AT125" i="1" s="1"/>
  <c r="AT123" i="1"/>
  <c r="CJ147" i="1"/>
  <c r="CJ130" i="2" s="1"/>
  <c r="CJ131" i="2" s="1"/>
  <c r="CJ141" i="1"/>
  <c r="CJ320" i="1" s="1"/>
  <c r="CJ321" i="1" s="1"/>
  <c r="CJ131" i="1" s="1"/>
  <c r="CJ132" i="1" s="1"/>
  <c r="DY274" i="1"/>
  <c r="DY275" i="1" s="1"/>
  <c r="DY122" i="1"/>
  <c r="CM137" i="1"/>
  <c r="CM139" i="1"/>
  <c r="CM141" i="1" s="1"/>
  <c r="CK150" i="1"/>
  <c r="CK149" i="1"/>
  <c r="CK154" i="1"/>
  <c r="CW124" i="1"/>
  <c r="CW125" i="1" s="1"/>
  <c r="CW123" i="1"/>
  <c r="EH377" i="4"/>
  <c r="EH378" i="4" s="1"/>
  <c r="EN327" i="4"/>
  <c r="DO318" i="4"/>
  <c r="DN282" i="4"/>
  <c r="EG377" i="4"/>
  <c r="EG378" i="4" s="1"/>
  <c r="EM327" i="4"/>
  <c r="EF377" i="4"/>
  <c r="EF378" i="4" s="1"/>
  <c r="EL327" i="4"/>
  <c r="CA241" i="4"/>
  <c r="BZ223" i="4"/>
  <c r="BF233" i="4"/>
  <c r="BG230" i="4"/>
  <c r="BF235" i="4"/>
  <c r="CM395" i="4"/>
  <c r="CM396" i="4" s="1"/>
  <c r="BU184" i="4"/>
  <c r="BU185" i="4"/>
  <c r="DO323" i="4"/>
  <c r="DO324" i="4"/>
  <c r="EK314" i="4"/>
  <c r="EE315" i="4"/>
  <c r="EF315" i="4"/>
  <c r="BB205" i="4"/>
  <c r="BB185" i="4"/>
  <c r="BB184" i="4"/>
  <c r="BH185" i="4"/>
  <c r="EE377" i="4"/>
  <c r="EE378" i="4" s="1"/>
  <c r="EI327" i="4"/>
  <c r="EI276" i="1" s="1"/>
  <c r="EK327" i="4"/>
  <c r="CD401" i="4"/>
  <c r="CA400" i="4"/>
  <c r="EB379" i="4"/>
  <c r="BQ206" i="4"/>
  <c r="BU205" i="4"/>
  <c r="BU206" i="4" s="1"/>
  <c r="EN314" i="4"/>
  <c r="DP282" i="4"/>
  <c r="DP318" i="4" s="1"/>
  <c r="DQ280" i="4"/>
  <c r="DS280" i="4" s="1"/>
  <c r="DP322" i="4"/>
  <c r="BE239" i="4"/>
  <c r="BE236" i="4"/>
  <c r="CM206" i="4"/>
  <c r="EC377" i="4"/>
  <c r="DZ379" i="4"/>
  <c r="M50" i="484"/>
  <c r="M48" i="484"/>
  <c r="M52" i="484"/>
  <c r="J230" i="484"/>
  <c r="J228" i="484" s="1"/>
  <c r="J7" i="484"/>
  <c r="I137" i="484"/>
  <c r="J72" i="484"/>
  <c r="J84" i="484" s="1"/>
  <c r="P132" i="484"/>
  <c r="Q121" i="484"/>
  <c r="R121" i="484" s="1"/>
  <c r="R132" i="484" s="1"/>
  <c r="O98" i="484"/>
  <c r="P101" i="484"/>
  <c r="I214" i="484"/>
  <c r="J215" i="484" s="1"/>
  <c r="H212" i="484"/>
  <c r="H207" i="484" s="1"/>
  <c r="N346" i="484"/>
  <c r="N57" i="484"/>
  <c r="N35" i="484"/>
  <c r="N172" i="484" s="1"/>
  <c r="N204" i="484" s="1"/>
  <c r="O30" i="484"/>
  <c r="N55" i="484"/>
  <c r="N47" i="484"/>
  <c r="Q107" i="484"/>
  <c r="R107" i="484" s="1"/>
  <c r="Q109" i="484"/>
  <c r="R109" i="484" s="1"/>
  <c r="M224" i="484"/>
  <c r="H165" i="484"/>
  <c r="H166" i="484"/>
  <c r="H164" i="484"/>
  <c r="H161" i="484"/>
  <c r="H163" i="484"/>
  <c r="H162" i="484"/>
  <c r="H168" i="484"/>
  <c r="H167" i="484"/>
  <c r="H159" i="484"/>
  <c r="H158" i="484"/>
  <c r="H157" i="484"/>
  <c r="J64" i="484"/>
  <c r="K187" i="484"/>
  <c r="K190" i="484" s="1"/>
  <c r="K149" i="484"/>
  <c r="L82" i="484"/>
  <c r="L19" i="484" s="1"/>
  <c r="P111" i="484"/>
  <c r="I21" i="484"/>
  <c r="I4" i="484"/>
  <c r="I26" i="484" s="1"/>
  <c r="J208" i="484"/>
  <c r="BZ225" i="2"/>
  <c r="DW190" i="1"/>
  <c r="EM276" i="1" l="1"/>
  <c r="ES327" i="4"/>
  <c r="EN276" i="1"/>
  <c r="ET327" i="4"/>
  <c r="EL276" i="1"/>
  <c r="ER327" i="4"/>
  <c r="EK276" i="1"/>
  <c r="EQ327" i="4"/>
  <c r="EQ138" i="1"/>
  <c r="EQ322" i="1"/>
  <c r="ER93" i="1"/>
  <c r="ES94" i="1"/>
  <c r="ET314" i="4"/>
  <c r="EQ315" i="4"/>
  <c r="EO91" i="2"/>
  <c r="EN363" i="4"/>
  <c r="ET362" i="4"/>
  <c r="ET364" i="4"/>
  <c r="EQ363" i="4"/>
  <c r="X233" i="2"/>
  <c r="BE253" i="2"/>
  <c r="CG148" i="3"/>
  <c r="CG147" i="3"/>
  <c r="DD139" i="3"/>
  <c r="DD145" i="3"/>
  <c r="CX145" i="3"/>
  <c r="CX139" i="3"/>
  <c r="CF152" i="3"/>
  <c r="CF148" i="3"/>
  <c r="CF147" i="3"/>
  <c r="CY145" i="3"/>
  <c r="CY139" i="3"/>
  <c r="CA145" i="3"/>
  <c r="CA139" i="3"/>
  <c r="DK145" i="3"/>
  <c r="DK152" i="3" s="1"/>
  <c r="DK139" i="3"/>
  <c r="CS145" i="3"/>
  <c r="CS139" i="3"/>
  <c r="BZ139" i="3"/>
  <c r="BZ145" i="3"/>
  <c r="DE145" i="3"/>
  <c r="DE152" i="3" s="1"/>
  <c r="DE139" i="3"/>
  <c r="DJ145" i="3"/>
  <c r="DJ139" i="3"/>
  <c r="CR145" i="3"/>
  <c r="CR139" i="3"/>
  <c r="BQ108" i="1"/>
  <c r="DB108" i="2"/>
  <c r="DA109" i="2"/>
  <c r="DQ112" i="3"/>
  <c r="J252" i="484"/>
  <c r="BQ235" i="1"/>
  <c r="BL268" i="1"/>
  <c r="AP188" i="2"/>
  <c r="AP272" i="2" s="1"/>
  <c r="AN188" i="2"/>
  <c r="AN190" i="2" s="1"/>
  <c r="AO188" i="2"/>
  <c r="DE122" i="1"/>
  <c r="DE123" i="1" s="1"/>
  <c r="DQ122" i="1"/>
  <c r="DQ123" i="1" s="1"/>
  <c r="DN169" i="2"/>
  <c r="DO169" i="2"/>
  <c r="DN105" i="3"/>
  <c r="DQ105" i="3" s="1"/>
  <c r="K219" i="484"/>
  <c r="K11" i="484"/>
  <c r="K142" i="484" s="1"/>
  <c r="EI137" i="2"/>
  <c r="CF126" i="1"/>
  <c r="EK30" i="1"/>
  <c r="EI28" i="1"/>
  <c r="EI29" i="1" s="1"/>
  <c r="O133" i="484"/>
  <c r="P123" i="484"/>
  <c r="I209" i="484"/>
  <c r="I213" i="484" s="1"/>
  <c r="K177" i="484"/>
  <c r="L144" i="484"/>
  <c r="M79" i="484"/>
  <c r="M12" i="484" s="1"/>
  <c r="M181" i="484" s="1"/>
  <c r="I174" i="484"/>
  <c r="L182" i="484"/>
  <c r="L75" i="484"/>
  <c r="L8" i="484" s="1"/>
  <c r="L139" i="484" s="1"/>
  <c r="L81" i="484"/>
  <c r="L18" i="484" s="1"/>
  <c r="L186" i="484" s="1"/>
  <c r="AT188" i="2"/>
  <c r="AT189" i="2" s="1"/>
  <c r="AT198" i="2" s="1"/>
  <c r="DZ158" i="1"/>
  <c r="K148" i="484"/>
  <c r="H277" i="484"/>
  <c r="L143" i="484"/>
  <c r="K140" i="484"/>
  <c r="O264" i="484"/>
  <c r="P250" i="484"/>
  <c r="EH29" i="1"/>
  <c r="EK29" i="1"/>
  <c r="EM30" i="1"/>
  <c r="EL29" i="1"/>
  <c r="EM29" i="1"/>
  <c r="EL30" i="1"/>
  <c r="EN364" i="4"/>
  <c r="EN28" i="1"/>
  <c r="EN362" i="4"/>
  <c r="EN37" i="3"/>
  <c r="EO29" i="2"/>
  <c r="EQ37" i="3" s="1"/>
  <c r="EQ112" i="3" s="1"/>
  <c r="EO13" i="2"/>
  <c r="EQ33" i="3" s="1"/>
  <c r="EQ108" i="3" s="1"/>
  <c r="EN33" i="3"/>
  <c r="DZ105" i="1"/>
  <c r="DZ109" i="1" s="1"/>
  <c r="DZ101" i="1"/>
  <c r="DZ122" i="1" s="1"/>
  <c r="DZ137" i="1"/>
  <c r="DZ139" i="1"/>
  <c r="AT126" i="1"/>
  <c r="BR85" i="3"/>
  <c r="BR113" i="3" s="1"/>
  <c r="BR145" i="3" s="1"/>
  <c r="BS10" i="3"/>
  <c r="BT10" i="3" s="1"/>
  <c r="CM131" i="2"/>
  <c r="CV108" i="1"/>
  <c r="CQ235" i="1"/>
  <c r="CE268" i="1"/>
  <c r="CV219" i="1"/>
  <c r="CQ268" i="1"/>
  <c r="CU268" i="1"/>
  <c r="CF268" i="1"/>
  <c r="CE235" i="1"/>
  <c r="AV188" i="2"/>
  <c r="AV272" i="2" s="1"/>
  <c r="BY268" i="1"/>
  <c r="BN126" i="1"/>
  <c r="AS183" i="4"/>
  <c r="CC133" i="1"/>
  <c r="CS147" i="1"/>
  <c r="CS10" i="3" s="1"/>
  <c r="CS39" i="3" s="1"/>
  <c r="CS40" i="3" s="1"/>
  <c r="CG320" i="1"/>
  <c r="CG321" i="1" s="1"/>
  <c r="CG131" i="1" s="1"/>
  <c r="CG132" i="1" s="1"/>
  <c r="CG133" i="1" s="1"/>
  <c r="BA126" i="1"/>
  <c r="BS126" i="1"/>
  <c r="AS210" i="4"/>
  <c r="AY211" i="4"/>
  <c r="BC185" i="4"/>
  <c r="DZ118" i="3"/>
  <c r="EF115" i="2"/>
  <c r="EG115" i="2" s="1"/>
  <c r="EH115" i="2" s="1"/>
  <c r="EE45" i="3"/>
  <c r="EF420" i="4"/>
  <c r="EG419" i="4"/>
  <c r="EF426" i="4"/>
  <c r="CG177" i="1"/>
  <c r="CG169" i="1" s="1"/>
  <c r="CG170" i="1" s="1"/>
  <c r="EE61" i="3"/>
  <c r="EE128" i="3"/>
  <c r="BY202" i="2"/>
  <c r="BY204" i="2" s="1"/>
  <c r="BZ202" i="2" s="1"/>
  <c r="CA202" i="2" s="1"/>
  <c r="CA201" i="2"/>
  <c r="CA208" i="2" s="1"/>
  <c r="CX291" i="1"/>
  <c r="DZ145" i="2"/>
  <c r="DQ275" i="2"/>
  <c r="CD214" i="2"/>
  <c r="CD201" i="2" s="1"/>
  <c r="CC214" i="2"/>
  <c r="CC201" i="2" s="1"/>
  <c r="CE214" i="2"/>
  <c r="CE201" i="2" s="1"/>
  <c r="CM214" i="2"/>
  <c r="CW293" i="1"/>
  <c r="CW292" i="1"/>
  <c r="BS263" i="2"/>
  <c r="BS271" i="2" s="1"/>
  <c r="BQ263" i="2"/>
  <c r="BQ271" i="2" s="1"/>
  <c r="CF263" i="2"/>
  <c r="CF271" i="2" s="1"/>
  <c r="CY274" i="2"/>
  <c r="CE263" i="2"/>
  <c r="CE271" i="2" s="1"/>
  <c r="CD263" i="2"/>
  <c r="CD271" i="2" s="1"/>
  <c r="BY263" i="2"/>
  <c r="BY271" i="2" s="1"/>
  <c r="CC263" i="2"/>
  <c r="BX263" i="2"/>
  <c r="BW263" i="2"/>
  <c r="BR263" i="2"/>
  <c r="BR271" i="2" s="1"/>
  <c r="BZ263" i="2"/>
  <c r="BU263" i="2"/>
  <c r="BU271" i="2" s="1"/>
  <c r="BT263" i="2"/>
  <c r="BT271" i="2" s="1"/>
  <c r="BQ264" i="2"/>
  <c r="BC153" i="3"/>
  <c r="CA206" i="4"/>
  <c r="CG147" i="1"/>
  <c r="CG10" i="3" s="1"/>
  <c r="CG39" i="3" s="1"/>
  <c r="CG40" i="3" s="1"/>
  <c r="BC205" i="4"/>
  <c r="DI126" i="1"/>
  <c r="AW195" i="2"/>
  <c r="DC235" i="1"/>
  <c r="BF126" i="1"/>
  <c r="DH108" i="1"/>
  <c r="AT459" i="4"/>
  <c r="CW126" i="1"/>
  <c r="BA188" i="2"/>
  <c r="BA189" i="2" s="1"/>
  <c r="BA198" i="2" s="1"/>
  <c r="DC268" i="1"/>
  <c r="BY126" i="1"/>
  <c r="DH219" i="1"/>
  <c r="CK126" i="1"/>
  <c r="AQ195" i="2"/>
  <c r="BM126" i="1"/>
  <c r="BC186" i="2"/>
  <c r="AQ186" i="2"/>
  <c r="BI153" i="3"/>
  <c r="AW153" i="3"/>
  <c r="BB188" i="2"/>
  <c r="BB190" i="2" s="1"/>
  <c r="BE188" i="2"/>
  <c r="BE190" i="2" s="1"/>
  <c r="DZ110" i="3"/>
  <c r="AZ188" i="2"/>
  <c r="CU133" i="1"/>
  <c r="DV133" i="1"/>
  <c r="AU188" i="2"/>
  <c r="AU272" i="2" s="1"/>
  <c r="BC176" i="2"/>
  <c r="AW179" i="2"/>
  <c r="AW180" i="2" s="1"/>
  <c r="CM153" i="3"/>
  <c r="BZ219" i="1"/>
  <c r="CK235" i="1"/>
  <c r="CM178" i="2"/>
  <c r="BK189" i="2"/>
  <c r="BK198" i="2" s="1"/>
  <c r="BK190" i="2"/>
  <c r="DI268" i="1"/>
  <c r="AK195" i="2"/>
  <c r="AE85" i="3"/>
  <c r="AE113" i="3" s="1"/>
  <c r="AE139" i="3" s="1"/>
  <c r="BI190" i="2"/>
  <c r="BI189" i="2"/>
  <c r="BI198" i="2" s="1"/>
  <c r="CO153" i="3"/>
  <c r="CR219" i="1"/>
  <c r="BO274" i="1"/>
  <c r="BO275" i="1" s="1"/>
  <c r="BO279" i="2"/>
  <c r="CA133" i="1"/>
  <c r="BC195" i="2"/>
  <c r="AK153" i="3"/>
  <c r="AQ153" i="3"/>
  <c r="CP153" i="3"/>
  <c r="CV153" i="3"/>
  <c r="CO235" i="1"/>
  <c r="DQ218" i="1"/>
  <c r="DK178" i="2"/>
  <c r="BK195" i="2"/>
  <c r="DE178" i="2"/>
  <c r="CM274" i="1"/>
  <c r="CM275" i="1" s="1"/>
  <c r="BO185" i="2"/>
  <c r="BO178" i="2"/>
  <c r="BI195" i="2"/>
  <c r="DJ219" i="1"/>
  <c r="BL126" i="1"/>
  <c r="DA126" i="1"/>
  <c r="CJ133" i="1"/>
  <c r="DS133" i="1"/>
  <c r="AT85" i="3"/>
  <c r="AT113" i="3" s="1"/>
  <c r="AT39" i="3"/>
  <c r="AT66" i="3" s="1"/>
  <c r="AU10" i="3"/>
  <c r="BG39" i="3"/>
  <c r="BG85" i="3"/>
  <c r="BG113" i="3" s="1"/>
  <c r="BH10" i="3"/>
  <c r="BU147" i="1"/>
  <c r="BU10" i="3" s="1"/>
  <c r="BU39" i="3" s="1"/>
  <c r="AN196" i="2"/>
  <c r="BE196" i="2"/>
  <c r="AO196" i="2"/>
  <c r="AU196" i="2"/>
  <c r="AS196" i="2"/>
  <c r="AM196" i="2"/>
  <c r="AW186" i="2"/>
  <c r="AG85" i="3"/>
  <c r="AG39" i="3"/>
  <c r="AG66" i="3" s="1"/>
  <c r="AG70" i="3" s="1"/>
  <c r="Y272" i="2"/>
  <c r="Y190" i="2"/>
  <c r="Y189" i="2"/>
  <c r="Y198" i="2" s="1"/>
  <c r="BR40" i="3"/>
  <c r="BR66" i="3"/>
  <c r="AJ192" i="2"/>
  <c r="AJ189" i="2"/>
  <c r="AJ198" i="2" s="1"/>
  <c r="AJ272" i="2"/>
  <c r="AJ190" i="2"/>
  <c r="EV458" i="4"/>
  <c r="BK10" i="3"/>
  <c r="BK186" i="2"/>
  <c r="CS130" i="2"/>
  <c r="S190" i="2"/>
  <c r="S189" i="2"/>
  <c r="S198" i="2" s="1"/>
  <c r="AI192" i="2"/>
  <c r="AI272" i="2"/>
  <c r="AI189" i="2"/>
  <c r="AI198" i="2" s="1"/>
  <c r="AI190" i="2"/>
  <c r="AM85" i="3"/>
  <c r="AM39" i="3"/>
  <c r="AM66" i="3" s="1"/>
  <c r="AE39" i="3"/>
  <c r="AD66" i="3"/>
  <c r="AE66" i="3" s="1"/>
  <c r="BQ66" i="3"/>
  <c r="BQ40" i="3"/>
  <c r="BB196" i="2"/>
  <c r="AT196" i="2"/>
  <c r="AZ196" i="2"/>
  <c r="CM130" i="2"/>
  <c r="BF196" i="2"/>
  <c r="AV196" i="2"/>
  <c r="AY196" i="2"/>
  <c r="BC40" i="3"/>
  <c r="BG196" i="2"/>
  <c r="AY85" i="3"/>
  <c r="AY39" i="3"/>
  <c r="Q85" i="3"/>
  <c r="Q113" i="3" s="1"/>
  <c r="Q139" i="3" s="1"/>
  <c r="Q39" i="3"/>
  <c r="Q66" i="3" s="1"/>
  <c r="Q70" i="3" s="1"/>
  <c r="Q72" i="3" s="1"/>
  <c r="R10" i="3"/>
  <c r="AH10" i="3"/>
  <c r="AN10" i="3"/>
  <c r="BE85" i="3"/>
  <c r="BE39" i="3"/>
  <c r="AZ10" i="3"/>
  <c r="BQ113" i="3"/>
  <c r="BA196" i="2"/>
  <c r="EW458" i="4"/>
  <c r="AP196" i="2"/>
  <c r="CA40" i="3"/>
  <c r="BI10" i="3"/>
  <c r="BI39" i="3" s="1"/>
  <c r="BI186" i="2"/>
  <c r="BE599" i="4"/>
  <c r="BH196" i="2"/>
  <c r="AS85" i="3"/>
  <c r="AS39" i="3"/>
  <c r="AS66" i="3" s="1"/>
  <c r="AG188" i="2"/>
  <c r="AH192" i="2" s="1"/>
  <c r="AK186" i="2"/>
  <c r="BF85" i="3"/>
  <c r="BF113" i="3" s="1"/>
  <c r="BF39" i="3"/>
  <c r="AH272" i="2"/>
  <c r="AH189" i="2"/>
  <c r="AH198" i="2" s="1"/>
  <c r="AH190" i="2"/>
  <c r="O149" i="3"/>
  <c r="P141" i="3"/>
  <c r="P143" i="3" s="1"/>
  <c r="AE189" i="2"/>
  <c r="AE198" i="2" s="1"/>
  <c r="AE190" i="2"/>
  <c r="AE272" i="2"/>
  <c r="CG130" i="2"/>
  <c r="AH196" i="2"/>
  <c r="AT502" i="4"/>
  <c r="AT508" i="4" s="1"/>
  <c r="AV502" i="4"/>
  <c r="AV508" i="4" s="1"/>
  <c r="BC187" i="2"/>
  <c r="AY188" i="2"/>
  <c r="AN502" i="4"/>
  <c r="AO502" i="4"/>
  <c r="AU502" i="4"/>
  <c r="AU508" i="4" s="1"/>
  <c r="AS502" i="4"/>
  <c r="AM502" i="4"/>
  <c r="DE131" i="2"/>
  <c r="DK130" i="2"/>
  <c r="DG131" i="2"/>
  <c r="DK131" i="2" s="1"/>
  <c r="DN320" i="1"/>
  <c r="DN321" i="1" s="1"/>
  <c r="DN131" i="1" s="1"/>
  <c r="DN132" i="1" s="1"/>
  <c r="DN16" i="3"/>
  <c r="AP502" i="4"/>
  <c r="AJ502" i="4"/>
  <c r="DE130" i="2"/>
  <c r="BB126" i="1"/>
  <c r="AI196" i="2"/>
  <c r="DQ147" i="1"/>
  <c r="DQ149" i="1" s="1"/>
  <c r="DN130" i="2"/>
  <c r="AG502" i="4"/>
  <c r="AH502" i="4"/>
  <c r="AU189" i="2"/>
  <c r="AU198" i="2" s="1"/>
  <c r="AW187" i="2"/>
  <c r="AS188" i="2"/>
  <c r="AM188" i="2"/>
  <c r="AQ187" i="2"/>
  <c r="BR126" i="1"/>
  <c r="BA272" i="2"/>
  <c r="AI502" i="4"/>
  <c r="DY10" i="3"/>
  <c r="DY130" i="2"/>
  <c r="BN204" i="2"/>
  <c r="L76" i="484"/>
  <c r="L9" i="484" s="1"/>
  <c r="M76" i="484" s="1"/>
  <c r="M9" i="484" s="1"/>
  <c r="M13" i="484"/>
  <c r="N80" i="484" s="1"/>
  <c r="CL153" i="3"/>
  <c r="AT248" i="2"/>
  <c r="AT249" i="2" s="1"/>
  <c r="CP223" i="2"/>
  <c r="CQ223" i="2" s="1"/>
  <c r="CM223" i="2"/>
  <c r="CW113" i="2"/>
  <c r="CV116" i="2"/>
  <c r="BM256" i="2"/>
  <c r="BM257" i="2" s="1"/>
  <c r="BO209" i="2"/>
  <c r="BO204" i="2"/>
  <c r="BO211" i="2" s="1"/>
  <c r="DD110" i="2"/>
  <c r="DE106" i="2"/>
  <c r="DG106" i="2" s="1"/>
  <c r="DI107" i="2"/>
  <c r="DH121" i="2"/>
  <c r="BF252" i="2"/>
  <c r="BF253" i="2" s="1"/>
  <c r="EK115" i="2"/>
  <c r="EI115" i="2"/>
  <c r="DP151" i="2"/>
  <c r="DQ150" i="2"/>
  <c r="DQ151" i="2" s="1"/>
  <c r="EM98" i="2"/>
  <c r="AU211" i="2"/>
  <c r="AV204" i="2"/>
  <c r="AU297" i="2"/>
  <c r="AV216" i="2"/>
  <c r="AA232" i="2"/>
  <c r="AA233" i="2" s="1"/>
  <c r="EM96" i="2"/>
  <c r="AP244" i="2"/>
  <c r="AQ244" i="2" s="1"/>
  <c r="CV222" i="2"/>
  <c r="CW222" i="2" s="1"/>
  <c r="CS222" i="2"/>
  <c r="CA285" i="2"/>
  <c r="DQ292" i="2"/>
  <c r="DQ293" i="2"/>
  <c r="BS260" i="2"/>
  <c r="BS261" i="2" s="1"/>
  <c r="AG237" i="2"/>
  <c r="DS221" i="2"/>
  <c r="DP221" i="2"/>
  <c r="DT141" i="2"/>
  <c r="DS151" i="2"/>
  <c r="AJ241" i="2"/>
  <c r="AK241" i="2" s="1"/>
  <c r="BY269" i="2"/>
  <c r="DN268" i="1"/>
  <c r="DN235" i="1"/>
  <c r="DN219" i="1"/>
  <c r="DN108" i="1"/>
  <c r="DN457" i="4"/>
  <c r="BU124" i="1"/>
  <c r="BU125" i="1" s="1"/>
  <c r="BU123" i="1"/>
  <c r="AQ66" i="1"/>
  <c r="AM122" i="1"/>
  <c r="DY124" i="1"/>
  <c r="DY125" i="1" s="1"/>
  <c r="DY126" i="1" s="1"/>
  <c r="DY123" i="1"/>
  <c r="CJ154" i="1"/>
  <c r="CJ150" i="1"/>
  <c r="CJ149" i="1"/>
  <c r="DS151" i="1"/>
  <c r="DS447" i="4"/>
  <c r="CP124" i="1"/>
  <c r="CP125" i="1" s="1"/>
  <c r="CV126" i="1" s="1"/>
  <c r="CP123" i="1"/>
  <c r="CW151" i="1"/>
  <c r="CW447" i="4"/>
  <c r="AV126" i="1"/>
  <c r="BR459" i="4"/>
  <c r="BQ458" i="4"/>
  <c r="EA200" i="2"/>
  <c r="DG268" i="1"/>
  <c r="DG235" i="1"/>
  <c r="DG219" i="1"/>
  <c r="DG108" i="1"/>
  <c r="DG457" i="4"/>
  <c r="BG458" i="4"/>
  <c r="BH456" i="4"/>
  <c r="BH455" i="4"/>
  <c r="BG465" i="4"/>
  <c r="CV447" i="4"/>
  <c r="DG149" i="1"/>
  <c r="DK147" i="1"/>
  <c r="DG154" i="1"/>
  <c r="DG150" i="1"/>
  <c r="BQ447" i="4"/>
  <c r="CI149" i="1"/>
  <c r="CM147" i="1"/>
  <c r="CM10" i="3" s="1"/>
  <c r="CM39" i="3" s="1"/>
  <c r="CI154" i="1"/>
  <c r="CI150" i="1"/>
  <c r="BF165" i="1"/>
  <c r="BF197" i="2" s="1"/>
  <c r="BF164" i="1"/>
  <c r="CV459" i="4"/>
  <c r="CU458" i="4"/>
  <c r="CL150" i="1"/>
  <c r="CL149" i="1"/>
  <c r="CL154" i="1"/>
  <c r="DA133" i="1"/>
  <c r="CG219" i="1"/>
  <c r="CG108" i="1"/>
  <c r="CE580" i="4"/>
  <c r="DU313" i="1"/>
  <c r="DV314" i="1"/>
  <c r="DU311" i="1"/>
  <c r="BA458" i="4"/>
  <c r="BB459" i="4"/>
  <c r="BA465" i="4"/>
  <c r="DI459" i="4"/>
  <c r="DH458" i="4"/>
  <c r="DH268" i="1"/>
  <c r="AP164" i="1"/>
  <c r="AP165" i="1"/>
  <c r="AP197" i="2" s="1"/>
  <c r="BK268" i="1"/>
  <c r="BK235" i="1"/>
  <c r="BK219" i="1"/>
  <c r="BK108" i="1"/>
  <c r="BK457" i="4"/>
  <c r="CD459" i="4"/>
  <c r="CC458" i="4"/>
  <c r="DE250" i="1"/>
  <c r="DE218" i="1"/>
  <c r="DE109" i="1"/>
  <c r="DE107" i="1"/>
  <c r="AG150" i="1"/>
  <c r="AJ150" i="1"/>
  <c r="AP151" i="1" s="1"/>
  <c r="BI124" i="1"/>
  <c r="BI125" i="1" s="1"/>
  <c r="BI123" i="1"/>
  <c r="DA151" i="1"/>
  <c r="DA447" i="4"/>
  <c r="DW124" i="1"/>
  <c r="DW125" i="1" s="1"/>
  <c r="DW123" i="1"/>
  <c r="DM447" i="4"/>
  <c r="CS320" i="1"/>
  <c r="CS321" i="1" s="1"/>
  <c r="CS131" i="1" s="1"/>
  <c r="CS132" i="1" s="1"/>
  <c r="CY133" i="1" s="1"/>
  <c r="BO250" i="1"/>
  <c r="BO218" i="1"/>
  <c r="BO107" i="1"/>
  <c r="BO109" i="1"/>
  <c r="DY321" i="1"/>
  <c r="DY131" i="1" s="1"/>
  <c r="DY132" i="1" s="1"/>
  <c r="DY133" i="1" s="1"/>
  <c r="BW151" i="1"/>
  <c r="BW447" i="4"/>
  <c r="BT497" i="4"/>
  <c r="BW452" i="4"/>
  <c r="BX151" i="1"/>
  <c r="BW497" i="4"/>
  <c r="BX452" i="4"/>
  <c r="BX447" i="4"/>
  <c r="BO144" i="1"/>
  <c r="BO141" i="1"/>
  <c r="BS580" i="4"/>
  <c r="BY575" i="4"/>
  <c r="BX575" i="4"/>
  <c r="BT580" i="4"/>
  <c r="BW575" i="4"/>
  <c r="CI123" i="1"/>
  <c r="CM122" i="1"/>
  <c r="CI124" i="1"/>
  <c r="CI125" i="1" s="1"/>
  <c r="CI126" i="1" s="1"/>
  <c r="CO108" i="1"/>
  <c r="AW150" i="1"/>
  <c r="AW163" i="1"/>
  <c r="AW149" i="1"/>
  <c r="AW154" i="1"/>
  <c r="CR108" i="1"/>
  <c r="CU151" i="1"/>
  <c r="CU447" i="4"/>
  <c r="CQ126" i="1"/>
  <c r="AU165" i="1"/>
  <c r="AU197" i="2" s="1"/>
  <c r="AU164" i="1"/>
  <c r="AV465" i="4"/>
  <c r="AV458" i="4"/>
  <c r="AY459" i="4"/>
  <c r="BG164" i="1"/>
  <c r="BG165" i="1"/>
  <c r="BG197" i="2" s="1"/>
  <c r="AM447" i="4"/>
  <c r="BH165" i="1"/>
  <c r="BH197" i="2" s="1"/>
  <c r="BH164" i="1"/>
  <c r="CX126" i="1"/>
  <c r="DV447" i="4"/>
  <c r="BC219" i="1"/>
  <c r="BC108" i="1"/>
  <c r="BC580" i="4"/>
  <c r="CK151" i="1"/>
  <c r="CK447" i="4"/>
  <c r="DO268" i="1"/>
  <c r="DO235" i="1"/>
  <c r="DO219" i="1"/>
  <c r="DO108" i="1"/>
  <c r="DO457" i="4"/>
  <c r="DS268" i="1"/>
  <c r="DS235" i="1"/>
  <c r="DS219" i="1"/>
  <c r="DS108" i="1"/>
  <c r="DS457" i="4"/>
  <c r="BB165" i="1"/>
  <c r="BB197" i="2" s="1"/>
  <c r="BB164" i="1"/>
  <c r="BX126" i="1"/>
  <c r="AW219" i="1"/>
  <c r="AW108" i="1"/>
  <c r="AW580" i="4"/>
  <c r="BT268" i="1"/>
  <c r="BT219" i="1"/>
  <c r="BT235" i="1"/>
  <c r="BT108" i="1"/>
  <c r="BS502" i="4"/>
  <c r="BT457" i="4"/>
  <c r="AT165" i="1"/>
  <c r="AT197" i="2" s="1"/>
  <c r="AT164" i="1"/>
  <c r="BK123" i="1"/>
  <c r="BO122" i="1"/>
  <c r="BK124" i="1"/>
  <c r="BK125" i="1" s="1"/>
  <c r="BK126" i="1" s="1"/>
  <c r="BS151" i="1"/>
  <c r="BR497" i="4"/>
  <c r="BS447" i="4"/>
  <c r="DB154" i="1"/>
  <c r="DB150" i="1"/>
  <c r="DB149" i="1"/>
  <c r="AZ164" i="1"/>
  <c r="AZ165" i="1"/>
  <c r="AZ197" i="2" s="1"/>
  <c r="BF151" i="1"/>
  <c r="BF447" i="4"/>
  <c r="BZ108" i="1"/>
  <c r="CD123" i="1"/>
  <c r="CD124" i="1"/>
  <c r="CD125" i="1" s="1"/>
  <c r="CD126" i="1" s="1"/>
  <c r="EC184" i="1"/>
  <c r="BM459" i="4"/>
  <c r="BL458" i="4"/>
  <c r="BL465" i="4"/>
  <c r="CL124" i="1"/>
  <c r="CL125" i="1" s="1"/>
  <c r="CL126" i="1" s="1"/>
  <c r="CL123" i="1"/>
  <c r="AW66" i="1"/>
  <c r="AS122" i="1"/>
  <c r="CA219" i="1"/>
  <c r="CA108" i="1"/>
  <c r="BY580" i="4"/>
  <c r="BX585" i="4"/>
  <c r="BX580" i="4"/>
  <c r="BW585" i="4"/>
  <c r="BW580" i="4"/>
  <c r="BT590" i="4"/>
  <c r="AP447" i="4"/>
  <c r="CD154" i="1"/>
  <c r="CD150" i="1"/>
  <c r="CD149" i="1"/>
  <c r="CM250" i="1"/>
  <c r="CM218" i="1"/>
  <c r="CM107" i="1"/>
  <c r="CS108" i="1" s="1"/>
  <c r="CM109" i="1"/>
  <c r="CD268" i="1"/>
  <c r="CD235" i="1"/>
  <c r="CD219" i="1"/>
  <c r="CD108" i="1"/>
  <c r="CD457" i="4"/>
  <c r="CJ124" i="1"/>
  <c r="CJ125" i="1" s="1"/>
  <c r="CJ123" i="1"/>
  <c r="BW126" i="1"/>
  <c r="AQ219" i="1"/>
  <c r="AQ108" i="1"/>
  <c r="AQ580" i="4"/>
  <c r="CE151" i="1"/>
  <c r="CE447" i="4"/>
  <c r="AK154" i="1"/>
  <c r="AK150" i="1"/>
  <c r="AK149" i="1"/>
  <c r="DB124" i="1"/>
  <c r="DB125" i="1" s="1"/>
  <c r="DB126" i="1" s="1"/>
  <c r="DB123" i="1"/>
  <c r="DN124" i="1"/>
  <c r="DN125" i="1" s="1"/>
  <c r="DN126" i="1" s="1"/>
  <c r="DN123" i="1"/>
  <c r="BE165" i="1"/>
  <c r="BE197" i="2" s="1"/>
  <c r="BE164" i="1"/>
  <c r="DJ447" i="4"/>
  <c r="AO165" i="1"/>
  <c r="AO197" i="2" s="1"/>
  <c r="AO164" i="1"/>
  <c r="DQ192" i="1"/>
  <c r="DJ192" i="1"/>
  <c r="DI192" i="1" s="1"/>
  <c r="DH192" i="1" s="1"/>
  <c r="DG192" i="1" s="1"/>
  <c r="BU218" i="1"/>
  <c r="CO219" i="1"/>
  <c r="DJ458" i="4"/>
  <c r="DM459" i="4"/>
  <c r="CC126" i="1"/>
  <c r="AU151" i="1"/>
  <c r="AU447" i="4"/>
  <c r="AK219" i="1"/>
  <c r="AK108" i="1"/>
  <c r="CP268" i="1"/>
  <c r="CP235" i="1"/>
  <c r="CP219" i="1"/>
  <c r="CP108" i="1"/>
  <c r="CP457" i="4"/>
  <c r="AS164" i="1"/>
  <c r="AS165" i="1"/>
  <c r="AS197" i="2" s="1"/>
  <c r="BG151" i="1"/>
  <c r="BG447" i="4"/>
  <c r="BH151" i="1"/>
  <c r="BH447" i="4"/>
  <c r="BG126" i="1"/>
  <c r="CE126" i="1"/>
  <c r="DB268" i="1"/>
  <c r="DB235" i="1"/>
  <c r="DB219" i="1"/>
  <c r="DB108" i="1"/>
  <c r="DB457" i="4"/>
  <c r="DV268" i="1"/>
  <c r="DV235" i="1"/>
  <c r="DV219" i="1"/>
  <c r="DV108" i="1"/>
  <c r="DV457" i="4"/>
  <c r="CR447" i="4"/>
  <c r="DO150" i="1"/>
  <c r="DO149" i="1"/>
  <c r="BU133" i="1"/>
  <c r="AZ126" i="1"/>
  <c r="DU133" i="1"/>
  <c r="AQ163" i="1"/>
  <c r="AQ149" i="1"/>
  <c r="AQ154" i="1"/>
  <c r="AQ150" i="1"/>
  <c r="CX151" i="1"/>
  <c r="CX447" i="4"/>
  <c r="BB151" i="1"/>
  <c r="BB447" i="4"/>
  <c r="BY497" i="4"/>
  <c r="BZ447" i="4"/>
  <c r="AT151" i="1"/>
  <c r="AT447" i="4"/>
  <c r="CE458" i="4"/>
  <c r="CF459" i="4"/>
  <c r="DU447" i="4"/>
  <c r="BA165" i="1"/>
  <c r="BA197" i="2" s="1"/>
  <c r="BA164" i="1"/>
  <c r="AZ151" i="1"/>
  <c r="AZ447" i="4"/>
  <c r="DC458" i="4"/>
  <c r="DD459" i="4"/>
  <c r="CJ268" i="1"/>
  <c r="CJ235" i="1"/>
  <c r="CJ219" i="1"/>
  <c r="CJ108" i="1"/>
  <c r="CJ464" i="4"/>
  <c r="CJ457" i="4"/>
  <c r="AI151" i="1"/>
  <c r="AI447" i="4"/>
  <c r="DT447" i="4"/>
  <c r="CO447" i="4"/>
  <c r="BT150" i="1"/>
  <c r="BT154" i="1"/>
  <c r="BT149" i="1"/>
  <c r="AV459" i="4"/>
  <c r="AU465" i="4"/>
  <c r="AU458" i="4"/>
  <c r="AV165" i="1"/>
  <c r="AV197" i="2" s="1"/>
  <c r="AV164" i="1"/>
  <c r="EH43" i="1"/>
  <c r="CY219" i="1"/>
  <c r="CY108" i="1"/>
  <c r="CP133" i="1"/>
  <c r="BE126" i="1"/>
  <c r="DP268" i="1"/>
  <c r="DP235" i="1"/>
  <c r="DP219" i="1"/>
  <c r="DP108" i="1"/>
  <c r="DP457" i="4"/>
  <c r="AY165" i="1"/>
  <c r="AY197" i="2" s="1"/>
  <c r="AY164" i="1"/>
  <c r="AN165" i="1"/>
  <c r="AN197" i="2" s="1"/>
  <c r="AN164" i="1"/>
  <c r="CK458" i="4"/>
  <c r="CL459" i="4"/>
  <c r="CK268" i="1"/>
  <c r="CS122" i="1"/>
  <c r="CF151" i="1"/>
  <c r="CF447" i="4"/>
  <c r="CA154" i="1"/>
  <c r="CA150" i="1"/>
  <c r="CA149" i="1"/>
  <c r="BS459" i="4"/>
  <c r="BR458" i="4"/>
  <c r="CW458" i="4"/>
  <c r="CX459" i="4"/>
  <c r="BI154" i="1"/>
  <c r="BI150" i="1"/>
  <c r="BI163" i="1"/>
  <c r="BI187" i="2" s="1"/>
  <c r="BI149" i="1"/>
  <c r="CR133" i="1"/>
  <c r="AO151" i="1"/>
  <c r="AO447" i="4"/>
  <c r="CQ151" i="1"/>
  <c r="CQ447" i="4"/>
  <c r="DO124" i="1"/>
  <c r="DO125" i="1" s="1"/>
  <c r="DO126" i="1" s="1"/>
  <c r="DO123" i="1"/>
  <c r="DJ268" i="1"/>
  <c r="BK459" i="4"/>
  <c r="CY150" i="1"/>
  <c r="CY154" i="1"/>
  <c r="CY149" i="1"/>
  <c r="AS151" i="1"/>
  <c r="AS447" i="4"/>
  <c r="DI151" i="1"/>
  <c r="DI447" i="4"/>
  <c r="BI219" i="1"/>
  <c r="BI112" i="1"/>
  <c r="BI108" i="1"/>
  <c r="BF580" i="4"/>
  <c r="BE580" i="4"/>
  <c r="BG580" i="4"/>
  <c r="BG459" i="4"/>
  <c r="BF465" i="4"/>
  <c r="BF458" i="4"/>
  <c r="DD268" i="1"/>
  <c r="DD235" i="1"/>
  <c r="DD219" i="1"/>
  <c r="DD108" i="1"/>
  <c r="DD457" i="4"/>
  <c r="CU126" i="1"/>
  <c r="BA459" i="4"/>
  <c r="AZ458" i="4"/>
  <c r="AZ465" i="4"/>
  <c r="DC126" i="1"/>
  <c r="BX459" i="4"/>
  <c r="BW458" i="4"/>
  <c r="BW268" i="1"/>
  <c r="DJ133" i="1"/>
  <c r="BM458" i="4"/>
  <c r="BN459" i="4"/>
  <c r="BM268" i="1"/>
  <c r="BC124" i="1"/>
  <c r="BC125" i="1" s="1"/>
  <c r="BC123" i="1"/>
  <c r="DW150" i="1"/>
  <c r="DW154" i="1"/>
  <c r="DW149" i="1"/>
  <c r="AT465" i="4"/>
  <c r="AU459" i="4"/>
  <c r="AT458" i="4"/>
  <c r="BS458" i="4"/>
  <c r="BT459" i="4"/>
  <c r="CQ458" i="4"/>
  <c r="CR459" i="4"/>
  <c r="BB465" i="4"/>
  <c r="BE459" i="4"/>
  <c r="BB458" i="4"/>
  <c r="CF458" i="4"/>
  <c r="CI459" i="4"/>
  <c r="BY458" i="4"/>
  <c r="BZ459" i="4"/>
  <c r="CW459" i="4"/>
  <c r="CV458" i="4"/>
  <c r="DD124" i="1"/>
  <c r="DD125" i="1" s="1"/>
  <c r="DD126" i="1" s="1"/>
  <c r="DD123" i="1"/>
  <c r="DI458" i="4"/>
  <c r="DJ459" i="4"/>
  <c r="CX458" i="4"/>
  <c r="DA459" i="4"/>
  <c r="DU268" i="1"/>
  <c r="DU235" i="1"/>
  <c r="DU219" i="1"/>
  <c r="DU108" i="1"/>
  <c r="DU457" i="4"/>
  <c r="BA151" i="1"/>
  <c r="BA447" i="4"/>
  <c r="DK320" i="1"/>
  <c r="DK321" i="1" s="1"/>
  <c r="DK131" i="1" s="1"/>
  <c r="DK132" i="1" s="1"/>
  <c r="DG321" i="1"/>
  <c r="DG131" i="1" s="1"/>
  <c r="DG132" i="1" s="1"/>
  <c r="DG133" i="1" s="1"/>
  <c r="CI268" i="1"/>
  <c r="CI235" i="1"/>
  <c r="CI219" i="1"/>
  <c r="CI108" i="1"/>
  <c r="CI457" i="4"/>
  <c r="CM320" i="1"/>
  <c r="CM321" i="1" s="1"/>
  <c r="CM131" i="1" s="1"/>
  <c r="CM132" i="1" s="1"/>
  <c r="CI321" i="1"/>
  <c r="CI131" i="1" s="1"/>
  <c r="CI132" i="1" s="1"/>
  <c r="CI133" i="1" s="1"/>
  <c r="BR151" i="1"/>
  <c r="BQ497" i="4"/>
  <c r="BR447" i="4"/>
  <c r="BZ458" i="4"/>
  <c r="CC459" i="4"/>
  <c r="DP124" i="1"/>
  <c r="DP125" i="1" s="1"/>
  <c r="DP126" i="1" s="1"/>
  <c r="DP123" i="1"/>
  <c r="BY459" i="4"/>
  <c r="BX458" i="4"/>
  <c r="DE320" i="1"/>
  <c r="DE321" i="1" s="1"/>
  <c r="DE131" i="1" s="1"/>
  <c r="DE132" i="1" s="1"/>
  <c r="DE133" i="1" s="1"/>
  <c r="DT268" i="1"/>
  <c r="DT235" i="1"/>
  <c r="DT219" i="1"/>
  <c r="DT108" i="1"/>
  <c r="DT457" i="4"/>
  <c r="DJ126" i="1"/>
  <c r="DN149" i="1"/>
  <c r="DN150" i="1"/>
  <c r="DD149" i="1"/>
  <c r="DD154" i="1"/>
  <c r="DD150" i="1"/>
  <c r="CC151" i="1"/>
  <c r="CC447" i="4"/>
  <c r="BY151" i="1"/>
  <c r="BX497" i="4"/>
  <c r="BY447" i="4"/>
  <c r="DK250" i="1"/>
  <c r="DK218" i="1"/>
  <c r="DK107" i="1"/>
  <c r="DQ219" i="1" s="1"/>
  <c r="DK109" i="1"/>
  <c r="AV151" i="1"/>
  <c r="AV447" i="4"/>
  <c r="DH235" i="1"/>
  <c r="CP154" i="1"/>
  <c r="CP149" i="1"/>
  <c r="CP150" i="1"/>
  <c r="AH151" i="1"/>
  <c r="AH447" i="4"/>
  <c r="DC151" i="1"/>
  <c r="DC447" i="4"/>
  <c r="AY151" i="1"/>
  <c r="AY447" i="4"/>
  <c r="CA124" i="1"/>
  <c r="CA125" i="1" s="1"/>
  <c r="CA123" i="1"/>
  <c r="DE147" i="1"/>
  <c r="DS126" i="1"/>
  <c r="DM268" i="1"/>
  <c r="DM235" i="1"/>
  <c r="DM219" i="1"/>
  <c r="DM108" i="1"/>
  <c r="DM457" i="4"/>
  <c r="AN151" i="1"/>
  <c r="AN447" i="4"/>
  <c r="DH447" i="4"/>
  <c r="DB459" i="4"/>
  <c r="DA458" i="4"/>
  <c r="CL268" i="1"/>
  <c r="CL219" i="1"/>
  <c r="CL235" i="1"/>
  <c r="CL108" i="1"/>
  <c r="CL457" i="4"/>
  <c r="DY154" i="1"/>
  <c r="DY107" i="1" s="1"/>
  <c r="DY149" i="1"/>
  <c r="DP150" i="1"/>
  <c r="DP149" i="1"/>
  <c r="BE151" i="1"/>
  <c r="BE447" i="4"/>
  <c r="BE465" i="4"/>
  <c r="BE458" i="4"/>
  <c r="BF459" i="4"/>
  <c r="AU126" i="1"/>
  <c r="CP459" i="4"/>
  <c r="CO458" i="4"/>
  <c r="CO268" i="1"/>
  <c r="CR458" i="4"/>
  <c r="CU459" i="4"/>
  <c r="CG122" i="1"/>
  <c r="BC150" i="1"/>
  <c r="BC163" i="1"/>
  <c r="BC149" i="1"/>
  <c r="BC154" i="1"/>
  <c r="Y151" i="1"/>
  <c r="AE151" i="1"/>
  <c r="DH133" i="1"/>
  <c r="AY465" i="4"/>
  <c r="AZ459" i="4"/>
  <c r="AY458" i="4"/>
  <c r="AM165" i="1"/>
  <c r="AM197" i="2" s="1"/>
  <c r="AM164" i="1"/>
  <c r="CY124" i="1"/>
  <c r="CY125" i="1" s="1"/>
  <c r="CY123" i="1"/>
  <c r="DG124" i="1"/>
  <c r="DG125" i="1" s="1"/>
  <c r="DG126" i="1" s="1"/>
  <c r="DG123" i="1"/>
  <c r="DK122" i="1"/>
  <c r="BT123" i="1"/>
  <c r="BT124" i="1"/>
  <c r="BT125" i="1" s="1"/>
  <c r="BT126" i="1" s="1"/>
  <c r="BK149" i="1"/>
  <c r="BO147" i="1"/>
  <c r="BK154" i="1"/>
  <c r="BK150" i="1"/>
  <c r="BH126" i="1"/>
  <c r="BN458" i="4"/>
  <c r="BQ459" i="4"/>
  <c r="BN268" i="1"/>
  <c r="DP319" i="4"/>
  <c r="EM377" i="4"/>
  <c r="DP323" i="4"/>
  <c r="DP324" i="4"/>
  <c r="EK315" i="4"/>
  <c r="EL315" i="4"/>
  <c r="BF239" i="4"/>
  <c r="BF236" i="4"/>
  <c r="BF237" i="4" s="1"/>
  <c r="BG235" i="4"/>
  <c r="BH235" i="4" s="1"/>
  <c r="DS282" i="4"/>
  <c r="DS322" i="4"/>
  <c r="EC378" i="4"/>
  <c r="BG233" i="4"/>
  <c r="BH230" i="4"/>
  <c r="EH379" i="4"/>
  <c r="EN377" i="4"/>
  <c r="EI377" i="4"/>
  <c r="EF379" i="4"/>
  <c r="CS395" i="4"/>
  <c r="CS396" i="4" s="1"/>
  <c r="AS205" i="4"/>
  <c r="DM282" i="4"/>
  <c r="DN318" i="4"/>
  <c r="BE237" i="4"/>
  <c r="EK377" i="4"/>
  <c r="EO327" i="4"/>
  <c r="EO276" i="1" s="1"/>
  <c r="EE379" i="4"/>
  <c r="EL377" i="4"/>
  <c r="CG241" i="4"/>
  <c r="CA223" i="4"/>
  <c r="CA243" i="4"/>
  <c r="EG379" i="4"/>
  <c r="I260" i="484"/>
  <c r="I234" i="484"/>
  <c r="I196" i="484"/>
  <c r="I202" i="484"/>
  <c r="I269" i="484"/>
  <c r="Q111" i="484"/>
  <c r="R111" i="484" s="1"/>
  <c r="I70" i="484"/>
  <c r="I5" i="484"/>
  <c r="I29" i="484"/>
  <c r="I28" i="484"/>
  <c r="I27" i="484"/>
  <c r="I23" i="484"/>
  <c r="H160" i="484"/>
  <c r="K230" i="484"/>
  <c r="K228" i="484" s="1"/>
  <c r="N48" i="484"/>
  <c r="N52" i="484"/>
  <c r="N50" i="484"/>
  <c r="N224" i="484"/>
  <c r="Q101" i="484"/>
  <c r="R101" i="484" s="1"/>
  <c r="J176" i="484"/>
  <c r="J175" i="484" s="1"/>
  <c r="K74" i="484"/>
  <c r="K73" i="484" s="1"/>
  <c r="J6" i="484"/>
  <c r="J138" i="484"/>
  <c r="L223" i="484"/>
  <c r="O346" i="484"/>
  <c r="O55" i="484"/>
  <c r="O32" i="484" s="1"/>
  <c r="O35" i="484"/>
  <c r="O172" i="484" s="1"/>
  <c r="O204" i="484" s="1"/>
  <c r="P30" i="484"/>
  <c r="O47" i="484"/>
  <c r="O57" i="484"/>
  <c r="Q132" i="484"/>
  <c r="L187" i="484"/>
  <c r="L190" i="484" s="1"/>
  <c r="M82" i="484"/>
  <c r="M223" i="484" s="1"/>
  <c r="L149" i="484"/>
  <c r="N32" i="484"/>
  <c r="H239" i="484"/>
  <c r="H242" i="484"/>
  <c r="I150" i="484"/>
  <c r="I156" i="484" s="1"/>
  <c r="I131" i="484"/>
  <c r="CA225" i="2"/>
  <c r="EC190" i="1"/>
  <c r="EK379" i="4" l="1"/>
  <c r="EN378" i="4"/>
  <c r="EQ370" i="4"/>
  <c r="EQ276" i="1"/>
  <c r="EU327" i="4"/>
  <c r="EU276" i="1" s="1"/>
  <c r="EQ377" i="4"/>
  <c r="ER379" i="4" s="1"/>
  <c r="ET276" i="1"/>
  <c r="ET370" i="4"/>
  <c r="ET377" i="4"/>
  <c r="ET378" i="4" s="1"/>
  <c r="ER378" i="4"/>
  <c r="EM378" i="4"/>
  <c r="ES378" i="4"/>
  <c r="ER370" i="4"/>
  <c r="ER276" i="1"/>
  <c r="ER377" i="4"/>
  <c r="ES379" i="4" s="1"/>
  <c r="ES276" i="1"/>
  <c r="ES377" i="4"/>
  <c r="ES370" i="4"/>
  <c r="ET372" i="4" s="1"/>
  <c r="ER322" i="1"/>
  <c r="ER138" i="1"/>
  <c r="ES93" i="1"/>
  <c r="ET94" i="1"/>
  <c r="ET93" i="1" s="1"/>
  <c r="ET138" i="1" s="1"/>
  <c r="ET322" i="1" s="1"/>
  <c r="ET315" i="4"/>
  <c r="ER37" i="3"/>
  <c r="ER112" i="3" s="1"/>
  <c r="ER33" i="3"/>
  <c r="ER108" i="3" s="1"/>
  <c r="CS148" i="3"/>
  <c r="CS147" i="3"/>
  <c r="CS146" i="3"/>
  <c r="CS152" i="3"/>
  <c r="CS153" i="3" s="1"/>
  <c r="DD146" i="3"/>
  <c r="DD147" i="3"/>
  <c r="DD152" i="3"/>
  <c r="DD148" i="3"/>
  <c r="CR147" i="3"/>
  <c r="CR148" i="3"/>
  <c r="CR152" i="3"/>
  <c r="CR153" i="3" s="1"/>
  <c r="CR146" i="3"/>
  <c r="DE147" i="3"/>
  <c r="DE148" i="3"/>
  <c r="DE146" i="3"/>
  <c r="BZ148" i="3"/>
  <c r="BZ147" i="3"/>
  <c r="BZ152" i="3"/>
  <c r="CF153" i="3" s="1"/>
  <c r="CY146" i="3"/>
  <c r="CY147" i="3"/>
  <c r="CY152" i="3"/>
  <c r="CY148" i="3"/>
  <c r="DJ147" i="3"/>
  <c r="DJ152" i="3"/>
  <c r="DJ148" i="3"/>
  <c r="DJ146" i="3"/>
  <c r="DK146" i="3"/>
  <c r="DK148" i="3"/>
  <c r="DK147" i="3"/>
  <c r="CA148" i="3"/>
  <c r="CA147" i="3"/>
  <c r="CA152" i="3"/>
  <c r="CG153" i="3" s="1"/>
  <c r="CX152" i="3"/>
  <c r="CX146" i="3"/>
  <c r="CX148" i="3"/>
  <c r="CX147" i="3"/>
  <c r="AS184" i="4"/>
  <c r="AN192" i="2"/>
  <c r="AN272" i="2"/>
  <c r="AN189" i="2"/>
  <c r="AN198" i="2" s="1"/>
  <c r="AT190" i="2"/>
  <c r="DC108" i="2"/>
  <c r="DB109" i="2"/>
  <c r="AP190" i="2"/>
  <c r="AP189" i="2"/>
  <c r="AP198" i="2" s="1"/>
  <c r="CS154" i="1"/>
  <c r="DQ124" i="1"/>
  <c r="DQ125" i="1" s="1"/>
  <c r="DW126" i="1" s="1"/>
  <c r="AO192" i="2"/>
  <c r="BF192" i="2"/>
  <c r="AO272" i="2"/>
  <c r="BR139" i="3"/>
  <c r="BE189" i="2"/>
  <c r="BE198" i="2" s="1"/>
  <c r="AV189" i="2"/>
  <c r="AV198" i="2" s="1"/>
  <c r="AP192" i="2"/>
  <c r="AO190" i="2"/>
  <c r="AO189" i="2"/>
  <c r="AO198" i="2" s="1"/>
  <c r="DE124" i="1"/>
  <c r="DE125" i="1" s="1"/>
  <c r="DE126" i="1" s="1"/>
  <c r="K180" i="484"/>
  <c r="K22" i="484"/>
  <c r="L78" i="484"/>
  <c r="L77" i="484" s="1"/>
  <c r="AT272" i="2"/>
  <c r="I211" i="484"/>
  <c r="L177" i="484"/>
  <c r="BA190" i="2"/>
  <c r="BU150" i="1"/>
  <c r="AV190" i="2"/>
  <c r="P133" i="484"/>
  <c r="Q123" i="484"/>
  <c r="M81" i="484"/>
  <c r="M18" i="484" s="1"/>
  <c r="M186" i="484" s="1"/>
  <c r="L148" i="484"/>
  <c r="M75" i="484"/>
  <c r="M8" i="484" s="1"/>
  <c r="N75" i="484" s="1"/>
  <c r="N8" i="484" s="1"/>
  <c r="L229" i="484"/>
  <c r="L230" i="484" s="1"/>
  <c r="L228" i="484" s="1"/>
  <c r="L178" i="484"/>
  <c r="M143" i="484"/>
  <c r="P264" i="484"/>
  <c r="Q250" i="484"/>
  <c r="M182" i="484"/>
  <c r="EN30" i="1"/>
  <c r="EN29" i="1"/>
  <c r="L140" i="484"/>
  <c r="EN112" i="3"/>
  <c r="EO112" i="3" s="1"/>
  <c r="EO37" i="3"/>
  <c r="EN108" i="3"/>
  <c r="EO108" i="3" s="1"/>
  <c r="EO33" i="3"/>
  <c r="DZ274" i="1"/>
  <c r="DZ275" i="1" s="1"/>
  <c r="DZ141" i="1"/>
  <c r="DZ320" i="1" s="1"/>
  <c r="DZ321" i="1" s="1"/>
  <c r="DZ131" i="1" s="1"/>
  <c r="DZ132" i="1" s="1"/>
  <c r="DZ133" i="1" s="1"/>
  <c r="DZ147" i="1"/>
  <c r="DZ124" i="1"/>
  <c r="DZ125" i="1" s="1"/>
  <c r="DZ126" i="1" s="1"/>
  <c r="DZ123" i="1"/>
  <c r="BS39" i="3"/>
  <c r="BS85" i="3"/>
  <c r="BS113" i="3" s="1"/>
  <c r="CG154" i="1"/>
  <c r="CS149" i="1"/>
  <c r="CG149" i="1"/>
  <c r="AU190" i="2"/>
  <c r="AV192" i="2"/>
  <c r="BA192" i="2"/>
  <c r="CS150" i="1"/>
  <c r="CY151" i="1" s="1"/>
  <c r="CG150" i="1"/>
  <c r="AU192" i="2"/>
  <c r="CO151" i="1"/>
  <c r="CS219" i="1"/>
  <c r="CM133" i="1"/>
  <c r="BE192" i="2"/>
  <c r="AZ190" i="2"/>
  <c r="DQ150" i="1"/>
  <c r="DW151" i="1" s="1"/>
  <c r="AZ189" i="2"/>
  <c r="AZ198" i="2" s="1"/>
  <c r="CR151" i="1"/>
  <c r="AZ272" i="2"/>
  <c r="DK153" i="3"/>
  <c r="BB272" i="2"/>
  <c r="AZ192" i="2"/>
  <c r="DH151" i="1"/>
  <c r="CA126" i="1"/>
  <c r="BB192" i="2"/>
  <c r="AY185" i="4"/>
  <c r="BU149" i="1"/>
  <c r="BE272" i="2"/>
  <c r="BB189" i="2"/>
  <c r="BB198" i="2" s="1"/>
  <c r="DU126" i="1"/>
  <c r="DM151" i="1"/>
  <c r="BU154" i="1"/>
  <c r="CG176" i="1"/>
  <c r="CM177" i="1" s="1"/>
  <c r="CM169" i="1" s="1"/>
  <c r="CM170" i="1" s="1"/>
  <c r="EA118" i="3"/>
  <c r="EL115" i="2"/>
  <c r="EM115" i="2" s="1"/>
  <c r="EN115" i="2" s="1"/>
  <c r="EQ115" i="2" s="1"/>
  <c r="ER115" i="2" s="1"/>
  <c r="ES115" i="2" s="1"/>
  <c r="ET115" i="2" s="1"/>
  <c r="EU115" i="2" s="1"/>
  <c r="EK45" i="3"/>
  <c r="EE118" i="3"/>
  <c r="EF45" i="3"/>
  <c r="EG426" i="4"/>
  <c r="EG420" i="4"/>
  <c r="EH419" i="4"/>
  <c r="BI236" i="4"/>
  <c r="BQ265" i="2"/>
  <c r="BR264" i="2" s="1"/>
  <c r="BR265" i="2" s="1"/>
  <c r="BS264" i="2" s="1"/>
  <c r="BS265" i="2" s="1"/>
  <c r="BT264" i="2" s="1"/>
  <c r="BU264" i="2" s="1"/>
  <c r="BH458" i="4"/>
  <c r="EM379" i="4"/>
  <c r="CG201" i="2"/>
  <c r="CG208" i="2" s="1"/>
  <c r="DA291" i="1"/>
  <c r="CA263" i="2"/>
  <c r="BW271" i="2"/>
  <c r="CK214" i="2"/>
  <c r="CK201" i="2" s="1"/>
  <c r="DW275" i="2"/>
  <c r="CS214" i="2"/>
  <c r="CL214" i="2"/>
  <c r="CL201" i="2" s="1"/>
  <c r="CJ214" i="2"/>
  <c r="CJ201" i="2" s="1"/>
  <c r="CI214" i="2"/>
  <c r="CI201" i="2" s="1"/>
  <c r="CX293" i="1"/>
  <c r="CY293" i="1" s="1"/>
  <c r="CX292" i="1"/>
  <c r="CY292" i="1" s="1"/>
  <c r="CC271" i="2"/>
  <c r="CG263" i="2"/>
  <c r="CG271" i="2" s="1"/>
  <c r="BH465" i="4"/>
  <c r="CY291" i="1"/>
  <c r="CY172" i="1"/>
  <c r="CY174" i="1" s="1"/>
  <c r="CA204" i="2"/>
  <c r="CA209" i="2"/>
  <c r="EE134" i="3"/>
  <c r="EK378" i="4"/>
  <c r="AW205" i="4"/>
  <c r="EL378" i="4"/>
  <c r="CA151" i="1"/>
  <c r="DQ320" i="1"/>
  <c r="DQ321" i="1" s="1"/>
  <c r="DQ131" i="1" s="1"/>
  <c r="DQ132" i="1" s="1"/>
  <c r="DW133" i="1" s="1"/>
  <c r="CO126" i="1"/>
  <c r="DT126" i="1"/>
  <c r="DZ107" i="3"/>
  <c r="DH126" i="1"/>
  <c r="BI176" i="2"/>
  <c r="BC179" i="2"/>
  <c r="BC180" i="2" s="1"/>
  <c r="BO195" i="2"/>
  <c r="BH459" i="4"/>
  <c r="BU108" i="1"/>
  <c r="BO190" i="2"/>
  <c r="BO189" i="2"/>
  <c r="BO198" i="2" s="1"/>
  <c r="BQ151" i="1"/>
  <c r="BK196" i="2"/>
  <c r="AQ196" i="2"/>
  <c r="AK151" i="1"/>
  <c r="AK196" i="2"/>
  <c r="BF139" i="3"/>
  <c r="AS113" i="3"/>
  <c r="BE66" i="3"/>
  <c r="BE40" i="3"/>
  <c r="R85" i="3"/>
  <c r="R39" i="3"/>
  <c r="AY113" i="3"/>
  <c r="AM113" i="3"/>
  <c r="BG40" i="3"/>
  <c r="BG66" i="3"/>
  <c r="BC196" i="2"/>
  <c r="P149" i="3"/>
  <c r="Q141" i="3"/>
  <c r="Q143" i="3" s="1"/>
  <c r="BQ139" i="3"/>
  <c r="BQ145" i="3"/>
  <c r="BE113" i="3"/>
  <c r="BK85" i="3"/>
  <c r="BK39" i="3"/>
  <c r="BL10" i="3"/>
  <c r="AG72" i="3"/>
  <c r="AG143" i="3"/>
  <c r="AG149" i="3" s="1"/>
  <c r="AH68" i="3"/>
  <c r="AH141" i="3" s="1"/>
  <c r="AU85" i="3"/>
  <c r="AU113" i="3" s="1"/>
  <c r="AU39" i="3"/>
  <c r="AU66" i="3" s="1"/>
  <c r="AV10" i="3"/>
  <c r="BI196" i="2"/>
  <c r="CM40" i="3"/>
  <c r="AG190" i="2"/>
  <c r="AG272" i="2"/>
  <c r="AG192" i="2"/>
  <c r="AG189" i="2"/>
  <c r="AG198" i="2" s="1"/>
  <c r="AK188" i="2"/>
  <c r="BI40" i="3"/>
  <c r="AN85" i="3"/>
  <c r="AN113" i="3" s="1"/>
  <c r="AN39" i="3"/>
  <c r="AN66" i="3" s="1"/>
  <c r="AO10" i="3"/>
  <c r="AG113" i="3"/>
  <c r="BT85" i="3"/>
  <c r="BT39" i="3"/>
  <c r="BH39" i="3"/>
  <c r="BH85" i="3"/>
  <c r="BH113" i="3" s="1"/>
  <c r="BO186" i="2"/>
  <c r="BO10" i="3"/>
  <c r="BO39" i="3" s="1"/>
  <c r="CV151" i="1"/>
  <c r="AW196" i="2"/>
  <c r="BF66" i="3"/>
  <c r="BF40" i="3"/>
  <c r="AZ85" i="3"/>
  <c r="AZ113" i="3" s="1"/>
  <c r="AZ39" i="3"/>
  <c r="BA10" i="3"/>
  <c r="AH85" i="3"/>
  <c r="AH113" i="3" s="1"/>
  <c r="AH39" i="3"/>
  <c r="AH66" i="3" s="1"/>
  <c r="AH70" i="3" s="1"/>
  <c r="AI10" i="3"/>
  <c r="AY66" i="3"/>
  <c r="AY40" i="3"/>
  <c r="BR147" i="3"/>
  <c r="BR152" i="3"/>
  <c r="BX153" i="3" s="1"/>
  <c r="BR148" i="3"/>
  <c r="BU40" i="3"/>
  <c r="BG139" i="3"/>
  <c r="AT139" i="3"/>
  <c r="AM151" i="1"/>
  <c r="AG196" i="2"/>
  <c r="AS192" i="2"/>
  <c r="AW188" i="2"/>
  <c r="AS189" i="2"/>
  <c r="AS198" i="2" s="1"/>
  <c r="AS272" i="2"/>
  <c r="AS190" i="2"/>
  <c r="DN131" i="2"/>
  <c r="DQ131" i="2" s="1"/>
  <c r="DQ130" i="2"/>
  <c r="AT192" i="2"/>
  <c r="DN133" i="1"/>
  <c r="DT133" i="1"/>
  <c r="DT151" i="1"/>
  <c r="DJ151" i="1"/>
  <c r="DM133" i="1"/>
  <c r="DU151" i="1"/>
  <c r="DY131" i="2"/>
  <c r="AY272" i="2"/>
  <c r="AY192" i="2"/>
  <c r="AY190" i="2"/>
  <c r="AY189" i="2"/>
  <c r="AY198" i="2" s="1"/>
  <c r="BC188" i="2"/>
  <c r="AJ196" i="2"/>
  <c r="DY85" i="3"/>
  <c r="DY39" i="3"/>
  <c r="AM190" i="2"/>
  <c r="AQ188" i="2"/>
  <c r="AM189" i="2"/>
  <c r="AM198" i="2" s="1"/>
  <c r="AM272" i="2"/>
  <c r="AM192" i="2"/>
  <c r="DN91" i="3"/>
  <c r="DN113" i="3" s="1"/>
  <c r="DN39" i="3"/>
  <c r="DO16" i="3"/>
  <c r="M144" i="484"/>
  <c r="N79" i="484"/>
  <c r="N12" i="484" s="1"/>
  <c r="K7" i="484"/>
  <c r="L74" i="484" s="1"/>
  <c r="L73" i="484" s="1"/>
  <c r="K208" i="484"/>
  <c r="N13" i="484"/>
  <c r="O80" i="484" s="1"/>
  <c r="H243" i="484"/>
  <c r="CA228" i="2"/>
  <c r="DK274" i="2" s="1"/>
  <c r="AB232" i="2"/>
  <c r="AB233" i="2" s="1"/>
  <c r="BT260" i="2"/>
  <c r="BT261" i="2" s="1"/>
  <c r="BN256" i="2"/>
  <c r="BO256" i="2" s="1"/>
  <c r="BZ268" i="2"/>
  <c r="CA268" i="2" s="1"/>
  <c r="AH236" i="2"/>
  <c r="AP245" i="2"/>
  <c r="CU223" i="2"/>
  <c r="CR223" i="2"/>
  <c r="DU141" i="2"/>
  <c r="DT151" i="2"/>
  <c r="DA222" i="2"/>
  <c r="CX222" i="2"/>
  <c r="EN98" i="2"/>
  <c r="EQ98" i="2" s="1"/>
  <c r="ER98" i="2" s="1"/>
  <c r="ES98" i="2" s="1"/>
  <c r="ET98" i="2" s="1"/>
  <c r="DG110" i="2"/>
  <c r="DH110" i="2" s="1"/>
  <c r="DI110" i="2" s="1"/>
  <c r="DH106" i="2"/>
  <c r="AM240" i="2"/>
  <c r="DQ221" i="2"/>
  <c r="DT221" i="2"/>
  <c r="DU221" i="2" s="1"/>
  <c r="EN96" i="2"/>
  <c r="EQ96" i="2" s="1"/>
  <c r="ER96" i="2" s="1"/>
  <c r="ES96" i="2" s="1"/>
  <c r="ET96" i="2" s="1"/>
  <c r="DI121" i="2"/>
  <c r="DJ107" i="2"/>
  <c r="CX113" i="2"/>
  <c r="CW116" i="2"/>
  <c r="CA291" i="2"/>
  <c r="DK276" i="2"/>
  <c r="CA277" i="2"/>
  <c r="CA278" i="2" s="1"/>
  <c r="CA279" i="2" s="1"/>
  <c r="AV211" i="2"/>
  <c r="AW211" i="2" s="1"/>
  <c r="AV297" i="2"/>
  <c r="AW297" i="2" s="1"/>
  <c r="AY216" i="2"/>
  <c r="BG253" i="2"/>
  <c r="BG252" i="2"/>
  <c r="AU248" i="2"/>
  <c r="AU249" i="2" s="1"/>
  <c r="BC165" i="1"/>
  <c r="BC197" i="2" s="1"/>
  <c r="BC164" i="1"/>
  <c r="DP151" i="1"/>
  <c r="DP447" i="4"/>
  <c r="DY150" i="1"/>
  <c r="DN459" i="4"/>
  <c r="DM458" i="4"/>
  <c r="DQ108" i="1"/>
  <c r="DU459" i="4"/>
  <c r="DT458" i="4"/>
  <c r="DK133" i="1"/>
  <c r="DU458" i="4"/>
  <c r="DV459" i="4"/>
  <c r="DD458" i="4"/>
  <c r="DG459" i="4"/>
  <c r="BT151" i="1"/>
  <c r="BS497" i="4"/>
  <c r="BT447" i="4"/>
  <c r="CK459" i="4"/>
  <c r="CJ458" i="4"/>
  <c r="BZ151" i="1"/>
  <c r="AQ165" i="1"/>
  <c r="AQ197" i="2" s="1"/>
  <c r="AQ164" i="1"/>
  <c r="DC459" i="4"/>
  <c r="DB458" i="4"/>
  <c r="DP192" i="1"/>
  <c r="DO192" i="1" s="1"/>
  <c r="DN192" i="1" s="1"/>
  <c r="DM192" i="1" s="1"/>
  <c r="DW192" i="1"/>
  <c r="CO133" i="1"/>
  <c r="CE459" i="4"/>
  <c r="CD458" i="4"/>
  <c r="EI184" i="1"/>
  <c r="BO123" i="1"/>
  <c r="BO124" i="1"/>
  <c r="BO125" i="1" s="1"/>
  <c r="BO126" i="1" s="1"/>
  <c r="BT458" i="4"/>
  <c r="BW459" i="4"/>
  <c r="DV151" i="1"/>
  <c r="EI43" i="1"/>
  <c r="EI44" i="1" s="1"/>
  <c r="BO219" i="1"/>
  <c r="BO108" i="1"/>
  <c r="BG590" i="4"/>
  <c r="BL580" i="4"/>
  <c r="BH580" i="4"/>
  <c r="CR126" i="1"/>
  <c r="BI126" i="1"/>
  <c r="DH459" i="4"/>
  <c r="DG458" i="4"/>
  <c r="BK151" i="1"/>
  <c r="BK447" i="4"/>
  <c r="BC151" i="1"/>
  <c r="BC575" i="4"/>
  <c r="BZ126" i="1"/>
  <c r="DY268" i="1"/>
  <c r="DY235" i="1"/>
  <c r="DY219" i="1"/>
  <c r="DY108" i="1"/>
  <c r="DY457" i="4"/>
  <c r="DN151" i="1"/>
  <c r="DN447" i="4"/>
  <c r="AQ151" i="1"/>
  <c r="AQ575" i="4"/>
  <c r="DO151" i="1"/>
  <c r="DO447" i="4"/>
  <c r="CQ459" i="4"/>
  <c r="CP458" i="4"/>
  <c r="DM126" i="1"/>
  <c r="DO458" i="4"/>
  <c r="DP459" i="4"/>
  <c r="AJ151" i="1"/>
  <c r="AJ447" i="4"/>
  <c r="BK465" i="4"/>
  <c r="BK458" i="4"/>
  <c r="BL459" i="4"/>
  <c r="CM149" i="1"/>
  <c r="CM154" i="1"/>
  <c r="CM150" i="1"/>
  <c r="DG151" i="1"/>
  <c r="DG447" i="4"/>
  <c r="DZ195" i="1"/>
  <c r="DE154" i="1"/>
  <c r="DE150" i="1"/>
  <c r="DE151" i="1" s="1"/>
  <c r="DE149" i="1"/>
  <c r="DK219" i="1"/>
  <c r="DK108" i="1"/>
  <c r="DD151" i="1"/>
  <c r="DD447" i="4"/>
  <c r="CJ459" i="4"/>
  <c r="CI458" i="4"/>
  <c r="BI165" i="1"/>
  <c r="BI197" i="2" s="1"/>
  <c r="BI164" i="1"/>
  <c r="CS123" i="1"/>
  <c r="CS124" i="1"/>
  <c r="CS125" i="1" s="1"/>
  <c r="CY126" i="1" s="1"/>
  <c r="DY459" i="4"/>
  <c r="DV458" i="4"/>
  <c r="DV126" i="1"/>
  <c r="AW122" i="1"/>
  <c r="AS124" i="1"/>
  <c r="AS125" i="1" s="1"/>
  <c r="AS123" i="1"/>
  <c r="DB151" i="1"/>
  <c r="DB447" i="4"/>
  <c r="DT459" i="4"/>
  <c r="DS458" i="4"/>
  <c r="AW164" i="1"/>
  <c r="AW165" i="1"/>
  <c r="AW197" i="2" s="1"/>
  <c r="AG151" i="1"/>
  <c r="AG447" i="4"/>
  <c r="DY314" i="1"/>
  <c r="DV313" i="1"/>
  <c r="DV311" i="1"/>
  <c r="DW311" i="1" s="1"/>
  <c r="DW314" i="1" s="1"/>
  <c r="CL151" i="1"/>
  <c r="CL447" i="4"/>
  <c r="EA158" i="1"/>
  <c r="EB200" i="2"/>
  <c r="CP126" i="1"/>
  <c r="AQ122" i="1"/>
  <c r="AM124" i="1"/>
  <c r="AM125" i="1" s="1"/>
  <c r="AM123" i="1"/>
  <c r="DZ250" i="1"/>
  <c r="DZ234" i="1"/>
  <c r="DZ218" i="1"/>
  <c r="CG124" i="1"/>
  <c r="CG125" i="1" s="1"/>
  <c r="CG126" i="1" s="1"/>
  <c r="CG123" i="1"/>
  <c r="BO149" i="1"/>
  <c r="BO154" i="1"/>
  <c r="BO150" i="1"/>
  <c r="BU151" i="1" s="1"/>
  <c r="DK124" i="1"/>
  <c r="DK125" i="1" s="1"/>
  <c r="DK123" i="1"/>
  <c r="CL458" i="4"/>
  <c r="CO459" i="4"/>
  <c r="CP151" i="1"/>
  <c r="CP447" i="4"/>
  <c r="K256" i="484"/>
  <c r="DW107" i="1"/>
  <c r="BI151" i="1"/>
  <c r="BG575" i="4"/>
  <c r="BF575" i="4"/>
  <c r="BE575" i="4"/>
  <c r="DP458" i="4"/>
  <c r="DS459" i="4"/>
  <c r="EK43" i="1"/>
  <c r="CJ126" i="1"/>
  <c r="CM219" i="1"/>
  <c r="CM108" i="1"/>
  <c r="CD151" i="1"/>
  <c r="CD447" i="4"/>
  <c r="BQ126" i="1"/>
  <c r="AW151" i="1"/>
  <c r="AW575" i="4"/>
  <c r="CM123" i="1"/>
  <c r="CM124" i="1"/>
  <c r="CM125" i="1" s="1"/>
  <c r="BU219" i="1"/>
  <c r="CS133" i="1"/>
  <c r="DE219" i="1"/>
  <c r="DE108" i="1"/>
  <c r="CI151" i="1"/>
  <c r="CI447" i="4"/>
  <c r="DK154" i="1"/>
  <c r="DK149" i="1"/>
  <c r="DK150" i="1"/>
  <c r="CJ151" i="1"/>
  <c r="CJ452" i="4"/>
  <c r="CJ447" i="4"/>
  <c r="DO459" i="4"/>
  <c r="DN458" i="4"/>
  <c r="CM241" i="4"/>
  <c r="CM223" i="4" s="1"/>
  <c r="CG223" i="4"/>
  <c r="DT282" i="4"/>
  <c r="DS318" i="4"/>
  <c r="EN379" i="4"/>
  <c r="EO377" i="4"/>
  <c r="EO378" i="4" s="1"/>
  <c r="EL379" i="4"/>
  <c r="DM318" i="4"/>
  <c r="DJ282" i="4"/>
  <c r="BI230" i="4"/>
  <c r="BH233" i="4"/>
  <c r="EI378" i="4"/>
  <c r="DO319" i="4"/>
  <c r="CY395" i="4"/>
  <c r="CY396" i="4" s="1"/>
  <c r="DS324" i="4"/>
  <c r="DS323" i="4"/>
  <c r="O224" i="484"/>
  <c r="M222" i="484"/>
  <c r="L222" i="484"/>
  <c r="O48" i="484"/>
  <c r="O50" i="484"/>
  <c r="O52" i="484"/>
  <c r="J21" i="484"/>
  <c r="J4" i="484"/>
  <c r="J26" i="484" s="1"/>
  <c r="I261" i="484"/>
  <c r="I262" i="484" s="1"/>
  <c r="I272" i="484" s="1"/>
  <c r="I276" i="484" s="1"/>
  <c r="J261" i="484"/>
  <c r="M140" i="484"/>
  <c r="M178" i="484"/>
  <c r="N76" i="484"/>
  <c r="N9" i="484" s="1"/>
  <c r="H240" i="484"/>
  <c r="H247" i="484"/>
  <c r="P346" i="484"/>
  <c r="P35" i="484"/>
  <c r="P172" i="484" s="1"/>
  <c r="P204" i="484" s="1"/>
  <c r="Q30" i="484"/>
  <c r="R30" i="484" s="1"/>
  <c r="P55" i="484"/>
  <c r="P47" i="484"/>
  <c r="P57" i="484"/>
  <c r="J137" i="484"/>
  <c r="K72" i="484"/>
  <c r="K88" i="484"/>
  <c r="K90" i="484" s="1"/>
  <c r="M19" i="484"/>
  <c r="I151" i="484"/>
  <c r="I164" i="484"/>
  <c r="I126" i="484"/>
  <c r="I127" i="484" s="1"/>
  <c r="I166" i="484"/>
  <c r="I165" i="484"/>
  <c r="I162" i="484"/>
  <c r="I168" i="484"/>
  <c r="I163" i="484"/>
  <c r="I161" i="484"/>
  <c r="I158" i="484"/>
  <c r="I167" i="484"/>
  <c r="I159" i="484"/>
  <c r="I157" i="484"/>
  <c r="I212" i="484"/>
  <c r="J214" i="484"/>
  <c r="K215" i="484" s="1"/>
  <c r="J60" i="484"/>
  <c r="J174" i="484"/>
  <c r="J209" i="484"/>
  <c r="J195" i="484"/>
  <c r="CC225" i="2"/>
  <c r="EI190" i="1"/>
  <c r="EQ379" i="4" l="1"/>
  <c r="EU377" i="4"/>
  <c r="EU378" i="4" s="1"/>
  <c r="ET379" i="4"/>
  <c r="ES372" i="4"/>
  <c r="EQ378" i="4"/>
  <c r="ER372" i="4"/>
  <c r="EU370" i="4"/>
  <c r="ES322" i="1"/>
  <c r="ES138" i="1"/>
  <c r="EU138" i="1" s="1"/>
  <c r="EU94" i="1"/>
  <c r="EU93" i="1" s="1"/>
  <c r="EO184" i="1"/>
  <c r="EU184" i="1"/>
  <c r="EO115" i="2"/>
  <c r="L11" i="484"/>
  <c r="L22" i="484" s="1"/>
  <c r="ES37" i="3"/>
  <c r="ES112" i="3" s="1"/>
  <c r="ES33" i="3"/>
  <c r="ES108" i="3" s="1"/>
  <c r="CY153" i="3"/>
  <c r="DJ153" i="3"/>
  <c r="CX153" i="3"/>
  <c r="DD153" i="3"/>
  <c r="DE153" i="3"/>
  <c r="DD108" i="2"/>
  <c r="DC109" i="2"/>
  <c r="CM180" i="1"/>
  <c r="CM176" i="1" s="1"/>
  <c r="BT575" i="4"/>
  <c r="DK126" i="1"/>
  <c r="BS575" i="4"/>
  <c r="I207" i="484"/>
  <c r="I239" i="484" s="1"/>
  <c r="Q133" i="484"/>
  <c r="R123" i="484"/>
  <c r="R133" i="484" s="1"/>
  <c r="R35" i="484"/>
  <c r="R172" i="484" s="1"/>
  <c r="R204" i="484" s="1"/>
  <c r="R55" i="484"/>
  <c r="R32" i="484" s="1"/>
  <c r="R47" i="484"/>
  <c r="R57" i="484"/>
  <c r="Q264" i="484"/>
  <c r="R250" i="484"/>
  <c r="R264" i="484" s="1"/>
  <c r="CE575" i="4"/>
  <c r="N81" i="484"/>
  <c r="N229" i="484" s="1"/>
  <c r="M229" i="484"/>
  <c r="M230" i="484" s="1"/>
  <c r="M228" i="484" s="1"/>
  <c r="M148" i="484"/>
  <c r="M139" i="484"/>
  <c r="M177" i="484"/>
  <c r="BU260" i="2"/>
  <c r="K6" i="484"/>
  <c r="K60" i="484" s="1"/>
  <c r="DZ10" i="3"/>
  <c r="DZ39" i="3" s="1"/>
  <c r="DZ40" i="3" s="1"/>
  <c r="DZ130" i="2"/>
  <c r="K176" i="484"/>
  <c r="K175" i="484" s="1"/>
  <c r="K209" i="484" s="1"/>
  <c r="N144" i="484"/>
  <c r="K138" i="484"/>
  <c r="K137" i="484" s="1"/>
  <c r="DZ149" i="1"/>
  <c r="DZ150" i="1"/>
  <c r="DZ151" i="1" s="1"/>
  <c r="DZ154" i="1"/>
  <c r="DZ107" i="1" s="1"/>
  <c r="DZ108" i="1" s="1"/>
  <c r="DY458" i="4"/>
  <c r="DZ459" i="4"/>
  <c r="DQ133" i="1"/>
  <c r="BS145" i="3"/>
  <c r="BS139" i="3"/>
  <c r="BS40" i="3"/>
  <c r="BS66" i="3"/>
  <c r="CG151" i="1"/>
  <c r="CM151" i="1"/>
  <c r="DK151" i="1"/>
  <c r="EF118" i="3"/>
  <c r="EG45" i="3"/>
  <c r="EK118" i="3"/>
  <c r="EL45" i="3"/>
  <c r="EB118" i="3"/>
  <c r="EC118" i="3" s="1"/>
  <c r="EI419" i="4"/>
  <c r="EI420" i="4" s="1"/>
  <c r="EK419" i="4"/>
  <c r="EH426" i="4"/>
  <c r="EI426" i="4" s="1"/>
  <c r="EH420" i="4"/>
  <c r="CM201" i="2"/>
  <c r="CM208" i="2" s="1"/>
  <c r="DB291" i="1"/>
  <c r="DA293" i="1"/>
  <c r="DA292" i="1"/>
  <c r="CC202" i="2"/>
  <c r="CC204" i="2" s="1"/>
  <c r="CD202" i="2" s="1"/>
  <c r="CA211" i="2"/>
  <c r="CQ214" i="2"/>
  <c r="CQ201" i="2" s="1"/>
  <c r="CP214" i="2"/>
  <c r="CP201" i="2" s="1"/>
  <c r="CR214" i="2"/>
  <c r="CR201" i="2" s="1"/>
  <c r="EC275" i="2"/>
  <c r="CY214" i="2"/>
  <c r="CO214" i="2"/>
  <c r="CO201" i="2" s="1"/>
  <c r="BO176" i="2"/>
  <c r="BI179" i="2"/>
  <c r="BI180" i="2" s="1"/>
  <c r="CS151" i="1"/>
  <c r="BO196" i="2"/>
  <c r="BA85" i="3"/>
  <c r="BA113" i="3" s="1"/>
  <c r="BA39" i="3"/>
  <c r="BB10" i="3"/>
  <c r="BO40" i="3"/>
  <c r="BH40" i="3"/>
  <c r="BH66" i="3"/>
  <c r="BI66" i="3" s="1"/>
  <c r="AG139" i="3"/>
  <c r="AU139" i="3"/>
  <c r="BL39" i="3"/>
  <c r="BL85" i="3"/>
  <c r="BL113" i="3" s="1"/>
  <c r="BM10" i="3"/>
  <c r="BE139" i="3"/>
  <c r="AM139" i="3"/>
  <c r="R113" i="3"/>
  <c r="R139" i="3" s="1"/>
  <c r="S85" i="3"/>
  <c r="S113" i="3" s="1"/>
  <c r="S139" i="3" s="1"/>
  <c r="AI85" i="3"/>
  <c r="AI113" i="3" s="1"/>
  <c r="AI39" i="3"/>
  <c r="AI66" i="3" s="1"/>
  <c r="AI70" i="3" s="1"/>
  <c r="AJ10" i="3"/>
  <c r="AZ40" i="3"/>
  <c r="AZ66" i="3"/>
  <c r="BT66" i="3"/>
  <c r="BU66" i="3" s="1"/>
  <c r="BT40" i="3"/>
  <c r="AO39" i="3"/>
  <c r="AO66" i="3" s="1"/>
  <c r="AO85" i="3"/>
  <c r="AO113" i="3" s="1"/>
  <c r="AP10" i="3"/>
  <c r="BK66" i="3"/>
  <c r="BK40" i="3"/>
  <c r="BQ147" i="3"/>
  <c r="BQ152" i="3"/>
  <c r="BW153" i="3" s="1"/>
  <c r="BQ148" i="3"/>
  <c r="AH72" i="3"/>
  <c r="AH143" i="3"/>
  <c r="AH149" i="3" s="1"/>
  <c r="AI68" i="3"/>
  <c r="AI141" i="3" s="1"/>
  <c r="AZ139" i="3"/>
  <c r="BT113" i="3"/>
  <c r="BU85" i="3"/>
  <c r="BU113" i="3" s="1"/>
  <c r="AV85" i="3"/>
  <c r="AV113" i="3" s="1"/>
  <c r="AV39" i="3"/>
  <c r="BK113" i="3"/>
  <c r="AY139" i="3"/>
  <c r="AS139" i="3"/>
  <c r="AH139" i="3"/>
  <c r="BH139" i="3"/>
  <c r="AN139" i="3"/>
  <c r="AK190" i="2"/>
  <c r="AK189" i="2"/>
  <c r="AK198" i="2" s="1"/>
  <c r="AK272" i="2"/>
  <c r="BI85" i="3"/>
  <c r="BI113" i="3" s="1"/>
  <c r="Q149" i="3"/>
  <c r="R141" i="3"/>
  <c r="S39" i="3"/>
  <c r="R66" i="3"/>
  <c r="DP16" i="3"/>
  <c r="DO91" i="3"/>
  <c r="DO113" i="3" s="1"/>
  <c r="DO39" i="3"/>
  <c r="DY66" i="3"/>
  <c r="DY40" i="3"/>
  <c r="BC189" i="2"/>
  <c r="BC198" i="2" s="1"/>
  <c r="BC272" i="2"/>
  <c r="BC190" i="2"/>
  <c r="DN66" i="3"/>
  <c r="DN40" i="3"/>
  <c r="DY113" i="3"/>
  <c r="DN139" i="3"/>
  <c r="DN145" i="3"/>
  <c r="AQ189" i="2"/>
  <c r="AQ198" i="2" s="1"/>
  <c r="AQ272" i="2"/>
  <c r="AQ190" i="2"/>
  <c r="AW190" i="2"/>
  <c r="AW189" i="2"/>
  <c r="AW198" i="2" s="1"/>
  <c r="AW272" i="2"/>
  <c r="BZ269" i="2"/>
  <c r="CA269" i="2" s="1"/>
  <c r="BN257" i="2"/>
  <c r="BQ256" i="2" s="1"/>
  <c r="N181" i="484"/>
  <c r="O79" i="484"/>
  <c r="O12" i="484" s="1"/>
  <c r="N182" i="484"/>
  <c r="N143" i="484"/>
  <c r="L7" i="484"/>
  <c r="L176" i="484" s="1"/>
  <c r="L175" i="484" s="1"/>
  <c r="L208" i="484"/>
  <c r="K84" i="484"/>
  <c r="O13" i="484"/>
  <c r="O144" i="484" s="1"/>
  <c r="BH252" i="2"/>
  <c r="BH253" i="2" s="1"/>
  <c r="CX116" i="2"/>
  <c r="CY116" i="2" s="1"/>
  <c r="CY113" i="2"/>
  <c r="DA113" i="2" s="1"/>
  <c r="BW260" i="2"/>
  <c r="BU261" i="2"/>
  <c r="AV248" i="2"/>
  <c r="AW248" i="2" s="1"/>
  <c r="AM241" i="2"/>
  <c r="DU151" i="2"/>
  <c r="DV141" i="2"/>
  <c r="DW141" i="2" s="1"/>
  <c r="CV223" i="2"/>
  <c r="CW223" i="2" s="1"/>
  <c r="CS223" i="2"/>
  <c r="AS244" i="2"/>
  <c r="AQ245" i="2"/>
  <c r="AC232" i="2"/>
  <c r="AC233" i="2" s="1"/>
  <c r="CY222" i="2"/>
  <c r="DB222" i="2"/>
  <c r="DC222" i="2" s="1"/>
  <c r="DJ121" i="2"/>
  <c r="DK121" i="2" s="1"/>
  <c r="DK107" i="2"/>
  <c r="DM107" i="2" s="1"/>
  <c r="DY221" i="2"/>
  <c r="DV221" i="2"/>
  <c r="DI106" i="2"/>
  <c r="AH237" i="2"/>
  <c r="BT265" i="2"/>
  <c r="DQ151" i="1"/>
  <c r="EA195" i="1"/>
  <c r="EA165" i="1"/>
  <c r="CS126" i="1"/>
  <c r="DQ126" i="1"/>
  <c r="BO151" i="1"/>
  <c r="BL575" i="4"/>
  <c r="BH575" i="4"/>
  <c r="EE200" i="2"/>
  <c r="AS126" i="1"/>
  <c r="AY126" i="1"/>
  <c r="BU126" i="1"/>
  <c r="AQ124" i="1"/>
  <c r="AQ125" i="1" s="1"/>
  <c r="AQ123" i="1"/>
  <c r="AW124" i="1"/>
  <c r="AW125" i="1" s="1"/>
  <c r="AW123" i="1"/>
  <c r="DV192" i="1"/>
  <c r="DU192" i="1" s="1"/>
  <c r="DT192" i="1" s="1"/>
  <c r="DS192" i="1" s="1"/>
  <c r="EC192" i="1"/>
  <c r="DY151" i="1"/>
  <c r="DY447" i="4"/>
  <c r="EL43" i="1"/>
  <c r="DW219" i="1"/>
  <c r="DW108" i="1"/>
  <c r="DU565" i="4"/>
  <c r="DT565" i="4"/>
  <c r="DS565" i="4" s="1"/>
  <c r="DZ314" i="1"/>
  <c r="EA314" i="1" s="1"/>
  <c r="DY313" i="1"/>
  <c r="DY311" i="1"/>
  <c r="DZ165" i="1"/>
  <c r="DS320" i="4"/>
  <c r="DS319" i="4"/>
  <c r="DI282" i="4"/>
  <c r="DJ318" i="4"/>
  <c r="DN319" i="4"/>
  <c r="DE395" i="4"/>
  <c r="DE396" i="4" s="1"/>
  <c r="BK230" i="4"/>
  <c r="BI229" i="4"/>
  <c r="DU282" i="4"/>
  <c r="DT318" i="4"/>
  <c r="DT280" i="4"/>
  <c r="DT322" i="4" s="1"/>
  <c r="N139" i="484"/>
  <c r="N177" i="484"/>
  <c r="O75" i="484"/>
  <c r="O8" i="484" s="1"/>
  <c r="N178" i="484"/>
  <c r="N140" i="484"/>
  <c r="O76" i="484"/>
  <c r="O9" i="484" s="1"/>
  <c r="M187" i="484"/>
  <c r="M190" i="484" s="1"/>
  <c r="N82" i="484"/>
  <c r="N223" i="484" s="1"/>
  <c r="M149" i="484"/>
  <c r="J150" i="484"/>
  <c r="J131" i="484"/>
  <c r="Q346" i="484"/>
  <c r="Q35" i="484"/>
  <c r="Q172" i="484" s="1"/>
  <c r="Q204" i="484" s="1"/>
  <c r="Q55" i="484"/>
  <c r="Q32" i="484" s="1"/>
  <c r="Q47" i="484"/>
  <c r="Q57" i="484"/>
  <c r="I293" i="484"/>
  <c r="I277" i="484"/>
  <c r="J350" i="484"/>
  <c r="J262" i="484"/>
  <c r="J269" i="484"/>
  <c r="J259" i="484"/>
  <c r="J234" i="484"/>
  <c r="J196" i="484"/>
  <c r="J202" i="484"/>
  <c r="I160" i="484"/>
  <c r="K95" i="484"/>
  <c r="K16" i="484" s="1"/>
  <c r="K93" i="484"/>
  <c r="K15" i="484" s="1"/>
  <c r="K91" i="484"/>
  <c r="K14" i="484" s="1"/>
  <c r="P224" i="484"/>
  <c r="H248" i="484"/>
  <c r="H251" i="484"/>
  <c r="J213" i="484"/>
  <c r="J211" i="484"/>
  <c r="P52" i="484"/>
  <c r="P50" i="484"/>
  <c r="P48" i="484"/>
  <c r="P32" i="484"/>
  <c r="J345" i="484"/>
  <c r="J70" i="484"/>
  <c r="J5" i="484"/>
  <c r="J28" i="484"/>
  <c r="J29" i="484"/>
  <c r="J27" i="484"/>
  <c r="J23" i="484"/>
  <c r="L88" i="484"/>
  <c r="L90" i="484" s="1"/>
  <c r="L72" i="484"/>
  <c r="EO190" i="1"/>
  <c r="EU190" i="1"/>
  <c r="CD225" i="2"/>
  <c r="BO257" i="2" l="1"/>
  <c r="EU322" i="1"/>
  <c r="M78" i="484"/>
  <c r="M77" i="484" s="1"/>
  <c r="K211" i="484"/>
  <c r="K213" i="484"/>
  <c r="EQ45" i="3"/>
  <c r="L142" i="484"/>
  <c r="L180" i="484"/>
  <c r="ET37" i="3"/>
  <c r="ET33" i="3"/>
  <c r="BI252" i="2"/>
  <c r="AS245" i="2"/>
  <c r="AV249" i="2"/>
  <c r="CS177" i="1"/>
  <c r="CS169" i="1" s="1"/>
  <c r="CS170" i="1" s="1"/>
  <c r="CS180" i="1"/>
  <c r="DE108" i="2"/>
  <c r="DG108" i="2" s="1"/>
  <c r="DD109" i="2"/>
  <c r="DE109" i="2" s="1"/>
  <c r="I242" i="484"/>
  <c r="I243" i="484" s="1"/>
  <c r="R224" i="484"/>
  <c r="R52" i="484"/>
  <c r="R48" i="484"/>
  <c r="R50" i="484"/>
  <c r="N18" i="484"/>
  <c r="N186" i="484" s="1"/>
  <c r="N230" i="484" s="1"/>
  <c r="N228" i="484" s="1"/>
  <c r="DZ288" i="4"/>
  <c r="EA288" i="4"/>
  <c r="DZ85" i="3"/>
  <c r="DY288" i="4"/>
  <c r="L138" i="484"/>
  <c r="L137" i="484" s="1"/>
  <c r="DU545" i="4"/>
  <c r="DV545" i="4"/>
  <c r="DZ447" i="4"/>
  <c r="DZ91" i="3"/>
  <c r="DZ268" i="1"/>
  <c r="DZ457" i="4"/>
  <c r="BS148" i="3"/>
  <c r="BS147" i="3"/>
  <c r="BS152" i="3"/>
  <c r="BY153" i="3" s="1"/>
  <c r="DZ235" i="1"/>
  <c r="EL118" i="3"/>
  <c r="EM45" i="3"/>
  <c r="EG118" i="3"/>
  <c r="EH45" i="3"/>
  <c r="EK420" i="4"/>
  <c r="EL419" i="4"/>
  <c r="EK426" i="4"/>
  <c r="CS201" i="2"/>
  <c r="CS208" i="2" s="1"/>
  <c r="CV214" i="2"/>
  <c r="CV201" i="2" s="1"/>
  <c r="DE214" i="2"/>
  <c r="CX214" i="2"/>
  <c r="CX201" i="2" s="1"/>
  <c r="EI275" i="2"/>
  <c r="CU214" i="2"/>
  <c r="CU201" i="2" s="1"/>
  <c r="CW214" i="2"/>
  <c r="CW201" i="2" s="1"/>
  <c r="DC291" i="1"/>
  <c r="DB293" i="1"/>
  <c r="DB292" i="1"/>
  <c r="BW261" i="2"/>
  <c r="CC268" i="2"/>
  <c r="DZ219" i="1"/>
  <c r="BU176" i="2"/>
  <c r="BO179" i="2"/>
  <c r="BO180" i="2" s="1"/>
  <c r="R70" i="3"/>
  <c r="S66" i="3"/>
  <c r="S70" i="3" s="1"/>
  <c r="S72" i="3" s="1"/>
  <c r="BT145" i="3"/>
  <c r="BT139" i="3"/>
  <c r="AJ39" i="3"/>
  <c r="AJ85" i="3"/>
  <c r="BL139" i="3"/>
  <c r="BA139" i="3"/>
  <c r="BK139" i="3"/>
  <c r="AP85" i="3"/>
  <c r="AP39" i="3"/>
  <c r="AI143" i="3"/>
  <c r="AI149" i="3" s="1"/>
  <c r="AJ68" i="3"/>
  <c r="AJ141" i="3" s="1"/>
  <c r="AI72" i="3"/>
  <c r="BL66" i="3"/>
  <c r="BL40" i="3"/>
  <c r="AV66" i="3"/>
  <c r="AW39" i="3"/>
  <c r="AW85" i="3"/>
  <c r="AW113" i="3" s="1"/>
  <c r="AO139" i="3"/>
  <c r="AI139" i="3"/>
  <c r="BB39" i="3"/>
  <c r="BB85" i="3"/>
  <c r="R143" i="3"/>
  <c r="S141" i="3"/>
  <c r="BI139" i="3"/>
  <c r="AV139" i="3"/>
  <c r="BU139" i="3"/>
  <c r="BU145" i="3"/>
  <c r="BM39" i="3"/>
  <c r="BM85" i="3"/>
  <c r="BN10" i="3"/>
  <c r="BA66" i="3"/>
  <c r="BA40" i="3"/>
  <c r="DN148" i="3"/>
  <c r="DN147" i="3"/>
  <c r="DN152" i="3"/>
  <c r="DO66" i="3"/>
  <c r="DO40" i="3"/>
  <c r="DO145" i="3"/>
  <c r="DO139" i="3"/>
  <c r="DY145" i="3"/>
  <c r="DY139" i="3"/>
  <c r="DP91" i="3"/>
  <c r="DP39" i="3"/>
  <c r="DQ16" i="3"/>
  <c r="DQ39" i="3" s="1"/>
  <c r="DQ40" i="3" s="1"/>
  <c r="CC269" i="2"/>
  <c r="CD268" i="2" s="1"/>
  <c r="CD269" i="2" s="1"/>
  <c r="O181" i="484"/>
  <c r="P79" i="484"/>
  <c r="P12" i="484" s="1"/>
  <c r="O143" i="484"/>
  <c r="M74" i="484"/>
  <c r="M73" i="484" s="1"/>
  <c r="M88" i="484" s="1"/>
  <c r="M90" i="484" s="1"/>
  <c r="O182" i="484"/>
  <c r="L6" i="484"/>
  <c r="N19" i="484"/>
  <c r="N149" i="484" s="1"/>
  <c r="DT545" i="4"/>
  <c r="P80" i="484"/>
  <c r="P13" i="484" s="1"/>
  <c r="P182" i="484" s="1"/>
  <c r="DS545" i="4"/>
  <c r="L84" i="484"/>
  <c r="BI253" i="2"/>
  <c r="BK252" i="2"/>
  <c r="DJ106" i="2"/>
  <c r="AD232" i="2"/>
  <c r="AD233" i="2" s="1"/>
  <c r="DA223" i="2"/>
  <c r="CX223" i="2"/>
  <c r="AN240" i="2"/>
  <c r="DA116" i="2"/>
  <c r="DB113" i="2"/>
  <c r="DG222" i="2"/>
  <c r="DD222" i="2"/>
  <c r="DW293" i="2"/>
  <c r="DW292" i="2"/>
  <c r="DW151" i="2"/>
  <c r="AI236" i="2"/>
  <c r="DV151" i="2"/>
  <c r="DY141" i="2"/>
  <c r="DZ141" i="2" s="1"/>
  <c r="EA141" i="2" s="1"/>
  <c r="EB141" i="2" s="1"/>
  <c r="EB151" i="2" s="1"/>
  <c r="BX260" i="2"/>
  <c r="BX261" i="2" s="1"/>
  <c r="DN107" i="2"/>
  <c r="DM121" i="2"/>
  <c r="AT244" i="2"/>
  <c r="AT245" i="2" s="1"/>
  <c r="AY248" i="2"/>
  <c r="AW249" i="2"/>
  <c r="BU265" i="2"/>
  <c r="BW264" i="2"/>
  <c r="DZ221" i="2"/>
  <c r="EA221" i="2" s="1"/>
  <c r="DW221" i="2"/>
  <c r="BQ257" i="2"/>
  <c r="AE232" i="2"/>
  <c r="CD204" i="2"/>
  <c r="DZ313" i="1"/>
  <c r="DZ311" i="1"/>
  <c r="EM43" i="1"/>
  <c r="EI192" i="1"/>
  <c r="EB192" i="1"/>
  <c r="EA192" i="1" s="1"/>
  <c r="DZ192" i="1" s="1"/>
  <c r="DY192" i="1" s="1"/>
  <c r="AW126" i="1"/>
  <c r="BC126" i="1"/>
  <c r="EE155" i="1"/>
  <c r="EE158" i="1"/>
  <c r="EF200" i="2"/>
  <c r="EB195" i="1"/>
  <c r="L256" i="484"/>
  <c r="EO28" i="1"/>
  <c r="DT324" i="4"/>
  <c r="DT323" i="4"/>
  <c r="BK235" i="4"/>
  <c r="BK233" i="4"/>
  <c r="BL230" i="4"/>
  <c r="DP320" i="4"/>
  <c r="DT320" i="4"/>
  <c r="DT319" i="4"/>
  <c r="DH282" i="4"/>
  <c r="DH318" i="4" s="1"/>
  <c r="DN320" i="4" s="1"/>
  <c r="DI318" i="4"/>
  <c r="DJ319" i="4" s="1"/>
  <c r="DU318" i="4"/>
  <c r="DV282" i="4"/>
  <c r="DU280" i="4"/>
  <c r="DU322" i="4" s="1"/>
  <c r="DM319" i="4"/>
  <c r="N222" i="484"/>
  <c r="O177" i="484"/>
  <c r="O139" i="484"/>
  <c r="P75" i="484"/>
  <c r="P8" i="484" s="1"/>
  <c r="L95" i="484"/>
  <c r="L91" i="484"/>
  <c r="L93" i="484"/>
  <c r="H266" i="484"/>
  <c r="H253" i="484"/>
  <c r="H267" i="484" s="1"/>
  <c r="K17" i="484"/>
  <c r="K145" i="484"/>
  <c r="K183" i="484"/>
  <c r="K10" i="484"/>
  <c r="K64" i="484" s="1"/>
  <c r="L219" i="484"/>
  <c r="Q224" i="484"/>
  <c r="L209" i="484"/>
  <c r="J166" i="484"/>
  <c r="J164" i="484"/>
  <c r="J126" i="484"/>
  <c r="J165" i="484"/>
  <c r="J151" i="484"/>
  <c r="J162" i="484"/>
  <c r="J163" i="484"/>
  <c r="J161" i="484"/>
  <c r="J167" i="484"/>
  <c r="J168" i="484"/>
  <c r="J159" i="484"/>
  <c r="J158" i="484"/>
  <c r="J157" i="484"/>
  <c r="O178" i="484"/>
  <c r="O140" i="484"/>
  <c r="P76" i="484"/>
  <c r="P9" i="484" s="1"/>
  <c r="K184" i="484"/>
  <c r="K146" i="484"/>
  <c r="K21" i="484"/>
  <c r="Q50" i="484"/>
  <c r="Q52" i="484"/>
  <c r="Q48" i="484"/>
  <c r="J156" i="484"/>
  <c r="I247" i="484"/>
  <c r="I240" i="484"/>
  <c r="K214" i="484"/>
  <c r="L215" i="484" s="1"/>
  <c r="J212" i="484"/>
  <c r="J207" i="484" s="1"/>
  <c r="K147" i="484"/>
  <c r="K185" i="484"/>
  <c r="CE225" i="2"/>
  <c r="M11" i="484" l="1"/>
  <c r="N78" i="484" s="1"/>
  <c r="N77" i="484" s="1"/>
  <c r="EQ118" i="3"/>
  <c r="ER45" i="3"/>
  <c r="L60" i="484"/>
  <c r="ET108" i="3"/>
  <c r="EU108" i="3" s="1"/>
  <c r="EU33" i="3"/>
  <c r="EU37" i="3"/>
  <c r="ET112" i="3"/>
  <c r="EU112" i="3" s="1"/>
  <c r="CS176" i="1"/>
  <c r="DH108" i="2"/>
  <c r="DG109" i="2"/>
  <c r="N148" i="484"/>
  <c r="EA287" i="4"/>
  <c r="DZ287" i="4"/>
  <c r="DY287" i="4"/>
  <c r="DZ458" i="4"/>
  <c r="EA459" i="4"/>
  <c r="O81" i="484"/>
  <c r="O18" i="484" s="1"/>
  <c r="P81" i="484" s="1"/>
  <c r="P229" i="484" s="1"/>
  <c r="S18" i="484"/>
  <c r="EA545" i="4"/>
  <c r="EB545" i="4"/>
  <c r="S19" i="484"/>
  <c r="O82" i="484"/>
  <c r="O223" i="484" s="1"/>
  <c r="O222" i="484" s="1"/>
  <c r="N187" i="484"/>
  <c r="N190" i="484" s="1"/>
  <c r="M208" i="484"/>
  <c r="M72" i="484"/>
  <c r="M84" i="484" s="1"/>
  <c r="EO29" i="1"/>
  <c r="EA273" i="4"/>
  <c r="P144" i="484"/>
  <c r="Q80" i="484"/>
  <c r="Q13" i="484" s="1"/>
  <c r="DY286" i="4"/>
  <c r="M7" i="484"/>
  <c r="M138" i="484" s="1"/>
  <c r="EI277" i="4"/>
  <c r="EG277" i="4" s="1"/>
  <c r="EI276" i="4"/>
  <c r="EE276" i="4" s="1"/>
  <c r="EM118" i="3"/>
  <c r="EN45" i="3"/>
  <c r="EI45" i="3"/>
  <c r="EH118" i="3"/>
  <c r="EI118" i="3" s="1"/>
  <c r="EL426" i="4"/>
  <c r="EL420" i="4"/>
  <c r="EM419" i="4"/>
  <c r="DD291" i="1"/>
  <c r="DC293" i="1"/>
  <c r="DC292" i="1"/>
  <c r="DA214" i="2"/>
  <c r="DA201" i="2" s="1"/>
  <c r="DC214" i="2"/>
  <c r="DC201" i="2" s="1"/>
  <c r="DK214" i="2"/>
  <c r="DB214" i="2"/>
  <c r="DB201" i="2" s="1"/>
  <c r="DD214" i="2"/>
  <c r="DD201" i="2" s="1"/>
  <c r="EO275" i="2"/>
  <c r="CY201" i="2"/>
  <c r="CY208" i="2" s="1"/>
  <c r="CA176" i="2"/>
  <c r="BU179" i="2"/>
  <c r="BU180" i="2" s="1"/>
  <c r="BM113" i="3"/>
  <c r="BU148" i="3"/>
  <c r="BU147" i="3"/>
  <c r="BU152" i="3"/>
  <c r="BB113" i="3"/>
  <c r="BC85" i="3"/>
  <c r="BC113" i="3" s="1"/>
  <c r="AW139" i="3"/>
  <c r="AP66" i="3"/>
  <c r="AQ39" i="3"/>
  <c r="AJ113" i="3"/>
  <c r="AK85" i="3"/>
  <c r="AK113" i="3" s="1"/>
  <c r="BM66" i="3"/>
  <c r="BM40" i="3"/>
  <c r="BB66" i="3"/>
  <c r="BB40" i="3"/>
  <c r="AP113" i="3"/>
  <c r="AQ85" i="3"/>
  <c r="AQ113" i="3" s="1"/>
  <c r="AJ66" i="3"/>
  <c r="AJ70" i="3" s="1"/>
  <c r="AK39" i="3"/>
  <c r="R149" i="3"/>
  <c r="S143" i="3"/>
  <c r="S149" i="3" s="1"/>
  <c r="U141" i="3"/>
  <c r="U143" i="3" s="1"/>
  <c r="AW66" i="3"/>
  <c r="BN85" i="3"/>
  <c r="BN113" i="3" s="1"/>
  <c r="BN39" i="3"/>
  <c r="BT152" i="3"/>
  <c r="BZ153" i="3" s="1"/>
  <c r="BT148" i="3"/>
  <c r="BT147" i="3"/>
  <c r="R72" i="3"/>
  <c r="U68" i="3"/>
  <c r="DY148" i="3"/>
  <c r="DY152" i="3"/>
  <c r="DY153" i="3" s="1"/>
  <c r="DY147" i="3"/>
  <c r="DP66" i="3"/>
  <c r="DQ66" i="3" s="1"/>
  <c r="DP40" i="3"/>
  <c r="DT153" i="3"/>
  <c r="DN153" i="3"/>
  <c r="DQ91" i="3"/>
  <c r="DQ113" i="3" s="1"/>
  <c r="DP113" i="3"/>
  <c r="DO147" i="3"/>
  <c r="DO152" i="3"/>
  <c r="DO148" i="3"/>
  <c r="EC195" i="1"/>
  <c r="EC200" i="2"/>
  <c r="P181" i="484"/>
  <c r="Q79" i="484"/>
  <c r="Q12" i="484" s="1"/>
  <c r="P143" i="484"/>
  <c r="DZ273" i="4"/>
  <c r="DZ281" i="4"/>
  <c r="DY545" i="4"/>
  <c r="DZ545" i="4"/>
  <c r="CE268" i="2"/>
  <c r="CE269" i="2" s="1"/>
  <c r="CE202" i="2"/>
  <c r="CG202" i="2" s="1"/>
  <c r="BR256" i="2"/>
  <c r="DO107" i="2"/>
  <c r="DN121" i="2"/>
  <c r="BY260" i="2"/>
  <c r="DH222" i="2"/>
  <c r="DI222" i="2" s="1"/>
  <c r="DE222" i="2"/>
  <c r="DC113" i="2"/>
  <c r="DB116" i="2"/>
  <c r="DK106" i="2"/>
  <c r="DM106" i="2" s="1"/>
  <c r="DJ110" i="2"/>
  <c r="AU244" i="2"/>
  <c r="AU245" i="2" s="1"/>
  <c r="DY151" i="2"/>
  <c r="EE221" i="2"/>
  <c r="EB221" i="2"/>
  <c r="BW265" i="2"/>
  <c r="AN241" i="2"/>
  <c r="CY180" i="1"/>
  <c r="CY177" i="1"/>
  <c r="CY169" i="1" s="1"/>
  <c r="CY170" i="1" s="1"/>
  <c r="AG232" i="2"/>
  <c r="AE233" i="2"/>
  <c r="AY249" i="2"/>
  <c r="AI237" i="2"/>
  <c r="DB223" i="2"/>
  <c r="DC223" i="2" s="1"/>
  <c r="CY223" i="2"/>
  <c r="BK253" i="2"/>
  <c r="EF158" i="1"/>
  <c r="EG200" i="2"/>
  <c r="EF155" i="1"/>
  <c r="EO192" i="1"/>
  <c r="EH192" i="1"/>
  <c r="EG192" i="1" s="1"/>
  <c r="EF192" i="1" s="1"/>
  <c r="EE192" i="1" s="1"/>
  <c r="EN43" i="1"/>
  <c r="EB314" i="1"/>
  <c r="EA313" i="1"/>
  <c r="EA311" i="1"/>
  <c r="EB165" i="1"/>
  <c r="EE195" i="1"/>
  <c r="EE153" i="1"/>
  <c r="H254" i="484"/>
  <c r="H257" i="484" s="1"/>
  <c r="DU324" i="4"/>
  <c r="DU323" i="4"/>
  <c r="EF318" i="4"/>
  <c r="DV318" i="4"/>
  <c r="DW282" i="4"/>
  <c r="DV280" i="4"/>
  <c r="BL233" i="4"/>
  <c r="BM230" i="4"/>
  <c r="BL235" i="4"/>
  <c r="DU320" i="4"/>
  <c r="DU319" i="4"/>
  <c r="DI319" i="4"/>
  <c r="DO320" i="4"/>
  <c r="BK239" i="4"/>
  <c r="BK236" i="4"/>
  <c r="J239" i="484"/>
  <c r="J242" i="484"/>
  <c r="I248" i="484"/>
  <c r="I251" i="484"/>
  <c r="K141" i="484"/>
  <c r="M95" i="484"/>
  <c r="M119" i="484" s="1"/>
  <c r="M93" i="484"/>
  <c r="M117" i="484" s="1"/>
  <c r="M91" i="484"/>
  <c r="L14" i="484"/>
  <c r="P178" i="484"/>
  <c r="P140" i="484"/>
  <c r="Q76" i="484"/>
  <c r="Q9" i="484" s="1"/>
  <c r="R76" i="484" s="1"/>
  <c r="J127" i="484"/>
  <c r="L16" i="484"/>
  <c r="L213" i="484"/>
  <c r="L211" i="484"/>
  <c r="K4" i="484"/>
  <c r="K131" i="484"/>
  <c r="P139" i="484"/>
  <c r="P177" i="484"/>
  <c r="Q75" i="484"/>
  <c r="Q8" i="484" s="1"/>
  <c r="R75" i="484" s="1"/>
  <c r="R8" i="484" s="1"/>
  <c r="K212" i="484"/>
  <c r="K207" i="484" s="1"/>
  <c r="L214" i="484"/>
  <c r="M215" i="484" s="1"/>
  <c r="J160" i="484"/>
  <c r="J349" i="484"/>
  <c r="K179" i="484"/>
  <c r="L15" i="484"/>
  <c r="CF225" i="2"/>
  <c r="N11" i="484" l="1"/>
  <c r="O78" i="484" s="1"/>
  <c r="O77" i="484" s="1"/>
  <c r="EN192" i="1"/>
  <c r="EM192" i="1" s="1"/>
  <c r="EL192" i="1" s="1"/>
  <c r="EK192" i="1" s="1"/>
  <c r="EU192" i="1"/>
  <c r="ET192" i="1" s="1"/>
  <c r="ES192" i="1" s="1"/>
  <c r="ER192" i="1" s="1"/>
  <c r="EQ192" i="1" s="1"/>
  <c r="M180" i="484"/>
  <c r="M22" i="484"/>
  <c r="M142" i="484"/>
  <c r="ES45" i="3"/>
  <c r="ER118" i="3"/>
  <c r="K27" i="484"/>
  <c r="EE545" i="4"/>
  <c r="DI108" i="2"/>
  <c r="DH109" i="2"/>
  <c r="R177" i="484"/>
  <c r="R139" i="484"/>
  <c r="R79" i="484"/>
  <c r="R12" i="484" s="1"/>
  <c r="R80" i="484"/>
  <c r="R13" i="484" s="1"/>
  <c r="R9" i="484"/>
  <c r="O148" i="484"/>
  <c r="P18" i="484"/>
  <c r="P186" i="484" s="1"/>
  <c r="P230" i="484" s="1"/>
  <c r="O186" i="484"/>
  <c r="O229" i="484"/>
  <c r="DZ286" i="4"/>
  <c r="EB286" i="4" s="1"/>
  <c r="EA286" i="4"/>
  <c r="O19" i="484"/>
  <c r="O187" i="484" s="1"/>
  <c r="O190" i="484" s="1"/>
  <c r="M6" i="484"/>
  <c r="M60" i="484" s="1"/>
  <c r="N74" i="484"/>
  <c r="N73" i="484" s="1"/>
  <c r="M176" i="484"/>
  <c r="M175" i="484" s="1"/>
  <c r="M209" i="484" s="1"/>
  <c r="EF277" i="4"/>
  <c r="EI273" i="4"/>
  <c r="EI285" i="4" s="1"/>
  <c r="EH285" i="4" s="1"/>
  <c r="N22" i="484"/>
  <c r="EF276" i="4"/>
  <c r="EH276" i="4"/>
  <c r="Q182" i="484"/>
  <c r="Q144" i="484"/>
  <c r="EG276" i="4"/>
  <c r="EG273" i="4" s="1"/>
  <c r="EE277" i="4"/>
  <c r="EE273" i="4" s="1"/>
  <c r="EH277" i="4"/>
  <c r="EN118" i="3"/>
  <c r="EO118" i="3" s="1"/>
  <c r="EO45" i="3"/>
  <c r="EN419" i="4"/>
  <c r="EM426" i="4"/>
  <c r="EM420" i="4"/>
  <c r="DE291" i="1"/>
  <c r="DE172" i="1"/>
  <c r="DE174" i="1" s="1"/>
  <c r="DG291" i="1"/>
  <c r="DE201" i="2"/>
  <c r="DE208" i="2" s="1"/>
  <c r="DD293" i="1"/>
  <c r="DE293" i="1" s="1"/>
  <c r="DD292" i="1"/>
  <c r="DE292" i="1" s="1"/>
  <c r="DQ214" i="2"/>
  <c r="DG214" i="2"/>
  <c r="DG201" i="2" s="1"/>
  <c r="DH214" i="2"/>
  <c r="DH201" i="2" s="1"/>
  <c r="DJ214" i="2"/>
  <c r="DI214" i="2"/>
  <c r="CG176" i="2"/>
  <c r="CA179" i="2"/>
  <c r="CA180" i="2" s="1"/>
  <c r="BN139" i="3"/>
  <c r="AJ139" i="3"/>
  <c r="U149" i="3"/>
  <c r="V141" i="3"/>
  <c r="V143" i="3" s="1"/>
  <c r="AK66" i="3"/>
  <c r="AK70" i="3" s="1"/>
  <c r="AQ139" i="3"/>
  <c r="AQ150" i="3" s="1"/>
  <c r="BC139" i="3"/>
  <c r="V68" i="3"/>
  <c r="U70" i="3"/>
  <c r="U72" i="3" s="1"/>
  <c r="AJ143" i="3"/>
  <c r="AJ149" i="3" s="1"/>
  <c r="AJ72" i="3"/>
  <c r="AM68" i="3"/>
  <c r="AP70" i="3" s="1"/>
  <c r="AP139" i="3"/>
  <c r="BC66" i="3"/>
  <c r="AQ66" i="3"/>
  <c r="BB139" i="3"/>
  <c r="BO85" i="3"/>
  <c r="BO113" i="3" s="1"/>
  <c r="BN66" i="3"/>
  <c r="BO66" i="3" s="1"/>
  <c r="BN40" i="3"/>
  <c r="AK139" i="3"/>
  <c r="CA153" i="3"/>
  <c r="BM139" i="3"/>
  <c r="EC210" i="2"/>
  <c r="EC212" i="2"/>
  <c r="DP145" i="3"/>
  <c r="DP139" i="3"/>
  <c r="DQ139" i="3"/>
  <c r="DQ145" i="3"/>
  <c r="DU153" i="3"/>
  <c r="DO153" i="3"/>
  <c r="Q181" i="484"/>
  <c r="Q143" i="484"/>
  <c r="N180" i="484"/>
  <c r="N142" i="484"/>
  <c r="EA281" i="4"/>
  <c r="DZ303" i="4"/>
  <c r="DZ306" i="4"/>
  <c r="DZ302" i="4"/>
  <c r="AV244" i="2"/>
  <c r="AV245" i="2" s="1"/>
  <c r="CF268" i="2"/>
  <c r="CG268" i="2" s="1"/>
  <c r="AO240" i="2"/>
  <c r="AO241" i="2" s="1"/>
  <c r="BX264" i="2"/>
  <c r="DD113" i="2"/>
  <c r="DC116" i="2"/>
  <c r="DO121" i="2"/>
  <c r="DP107" i="2"/>
  <c r="CG209" i="2"/>
  <c r="CG204" i="2"/>
  <c r="BL252" i="2"/>
  <c r="BL253" i="2" s="1"/>
  <c r="AJ236" i="2"/>
  <c r="AK236" i="2" s="1"/>
  <c r="EF221" i="2"/>
  <c r="EG221" i="2" s="1"/>
  <c r="EC221" i="2"/>
  <c r="CE204" i="2"/>
  <c r="AG233" i="2"/>
  <c r="CY176" i="1"/>
  <c r="DM110" i="2"/>
  <c r="DN110" i="2" s="1"/>
  <c r="DO110" i="2" s="1"/>
  <c r="DP110" i="2" s="1"/>
  <c r="DN106" i="2"/>
  <c r="DM222" i="2"/>
  <c r="DJ222" i="2"/>
  <c r="BY261" i="2"/>
  <c r="DG223" i="2"/>
  <c r="DD223" i="2"/>
  <c r="AZ248" i="2"/>
  <c r="CG285" i="2"/>
  <c r="BR257" i="2"/>
  <c r="EO43" i="1"/>
  <c r="EO44" i="1" s="1"/>
  <c r="EF195" i="1"/>
  <c r="EF153" i="1"/>
  <c r="EG155" i="1"/>
  <c r="EG158" i="1"/>
  <c r="EE165" i="1"/>
  <c r="EC165" i="1"/>
  <c r="EE314" i="1"/>
  <c r="EB313" i="1"/>
  <c r="BM233" i="4"/>
  <c r="BN230" i="4"/>
  <c r="BM235" i="4"/>
  <c r="EL318" i="4"/>
  <c r="DW280" i="4"/>
  <c r="DY280" i="4" s="1"/>
  <c r="DV322" i="4"/>
  <c r="BK237" i="4"/>
  <c r="BL239" i="4"/>
  <c r="BL236" i="4"/>
  <c r="BL237" i="4" s="1"/>
  <c r="DV320" i="4"/>
  <c r="DV319" i="4"/>
  <c r="Q177" i="484"/>
  <c r="Q139" i="484"/>
  <c r="L146" i="484"/>
  <c r="L184" i="484"/>
  <c r="Q140" i="484"/>
  <c r="Q178" i="484"/>
  <c r="L17" i="484"/>
  <c r="L183" i="484"/>
  <c r="L145" i="484"/>
  <c r="L10" i="484"/>
  <c r="L21" i="484"/>
  <c r="K134" i="484"/>
  <c r="K150" i="484"/>
  <c r="I266" i="484"/>
  <c r="J266" i="484" s="1"/>
  <c r="I253" i="484"/>
  <c r="I267" i="484" s="1"/>
  <c r="J247" i="484"/>
  <c r="J240" i="484"/>
  <c r="M120" i="484"/>
  <c r="M14" i="484"/>
  <c r="M137" i="484"/>
  <c r="M214" i="484"/>
  <c r="N215" i="484" s="1"/>
  <c r="L212" i="484"/>
  <c r="L207" i="484" s="1"/>
  <c r="J348" i="484"/>
  <c r="M15" i="484"/>
  <c r="M184" i="484" s="1"/>
  <c r="K220" i="484"/>
  <c r="K174" i="484"/>
  <c r="K195" i="484"/>
  <c r="M118" i="484"/>
  <c r="K345" i="484"/>
  <c r="K70" i="484"/>
  <c r="K5" i="484"/>
  <c r="K28" i="484"/>
  <c r="K29" i="484"/>
  <c r="K23" i="484"/>
  <c r="K26" i="484"/>
  <c r="L185" i="484"/>
  <c r="L147" i="484"/>
  <c r="O11" i="484"/>
  <c r="M115" i="484"/>
  <c r="M219" i="484" s="1"/>
  <c r="M16" i="484"/>
  <c r="M185" i="484" s="1"/>
  <c r="J243" i="484"/>
  <c r="CG225" i="2"/>
  <c r="ES118" i="3" l="1"/>
  <c r="ET45" i="3"/>
  <c r="L64" i="484"/>
  <c r="EA349" i="4"/>
  <c r="EB349" i="4"/>
  <c r="AW244" i="2"/>
  <c r="DJ108" i="2"/>
  <c r="DI109" i="2"/>
  <c r="R144" i="484"/>
  <c r="R182" i="484"/>
  <c r="R143" i="484"/>
  <c r="R181" i="484"/>
  <c r="R178" i="484"/>
  <c r="R140" i="484"/>
  <c r="P148" i="484"/>
  <c r="O230" i="484"/>
  <c r="O228" i="484" s="1"/>
  <c r="Q81" i="484"/>
  <c r="Q229" i="484" s="1"/>
  <c r="EA303" i="4"/>
  <c r="EA314" i="4"/>
  <c r="N208" i="484"/>
  <c r="P82" i="484"/>
  <c r="P19" i="484" s="1"/>
  <c r="P187" i="484" s="1"/>
  <c r="P190" i="484" s="1"/>
  <c r="O149" i="484"/>
  <c r="N72" i="484"/>
  <c r="EH200" i="2"/>
  <c r="N7" i="484"/>
  <c r="N138" i="484" s="1"/>
  <c r="N137" i="484" s="1"/>
  <c r="N88" i="484"/>
  <c r="N90" i="484" s="1"/>
  <c r="N95" i="484" s="1"/>
  <c r="EO277" i="4"/>
  <c r="EM277" i="4" s="1"/>
  <c r="EF273" i="4"/>
  <c r="EF285" i="4"/>
  <c r="EE285" i="4"/>
  <c r="EF165" i="1"/>
  <c r="EG285" i="4"/>
  <c r="EH273" i="4"/>
  <c r="DZ349" i="4"/>
  <c r="DY349" i="4"/>
  <c r="EC347" i="4"/>
  <c r="EI296" i="4"/>
  <c r="EO419" i="4"/>
  <c r="EO420" i="4" s="1"/>
  <c r="EN426" i="4"/>
  <c r="EO426" i="4" s="1"/>
  <c r="EN420" i="4"/>
  <c r="DN214" i="2"/>
  <c r="DO214" i="2"/>
  <c r="DP214" i="2"/>
  <c r="DW214" i="2"/>
  <c r="DM214" i="2"/>
  <c r="DG293" i="1"/>
  <c r="DG292" i="1"/>
  <c r="DH291" i="1"/>
  <c r="CM176" i="2"/>
  <c r="CG179" i="2"/>
  <c r="CG180" i="2" s="1"/>
  <c r="BO139" i="3"/>
  <c r="BO145" i="3"/>
  <c r="AN68" i="3"/>
  <c r="AM141" i="3"/>
  <c r="AM70" i="3"/>
  <c r="AN70" i="3"/>
  <c r="AO70" i="3"/>
  <c r="W68" i="3"/>
  <c r="V70" i="3"/>
  <c r="V72" i="3" s="1"/>
  <c r="AK143" i="3"/>
  <c r="AK149" i="3" s="1"/>
  <c r="AQ68" i="3"/>
  <c r="AQ141" i="3" s="1"/>
  <c r="AK72" i="3"/>
  <c r="W141" i="3"/>
  <c r="W143" i="3" s="1"/>
  <c r="V149" i="3"/>
  <c r="AP72" i="3"/>
  <c r="AP143" i="3"/>
  <c r="AP149" i="3" s="1"/>
  <c r="AS68" i="3"/>
  <c r="DP152" i="3"/>
  <c r="DP148" i="3"/>
  <c r="DP147" i="3"/>
  <c r="DQ148" i="3"/>
  <c r="DQ152" i="3"/>
  <c r="DQ147" i="3"/>
  <c r="DW146" i="3"/>
  <c r="DQ146" i="3"/>
  <c r="CF269" i="2"/>
  <c r="CI268" i="2" s="1"/>
  <c r="EA302" i="4"/>
  <c r="M21" i="484"/>
  <c r="M146" i="484"/>
  <c r="DZ307" i="4"/>
  <c r="DZ308" i="4"/>
  <c r="DZ310" i="4"/>
  <c r="CG228" i="2"/>
  <c r="DQ274" i="2" s="1"/>
  <c r="BM252" i="2"/>
  <c r="BM253" i="2" s="1"/>
  <c r="AP240" i="2"/>
  <c r="AP241" i="2" s="1"/>
  <c r="AQ241" i="2" s="1"/>
  <c r="AY244" i="2"/>
  <c r="AW245" i="2"/>
  <c r="AY245" i="2" s="1"/>
  <c r="DN222" i="2"/>
  <c r="DO222" i="2" s="1"/>
  <c r="DK222" i="2"/>
  <c r="AZ249" i="2"/>
  <c r="BZ260" i="2"/>
  <c r="CA260" i="2" s="1"/>
  <c r="CG211" i="2"/>
  <c r="CI202" i="2"/>
  <c r="EC141" i="2"/>
  <c r="DD116" i="2"/>
  <c r="DE116" i="2" s="1"/>
  <c r="DE113" i="2"/>
  <c r="DG113" i="2" s="1"/>
  <c r="AQ240" i="2"/>
  <c r="BS256" i="2"/>
  <c r="DH223" i="2"/>
  <c r="DI223" i="2" s="1"/>
  <c r="DE223" i="2"/>
  <c r="AH232" i="2"/>
  <c r="AH233" i="2" s="1"/>
  <c r="DP121" i="2"/>
  <c r="DQ121" i="2" s="1"/>
  <c r="DQ107" i="2"/>
  <c r="DS107" i="2" s="1"/>
  <c r="DE180" i="1"/>
  <c r="DE177" i="1"/>
  <c r="DE169" i="1" s="1"/>
  <c r="DE170" i="1" s="1"/>
  <c r="DQ276" i="2"/>
  <c r="CG291" i="2"/>
  <c r="CG277" i="2"/>
  <c r="CG278" i="2" s="1"/>
  <c r="CG279" i="2" s="1"/>
  <c r="DO106" i="2"/>
  <c r="EK221" i="2"/>
  <c r="EH221" i="2"/>
  <c r="AJ237" i="2"/>
  <c r="AK237" i="2" s="1"/>
  <c r="BX265" i="2"/>
  <c r="EG195" i="1"/>
  <c r="EG153" i="1"/>
  <c r="EE313" i="1"/>
  <c r="EF314" i="1"/>
  <c r="EH155" i="1"/>
  <c r="EH158" i="1"/>
  <c r="EI157" i="1"/>
  <c r="DY282" i="4"/>
  <c r="DY322" i="4"/>
  <c r="DZ280" i="4"/>
  <c r="EA280" i="4" s="1"/>
  <c r="BN235" i="4"/>
  <c r="BO230" i="4"/>
  <c r="BN233" i="4"/>
  <c r="BM239" i="4"/>
  <c r="BM236" i="4"/>
  <c r="BM237" i="4" s="1"/>
  <c r="DI201" i="2"/>
  <c r="EH318" i="4"/>
  <c r="DV324" i="4"/>
  <c r="DV323" i="4"/>
  <c r="L141" i="484"/>
  <c r="L131" i="484"/>
  <c r="M17" i="484"/>
  <c r="M10" i="484"/>
  <c r="M4" i="484" s="1"/>
  <c r="M147" i="484"/>
  <c r="L179" i="484"/>
  <c r="K218" i="484"/>
  <c r="I254" i="484"/>
  <c r="I257" i="484" s="1"/>
  <c r="K151" i="484"/>
  <c r="K126" i="484"/>
  <c r="K163" i="484"/>
  <c r="K162" i="484"/>
  <c r="K168" i="484"/>
  <c r="K158" i="484"/>
  <c r="K159" i="484"/>
  <c r="K167" i="484"/>
  <c r="K161" i="484"/>
  <c r="K157" i="484"/>
  <c r="K156" i="484"/>
  <c r="K166" i="484"/>
  <c r="K164" i="484"/>
  <c r="K165" i="484"/>
  <c r="P78" i="484"/>
  <c r="O22" i="484"/>
  <c r="O180" i="484"/>
  <c r="O142" i="484"/>
  <c r="M213" i="484"/>
  <c r="M211" i="484"/>
  <c r="M183" i="484"/>
  <c r="M179" i="484" s="1"/>
  <c r="M116" i="484"/>
  <c r="M145" i="484"/>
  <c r="K350" i="484"/>
  <c r="K259" i="484"/>
  <c r="K234" i="484"/>
  <c r="K262" i="484"/>
  <c r="K196" i="484"/>
  <c r="K202" i="484"/>
  <c r="K269" i="484"/>
  <c r="J251" i="484"/>
  <c r="J265" i="484" s="1"/>
  <c r="J272" i="484" s="1"/>
  <c r="J276" i="484" s="1"/>
  <c r="J248" i="484"/>
  <c r="L4" i="484"/>
  <c r="CI225" i="2"/>
  <c r="EU45" i="3" l="1"/>
  <c r="ET118" i="3"/>
  <c r="EU118" i="3" s="1"/>
  <c r="L27" i="484"/>
  <c r="DK108" i="2"/>
  <c r="DM108" i="2" s="1"/>
  <c r="DJ109" i="2"/>
  <c r="DK109" i="2" s="1"/>
  <c r="P77" i="484"/>
  <c r="EK200" i="2"/>
  <c r="Q18" i="484"/>
  <c r="P228" i="484"/>
  <c r="EA315" i="4"/>
  <c r="EA316" i="4"/>
  <c r="EG314" i="4"/>
  <c r="P149" i="484"/>
  <c r="P223" i="484"/>
  <c r="P222" i="484" s="1"/>
  <c r="Q82" i="484"/>
  <c r="Q19" i="484" s="1"/>
  <c r="BZ261" i="2"/>
  <c r="CC260" i="2" s="1"/>
  <c r="N91" i="484"/>
  <c r="N115" i="484" s="1"/>
  <c r="N84" i="484"/>
  <c r="N176" i="484"/>
  <c r="N175" i="484" s="1"/>
  <c r="N209" i="484" s="1"/>
  <c r="N213" i="484" s="1"/>
  <c r="O74" i="484"/>
  <c r="O73" i="484" s="1"/>
  <c r="EO276" i="4"/>
  <c r="EL276" i="4" s="1"/>
  <c r="N93" i="484"/>
  <c r="N117" i="484" s="1"/>
  <c r="N6" i="484"/>
  <c r="N60" i="484" s="1"/>
  <c r="EL277" i="4"/>
  <c r="EK277" i="4"/>
  <c r="EN277" i="4"/>
  <c r="EO296" i="4"/>
  <c r="DU214" i="2"/>
  <c r="EC214" i="2"/>
  <c r="DV214" i="2"/>
  <c r="DT214" i="2"/>
  <c r="DS214" i="2"/>
  <c r="DI291" i="1"/>
  <c r="DH292" i="1"/>
  <c r="DH293" i="1"/>
  <c r="CS176" i="2"/>
  <c r="CM179" i="2"/>
  <c r="CM180" i="2" s="1"/>
  <c r="W149" i="3"/>
  <c r="X141" i="3"/>
  <c r="AM143" i="3"/>
  <c r="AM149" i="3" s="1"/>
  <c r="AM72" i="3"/>
  <c r="W70" i="3"/>
  <c r="W72" i="3" s="1"/>
  <c r="X68" i="3"/>
  <c r="X70" i="3" s="1"/>
  <c r="AS141" i="3"/>
  <c r="AT70" i="3"/>
  <c r="AS70" i="3"/>
  <c r="AU70" i="3"/>
  <c r="AV70" i="3"/>
  <c r="AO143" i="3"/>
  <c r="AO149" i="3" s="1"/>
  <c r="AO72" i="3"/>
  <c r="AN141" i="3"/>
  <c r="AO68" i="3"/>
  <c r="AQ70" i="3"/>
  <c r="AN72" i="3"/>
  <c r="AN143" i="3"/>
  <c r="AN149" i="3" s="1"/>
  <c r="BO147" i="3"/>
  <c r="BO148" i="3"/>
  <c r="BO152" i="3"/>
  <c r="DW153" i="3"/>
  <c r="DQ153" i="3"/>
  <c r="DV153" i="3"/>
  <c r="DP153" i="3"/>
  <c r="CG269" i="2"/>
  <c r="CI269" i="2" s="1"/>
  <c r="CJ268" i="2" s="1"/>
  <c r="P11" i="484"/>
  <c r="P180" i="484" s="1"/>
  <c r="M131" i="484"/>
  <c r="DZ312" i="4"/>
  <c r="DZ311" i="4"/>
  <c r="AI232" i="2"/>
  <c r="AI233" i="2" s="1"/>
  <c r="DJ223" i="2"/>
  <c r="DM223" i="2"/>
  <c r="DG116" i="2"/>
  <c r="DH113" i="2"/>
  <c r="AS240" i="2"/>
  <c r="AS241" i="2" s="1"/>
  <c r="AM236" i="2"/>
  <c r="DT107" i="2"/>
  <c r="DS121" i="2"/>
  <c r="EC292" i="2"/>
  <c r="EC293" i="2"/>
  <c r="CI204" i="2"/>
  <c r="BA248" i="2"/>
  <c r="BA249" i="2" s="1"/>
  <c r="AZ244" i="2"/>
  <c r="AZ245" i="2" s="1"/>
  <c r="BN252" i="2"/>
  <c r="BO252" i="2" s="1"/>
  <c r="EL221" i="2"/>
  <c r="EM221" i="2" s="1"/>
  <c r="EN221" i="2" s="1"/>
  <c r="EO221" i="2" s="1"/>
  <c r="EI221" i="2"/>
  <c r="DP106" i="2"/>
  <c r="BS257" i="2"/>
  <c r="BY264" i="2"/>
  <c r="BY265" i="2" s="1"/>
  <c r="DE176" i="1"/>
  <c r="DS222" i="2"/>
  <c r="DP222" i="2"/>
  <c r="EI158" i="1"/>
  <c r="EH195" i="1"/>
  <c r="EH153" i="1"/>
  <c r="EI155" i="1"/>
  <c r="EK155" i="1"/>
  <c r="EK158" i="1"/>
  <c r="EL200" i="2"/>
  <c r="EG314" i="1"/>
  <c r="EF313" i="1"/>
  <c r="EG165" i="1"/>
  <c r="EN318" i="4"/>
  <c r="BQ230" i="4"/>
  <c r="BO229" i="4"/>
  <c r="BN239" i="4"/>
  <c r="BN236" i="4"/>
  <c r="BO235" i="4"/>
  <c r="DY324" i="4"/>
  <c r="DY323" i="4"/>
  <c r="DY318" i="4"/>
  <c r="DZ282" i="4"/>
  <c r="J293" i="484"/>
  <c r="J277" i="484"/>
  <c r="L345" i="484"/>
  <c r="L70" i="484"/>
  <c r="L5" i="484"/>
  <c r="L28" i="484"/>
  <c r="L29" i="484"/>
  <c r="L23" i="484"/>
  <c r="L26" i="484"/>
  <c r="K349" i="484"/>
  <c r="M27" i="484"/>
  <c r="L134" i="484"/>
  <c r="L150" i="484"/>
  <c r="M220" i="484"/>
  <c r="M195" i="484"/>
  <c r="M174" i="484"/>
  <c r="J353" i="484"/>
  <c r="L220" i="484"/>
  <c r="L174" i="484"/>
  <c r="L195" i="484"/>
  <c r="M64" i="484"/>
  <c r="N16" i="484"/>
  <c r="N119" i="484"/>
  <c r="J253" i="484"/>
  <c r="J267" i="484" s="1"/>
  <c r="M141" i="484"/>
  <c r="M212" i="484"/>
  <c r="M207" i="484" s="1"/>
  <c r="EI346" i="4" s="1"/>
  <c r="N214" i="484"/>
  <c r="O215" i="484" s="1"/>
  <c r="K160" i="484"/>
  <c r="K127" i="484"/>
  <c r="K242" i="484"/>
  <c r="K238" i="484"/>
  <c r="K239" i="484"/>
  <c r="CJ225" i="2"/>
  <c r="EI412" i="4" l="1"/>
  <c r="EH412" i="4" s="1"/>
  <c r="EE555" i="4"/>
  <c r="O72" i="484"/>
  <c r="EU277" i="4"/>
  <c r="DN108" i="2"/>
  <c r="DM109" i="2"/>
  <c r="Q148" i="484"/>
  <c r="R81" i="484"/>
  <c r="R229" i="484" s="1"/>
  <c r="Q149" i="484"/>
  <c r="R82" i="484"/>
  <c r="R223" i="484" s="1"/>
  <c r="T18" i="484"/>
  <c r="Q186" i="484"/>
  <c r="Q230" i="484" s="1"/>
  <c r="Q228" i="484" s="1"/>
  <c r="EE280" i="4"/>
  <c r="EF280" i="4" s="1"/>
  <c r="EG280" i="4" s="1"/>
  <c r="EH280" i="4" s="1"/>
  <c r="EI280" i="4" s="1"/>
  <c r="EM314" i="4"/>
  <c r="EG315" i="4"/>
  <c r="EH315" i="4"/>
  <c r="T19" i="484"/>
  <c r="O208" i="484"/>
  <c r="Q187" i="484"/>
  <c r="Q190" i="484" s="1"/>
  <c r="Q223" i="484"/>
  <c r="CA261" i="2"/>
  <c r="N14" i="484"/>
  <c r="N183" i="484" s="1"/>
  <c r="N211" i="484"/>
  <c r="EN276" i="4"/>
  <c r="EN273" i="4" s="1"/>
  <c r="N15" i="484"/>
  <c r="S6" i="484"/>
  <c r="EK276" i="4"/>
  <c r="EK273" i="4" s="1"/>
  <c r="EO273" i="4"/>
  <c r="EO285" i="4" s="1"/>
  <c r="EM276" i="4"/>
  <c r="EM273" i="4" s="1"/>
  <c r="EL273" i="4"/>
  <c r="O7" i="484"/>
  <c r="O6" i="484" s="1"/>
  <c r="O88" i="484"/>
  <c r="O90" i="484" s="1"/>
  <c r="EH165" i="1"/>
  <c r="EF346" i="4"/>
  <c r="EE346" i="4"/>
  <c r="EE18" i="1" s="1"/>
  <c r="EE20" i="1" s="1"/>
  <c r="EG346" i="4"/>
  <c r="EI347" i="4"/>
  <c r="EA20" i="1"/>
  <c r="EA19" i="1"/>
  <c r="EC18" i="1"/>
  <c r="DZ415" i="4"/>
  <c r="DY415" i="4"/>
  <c r="EI301" i="4"/>
  <c r="EI153" i="1"/>
  <c r="DI293" i="1"/>
  <c r="DI292" i="1"/>
  <c r="EA214" i="2"/>
  <c r="DZ214" i="2"/>
  <c r="EB214" i="2"/>
  <c r="DY214" i="2"/>
  <c r="EI214" i="2"/>
  <c r="DJ291" i="1"/>
  <c r="DJ201" i="2"/>
  <c r="DK201" i="2" s="1"/>
  <c r="DK208" i="2" s="1"/>
  <c r="CY176" i="2"/>
  <c r="CS179" i="2"/>
  <c r="CS180" i="2" s="1"/>
  <c r="AU143" i="3"/>
  <c r="AU149" i="3" s="1"/>
  <c r="AV68" i="3"/>
  <c r="AV141" i="3" s="1"/>
  <c r="AU72" i="3"/>
  <c r="BO153" i="3"/>
  <c r="BU153" i="3"/>
  <c r="AS72" i="3"/>
  <c r="AS143" i="3"/>
  <c r="AS149" i="3" s="1"/>
  <c r="AT68" i="3"/>
  <c r="AT141" i="3" s="1"/>
  <c r="AQ72" i="3"/>
  <c r="AQ143" i="3"/>
  <c r="AQ149" i="3" s="1"/>
  <c r="AW68" i="3"/>
  <c r="AT143" i="3"/>
  <c r="AT149" i="3" s="1"/>
  <c r="AT72" i="3"/>
  <c r="AU68" i="3"/>
  <c r="AU141" i="3" s="1"/>
  <c r="Y70" i="3"/>
  <c r="Y72" i="3" s="1"/>
  <c r="AA68" i="3"/>
  <c r="X72" i="3"/>
  <c r="X143" i="3"/>
  <c r="Y141" i="3"/>
  <c r="AO141" i="3"/>
  <c r="AP68" i="3"/>
  <c r="AP141" i="3" s="1"/>
  <c r="AV72" i="3"/>
  <c r="AV143" i="3"/>
  <c r="AV149" i="3" s="1"/>
  <c r="AY68" i="3"/>
  <c r="EI195" i="1"/>
  <c r="EI200" i="2"/>
  <c r="CJ269" i="2"/>
  <c r="CK268" i="2" s="1"/>
  <c r="Q78" i="484"/>
  <c r="Q77" i="484" s="1"/>
  <c r="P142" i="484"/>
  <c r="P22" i="484"/>
  <c r="BA244" i="2"/>
  <c r="AJ232" i="2"/>
  <c r="AJ233" i="2" s="1"/>
  <c r="BZ264" i="2"/>
  <c r="BZ265" i="2" s="1"/>
  <c r="EE151" i="2"/>
  <c r="AT240" i="2"/>
  <c r="AT241" i="2" s="1"/>
  <c r="DQ106" i="2"/>
  <c r="DS106" i="2" s="1"/>
  <c r="BT256" i="2"/>
  <c r="BU256" i="2" s="1"/>
  <c r="BB248" i="2"/>
  <c r="BC248" i="2" s="1"/>
  <c r="DT222" i="2"/>
  <c r="DU222" i="2" s="1"/>
  <c r="DQ222" i="2"/>
  <c r="DK177" i="1"/>
  <c r="DK180" i="1"/>
  <c r="BN253" i="2"/>
  <c r="DN223" i="2"/>
  <c r="DO223" i="2" s="1"/>
  <c r="DK223" i="2"/>
  <c r="CC261" i="2"/>
  <c r="CJ202" i="2"/>
  <c r="CJ204" i="2" s="1"/>
  <c r="DU107" i="2"/>
  <c r="DT121" i="2"/>
  <c r="AM237" i="2"/>
  <c r="DI113" i="2"/>
  <c r="DH116" i="2"/>
  <c r="EH314" i="1"/>
  <c r="EG313" i="1"/>
  <c r="EK195" i="1"/>
  <c r="EK153" i="1"/>
  <c r="EL155" i="1"/>
  <c r="EL158" i="1"/>
  <c r="EM200" i="2"/>
  <c r="DY320" i="4"/>
  <c r="EE318" i="4"/>
  <c r="DY319" i="4"/>
  <c r="BN237" i="4"/>
  <c r="BO236" i="4"/>
  <c r="EA282" i="4"/>
  <c r="EA318" i="4" s="1"/>
  <c r="BQ235" i="4"/>
  <c r="BQ233" i="4"/>
  <c r="BR230" i="4"/>
  <c r="K240" i="484"/>
  <c r="K247" i="484"/>
  <c r="O214" i="484"/>
  <c r="P215" i="484" s="1"/>
  <c r="N212" i="484"/>
  <c r="M134" i="484"/>
  <c r="M150" i="484"/>
  <c r="M218" i="484"/>
  <c r="L218" i="484"/>
  <c r="M350" i="484"/>
  <c r="M234" i="484"/>
  <c r="M196" i="484"/>
  <c r="L126" i="484"/>
  <c r="L151" i="484"/>
  <c r="L163" i="484"/>
  <c r="L162" i="484"/>
  <c r="L167" i="484"/>
  <c r="L159" i="484"/>
  <c r="L168" i="484"/>
  <c r="L158" i="484"/>
  <c r="L157" i="484"/>
  <c r="L161" i="484"/>
  <c r="L156" i="484"/>
  <c r="L166" i="484"/>
  <c r="L164" i="484"/>
  <c r="L165" i="484"/>
  <c r="K348" i="484"/>
  <c r="N118" i="484"/>
  <c r="K243" i="484"/>
  <c r="N185" i="484"/>
  <c r="N147" i="484"/>
  <c r="N120" i="484"/>
  <c r="J254" i="484"/>
  <c r="J257" i="484" s="1"/>
  <c r="L350" i="484"/>
  <c r="L234" i="484"/>
  <c r="L196" i="484"/>
  <c r="N116" i="484"/>
  <c r="N219" i="484"/>
  <c r="M345" i="484"/>
  <c r="M70" i="484"/>
  <c r="M5" i="484"/>
  <c r="M28" i="484"/>
  <c r="M29" i="484"/>
  <c r="M23" i="484"/>
  <c r="M26" i="484"/>
  <c r="J354" i="484"/>
  <c r="CK225" i="2"/>
  <c r="EF412" i="4" l="1"/>
  <c r="EE412" i="4"/>
  <c r="EG412" i="4"/>
  <c r="O93" i="484"/>
  <c r="O117" i="484" s="1"/>
  <c r="O118" i="484" s="1"/>
  <c r="EU276" i="4"/>
  <c r="EN285" i="4"/>
  <c r="ES277" i="4"/>
  <c r="ET277" i="4"/>
  <c r="ER277" i="4"/>
  <c r="EQ277" i="4"/>
  <c r="EA354" i="4"/>
  <c r="EB354" i="4"/>
  <c r="BB249" i="2"/>
  <c r="DO108" i="2"/>
  <c r="DN109" i="2"/>
  <c r="R18" i="484"/>
  <c r="R186" i="484" s="1"/>
  <c r="R230" i="484" s="1"/>
  <c r="R228" i="484" s="1"/>
  <c r="R19" i="484"/>
  <c r="R149" i="484" s="1"/>
  <c r="Q222" i="484"/>
  <c r="R222" i="484"/>
  <c r="EK280" i="4"/>
  <c r="EL280" i="4" s="1"/>
  <c r="EM280" i="4" s="1"/>
  <c r="EN280" i="4" s="1"/>
  <c r="EO280" i="4" s="1"/>
  <c r="EE281" i="4"/>
  <c r="EA550" i="4"/>
  <c r="EB550" i="4"/>
  <c r="EA320" i="4"/>
  <c r="EA319" i="4"/>
  <c r="EG318" i="4"/>
  <c r="EM315" i="4"/>
  <c r="EN315" i="4"/>
  <c r="N207" i="484"/>
  <c r="EO346" i="4" s="1"/>
  <c r="N145" i="484"/>
  <c r="N17" i="484"/>
  <c r="N146" i="484"/>
  <c r="N184" i="484"/>
  <c r="N179" i="484" s="1"/>
  <c r="N195" i="484" s="1"/>
  <c r="EO412" i="4" s="1"/>
  <c r="N21" i="484"/>
  <c r="N10" i="484"/>
  <c r="N64" i="484" s="1"/>
  <c r="O84" i="484"/>
  <c r="EL285" i="4"/>
  <c r="EM285" i="4"/>
  <c r="O91" i="484"/>
  <c r="O115" i="484" s="1"/>
  <c r="P115" i="484" s="1"/>
  <c r="O95" i="484"/>
  <c r="O119" i="484" s="1"/>
  <c r="O120" i="484" s="1"/>
  <c r="EK285" i="4"/>
  <c r="O138" i="484"/>
  <c r="O137" i="484" s="1"/>
  <c r="EU296" i="4" s="1"/>
  <c r="P74" i="484"/>
  <c r="P7" i="484" s="1"/>
  <c r="O176" i="484"/>
  <c r="O175" i="484" s="1"/>
  <c r="O209" i="484" s="1"/>
  <c r="EI165" i="1"/>
  <c r="M290" i="484"/>
  <c r="Q11" i="484"/>
  <c r="EI156" i="1"/>
  <c r="EG348" i="4"/>
  <c r="EG18" i="1"/>
  <c r="EG347" i="4"/>
  <c r="EI291" i="4"/>
  <c r="EI293" i="4" s="1"/>
  <c r="EH346" i="4"/>
  <c r="DZ354" i="4"/>
  <c r="DY354" i="4"/>
  <c r="EC352" i="4"/>
  <c r="EC356" i="4"/>
  <c r="EE19" i="1"/>
  <c r="M242" i="484"/>
  <c r="EI351" i="4"/>
  <c r="EI352" i="4" s="1"/>
  <c r="EC19" i="1"/>
  <c r="EF18" i="1"/>
  <c r="EF347" i="4"/>
  <c r="DM291" i="1"/>
  <c r="DM201" i="2"/>
  <c r="DJ293" i="1"/>
  <c r="DK293" i="1" s="1"/>
  <c r="DJ292" i="1"/>
  <c r="DK292" i="1" s="1"/>
  <c r="DK291" i="1"/>
  <c r="DK172" i="1"/>
  <c r="DK174" i="1" s="1"/>
  <c r="EE214" i="2"/>
  <c r="EF214" i="2"/>
  <c r="EG214" i="2"/>
  <c r="EH214" i="2"/>
  <c r="EO214" i="2"/>
  <c r="CA264" i="2"/>
  <c r="DE176" i="2"/>
  <c r="CY179" i="2"/>
  <c r="CY180" i="2" s="1"/>
  <c r="AY141" i="3"/>
  <c r="AY70" i="3"/>
  <c r="AZ70" i="3"/>
  <c r="BA70" i="3"/>
  <c r="BB70" i="3"/>
  <c r="AB68" i="3"/>
  <c r="AB70" i="3" s="1"/>
  <c r="AB72" i="3" s="1"/>
  <c r="AA70" i="3"/>
  <c r="AA72" i="3" s="1"/>
  <c r="AC68" i="3"/>
  <c r="AW141" i="3"/>
  <c r="AW70" i="3"/>
  <c r="Y143" i="3"/>
  <c r="Y149" i="3" s="1"/>
  <c r="X149" i="3"/>
  <c r="AA141" i="3"/>
  <c r="AA143" i="3" s="1"/>
  <c r="EI210" i="2"/>
  <c r="EI212" i="2"/>
  <c r="DY550" i="4"/>
  <c r="DZ550" i="4"/>
  <c r="CC264" i="2"/>
  <c r="CA265" i="2"/>
  <c r="AU240" i="2"/>
  <c r="AN236" i="2"/>
  <c r="AN237" i="2" s="1"/>
  <c r="CK202" i="2"/>
  <c r="CK204" i="2" s="1"/>
  <c r="DS223" i="2"/>
  <c r="DP223" i="2"/>
  <c r="BO253" i="2"/>
  <c r="BQ253" i="2" s="1"/>
  <c r="BQ252" i="2"/>
  <c r="BT257" i="2"/>
  <c r="EF151" i="2"/>
  <c r="DY222" i="2"/>
  <c r="DV222" i="2"/>
  <c r="BC249" i="2"/>
  <c r="BE248" i="2"/>
  <c r="AM232" i="2"/>
  <c r="AK233" i="2"/>
  <c r="DU121" i="2"/>
  <c r="DV107" i="2"/>
  <c r="CD260" i="2"/>
  <c r="CD261" i="2" s="1"/>
  <c r="CK269" i="2"/>
  <c r="DJ113" i="2"/>
  <c r="DI116" i="2"/>
  <c r="DS110" i="2"/>
  <c r="DT110" i="2" s="1"/>
  <c r="DU110" i="2" s="1"/>
  <c r="DV110" i="2" s="1"/>
  <c r="DT106" i="2"/>
  <c r="BA245" i="2"/>
  <c r="EM155" i="1"/>
  <c r="EM158" i="1"/>
  <c r="EN200" i="2"/>
  <c r="EK165" i="1"/>
  <c r="EL195" i="1"/>
  <c r="EL153" i="1"/>
  <c r="EL165" i="1" s="1"/>
  <c r="EH313" i="1"/>
  <c r="EK314" i="1"/>
  <c r="EK318" i="4"/>
  <c r="EE319" i="4"/>
  <c r="EF319" i="4"/>
  <c r="BR235" i="4"/>
  <c r="BR233" i="4"/>
  <c r="BS230" i="4"/>
  <c r="DZ291" i="4"/>
  <c r="DZ298" i="4"/>
  <c r="DZ297" i="4"/>
  <c r="BQ236" i="4"/>
  <c r="BQ239" i="4"/>
  <c r="L127" i="484"/>
  <c r="M151" i="484"/>
  <c r="EE550" i="4" s="1"/>
  <c r="M126" i="484"/>
  <c r="M163" i="484"/>
  <c r="M162" i="484"/>
  <c r="M167" i="484"/>
  <c r="M159" i="484"/>
  <c r="M158" i="484"/>
  <c r="M168" i="484"/>
  <c r="M161" i="484"/>
  <c r="M157" i="484"/>
  <c r="M156" i="484"/>
  <c r="M165" i="484"/>
  <c r="M164" i="484"/>
  <c r="M166" i="484"/>
  <c r="K251" i="484"/>
  <c r="K248" i="484"/>
  <c r="L160" i="484"/>
  <c r="L242" i="484"/>
  <c r="L239" i="484"/>
  <c r="L349" i="484"/>
  <c r="M239" i="484"/>
  <c r="CL225" i="2"/>
  <c r="O15" i="484" l="1"/>
  <c r="O184" i="484" s="1"/>
  <c r="P117" i="484"/>
  <c r="Q117" i="484" s="1"/>
  <c r="R117" i="484" s="1"/>
  <c r="O146" i="484"/>
  <c r="ER276" i="4"/>
  <c r="ES276" i="4"/>
  <c r="ET276" i="4"/>
  <c r="EQ276" i="4"/>
  <c r="EU273" i="4"/>
  <c r="EU285" i="4" s="1"/>
  <c r="EM346" i="4"/>
  <c r="BE249" i="2"/>
  <c r="AM233" i="2"/>
  <c r="DP108" i="2"/>
  <c r="DO109" i="2"/>
  <c r="R187" i="484"/>
  <c r="R190" i="484" s="1"/>
  <c r="R148" i="484"/>
  <c r="Q180" i="484"/>
  <c r="R78" i="484"/>
  <c r="R77" i="484" s="1"/>
  <c r="O16" i="484"/>
  <c r="O147" i="484" s="1"/>
  <c r="O14" i="484"/>
  <c r="O183" i="484" s="1"/>
  <c r="EF281" i="4"/>
  <c r="EE301" i="4"/>
  <c r="EG319" i="4"/>
  <c r="EM318" i="4"/>
  <c r="EH319" i="4"/>
  <c r="EK346" i="4"/>
  <c r="EO347" i="4"/>
  <c r="EL346" i="4"/>
  <c r="P73" i="484"/>
  <c r="P88" i="484" s="1"/>
  <c r="P90" i="484" s="1"/>
  <c r="N141" i="484"/>
  <c r="S10" i="484"/>
  <c r="N4" i="484"/>
  <c r="S4" i="484" s="1"/>
  <c r="N131" i="484"/>
  <c r="P208" i="484"/>
  <c r="O116" i="484"/>
  <c r="O219" i="484"/>
  <c r="P119" i="484"/>
  <c r="Q119" i="484" s="1"/>
  <c r="R119" i="484" s="1"/>
  <c r="Q22" i="484"/>
  <c r="O211" i="484"/>
  <c r="O213" i="484"/>
  <c r="Q142" i="484"/>
  <c r="N174" i="484"/>
  <c r="EK412" i="4"/>
  <c r="EM412" i="4"/>
  <c r="EL412" i="4"/>
  <c r="EN412" i="4"/>
  <c r="EF19" i="1"/>
  <c r="EG20" i="1"/>
  <c r="P6" i="484"/>
  <c r="P176" i="484"/>
  <c r="P175" i="484" s="1"/>
  <c r="Q74" i="484"/>
  <c r="Q73" i="484" s="1"/>
  <c r="P138" i="484"/>
  <c r="P137" i="484" s="1"/>
  <c r="EG19" i="1"/>
  <c r="EF20" i="1"/>
  <c r="EC357" i="4"/>
  <c r="EE351" i="4"/>
  <c r="EI356" i="4"/>
  <c r="EI357" i="4" s="1"/>
  <c r="EG351" i="4"/>
  <c r="EF351" i="4"/>
  <c r="EH349" i="4"/>
  <c r="EH18" i="1"/>
  <c r="DK176" i="1"/>
  <c r="DQ177" i="1" s="1"/>
  <c r="EL214" i="2"/>
  <c r="EN214" i="2"/>
  <c r="EM214" i="2"/>
  <c r="EK214" i="2"/>
  <c r="DN291" i="1"/>
  <c r="DN201" i="2"/>
  <c r="DK169" i="1"/>
  <c r="DK170" i="1" s="1"/>
  <c r="DM293" i="1"/>
  <c r="DM292" i="1"/>
  <c r="CC265" i="2"/>
  <c r="CD264" i="2" s="1"/>
  <c r="CD265" i="2" s="1"/>
  <c r="DK176" i="2"/>
  <c r="DE179" i="2"/>
  <c r="DE180" i="2" s="1"/>
  <c r="AD68" i="3"/>
  <c r="AC70" i="3"/>
  <c r="AC72" i="3" s="1"/>
  <c r="BB68" i="3"/>
  <c r="BB141" i="3" s="1"/>
  <c r="BA72" i="3"/>
  <c r="BA143" i="3"/>
  <c r="BA149" i="3" s="1"/>
  <c r="AZ143" i="3"/>
  <c r="AZ149" i="3" s="1"/>
  <c r="BA68" i="3"/>
  <c r="BA141" i="3" s="1"/>
  <c r="AZ72" i="3"/>
  <c r="AW72" i="3"/>
  <c r="AW143" i="3"/>
  <c r="AW149" i="3" s="1"/>
  <c r="BC68" i="3"/>
  <c r="AZ68" i="3"/>
  <c r="AZ141" i="3" s="1"/>
  <c r="AY143" i="3"/>
  <c r="AY149" i="3" s="1"/>
  <c r="AY72" i="3"/>
  <c r="AB141" i="3"/>
  <c r="AB143" i="3" s="1"/>
  <c r="AA149" i="3"/>
  <c r="BB143" i="3"/>
  <c r="BB149" i="3" s="1"/>
  <c r="BB72" i="3"/>
  <c r="BE68" i="3"/>
  <c r="N220" i="484"/>
  <c r="N218" i="484" s="1"/>
  <c r="AO236" i="2"/>
  <c r="AO237" i="2" s="1"/>
  <c r="DU106" i="2"/>
  <c r="DV121" i="2"/>
  <c r="DW121" i="2" s="1"/>
  <c r="DW107" i="2"/>
  <c r="DY107" i="2" s="1"/>
  <c r="BW256" i="2"/>
  <c r="BU257" i="2"/>
  <c r="AU241" i="2"/>
  <c r="CL268" i="2"/>
  <c r="CM268" i="2" s="1"/>
  <c r="DJ116" i="2"/>
  <c r="DK116" i="2" s="1"/>
  <c r="DK113" i="2"/>
  <c r="DM113" i="2" s="1"/>
  <c r="BF248" i="2"/>
  <c r="BF249" i="2" s="1"/>
  <c r="EI141" i="2"/>
  <c r="EG151" i="2"/>
  <c r="BR252" i="2"/>
  <c r="BR253" i="2" s="1"/>
  <c r="CL202" i="2"/>
  <c r="CM202" i="2" s="1"/>
  <c r="BB244" i="2"/>
  <c r="BC244" i="2" s="1"/>
  <c r="CM285" i="2"/>
  <c r="CE260" i="2"/>
  <c r="CE261" i="2" s="1"/>
  <c r="AN232" i="2"/>
  <c r="AN233" i="2" s="1"/>
  <c r="AO232" i="2" s="1"/>
  <c r="DZ222" i="2"/>
  <c r="EA222" i="2" s="1"/>
  <c r="DW222" i="2"/>
  <c r="DQ223" i="2"/>
  <c r="DT223" i="2"/>
  <c r="DU223" i="2" s="1"/>
  <c r="EM195" i="1"/>
  <c r="EM153" i="1"/>
  <c r="EM165" i="1" s="1"/>
  <c r="EK313" i="1"/>
  <c r="EL314" i="1"/>
  <c r="EN158" i="1"/>
  <c r="EO157" i="1"/>
  <c r="EN155" i="1"/>
  <c r="DZ293" i="4"/>
  <c r="DZ292" i="4"/>
  <c r="EE282" i="4"/>
  <c r="BQ237" i="4"/>
  <c r="BS235" i="4"/>
  <c r="BS233" i="4"/>
  <c r="BT230" i="4"/>
  <c r="EK319" i="4"/>
  <c r="EL319" i="4"/>
  <c r="EA291" i="4"/>
  <c r="EA322" i="4" s="1"/>
  <c r="EA298" i="4"/>
  <c r="EA297" i="4"/>
  <c r="BR236" i="4"/>
  <c r="BR237" i="4" s="1"/>
  <c r="BR239" i="4"/>
  <c r="M240" i="484"/>
  <c r="M243" i="484"/>
  <c r="M349" i="484"/>
  <c r="L240" i="484"/>
  <c r="K353" i="484"/>
  <c r="N350" i="484"/>
  <c r="S195" i="484"/>
  <c r="N196" i="484"/>
  <c r="N234" i="484"/>
  <c r="L243" i="484"/>
  <c r="K265" i="484"/>
  <c r="K272" i="484" s="1"/>
  <c r="K276" i="484" s="1"/>
  <c r="K253" i="484"/>
  <c r="L348" i="484"/>
  <c r="Q115" i="484"/>
  <c r="R115" i="484" s="1"/>
  <c r="M160" i="484"/>
  <c r="M127" i="484"/>
  <c r="CM225" i="2"/>
  <c r="ET285" i="4" l="1"/>
  <c r="EQ285" i="4"/>
  <c r="ER285" i="4"/>
  <c r="ES285" i="4"/>
  <c r="EU174" i="1"/>
  <c r="EU158" i="1"/>
  <c r="EO158" i="1"/>
  <c r="EQ273" i="4"/>
  <c r="EQ280" i="4" s="1"/>
  <c r="EK18" i="1"/>
  <c r="EK20" i="1" s="1"/>
  <c r="ET273" i="4"/>
  <c r="EM18" i="1"/>
  <c r="ES273" i="4"/>
  <c r="EL18" i="1"/>
  <c r="EL19" i="1" s="1"/>
  <c r="ER273" i="4"/>
  <c r="BB245" i="2"/>
  <c r="DQ108" i="2"/>
  <c r="DS108" i="2" s="1"/>
  <c r="DP109" i="2"/>
  <c r="DQ109" i="2" s="1"/>
  <c r="R11" i="484"/>
  <c r="R180" i="484" s="1"/>
  <c r="O145" i="484"/>
  <c r="O141" i="484" s="1"/>
  <c r="EU301" i="4" s="1"/>
  <c r="O17" i="484"/>
  <c r="O21" i="484"/>
  <c r="O185" i="484"/>
  <c r="O179" i="484" s="1"/>
  <c r="O220" i="484" s="1"/>
  <c r="O218" i="484" s="1"/>
  <c r="EU351" i="4" s="1"/>
  <c r="O10" i="484"/>
  <c r="O4" i="484" s="1"/>
  <c r="O27" i="484" s="1"/>
  <c r="EF301" i="4"/>
  <c r="EG281" i="4"/>
  <c r="EE303" i="4"/>
  <c r="EE302" i="4"/>
  <c r="EE306" i="4"/>
  <c r="EM319" i="4"/>
  <c r="EN319" i="4"/>
  <c r="EA323" i="4"/>
  <c r="EA324" i="4"/>
  <c r="N345" i="484"/>
  <c r="N134" i="484"/>
  <c r="P72" i="484"/>
  <c r="P84" i="484" s="1"/>
  <c r="P219" i="484"/>
  <c r="N150" i="484"/>
  <c r="EO291" i="4" s="1"/>
  <c r="EO293" i="4" s="1"/>
  <c r="EO301" i="4"/>
  <c r="N28" i="484"/>
  <c r="P209" i="484"/>
  <c r="P213" i="484" s="1"/>
  <c r="N23" i="484"/>
  <c r="N5" i="484"/>
  <c r="N27" i="484"/>
  <c r="N29" i="484"/>
  <c r="N70" i="484"/>
  <c r="N26" i="484"/>
  <c r="P214" i="484"/>
  <c r="Q215" i="484" s="1"/>
  <c r="O212" i="484"/>
  <c r="O207" i="484" s="1"/>
  <c r="EU346" i="4" s="1"/>
  <c r="EF352" i="4"/>
  <c r="EF21" i="1"/>
  <c r="EG353" i="4"/>
  <c r="EF356" i="4"/>
  <c r="EE352" i="4"/>
  <c r="EF353" i="4"/>
  <c r="EE21" i="1"/>
  <c r="Q208" i="484"/>
  <c r="N242" i="484"/>
  <c r="EO351" i="4"/>
  <c r="EG21" i="1"/>
  <c r="EG22" i="1" s="1"/>
  <c r="EG356" i="4"/>
  <c r="EG366" i="4" s="1"/>
  <c r="P95" i="484"/>
  <c r="P16" i="484" s="1"/>
  <c r="P93" i="484"/>
  <c r="P15" i="484" s="1"/>
  <c r="P91" i="484"/>
  <c r="P14" i="484" s="1"/>
  <c r="EG352" i="4"/>
  <c r="EH20" i="1"/>
  <c r="EH19" i="1"/>
  <c r="EH351" i="4"/>
  <c r="EH352" i="4" s="1"/>
  <c r="EC21" i="1"/>
  <c r="EE353" i="4"/>
  <c r="Q72" i="484"/>
  <c r="Q88" i="484"/>
  <c r="Q90" i="484" s="1"/>
  <c r="EI18" i="1"/>
  <c r="EA23" i="1"/>
  <c r="EA22" i="1"/>
  <c r="EA24" i="1"/>
  <c r="EB26" i="1" s="1"/>
  <c r="Q7" i="484"/>
  <c r="N239" i="484"/>
  <c r="DQ180" i="1"/>
  <c r="DN293" i="1"/>
  <c r="DN292" i="1"/>
  <c r="DO291" i="1"/>
  <c r="DO201" i="2"/>
  <c r="CL269" i="2"/>
  <c r="CO268" i="2" s="1"/>
  <c r="DQ176" i="2"/>
  <c r="DK179" i="2"/>
  <c r="DK180" i="2" s="1"/>
  <c r="BE70" i="3"/>
  <c r="BF70" i="3"/>
  <c r="BE141" i="3"/>
  <c r="BG70" i="3"/>
  <c r="BF68" i="3"/>
  <c r="BH70" i="3"/>
  <c r="AC141" i="3"/>
  <c r="AC143" i="3" s="1"/>
  <c r="AB149" i="3"/>
  <c r="BC141" i="3"/>
  <c r="BC70" i="3"/>
  <c r="AD70" i="3"/>
  <c r="AD72" i="3" s="1"/>
  <c r="AE68" i="3"/>
  <c r="AE70" i="3" s="1"/>
  <c r="AE72" i="3" s="1"/>
  <c r="K267" i="484"/>
  <c r="CM228" i="2"/>
  <c r="DW274" i="2" s="1"/>
  <c r="AP236" i="2"/>
  <c r="AQ236" i="2" s="1"/>
  <c r="DV223" i="2"/>
  <c r="DY223" i="2"/>
  <c r="EB222" i="2"/>
  <c r="EE222" i="2"/>
  <c r="CF260" i="2"/>
  <c r="CG260" i="2" s="1"/>
  <c r="DW276" i="2"/>
  <c r="CM291" i="2"/>
  <c r="CM277" i="2"/>
  <c r="CM278" i="2" s="1"/>
  <c r="CM279" i="2" s="1"/>
  <c r="CM209" i="2"/>
  <c r="CM204" i="2"/>
  <c r="EI293" i="2"/>
  <c r="EI292" i="2"/>
  <c r="EI151" i="2"/>
  <c r="BG248" i="2"/>
  <c r="BG249" i="2"/>
  <c r="CE264" i="2"/>
  <c r="CE265" i="2" s="1"/>
  <c r="DV106" i="2"/>
  <c r="BE244" i="2"/>
  <c r="BC245" i="2"/>
  <c r="BE245" i="2" s="1"/>
  <c r="CL204" i="2"/>
  <c r="DY121" i="2"/>
  <c r="DZ107" i="2"/>
  <c r="EH151" i="2"/>
  <c r="DM116" i="2"/>
  <c r="DN113" i="2"/>
  <c r="AV240" i="2"/>
  <c r="AW240" i="2" s="1"/>
  <c r="BS252" i="2"/>
  <c r="BS253" i="2" s="1"/>
  <c r="BW257" i="2"/>
  <c r="EM314" i="1"/>
  <c r="EL313" i="1"/>
  <c r="EN195" i="1"/>
  <c r="EN153" i="1"/>
  <c r="EO155" i="1"/>
  <c r="EO200" i="2" s="1"/>
  <c r="BS239" i="4"/>
  <c r="BS236" i="4"/>
  <c r="BU230" i="4"/>
  <c r="BT235" i="4"/>
  <c r="BT233" i="4"/>
  <c r="EA293" i="4"/>
  <c r="EA292" i="4"/>
  <c r="EE296" i="4"/>
  <c r="EF282" i="4"/>
  <c r="M348" i="484"/>
  <c r="K293" i="484"/>
  <c r="K277" i="484"/>
  <c r="L201" i="484"/>
  <c r="L202" i="484" s="1"/>
  <c r="M199" i="484"/>
  <c r="L200" i="484"/>
  <c r="K254" i="484"/>
  <c r="K257" i="484" s="1"/>
  <c r="CO225" i="2"/>
  <c r="ES346" i="4" l="1"/>
  <c r="EQ346" i="4"/>
  <c r="ER346" i="4"/>
  <c r="ER351" i="4"/>
  <c r="ER21" i="1" s="1"/>
  <c r="ES351" i="4"/>
  <c r="ES21" i="1" s="1"/>
  <c r="EQ351" i="4"/>
  <c r="EQ21" i="1" s="1"/>
  <c r="EM20" i="1"/>
  <c r="EL20" i="1"/>
  <c r="EK19" i="1"/>
  <c r="EU356" i="4"/>
  <c r="EU347" i="4"/>
  <c r="O150" i="484"/>
  <c r="EU291" i="4" s="1"/>
  <c r="ER280" i="4"/>
  <c r="ES280" i="4" s="1"/>
  <c r="ET280" i="4" s="1"/>
  <c r="EU280" i="4" s="1"/>
  <c r="EM19" i="1"/>
  <c r="EU352" i="4"/>
  <c r="DT108" i="2"/>
  <c r="DS109" i="2"/>
  <c r="EA31" i="1"/>
  <c r="EB33" i="1" s="1"/>
  <c r="EA47" i="1"/>
  <c r="R22" i="484"/>
  <c r="R142" i="484"/>
  <c r="R74" i="484"/>
  <c r="R73" i="484" s="1"/>
  <c r="DZ121" i="2"/>
  <c r="EA107" i="2"/>
  <c r="O28" i="484"/>
  <c r="O5" i="484"/>
  <c r="O345" i="484"/>
  <c r="O23" i="484"/>
  <c r="O29" i="484"/>
  <c r="O134" i="484"/>
  <c r="O64" i="484"/>
  <c r="O26" i="484"/>
  <c r="O70" i="484"/>
  <c r="O131" i="484"/>
  <c r="EE308" i="4"/>
  <c r="EE310" i="4"/>
  <c r="EE307" i="4"/>
  <c r="EG301" i="4"/>
  <c r="EH281" i="4"/>
  <c r="EF302" i="4"/>
  <c r="EF306" i="4"/>
  <c r="EF303" i="4"/>
  <c r="N159" i="484"/>
  <c r="N165" i="484"/>
  <c r="N164" i="484"/>
  <c r="N162" i="484"/>
  <c r="N157" i="484"/>
  <c r="N156" i="484"/>
  <c r="N158" i="484"/>
  <c r="N168" i="484"/>
  <c r="N126" i="484"/>
  <c r="N166" i="484"/>
  <c r="N161" i="484"/>
  <c r="N167" i="484"/>
  <c r="N151" i="484"/>
  <c r="N163" i="484"/>
  <c r="S150" i="484"/>
  <c r="P211" i="484"/>
  <c r="O174" i="484"/>
  <c r="O195" i="484"/>
  <c r="CM269" i="2"/>
  <c r="CO269" i="2" s="1"/>
  <c r="CP268" i="2" s="1"/>
  <c r="CP269" i="2" s="1"/>
  <c r="Q219" i="484"/>
  <c r="N243" i="484"/>
  <c r="N240" i="484"/>
  <c r="S239" i="484"/>
  <c r="EC22" i="1"/>
  <c r="P185" i="484"/>
  <c r="P147" i="484"/>
  <c r="EG357" i="4"/>
  <c r="Q214" i="484"/>
  <c r="R215" i="484" s="1"/>
  <c r="P212" i="484"/>
  <c r="Q91" i="484"/>
  <c r="Q14" i="484" s="1"/>
  <c r="Q95" i="484"/>
  <c r="Q16" i="484" s="1"/>
  <c r="Q93" i="484"/>
  <c r="Q15" i="484" s="1"/>
  <c r="EH21" i="1"/>
  <c r="EH23" i="1" s="1"/>
  <c r="EH354" i="4"/>
  <c r="EH353" i="4"/>
  <c r="EF22" i="1"/>
  <c r="EG23" i="1"/>
  <c r="EF24" i="1"/>
  <c r="Q6" i="484"/>
  <c r="Q138" i="484"/>
  <c r="Q137" i="484" s="1"/>
  <c r="Q176" i="484"/>
  <c r="Q175" i="484" s="1"/>
  <c r="Q209" i="484" s="1"/>
  <c r="EI19" i="1"/>
  <c r="Q84" i="484"/>
  <c r="P145" i="484"/>
  <c r="P10" i="484"/>
  <c r="P64" i="484" s="1"/>
  <c r="P17" i="484"/>
  <c r="P183" i="484"/>
  <c r="P21" i="484"/>
  <c r="EG24" i="1"/>
  <c r="EG25" i="1" s="1"/>
  <c r="EL351" i="4"/>
  <c r="EM351" i="4"/>
  <c r="EK351" i="4"/>
  <c r="EO356" i="4"/>
  <c r="EO352" i="4"/>
  <c r="EA25" i="1"/>
  <c r="EA26" i="1"/>
  <c r="P146" i="484"/>
  <c r="P184" i="484"/>
  <c r="EG367" i="4"/>
  <c r="EE23" i="1"/>
  <c r="EE22" i="1"/>
  <c r="EF23" i="1"/>
  <c r="EE24" i="1"/>
  <c r="EG358" i="4"/>
  <c r="EF366" i="4"/>
  <c r="EG368" i="4" s="1"/>
  <c r="DP291" i="1"/>
  <c r="DP201" i="2"/>
  <c r="DQ201" i="2" s="1"/>
  <c r="DQ208" i="2" s="1"/>
  <c r="DO293" i="1"/>
  <c r="DO292" i="1"/>
  <c r="DW176" i="2"/>
  <c r="DQ179" i="2"/>
  <c r="DQ180" i="2" s="1"/>
  <c r="BG143" i="3"/>
  <c r="BG149" i="3" s="1"/>
  <c r="BG72" i="3"/>
  <c r="AC149" i="3"/>
  <c r="AD141" i="3"/>
  <c r="BC143" i="3"/>
  <c r="BC149" i="3" s="1"/>
  <c r="BC72" i="3"/>
  <c r="BH143" i="3"/>
  <c r="BH149" i="3" s="1"/>
  <c r="BH72" i="3"/>
  <c r="BK68" i="3"/>
  <c r="BF143" i="3"/>
  <c r="BF149" i="3" s="1"/>
  <c r="BF72" i="3"/>
  <c r="BF141" i="3"/>
  <c r="BG68" i="3"/>
  <c r="BE143" i="3"/>
  <c r="BE149" i="3" s="1"/>
  <c r="BE72" i="3"/>
  <c r="EO210" i="2"/>
  <c r="EO212" i="2"/>
  <c r="AV241" i="2"/>
  <c r="AW241" i="2" s="1"/>
  <c r="CF264" i="2"/>
  <c r="CF265" i="2" s="1"/>
  <c r="BX256" i="2"/>
  <c r="BX257" i="2" s="1"/>
  <c r="EK151" i="2"/>
  <c r="BF244" i="2"/>
  <c r="BF245" i="2" s="1"/>
  <c r="BH248" i="2"/>
  <c r="BI248" i="2" s="1"/>
  <c r="CF261" i="2"/>
  <c r="CG261" i="2" s="1"/>
  <c r="DZ223" i="2"/>
  <c r="EA223" i="2" s="1"/>
  <c r="DW223" i="2"/>
  <c r="BT252" i="2"/>
  <c r="BU252" i="2" s="1"/>
  <c r="DO113" i="2"/>
  <c r="DN116" i="2"/>
  <c r="CM211" i="2"/>
  <c r="CO202" i="2"/>
  <c r="DW106" i="2"/>
  <c r="DY106" i="2" s="1"/>
  <c r="EF222" i="2"/>
  <c r="EG222" i="2" s="1"/>
  <c r="EC222" i="2"/>
  <c r="AP237" i="2"/>
  <c r="AQ237" i="2" s="1"/>
  <c r="EN165" i="1"/>
  <c r="EO195" i="1"/>
  <c r="EN314" i="1"/>
  <c r="EN313" i="1" s="1"/>
  <c r="EM313" i="1"/>
  <c r="EO153" i="1"/>
  <c r="N290" i="484" s="1"/>
  <c r="EF296" i="4"/>
  <c r="EG282" i="4"/>
  <c r="BS237" i="4"/>
  <c r="EE298" i="4"/>
  <c r="EE297" i="4"/>
  <c r="EE291" i="4"/>
  <c r="BT239" i="4"/>
  <c r="BT236" i="4"/>
  <c r="BT237" i="4" s="1"/>
  <c r="BU235" i="4"/>
  <c r="BW230" i="4"/>
  <c r="BU229" i="4"/>
  <c r="CA231" i="4"/>
  <c r="CC231" i="4" s="1"/>
  <c r="K354" i="484"/>
  <c r="M200" i="484"/>
  <c r="N199" i="484"/>
  <c r="M201" i="484"/>
  <c r="M202" i="484" s="1"/>
  <c r="O242" i="484"/>
  <c r="O239" i="484"/>
  <c r="CP225" i="2"/>
  <c r="EA121" i="2" l="1"/>
  <c r="EB107" i="2"/>
  <c r="EB121" i="2" s="1"/>
  <c r="ES23" i="1"/>
  <c r="ET346" i="4"/>
  <c r="ET18" i="1" s="1"/>
  <c r="ER18" i="1"/>
  <c r="ES348" i="4"/>
  <c r="ER347" i="4"/>
  <c r="ER23" i="1"/>
  <c r="EQ18" i="1"/>
  <c r="EQ347" i="4"/>
  <c r="ER348" i="4"/>
  <c r="ES18" i="1"/>
  <c r="ES347" i="4"/>
  <c r="O168" i="484"/>
  <c r="O157" i="484"/>
  <c r="O163" i="484"/>
  <c r="O166" i="484"/>
  <c r="O151" i="484"/>
  <c r="O165" i="484"/>
  <c r="O159" i="484"/>
  <c r="O234" i="484"/>
  <c r="EU412" i="4"/>
  <c r="O164" i="484"/>
  <c r="O161" i="484"/>
  <c r="O167" i="484"/>
  <c r="O126" i="484"/>
  <c r="O127" i="484" s="1"/>
  <c r="ET349" i="4"/>
  <c r="O156" i="484"/>
  <c r="O158" i="484"/>
  <c r="O162" i="484"/>
  <c r="ER352" i="4"/>
  <c r="EO357" i="4"/>
  <c r="EU357" i="4"/>
  <c r="ES353" i="4"/>
  <c r="ER356" i="4"/>
  <c r="EK353" i="4"/>
  <c r="EQ352" i="4"/>
  <c r="ES352" i="4"/>
  <c r="ES356" i="4"/>
  <c r="ER353" i="4"/>
  <c r="EQ356" i="4"/>
  <c r="ET351" i="4"/>
  <c r="ET21" i="1" s="1"/>
  <c r="ET23" i="1" s="1"/>
  <c r="BH249" i="2"/>
  <c r="BT253" i="2"/>
  <c r="DU108" i="2"/>
  <c r="DT109" i="2"/>
  <c r="EA27" i="1"/>
  <c r="EA436" i="4"/>
  <c r="EA438" i="4" s="1"/>
  <c r="EA57" i="2"/>
  <c r="EA63" i="1"/>
  <c r="EM63" i="1" s="1"/>
  <c r="ES63" i="1" s="1"/>
  <c r="EA56" i="2"/>
  <c r="EM56" i="2" s="1"/>
  <c r="EA87" i="2"/>
  <c r="EM87" i="2" s="1"/>
  <c r="ES87" i="2" s="1"/>
  <c r="EA55" i="1"/>
  <c r="EG55" i="1" s="1"/>
  <c r="EM55" i="1" s="1"/>
  <c r="ES55" i="1" s="1"/>
  <c r="EA359" i="4"/>
  <c r="EA50" i="1"/>
  <c r="EA51" i="1" s="1"/>
  <c r="EA412" i="4"/>
  <c r="R72" i="484"/>
  <c r="R7" i="484"/>
  <c r="R176" i="484" s="1"/>
  <c r="R175" i="484" s="1"/>
  <c r="R208" i="484"/>
  <c r="R88" i="484"/>
  <c r="R90" i="484" s="1"/>
  <c r="R219" i="484"/>
  <c r="N349" i="484"/>
  <c r="EG302" i="4"/>
  <c r="EG303" i="4"/>
  <c r="EG306" i="4"/>
  <c r="EE312" i="4"/>
  <c r="EE311" i="4"/>
  <c r="EF310" i="4"/>
  <c r="EF308" i="4"/>
  <c r="EF307" i="4"/>
  <c r="EI281" i="4"/>
  <c r="EK281" i="4" s="1"/>
  <c r="EH301" i="4"/>
  <c r="S126" i="484"/>
  <c r="N127" i="484"/>
  <c r="N348" i="484" s="1"/>
  <c r="N160" i="484"/>
  <c r="O196" i="484"/>
  <c r="O350" i="484"/>
  <c r="P207" i="484"/>
  <c r="EI21" i="1"/>
  <c r="EH22" i="1"/>
  <c r="EN351" i="4"/>
  <c r="EL21" i="1"/>
  <c r="ER22" i="1" s="1"/>
  <c r="EM353" i="4"/>
  <c r="EL352" i="4"/>
  <c r="EF25" i="1"/>
  <c r="EF46" i="1"/>
  <c r="EF48" i="1" s="1"/>
  <c r="EG26" i="1"/>
  <c r="EF31" i="1"/>
  <c r="EF27" i="1" s="1"/>
  <c r="EH24" i="1"/>
  <c r="EI24" i="1" s="1"/>
  <c r="Q145" i="484"/>
  <c r="Q10" i="484"/>
  <c r="Q64" i="484" s="1"/>
  <c r="Q17" i="484"/>
  <c r="Q183" i="484"/>
  <c r="EE46" i="1"/>
  <c r="EE25" i="1"/>
  <c r="EF26" i="1"/>
  <c r="EE31" i="1"/>
  <c r="EG46" i="1"/>
  <c r="EG48" i="1" s="1"/>
  <c r="EG31" i="1"/>
  <c r="EG27" i="1" s="1"/>
  <c r="P4" i="484"/>
  <c r="P27" i="484" s="1"/>
  <c r="Q211" i="484"/>
  <c r="Q213" i="484"/>
  <c r="EA242" i="1"/>
  <c r="EA208" i="1"/>
  <c r="EA32" i="1"/>
  <c r="EA238" i="1"/>
  <c r="EA261" i="1"/>
  <c r="EA33" i="1"/>
  <c r="EA106" i="3"/>
  <c r="EA240" i="1"/>
  <c r="EA67" i="1"/>
  <c r="EA224" i="1"/>
  <c r="EA425" i="4"/>
  <c r="EK21" i="1"/>
  <c r="EQ22" i="1" s="1"/>
  <c r="EL353" i="4"/>
  <c r="EK352" i="4"/>
  <c r="P179" i="484"/>
  <c r="P141" i="484"/>
  <c r="P131" i="484"/>
  <c r="EE26" i="1"/>
  <c r="Q184" i="484"/>
  <c r="Q146" i="484"/>
  <c r="EC24" i="1"/>
  <c r="EC25" i="1" s="1"/>
  <c r="EM21" i="1"/>
  <c r="ES22" i="1" s="1"/>
  <c r="EM352" i="4"/>
  <c r="T6" i="484"/>
  <c r="Q21" i="484"/>
  <c r="Q147" i="484"/>
  <c r="Q185" i="484"/>
  <c r="DQ291" i="1"/>
  <c r="DQ172" i="1"/>
  <c r="DS291" i="1"/>
  <c r="DS201" i="2"/>
  <c r="DP293" i="1"/>
  <c r="DQ293" i="1" s="1"/>
  <c r="DP292" i="1"/>
  <c r="DQ292" i="1" s="1"/>
  <c r="CG264" i="2"/>
  <c r="EC176" i="2"/>
  <c r="EI176" i="2" s="1"/>
  <c r="EO176" i="2" s="1"/>
  <c r="EU176" i="2" s="1"/>
  <c r="DW179" i="2"/>
  <c r="DW180" i="2" s="1"/>
  <c r="AD143" i="3"/>
  <c r="AE141" i="3"/>
  <c r="BH68" i="3"/>
  <c r="BG141" i="3"/>
  <c r="BL70" i="3"/>
  <c r="BK141" i="3"/>
  <c r="BM70" i="3"/>
  <c r="BL68" i="3"/>
  <c r="BK70" i="3"/>
  <c r="BN70" i="3"/>
  <c r="O243" i="484"/>
  <c r="CQ268" i="2"/>
  <c r="CQ269" i="2" s="1"/>
  <c r="BY256" i="2"/>
  <c r="BY257" i="2" s="1"/>
  <c r="BG244" i="2"/>
  <c r="BH244" i="2" s="1"/>
  <c r="CI264" i="2"/>
  <c r="CI263" i="2" s="1"/>
  <c r="CI271" i="2" s="1"/>
  <c r="CG265" i="2"/>
  <c r="BI249" i="2"/>
  <c r="BK248" i="2"/>
  <c r="EL151" i="2"/>
  <c r="AS236" i="2"/>
  <c r="AS237" i="2" s="1"/>
  <c r="DY110" i="2"/>
  <c r="DZ110" i="2" s="1"/>
  <c r="EA110" i="2" s="1"/>
  <c r="DP113" i="2"/>
  <c r="DO116" i="2"/>
  <c r="EE223" i="2"/>
  <c r="EB223" i="2"/>
  <c r="AY240" i="2"/>
  <c r="AY241" i="2" s="1"/>
  <c r="BU253" i="2"/>
  <c r="BW252" i="2"/>
  <c r="EK222" i="2"/>
  <c r="EH222" i="2"/>
  <c r="CO204" i="2"/>
  <c r="EO156" i="1"/>
  <c r="EO165" i="1"/>
  <c r="BW235" i="4"/>
  <c r="BW233" i="4"/>
  <c r="BX230" i="4"/>
  <c r="EH282" i="4"/>
  <c r="EG296" i="4"/>
  <c r="EF291" i="4"/>
  <c r="EF298" i="4"/>
  <c r="EF297" i="4"/>
  <c r="BU236" i="4"/>
  <c r="EE292" i="4"/>
  <c r="EE322" i="4"/>
  <c r="EE293" i="4"/>
  <c r="O240" i="484"/>
  <c r="O199" i="484"/>
  <c r="N200" i="484"/>
  <c r="N201" i="484"/>
  <c r="N202" i="484" s="1"/>
  <c r="CQ225" i="2"/>
  <c r="ES56" i="2" l="1"/>
  <c r="ES289" i="1" s="1"/>
  <c r="EB110" i="2"/>
  <c r="EE110" i="2" s="1"/>
  <c r="ET348" i="4"/>
  <c r="ET412" i="4"/>
  <c r="ET413" i="4" s="1"/>
  <c r="EQ412" i="4"/>
  <c r="ER412" i="4"/>
  <c r="ES412" i="4"/>
  <c r="EQ19" i="1"/>
  <c r="EU18" i="1"/>
  <c r="ER20" i="1"/>
  <c r="EQ24" i="1"/>
  <c r="ET24" i="1"/>
  <c r="ET20" i="1"/>
  <c r="ES24" i="1"/>
  <c r="ES19" i="1"/>
  <c r="EU21" i="1"/>
  <c r="ER19" i="1"/>
  <c r="ES20" i="1"/>
  <c r="ER24" i="1"/>
  <c r="O349" i="484"/>
  <c r="EE27" i="1"/>
  <c r="EE436" i="4"/>
  <c r="O160" i="484"/>
  <c r="ET354" i="4"/>
  <c r="ET356" i="4"/>
  <c r="ET353" i="4"/>
  <c r="ET352" i="4"/>
  <c r="EQ353" i="4"/>
  <c r="ER358" i="4"/>
  <c r="EQ366" i="4"/>
  <c r="ES366" i="4"/>
  <c r="ER366" i="4"/>
  <c r="ES358" i="4"/>
  <c r="DV108" i="2"/>
  <c r="DU109" i="2"/>
  <c r="EA437" i="4"/>
  <c r="EA413" i="4"/>
  <c r="EA414" i="4"/>
  <c r="EA415" i="4"/>
  <c r="EA84" i="2"/>
  <c r="EG84" i="2" s="1"/>
  <c r="EM84" i="2" s="1"/>
  <c r="ES84" i="2" s="1"/>
  <c r="EA95" i="2"/>
  <c r="EA99" i="2" s="1"/>
  <c r="EA100" i="2" s="1"/>
  <c r="R6" i="484"/>
  <c r="R138" i="484"/>
  <c r="R137" i="484" s="1"/>
  <c r="R209" i="484"/>
  <c r="R213" i="484" s="1"/>
  <c r="R84" i="484"/>
  <c r="R95" i="484"/>
  <c r="R16" i="484" s="1"/>
  <c r="R93" i="484"/>
  <c r="R15" i="484" s="1"/>
  <c r="R91" i="484"/>
  <c r="Q212" i="484"/>
  <c r="Q207" i="484" s="1"/>
  <c r="R214" i="484"/>
  <c r="EB436" i="4"/>
  <c r="EG310" i="4"/>
  <c r="EG308" i="4"/>
  <c r="EG307" i="4"/>
  <c r="EH306" i="4"/>
  <c r="EH302" i="4"/>
  <c r="EF312" i="4"/>
  <c r="EF311" i="4"/>
  <c r="EL281" i="4"/>
  <c r="EK301" i="4"/>
  <c r="EN21" i="1"/>
  <c r="EQ23" i="1" s="1"/>
  <c r="EN354" i="4"/>
  <c r="EI22" i="1"/>
  <c r="EN352" i="4"/>
  <c r="EN353" i="4"/>
  <c r="EH25" i="1"/>
  <c r="EI25" i="1"/>
  <c r="EB262" i="1"/>
  <c r="EA228" i="1"/>
  <c r="EA56" i="1"/>
  <c r="EA212" i="1"/>
  <c r="EA244" i="1"/>
  <c r="EA57" i="1"/>
  <c r="EH26" i="1"/>
  <c r="EC46" i="1"/>
  <c r="EC47" i="1" s="1"/>
  <c r="EE48" i="1"/>
  <c r="EG262" i="1" s="1"/>
  <c r="Q131" i="484"/>
  <c r="Q141" i="484"/>
  <c r="P134" i="484"/>
  <c r="P150" i="484"/>
  <c r="EL23" i="1"/>
  <c r="EK24" i="1"/>
  <c r="EK22" i="1"/>
  <c r="EA65" i="1"/>
  <c r="EA214" i="1"/>
  <c r="EA64" i="1"/>
  <c r="EA246" i="1"/>
  <c r="EA230" i="1"/>
  <c r="P5" i="484"/>
  <c r="P23" i="484"/>
  <c r="P28" i="484"/>
  <c r="P29" i="484"/>
  <c r="P70" i="484"/>
  <c r="P26" i="484"/>
  <c r="P345" i="484"/>
  <c r="EA262" i="1"/>
  <c r="EC48" i="1"/>
  <c r="Q179" i="484"/>
  <c r="EK23" i="1"/>
  <c r="EB208" i="1"/>
  <c r="EB261" i="1"/>
  <c r="EB240" i="1"/>
  <c r="EB242" i="1"/>
  <c r="EC28" i="2"/>
  <c r="EB224" i="1"/>
  <c r="EB238" i="1"/>
  <c r="EE33" i="1"/>
  <c r="EB425" i="4"/>
  <c r="EC425" i="4" s="1"/>
  <c r="P174" i="484"/>
  <c r="P195" i="484"/>
  <c r="P220" i="484"/>
  <c r="P218" i="484" s="1"/>
  <c r="EC31" i="1"/>
  <c r="EH46" i="1"/>
  <c r="EH48" i="1" s="1"/>
  <c r="EH31" i="1"/>
  <c r="EH27" i="1" s="1"/>
  <c r="EM23" i="1"/>
  <c r="EL24" i="1"/>
  <c r="EL22" i="1"/>
  <c r="EM24" i="1"/>
  <c r="EM22" i="1"/>
  <c r="EE391" i="4"/>
  <c r="EF391" i="4" s="1"/>
  <c r="EG391" i="4" s="1"/>
  <c r="EG359" i="4"/>
  <c r="EG240" i="1"/>
  <c r="EG67" i="1"/>
  <c r="EG32" i="1"/>
  <c r="EG28" i="2"/>
  <c r="EG224" i="1"/>
  <c r="EG62" i="1"/>
  <c r="EG64" i="1" s="1"/>
  <c r="EG238" i="1"/>
  <c r="EG11" i="2"/>
  <c r="EG208" i="1"/>
  <c r="EG50" i="1"/>
  <c r="EG242" i="1"/>
  <c r="EG261" i="1"/>
  <c r="EG54" i="1"/>
  <c r="EG56" i="1" s="1"/>
  <c r="EG425" i="4"/>
  <c r="EE224" i="1"/>
  <c r="EE58" i="1"/>
  <c r="EE238" i="1"/>
  <c r="EE28" i="2"/>
  <c r="EE208" i="1"/>
  <c r="EE32" i="1"/>
  <c r="EE242" i="1"/>
  <c r="EE11" i="2"/>
  <c r="EE261" i="1"/>
  <c r="EE54" i="1"/>
  <c r="EE67" i="1"/>
  <c r="EE240" i="1"/>
  <c r="EE62" i="1"/>
  <c r="EE425" i="4"/>
  <c r="EF33" i="1"/>
  <c r="Q4" i="484"/>
  <c r="Q27" i="484" s="1"/>
  <c r="T10" i="484"/>
  <c r="EF359" i="4"/>
  <c r="EF11" i="2"/>
  <c r="EF224" i="1"/>
  <c r="EF32" i="1"/>
  <c r="EF242" i="1"/>
  <c r="EF261" i="1"/>
  <c r="EF62" i="1"/>
  <c r="EF50" i="1"/>
  <c r="EF240" i="1"/>
  <c r="EF58" i="1"/>
  <c r="EF67" i="1"/>
  <c r="EF28" i="2"/>
  <c r="EF208" i="1"/>
  <c r="EF54" i="1"/>
  <c r="EF238" i="1"/>
  <c r="EF425" i="4"/>
  <c r="EG33" i="1"/>
  <c r="DQ174" i="1"/>
  <c r="DQ169" i="1"/>
  <c r="DQ170" i="1" s="1"/>
  <c r="DQ176" i="1"/>
  <c r="DT291" i="1"/>
  <c r="DT201" i="2"/>
  <c r="DS293" i="1"/>
  <c r="DS292" i="1"/>
  <c r="BL141" i="3"/>
  <c r="BM68" i="3"/>
  <c r="BM72" i="3"/>
  <c r="BM143" i="3"/>
  <c r="BM149" i="3" s="1"/>
  <c r="BH141" i="3"/>
  <c r="BI68" i="3"/>
  <c r="BN72" i="3"/>
  <c r="BN143" i="3"/>
  <c r="BN149" i="3" s="1"/>
  <c r="BQ68" i="3"/>
  <c r="BK72" i="3"/>
  <c r="BK143" i="3"/>
  <c r="BK149" i="3" s="1"/>
  <c r="BL72" i="3"/>
  <c r="BL143" i="3"/>
  <c r="BL149" i="3" s="1"/>
  <c r="AD149" i="3"/>
  <c r="AE143" i="3"/>
  <c r="AE149" i="3" s="1"/>
  <c r="AT237" i="2"/>
  <c r="AU236" i="2"/>
  <c r="CR268" i="2"/>
  <c r="CR269" i="2" s="1"/>
  <c r="EM151" i="2"/>
  <c r="CI265" i="2"/>
  <c r="AZ240" i="2"/>
  <c r="AZ241" i="2" s="1"/>
  <c r="BZ256" i="2"/>
  <c r="CA256" i="2" s="1"/>
  <c r="CP202" i="2"/>
  <c r="EI222" i="2"/>
  <c r="EL222" i="2"/>
  <c r="EM222" i="2" s="1"/>
  <c r="EN222" i="2" s="1"/>
  <c r="EO222" i="2" s="1"/>
  <c r="BW253" i="2"/>
  <c r="DP116" i="2"/>
  <c r="DQ116" i="2" s="1"/>
  <c r="DQ113" i="2"/>
  <c r="DS113" i="2" s="1"/>
  <c r="BK249" i="2"/>
  <c r="BG245" i="2"/>
  <c r="EC121" i="2"/>
  <c r="EE107" i="2"/>
  <c r="EC107" i="2"/>
  <c r="EC223" i="2"/>
  <c r="EF223" i="2"/>
  <c r="EG223" i="2" s="1"/>
  <c r="EE324" i="4"/>
  <c r="EE323" i="4"/>
  <c r="EG298" i="4"/>
  <c r="EG297" i="4"/>
  <c r="EG291" i="4"/>
  <c r="BX235" i="4"/>
  <c r="BX233" i="4"/>
  <c r="EF322" i="4"/>
  <c r="EF293" i="4"/>
  <c r="EF292" i="4"/>
  <c r="EI282" i="4"/>
  <c r="EK282" i="4" s="1"/>
  <c r="EH296" i="4"/>
  <c r="BW236" i="4"/>
  <c r="BW239" i="4"/>
  <c r="O348" i="484"/>
  <c r="O200" i="484"/>
  <c r="O201" i="484"/>
  <c r="O202" i="484" s="1"/>
  <c r="CR225" i="2"/>
  <c r="EK110" i="2" l="1"/>
  <c r="EQ110" i="2" s="1"/>
  <c r="EF110" i="2"/>
  <c r="EG110" i="2" s="1"/>
  <c r="ER25" i="1"/>
  <c r="EQ25" i="1"/>
  <c r="EQ151" i="2"/>
  <c r="ES25" i="1"/>
  <c r="ES31" i="1"/>
  <c r="ES27" i="1" s="1"/>
  <c r="ES46" i="1"/>
  <c r="ES48" i="1" s="1"/>
  <c r="ET26" i="1"/>
  <c r="EQ31" i="1"/>
  <c r="EQ27" i="1" s="1"/>
  <c r="ER26" i="1"/>
  <c r="EU24" i="1"/>
  <c r="EQ46" i="1"/>
  <c r="ES413" i="4"/>
  <c r="ET414" i="4"/>
  <c r="ER413" i="4"/>
  <c r="ES414" i="4"/>
  <c r="ET31" i="1"/>
  <c r="ET27" i="1" s="1"/>
  <c r="ET46" i="1"/>
  <c r="ET48" i="1" s="1"/>
  <c r="EQ414" i="4"/>
  <c r="ER414" i="4"/>
  <c r="EQ413" i="4"/>
  <c r="ER46" i="1"/>
  <c r="ER48" i="1" s="1"/>
  <c r="ER31" i="1"/>
  <c r="ER27" i="1" s="1"/>
  <c r="ES26" i="1"/>
  <c r="ET22" i="1"/>
  <c r="EE438" i="4"/>
  <c r="EE437" i="4"/>
  <c r="ES368" i="4"/>
  <c r="EM46" i="1"/>
  <c r="EM48" i="1" s="1"/>
  <c r="EK46" i="1"/>
  <c r="EK48" i="1" s="1"/>
  <c r="EK262" i="1" s="1"/>
  <c r="EN23" i="1"/>
  <c r="ET366" i="4"/>
  <c r="ET368" i="4" s="1"/>
  <c r="EL46" i="1"/>
  <c r="EL48" i="1" s="1"/>
  <c r="ER368" i="4"/>
  <c r="ET358" i="4"/>
  <c r="DW108" i="2"/>
  <c r="DY108" i="2" s="1"/>
  <c r="DY109" i="2" s="1"/>
  <c r="DV109" i="2"/>
  <c r="DW109" i="2" s="1"/>
  <c r="R14" i="484"/>
  <c r="R183" i="484" s="1"/>
  <c r="R211" i="484"/>
  <c r="R212" i="484"/>
  <c r="R147" i="484"/>
  <c r="R185" i="484"/>
  <c r="R184" i="484"/>
  <c r="R146" i="484"/>
  <c r="EL110" i="2"/>
  <c r="ER110" i="2" s="1"/>
  <c r="EM281" i="4"/>
  <c r="EL301" i="4"/>
  <c r="EH310" i="4"/>
  <c r="EH307" i="4"/>
  <c r="EH308" i="4"/>
  <c r="EK303" i="4"/>
  <c r="EK302" i="4"/>
  <c r="EG311" i="4"/>
  <c r="EG312" i="4"/>
  <c r="DJ53" i="4"/>
  <c r="DJ30" i="4"/>
  <c r="CS268" i="2"/>
  <c r="EN22" i="1"/>
  <c r="EF262" i="1"/>
  <c r="EO21" i="1"/>
  <c r="EO22" i="1" s="1"/>
  <c r="EH33" i="1"/>
  <c r="EH391" i="4"/>
  <c r="EI31" i="1"/>
  <c r="EI32" i="1" s="1"/>
  <c r="EF51" i="1"/>
  <c r="EG23" i="2"/>
  <c r="EG95" i="2"/>
  <c r="EG99" i="2" s="1"/>
  <c r="EG100" i="2" s="1"/>
  <c r="EH28" i="2"/>
  <c r="EI28" i="2" s="1"/>
  <c r="EH240" i="1"/>
  <c r="EH67" i="1"/>
  <c r="EH50" i="1"/>
  <c r="EH224" i="1"/>
  <c r="EH62" i="1"/>
  <c r="EH64" i="1" s="1"/>
  <c r="EH208" i="1"/>
  <c r="EH54" i="1"/>
  <c r="EH238" i="1"/>
  <c r="EH11" i="2"/>
  <c r="EH261" i="1"/>
  <c r="EH58" i="1"/>
  <c r="EH60" i="1" s="1"/>
  <c r="EH32" i="1"/>
  <c r="EH242" i="1"/>
  <c r="EH425" i="4"/>
  <c r="EI425" i="4" s="1"/>
  <c r="EC242" i="1"/>
  <c r="EC32" i="1"/>
  <c r="EC67" i="1"/>
  <c r="EC240" i="1"/>
  <c r="EC238" i="1"/>
  <c r="EC208" i="1"/>
  <c r="EC359" i="4"/>
  <c r="EC11" i="2"/>
  <c r="EC54" i="1"/>
  <c r="EB212" i="1"/>
  <c r="EB79" i="1"/>
  <c r="EB85" i="1" s="1"/>
  <c r="EB244" i="1"/>
  <c r="EB228" i="1"/>
  <c r="Q150" i="484"/>
  <c r="Q134" i="484"/>
  <c r="EF65" i="1"/>
  <c r="EF64" i="1"/>
  <c r="EF246" i="1"/>
  <c r="EF230" i="1"/>
  <c r="EF214" i="1"/>
  <c r="EE57" i="1"/>
  <c r="EE212" i="1"/>
  <c r="EE79" i="1"/>
  <c r="EE81" i="1" s="1"/>
  <c r="EE244" i="1"/>
  <c r="EF57" i="1"/>
  <c r="EE228" i="1"/>
  <c r="EE56" i="1"/>
  <c r="EE213" i="1"/>
  <c r="EE229" i="1"/>
  <c r="EE60" i="1"/>
  <c r="EE245" i="1"/>
  <c r="EF61" i="1"/>
  <c r="EM25" i="1"/>
  <c r="EM31" i="1"/>
  <c r="EM27" i="1" s="1"/>
  <c r="EM26" i="1"/>
  <c r="EL31" i="1"/>
  <c r="EL27" i="1" s="1"/>
  <c r="EL25" i="1"/>
  <c r="EI48" i="1"/>
  <c r="EH262" i="1"/>
  <c r="P242" i="484"/>
  <c r="P239" i="484"/>
  <c r="EB245" i="1"/>
  <c r="EB213" i="1"/>
  <c r="EE61" i="1"/>
  <c r="Q220" i="484"/>
  <c r="Q174" i="484"/>
  <c r="Q195" i="484"/>
  <c r="EK26" i="1"/>
  <c r="EL26" i="1"/>
  <c r="EK31" i="1"/>
  <c r="EK33" i="1" s="1"/>
  <c r="EK25" i="1"/>
  <c r="EF212" i="1"/>
  <c r="EF79" i="1"/>
  <c r="EF244" i="1"/>
  <c r="EF56" i="1"/>
  <c r="EF228" i="1"/>
  <c r="EG57" i="1"/>
  <c r="EF245" i="1"/>
  <c r="EF60" i="1"/>
  <c r="EF229" i="1"/>
  <c r="EF213" i="1"/>
  <c r="EF95" i="2"/>
  <c r="EF99" i="2" s="1"/>
  <c r="EF100" i="2" s="1"/>
  <c r="EF23" i="2"/>
  <c r="EE65" i="1"/>
  <c r="EE246" i="1"/>
  <c r="EE230" i="1"/>
  <c r="EE214" i="1"/>
  <c r="EE64" i="1"/>
  <c r="EE23" i="2"/>
  <c r="EE118" i="2"/>
  <c r="EE44" i="3" s="1"/>
  <c r="EE95" i="2"/>
  <c r="EE99" i="2" s="1"/>
  <c r="EE100" i="2" s="1"/>
  <c r="EG228" i="1"/>
  <c r="EG212" i="1"/>
  <c r="EG244" i="1"/>
  <c r="EG51" i="1"/>
  <c r="EG65" i="1"/>
  <c r="EG246" i="1"/>
  <c r="EG214" i="1"/>
  <c r="EG230" i="1"/>
  <c r="P196" i="484"/>
  <c r="P350" i="484"/>
  <c r="P234" i="484"/>
  <c r="P164" i="484"/>
  <c r="P167" i="484"/>
  <c r="P162" i="484"/>
  <c r="P126" i="484"/>
  <c r="P163" i="484"/>
  <c r="P168" i="484"/>
  <c r="P166" i="484"/>
  <c r="P151" i="484"/>
  <c r="P158" i="484"/>
  <c r="P161" i="484"/>
  <c r="P165" i="484"/>
  <c r="P159" i="484"/>
  <c r="P157" i="484"/>
  <c r="P156" i="484"/>
  <c r="EE50" i="1"/>
  <c r="EE262" i="1"/>
  <c r="T4" i="484"/>
  <c r="Q345" i="484"/>
  <c r="Q28" i="484"/>
  <c r="Q23" i="484"/>
  <c r="Q5" i="484"/>
  <c r="Q70" i="484"/>
  <c r="Q29" i="484"/>
  <c r="Q26" i="484"/>
  <c r="EC62" i="1"/>
  <c r="EB230" i="1"/>
  <c r="EB214" i="1"/>
  <c r="EB246" i="1"/>
  <c r="EC23" i="2"/>
  <c r="EI46" i="1"/>
  <c r="EI47" i="1" s="1"/>
  <c r="EC50" i="1"/>
  <c r="DW180" i="1"/>
  <c r="DW177" i="1"/>
  <c r="DT293" i="1"/>
  <c r="DT292" i="1"/>
  <c r="DU291" i="1"/>
  <c r="DU201" i="2"/>
  <c r="BI141" i="3"/>
  <c r="BI70" i="3"/>
  <c r="BN68" i="3"/>
  <c r="BM141" i="3"/>
  <c r="BR70" i="3"/>
  <c r="BQ141" i="3"/>
  <c r="BS70" i="3"/>
  <c r="BR68" i="3"/>
  <c r="BT70" i="3"/>
  <c r="BQ70" i="3"/>
  <c r="CS285" i="2"/>
  <c r="BH243" i="2"/>
  <c r="BH271" i="2" s="1"/>
  <c r="CS269" i="2"/>
  <c r="CU268" i="2"/>
  <c r="EE121" i="2"/>
  <c r="EF107" i="2"/>
  <c r="BL248" i="2"/>
  <c r="BL249" i="2" s="1"/>
  <c r="BX252" i="2"/>
  <c r="BX251" i="2" s="1"/>
  <c r="CP204" i="2"/>
  <c r="BA240" i="2"/>
  <c r="BA241" i="2" s="1"/>
  <c r="EK223" i="2"/>
  <c r="EH223" i="2"/>
  <c r="DS116" i="2"/>
  <c r="DT113" i="2"/>
  <c r="BZ255" i="2"/>
  <c r="EN151" i="2"/>
  <c r="EO141" i="2"/>
  <c r="AV236" i="2"/>
  <c r="AU237" i="2"/>
  <c r="BX236" i="4"/>
  <c r="BX237" i="4" s="1"/>
  <c r="BX239" i="4"/>
  <c r="EH298" i="4"/>
  <c r="EH297" i="4"/>
  <c r="EH291" i="4"/>
  <c r="EF324" i="4"/>
  <c r="EF323" i="4"/>
  <c r="EG293" i="4"/>
  <c r="EG292" i="4"/>
  <c r="EG322" i="4"/>
  <c r="BW237" i="4"/>
  <c r="EK296" i="4"/>
  <c r="EL282" i="4"/>
  <c r="CS225" i="2"/>
  <c r="ER151" i="2" l="1"/>
  <c r="ER28" i="2"/>
  <c r="ER11" i="2"/>
  <c r="ER279" i="1" s="1"/>
  <c r="ER67" i="1"/>
  <c r="ER242" i="1"/>
  <c r="ER243" i="1"/>
  <c r="ER62" i="1"/>
  <c r="ES33" i="1"/>
  <c r="ER240" i="1"/>
  <c r="ER238" i="1"/>
  <c r="ER50" i="1"/>
  <c r="ER208" i="1"/>
  <c r="ER224" i="1"/>
  <c r="ER58" i="1"/>
  <c r="ER239" i="1"/>
  <c r="ER32" i="1"/>
  <c r="ER54" i="1"/>
  <c r="ET28" i="2"/>
  <c r="EU28" i="2" s="1"/>
  <c r="ET11" i="2"/>
  <c r="ET279" i="1" s="1"/>
  <c r="EU279" i="1" s="1"/>
  <c r="ET243" i="1"/>
  <c r="ET242" i="1"/>
  <c r="ET62" i="1"/>
  <c r="ET238" i="1"/>
  <c r="ET240" i="1"/>
  <c r="ET54" i="1"/>
  <c r="ET224" i="1"/>
  <c r="ET239" i="1"/>
  <c r="ET261" i="1"/>
  <c r="ET58" i="1"/>
  <c r="ET67" i="1"/>
  <c r="ET50" i="1"/>
  <c r="EU22" i="1"/>
  <c r="EQ11" i="2"/>
  <c r="EQ279" i="1" s="1"/>
  <c r="EQ28" i="2"/>
  <c r="EQ238" i="1"/>
  <c r="EQ240" i="1"/>
  <c r="EQ32" i="1"/>
  <c r="EQ224" i="1"/>
  <c r="EQ208" i="1"/>
  <c r="EQ239" i="1"/>
  <c r="ER33" i="1"/>
  <c r="EQ67" i="1"/>
  <c r="EU31" i="1"/>
  <c r="EQ243" i="1"/>
  <c r="EQ242" i="1"/>
  <c r="EQ62" i="1"/>
  <c r="EQ54" i="1"/>
  <c r="EQ58" i="1"/>
  <c r="EU46" i="1"/>
  <c r="EU47" i="1" s="1"/>
  <c r="EQ48" i="1"/>
  <c r="ES28" i="2"/>
  <c r="ES11" i="2"/>
  <c r="ES279" i="1" s="1"/>
  <c r="ES239" i="1"/>
  <c r="ES62" i="1"/>
  <c r="ES243" i="1"/>
  <c r="ES242" i="1"/>
  <c r="ES32" i="1"/>
  <c r="ES240" i="1"/>
  <c r="ES238" i="1"/>
  <c r="ES54" i="1"/>
  <c r="ET33" i="1"/>
  <c r="ES208" i="1"/>
  <c r="ES224" i="1"/>
  <c r="ES67" i="1"/>
  <c r="ES58" i="1"/>
  <c r="ES50" i="1"/>
  <c r="EU366" i="4"/>
  <c r="ET359" i="4"/>
  <c r="ER425" i="4"/>
  <c r="ER359" i="4"/>
  <c r="EM262" i="1"/>
  <c r="EQ425" i="4"/>
  <c r="EQ359" i="4"/>
  <c r="ET425" i="4"/>
  <c r="ES425" i="4"/>
  <c r="ES359" i="4"/>
  <c r="BH245" i="2"/>
  <c r="EB136" i="1"/>
  <c r="EB129" i="1"/>
  <c r="R21" i="484"/>
  <c r="R145" i="484"/>
  <c r="R141" i="484" s="1"/>
  <c r="R150" i="484" s="1"/>
  <c r="R207" i="484"/>
  <c r="R17" i="484"/>
  <c r="R10" i="484"/>
  <c r="R64" i="484" s="1"/>
  <c r="R179" i="484"/>
  <c r="R220" i="484" s="1"/>
  <c r="R218" i="484" s="1"/>
  <c r="Q218" i="484"/>
  <c r="Q242" i="484" s="1"/>
  <c r="EM110" i="2"/>
  <c r="ES110" i="2" s="1"/>
  <c r="EH110" i="2"/>
  <c r="EN110" i="2" s="1"/>
  <c r="ET110" i="2" s="1"/>
  <c r="EI62" i="1"/>
  <c r="EI246" i="1" s="1"/>
  <c r="EH311" i="4"/>
  <c r="EH312" i="4"/>
  <c r="EL302" i="4"/>
  <c r="EL303" i="4"/>
  <c r="EM301" i="4"/>
  <c r="EN281" i="4"/>
  <c r="EE31" i="3"/>
  <c r="EE106" i="3" s="1"/>
  <c r="EI238" i="1"/>
  <c r="EI67" i="1"/>
  <c r="EI242" i="1"/>
  <c r="EI240" i="1"/>
  <c r="EI208" i="1"/>
  <c r="EI359" i="4"/>
  <c r="EE27" i="2"/>
  <c r="EK27" i="1"/>
  <c r="P243" i="484"/>
  <c r="EE82" i="1"/>
  <c r="EC95" i="2"/>
  <c r="EC51" i="1"/>
  <c r="EK50" i="1"/>
  <c r="EC63" i="1"/>
  <c r="EC64" i="1"/>
  <c r="EC246" i="1"/>
  <c r="EC214" i="1"/>
  <c r="P349" i="484"/>
  <c r="P127" i="484"/>
  <c r="P199" i="484"/>
  <c r="P240" i="484"/>
  <c r="EB217" i="1"/>
  <c r="EB86" i="1"/>
  <c r="EB249" i="1"/>
  <c r="EB98" i="1"/>
  <c r="EB101" i="1" s="1"/>
  <c r="EB122" i="1" s="1"/>
  <c r="EB87" i="1"/>
  <c r="EL262" i="1"/>
  <c r="Q234" i="484"/>
  <c r="T195" i="484"/>
  <c r="EU413" i="4" s="1"/>
  <c r="Q196" i="484"/>
  <c r="Q350" i="484"/>
  <c r="Q163" i="484"/>
  <c r="T150" i="484"/>
  <c r="EU293" i="4" s="1"/>
  <c r="Q162" i="484"/>
  <c r="Q168" i="484"/>
  <c r="Q165" i="484"/>
  <c r="Q151" i="484"/>
  <c r="Q156" i="484"/>
  <c r="Q159" i="484"/>
  <c r="Q167" i="484"/>
  <c r="Q157" i="484"/>
  <c r="Q164" i="484"/>
  <c r="Q126" i="484"/>
  <c r="Q158" i="484"/>
  <c r="Q166" i="484"/>
  <c r="Q161" i="484"/>
  <c r="EC55" i="1"/>
  <c r="EC56" i="1"/>
  <c r="EC244" i="1"/>
  <c r="EC212" i="1"/>
  <c r="EH213" i="1"/>
  <c r="EH245" i="1"/>
  <c r="EH57" i="1"/>
  <c r="EH244" i="1"/>
  <c r="EH228" i="1"/>
  <c r="EH212" i="1"/>
  <c r="EH79" i="1"/>
  <c r="EH85" i="1" s="1"/>
  <c r="EH51" i="1"/>
  <c r="EE51" i="1"/>
  <c r="EE85" i="1"/>
  <c r="EI50" i="1"/>
  <c r="P160" i="484"/>
  <c r="EE52" i="3"/>
  <c r="EE117" i="3"/>
  <c r="EK391" i="4"/>
  <c r="EK28" i="2"/>
  <c r="EK238" i="1"/>
  <c r="EK208" i="1"/>
  <c r="EK11" i="2"/>
  <c r="EK62" i="1"/>
  <c r="EK242" i="1"/>
  <c r="EK261" i="1"/>
  <c r="EK58" i="1"/>
  <c r="EK32" i="1"/>
  <c r="EK240" i="1"/>
  <c r="EK54" i="1"/>
  <c r="EK224" i="1"/>
  <c r="EK67" i="1"/>
  <c r="EK425" i="4"/>
  <c r="EL33" i="1"/>
  <c r="EM28" i="2"/>
  <c r="EM261" i="1"/>
  <c r="EM62" i="1"/>
  <c r="EM50" i="1"/>
  <c r="EM11" i="2"/>
  <c r="EM240" i="1"/>
  <c r="EM67" i="1"/>
  <c r="EM32" i="1"/>
  <c r="EM208" i="1"/>
  <c r="EM224" i="1"/>
  <c r="EM242" i="1"/>
  <c r="EM54" i="1"/>
  <c r="EM238" i="1"/>
  <c r="EM425" i="4"/>
  <c r="EI54" i="1"/>
  <c r="EI56" i="1" s="1"/>
  <c r="EB106" i="3"/>
  <c r="EC106" i="3" s="1"/>
  <c r="EH118" i="2"/>
  <c r="EH23" i="2"/>
  <c r="EI23" i="2" s="1"/>
  <c r="EH95" i="2"/>
  <c r="EF27" i="2"/>
  <c r="EF215" i="1"/>
  <c r="EF428" i="4"/>
  <c r="EF247" i="1"/>
  <c r="EF231" i="1"/>
  <c r="EF81" i="1"/>
  <c r="EL208" i="1"/>
  <c r="EL58" i="1"/>
  <c r="EL238" i="1"/>
  <c r="EL11" i="2"/>
  <c r="EL224" i="1"/>
  <c r="EL32" i="1"/>
  <c r="EL242" i="1"/>
  <c r="EL28" i="2"/>
  <c r="EL261" i="1"/>
  <c r="EL54" i="1"/>
  <c r="EL50" i="1"/>
  <c r="EL240" i="1"/>
  <c r="EL62" i="1"/>
  <c r="EL67" i="1"/>
  <c r="EL425" i="4"/>
  <c r="EM33" i="1"/>
  <c r="EE428" i="4"/>
  <c r="EE247" i="1"/>
  <c r="EE231" i="1"/>
  <c r="EE215" i="1"/>
  <c r="EH56" i="1"/>
  <c r="EB428" i="4"/>
  <c r="EB215" i="1"/>
  <c r="EB247" i="1"/>
  <c r="EB81" i="1"/>
  <c r="EI11" i="2"/>
  <c r="EH65" i="1"/>
  <c r="EH214" i="1"/>
  <c r="EH246" i="1"/>
  <c r="EH230" i="1"/>
  <c r="EF85" i="1"/>
  <c r="DV291" i="1"/>
  <c r="DV201" i="2"/>
  <c r="DW201" i="2" s="1"/>
  <c r="DW208" i="2" s="1"/>
  <c r="CA236" i="4"/>
  <c r="DU293" i="1"/>
  <c r="DU292" i="1"/>
  <c r="BR141" i="3"/>
  <c r="BS68" i="3"/>
  <c r="BS72" i="3"/>
  <c r="BS143" i="3"/>
  <c r="BS149" i="3" s="1"/>
  <c r="BN141" i="3"/>
  <c r="BO68" i="3"/>
  <c r="BQ143" i="3"/>
  <c r="BQ149" i="3" s="1"/>
  <c r="BQ72" i="3"/>
  <c r="BI143" i="3"/>
  <c r="BI149" i="3" s="1"/>
  <c r="BI72" i="3"/>
  <c r="BT72" i="3"/>
  <c r="BT143" i="3"/>
  <c r="BT149" i="3" s="1"/>
  <c r="BW68" i="3"/>
  <c r="BR143" i="3"/>
  <c r="BR149" i="3" s="1"/>
  <c r="BR72" i="3"/>
  <c r="CU269" i="2"/>
  <c r="CV268" i="2" s="1"/>
  <c r="CV269" i="2" s="1"/>
  <c r="CS228" i="2"/>
  <c r="EC274" i="2" s="1"/>
  <c r="BX271" i="2"/>
  <c r="BX253" i="2"/>
  <c r="BM248" i="2"/>
  <c r="BM247" i="2" s="1"/>
  <c r="BM271" i="2" s="1"/>
  <c r="EL223" i="2"/>
  <c r="EM223" i="2" s="1"/>
  <c r="EN223" i="2" s="1"/>
  <c r="EO223" i="2" s="1"/>
  <c r="EI223" i="2"/>
  <c r="EO292" i="2"/>
  <c r="EO293" i="2"/>
  <c r="EO151" i="2"/>
  <c r="CQ202" i="2"/>
  <c r="EC276" i="2"/>
  <c r="CS291" i="2"/>
  <c r="CS277" i="2"/>
  <c r="CS278" i="2" s="1"/>
  <c r="CS279" i="2" s="1"/>
  <c r="BZ271" i="2"/>
  <c r="CA255" i="2"/>
  <c r="CA271" i="2" s="1"/>
  <c r="BZ257" i="2"/>
  <c r="CA257" i="2" s="1"/>
  <c r="EG107" i="2"/>
  <c r="EF121" i="2"/>
  <c r="DU113" i="2"/>
  <c r="DT116" i="2"/>
  <c r="BB240" i="2"/>
  <c r="BB241" i="2" s="1"/>
  <c r="BC241" i="2" s="1"/>
  <c r="BE240" i="2" s="1"/>
  <c r="EL296" i="4"/>
  <c r="EM282" i="4"/>
  <c r="EG324" i="4"/>
  <c r="EG323" i="4"/>
  <c r="EH293" i="4"/>
  <c r="EH292" i="4"/>
  <c r="EH322" i="4"/>
  <c r="EK298" i="4"/>
  <c r="EK297" i="4"/>
  <c r="EK291" i="4"/>
  <c r="CU225" i="2"/>
  <c r="ER60" i="1" l="1"/>
  <c r="EQ64" i="1"/>
  <c r="ES64" i="1"/>
  <c r="ES151" i="2"/>
  <c r="ER64" i="1"/>
  <c r="EQ56" i="1"/>
  <c r="ES56" i="1"/>
  <c r="EQ60" i="1"/>
  <c r="ER56" i="1"/>
  <c r="ES51" i="1"/>
  <c r="ET65" i="1"/>
  <c r="ES246" i="1"/>
  <c r="ES230" i="1"/>
  <c r="ES214" i="1"/>
  <c r="ER230" i="1"/>
  <c r="EU62" i="1"/>
  <c r="EQ246" i="1"/>
  <c r="EQ214" i="1"/>
  <c r="ER65" i="1"/>
  <c r="ES245" i="1"/>
  <c r="ET61" i="1"/>
  <c r="ES229" i="1"/>
  <c r="EU48" i="1"/>
  <c r="EQ50" i="1"/>
  <c r="ET245" i="1"/>
  <c r="ET229" i="1"/>
  <c r="ET267" i="1"/>
  <c r="EU11" i="2"/>
  <c r="ET262" i="1"/>
  <c r="ES244" i="1"/>
  <c r="ES79" i="1"/>
  <c r="ES228" i="1"/>
  <c r="ET57" i="1"/>
  <c r="ES212" i="1"/>
  <c r="ER229" i="1"/>
  <c r="EQ213" i="1"/>
  <c r="EU58" i="1"/>
  <c r="EQ245" i="1"/>
  <c r="ER61" i="1"/>
  <c r="ET118" i="2"/>
  <c r="ET23" i="2"/>
  <c r="EU23" i="2" s="1"/>
  <c r="ET95" i="2"/>
  <c r="ET292" i="1"/>
  <c r="EU292" i="1" s="1"/>
  <c r="ET230" i="1"/>
  <c r="ET246" i="1"/>
  <c r="ER51" i="1"/>
  <c r="ES65" i="1"/>
  <c r="ER214" i="1"/>
  <c r="ER246" i="1"/>
  <c r="ER228" i="1"/>
  <c r="EQ244" i="1"/>
  <c r="EQ212" i="1"/>
  <c r="ER57" i="1"/>
  <c r="EU54" i="1"/>
  <c r="EQ79" i="1"/>
  <c r="EQ81" i="1" s="1"/>
  <c r="EU240" i="1"/>
  <c r="EU67" i="1"/>
  <c r="EU243" i="1"/>
  <c r="EU238" i="1"/>
  <c r="EU239" i="1"/>
  <c r="EU242" i="1"/>
  <c r="ET51" i="1"/>
  <c r="ET228" i="1"/>
  <c r="ET244" i="1"/>
  <c r="ET79" i="1"/>
  <c r="ER212" i="1"/>
  <c r="ER79" i="1"/>
  <c r="ER85" i="1" s="1"/>
  <c r="ER244" i="1"/>
  <c r="ES57" i="1"/>
  <c r="ER213" i="1"/>
  <c r="ES61" i="1"/>
  <c r="ER245" i="1"/>
  <c r="EL391" i="4"/>
  <c r="EU425" i="4"/>
  <c r="EU359" i="4"/>
  <c r="EB123" i="1"/>
  <c r="EB124" i="1"/>
  <c r="EB125" i="1" s="1"/>
  <c r="EB126" i="1" s="1"/>
  <c r="EB130" i="1"/>
  <c r="EB139" i="1"/>
  <c r="EB137" i="1"/>
  <c r="R134" i="484"/>
  <c r="R4" i="484"/>
  <c r="R29" i="484" s="1"/>
  <c r="R131" i="484"/>
  <c r="R174" i="484"/>
  <c r="R195" i="484"/>
  <c r="R234" i="484" s="1"/>
  <c r="EI63" i="1"/>
  <c r="Q239" i="484"/>
  <c r="Q243" i="484" s="1"/>
  <c r="EI214" i="1"/>
  <c r="R157" i="484"/>
  <c r="R151" i="484"/>
  <c r="R167" i="484"/>
  <c r="R168" i="484"/>
  <c r="R158" i="484"/>
  <c r="R163" i="484"/>
  <c r="R159" i="484"/>
  <c r="R162" i="484"/>
  <c r="R156" i="484"/>
  <c r="R161" i="484"/>
  <c r="R166" i="484"/>
  <c r="R165" i="484"/>
  <c r="R164" i="484"/>
  <c r="R242" i="484"/>
  <c r="R239" i="484"/>
  <c r="EI64" i="1"/>
  <c r="EN301" i="4"/>
  <c r="EO281" i="4"/>
  <c r="EQ281" i="4" s="1"/>
  <c r="EQ301" i="4" s="1"/>
  <c r="EQ303" i="4" s="1"/>
  <c r="EM303" i="4"/>
  <c r="EM302" i="4"/>
  <c r="EF31" i="3"/>
  <c r="EF106" i="3" s="1"/>
  <c r="Q160" i="484"/>
  <c r="EB82" i="1"/>
  <c r="EF249" i="1"/>
  <c r="EF233" i="1"/>
  <c r="EF86" i="1"/>
  <c r="EF87" i="1"/>
  <c r="EF136" i="1"/>
  <c r="EF217" i="1"/>
  <c r="EF129" i="1"/>
  <c r="EF130" i="1" s="1"/>
  <c r="EF98" i="1"/>
  <c r="EL51" i="1"/>
  <c r="EH99" i="2"/>
  <c r="EI95" i="2"/>
  <c r="EM230" i="1"/>
  <c r="EM246" i="1"/>
  <c r="EM214" i="1"/>
  <c r="EM64" i="1"/>
  <c r="EK61" i="1"/>
  <c r="EK213" i="1"/>
  <c r="EK245" i="1"/>
  <c r="EK229" i="1"/>
  <c r="EK60" i="1"/>
  <c r="EK31" i="3"/>
  <c r="EK106" i="3" s="1"/>
  <c r="EH249" i="1"/>
  <c r="EH217" i="1"/>
  <c r="EH136" i="1"/>
  <c r="EH129" i="1"/>
  <c r="EH98" i="1"/>
  <c r="EH87" i="1"/>
  <c r="EH86" i="1"/>
  <c r="T126" i="484"/>
  <c r="Q127" i="484"/>
  <c r="P348" i="484"/>
  <c r="EL57" i="1"/>
  <c r="EL244" i="1"/>
  <c r="EL228" i="1"/>
  <c r="EL79" i="1"/>
  <c r="EL85" i="1" s="1"/>
  <c r="EL212" i="1"/>
  <c r="EL56" i="1"/>
  <c r="EL61" i="1"/>
  <c r="EL245" i="1"/>
  <c r="EL229" i="1"/>
  <c r="EL213" i="1"/>
  <c r="EL60" i="1"/>
  <c r="EI55" i="1"/>
  <c r="EI244" i="1"/>
  <c r="EI212" i="1"/>
  <c r="EM95" i="2"/>
  <c r="EM99" i="2" s="1"/>
  <c r="EM100" i="2" s="1"/>
  <c r="EM23" i="2"/>
  <c r="EK57" i="1"/>
  <c r="EK212" i="1"/>
  <c r="EK79" i="1"/>
  <c r="EK85" i="1" s="1"/>
  <c r="EK244" i="1"/>
  <c r="EK228" i="1"/>
  <c r="EK56" i="1"/>
  <c r="EK118" i="2"/>
  <c r="EK44" i="3" s="1"/>
  <c r="EK23" i="2"/>
  <c r="EK95" i="2"/>
  <c r="EK99" i="2" s="1"/>
  <c r="EK100" i="2" s="1"/>
  <c r="EE125" i="3"/>
  <c r="EI51" i="1"/>
  <c r="P200" i="484"/>
  <c r="P201" i="484"/>
  <c r="P202" i="484" s="1"/>
  <c r="EE83" i="1"/>
  <c r="EC27" i="2"/>
  <c r="EL65" i="1"/>
  <c r="EL214" i="1"/>
  <c r="EL246" i="1"/>
  <c r="EL230" i="1"/>
  <c r="EM65" i="1"/>
  <c r="EL64" i="1"/>
  <c r="EL95" i="2"/>
  <c r="EL99" i="2" s="1"/>
  <c r="EL100" i="2" s="1"/>
  <c r="EL23" i="2"/>
  <c r="EF82" i="1"/>
  <c r="EF83" i="1"/>
  <c r="EM57" i="1"/>
  <c r="EM244" i="1"/>
  <c r="EM228" i="1"/>
  <c r="EM212" i="1"/>
  <c r="EM56" i="1"/>
  <c r="EE217" i="1"/>
  <c r="EE98" i="1"/>
  <c r="EE129" i="1"/>
  <c r="EE130" i="1" s="1"/>
  <c r="EE87" i="1"/>
  <c r="EE249" i="1"/>
  <c r="EE136" i="1"/>
  <c r="EE233" i="1"/>
  <c r="EE86" i="1"/>
  <c r="EH27" i="2"/>
  <c r="EH428" i="4"/>
  <c r="EH215" i="1"/>
  <c r="EH247" i="1"/>
  <c r="EH81" i="1"/>
  <c r="EK51" i="1"/>
  <c r="EM51" i="1"/>
  <c r="EK65" i="1"/>
  <c r="EK214" i="1"/>
  <c r="EK246" i="1"/>
  <c r="EK230" i="1"/>
  <c r="EK64" i="1"/>
  <c r="Q349" i="484"/>
  <c r="EC99" i="2"/>
  <c r="EC100" i="2"/>
  <c r="DY291" i="1"/>
  <c r="DY201" i="2"/>
  <c r="DV293" i="1"/>
  <c r="DW293" i="1" s="1"/>
  <c r="DV292" i="1"/>
  <c r="DW292" i="1" s="1"/>
  <c r="DW291" i="1"/>
  <c r="DW172" i="1"/>
  <c r="BO141" i="3"/>
  <c r="BO70" i="3"/>
  <c r="BS141" i="3"/>
  <c r="BT68" i="3"/>
  <c r="BX68" i="3"/>
  <c r="BZ70" i="3"/>
  <c r="BW70" i="3"/>
  <c r="BX70" i="3"/>
  <c r="BW141" i="3"/>
  <c r="BY70" i="3"/>
  <c r="CW268" i="2"/>
  <c r="DV113" i="2"/>
  <c r="DU116" i="2"/>
  <c r="BC240" i="2"/>
  <c r="EG121" i="2"/>
  <c r="EH107" i="2"/>
  <c r="CQ204" i="2"/>
  <c r="EH324" i="4"/>
  <c r="EH323" i="4"/>
  <c r="EK292" i="4"/>
  <c r="EK322" i="4"/>
  <c r="EK293" i="4"/>
  <c r="EM296" i="4"/>
  <c r="EN282" i="4"/>
  <c r="EL298" i="4"/>
  <c r="EL297" i="4"/>
  <c r="EL291" i="4"/>
  <c r="CV225" i="2"/>
  <c r="EN303" i="4" l="1"/>
  <c r="EQ302" i="4"/>
  <c r="ET151" i="2"/>
  <c r="EU141" i="2"/>
  <c r="ER249" i="1"/>
  <c r="ER136" i="1"/>
  <c r="ER217" i="1"/>
  <c r="ER98" i="1"/>
  <c r="ER100" i="1" s="1"/>
  <c r="ER105" i="1" s="1"/>
  <c r="ER122" i="1"/>
  <c r="ER86" i="1"/>
  <c r="ER274" i="1"/>
  <c r="ER275" i="1" s="1"/>
  <c r="ER87" i="1"/>
  <c r="ER129" i="1"/>
  <c r="ER130" i="1" s="1"/>
  <c r="EU59" i="1"/>
  <c r="EU245" i="1"/>
  <c r="EQ85" i="1"/>
  <c r="EU50" i="1"/>
  <c r="EQ51" i="1"/>
  <c r="EQ27" i="2"/>
  <c r="ET247" i="1"/>
  <c r="ET231" i="1"/>
  <c r="ET27" i="2"/>
  <c r="ET81" i="1"/>
  <c r="ET85" i="1"/>
  <c r="EU244" i="1"/>
  <c r="EU55" i="1"/>
  <c r="EU79" i="1"/>
  <c r="EU81" i="1" s="1"/>
  <c r="ES247" i="1"/>
  <c r="ES231" i="1"/>
  <c r="ES81" i="1"/>
  <c r="ES27" i="2"/>
  <c r="EU246" i="1"/>
  <c r="EU63" i="1"/>
  <c r="ES85" i="1"/>
  <c r="ER247" i="1"/>
  <c r="ER215" i="1"/>
  <c r="ER231" i="1"/>
  <c r="ER27" i="2"/>
  <c r="ER81" i="1"/>
  <c r="ET263" i="1"/>
  <c r="EQ247" i="1"/>
  <c r="EQ215" i="1"/>
  <c r="EU95" i="2"/>
  <c r="ET99" i="2"/>
  <c r="O260" i="484"/>
  <c r="O259" i="484" s="1"/>
  <c r="EU57" i="2"/>
  <c r="ER281" i="4"/>
  <c r="ER301" i="4" s="1"/>
  <c r="ET428" i="4"/>
  <c r="EM391" i="4"/>
  <c r="ER428" i="4"/>
  <c r="EQ428" i="4"/>
  <c r="EB141" i="1"/>
  <c r="EB147" i="1"/>
  <c r="EB130" i="2" s="1"/>
  <c r="EB131" i="2" s="1"/>
  <c r="R23" i="484"/>
  <c r="R126" i="484"/>
  <c r="R127" i="484" s="1"/>
  <c r="R28" i="484"/>
  <c r="R5" i="484"/>
  <c r="R27" i="484"/>
  <c r="R26" i="484"/>
  <c r="R70" i="484"/>
  <c r="Q199" i="484"/>
  <c r="Q201" i="484" s="1"/>
  <c r="Q202" i="484" s="1"/>
  <c r="R196" i="484"/>
  <c r="T239" i="484"/>
  <c r="Q240" i="484"/>
  <c r="R160" i="484"/>
  <c r="R240" i="484"/>
  <c r="R243" i="484"/>
  <c r="EN302" i="4"/>
  <c r="EG31" i="3"/>
  <c r="EG106" i="3" s="1"/>
  <c r="EL31" i="3"/>
  <c r="EL106" i="3" s="1"/>
  <c r="EE139" i="1"/>
  <c r="EE140" i="1" s="1"/>
  <c r="EE137" i="1"/>
  <c r="EK217" i="1"/>
  <c r="EK87" i="1"/>
  <c r="EK136" i="1"/>
  <c r="EK129" i="1"/>
  <c r="EK130" i="1" s="1"/>
  <c r="EK249" i="1"/>
  <c r="EK86" i="1"/>
  <c r="EK98" i="1"/>
  <c r="EK233" i="1"/>
  <c r="EH82" i="1"/>
  <c r="EK52" i="3"/>
  <c r="EK117" i="3"/>
  <c r="EK125" i="3" s="1"/>
  <c r="EK81" i="1"/>
  <c r="EQ82" i="1" s="1"/>
  <c r="EK428" i="4"/>
  <c r="EK247" i="1"/>
  <c r="EK231" i="1"/>
  <c r="EK215" i="1"/>
  <c r="EK27" i="2"/>
  <c r="Q348" i="484"/>
  <c r="EH139" i="1"/>
  <c r="EH137" i="1"/>
  <c r="EI99" i="2"/>
  <c r="EH100" i="2"/>
  <c r="EI100" i="2" s="1"/>
  <c r="EL249" i="1"/>
  <c r="EL98" i="1"/>
  <c r="EL217" i="1"/>
  <c r="EL136" i="1"/>
  <c r="EL233" i="1"/>
  <c r="EL86" i="1"/>
  <c r="EL87" i="1"/>
  <c r="EL129" i="1"/>
  <c r="EL130" i="1" s="1"/>
  <c r="EF137" i="1"/>
  <c r="EF139" i="1"/>
  <c r="EF140" i="1" s="1"/>
  <c r="EL27" i="2"/>
  <c r="EL231" i="1"/>
  <c r="EL215" i="1"/>
  <c r="EL428" i="4"/>
  <c r="EL247" i="1"/>
  <c r="EL81" i="1"/>
  <c r="EI27" i="2"/>
  <c r="EH130" i="1"/>
  <c r="DZ291" i="1"/>
  <c r="DZ201" i="2"/>
  <c r="DW174" i="1"/>
  <c r="DW176" i="1"/>
  <c r="DW169" i="1"/>
  <c r="DW170" i="1" s="1"/>
  <c r="DY293" i="1"/>
  <c r="DY292" i="1"/>
  <c r="BX72" i="3"/>
  <c r="BX143" i="3"/>
  <c r="BX149" i="3" s="1"/>
  <c r="BT141" i="3"/>
  <c r="BU68" i="3"/>
  <c r="BW143" i="3"/>
  <c r="BW149" i="3" s="1"/>
  <c r="BW72" i="3"/>
  <c r="BY143" i="3"/>
  <c r="BY149" i="3" s="1"/>
  <c r="BY72" i="3"/>
  <c r="BZ143" i="3"/>
  <c r="BZ149" i="3" s="1"/>
  <c r="BZ72" i="3"/>
  <c r="CC68" i="3"/>
  <c r="BO72" i="3"/>
  <c r="BO143" i="3"/>
  <c r="BO149" i="3" s="1"/>
  <c r="BY68" i="3"/>
  <c r="BX141" i="3"/>
  <c r="EH121" i="2"/>
  <c r="EI121" i="2" s="1"/>
  <c r="EK107" i="2"/>
  <c r="EI107" i="2"/>
  <c r="DV116" i="2"/>
  <c r="DW116" i="2" s="1"/>
  <c r="DW113" i="2"/>
  <c r="DY113" i="2" s="1"/>
  <c r="CR202" i="2"/>
  <c r="CS202" i="2" s="1"/>
  <c r="CW269" i="2"/>
  <c r="EN296" i="4"/>
  <c r="EO282" i="4"/>
  <c r="EQ282" i="4" s="1"/>
  <c r="EQ296" i="4" s="1"/>
  <c r="EL322" i="4"/>
  <c r="EL293" i="4"/>
  <c r="EL292" i="4"/>
  <c r="EK324" i="4"/>
  <c r="EK323" i="4"/>
  <c r="EM298" i="4"/>
  <c r="EM297" i="4"/>
  <c r="EM291" i="4"/>
  <c r="DY289" i="1"/>
  <c r="CW225" i="2"/>
  <c r="EQ298" i="4" l="1"/>
  <c r="EQ297" i="4"/>
  <c r="ER303" i="4"/>
  <c r="ER302" i="4"/>
  <c r="EU291" i="2"/>
  <c r="EU293" i="2"/>
  <c r="EU292" i="2"/>
  <c r="EU151" i="2"/>
  <c r="ET83" i="1"/>
  <c r="EU99" i="2"/>
  <c r="ET100" i="2"/>
  <c r="EU100" i="2" s="1"/>
  <c r="ES83" i="1"/>
  <c r="ER109" i="1"/>
  <c r="ER250" i="1"/>
  <c r="ET265" i="1"/>
  <c r="EQ274" i="1"/>
  <c r="EQ275" i="1" s="1"/>
  <c r="EQ129" i="1"/>
  <c r="EQ98" i="1"/>
  <c r="EQ122" i="1"/>
  <c r="EQ86" i="1"/>
  <c r="EQ249" i="1"/>
  <c r="EQ87" i="1"/>
  <c r="EQ217" i="1"/>
  <c r="EQ136" i="1"/>
  <c r="ER137" i="1"/>
  <c r="ER139" i="1"/>
  <c r="ES274" i="1"/>
  <c r="ES275" i="1" s="1"/>
  <c r="ES86" i="1"/>
  <c r="ES249" i="1"/>
  <c r="ES129" i="1"/>
  <c r="ES130" i="1" s="1"/>
  <c r="ES136" i="1"/>
  <c r="ES122" i="1"/>
  <c r="ES233" i="1"/>
  <c r="ES98" i="1"/>
  <c r="ES100" i="1" s="1"/>
  <c r="ES105" i="1" s="1"/>
  <c r="EU247" i="1"/>
  <c r="ET233" i="1"/>
  <c r="ET86" i="1"/>
  <c r="ET274" i="1"/>
  <c r="ET275" i="1" s="1"/>
  <c r="ET129" i="1"/>
  <c r="ET130" i="1" s="1"/>
  <c r="ET249" i="1"/>
  <c r="ET136" i="1"/>
  <c r="ET122" i="1"/>
  <c r="ET98" i="1"/>
  <c r="ET100" i="1" s="1"/>
  <c r="ET105" i="1" s="1"/>
  <c r="EU51" i="1"/>
  <c r="EU85" i="1"/>
  <c r="ER233" i="1"/>
  <c r="ET12" i="2"/>
  <c r="ET15" i="2"/>
  <c r="EU15" i="2" s="1"/>
  <c r="ET33" i="2"/>
  <c r="EU33" i="2" s="1"/>
  <c r="ER82" i="1"/>
  <c r="ER83" i="1"/>
  <c r="EU27" i="2"/>
  <c r="EU58" i="2" s="1"/>
  <c r="ET264" i="1"/>
  <c r="ET266" i="1" s="1"/>
  <c r="ER124" i="1"/>
  <c r="ER125" i="1" s="1"/>
  <c r="ER123" i="1"/>
  <c r="ER282" i="4"/>
  <c r="ER296" i="4" s="1"/>
  <c r="ES281" i="4"/>
  <c r="ES301" i="4" s="1"/>
  <c r="EB154" i="1"/>
  <c r="EB149" i="1"/>
  <c r="EB150" i="1"/>
  <c r="EB151" i="1" s="1"/>
  <c r="Q200" i="484"/>
  <c r="R199" i="484"/>
  <c r="EH31" i="3"/>
  <c r="EI31" i="3" s="1"/>
  <c r="EM31" i="3"/>
  <c r="EM106" i="3" s="1"/>
  <c r="EL83" i="1"/>
  <c r="EL82" i="1"/>
  <c r="EF147" i="1"/>
  <c r="EK139" i="1"/>
  <c r="EK137" i="1"/>
  <c r="EE147" i="1"/>
  <c r="EH140" i="1"/>
  <c r="EH147" i="1" s="1"/>
  <c r="EL137" i="1"/>
  <c r="EL139" i="1"/>
  <c r="EK83" i="1"/>
  <c r="EK82" i="1"/>
  <c r="EA291" i="1"/>
  <c r="EA201" i="2"/>
  <c r="EC177" i="1"/>
  <c r="EC180" i="1"/>
  <c r="DZ293" i="1"/>
  <c r="DZ292" i="1"/>
  <c r="BU141" i="3"/>
  <c r="BU70" i="3"/>
  <c r="CC70" i="3"/>
  <c r="CC141" i="3"/>
  <c r="CE70" i="3"/>
  <c r="CD68" i="3"/>
  <c r="CF70" i="3"/>
  <c r="CD70" i="3"/>
  <c r="BZ68" i="3"/>
  <c r="BY141" i="3"/>
  <c r="BW285" i="1"/>
  <c r="BW286" i="1" s="1"/>
  <c r="CO285" i="1"/>
  <c r="CO286" i="1" s="1"/>
  <c r="CX268" i="2"/>
  <c r="CY268" i="2" s="1"/>
  <c r="CS209" i="2"/>
  <c r="CS204" i="2"/>
  <c r="CR204" i="2"/>
  <c r="DY116" i="2"/>
  <c r="DZ113" i="2"/>
  <c r="EA113" i="2" s="1"/>
  <c r="EL107" i="2"/>
  <c r="EK121" i="2"/>
  <c r="CU285" i="1"/>
  <c r="CU286" i="1" s="1"/>
  <c r="EL324" i="4"/>
  <c r="EL323" i="4"/>
  <c r="EN298" i="4"/>
  <c r="EN297" i="4"/>
  <c r="EN291" i="4"/>
  <c r="EM293" i="4"/>
  <c r="EM292" i="4"/>
  <c r="EM322" i="4"/>
  <c r="CX225" i="2"/>
  <c r="EA116" i="2" l="1"/>
  <c r="EB113" i="2"/>
  <c r="EB116" i="2" s="1"/>
  <c r="ES303" i="4"/>
  <c r="ES302" i="4"/>
  <c r="ER297" i="4"/>
  <c r="ER298" i="4"/>
  <c r="EU12" i="2"/>
  <c r="ET139" i="1"/>
  <c r="ET140" i="1" s="1"/>
  <c r="ET137" i="1"/>
  <c r="ES137" i="1"/>
  <c r="ES139" i="1"/>
  <c r="ES140" i="1" s="1"/>
  <c r="ET109" i="1"/>
  <c r="ET234" i="1"/>
  <c r="ET250" i="1"/>
  <c r="ES109" i="1"/>
  <c r="ES250" i="1"/>
  <c r="ES234" i="1"/>
  <c r="EQ139" i="1"/>
  <c r="EQ137" i="1"/>
  <c r="EU136" i="1"/>
  <c r="EQ100" i="1"/>
  <c r="EU100" i="1" s="1"/>
  <c r="EU98" i="1"/>
  <c r="EU86" i="1"/>
  <c r="EU249" i="1"/>
  <c r="EQ130" i="1"/>
  <c r="EU129" i="1"/>
  <c r="EU130" i="1" s="1"/>
  <c r="ET123" i="1"/>
  <c r="ET124" i="1"/>
  <c r="ET125" i="1" s="1"/>
  <c r="ES123" i="1"/>
  <c r="ES124" i="1"/>
  <c r="ES125" i="1" s="1"/>
  <c r="ER140" i="1"/>
  <c r="ER320" i="1" s="1"/>
  <c r="ER321" i="1" s="1"/>
  <c r="ER131" i="1" s="1"/>
  <c r="ER132" i="1" s="1"/>
  <c r="EU122" i="1"/>
  <c r="EQ124" i="1"/>
  <c r="EQ125" i="1" s="1"/>
  <c r="EQ123" i="1"/>
  <c r="ET281" i="4"/>
  <c r="ET301" i="4" s="1"/>
  <c r="ES282" i="4"/>
  <c r="ES296" i="4" s="1"/>
  <c r="EQ291" i="4"/>
  <c r="R201" i="484"/>
  <c r="R202" i="484" s="1"/>
  <c r="R200" i="484"/>
  <c r="EH106" i="3"/>
  <c r="EI106" i="3" s="1"/>
  <c r="EK140" i="1"/>
  <c r="EK147" i="1" s="1"/>
  <c r="EH150" i="1"/>
  <c r="EH149" i="1"/>
  <c r="EH154" i="1"/>
  <c r="EL140" i="1"/>
  <c r="EE10" i="3"/>
  <c r="EE85" i="3" s="1"/>
  <c r="EE149" i="1"/>
  <c r="EE154" i="1"/>
  <c r="EE150" i="1"/>
  <c r="EF149" i="1"/>
  <c r="EF150" i="1"/>
  <c r="EF151" i="1" s="1"/>
  <c r="EF154" i="1"/>
  <c r="EB291" i="1"/>
  <c r="EB201" i="2"/>
  <c r="EC201" i="2" s="1"/>
  <c r="EC208" i="2" s="1"/>
  <c r="EA293" i="1"/>
  <c r="EA292" i="1"/>
  <c r="CD143" i="3"/>
  <c r="CD149" i="3" s="1"/>
  <c r="CD72" i="3"/>
  <c r="CI68" i="3"/>
  <c r="CF143" i="3"/>
  <c r="CF149" i="3" s="1"/>
  <c r="CF72" i="3"/>
  <c r="CC143" i="3"/>
  <c r="CC149" i="3" s="1"/>
  <c r="CC72" i="3"/>
  <c r="CD141" i="3"/>
  <c r="CE68" i="3"/>
  <c r="BU143" i="3"/>
  <c r="BU149" i="3" s="1"/>
  <c r="BU72" i="3"/>
  <c r="BZ141" i="3"/>
  <c r="CA68" i="3"/>
  <c r="CE72" i="3"/>
  <c r="CE143" i="3"/>
  <c r="CE149" i="3" s="1"/>
  <c r="CC285" i="1"/>
  <c r="CC286" i="1" s="1"/>
  <c r="EM107" i="2"/>
  <c r="EL121" i="2"/>
  <c r="CX269" i="2"/>
  <c r="DM285" i="1"/>
  <c r="DM286" i="1" s="1"/>
  <c r="DM149" i="2" s="1"/>
  <c r="CY285" i="2"/>
  <c r="DZ116" i="2"/>
  <c r="CO149" i="2"/>
  <c r="CU149" i="2"/>
  <c r="CS211" i="2"/>
  <c r="CU202" i="2"/>
  <c r="CU204" i="2" s="1"/>
  <c r="DG285" i="1"/>
  <c r="DG286" i="1" s="1"/>
  <c r="BW149" i="2"/>
  <c r="EE289" i="1"/>
  <c r="EE279" i="1"/>
  <c r="EN292" i="4"/>
  <c r="EN322" i="4"/>
  <c r="EN293" i="4"/>
  <c r="EM324" i="4"/>
  <c r="EM323" i="4"/>
  <c r="CY225" i="2"/>
  <c r="ES297" i="4" l="1"/>
  <c r="ES298" i="4"/>
  <c r="ET302" i="4"/>
  <c r="ET303" i="4"/>
  <c r="EQ105" i="1"/>
  <c r="EQ109" i="1" s="1"/>
  <c r="EU105" i="1"/>
  <c r="EU109" i="1" s="1"/>
  <c r="EQ140" i="1"/>
  <c r="EQ147" i="1" s="1"/>
  <c r="ET147" i="1"/>
  <c r="ET320" i="1"/>
  <c r="ET321" i="1" s="1"/>
  <c r="ET131" i="1" s="1"/>
  <c r="ET132" i="1" s="1"/>
  <c r="EU123" i="1"/>
  <c r="EU101" i="1"/>
  <c r="ES147" i="1"/>
  <c r="ES320" i="1"/>
  <c r="ES321" i="1" s="1"/>
  <c r="ES131" i="1" s="1"/>
  <c r="ES132" i="1" s="1"/>
  <c r="ER147" i="1"/>
  <c r="EU139" i="1"/>
  <c r="EU137" i="1"/>
  <c r="EE151" i="1"/>
  <c r="EE447" i="4"/>
  <c r="EQ322" i="4"/>
  <c r="EQ293" i="4"/>
  <c r="EQ292" i="4"/>
  <c r="ET282" i="4"/>
  <c r="ET296" i="4" s="1"/>
  <c r="EU281" i="4"/>
  <c r="ER291" i="4"/>
  <c r="EB447" i="4"/>
  <c r="EF10" i="3"/>
  <c r="EF85" i="3" s="1"/>
  <c r="EH151" i="1"/>
  <c r="EL147" i="1"/>
  <c r="EL154" i="1" s="1"/>
  <c r="EK10" i="3"/>
  <c r="EK85" i="3" s="1"/>
  <c r="EK149" i="1"/>
  <c r="EK154" i="1"/>
  <c r="EK150" i="1"/>
  <c r="EE291" i="1"/>
  <c r="EE201" i="2"/>
  <c r="EC291" i="1"/>
  <c r="EC172" i="1"/>
  <c r="EB293" i="1"/>
  <c r="EC293" i="1" s="1"/>
  <c r="EB292" i="1"/>
  <c r="EC292" i="1" s="1"/>
  <c r="CJ68" i="3"/>
  <c r="CL70" i="3"/>
  <c r="CI70" i="3"/>
  <c r="CJ70" i="3"/>
  <c r="CI141" i="3"/>
  <c r="CK70" i="3"/>
  <c r="CA141" i="3"/>
  <c r="CA70" i="3"/>
  <c r="CF68" i="3"/>
  <c r="CE141" i="3"/>
  <c r="CY228" i="2"/>
  <c r="EI274" i="2" s="1"/>
  <c r="DA285" i="1"/>
  <c r="DA286" i="1" s="1"/>
  <c r="CV202" i="2"/>
  <c r="CV204" i="2" s="1"/>
  <c r="BY285" i="1"/>
  <c r="BY286" i="1" s="1"/>
  <c r="BY149" i="2" s="1"/>
  <c r="CY269" i="2"/>
  <c r="DA268" i="2"/>
  <c r="CJ285" i="1"/>
  <c r="CJ286" i="1" s="1"/>
  <c r="CI285" i="1"/>
  <c r="CI286" i="1" s="1"/>
  <c r="DB285" i="1"/>
  <c r="DB286" i="1" s="1"/>
  <c r="DB149" i="2" s="1"/>
  <c r="DG149" i="2"/>
  <c r="CY291" i="2"/>
  <c r="EI276" i="2"/>
  <c r="CY277" i="2"/>
  <c r="CY278" i="2" s="1"/>
  <c r="CY279" i="2" s="1"/>
  <c r="CC149" i="2"/>
  <c r="EM121" i="2"/>
  <c r="EN107" i="2"/>
  <c r="EQ107" i="2" s="1"/>
  <c r="EK289" i="1"/>
  <c r="EK279" i="1"/>
  <c r="EN324" i="4"/>
  <c r="EN323" i="4"/>
  <c r="AG289" i="1"/>
  <c r="AI289" i="1"/>
  <c r="AN289" i="1"/>
  <c r="AP289" i="1"/>
  <c r="AQ289" i="1" s="1"/>
  <c r="AS289" i="1"/>
  <c r="AU289" i="1"/>
  <c r="AY289" i="1"/>
  <c r="BA289" i="1"/>
  <c r="BE289" i="1"/>
  <c r="BG289" i="1"/>
  <c r="BK289" i="1"/>
  <c r="BM289" i="1"/>
  <c r="BQ289" i="1"/>
  <c r="BS289" i="1"/>
  <c r="BW289" i="1"/>
  <c r="BY289" i="1"/>
  <c r="CC289" i="1"/>
  <c r="CE289" i="1"/>
  <c r="CI289" i="1"/>
  <c r="CL289" i="1"/>
  <c r="CM289" i="1" s="1"/>
  <c r="CO289" i="1"/>
  <c r="CQ289" i="1"/>
  <c r="CV289" i="1"/>
  <c r="CX289" i="1"/>
  <c r="CY289" i="1" s="1"/>
  <c r="DA289" i="1"/>
  <c r="DC289" i="1"/>
  <c r="DH289" i="1"/>
  <c r="DJ289" i="1"/>
  <c r="DK289" i="1" s="1"/>
  <c r="DN289" i="1"/>
  <c r="DP289" i="1"/>
  <c r="DQ289" i="1" s="1"/>
  <c r="AH289" i="1"/>
  <c r="AJ289" i="1"/>
  <c r="AK289" i="1" s="1"/>
  <c r="AM289" i="1"/>
  <c r="AO289" i="1"/>
  <c r="AT289" i="1"/>
  <c r="AV289" i="1"/>
  <c r="AW289" i="1" s="1"/>
  <c r="AZ289" i="1"/>
  <c r="BB289" i="1"/>
  <c r="BC289" i="1" s="1"/>
  <c r="BF289" i="1"/>
  <c r="BH289" i="1"/>
  <c r="BI289" i="1" s="1"/>
  <c r="BL289" i="1"/>
  <c r="BN289" i="1"/>
  <c r="BO289" i="1" s="1"/>
  <c r="BR289" i="1"/>
  <c r="BT289" i="1"/>
  <c r="BU289" i="1" s="1"/>
  <c r="BX289" i="1"/>
  <c r="BZ289" i="1"/>
  <c r="CA289" i="1" s="1"/>
  <c r="CD289" i="1"/>
  <c r="CF289" i="1"/>
  <c r="CG289" i="1" s="1"/>
  <c r="CK289" i="1"/>
  <c r="CP289" i="1"/>
  <c r="CR289" i="1"/>
  <c r="CS289" i="1" s="1"/>
  <c r="CU289" i="1"/>
  <c r="CW289" i="1"/>
  <c r="DB289" i="1"/>
  <c r="DG289" i="1"/>
  <c r="DI289" i="1"/>
  <c r="DM289" i="1"/>
  <c r="DO289" i="1"/>
  <c r="DS289" i="1"/>
  <c r="DA225" i="2"/>
  <c r="ET297" i="4" l="1"/>
  <c r="ET298" i="4"/>
  <c r="EQ121" i="2"/>
  <c r="ER107" i="2"/>
  <c r="ER234" i="1"/>
  <c r="EQ250" i="1"/>
  <c r="EU250" i="1"/>
  <c r="ES149" i="1"/>
  <c r="ES150" i="1"/>
  <c r="ES154" i="1"/>
  <c r="ES107" i="1" s="1"/>
  <c r="EU140" i="1"/>
  <c r="EQ320" i="1"/>
  <c r="EU320" i="1" s="1"/>
  <c r="EU274" i="1"/>
  <c r="EU275" i="1" s="1"/>
  <c r="ER154" i="1"/>
  <c r="ER107" i="1" s="1"/>
  <c r="ER150" i="1"/>
  <c r="ER149" i="1"/>
  <c r="EU124" i="1"/>
  <c r="EU125" i="1" s="1"/>
  <c r="ET150" i="1"/>
  <c r="ET154" i="1"/>
  <c r="ET107" i="1" s="1"/>
  <c r="ET149" i="1"/>
  <c r="EQ154" i="1"/>
  <c r="EQ107" i="1" s="1"/>
  <c r="EQ149" i="1"/>
  <c r="EQ150" i="1"/>
  <c r="EQ151" i="1" s="1"/>
  <c r="EU147" i="1"/>
  <c r="ES291" i="4"/>
  <c r="ER322" i="4"/>
  <c r="ER293" i="4"/>
  <c r="ER292" i="4"/>
  <c r="EU282" i="4"/>
  <c r="EQ323" i="4"/>
  <c r="EQ324" i="4"/>
  <c r="EQ10" i="3"/>
  <c r="EK151" i="1"/>
  <c r="EL150" i="1"/>
  <c r="EL149" i="1"/>
  <c r="EL10" i="3"/>
  <c r="EL85" i="3" s="1"/>
  <c r="EC174" i="1"/>
  <c r="EC176" i="1"/>
  <c r="EC169" i="1"/>
  <c r="EF291" i="1"/>
  <c r="EF201" i="2"/>
  <c r="EE293" i="1"/>
  <c r="EE292" i="1"/>
  <c r="CA143" i="3"/>
  <c r="CA149" i="3" s="1"/>
  <c r="CA72" i="3"/>
  <c r="CJ143" i="3"/>
  <c r="CJ149" i="3" s="1"/>
  <c r="CJ72" i="3"/>
  <c r="CI143" i="3"/>
  <c r="CI149" i="3" s="1"/>
  <c r="CI72" i="3"/>
  <c r="CK143" i="3"/>
  <c r="CK149" i="3" s="1"/>
  <c r="CK72" i="3"/>
  <c r="CL143" i="3"/>
  <c r="CL149" i="3" s="1"/>
  <c r="CO68" i="3"/>
  <c r="CL72" i="3"/>
  <c r="CF141" i="3"/>
  <c r="CG68" i="3"/>
  <c r="CK68" i="3"/>
  <c r="CJ141" i="3"/>
  <c r="DA269" i="2"/>
  <c r="DB268" i="2" s="1"/>
  <c r="DB269" i="2" s="1"/>
  <c r="CW202" i="2"/>
  <c r="CW204" i="2" s="1"/>
  <c r="CQ285" i="1"/>
  <c r="CQ286" i="1" s="1"/>
  <c r="CQ149" i="2" s="1"/>
  <c r="CP285" i="1"/>
  <c r="CP286" i="1" s="1"/>
  <c r="CD285" i="1"/>
  <c r="CD286" i="1" s="1"/>
  <c r="CJ149" i="2"/>
  <c r="DA149" i="2"/>
  <c r="CW285" i="1"/>
  <c r="CW286" i="1" s="1"/>
  <c r="CW149" i="2" s="1"/>
  <c r="EN121" i="2"/>
  <c r="EO121" i="2" s="1"/>
  <c r="EO107" i="2"/>
  <c r="CI149" i="2"/>
  <c r="EC113" i="2"/>
  <c r="EE113" i="2" s="1"/>
  <c r="BX285" i="1"/>
  <c r="BX286" i="1" s="1"/>
  <c r="CV285" i="1"/>
  <c r="CV286" i="1" s="1"/>
  <c r="DH285" i="1"/>
  <c r="DH286" i="1" s="1"/>
  <c r="DI285" i="1"/>
  <c r="DI286" i="1" s="1"/>
  <c r="CE285" i="1"/>
  <c r="CE286" i="1" s="1"/>
  <c r="CE149" i="2" s="1"/>
  <c r="CK285" i="1"/>
  <c r="CK286" i="1" s="1"/>
  <c r="CK149" i="2" s="1"/>
  <c r="EB289" i="1"/>
  <c r="EC289" i="1" s="1"/>
  <c r="DV289" i="1"/>
  <c r="DW289" i="1" s="1"/>
  <c r="DZ289" i="1"/>
  <c r="DT289" i="1"/>
  <c r="EA289" i="1"/>
  <c r="DU289" i="1"/>
  <c r="DD289" i="1"/>
  <c r="DE289" i="1" s="1"/>
  <c r="EG289" i="1"/>
  <c r="EA279" i="1"/>
  <c r="CJ289" i="1"/>
  <c r="EH289" i="1"/>
  <c r="EI289" i="1" s="1"/>
  <c r="EB279" i="1"/>
  <c r="EC279" i="1" s="1"/>
  <c r="EF289" i="1"/>
  <c r="DZ279" i="1"/>
  <c r="DB225" i="2"/>
  <c r="ER121" i="2" l="1"/>
  <c r="ES107" i="2"/>
  <c r="EQ321" i="1"/>
  <c r="EQ131" i="1" s="1"/>
  <c r="EQ132" i="1" s="1"/>
  <c r="ER151" i="1"/>
  <c r="ES235" i="1"/>
  <c r="EU154" i="1"/>
  <c r="EU107" i="1" s="1"/>
  <c r="EU149" i="1"/>
  <c r="EU150" i="1"/>
  <c r="EU321" i="1"/>
  <c r="EU131" i="1" s="1"/>
  <c r="EU132" i="1" s="1"/>
  <c r="EU141" i="1"/>
  <c r="ET235" i="1"/>
  <c r="ET268" i="1"/>
  <c r="ER235" i="1"/>
  <c r="ET291" i="4"/>
  <c r="ER323" i="4"/>
  <c r="ER324" i="4"/>
  <c r="ES322" i="4"/>
  <c r="ES292" i="4"/>
  <c r="ES293" i="4"/>
  <c r="EQ85" i="3"/>
  <c r="ER10" i="3"/>
  <c r="EL151" i="1"/>
  <c r="EF293" i="1"/>
  <c r="EF292" i="1"/>
  <c r="EG291" i="1"/>
  <c r="EG201" i="2"/>
  <c r="EI180" i="1"/>
  <c r="EI177" i="1"/>
  <c r="CL68" i="3"/>
  <c r="CK141" i="3"/>
  <c r="CP70" i="3"/>
  <c r="CO141" i="3"/>
  <c r="CQ70" i="3"/>
  <c r="CP68" i="3"/>
  <c r="CR70" i="3"/>
  <c r="CO70" i="3"/>
  <c r="CG70" i="3"/>
  <c r="CG141" i="3"/>
  <c r="DC268" i="2"/>
  <c r="DC269" i="2" s="1"/>
  <c r="CX202" i="2"/>
  <c r="CY202" i="2" s="1"/>
  <c r="DH149" i="2"/>
  <c r="BX149" i="2"/>
  <c r="CP149" i="2"/>
  <c r="DD269" i="1"/>
  <c r="DD285" i="1"/>
  <c r="DD286" i="1" s="1"/>
  <c r="DD149" i="2" s="1"/>
  <c r="DG269" i="1"/>
  <c r="DC285" i="1"/>
  <c r="DC286" i="1" s="1"/>
  <c r="DI269" i="1"/>
  <c r="EE116" i="2"/>
  <c r="EE20" i="2" s="1"/>
  <c r="EF113" i="2"/>
  <c r="DI149" i="2"/>
  <c r="CV149" i="2"/>
  <c r="EC116" i="2"/>
  <c r="EC20" i="2"/>
  <c r="CD149" i="2"/>
  <c r="DH269" i="1"/>
  <c r="BS53" i="4"/>
  <c r="BS30" i="4"/>
  <c r="BS258" i="1" s="1"/>
  <c r="CI53" i="4"/>
  <c r="CI30" i="4"/>
  <c r="BL53" i="4"/>
  <c r="BL30" i="4"/>
  <c r="BL258" i="1" s="1"/>
  <c r="BG53" i="4"/>
  <c r="BG30" i="4"/>
  <c r="BG258" i="1" s="1"/>
  <c r="BN30" i="4"/>
  <c r="BN258" i="1" s="1"/>
  <c r="BN53" i="4"/>
  <c r="BF53" i="4"/>
  <c r="BF30" i="4"/>
  <c r="BF258" i="1" s="1"/>
  <c r="BR30" i="4"/>
  <c r="BR258" i="1" s="1"/>
  <c r="BR53" i="4"/>
  <c r="BM53" i="4"/>
  <c r="BM30" i="4"/>
  <c r="BM258" i="1" s="1"/>
  <c r="CM254" i="1"/>
  <c r="EF279" i="1"/>
  <c r="EH279" i="1"/>
  <c r="EI279" i="1" s="1"/>
  <c r="EG279" i="1"/>
  <c r="DC225" i="2"/>
  <c r="ES121" i="2" l="1"/>
  <c r="ET107" i="2"/>
  <c r="ES324" i="4"/>
  <c r="ES323" i="4"/>
  <c r="ET293" i="4"/>
  <c r="ET292" i="4"/>
  <c r="ET322" i="4"/>
  <c r="ER85" i="3"/>
  <c r="EH291" i="1"/>
  <c r="EH201" i="2"/>
  <c r="EI201" i="2" s="1"/>
  <c r="EI208" i="2" s="1"/>
  <c r="EG293" i="1"/>
  <c r="EG292" i="1"/>
  <c r="CO143" i="3"/>
  <c r="CO149" i="3" s="1"/>
  <c r="CO72" i="3"/>
  <c r="CR143" i="3"/>
  <c r="CR149" i="3" s="1"/>
  <c r="CU68" i="3"/>
  <c r="CR72" i="3"/>
  <c r="CP143" i="3"/>
  <c r="CP149" i="3" s="1"/>
  <c r="CP72" i="3"/>
  <c r="CP141" i="3"/>
  <c r="CQ68" i="3"/>
  <c r="CG143" i="3"/>
  <c r="CG149" i="3" s="1"/>
  <c r="CG72" i="3"/>
  <c r="CQ143" i="3"/>
  <c r="CQ149" i="3" s="1"/>
  <c r="CQ72" i="3"/>
  <c r="CL141" i="3"/>
  <c r="CM68" i="3"/>
  <c r="CX204" i="2"/>
  <c r="CI258" i="1"/>
  <c r="CA285" i="1"/>
  <c r="CA286" i="1" s="1"/>
  <c r="CA149" i="2" s="1"/>
  <c r="CM285" i="1"/>
  <c r="CM286" i="1" s="1"/>
  <c r="CM149" i="2" s="1"/>
  <c r="CY209" i="2"/>
  <c r="CY204" i="2"/>
  <c r="BZ285" i="1"/>
  <c r="BZ286" i="1" s="1"/>
  <c r="BZ269" i="1"/>
  <c r="CC269" i="1"/>
  <c r="CD269" i="1"/>
  <c r="CE269" i="1"/>
  <c r="CL285" i="1"/>
  <c r="CL286" i="1" s="1"/>
  <c r="CL269" i="1"/>
  <c r="CO269" i="1"/>
  <c r="CP269" i="1"/>
  <c r="CQ269" i="1"/>
  <c r="DC149" i="2"/>
  <c r="DG270" i="1"/>
  <c r="DG272" i="1" s="1"/>
  <c r="DD270" i="1"/>
  <c r="DD272" i="1" s="1"/>
  <c r="CG285" i="1"/>
  <c r="CG286" i="1" s="1"/>
  <c r="CG149" i="2" s="1"/>
  <c r="EG113" i="2"/>
  <c r="EF116" i="2"/>
  <c r="EF20" i="2" s="1"/>
  <c r="DH270" i="1"/>
  <c r="DH272" i="1" s="1"/>
  <c r="DD268" i="2"/>
  <c r="DE268" i="2" s="1"/>
  <c r="DE285" i="1"/>
  <c r="DE286" i="1" s="1"/>
  <c r="DE149" i="2" s="1"/>
  <c r="CF285" i="1"/>
  <c r="CF286" i="1" s="1"/>
  <c r="CF269" i="1"/>
  <c r="CJ269" i="1"/>
  <c r="CI269" i="1"/>
  <c r="CK269" i="1"/>
  <c r="DI270" i="1"/>
  <c r="DI272" i="1" s="1"/>
  <c r="CO53" i="4"/>
  <c r="CO30" i="4"/>
  <c r="CV53" i="4"/>
  <c r="CV30" i="4"/>
  <c r="CC30" i="4"/>
  <c r="CC258" i="1" s="1"/>
  <c r="CC53" i="4"/>
  <c r="BY53" i="4"/>
  <c r="BY30" i="4"/>
  <c r="DB53" i="4"/>
  <c r="DB30" i="4"/>
  <c r="CP53" i="4"/>
  <c r="CP30" i="4"/>
  <c r="CP258" i="1" s="1"/>
  <c r="EL279" i="1"/>
  <c r="EL289" i="1"/>
  <c r="BW53" i="4"/>
  <c r="BW30" i="4"/>
  <c r="BW258" i="1" s="1"/>
  <c r="BZ30" i="4"/>
  <c r="BZ53" i="4"/>
  <c r="BH53" i="4"/>
  <c r="BH30" i="4"/>
  <c r="BH258" i="1" s="1"/>
  <c r="BQ30" i="4"/>
  <c r="BQ258" i="1" s="1"/>
  <c r="BQ53" i="4"/>
  <c r="DC53" i="4"/>
  <c r="DC30" i="4"/>
  <c r="BX53" i="4"/>
  <c r="BX30" i="4"/>
  <c r="BX258" i="1" s="1"/>
  <c r="EM279" i="1"/>
  <c r="EM289" i="1"/>
  <c r="EN289" i="1"/>
  <c r="EO289" i="1" s="1"/>
  <c r="DD53" i="4"/>
  <c r="DD30" i="4"/>
  <c r="CF53" i="4"/>
  <c r="CF30" i="4"/>
  <c r="CF258" i="1" s="1"/>
  <c r="BK30" i="4"/>
  <c r="BK258" i="1" s="1"/>
  <c r="BK53" i="4"/>
  <c r="CX30" i="4"/>
  <c r="CX53" i="4"/>
  <c r="CR53" i="4"/>
  <c r="CR30" i="4"/>
  <c r="CR258" i="1" s="1"/>
  <c r="BT53" i="4"/>
  <c r="BT30" i="4"/>
  <c r="BT258" i="1" s="1"/>
  <c r="DA53" i="4"/>
  <c r="DA30" i="4"/>
  <c r="DS398" i="4"/>
  <c r="DY370" i="4"/>
  <c r="DD225" i="2"/>
  <c r="ET121" i="2" l="1"/>
  <c r="EU121" i="2" s="1"/>
  <c r="EU107" i="2"/>
  <c r="ET324" i="4"/>
  <c r="ET323" i="4"/>
  <c r="EK291" i="1"/>
  <c r="EK201" i="2"/>
  <c r="EI291" i="1"/>
  <c r="EI172" i="1"/>
  <c r="EH293" i="1"/>
  <c r="EI293" i="1" s="1"/>
  <c r="EH292" i="1"/>
  <c r="EI292" i="1" s="1"/>
  <c r="DD269" i="2"/>
  <c r="DE269" i="2" s="1"/>
  <c r="CV68" i="3"/>
  <c r="CX70" i="3"/>
  <c r="CU70" i="3"/>
  <c r="CV70" i="3"/>
  <c r="CV143" i="3" s="1"/>
  <c r="CV149" i="3" s="1"/>
  <c r="CU141" i="3"/>
  <c r="CW70" i="3"/>
  <c r="CM141" i="3"/>
  <c r="CM70" i="3"/>
  <c r="CQ141" i="3"/>
  <c r="CR68" i="3"/>
  <c r="CV258" i="1"/>
  <c r="CO258" i="1"/>
  <c r="CX258" i="1"/>
  <c r="CR269" i="1"/>
  <c r="CR285" i="1"/>
  <c r="CR286" i="1" s="1"/>
  <c r="CU269" i="1"/>
  <c r="CW269" i="1"/>
  <c r="CV269" i="1"/>
  <c r="CY285" i="1"/>
  <c r="CY286" i="1" s="1"/>
  <c r="CY149" i="2" s="1"/>
  <c r="EH113" i="2"/>
  <c r="EG116" i="2"/>
  <c r="EG20" i="2" s="1"/>
  <c r="DE285" i="2"/>
  <c r="BZ149" i="2"/>
  <c r="BZ270" i="1"/>
  <c r="BZ272" i="1" s="1"/>
  <c r="CC270" i="1"/>
  <c r="CC272" i="1" s="1"/>
  <c r="CD270" i="1"/>
  <c r="CD272" i="1" s="1"/>
  <c r="CE270" i="1"/>
  <c r="CE272" i="1" s="1"/>
  <c r="DK285" i="1"/>
  <c r="DK286" i="1" s="1"/>
  <c r="DK149" i="2" s="1"/>
  <c r="DJ269" i="1"/>
  <c r="DJ285" i="1"/>
  <c r="DJ286" i="1" s="1"/>
  <c r="DM269" i="1"/>
  <c r="CX285" i="1"/>
  <c r="CX286" i="1" s="1"/>
  <c r="CX269" i="1"/>
  <c r="DB269" i="1"/>
  <c r="DA269" i="1"/>
  <c r="DC269" i="1"/>
  <c r="CI270" i="1"/>
  <c r="CI272" i="1" s="1"/>
  <c r="CF149" i="2"/>
  <c r="CK270" i="1"/>
  <c r="CK272" i="1" s="1"/>
  <c r="CJ270" i="1"/>
  <c r="CJ272" i="1" s="1"/>
  <c r="CF270" i="1"/>
  <c r="CF272" i="1" s="1"/>
  <c r="CY211" i="2"/>
  <c r="DA202" i="2"/>
  <c r="CS285" i="1"/>
  <c r="CS286" i="1" s="1"/>
  <c r="CS149" i="2" s="1"/>
  <c r="CL149" i="2"/>
  <c r="CL270" i="1"/>
  <c r="CL272" i="1" s="1"/>
  <c r="CQ270" i="1"/>
  <c r="CQ272" i="1" s="1"/>
  <c r="CP270" i="1"/>
  <c r="CP272" i="1" s="1"/>
  <c r="CO270" i="1"/>
  <c r="CO272" i="1" s="1"/>
  <c r="M260" i="484"/>
  <c r="M259" i="484" s="1"/>
  <c r="CL53" i="4"/>
  <c r="CL30" i="4"/>
  <c r="CU30" i="4"/>
  <c r="CU53" i="4"/>
  <c r="CK30" i="4"/>
  <c r="CK53" i="4"/>
  <c r="CD30" i="4"/>
  <c r="CD258" i="1" s="1"/>
  <c r="CD53" i="4"/>
  <c r="CW53" i="4"/>
  <c r="CW30" i="4"/>
  <c r="BZ258" i="1"/>
  <c r="BY258" i="1"/>
  <c r="CQ53" i="4"/>
  <c r="CQ30" i="4"/>
  <c r="CQ258" i="1" s="1"/>
  <c r="L261" i="484"/>
  <c r="L262" i="484" s="1"/>
  <c r="L259" i="484"/>
  <c r="DY372" i="4"/>
  <c r="DY371" i="4"/>
  <c r="DE225" i="2"/>
  <c r="DG268" i="2" l="1"/>
  <c r="EI174" i="1"/>
  <c r="EI176" i="1"/>
  <c r="EI169" i="1"/>
  <c r="EL291" i="1"/>
  <c r="EL201" i="2"/>
  <c r="EK293" i="1"/>
  <c r="EK292" i="1"/>
  <c r="M261" i="484"/>
  <c r="M262" i="484" s="1"/>
  <c r="CM143" i="3"/>
  <c r="CM149" i="3" s="1"/>
  <c r="CM72" i="3"/>
  <c r="CU143" i="3"/>
  <c r="CU149" i="3" s="1"/>
  <c r="CU72" i="3"/>
  <c r="CR141" i="3"/>
  <c r="CS68" i="3"/>
  <c r="CW143" i="3"/>
  <c r="CW149" i="3" s="1"/>
  <c r="CW72" i="3"/>
  <c r="CX143" i="3"/>
  <c r="CX149" i="3" s="1"/>
  <c r="CX72" i="3"/>
  <c r="DA68" i="3"/>
  <c r="CW68" i="3"/>
  <c r="CV141" i="3"/>
  <c r="DG269" i="2"/>
  <c r="CW258" i="1"/>
  <c r="CU258" i="1"/>
  <c r="CK258" i="1"/>
  <c r="CL258" i="1"/>
  <c r="DE228" i="2"/>
  <c r="EO274" i="2" s="1"/>
  <c r="CX149" i="2"/>
  <c r="DB270" i="1"/>
  <c r="DB272" i="1" s="1"/>
  <c r="DA270" i="1"/>
  <c r="DA272" i="1" s="1"/>
  <c r="CX270" i="1"/>
  <c r="CX272" i="1" s="1"/>
  <c r="DC270" i="1"/>
  <c r="DC272" i="1" s="1"/>
  <c r="DJ149" i="2"/>
  <c r="DM270" i="1"/>
  <c r="DM272" i="1" s="1"/>
  <c r="DJ270" i="1"/>
  <c r="DJ272" i="1" s="1"/>
  <c r="EH116" i="2"/>
  <c r="EI113" i="2"/>
  <c r="EK113" i="2" s="1"/>
  <c r="DA204" i="2"/>
  <c r="CR149" i="2"/>
  <c r="CR270" i="1"/>
  <c r="CR272" i="1" s="1"/>
  <c r="CW270" i="1"/>
  <c r="CW272" i="1" s="1"/>
  <c r="CV270" i="1"/>
  <c r="CV272" i="1" s="1"/>
  <c r="CU270" i="1"/>
  <c r="CU272" i="1" s="1"/>
  <c r="EO276" i="2"/>
  <c r="DE291" i="2"/>
  <c r="DE277" i="2"/>
  <c r="DE278" i="2" s="1"/>
  <c r="DE279" i="2" s="1"/>
  <c r="CY30" i="4"/>
  <c r="CY53" i="4"/>
  <c r="CE53" i="4"/>
  <c r="CE30" i="4"/>
  <c r="CE258" i="1" s="1"/>
  <c r="CG53" i="4"/>
  <c r="CG30" i="4"/>
  <c r="CJ53" i="4"/>
  <c r="CJ30" i="4"/>
  <c r="V285" i="1"/>
  <c r="V286" i="1" s="1"/>
  <c r="DK395" i="4"/>
  <c r="EK284" i="1"/>
  <c r="EE284" i="1"/>
  <c r="DG225" i="2"/>
  <c r="EL293" i="1" l="1"/>
  <c r="EL292" i="1"/>
  <c r="EM291" i="1"/>
  <c r="EM201" i="2"/>
  <c r="EO180" i="1"/>
  <c r="EO177" i="1"/>
  <c r="DH268" i="2"/>
  <c r="DH269" i="2" s="1"/>
  <c r="DI268" i="2" s="1"/>
  <c r="DI269" i="2" s="1"/>
  <c r="CX68" i="3"/>
  <c r="CW141" i="3"/>
  <c r="DC70" i="3"/>
  <c r="DA70" i="3"/>
  <c r="DA141" i="3"/>
  <c r="DB70" i="3"/>
  <c r="DB68" i="3"/>
  <c r="DD70" i="3"/>
  <c r="CS141" i="3"/>
  <c r="CS70" i="3"/>
  <c r="CJ258" i="1"/>
  <c r="EK116" i="2"/>
  <c r="EK20" i="2" s="1"/>
  <c r="EL113" i="2"/>
  <c r="EI116" i="2"/>
  <c r="EH20" i="2"/>
  <c r="EI20" i="2" s="1"/>
  <c r="DB202" i="2"/>
  <c r="W285" i="1"/>
  <c r="W286" i="1" s="1"/>
  <c r="P259" i="484"/>
  <c r="U285" i="1"/>
  <c r="U286" i="1" s="1"/>
  <c r="DE53" i="4"/>
  <c r="DE30" i="4"/>
  <c r="CM53" i="4"/>
  <c r="CM30" i="4"/>
  <c r="CS53" i="4"/>
  <c r="CS30" i="4"/>
  <c r="AB285" i="1"/>
  <c r="AB286" i="1" s="1"/>
  <c r="AB149" i="2" s="1"/>
  <c r="BR285" i="1"/>
  <c r="BR286" i="1" s="1"/>
  <c r="BR149" i="2" s="1"/>
  <c r="DK396" i="4"/>
  <c r="DH225" i="2"/>
  <c r="EM293" i="1" l="1"/>
  <c r="EM292" i="1"/>
  <c r="EN291" i="1"/>
  <c r="EN201" i="2"/>
  <c r="EO201" i="2" s="1"/>
  <c r="EO208" i="2" s="1"/>
  <c r="DD143" i="3"/>
  <c r="DD149" i="3" s="1"/>
  <c r="DD72" i="3"/>
  <c r="DG68" i="3"/>
  <c r="DA143" i="3"/>
  <c r="DA149" i="3" s="1"/>
  <c r="DA72" i="3"/>
  <c r="DC68" i="3"/>
  <c r="DB141" i="3"/>
  <c r="DC143" i="3"/>
  <c r="DC149" i="3" s="1"/>
  <c r="DC72" i="3"/>
  <c r="CS143" i="3"/>
  <c r="CS149" i="3" s="1"/>
  <c r="CS72" i="3"/>
  <c r="DB143" i="3"/>
  <c r="DB149" i="3" s="1"/>
  <c r="DB72" i="3"/>
  <c r="CX141" i="3"/>
  <c r="CY68" i="3"/>
  <c r="DJ268" i="2"/>
  <c r="DJ269" i="2" s="1"/>
  <c r="EM113" i="2"/>
  <c r="EL116" i="2"/>
  <c r="EL20" i="2" s="1"/>
  <c r="DB204" i="2"/>
  <c r="BT285" i="1"/>
  <c r="BT286" i="1" s="1"/>
  <c r="BW269" i="1"/>
  <c r="BT269" i="1"/>
  <c r="BY269" i="1"/>
  <c r="BX269" i="1"/>
  <c r="BA285" i="1"/>
  <c r="BA286" i="1" s="1"/>
  <c r="BA149" i="2" s="1"/>
  <c r="BQ285" i="1"/>
  <c r="BQ286" i="1" s="1"/>
  <c r="BQ149" i="2" s="1"/>
  <c r="AT285" i="1"/>
  <c r="AT286" i="1" s="1"/>
  <c r="AT149" i="2" s="1"/>
  <c r="BS285" i="1"/>
  <c r="BS286" i="1" s="1"/>
  <c r="AC285" i="1"/>
  <c r="AC286" i="1" s="1"/>
  <c r="AC149" i="2" s="1"/>
  <c r="P285" i="1"/>
  <c r="P286" i="1" s="1"/>
  <c r="P269" i="1"/>
  <c r="AA285" i="1"/>
  <c r="AA286" i="1" s="1"/>
  <c r="AA149" i="2" s="1"/>
  <c r="BF285" i="1"/>
  <c r="BF286" i="1" s="1"/>
  <c r="BF149" i="2" s="1"/>
  <c r="Q259" i="484"/>
  <c r="P260" i="484"/>
  <c r="P261" i="484" s="1"/>
  <c r="P262" i="484" s="1"/>
  <c r="O285" i="1"/>
  <c r="O286" i="1" s="1"/>
  <c r="O269" i="1"/>
  <c r="AZ285" i="1"/>
  <c r="AZ286" i="1" s="1"/>
  <c r="AZ149" i="2" s="1"/>
  <c r="BB285" i="1"/>
  <c r="BB286" i="1" s="1"/>
  <c r="BB149" i="2" s="1"/>
  <c r="AM285" i="1"/>
  <c r="AM286" i="1" s="1"/>
  <c r="AM149" i="2" s="1"/>
  <c r="AC269" i="1"/>
  <c r="BE595" i="4"/>
  <c r="DI225" i="2"/>
  <c r="Q260" i="484" l="1"/>
  <c r="Q261" i="484" s="1"/>
  <c r="Q262" i="484" s="1"/>
  <c r="R259" i="484"/>
  <c r="R260" i="484" s="1"/>
  <c r="EO291" i="1"/>
  <c r="EO172" i="1"/>
  <c r="EN293" i="1"/>
  <c r="EO293" i="1" s="1"/>
  <c r="CY141" i="3"/>
  <c r="CY70" i="3"/>
  <c r="DG70" i="3"/>
  <c r="DH70" i="3"/>
  <c r="DG141" i="3"/>
  <c r="DI70" i="3"/>
  <c r="DH68" i="3"/>
  <c r="DJ70" i="3"/>
  <c r="DC141" i="3"/>
  <c r="DD68" i="3"/>
  <c r="BX270" i="1"/>
  <c r="BX272" i="1" s="1"/>
  <c r="BS149" i="2"/>
  <c r="BW270" i="1"/>
  <c r="BW272" i="1" s="1"/>
  <c r="BY270" i="1"/>
  <c r="BY272" i="1" s="1"/>
  <c r="BT149" i="2"/>
  <c r="DM268" i="2"/>
  <c r="DK269" i="2"/>
  <c r="DK268" i="2"/>
  <c r="DC202" i="2"/>
  <c r="DC204" i="2" s="1"/>
  <c r="EN113" i="2"/>
  <c r="EM116" i="2"/>
  <c r="EM20" i="2" s="1"/>
  <c r="AY285" i="1"/>
  <c r="AY286" i="1" s="1"/>
  <c r="AY149" i="2" s="1"/>
  <c r="AO285" i="1"/>
  <c r="AO286" i="1" s="1"/>
  <c r="AO149" i="2" s="1"/>
  <c r="AS285" i="1"/>
  <c r="AS286" i="1" s="1"/>
  <c r="AS149" i="2" s="1"/>
  <c r="AN285" i="1"/>
  <c r="AN286" i="1" s="1"/>
  <c r="AN149" i="2" s="1"/>
  <c r="BT270" i="1"/>
  <c r="BT272" i="1" s="1"/>
  <c r="DY285" i="1"/>
  <c r="DY286" i="1" s="1"/>
  <c r="DY149" i="2" s="1"/>
  <c r="DY269" i="1"/>
  <c r="BE285" i="1"/>
  <c r="BE286" i="1" s="1"/>
  <c r="BE149" i="2" s="1"/>
  <c r="BE269" i="1"/>
  <c r="BF269" i="1"/>
  <c r="AB269" i="1"/>
  <c r="BU285" i="1"/>
  <c r="BU286" i="1" s="1"/>
  <c r="BU149" i="2" s="1"/>
  <c r="AG285" i="1"/>
  <c r="AG286" i="1" s="1"/>
  <c r="AG149" i="2" s="1"/>
  <c r="Y285" i="1"/>
  <c r="Y286" i="1" s="1"/>
  <c r="Y149" i="2" s="1"/>
  <c r="BG285" i="1"/>
  <c r="BG286" i="1" s="1"/>
  <c r="BG149" i="2" s="1"/>
  <c r="BG269" i="1"/>
  <c r="DN285" i="1"/>
  <c r="DN286" i="1" s="1"/>
  <c r="DN149" i="2" s="1"/>
  <c r="DN269" i="1"/>
  <c r="DO285" i="1"/>
  <c r="DO286" i="1" s="1"/>
  <c r="DO149" i="2" s="1"/>
  <c r="DO269" i="1"/>
  <c r="BC285" i="1"/>
  <c r="BC286" i="1" s="1"/>
  <c r="BC149" i="2" s="1"/>
  <c r="X285" i="1"/>
  <c r="X286" i="1" s="1"/>
  <c r="X270" i="1" s="1"/>
  <c r="X272" i="1" s="1"/>
  <c r="X269" i="1"/>
  <c r="AU285" i="1"/>
  <c r="AU286" i="1" s="1"/>
  <c r="AU149" i="2" s="1"/>
  <c r="AH285" i="1"/>
  <c r="AH286" i="1" s="1"/>
  <c r="AH149" i="2" s="1"/>
  <c r="BB269" i="1"/>
  <c r="AA269" i="1"/>
  <c r="AS269" i="1"/>
  <c r="AH269" i="1"/>
  <c r="AY269" i="1"/>
  <c r="DJ225" i="2"/>
  <c r="R261" i="484" l="1"/>
  <c r="R262" i="484" s="1"/>
  <c r="EO174" i="1"/>
  <c r="EO176" i="1"/>
  <c r="EO169" i="1"/>
  <c r="DJ72" i="3"/>
  <c r="DM68" i="3"/>
  <c r="DJ143" i="3"/>
  <c r="DJ149" i="3" s="1"/>
  <c r="DH143" i="3"/>
  <c r="DH149" i="3" s="1"/>
  <c r="DH72" i="3"/>
  <c r="DH141" i="3"/>
  <c r="DI68" i="3"/>
  <c r="DG72" i="3"/>
  <c r="DG143" i="3"/>
  <c r="DG149" i="3" s="1"/>
  <c r="DD141" i="3"/>
  <c r="DE68" i="3"/>
  <c r="DI143" i="3"/>
  <c r="DI149" i="3" s="1"/>
  <c r="DI72" i="3"/>
  <c r="CY72" i="3"/>
  <c r="CY143" i="3"/>
  <c r="CY149" i="3" s="1"/>
  <c r="DM269" i="2"/>
  <c r="DN268" i="2" s="1"/>
  <c r="DD202" i="2"/>
  <c r="DD204" i="2" s="1"/>
  <c r="DK285" i="2"/>
  <c r="EU276" i="2" s="1"/>
  <c r="EU278" i="2" s="1"/>
  <c r="EU279" i="2" s="1"/>
  <c r="EN116" i="2"/>
  <c r="EO113" i="2"/>
  <c r="EQ113" i="2" s="1"/>
  <c r="R285" i="1"/>
  <c r="R286" i="1" s="1"/>
  <c r="W270" i="1" s="1"/>
  <c r="W272" i="1" s="1"/>
  <c r="R269" i="1"/>
  <c r="V269" i="1"/>
  <c r="U269" i="1"/>
  <c r="W269" i="1"/>
  <c r="DN270" i="1"/>
  <c r="DN272" i="1" s="1"/>
  <c r="DO270" i="1"/>
  <c r="DO272" i="1" s="1"/>
  <c r="AT269" i="1"/>
  <c r="BE270" i="1"/>
  <c r="BE272" i="1" s="1"/>
  <c r="BG270" i="1"/>
  <c r="BG272" i="1" s="1"/>
  <c r="BF270" i="1"/>
  <c r="BF272" i="1" s="1"/>
  <c r="AA270" i="1"/>
  <c r="AA272" i="1" s="1"/>
  <c r="BL285" i="1"/>
  <c r="BL286" i="1" s="1"/>
  <c r="BL149" i="2" s="1"/>
  <c r="AE285" i="1"/>
  <c r="AE286" i="1" s="1"/>
  <c r="AE149" i="2" s="1"/>
  <c r="AP285" i="1"/>
  <c r="AP286" i="1" s="1"/>
  <c r="AU270" i="1" s="1"/>
  <c r="AU272" i="1" s="1"/>
  <c r="AP269" i="1"/>
  <c r="AB270" i="1"/>
  <c r="AB272" i="1" s="1"/>
  <c r="BB270" i="1"/>
  <c r="BB272" i="1" s="1"/>
  <c r="AV285" i="1"/>
  <c r="AV286" i="1" s="1"/>
  <c r="AZ270" i="1" s="1"/>
  <c r="AZ272" i="1" s="1"/>
  <c r="AV269" i="1"/>
  <c r="S285" i="1"/>
  <c r="S286" i="1" s="1"/>
  <c r="S149" i="2" s="1"/>
  <c r="AD285" i="1"/>
  <c r="AD286" i="1" s="1"/>
  <c r="AH270" i="1" s="1"/>
  <c r="AH272" i="1" s="1"/>
  <c r="AD269" i="1"/>
  <c r="BK285" i="1"/>
  <c r="BK286" i="1" s="1"/>
  <c r="BK149" i="2" s="1"/>
  <c r="AU269" i="1"/>
  <c r="AG269" i="1"/>
  <c r="AZ269" i="1"/>
  <c r="DY270" i="1"/>
  <c r="DY272" i="1" s="1"/>
  <c r="AC270" i="1"/>
  <c r="AC272" i="1" s="1"/>
  <c r="Q285" i="1"/>
  <c r="Q286" i="1" s="1"/>
  <c r="Q269" i="1"/>
  <c r="AQ285" i="1"/>
  <c r="AQ286" i="1" s="1"/>
  <c r="AQ149" i="2" s="1"/>
  <c r="BA269" i="1"/>
  <c r="DP395" i="4"/>
  <c r="DK225" i="2"/>
  <c r="EU180" i="1" l="1"/>
  <c r="EU177" i="1"/>
  <c r="EQ116" i="2"/>
  <c r="EQ20" i="2" s="1"/>
  <c r="ER113" i="2"/>
  <c r="AT270" i="1"/>
  <c r="AT272" i="1" s="1"/>
  <c r="AG270" i="1"/>
  <c r="AG272" i="1" s="1"/>
  <c r="DE141" i="3"/>
  <c r="DE70" i="3"/>
  <c r="DJ68" i="3"/>
  <c r="DI141" i="3"/>
  <c r="DN68" i="3"/>
  <c r="DP70" i="3"/>
  <c r="DN70" i="3"/>
  <c r="DM70" i="3"/>
  <c r="DM141" i="3"/>
  <c r="DO70" i="3"/>
  <c r="DE202" i="2"/>
  <c r="DE204" i="2" s="1"/>
  <c r="AD270" i="1"/>
  <c r="AD272" i="1" s="1"/>
  <c r="AD149" i="2"/>
  <c r="AP270" i="1"/>
  <c r="AP272" i="1" s="1"/>
  <c r="AP149" i="2"/>
  <c r="AV270" i="1"/>
  <c r="AV272" i="1" s="1"/>
  <c r="AV149" i="2"/>
  <c r="BA270" i="1"/>
  <c r="BA272" i="1" s="1"/>
  <c r="AS270" i="1"/>
  <c r="AS272" i="1" s="1"/>
  <c r="DK228" i="2"/>
  <c r="EU274" i="2" s="1"/>
  <c r="EO116" i="2"/>
  <c r="EN20" i="2"/>
  <c r="EO20" i="2" s="1"/>
  <c r="DK291" i="2"/>
  <c r="DK277" i="2"/>
  <c r="DK278" i="2" s="1"/>
  <c r="DK279" i="2" s="1"/>
  <c r="DN269" i="2"/>
  <c r="DQ285" i="1"/>
  <c r="DQ286" i="1" s="1"/>
  <c r="DQ149" i="2" s="1"/>
  <c r="BH285" i="1"/>
  <c r="BH286" i="1" s="1"/>
  <c r="BK270" i="1" s="1"/>
  <c r="BK272" i="1" s="1"/>
  <c r="BH269" i="1"/>
  <c r="AW285" i="1"/>
  <c r="AW286" i="1" s="1"/>
  <c r="AW149" i="2" s="1"/>
  <c r="BK269" i="1"/>
  <c r="AY270" i="1"/>
  <c r="AY272" i="1" s="1"/>
  <c r="DP285" i="1"/>
  <c r="DP286" i="1" s="1"/>
  <c r="DP149" i="2" s="1"/>
  <c r="DS269" i="1"/>
  <c r="DP269" i="1"/>
  <c r="DU269" i="1"/>
  <c r="DT269" i="1"/>
  <c r="AJ285" i="1"/>
  <c r="AJ286" i="1" s="1"/>
  <c r="AJ269" i="1"/>
  <c r="AM269" i="1"/>
  <c r="AO269" i="1"/>
  <c r="AN269" i="1"/>
  <c r="BM285" i="1"/>
  <c r="BM286" i="1" s="1"/>
  <c r="BM149" i="2" s="1"/>
  <c r="BM269" i="1"/>
  <c r="BL269" i="1"/>
  <c r="BI285" i="1"/>
  <c r="BI286" i="1" s="1"/>
  <c r="BI149" i="2" s="1"/>
  <c r="AI285" i="1"/>
  <c r="AI286" i="1" s="1"/>
  <c r="AI149" i="2" s="1"/>
  <c r="AI269" i="1"/>
  <c r="V270" i="1"/>
  <c r="V272" i="1" s="1"/>
  <c r="U270" i="1"/>
  <c r="U272" i="1" s="1"/>
  <c r="R270" i="1"/>
  <c r="R272" i="1" s="1"/>
  <c r="DQ395" i="4"/>
  <c r="DP399" i="4"/>
  <c r="DP398" i="4"/>
  <c r="DP397" i="4"/>
  <c r="DS397" i="4"/>
  <c r="DP396" i="4"/>
  <c r="DP408" i="4"/>
  <c r="DM225" i="2"/>
  <c r="EU176" i="1" l="1"/>
  <c r="EU169" i="1"/>
  <c r="EU170" i="1" s="1"/>
  <c r="ER116" i="2"/>
  <c r="ER20" i="2" s="1"/>
  <c r="ES113" i="2"/>
  <c r="DE209" i="2"/>
  <c r="DM72" i="3"/>
  <c r="DM143" i="3"/>
  <c r="DM149" i="3" s="1"/>
  <c r="DN143" i="3"/>
  <c r="DN149" i="3" s="1"/>
  <c r="DN72" i="3"/>
  <c r="DJ141" i="3"/>
  <c r="DK68" i="3"/>
  <c r="DO143" i="3"/>
  <c r="DO149" i="3" s="1"/>
  <c r="DO72" i="3"/>
  <c r="DP143" i="3"/>
  <c r="DP149" i="3" s="1"/>
  <c r="DS68" i="3"/>
  <c r="DP72" i="3"/>
  <c r="DE143" i="3"/>
  <c r="DE149" i="3" s="1"/>
  <c r="DE72" i="3"/>
  <c r="BM270" i="1"/>
  <c r="BM272" i="1" s="1"/>
  <c r="DO68" i="3"/>
  <c r="DN141" i="3"/>
  <c r="AO270" i="1"/>
  <c r="AO272" i="1" s="1"/>
  <c r="AJ149" i="2"/>
  <c r="BH270" i="1"/>
  <c r="BH272" i="1" s="1"/>
  <c r="BH149" i="2"/>
  <c r="BL270" i="1"/>
  <c r="BL272" i="1" s="1"/>
  <c r="DO268" i="2"/>
  <c r="DO269" i="2" s="1"/>
  <c r="DE211" i="2"/>
  <c r="DG202" i="2"/>
  <c r="DG204" i="2" s="1"/>
  <c r="AK285" i="1"/>
  <c r="AK286" i="1" s="1"/>
  <c r="AK149" i="2" s="1"/>
  <c r="DU270" i="1"/>
  <c r="DU272" i="1" s="1"/>
  <c r="DS270" i="1"/>
  <c r="DS272" i="1" s="1"/>
  <c r="DP270" i="1"/>
  <c r="DP272" i="1" s="1"/>
  <c r="DT270" i="1"/>
  <c r="DT272" i="1" s="1"/>
  <c r="AN270" i="1"/>
  <c r="AN272" i="1" s="1"/>
  <c r="AM270" i="1"/>
  <c r="AM272" i="1" s="1"/>
  <c r="AJ270" i="1"/>
  <c r="AJ272" i="1" s="1"/>
  <c r="AI270" i="1"/>
  <c r="AI272" i="1" s="1"/>
  <c r="DQ396" i="4"/>
  <c r="DS410" i="4"/>
  <c r="DQ408" i="4"/>
  <c r="DP409" i="4"/>
  <c r="DP410" i="4"/>
  <c r="DP402" i="4"/>
  <c r="DP400" i="4"/>
  <c r="DP401" i="4"/>
  <c r="DN225" i="2"/>
  <c r="ET113" i="2" l="1"/>
  <c r="ES116" i="2"/>
  <c r="ES20" i="2" s="1"/>
  <c r="DO141" i="3"/>
  <c r="DP68" i="3"/>
  <c r="DU70" i="3"/>
  <c r="DS141" i="3"/>
  <c r="DT70" i="3"/>
  <c r="DT68" i="3"/>
  <c r="DV70" i="3"/>
  <c r="DS70" i="3"/>
  <c r="DK141" i="3"/>
  <c r="DK70" i="3"/>
  <c r="DH202" i="2"/>
  <c r="DP268" i="2"/>
  <c r="DP269" i="2" s="1"/>
  <c r="BO285" i="1"/>
  <c r="BO286" i="1" s="1"/>
  <c r="BO149" i="2" s="1"/>
  <c r="BN285" i="1"/>
  <c r="BN286" i="1" s="1"/>
  <c r="BN149" i="2" s="1"/>
  <c r="BN269" i="1"/>
  <c r="BQ269" i="1"/>
  <c r="BS269" i="1"/>
  <c r="BR269" i="1"/>
  <c r="DV395" i="4"/>
  <c r="DQ409" i="4"/>
  <c r="DO225" i="2"/>
  <c r="EU113" i="2" l="1"/>
  <c r="ET116" i="2"/>
  <c r="DS143" i="3"/>
  <c r="DS149" i="3" s="1"/>
  <c r="DS72" i="3"/>
  <c r="DV72" i="3"/>
  <c r="DY68" i="3"/>
  <c r="DV143" i="3"/>
  <c r="DV149" i="3" s="1"/>
  <c r="DU143" i="3"/>
  <c r="DU149" i="3" s="1"/>
  <c r="DU72" i="3"/>
  <c r="DK143" i="3"/>
  <c r="DK149" i="3" s="1"/>
  <c r="DK72" i="3"/>
  <c r="DT141" i="3"/>
  <c r="DU68" i="3"/>
  <c r="DP141" i="3"/>
  <c r="DQ68" i="3"/>
  <c r="DT143" i="3"/>
  <c r="DT149" i="3" s="1"/>
  <c r="DT72" i="3"/>
  <c r="DQ269" i="2"/>
  <c r="DS268" i="2"/>
  <c r="DQ268" i="2"/>
  <c r="DH204" i="2"/>
  <c r="BS270" i="1"/>
  <c r="BS272" i="1" s="1"/>
  <c r="BQ270" i="1"/>
  <c r="BQ272" i="1" s="1"/>
  <c r="BN270" i="1"/>
  <c r="BN272" i="1" s="1"/>
  <c r="BR270" i="1"/>
  <c r="BR272" i="1" s="1"/>
  <c r="DW395" i="4"/>
  <c r="DV397" i="4"/>
  <c r="DV408" i="4"/>
  <c r="DV396" i="4"/>
  <c r="DP225" i="2"/>
  <c r="ET20" i="2" l="1"/>
  <c r="EU20" i="2" s="1"/>
  <c r="EU116" i="2"/>
  <c r="EA70" i="3"/>
  <c r="EB70" i="3"/>
  <c r="DY141" i="3"/>
  <c r="DZ68" i="3"/>
  <c r="EA68" i="3" s="1"/>
  <c r="EB68" i="3" s="1"/>
  <c r="EC68" i="3" s="1"/>
  <c r="EC70" i="3" s="1"/>
  <c r="DY70" i="3"/>
  <c r="DU141" i="3"/>
  <c r="DV68" i="3"/>
  <c r="DQ141" i="3"/>
  <c r="DQ70" i="3"/>
  <c r="DQ285" i="2"/>
  <c r="DI202" i="2"/>
  <c r="DS269" i="2"/>
  <c r="DW396" i="4"/>
  <c r="DW408" i="4"/>
  <c r="DV410" i="4"/>
  <c r="DV409" i="4"/>
  <c r="DQ225" i="2"/>
  <c r="DV141" i="3" l="1"/>
  <c r="DW68" i="3"/>
  <c r="DZ141" i="3"/>
  <c r="DQ143" i="3"/>
  <c r="DQ149" i="3" s="1"/>
  <c r="DQ72" i="3"/>
  <c r="DY143" i="3"/>
  <c r="DY149" i="3" s="1"/>
  <c r="DY72" i="3"/>
  <c r="DQ228" i="2"/>
  <c r="DI204" i="2"/>
  <c r="DT268" i="2"/>
  <c r="DT269" i="2" s="1"/>
  <c r="DQ291" i="2"/>
  <c r="DQ277" i="2"/>
  <c r="DQ278" i="2" s="1"/>
  <c r="DQ279" i="2" s="1"/>
  <c r="DW409" i="4"/>
  <c r="DS225" i="2"/>
  <c r="EA141" i="3" l="1"/>
  <c r="DW141" i="3"/>
  <c r="DW70" i="3"/>
  <c r="DU268" i="2"/>
  <c r="DJ202" i="2"/>
  <c r="DK202" i="2" s="1"/>
  <c r="EB427" i="4"/>
  <c r="EA427" i="4"/>
  <c r="DZ427" i="4"/>
  <c r="DY395" i="4"/>
  <c r="DZ397" i="4" s="1"/>
  <c r="DT225" i="2"/>
  <c r="EC427" i="4" l="1"/>
  <c r="DW143" i="3"/>
  <c r="DW149" i="3" s="1"/>
  <c r="DW72" i="3"/>
  <c r="EB141" i="3"/>
  <c r="DJ204" i="2"/>
  <c r="DU269" i="2"/>
  <c r="DK209" i="2"/>
  <c r="DK204" i="2"/>
  <c r="EB239" i="1"/>
  <c r="EB223" i="1"/>
  <c r="EB207" i="1"/>
  <c r="EA239" i="1"/>
  <c r="EA223" i="1"/>
  <c r="EA207" i="1"/>
  <c r="DZ239" i="1"/>
  <c r="DZ207" i="1"/>
  <c r="DZ223" i="1"/>
  <c r="DY396" i="4"/>
  <c r="DY408" i="4"/>
  <c r="DZ410" i="4" s="1"/>
  <c r="DY397" i="4"/>
  <c r="DU225" i="2"/>
  <c r="EC141" i="3" l="1"/>
  <c r="DV268" i="2"/>
  <c r="DW268" i="2" s="1"/>
  <c r="DK211" i="2"/>
  <c r="DM202" i="2"/>
  <c r="DZ243" i="1"/>
  <c r="DZ227" i="1"/>
  <c r="DZ211" i="1"/>
  <c r="EB227" i="1"/>
  <c r="EB243" i="1"/>
  <c r="EB211" i="1"/>
  <c r="EC239" i="1"/>
  <c r="EC207" i="1"/>
  <c r="EA243" i="1"/>
  <c r="EA227" i="1"/>
  <c r="EA211" i="1"/>
  <c r="DY409" i="4"/>
  <c r="DY410" i="4"/>
  <c r="DV225" i="2"/>
  <c r="DV269" i="2" l="1"/>
  <c r="DW285" i="2"/>
  <c r="DM204" i="2"/>
  <c r="EC243" i="1"/>
  <c r="EC211" i="1"/>
  <c r="DW225" i="2"/>
  <c r="DW228" i="2" l="1"/>
  <c r="DN202" i="2"/>
  <c r="DW291" i="2"/>
  <c r="DW277" i="2"/>
  <c r="DW278" i="2" s="1"/>
  <c r="DW279" i="2" s="1"/>
  <c r="DW269" i="2"/>
  <c r="DY268" i="2"/>
  <c r="EH427" i="4"/>
  <c r="EG427" i="4"/>
  <c r="EF427" i="4"/>
  <c r="EE427" i="4"/>
  <c r="DY225" i="2"/>
  <c r="EI427" i="4" l="1"/>
  <c r="DY269" i="2"/>
  <c r="DZ268" i="2" s="1"/>
  <c r="DZ102" i="2"/>
  <c r="DN204" i="2"/>
  <c r="EF239" i="1"/>
  <c r="EF207" i="1"/>
  <c r="EF223" i="1"/>
  <c r="EG239" i="1"/>
  <c r="EG207" i="1"/>
  <c r="EG223" i="1"/>
  <c r="EH239" i="1"/>
  <c r="EH223" i="1"/>
  <c r="EH207" i="1"/>
  <c r="EE395" i="4"/>
  <c r="EE397" i="4" s="1"/>
  <c r="EE239" i="1"/>
  <c r="EE223" i="1"/>
  <c r="EE207" i="1"/>
  <c r="EC391" i="4"/>
  <c r="EE408" i="4"/>
  <c r="EC408" i="4"/>
  <c r="DZ225" i="2"/>
  <c r="EF395" i="4" l="1"/>
  <c r="EF397" i="4" s="1"/>
  <c r="EE396" i="4"/>
  <c r="EE393" i="4"/>
  <c r="DZ111" i="3"/>
  <c r="DO202" i="2"/>
  <c r="DZ269" i="2"/>
  <c r="EF243" i="1"/>
  <c r="EF227" i="1"/>
  <c r="EF211" i="1"/>
  <c r="EE243" i="1"/>
  <c r="EE227" i="1"/>
  <c r="EE211" i="1"/>
  <c r="EH243" i="1"/>
  <c r="EH227" i="1"/>
  <c r="EH211" i="1"/>
  <c r="EI239" i="1"/>
  <c r="EI207" i="1"/>
  <c r="EG243" i="1"/>
  <c r="EG227" i="1"/>
  <c r="EG211" i="1"/>
  <c r="EE392" i="4"/>
  <c r="EC392" i="4"/>
  <c r="EE414" i="4"/>
  <c r="EC409" i="4"/>
  <c r="EF408" i="4"/>
  <c r="EE409" i="4"/>
  <c r="EA225" i="2"/>
  <c r="EF392" i="4" l="1"/>
  <c r="EF396" i="4"/>
  <c r="EG395" i="4"/>
  <c r="EG397" i="4" s="1"/>
  <c r="EC57" i="2"/>
  <c r="DZ105" i="3"/>
  <c r="EC75" i="2"/>
  <c r="EC37" i="2"/>
  <c r="EA111" i="3"/>
  <c r="EA268" i="2"/>
  <c r="EA269" i="2" s="1"/>
  <c r="DO204" i="2"/>
  <c r="EI243" i="1"/>
  <c r="EI211" i="1"/>
  <c r="EG408" i="4"/>
  <c r="EF409" i="4"/>
  <c r="EE413" i="4"/>
  <c r="EB225" i="2"/>
  <c r="EG393" i="4" l="1"/>
  <c r="EF393" i="4"/>
  <c r="EH395" i="4"/>
  <c r="EH397" i="4" s="1"/>
  <c r="EG396" i="4"/>
  <c r="EC71" i="2"/>
  <c r="EC30" i="2"/>
  <c r="EE37" i="2"/>
  <c r="DP202" i="2"/>
  <c r="DQ202" i="2" s="1"/>
  <c r="EB268" i="2"/>
  <c r="EB269" i="2" s="1"/>
  <c r="EC285" i="2"/>
  <c r="EG414" i="4"/>
  <c r="EG392" i="4"/>
  <c r="EH408" i="4"/>
  <c r="EG409" i="4"/>
  <c r="EM427" i="4"/>
  <c r="EL427" i="4"/>
  <c r="EK427" i="4"/>
  <c r="EF413" i="4"/>
  <c r="EF414" i="4"/>
  <c r="EN427" i="4"/>
  <c r="EC225" i="2"/>
  <c r="EO427" i="4" l="1"/>
  <c r="EH392" i="4"/>
  <c r="EH396" i="4"/>
  <c r="EK395" i="4"/>
  <c r="EC268" i="2"/>
  <c r="EC79" i="2"/>
  <c r="EE76" i="2"/>
  <c r="EE75" i="2"/>
  <c r="EE30" i="2"/>
  <c r="EB111" i="3"/>
  <c r="EC228" i="2"/>
  <c r="EE268" i="2"/>
  <c r="EC269" i="2"/>
  <c r="EC291" i="2"/>
  <c r="EC277" i="2"/>
  <c r="EC278" i="2" s="1"/>
  <c r="DQ209" i="2"/>
  <c r="DQ204" i="2"/>
  <c r="DP204" i="2"/>
  <c r="EN223" i="1"/>
  <c r="EN207" i="1"/>
  <c r="EK239" i="1"/>
  <c r="EK223" i="1"/>
  <c r="EK207" i="1"/>
  <c r="EL239" i="1"/>
  <c r="EL223" i="1"/>
  <c r="EL207" i="1"/>
  <c r="EM239" i="1"/>
  <c r="EM223" i="1"/>
  <c r="EM207" i="1"/>
  <c r="EH414" i="4"/>
  <c r="EI408" i="4"/>
  <c r="EK408" i="4"/>
  <c r="EH409" i="4"/>
  <c r="EG413" i="4"/>
  <c r="EE225" i="2"/>
  <c r="EK397" i="4" l="1"/>
  <c r="EQ396" i="4"/>
  <c r="EF37" i="2"/>
  <c r="EF75" i="2" s="1"/>
  <c r="EH393" i="4"/>
  <c r="EL395" i="4"/>
  <c r="EI391" i="4"/>
  <c r="EI392" i="4" s="1"/>
  <c r="EK393" i="4"/>
  <c r="EK396" i="4"/>
  <c r="EI57" i="2"/>
  <c r="EC80" i="2"/>
  <c r="EC82" i="2"/>
  <c r="EC111" i="3"/>
  <c r="EE36" i="3"/>
  <c r="EE111" i="3" s="1"/>
  <c r="EE71" i="2"/>
  <c r="EE57" i="2"/>
  <c r="EE79" i="2"/>
  <c r="EE72" i="2"/>
  <c r="EE269" i="2"/>
  <c r="EF268" i="2" s="1"/>
  <c r="EF269" i="2" s="1"/>
  <c r="DQ211" i="2"/>
  <c r="DS202" i="2"/>
  <c r="EM243" i="1"/>
  <c r="EM227" i="1"/>
  <c r="EM211" i="1"/>
  <c r="EN227" i="1"/>
  <c r="EN211" i="1"/>
  <c r="EL243" i="1"/>
  <c r="EL227" i="1"/>
  <c r="EL211" i="1"/>
  <c r="EK243" i="1"/>
  <c r="EK227" i="1"/>
  <c r="EK211" i="1"/>
  <c r="EO207" i="1"/>
  <c r="EK414" i="4"/>
  <c r="EK392" i="4"/>
  <c r="EI409" i="4"/>
  <c r="EL408" i="4"/>
  <c r="EK409" i="4"/>
  <c r="EH413" i="4"/>
  <c r="EF225" i="2"/>
  <c r="EL397" i="4" l="1"/>
  <c r="ER396" i="4"/>
  <c r="EF30" i="2"/>
  <c r="EF36" i="3" s="1"/>
  <c r="EF76" i="2"/>
  <c r="EM395" i="4"/>
  <c r="EL396" i="4"/>
  <c r="EL392" i="4"/>
  <c r="EI413" i="4"/>
  <c r="EE80" i="2"/>
  <c r="EE81" i="2"/>
  <c r="EG268" i="2"/>
  <c r="DS204" i="2"/>
  <c r="EO211" i="1"/>
  <c r="EL414" i="4"/>
  <c r="EM408" i="4"/>
  <c r="EL409" i="4"/>
  <c r="EK413" i="4"/>
  <c r="EG225" i="2"/>
  <c r="EM397" i="4" l="1"/>
  <c r="ES396" i="4"/>
  <c r="EF72" i="2"/>
  <c r="EF79" i="2"/>
  <c r="EF80" i="2" s="1"/>
  <c r="EG37" i="2"/>
  <c r="EG75" i="2" s="1"/>
  <c r="EF71" i="2"/>
  <c r="EF57" i="2"/>
  <c r="EM396" i="4"/>
  <c r="EN395" i="4"/>
  <c r="EL393" i="4"/>
  <c r="EF111" i="3"/>
  <c r="DT202" i="2"/>
  <c r="EG269" i="2"/>
  <c r="EN396" i="4"/>
  <c r="EN408" i="4"/>
  <c r="EM409" i="4"/>
  <c r="EL413" i="4"/>
  <c r="EH225" i="2"/>
  <c r="EN397" i="4" l="1"/>
  <c r="EQ397" i="4"/>
  <c r="EQ395" i="4"/>
  <c r="ET396" i="4"/>
  <c r="EQ408" i="4"/>
  <c r="EG76" i="2"/>
  <c r="EF81" i="2"/>
  <c r="EG30" i="2"/>
  <c r="EG79" i="2" s="1"/>
  <c r="EG81" i="2" s="1"/>
  <c r="EI285" i="2"/>
  <c r="EH268" i="2"/>
  <c r="EI268" i="2" s="1"/>
  <c r="DT204" i="2"/>
  <c r="EM392" i="4"/>
  <c r="EM393" i="4"/>
  <c r="EO408" i="4"/>
  <c r="EO409" i="4" s="1"/>
  <c r="EN409" i="4"/>
  <c r="EI225" i="2"/>
  <c r="ER397" i="4" l="1"/>
  <c r="ER395" i="4"/>
  <c r="EQ409" i="4"/>
  <c r="ER408" i="4"/>
  <c r="EG72" i="2"/>
  <c r="EG71" i="2"/>
  <c r="EG36" i="3"/>
  <c r="EG57" i="2"/>
  <c r="EH37" i="2"/>
  <c r="EH76" i="2" s="1"/>
  <c r="EG80" i="2"/>
  <c r="EH269" i="2"/>
  <c r="EK268" i="2" s="1"/>
  <c r="EI228" i="2"/>
  <c r="DU202" i="2"/>
  <c r="EI291" i="2"/>
  <c r="EI277" i="2"/>
  <c r="EI278" i="2" s="1"/>
  <c r="EN413" i="4"/>
  <c r="EN414" i="4"/>
  <c r="EM413" i="4"/>
  <c r="EM414" i="4"/>
  <c r="EK225" i="2"/>
  <c r="ES397" i="4" l="1"/>
  <c r="ES395" i="4"/>
  <c r="ES408" i="4"/>
  <c r="ER409" i="4"/>
  <c r="EI269" i="2"/>
  <c r="EK269" i="2" s="1"/>
  <c r="EG111" i="3"/>
  <c r="EI37" i="2"/>
  <c r="EH30" i="2"/>
  <c r="EI30" i="2" s="1"/>
  <c r="EH75" i="2"/>
  <c r="EI75" i="2" s="1"/>
  <c r="DU204" i="2"/>
  <c r="EO413" i="4"/>
  <c r="EL225" i="2"/>
  <c r="ET395" i="4" l="1"/>
  <c r="ET397" i="4"/>
  <c r="ET408" i="4"/>
  <c r="ES409" i="4"/>
  <c r="EK37" i="2"/>
  <c r="EK75" i="2" s="1"/>
  <c r="EH72" i="2"/>
  <c r="EH71" i="2"/>
  <c r="EI71" i="2" s="1"/>
  <c r="EH57" i="2"/>
  <c r="EH36" i="3"/>
  <c r="EH79" i="2"/>
  <c r="EH81" i="2" s="1"/>
  <c r="EL268" i="2"/>
  <c r="DV202" i="2"/>
  <c r="DW202" i="2" s="1"/>
  <c r="EM225" i="2"/>
  <c r="EU408" i="4" l="1"/>
  <c r="EU409" i="4" s="1"/>
  <c r="ET409" i="4"/>
  <c r="EK76" i="2"/>
  <c r="EK30" i="2"/>
  <c r="EI36" i="3"/>
  <c r="EH111" i="3"/>
  <c r="EI79" i="2"/>
  <c r="EH80" i="2"/>
  <c r="DW209" i="2"/>
  <c r="DW204" i="2"/>
  <c r="DV204" i="2"/>
  <c r="EL269" i="2"/>
  <c r="EN225" i="2"/>
  <c r="EL37" i="2" l="1"/>
  <c r="EL76" i="2" s="1"/>
  <c r="EK79" i="2"/>
  <c r="EK80" i="2" s="1"/>
  <c r="EK36" i="3"/>
  <c r="EK111" i="3" s="1"/>
  <c r="EK71" i="2"/>
  <c r="EK57" i="2"/>
  <c r="EK72" i="2"/>
  <c r="EI111" i="3"/>
  <c r="EI80" i="2"/>
  <c r="EI82" i="2"/>
  <c r="EO285" i="2"/>
  <c r="DW211" i="2"/>
  <c r="DY202" i="2"/>
  <c r="DY204" i="2" s="1"/>
  <c r="EM268" i="2"/>
  <c r="EM269" i="2" s="1"/>
  <c r="EO225" i="2"/>
  <c r="EK81" i="2" l="1"/>
  <c r="EL30" i="2"/>
  <c r="EL75" i="2"/>
  <c r="EO228" i="2"/>
  <c r="DZ202" i="2"/>
  <c r="DZ204" i="2" s="1"/>
  <c r="EN268" i="2"/>
  <c r="EO268" i="2" s="1"/>
  <c r="EO291" i="2"/>
  <c r="EO277" i="2"/>
  <c r="EO278" i="2" s="1"/>
  <c r="EL36" i="3" l="1"/>
  <c r="EL111" i="3" s="1"/>
  <c r="EL72" i="2"/>
  <c r="EL71" i="2"/>
  <c r="EM37" i="2"/>
  <c r="EM76" i="2" s="1"/>
  <c r="EL79" i="2"/>
  <c r="EL80" i="2" s="1"/>
  <c r="EL57" i="2"/>
  <c r="EN269" i="2"/>
  <c r="EA202" i="2"/>
  <c r="EO269" i="2" l="1"/>
  <c r="EQ268" i="2"/>
  <c r="EM30" i="2"/>
  <c r="EM71" i="2" s="1"/>
  <c r="EL81" i="2"/>
  <c r="EM75" i="2"/>
  <c r="EA204" i="2"/>
  <c r="EQ269" i="2" l="1"/>
  <c r="EM57" i="2"/>
  <c r="EM72" i="2"/>
  <c r="EM36" i="3"/>
  <c r="EM111" i="3" s="1"/>
  <c r="EM79" i="2"/>
  <c r="EM81" i="2" s="1"/>
  <c r="EB202" i="2"/>
  <c r="EC202" i="2" s="1"/>
  <c r="ER268" i="2" l="1"/>
  <c r="ER269" i="2" s="1"/>
  <c r="EM80" i="2"/>
  <c r="EC209" i="2"/>
  <c r="EC204" i="2"/>
  <c r="EB204" i="2"/>
  <c r="ES268" i="2" l="1"/>
  <c r="ES269" i="2" s="1"/>
  <c r="EC211" i="2"/>
  <c r="EE202" i="2"/>
  <c r="ET268" i="2" l="1"/>
  <c r="EU268" i="2" s="1"/>
  <c r="ET269" i="2"/>
  <c r="EU269" i="2" s="1"/>
  <c r="EE204" i="2"/>
  <c r="EF202" i="2" l="1"/>
  <c r="EF204" i="2" l="1"/>
  <c r="EG202" i="2" l="1"/>
  <c r="EG204" i="2" l="1"/>
  <c r="EH202" i="2" l="1"/>
  <c r="EI202" i="2" s="1"/>
  <c r="EB370" i="4"/>
  <c r="DZ370" i="4"/>
  <c r="DU398" i="4"/>
  <c r="DT398" i="4"/>
  <c r="DV398" i="4"/>
  <c r="EI209" i="2" l="1"/>
  <c r="EI204" i="2"/>
  <c r="EH204" i="2"/>
  <c r="EB371" i="4"/>
  <c r="DZ371" i="4"/>
  <c r="DZ372" i="4"/>
  <c r="EC370" i="4"/>
  <c r="EB372" i="4"/>
  <c r="EC395" i="4"/>
  <c r="EI211" i="2" l="1"/>
  <c r="EK202" i="2"/>
  <c r="EK204" i="2" s="1"/>
  <c r="DZ278" i="1"/>
  <c r="EC396" i="4"/>
  <c r="EC371" i="4"/>
  <c r="EL202" i="2" l="1"/>
  <c r="EL204" i="2" s="1"/>
  <c r="EA278" i="1"/>
  <c r="EM202" i="2" l="1"/>
  <c r="EF370" i="4"/>
  <c r="EH370" i="4"/>
  <c r="EE370" i="4"/>
  <c r="DY398" i="4"/>
  <c r="EG370" i="4"/>
  <c r="EM204" i="2" l="1"/>
  <c r="EB278" i="1"/>
  <c r="EC278" i="1" s="1"/>
  <c r="EI395" i="4"/>
  <c r="EG372" i="4"/>
  <c r="EF371" i="4"/>
  <c r="EH372" i="4"/>
  <c r="EG371" i="4"/>
  <c r="EH371" i="4"/>
  <c r="EF372" i="4"/>
  <c r="EI370" i="4"/>
  <c r="EE371" i="4"/>
  <c r="EE372" i="4"/>
  <c r="DZ171" i="2" l="1"/>
  <c r="EN202" i="2"/>
  <c r="EO202" i="2" s="1"/>
  <c r="EI371" i="4"/>
  <c r="EI396" i="4"/>
  <c r="EN204" i="2" l="1"/>
  <c r="EO209" i="2"/>
  <c r="EO204" i="2"/>
  <c r="DZ168" i="2"/>
  <c r="EA169" i="2" s="1"/>
  <c r="EE278" i="1"/>
  <c r="EO211" i="2" l="1"/>
  <c r="EQ202" i="2"/>
  <c r="EQ204" i="2" s="1"/>
  <c r="DZ169" i="2"/>
  <c r="DZ52" i="2"/>
  <c r="EM370" i="4"/>
  <c r="ES371" i="4" s="1"/>
  <c r="EK370" i="4"/>
  <c r="EQ371" i="4" s="1"/>
  <c r="EN370" i="4"/>
  <c r="EL370" i="4"/>
  <c r="ER371" i="4" s="1"/>
  <c r="EN371" i="4" l="1"/>
  <c r="EQ372" i="4"/>
  <c r="ET371" i="4"/>
  <c r="ER202" i="2"/>
  <c r="ER204" i="2" s="1"/>
  <c r="EF278" i="1"/>
  <c r="EM372" i="4"/>
  <c r="EL371" i="4"/>
  <c r="EL372" i="4"/>
  <c r="EO370" i="4"/>
  <c r="EK372" i="4"/>
  <c r="EK371" i="4"/>
  <c r="EO395" i="4"/>
  <c r="EN372" i="4"/>
  <c r="EM371" i="4"/>
  <c r="EO396" i="4" l="1"/>
  <c r="EU396" i="4"/>
  <c r="EU395" i="4"/>
  <c r="EO371" i="4"/>
  <c r="EU371" i="4"/>
  <c r="ES202" i="2"/>
  <c r="ES204" i="2" s="1"/>
  <c r="EG278" i="1"/>
  <c r="ET202" i="2" l="1"/>
  <c r="EU202" i="2" s="1"/>
  <c r="EH278" i="1"/>
  <c r="EI278" i="1" s="1"/>
  <c r="ET204" i="2" l="1"/>
  <c r="EU209" i="2"/>
  <c r="EU204" i="2"/>
  <c r="EU211" i="2" s="1"/>
  <c r="EK278" i="1"/>
  <c r="EL278" i="1" l="1"/>
  <c r="EM278" i="1" l="1"/>
  <c r="DZ280" i="1" l="1"/>
  <c r="EA310" i="1" s="1"/>
  <c r="EB311" i="1" s="1"/>
  <c r="EC311" i="1" s="1"/>
  <c r="EC314" i="1" s="1"/>
  <c r="DZ282" i="1" l="1"/>
  <c r="EC366" i="4" l="1"/>
  <c r="EF367" i="4"/>
  <c r="EF357" i="4"/>
  <c r="EH348" i="4"/>
  <c r="EE347" i="4"/>
  <c r="EF348" i="4"/>
  <c r="EE348" i="4"/>
  <c r="EE356" i="4"/>
  <c r="EH356" i="4"/>
  <c r="EH359" i="4" l="1"/>
  <c r="EH366" i="4"/>
  <c r="EC367" i="4"/>
  <c r="EE357" i="4"/>
  <c r="EE366" i="4"/>
  <c r="EH357" i="4"/>
  <c r="EH358" i="4"/>
  <c r="EE359" i="4"/>
  <c r="EF358" i="4"/>
  <c r="EH347" i="4"/>
  <c r="EE358" i="4"/>
  <c r="EM347" i="4"/>
  <c r="EK348" i="4"/>
  <c r="EK347" i="4"/>
  <c r="EL348" i="4"/>
  <c r="EM356" i="4"/>
  <c r="ES357" i="4" s="1"/>
  <c r="EK356" i="4"/>
  <c r="EQ357" i="4" s="1"/>
  <c r="EM348" i="4"/>
  <c r="EL347" i="4"/>
  <c r="EL356" i="4"/>
  <c r="ER357" i="4" s="1"/>
  <c r="EN346" i="4"/>
  <c r="ET347" i="4" l="1"/>
  <c r="EQ348" i="4"/>
  <c r="EK359" i="4"/>
  <c r="EK366" i="4"/>
  <c r="EE367" i="4"/>
  <c r="EI366" i="4"/>
  <c r="EF368" i="4"/>
  <c r="EE368" i="4"/>
  <c r="EH368" i="4"/>
  <c r="EH367" i="4"/>
  <c r="EN349" i="4"/>
  <c r="EN18" i="1"/>
  <c r="EM358" i="4"/>
  <c r="EL366" i="4"/>
  <c r="ER367" i="4" s="1"/>
  <c r="EM357" i="4"/>
  <c r="EM366" i="4"/>
  <c r="EL357" i="4"/>
  <c r="EK357" i="4"/>
  <c r="EL358" i="4"/>
  <c r="EL359" i="4"/>
  <c r="EN347" i="4"/>
  <c r="EN348" i="4"/>
  <c r="EK358" i="4"/>
  <c r="EM359" i="4"/>
  <c r="EN356" i="4"/>
  <c r="ET19" i="1" l="1"/>
  <c r="EQ20" i="1"/>
  <c r="ET357" i="4"/>
  <c r="EQ358" i="4"/>
  <c r="EM367" i="4"/>
  <c r="ES367" i="4"/>
  <c r="EK368" i="4"/>
  <c r="EQ367" i="4"/>
  <c r="EN20" i="1"/>
  <c r="EN19" i="1"/>
  <c r="EO18" i="1"/>
  <c r="EU19" i="1" s="1"/>
  <c r="EN24" i="1"/>
  <c r="EI367" i="4"/>
  <c r="EL367" i="4"/>
  <c r="EM368" i="4"/>
  <c r="EK367" i="4"/>
  <c r="EL368" i="4"/>
  <c r="EN358" i="4"/>
  <c r="EN366" i="4"/>
  <c r="EN357" i="4"/>
  <c r="EQ26" i="1" l="1"/>
  <c r="ET25" i="1"/>
  <c r="EQ368" i="4"/>
  <c r="ET367" i="4"/>
  <c r="EN46" i="1"/>
  <c r="EO46" i="1" s="1"/>
  <c r="EO19" i="1"/>
  <c r="EN368" i="4"/>
  <c r="EN367" i="4"/>
  <c r="EN26" i="1"/>
  <c r="EO24" i="1"/>
  <c r="EU25" i="1" s="1"/>
  <c r="EN25" i="1"/>
  <c r="EN31" i="1"/>
  <c r="EO366" i="4"/>
  <c r="EU367" i="4" s="1"/>
  <c r="EQ33" i="1" l="1"/>
  <c r="EQ261" i="1"/>
  <c r="ER261" i="1"/>
  <c r="ET208" i="1"/>
  <c r="ES261" i="1"/>
  <c r="ET32" i="1"/>
  <c r="EN48" i="1"/>
  <c r="EN391" i="4"/>
  <c r="EN393" i="4" s="1"/>
  <c r="EN27" i="1"/>
  <c r="EO25" i="1"/>
  <c r="EO47" i="1"/>
  <c r="EO367" i="4"/>
  <c r="EN33" i="1"/>
  <c r="EN28" i="2"/>
  <c r="EO28" i="2" s="1"/>
  <c r="EN261" i="1"/>
  <c r="EN58" i="1"/>
  <c r="EN32" i="1"/>
  <c r="EO31" i="1"/>
  <c r="EN208" i="1"/>
  <c r="EN224" i="1"/>
  <c r="EN67" i="1"/>
  <c r="EN238" i="1"/>
  <c r="EN240" i="1"/>
  <c r="EN62" i="1"/>
  <c r="EN242" i="1"/>
  <c r="EN11" i="2"/>
  <c r="EN54" i="1"/>
  <c r="EN425" i="4"/>
  <c r="EO425" i="4" s="1"/>
  <c r="EN239" i="1"/>
  <c r="EN243" i="1"/>
  <c r="EN359" i="4"/>
  <c r="EU208" i="1" l="1"/>
  <c r="EU32" i="1"/>
  <c r="ER262" i="1"/>
  <c r="EQ262" i="1"/>
  <c r="ES262" i="1"/>
  <c r="ER23" i="2"/>
  <c r="ER95" i="2"/>
  <c r="ER99" i="2" s="1"/>
  <c r="ER100" i="2" s="1"/>
  <c r="ER292" i="1"/>
  <c r="ET64" i="1"/>
  <c r="EQ65" i="1"/>
  <c r="EQ230" i="1"/>
  <c r="ET214" i="1"/>
  <c r="ET60" i="1"/>
  <c r="EQ61" i="1"/>
  <c r="EQ229" i="1"/>
  <c r="ES267" i="1"/>
  <c r="ET213" i="1"/>
  <c r="EQ23" i="2"/>
  <c r="EQ95" i="2"/>
  <c r="EQ99" i="2" s="1"/>
  <c r="EQ100" i="2" s="1"/>
  <c r="EQ118" i="2"/>
  <c r="EQ292" i="1"/>
  <c r="ET56" i="1"/>
  <c r="EQ57" i="1"/>
  <c r="ET212" i="1"/>
  <c r="EQ228" i="1"/>
  <c r="ES23" i="2"/>
  <c r="ES95" i="2"/>
  <c r="ES99" i="2" s="1"/>
  <c r="ES100" i="2" s="1"/>
  <c r="ES292" i="1"/>
  <c r="EN37" i="2"/>
  <c r="EN75" i="2" s="1"/>
  <c r="EO75" i="2" s="1"/>
  <c r="EN392" i="4"/>
  <c r="EO391" i="4"/>
  <c r="EO392" i="4" s="1"/>
  <c r="EO48" i="1"/>
  <c r="EN50" i="1"/>
  <c r="EO50" i="1" s="1"/>
  <c r="EN262" i="1"/>
  <c r="EQ391" i="4"/>
  <c r="EN214" i="1"/>
  <c r="EN246" i="1"/>
  <c r="EO62" i="1"/>
  <c r="EN64" i="1"/>
  <c r="EN65" i="1"/>
  <c r="EN230" i="1"/>
  <c r="EN213" i="1"/>
  <c r="EN60" i="1"/>
  <c r="EN245" i="1"/>
  <c r="EN57" i="1"/>
  <c r="EN212" i="1"/>
  <c r="EN56" i="1"/>
  <c r="EO54" i="1"/>
  <c r="EN79" i="1"/>
  <c r="EN228" i="1"/>
  <c r="EN244" i="1"/>
  <c r="EN95" i="2"/>
  <c r="EN23" i="2"/>
  <c r="EO23" i="2" s="1"/>
  <c r="EN118" i="2"/>
  <c r="EN292" i="1"/>
  <c r="EO292" i="1" s="1"/>
  <c r="EO11" i="2"/>
  <c r="EN31" i="3"/>
  <c r="EN279" i="1"/>
  <c r="EO279" i="1" s="1"/>
  <c r="EO359" i="4"/>
  <c r="EO240" i="1"/>
  <c r="EO238" i="1"/>
  <c r="EO32" i="1"/>
  <c r="EO208" i="1"/>
  <c r="EO242" i="1"/>
  <c r="EO67" i="1"/>
  <c r="EO239" i="1"/>
  <c r="EO243" i="1"/>
  <c r="EN76" i="2" l="1"/>
  <c r="EU64" i="1"/>
  <c r="EU214" i="1"/>
  <c r="EQ393" i="4"/>
  <c r="ES263" i="1"/>
  <c r="ET215" i="1"/>
  <c r="EQ231" i="1"/>
  <c r="EQ31" i="3"/>
  <c r="EQ106" i="3" s="1"/>
  <c r="N260" i="484"/>
  <c r="EU56" i="1"/>
  <c r="EU212" i="1"/>
  <c r="EO37" i="2"/>
  <c r="EN51" i="1"/>
  <c r="EN30" i="2"/>
  <c r="EN57" i="2" s="1"/>
  <c r="EQ44" i="3"/>
  <c r="EN85" i="1"/>
  <c r="ER391" i="4"/>
  <c r="EQ392" i="4"/>
  <c r="EO51" i="1"/>
  <c r="EO56" i="1"/>
  <c r="EO212" i="1"/>
  <c r="EO55" i="1"/>
  <c r="EO244" i="1"/>
  <c r="EO57" i="2"/>
  <c r="EO64" i="1"/>
  <c r="EO214" i="1"/>
  <c r="EO246" i="1"/>
  <c r="EO63" i="1"/>
  <c r="EO31" i="3"/>
  <c r="EN106" i="3"/>
  <c r="EO95" i="2"/>
  <c r="EN99" i="2"/>
  <c r="EN428" i="4"/>
  <c r="EN215" i="1"/>
  <c r="EN27" i="2"/>
  <c r="EN81" i="1"/>
  <c r="EN247" i="1"/>
  <c r="ER31" i="3" l="1"/>
  <c r="ES31" i="3" s="1"/>
  <c r="EQ37" i="2"/>
  <c r="EQ76" i="2" s="1"/>
  <c r="EQ83" i="1"/>
  <c r="ET82" i="1"/>
  <c r="ES264" i="1"/>
  <c r="ES266" i="1" s="1"/>
  <c r="EN249" i="1"/>
  <c r="EQ233" i="1"/>
  <c r="ET217" i="1"/>
  <c r="ES265" i="1"/>
  <c r="ET87" i="1"/>
  <c r="N259" i="484"/>
  <c r="N261" i="484"/>
  <c r="N262" i="484" s="1"/>
  <c r="O261" i="484"/>
  <c r="O262" i="484" s="1"/>
  <c r="EN36" i="3"/>
  <c r="EN111" i="3" s="1"/>
  <c r="EO111" i="3" s="1"/>
  <c r="EN72" i="2"/>
  <c r="EO30" i="2"/>
  <c r="EN79" i="2"/>
  <c r="EN80" i="2" s="1"/>
  <c r="EN278" i="1"/>
  <c r="EO278" i="1" s="1"/>
  <c r="EN71" i="2"/>
  <c r="EO71" i="2" s="1"/>
  <c r="EN217" i="1"/>
  <c r="EN136" i="1"/>
  <c r="EN137" i="1" s="1"/>
  <c r="EN86" i="1"/>
  <c r="EN129" i="1"/>
  <c r="EN130" i="1" s="1"/>
  <c r="EN87" i="1"/>
  <c r="EN98" i="1"/>
  <c r="EQ117" i="3"/>
  <c r="EQ52" i="3"/>
  <c r="ER106" i="3"/>
  <c r="ER393" i="4"/>
  <c r="ES391" i="4"/>
  <c r="ER392" i="4"/>
  <c r="EO27" i="2"/>
  <c r="EN82" i="1"/>
  <c r="EO106" i="3"/>
  <c r="EN100" i="2"/>
  <c r="EO100" i="2" s="1"/>
  <c r="EO99" i="2"/>
  <c r="EQ30" i="2" l="1"/>
  <c r="EQ57" i="2" s="1"/>
  <c r="EQ75" i="2"/>
  <c r="EQ125" i="3"/>
  <c r="EQ284" i="1"/>
  <c r="EO36" i="3"/>
  <c r="EN81" i="2"/>
  <c r="EO79" i="2"/>
  <c r="EO82" i="2" s="1"/>
  <c r="EN139" i="1"/>
  <c r="EN140" i="1" s="1"/>
  <c r="ES106" i="3"/>
  <c r="ET31" i="3"/>
  <c r="ES393" i="4"/>
  <c r="ET391" i="4"/>
  <c r="ES392" i="4"/>
  <c r="EQ71" i="2" l="1"/>
  <c r="EQ79" i="2"/>
  <c r="EQ81" i="2" s="1"/>
  <c r="ER37" i="2"/>
  <c r="ER76" i="2" s="1"/>
  <c r="EQ72" i="2"/>
  <c r="EQ278" i="1"/>
  <c r="EO80" i="2"/>
  <c r="EQ36" i="3"/>
  <c r="EQ111" i="3" s="1"/>
  <c r="EN147" i="1"/>
  <c r="EN149" i="1" s="1"/>
  <c r="EU391" i="4"/>
  <c r="EU392" i="4" s="1"/>
  <c r="ET392" i="4"/>
  <c r="ET106" i="3"/>
  <c r="EU106" i="3" s="1"/>
  <c r="EU31" i="3"/>
  <c r="ET393" i="4"/>
  <c r="EQ80" i="2" l="1"/>
  <c r="ER30" i="2"/>
  <c r="ES37" i="2" s="1"/>
  <c r="ES76" i="2" s="1"/>
  <c r="ER75" i="2"/>
  <c r="EN154" i="1"/>
  <c r="EN150" i="1"/>
  <c r="DZ88" i="3"/>
  <c r="DZ124" i="2" s="1"/>
  <c r="DZ125" i="2" s="1"/>
  <c r="ER36" i="3" l="1"/>
  <c r="ER111" i="3" s="1"/>
  <c r="ER72" i="2"/>
  <c r="ER278" i="1"/>
  <c r="ER57" i="2"/>
  <c r="ER79" i="2"/>
  <c r="ER80" i="2" s="1"/>
  <c r="ES75" i="2"/>
  <c r="ES30" i="2"/>
  <c r="ES278" i="1" s="1"/>
  <c r="ER71" i="2"/>
  <c r="EN151" i="1"/>
  <c r="ET151" i="1"/>
  <c r="DZ345" i="1"/>
  <c r="DZ288" i="1"/>
  <c r="DZ89" i="1"/>
  <c r="DZ90" i="1" s="1"/>
  <c r="DZ113" i="3"/>
  <c r="DZ108" i="2"/>
  <c r="ER81" i="2" l="1"/>
  <c r="ES79" i="2"/>
  <c r="ES80" i="2" s="1"/>
  <c r="ES71" i="2"/>
  <c r="ET37" i="2"/>
  <c r="EU37" i="2" s="1"/>
  <c r="ES36" i="3"/>
  <c r="ES111" i="3" s="1"/>
  <c r="ES57" i="2"/>
  <c r="ES72" i="2"/>
  <c r="DZ269" i="1"/>
  <c r="DZ285" i="1"/>
  <c r="DZ346" i="1"/>
  <c r="DZ117" i="3"/>
  <c r="DZ284" i="1" s="1"/>
  <c r="ES81" i="2" l="1"/>
  <c r="ET30" i="2"/>
  <c r="ET79" i="2" s="1"/>
  <c r="EU79" i="2" s="1"/>
  <c r="ET75" i="2"/>
  <c r="EU75" i="2" s="1"/>
  <c r="ET76" i="2"/>
  <c r="DZ118" i="2"/>
  <c r="DZ106" i="2" s="1"/>
  <c r="DZ109" i="2" s="1"/>
  <c r="DZ286" i="1"/>
  <c r="DZ145" i="3"/>
  <c r="DZ125" i="3"/>
  <c r="ET80" i="2" l="1"/>
  <c r="ET81" i="2"/>
  <c r="ET34" i="2"/>
  <c r="ET42" i="2" s="1"/>
  <c r="EU42" i="2" s="1"/>
  <c r="ET36" i="3"/>
  <c r="EU36" i="3" s="1"/>
  <c r="ET72" i="2"/>
  <c r="EU30" i="2"/>
  <c r="EU102" i="2" s="1"/>
  <c r="ET102" i="2"/>
  <c r="ET278" i="1"/>
  <c r="EU278" i="1" s="1"/>
  <c r="ET57" i="2"/>
  <c r="ET71" i="2"/>
  <c r="EU71" i="2" s="1"/>
  <c r="EU82" i="2"/>
  <c r="EU80" i="2"/>
  <c r="DZ119" i="2"/>
  <c r="EF119" i="2" s="1"/>
  <c r="DZ270" i="1"/>
  <c r="DZ272" i="1" s="1"/>
  <c r="DZ152" i="3"/>
  <c r="DZ153" i="3" s="1"/>
  <c r="EL119" i="2" l="1"/>
  <c r="EF118" i="2"/>
  <c r="ET111" i="3"/>
  <c r="EU111" i="3" s="1"/>
  <c r="EU34" i="2"/>
  <c r="M355" i="484"/>
  <c r="M256" i="484"/>
  <c r="N285" i="484"/>
  <c r="EF44" i="3" l="1"/>
  <c r="ER119" i="2"/>
  <c r="ER118" i="2" s="1"/>
  <c r="EL118" i="2"/>
  <c r="N291" i="484"/>
  <c r="N355" i="484"/>
  <c r="O285" i="484"/>
  <c r="N256" i="484"/>
  <c r="EL44" i="3" l="1"/>
  <c r="ER44" i="3"/>
  <c r="EF52" i="3"/>
  <c r="EF117" i="3"/>
  <c r="ER52" i="3" l="1"/>
  <c r="ER117" i="3"/>
  <c r="EF125" i="3"/>
  <c r="EF284" i="1"/>
  <c r="EL52" i="3"/>
  <c r="EL117" i="3"/>
  <c r="DZ129" i="3"/>
  <c r="DZ147" i="3" s="1"/>
  <c r="DZ66" i="3"/>
  <c r="DZ70" i="3" s="1"/>
  <c r="DZ150" i="2"/>
  <c r="DZ128" i="3"/>
  <c r="DZ134" i="3" s="1"/>
  <c r="DZ139" i="3" s="1"/>
  <c r="ER284" i="1" l="1"/>
  <c r="ER125" i="3"/>
  <c r="EL125" i="3"/>
  <c r="EL284" i="1"/>
  <c r="DZ132" i="2"/>
  <c r="DZ135" i="2" s="1"/>
  <c r="EF135" i="2" s="1"/>
  <c r="DZ151" i="2"/>
  <c r="DZ149" i="2"/>
  <c r="DZ283" i="1"/>
  <c r="DZ72" i="3"/>
  <c r="DZ143" i="3"/>
  <c r="DZ149" i="3" s="1"/>
  <c r="DZ138" i="2"/>
  <c r="DZ148" i="3"/>
  <c r="DZ131" i="2" l="1"/>
  <c r="EF132" i="2"/>
  <c r="EL135" i="2"/>
  <c r="ER135" i="2" s="1"/>
  <c r="ER132" i="2" s="1"/>
  <c r="ER131" i="2" s="1"/>
  <c r="ER130" i="2" l="1"/>
  <c r="ER55" i="3"/>
  <c r="EL132" i="2"/>
  <c r="EL131" i="2"/>
  <c r="EF131" i="2"/>
  <c r="ER128" i="3" l="1"/>
  <c r="ER134" i="3" s="1"/>
  <c r="ER61" i="3"/>
  <c r="EF130" i="2"/>
  <c r="EF55" i="3"/>
  <c r="EL130" i="2"/>
  <c r="EL55" i="3"/>
  <c r="EL128" i="3" l="1"/>
  <c r="EL61" i="3"/>
  <c r="EF128" i="3"/>
  <c r="EF61" i="3"/>
  <c r="EL134" i="3" l="1"/>
  <c r="EF134" i="3"/>
  <c r="EA267" i="1" l="1"/>
  <c r="EA61" i="1"/>
  <c r="EE267" i="1"/>
  <c r="EA229" i="1"/>
  <c r="EA60" i="1"/>
  <c r="EA213" i="1"/>
  <c r="EB229" i="1"/>
  <c r="EB267" i="1"/>
  <c r="EA245" i="1"/>
  <c r="EF267" i="1"/>
  <c r="EC58" i="1"/>
  <c r="EC79" i="1" s="1"/>
  <c r="EC81" i="1" s="1"/>
  <c r="EA79" i="1"/>
  <c r="EA58" i="2" s="1"/>
  <c r="EA59" i="1"/>
  <c r="EG58" i="1" l="1"/>
  <c r="EG229" i="1" s="1"/>
  <c r="EC82" i="1"/>
  <c r="EA215" i="1"/>
  <c r="EA231" i="1"/>
  <c r="EA247" i="1"/>
  <c r="EA81" i="1"/>
  <c r="EA428" i="4"/>
  <c r="EC428" i="4" s="1"/>
  <c r="EA263" i="1"/>
  <c r="EE263" i="1"/>
  <c r="EB263" i="1"/>
  <c r="EB231" i="1"/>
  <c r="EF263" i="1"/>
  <c r="EA85" i="1"/>
  <c r="EC58" i="2"/>
  <c r="EC247" i="1"/>
  <c r="EC215" i="1"/>
  <c r="EC170" i="1"/>
  <c r="EC85" i="1"/>
  <c r="EC59" i="1"/>
  <c r="EC60" i="1"/>
  <c r="EC245" i="1"/>
  <c r="EC213" i="1"/>
  <c r="EM58" i="1" l="1"/>
  <c r="EO58" i="1" s="1"/>
  <c r="EA92" i="2"/>
  <c r="EG92" i="2" s="1"/>
  <c r="EM92" i="2" s="1"/>
  <c r="ES92" i="2" s="1"/>
  <c r="ES33" i="2" s="1"/>
  <c r="ES34" i="2" s="1"/>
  <c r="ES42" i="2" s="1"/>
  <c r="EA91" i="2"/>
  <c r="EG91" i="2" s="1"/>
  <c r="EM91" i="2" s="1"/>
  <c r="ES91" i="2" s="1"/>
  <c r="ES12" i="2" s="1"/>
  <c r="EA90" i="2"/>
  <c r="EG90" i="2" s="1"/>
  <c r="EM90" i="2" s="1"/>
  <c r="ES90" i="2" s="1"/>
  <c r="ES15" i="2" s="1"/>
  <c r="EL267" i="1"/>
  <c r="EG245" i="1"/>
  <c r="EH229" i="1"/>
  <c r="EH267" i="1"/>
  <c r="EG213" i="1"/>
  <c r="EH61" i="1"/>
  <c r="EG79" i="1"/>
  <c r="EK267" i="1"/>
  <c r="EG267" i="1"/>
  <c r="EG61" i="1"/>
  <c r="EI58" i="1"/>
  <c r="EI213" i="1" s="1"/>
  <c r="EG60" i="1"/>
  <c r="EN267" i="1"/>
  <c r="EA136" i="1"/>
  <c r="EC136" i="1" s="1"/>
  <c r="EA129" i="1"/>
  <c r="EC217" i="1"/>
  <c r="EC87" i="1"/>
  <c r="EC249" i="1"/>
  <c r="EC86" i="1"/>
  <c r="EE264" i="1"/>
  <c r="EE266" i="1" s="1"/>
  <c r="EE15" i="2"/>
  <c r="EE33" i="2"/>
  <c r="EE12" i="2"/>
  <c r="EA82" i="1"/>
  <c r="EB83" i="1"/>
  <c r="EA83" i="1"/>
  <c r="EA217" i="1"/>
  <c r="EB233" i="1"/>
  <c r="EA87" i="1"/>
  <c r="EA233" i="1"/>
  <c r="EF265" i="1"/>
  <c r="EE265" i="1"/>
  <c r="EA86" i="1"/>
  <c r="EB265" i="1"/>
  <c r="EA249" i="1"/>
  <c r="EA265" i="1"/>
  <c r="EF264" i="1"/>
  <c r="EF266" i="1" s="1"/>
  <c r="EF15" i="2"/>
  <c r="EF33" i="2"/>
  <c r="EF12" i="2"/>
  <c r="EB264" i="1"/>
  <c r="EB266" i="1" s="1"/>
  <c r="EA264" i="1"/>
  <c r="EA266" i="1" s="1"/>
  <c r="EA109" i="3"/>
  <c r="L323" i="484"/>
  <c r="L321" i="484"/>
  <c r="ES102" i="2" l="1"/>
  <c r="EM79" i="1"/>
  <c r="ES215" i="1" s="1"/>
  <c r="EM213" i="1"/>
  <c r="EM229" i="1"/>
  <c r="EM60" i="1"/>
  <c r="EM245" i="1"/>
  <c r="EN61" i="1"/>
  <c r="EM267" i="1"/>
  <c r="EM61" i="1"/>
  <c r="EU60" i="1"/>
  <c r="EU213" i="1"/>
  <c r="ES60" i="1"/>
  <c r="ES213" i="1"/>
  <c r="EQ267" i="1"/>
  <c r="ER267" i="1"/>
  <c r="EN229" i="1"/>
  <c r="EO245" i="1"/>
  <c r="EC139" i="1"/>
  <c r="EC141" i="1" s="1"/>
  <c r="EC137" i="1"/>
  <c r="EA130" i="1"/>
  <c r="EC129" i="1"/>
  <c r="EC130" i="1" s="1"/>
  <c r="L246" i="484"/>
  <c r="L352" i="484" s="1"/>
  <c r="EG263" i="1"/>
  <c r="EG264" i="1" s="1"/>
  <c r="EG266" i="1" s="1"/>
  <c r="EG27" i="2"/>
  <c r="EG247" i="1"/>
  <c r="EG85" i="1"/>
  <c r="EG233" i="1" s="1"/>
  <c r="EG231" i="1"/>
  <c r="EI60" i="1"/>
  <c r="EO59" i="1"/>
  <c r="EO79" i="1"/>
  <c r="EU215" i="1" s="1"/>
  <c r="EH263" i="1"/>
  <c r="EH264" i="1" s="1"/>
  <c r="EH266" i="1" s="1"/>
  <c r="EH231" i="1"/>
  <c r="EI245" i="1"/>
  <c r="EK263" i="1"/>
  <c r="EK15" i="2" s="1"/>
  <c r="EG81" i="1"/>
  <c r="EG83" i="1" s="1"/>
  <c r="EG215" i="1"/>
  <c r="EI59" i="1"/>
  <c r="EO213" i="1"/>
  <c r="EL263" i="1"/>
  <c r="EL33" i="2" s="1"/>
  <c r="EG428" i="4"/>
  <c r="EI428" i="4" s="1"/>
  <c r="EI79" i="1"/>
  <c r="EI170" i="1" s="1"/>
  <c r="EO60" i="1"/>
  <c r="EA139" i="1"/>
  <c r="EA137" i="1"/>
  <c r="EA110" i="3"/>
  <c r="EO247" i="1"/>
  <c r="EC12" i="2"/>
  <c r="EE32" i="3" s="1"/>
  <c r="EE107" i="3" s="1"/>
  <c r="EE34" i="2"/>
  <c r="EE42" i="2" s="1"/>
  <c r="EC33" i="2"/>
  <c r="EE35" i="3" s="1"/>
  <c r="EF102" i="2"/>
  <c r="EF34" i="2"/>
  <c r="EF42" i="2" s="1"/>
  <c r="EC15" i="2"/>
  <c r="EE34" i="3" s="1"/>
  <c r="EE102" i="2"/>
  <c r="EM215" i="1" l="1"/>
  <c r="EM27" i="2"/>
  <c r="EM428" i="4"/>
  <c r="EO428" i="4" s="1"/>
  <c r="EN231" i="1"/>
  <c r="EM85" i="1"/>
  <c r="ES87" i="1" s="1"/>
  <c r="EM263" i="1"/>
  <c r="EM33" i="2" s="1"/>
  <c r="EN263" i="1"/>
  <c r="EN264" i="1" s="1"/>
  <c r="EN266" i="1" s="1"/>
  <c r="EM81" i="1"/>
  <c r="ES82" i="1" s="1"/>
  <c r="EQ263" i="1"/>
  <c r="EQ12" i="2" s="1"/>
  <c r="EM247" i="1"/>
  <c r="EM231" i="1"/>
  <c r="ER263" i="1"/>
  <c r="ER33" i="2" s="1"/>
  <c r="ER34" i="2" s="1"/>
  <c r="ER42" i="2" s="1"/>
  <c r="ES428" i="4"/>
  <c r="EU428" i="4" s="1"/>
  <c r="EO170" i="1"/>
  <c r="L245" i="484"/>
  <c r="L247" i="484" s="1"/>
  <c r="EG33" i="2"/>
  <c r="EG34" i="2" s="1"/>
  <c r="EG42" i="2" s="1"/>
  <c r="EL265" i="1"/>
  <c r="EG12" i="2"/>
  <c r="EH233" i="1"/>
  <c r="EH12" i="2"/>
  <c r="EI12" i="2" s="1"/>
  <c r="EG217" i="1"/>
  <c r="EK12" i="2"/>
  <c r="EG136" i="1"/>
  <c r="EI136" i="1" s="1"/>
  <c r="EG15" i="2"/>
  <c r="EK33" i="2"/>
  <c r="EK34" i="2" s="1"/>
  <c r="EK42" i="2" s="1"/>
  <c r="EH15" i="2"/>
  <c r="EI15" i="2" s="1"/>
  <c r="EK34" i="3" s="1"/>
  <c r="EK109" i="3" s="1"/>
  <c r="EG86" i="1"/>
  <c r="EH265" i="1"/>
  <c r="EG87" i="1"/>
  <c r="EH83" i="1"/>
  <c r="EK264" i="1"/>
  <c r="EK266" i="1" s="1"/>
  <c r="EH33" i="2"/>
  <c r="EI33" i="2" s="1"/>
  <c r="EG98" i="1"/>
  <c r="EI98" i="1" s="1"/>
  <c r="EG129" i="1"/>
  <c r="EI129" i="1" s="1"/>
  <c r="EG265" i="1"/>
  <c r="EK265" i="1"/>
  <c r="EO81" i="1"/>
  <c r="EU82" i="1" s="1"/>
  <c r="EG249" i="1"/>
  <c r="EL15" i="2"/>
  <c r="EO58" i="2"/>
  <c r="EO215" i="1"/>
  <c r="EO85" i="1"/>
  <c r="EL12" i="2"/>
  <c r="EI247" i="1"/>
  <c r="EL264" i="1"/>
  <c r="EL266" i="1" s="1"/>
  <c r="EI58" i="2"/>
  <c r="EI85" i="1"/>
  <c r="EI249" i="1" s="1"/>
  <c r="EI81" i="1"/>
  <c r="EI82" i="1" s="1"/>
  <c r="M322" i="484" s="1"/>
  <c r="EI215" i="1"/>
  <c r="EG82" i="1"/>
  <c r="EA147" i="1"/>
  <c r="EA141" i="1"/>
  <c r="EC102" i="2"/>
  <c r="EE109" i="3"/>
  <c r="EF34" i="3"/>
  <c r="EF109" i="3" s="1"/>
  <c r="EE110" i="3"/>
  <c r="EF35" i="3"/>
  <c r="EC34" i="2"/>
  <c r="EB109" i="3"/>
  <c r="EC109" i="3" s="1"/>
  <c r="EL34" i="2"/>
  <c r="EL42" i="2" s="1"/>
  <c r="EF32" i="3"/>
  <c r="EA107" i="3"/>
  <c r="EN12" i="2" l="1"/>
  <c r="EO12" i="2" s="1"/>
  <c r="EO102" i="2" s="1"/>
  <c r="EN15" i="2"/>
  <c r="EO15" i="2" s="1"/>
  <c r="EN33" i="2"/>
  <c r="EO33" i="2" s="1"/>
  <c r="EM86" i="1"/>
  <c r="EM34" i="2"/>
  <c r="EM42" i="2" s="1"/>
  <c r="EM233" i="1"/>
  <c r="EN265" i="1"/>
  <c r="EM264" i="1"/>
  <c r="EM266" i="1" s="1"/>
  <c r="EM12" i="2"/>
  <c r="EN233" i="1"/>
  <c r="EQ265" i="1"/>
  <c r="EM82" i="1"/>
  <c r="EM83" i="1"/>
  <c r="EL102" i="2"/>
  <c r="EN83" i="1"/>
  <c r="EM217" i="1"/>
  <c r="EM129" i="1"/>
  <c r="EO129" i="1" s="1"/>
  <c r="ER265" i="1"/>
  <c r="EM136" i="1"/>
  <c r="EO136" i="1" s="1"/>
  <c r="EO139" i="1" s="1"/>
  <c r="ES217" i="1"/>
  <c r="EM87" i="1"/>
  <c r="EM249" i="1"/>
  <c r="EM265" i="1"/>
  <c r="EM98" i="1"/>
  <c r="EO98" i="1" s="1"/>
  <c r="EM15" i="2"/>
  <c r="EQ33" i="2"/>
  <c r="EQ34" i="2" s="1"/>
  <c r="EQ42" i="2" s="1"/>
  <c r="EQ15" i="2"/>
  <c r="EQ264" i="1"/>
  <c r="EQ266" i="1" s="1"/>
  <c r="ER264" i="1"/>
  <c r="ER266" i="1" s="1"/>
  <c r="ER15" i="2"/>
  <c r="ER12" i="2"/>
  <c r="EU217" i="1"/>
  <c r="EU87" i="1"/>
  <c r="O322" i="484"/>
  <c r="O323" i="484" s="1"/>
  <c r="EA130" i="2"/>
  <c r="EC147" i="1"/>
  <c r="L263" i="484"/>
  <c r="EG130" i="1"/>
  <c r="L351" i="484"/>
  <c r="EG139" i="1"/>
  <c r="EG140" i="1" s="1"/>
  <c r="EG147" i="1" s="1"/>
  <c r="EK102" i="2"/>
  <c r="EG137" i="1"/>
  <c r="EG102" i="2"/>
  <c r="EH102" i="2"/>
  <c r="EK35" i="3"/>
  <c r="EL35" i="3" s="1"/>
  <c r="EH34" i="2"/>
  <c r="EI34" i="2" s="1"/>
  <c r="EO249" i="1"/>
  <c r="EO86" i="1"/>
  <c r="EO87" i="1"/>
  <c r="EI87" i="1"/>
  <c r="EO217" i="1"/>
  <c r="EI86" i="1"/>
  <c r="EI217" i="1"/>
  <c r="EM102" i="2"/>
  <c r="EO82" i="1"/>
  <c r="EN34" i="2"/>
  <c r="EO34" i="2" s="1"/>
  <c r="EE105" i="3"/>
  <c r="EA91" i="3"/>
  <c r="EA154" i="1"/>
  <c r="EA150" i="1"/>
  <c r="EA151" i="1" s="1"/>
  <c r="EA149" i="1"/>
  <c r="EB110" i="3"/>
  <c r="EC110" i="3" s="1"/>
  <c r="EE30" i="3"/>
  <c r="EA105" i="3"/>
  <c r="EO130" i="1"/>
  <c r="EI102" i="2"/>
  <c r="EK32" i="3"/>
  <c r="EL34" i="3"/>
  <c r="EF107" i="3"/>
  <c r="EF30" i="3"/>
  <c r="EI130" i="1"/>
  <c r="L248" i="484"/>
  <c r="EB107" i="3"/>
  <c r="EG34" i="3"/>
  <c r="EI137" i="1"/>
  <c r="EI139" i="1"/>
  <c r="EG32" i="3"/>
  <c r="EC42" i="2"/>
  <c r="EF110" i="3"/>
  <c r="EG35" i="3"/>
  <c r="EN102" i="2" l="1"/>
  <c r="EQ32" i="3"/>
  <c r="EQ107" i="3" s="1"/>
  <c r="EM137" i="1"/>
  <c r="EO137" i="1"/>
  <c r="EM130" i="1"/>
  <c r="EM139" i="1"/>
  <c r="EM140" i="1" s="1"/>
  <c r="EM147" i="1" s="1"/>
  <c r="EM10" i="3" s="1"/>
  <c r="EQ35" i="3"/>
  <c r="EQ110" i="3" s="1"/>
  <c r="EQ102" i="2"/>
  <c r="EQ34" i="3"/>
  <c r="EQ109" i="3" s="1"/>
  <c r="ER102" i="2"/>
  <c r="N322" i="484"/>
  <c r="O321" i="484"/>
  <c r="EC149" i="1"/>
  <c r="EC154" i="1"/>
  <c r="EC150" i="1"/>
  <c r="EC151" i="1" s="1"/>
  <c r="EK110" i="3"/>
  <c r="EH42" i="2"/>
  <c r="EI42" i="2" s="1"/>
  <c r="EN42" i="2"/>
  <c r="EO42" i="2" s="1"/>
  <c r="EB91" i="3"/>
  <c r="EC91" i="3" s="1"/>
  <c r="EB105" i="3"/>
  <c r="EC105" i="3" s="1"/>
  <c r="EM154" i="1"/>
  <c r="EG149" i="1"/>
  <c r="EG154" i="1"/>
  <c r="EG150" i="1"/>
  <c r="EI147" i="1"/>
  <c r="EG10" i="3"/>
  <c r="EL109" i="3"/>
  <c r="EM34" i="3"/>
  <c r="M323" i="484"/>
  <c r="M321" i="484"/>
  <c r="EG30" i="3"/>
  <c r="EG107" i="3"/>
  <c r="EH32" i="3"/>
  <c r="EF105" i="3"/>
  <c r="EG110" i="3"/>
  <c r="EH35" i="3"/>
  <c r="EG109" i="3"/>
  <c r="EH34" i="3"/>
  <c r="EI140" i="1"/>
  <c r="EI141" i="1" s="1"/>
  <c r="EC107" i="3"/>
  <c r="L353" i="484"/>
  <c r="EL110" i="3"/>
  <c r="EM35" i="3"/>
  <c r="EK107" i="3"/>
  <c r="EL32" i="3"/>
  <c r="ER32" i="3" l="1"/>
  <c r="ES32" i="3" s="1"/>
  <c r="ES107" i="3" s="1"/>
  <c r="EO140" i="1"/>
  <c r="EO147" i="1"/>
  <c r="EM149" i="1"/>
  <c r="EM150" i="1"/>
  <c r="ES151" i="1" s="1"/>
  <c r="ER34" i="3"/>
  <c r="ES34" i="3" s="1"/>
  <c r="EQ30" i="3"/>
  <c r="ER35" i="3"/>
  <c r="ES35" i="3" s="1"/>
  <c r="EQ105" i="3"/>
  <c r="N321" i="484"/>
  <c r="N323" i="484"/>
  <c r="O246" i="484"/>
  <c r="O352" i="484" s="1"/>
  <c r="M246" i="484"/>
  <c r="M245" i="484" s="1"/>
  <c r="EL107" i="3"/>
  <c r="EL105" i="3" s="1"/>
  <c r="EL30" i="3"/>
  <c r="EM32" i="3"/>
  <c r="EG85" i="3"/>
  <c r="EH10" i="3"/>
  <c r="EO141" i="1"/>
  <c r="EI32" i="3"/>
  <c r="EH30" i="3"/>
  <c r="EI30" i="3" s="1"/>
  <c r="EH107" i="3"/>
  <c r="EM85" i="3"/>
  <c r="EN10" i="3"/>
  <c r="EM110" i="3"/>
  <c r="EN35" i="3"/>
  <c r="EG105" i="3"/>
  <c r="EK105" i="3"/>
  <c r="EK30" i="3"/>
  <c r="EI34" i="3"/>
  <c r="EH109" i="3"/>
  <c r="EI109" i="3" s="1"/>
  <c r="EH110" i="3"/>
  <c r="EI110" i="3" s="1"/>
  <c r="EI35" i="3"/>
  <c r="EM109" i="3"/>
  <c r="EN34" i="3"/>
  <c r="EI154" i="1"/>
  <c r="EI149" i="1"/>
  <c r="EI150" i="1"/>
  <c r="EE575" i="4" s="1"/>
  <c r="EI10" i="3"/>
  <c r="EO149" i="1"/>
  <c r="EO150" i="1"/>
  <c r="EU151" i="1" s="1"/>
  <c r="EO154" i="1"/>
  <c r="EO10" i="3"/>
  <c r="EM151" i="1" l="1"/>
  <c r="ER107" i="3"/>
  <c r="ET32" i="3"/>
  <c r="EU32" i="3" s="1"/>
  <c r="ER109" i="3"/>
  <c r="ER110" i="3"/>
  <c r="ER30" i="3"/>
  <c r="N246" i="484"/>
  <c r="N352" i="484" s="1"/>
  <c r="ES10" i="3"/>
  <c r="ET107" i="3"/>
  <c r="ES110" i="3"/>
  <c r="ET35" i="3"/>
  <c r="ES109" i="3"/>
  <c r="ET34" i="3"/>
  <c r="ES30" i="3"/>
  <c r="M352" i="484"/>
  <c r="EO34" i="3"/>
  <c r="EN109" i="3"/>
  <c r="EO109" i="3" s="1"/>
  <c r="EO35" i="3"/>
  <c r="EN110" i="3"/>
  <c r="EO110" i="3" s="1"/>
  <c r="EM107" i="3"/>
  <c r="EM105" i="3" s="1"/>
  <c r="EM30" i="3"/>
  <c r="EN32" i="3"/>
  <c r="EO151" i="1"/>
  <c r="M351" i="484"/>
  <c r="M263" i="484"/>
  <c r="M247" i="484"/>
  <c r="EN85" i="3"/>
  <c r="EO85" i="3" s="1"/>
  <c r="EH105" i="3"/>
  <c r="EI105" i="3" s="1"/>
  <c r="EI107" i="3"/>
  <c r="EH85" i="3"/>
  <c r="EI85" i="3" s="1"/>
  <c r="EU107" i="3" l="1"/>
  <c r="N245" i="484"/>
  <c r="ER105" i="3"/>
  <c r="ES85" i="3"/>
  <c r="ET10" i="3"/>
  <c r="ET85" i="3" s="1"/>
  <c r="EU10" i="3"/>
  <c r="ES105" i="3"/>
  <c r="ET109" i="3"/>
  <c r="EU34" i="3"/>
  <c r="ET30" i="3"/>
  <c r="EU30" i="3" s="1"/>
  <c r="ET110" i="3"/>
  <c r="EU110" i="3" s="1"/>
  <c r="EU35" i="3"/>
  <c r="M248" i="484"/>
  <c r="M251" i="484"/>
  <c r="EN107" i="3"/>
  <c r="EN30" i="3"/>
  <c r="EO32" i="3"/>
  <c r="N351" i="484"/>
  <c r="N263" i="484" l="1"/>
  <c r="N247" i="484"/>
  <c r="N251" i="484" s="1"/>
  <c r="S245" i="484"/>
  <c r="O245" i="484"/>
  <c r="O263" i="484" s="1"/>
  <c r="EU85" i="3"/>
  <c r="EU109" i="3"/>
  <c r="ET105" i="3"/>
  <c r="EU105" i="3" s="1"/>
  <c r="N248" i="484"/>
  <c r="M353" i="484"/>
  <c r="EO30" i="3"/>
  <c r="EN105" i="3"/>
  <c r="EO107" i="3"/>
  <c r="M265" i="484"/>
  <c r="O351" i="484" l="1"/>
  <c r="P245" i="484"/>
  <c r="P351" i="484" s="1"/>
  <c r="O247" i="484"/>
  <c r="O248" i="484" s="1"/>
  <c r="EO105" i="3"/>
  <c r="Q245" i="484"/>
  <c r="R245" i="484" s="1"/>
  <c r="N265" i="484"/>
  <c r="N353" i="484"/>
  <c r="O251" i="484"/>
  <c r="P263" i="484" l="1"/>
  <c r="P247" i="484"/>
  <c r="R263" i="484"/>
  <c r="R247" i="484"/>
  <c r="O265" i="484"/>
  <c r="P248" i="484"/>
  <c r="P251" i="484"/>
  <c r="Q351" i="484"/>
  <c r="T245" i="484"/>
  <c r="Q247" i="484"/>
  <c r="Q263" i="484"/>
  <c r="T263" i="484" s="1"/>
  <c r="O353" i="484"/>
  <c r="R248" i="484" l="1"/>
  <c r="R251" i="484"/>
  <c r="Q248" i="484"/>
  <c r="Q251" i="484"/>
  <c r="P265" i="484"/>
  <c r="P353" i="484"/>
  <c r="R265" i="484" l="1"/>
  <c r="Q265" i="484"/>
  <c r="Q353" i="484"/>
  <c r="EA98" i="1" l="1"/>
  <c r="EA94" i="1"/>
  <c r="EC94" i="1" s="1"/>
  <c r="EC93" i="1" s="1"/>
  <c r="EA105" i="1" l="1"/>
  <c r="EA101" i="1"/>
  <c r="L250" i="484"/>
  <c r="EC98" i="1"/>
  <c r="EA322" i="1"/>
  <c r="EA274" i="1" l="1"/>
  <c r="EA275" i="1" s="1"/>
  <c r="EA122" i="1"/>
  <c r="EC122" i="1" s="1"/>
  <c r="EC123" i="1" s="1"/>
  <c r="L251" i="484"/>
  <c r="L264" i="484"/>
  <c r="EC322" i="1"/>
  <c r="EA320" i="1"/>
  <c r="EB274" i="1" l="1"/>
  <c r="EB275" i="1" s="1"/>
  <c r="EA123" i="1"/>
  <c r="EA124" i="1"/>
  <c r="EA125" i="1" s="1"/>
  <c r="EA126" i="1" s="1"/>
  <c r="EA218" i="1"/>
  <c r="EA234" i="1"/>
  <c r="EA109" i="1"/>
  <c r="EA250" i="1"/>
  <c r="EA321" i="1"/>
  <c r="EA131" i="1" s="1"/>
  <c r="EA132" i="1" s="1"/>
  <c r="EA133" i="1" s="1"/>
  <c r="L265" i="484"/>
  <c r="EF101" i="1" l="1"/>
  <c r="EE122" i="1"/>
  <c r="EE274" i="1"/>
  <c r="EE275" i="1" s="1"/>
  <c r="EE100" i="1"/>
  <c r="EB105" i="1"/>
  <c r="EB320" i="1"/>
  <c r="EC100" i="1"/>
  <c r="EA447" i="4"/>
  <c r="EG151" i="1"/>
  <c r="EA85" i="3"/>
  <c r="EA107" i="1"/>
  <c r="EC10" i="3"/>
  <c r="EC39" i="3" s="1"/>
  <c r="EC40" i="3" s="1"/>
  <c r="EA575" i="4"/>
  <c r="EC47" i="2"/>
  <c r="EE47" i="2"/>
  <c r="EF47" i="2" s="1"/>
  <c r="EG47" i="2" s="1"/>
  <c r="EH47" i="2" s="1"/>
  <c r="EB109" i="1" l="1"/>
  <c r="EB107" i="1"/>
  <c r="EB108" i="1" s="1"/>
  <c r="EB250" i="1"/>
  <c r="EB218" i="1"/>
  <c r="EB234" i="1"/>
  <c r="EE105" i="1"/>
  <c r="EE320" i="1"/>
  <c r="EE321" i="1" s="1"/>
  <c r="EE131" i="1" s="1"/>
  <c r="EE132" i="1" s="1"/>
  <c r="EE133" i="1" s="1"/>
  <c r="EB321" i="1"/>
  <c r="EB131" i="1" s="1"/>
  <c r="EB132" i="1" s="1"/>
  <c r="EB133" i="1" s="1"/>
  <c r="EC320" i="1"/>
  <c r="EC321" i="1" s="1"/>
  <c r="EC131" i="1" s="1"/>
  <c r="EC132" i="1" s="1"/>
  <c r="EC133" i="1" s="1"/>
  <c r="EC101" i="1"/>
  <c r="EC124" i="1" s="1"/>
  <c r="EC125" i="1" s="1"/>
  <c r="EC126" i="1" s="1"/>
  <c r="EC105" i="1"/>
  <c r="EC107" i="1" s="1"/>
  <c r="EB565" i="4" s="1"/>
  <c r="EE123" i="1"/>
  <c r="EE124" i="1"/>
  <c r="EE125" i="1" s="1"/>
  <c r="EE126" i="1" s="1"/>
  <c r="EG101" i="1"/>
  <c r="EF274" i="1"/>
  <c r="EF275" i="1" s="1"/>
  <c r="EF122" i="1"/>
  <c r="EF100" i="1"/>
  <c r="DY575" i="4"/>
  <c r="EI151" i="1"/>
  <c r="EA268" i="1"/>
  <c r="EA235" i="1"/>
  <c r="EA219" i="1"/>
  <c r="EA457" i="4"/>
  <c r="EA458" i="4" s="1"/>
  <c r="EA108" i="1"/>
  <c r="EI47" i="2"/>
  <c r="EK47" i="2"/>
  <c r="EL47" i="2" s="1"/>
  <c r="EM47" i="2" s="1"/>
  <c r="EN47" i="2" s="1"/>
  <c r="EQ47" i="2" s="1"/>
  <c r="ER47" i="2" s="1"/>
  <c r="ES47" i="2" s="1"/>
  <c r="ET47" i="2" s="1"/>
  <c r="EU47" i="2" s="1"/>
  <c r="EB85" i="3"/>
  <c r="EO47" i="2" l="1"/>
  <c r="EB268" i="1"/>
  <c r="EB457" i="4"/>
  <c r="EE459" i="4" s="1"/>
  <c r="EB235" i="1"/>
  <c r="EB219" i="1"/>
  <c r="EH101" i="1"/>
  <c r="EG274" i="1"/>
  <c r="EG275" i="1" s="1"/>
  <c r="EG122" i="1"/>
  <c r="EG100" i="1"/>
  <c r="EC218" i="1"/>
  <c r="EC250" i="1"/>
  <c r="EC109" i="1"/>
  <c r="EF123" i="1"/>
  <c r="EF124" i="1"/>
  <c r="EF125" i="1" s="1"/>
  <c r="EF126" i="1" s="1"/>
  <c r="EF105" i="1"/>
  <c r="EF320" i="1"/>
  <c r="EF321" i="1" s="1"/>
  <c r="EF131" i="1" s="1"/>
  <c r="EF132" i="1" s="1"/>
  <c r="EF133" i="1" s="1"/>
  <c r="EC274" i="1"/>
  <c r="EC275" i="1" s="1"/>
  <c r="L252" i="484"/>
  <c r="L253" i="484" s="1"/>
  <c r="EC279" i="2"/>
  <c r="EE107" i="1"/>
  <c r="EE457" i="4" s="1"/>
  <c r="EE218" i="1"/>
  <c r="EE109" i="1"/>
  <c r="EE234" i="1"/>
  <c r="EE250" i="1"/>
  <c r="EC85" i="3"/>
  <c r="EC108" i="1"/>
  <c r="EA565" i="4"/>
  <c r="DZ565" i="4"/>
  <c r="EC219" i="1"/>
  <c r="DY565" i="4"/>
  <c r="EF107" i="1" l="1"/>
  <c r="EF218" i="1"/>
  <c r="EF109" i="1"/>
  <c r="EF250" i="1"/>
  <c r="EF234" i="1"/>
  <c r="EG123" i="1"/>
  <c r="EG124" i="1"/>
  <c r="EG125" i="1" s="1"/>
  <c r="EG126" i="1" s="1"/>
  <c r="EE235" i="1"/>
  <c r="EE219" i="1"/>
  <c r="EE108" i="1"/>
  <c r="EE268" i="1"/>
  <c r="L267" i="484"/>
  <c r="L254" i="484"/>
  <c r="L257" i="484" s="1"/>
  <c r="EH274" i="1"/>
  <c r="EH275" i="1" s="1"/>
  <c r="EH122" i="1"/>
  <c r="EH100" i="1"/>
  <c r="EI100" i="1" s="1"/>
  <c r="EG105" i="1"/>
  <c r="EG320" i="1"/>
  <c r="EA280" i="1"/>
  <c r="EB310" i="1" s="1"/>
  <c r="EE311" i="1" s="1"/>
  <c r="EI101" i="1" l="1"/>
  <c r="EI105" i="1"/>
  <c r="EH105" i="1"/>
  <c r="EH320" i="1"/>
  <c r="EH321" i="1" s="1"/>
  <c r="EH131" i="1" s="1"/>
  <c r="EH132" i="1" s="1"/>
  <c r="EH133" i="1" s="1"/>
  <c r="EG234" i="1"/>
  <c r="EG107" i="1"/>
  <c r="EG109" i="1"/>
  <c r="EG250" i="1"/>
  <c r="EG218" i="1"/>
  <c r="EL101" i="1"/>
  <c r="EK274" i="1"/>
  <c r="EK275" i="1" s="1"/>
  <c r="EK122" i="1"/>
  <c r="EK100" i="1"/>
  <c r="EH124" i="1"/>
  <c r="EH125" i="1" s="1"/>
  <c r="EH126" i="1" s="1"/>
  <c r="EH123" i="1"/>
  <c r="EI122" i="1"/>
  <c r="EF219" i="1"/>
  <c r="EF108" i="1"/>
  <c r="EF235" i="1"/>
  <c r="EF268" i="1"/>
  <c r="EG321" i="1"/>
  <c r="EG131" i="1" s="1"/>
  <c r="EG132" i="1" s="1"/>
  <c r="EG133" i="1" s="1"/>
  <c r="EI320" i="1" l="1"/>
  <c r="EI321" i="1" s="1"/>
  <c r="EI131" i="1" s="1"/>
  <c r="EI132" i="1" s="1"/>
  <c r="EI133" i="1" s="1"/>
  <c r="EH107" i="1"/>
  <c r="EH250" i="1"/>
  <c r="EH218" i="1"/>
  <c r="EH109" i="1"/>
  <c r="EH234" i="1"/>
  <c r="EM101" i="1"/>
  <c r="EL274" i="1"/>
  <c r="EL275" i="1" s="1"/>
  <c r="EL122" i="1"/>
  <c r="EL100" i="1"/>
  <c r="EG268" i="1"/>
  <c r="EG235" i="1"/>
  <c r="EG219" i="1"/>
  <c r="EG108" i="1"/>
  <c r="EI250" i="1"/>
  <c r="EI109" i="1"/>
  <c r="EI107" i="1"/>
  <c r="EE565" i="4" s="1"/>
  <c r="EI218" i="1"/>
  <c r="EI124" i="1"/>
  <c r="EI125" i="1" s="1"/>
  <c r="EI126" i="1" s="1"/>
  <c r="EI123" i="1"/>
  <c r="EK105" i="1"/>
  <c r="EQ218" i="1" s="1"/>
  <c r="EK320" i="1"/>
  <c r="EK321" i="1" s="1"/>
  <c r="EK131" i="1" s="1"/>
  <c r="EK132" i="1" s="1"/>
  <c r="EQ133" i="1" s="1"/>
  <c r="EI274" i="1"/>
  <c r="EI275" i="1" s="1"/>
  <c r="M252" i="484"/>
  <c r="M253" i="484" s="1"/>
  <c r="EI279" i="2"/>
  <c r="EK123" i="1"/>
  <c r="EK124" i="1"/>
  <c r="EK125" i="1" s="1"/>
  <c r="EQ126" i="1" s="1"/>
  <c r="EK126" i="1" l="1"/>
  <c r="EK133" i="1"/>
  <c r="M267" i="484"/>
  <c r="M254" i="484"/>
  <c r="M257" i="484" s="1"/>
  <c r="EL105" i="1"/>
  <c r="ER218" i="1" s="1"/>
  <c r="EL320" i="1"/>
  <c r="EL321" i="1" s="1"/>
  <c r="EL131" i="1" s="1"/>
  <c r="EL132" i="1" s="1"/>
  <c r="ER133" i="1" s="1"/>
  <c r="EK234" i="1"/>
  <c r="EK218" i="1"/>
  <c r="EK109" i="1"/>
  <c r="EK250" i="1"/>
  <c r="EK107" i="1"/>
  <c r="EI108" i="1"/>
  <c r="EI219" i="1"/>
  <c r="EL124" i="1"/>
  <c r="EL125" i="1" s="1"/>
  <c r="ER126" i="1" s="1"/>
  <c r="EL123" i="1"/>
  <c r="EH108" i="1"/>
  <c r="EH219" i="1"/>
  <c r="EH268" i="1"/>
  <c r="EH235" i="1"/>
  <c r="EN101" i="1"/>
  <c r="EM122" i="1"/>
  <c r="EM274" i="1"/>
  <c r="EM275" i="1" s="1"/>
  <c r="EM100" i="1"/>
  <c r="EQ219" i="1" l="1"/>
  <c r="EQ108" i="1"/>
  <c r="EQ235" i="1"/>
  <c r="EL133" i="1"/>
  <c r="EL126" i="1"/>
  <c r="EN122" i="1"/>
  <c r="EO122" i="1" s="1"/>
  <c r="EN274" i="1"/>
  <c r="EN275" i="1" s="1"/>
  <c r="EN100" i="1"/>
  <c r="EO100" i="1" s="1"/>
  <c r="EL250" i="1"/>
  <c r="EL218" i="1"/>
  <c r="EL109" i="1"/>
  <c r="EL234" i="1"/>
  <c r="EL107" i="1"/>
  <c r="EM105" i="1"/>
  <c r="ES218" i="1" s="1"/>
  <c r="EM320" i="1"/>
  <c r="EK235" i="1"/>
  <c r="EK219" i="1"/>
  <c r="EK108" i="1"/>
  <c r="EK268" i="1"/>
  <c r="EM124" i="1"/>
  <c r="EM125" i="1" s="1"/>
  <c r="ES126" i="1" s="1"/>
  <c r="EM123" i="1"/>
  <c r="EA52" i="2"/>
  <c r="EA282" i="1"/>
  <c r="ER219" i="1" l="1"/>
  <c r="ER108" i="1"/>
  <c r="EM126" i="1"/>
  <c r="EO123" i="1"/>
  <c r="EL235" i="1"/>
  <c r="EL108" i="1"/>
  <c r="EL219" i="1"/>
  <c r="EL268" i="1"/>
  <c r="EN105" i="1"/>
  <c r="EN320" i="1"/>
  <c r="EN321" i="1" s="1"/>
  <c r="EN131" i="1" s="1"/>
  <c r="EN132" i="1" s="1"/>
  <c r="ET133" i="1" s="1"/>
  <c r="EM321" i="1"/>
  <c r="EM131" i="1" s="1"/>
  <c r="EM132" i="1" s="1"/>
  <c r="ES133" i="1" s="1"/>
  <c r="EM250" i="1"/>
  <c r="EM109" i="1"/>
  <c r="EM234" i="1"/>
  <c r="EM218" i="1"/>
  <c r="EM107" i="1"/>
  <c r="EN124" i="1"/>
  <c r="EN125" i="1" s="1"/>
  <c r="ET126" i="1" s="1"/>
  <c r="EN123" i="1"/>
  <c r="EO101" i="1"/>
  <c r="EO105" i="1"/>
  <c r="EU218" i="1" s="1"/>
  <c r="ET218" i="1" l="1"/>
  <c r="EQ234" i="1"/>
  <c r="ES108" i="1"/>
  <c r="ES219" i="1"/>
  <c r="EN126" i="1"/>
  <c r="EM133" i="1"/>
  <c r="EN133" i="1"/>
  <c r="EO320" i="1"/>
  <c r="EO321" i="1" s="1"/>
  <c r="EO131" i="1" s="1"/>
  <c r="EO132" i="1" s="1"/>
  <c r="EU133" i="1" s="1"/>
  <c r="EO250" i="1"/>
  <c r="EO218" i="1"/>
  <c r="EO109" i="1"/>
  <c r="EO107" i="1"/>
  <c r="EM108" i="1"/>
  <c r="EM219" i="1"/>
  <c r="EM235" i="1"/>
  <c r="EM268" i="1"/>
  <c r="EO274" i="1"/>
  <c r="EO275" i="1" s="1"/>
  <c r="N252" i="484"/>
  <c r="EO279" i="2"/>
  <c r="EN218" i="1"/>
  <c r="EN250" i="1"/>
  <c r="EN109" i="1"/>
  <c r="EN107" i="1"/>
  <c r="EN234" i="1"/>
  <c r="EO124" i="1"/>
  <c r="EO125" i="1" s="1"/>
  <c r="EU126" i="1" s="1"/>
  <c r="EU219" i="1" l="1"/>
  <c r="EU108" i="1"/>
  <c r="ET108" i="1"/>
  <c r="ET219" i="1"/>
  <c r="EQ268" i="1"/>
  <c r="ES268" i="1"/>
  <c r="ER268" i="1"/>
  <c r="EO126" i="1"/>
  <c r="EO133" i="1"/>
  <c r="EO108" i="1"/>
  <c r="EO219" i="1"/>
  <c r="EN108" i="1"/>
  <c r="EN219" i="1"/>
  <c r="EN268" i="1"/>
  <c r="EN235" i="1"/>
  <c r="O252" i="484"/>
  <c r="N253" i="484"/>
  <c r="N254" i="484" l="1"/>
  <c r="N257" i="484" s="1"/>
  <c r="N267" i="484"/>
  <c r="P252" i="484"/>
  <c r="O253" i="484"/>
  <c r="O267" i="484" l="1"/>
  <c r="O254" i="484"/>
  <c r="S257" i="484"/>
  <c r="Q252" i="484"/>
  <c r="P253" i="484"/>
  <c r="Q253" i="484" l="1"/>
  <c r="Q254" i="484" s="1"/>
  <c r="R252" i="484"/>
  <c r="R253" i="484" s="1"/>
  <c r="P254" i="484"/>
  <c r="P267" i="484"/>
  <c r="EA128" i="3"/>
  <c r="EA72" i="3"/>
  <c r="EA143" i="3"/>
  <c r="EA149" i="3" s="1"/>
  <c r="EA129" i="3"/>
  <c r="EA117" i="3"/>
  <c r="EA88" i="3"/>
  <c r="Q267" i="484" l="1"/>
  <c r="R267" i="484"/>
  <c r="R254" i="484"/>
  <c r="EB128" i="3"/>
  <c r="EA89" i="1"/>
  <c r="EA90" i="1" s="1"/>
  <c r="EA288" i="1"/>
  <c r="EA113" i="3"/>
  <c r="EA345" i="1"/>
  <c r="EA125" i="3"/>
  <c r="EA284" i="1"/>
  <c r="EB117" i="3"/>
  <c r="EA124" i="2"/>
  <c r="EA118" i="2"/>
  <c r="EA148" i="2"/>
  <c r="EA134" i="3"/>
  <c r="EA132" i="2"/>
  <c r="EC128" i="3" l="1"/>
  <c r="EH135" i="2"/>
  <c r="EA346" i="1"/>
  <c r="EA135" i="2"/>
  <c r="EG135" i="2" s="1"/>
  <c r="L273" i="484"/>
  <c r="EB125" i="3"/>
  <c r="EB284" i="1"/>
  <c r="EC284" i="1" s="1"/>
  <c r="EC117" i="3"/>
  <c r="EC125" i="3" s="1"/>
  <c r="EA269" i="1"/>
  <c r="EA285" i="1"/>
  <c r="EA286" i="1" s="1"/>
  <c r="EA149" i="2" s="1"/>
  <c r="EA139" i="3"/>
  <c r="EA145" i="3"/>
  <c r="EA283" i="1"/>
  <c r="EA138" i="2"/>
  <c r="EA150" i="2"/>
  <c r="EA119" i="2"/>
  <c r="EG119" i="2" s="1"/>
  <c r="EC118" i="2"/>
  <c r="EC119" i="2" s="1"/>
  <c r="EA106" i="2"/>
  <c r="EB106" i="2" s="1"/>
  <c r="EA125" i="2"/>
  <c r="EM119" i="2" l="1"/>
  <c r="EG118" i="2"/>
  <c r="EC132" i="2"/>
  <c r="EC135" i="2" s="1"/>
  <c r="EN135" i="2"/>
  <c r="ET135" i="2" s="1"/>
  <c r="ET132" i="2" s="1"/>
  <c r="EH132" i="2"/>
  <c r="EH131" i="2" s="1"/>
  <c r="EH130" i="2" s="1"/>
  <c r="EA108" i="2"/>
  <c r="EB108" i="2" s="1"/>
  <c r="EB109" i="2" s="1"/>
  <c r="EA270" i="1"/>
  <c r="EA272" i="1" s="1"/>
  <c r="EA151" i="2"/>
  <c r="EG132" i="2"/>
  <c r="EM135" i="2"/>
  <c r="ES135" i="2" s="1"/>
  <c r="ES132" i="2" s="1"/>
  <c r="ES131" i="2" s="1"/>
  <c r="EA131" i="2"/>
  <c r="EC131" i="2" s="1"/>
  <c r="EA152" i="3"/>
  <c r="EA153" i="3" s="1"/>
  <c r="EA148" i="3"/>
  <c r="EA147" i="3"/>
  <c r="L274" i="484"/>
  <c r="EI118" i="2" l="1"/>
  <c r="EI119" i="2" s="1"/>
  <c r="EG44" i="3"/>
  <c r="ES119" i="2"/>
  <c r="ES118" i="2" s="1"/>
  <c r="EM118" i="2"/>
  <c r="ES130" i="2"/>
  <c r="ES55" i="3"/>
  <c r="ET131" i="2"/>
  <c r="EU132" i="2"/>
  <c r="EU135" i="2" s="1"/>
  <c r="EN132" i="2"/>
  <c r="EN131" i="2" s="1"/>
  <c r="EN130" i="2" s="1"/>
  <c r="EM132" i="2"/>
  <c r="EM131" i="2" s="1"/>
  <c r="EG131" i="2"/>
  <c r="EI132" i="2"/>
  <c r="EI135" i="2" s="1"/>
  <c r="EC106" i="2"/>
  <c r="EE106" i="2"/>
  <c r="EA109" i="2"/>
  <c r="EO118" i="2" l="1"/>
  <c r="EO119" i="2" s="1"/>
  <c r="EM44" i="3"/>
  <c r="EU118" i="2"/>
  <c r="EU119" i="2" s="1"/>
  <c r="ES44" i="3"/>
  <c r="EH44" i="3"/>
  <c r="EG117" i="3"/>
  <c r="EG52" i="3"/>
  <c r="ES128" i="3"/>
  <c r="ES134" i="3" s="1"/>
  <c r="ES61" i="3"/>
  <c r="EU131" i="2"/>
  <c r="ET130" i="2"/>
  <c r="EU130" i="2" s="1"/>
  <c r="EO132" i="2"/>
  <c r="EO135" i="2" s="1"/>
  <c r="ET55" i="3"/>
  <c r="EE125" i="2"/>
  <c r="EF106" i="2"/>
  <c r="EC108" i="2"/>
  <c r="EB283" i="1"/>
  <c r="EC148" i="2"/>
  <c r="EC150" i="2" s="1"/>
  <c r="EC125" i="2"/>
  <c r="EM130" i="2"/>
  <c r="EO130" i="2" s="1"/>
  <c r="EM55" i="3"/>
  <c r="EO131" i="2"/>
  <c r="EG130" i="2"/>
  <c r="EI130" i="2" s="1"/>
  <c r="EI131" i="2"/>
  <c r="EG55" i="3"/>
  <c r="ES117" i="3" l="1"/>
  <c r="ET44" i="3"/>
  <c r="ES52" i="3"/>
  <c r="EG125" i="3"/>
  <c r="EG284" i="1"/>
  <c r="EM117" i="3"/>
  <c r="EM52" i="3"/>
  <c r="EN44" i="3"/>
  <c r="EH52" i="3"/>
  <c r="EI52" i="3" s="1"/>
  <c r="EH117" i="3"/>
  <c r="EI44" i="3"/>
  <c r="L287" i="484"/>
  <c r="M287" i="484" s="1"/>
  <c r="N287" i="484" s="1"/>
  <c r="O287" i="484" s="1"/>
  <c r="P287" i="484" s="1"/>
  <c r="Q287" i="484" s="1"/>
  <c r="R287" i="484" s="1"/>
  <c r="EC151" i="2"/>
  <c r="ET61" i="3"/>
  <c r="EU61" i="3" s="1"/>
  <c r="EU55" i="3"/>
  <c r="ET128" i="3"/>
  <c r="EB129" i="3"/>
  <c r="EC124" i="2"/>
  <c r="EF125" i="2"/>
  <c r="EF124" i="2" s="1"/>
  <c r="EG106" i="2"/>
  <c r="EC109" i="2"/>
  <c r="EC19" i="2"/>
  <c r="EG61" i="3"/>
  <c r="EH55" i="3"/>
  <c r="EG128" i="3"/>
  <c r="EM61" i="3"/>
  <c r="EN55" i="3"/>
  <c r="EM128" i="3"/>
  <c r="EC283" i="1"/>
  <c r="EE124" i="2"/>
  <c r="EC138" i="2"/>
  <c r="L286" i="484" s="1"/>
  <c r="EE108" i="2"/>
  <c r="EH125" i="3" l="1"/>
  <c r="EH284" i="1"/>
  <c r="EI284" i="1" s="1"/>
  <c r="EM125" i="3"/>
  <c r="EM284" i="1"/>
  <c r="M273" i="484"/>
  <c r="M274" i="484" s="1"/>
  <c r="EI117" i="3"/>
  <c r="EI125" i="3" s="1"/>
  <c r="EU44" i="3"/>
  <c r="ET52" i="3"/>
  <c r="EU52" i="3" s="1"/>
  <c r="ET117" i="3"/>
  <c r="EN52" i="3"/>
  <c r="EO52" i="3" s="1"/>
  <c r="EN117" i="3"/>
  <c r="EO44" i="3"/>
  <c r="N273" i="484" s="1"/>
  <c r="ES284" i="1"/>
  <c r="ES125" i="3"/>
  <c r="ET134" i="3"/>
  <c r="EU128" i="3"/>
  <c r="EU134" i="3" s="1"/>
  <c r="EC130" i="2"/>
  <c r="EE13" i="3"/>
  <c r="EM134" i="3"/>
  <c r="EI55" i="3"/>
  <c r="EH128" i="3"/>
  <c r="EH134" i="3" s="1"/>
  <c r="EH61" i="3"/>
  <c r="EI61" i="3" s="1"/>
  <c r="EG125" i="2"/>
  <c r="EH106" i="2"/>
  <c r="EB88" i="3"/>
  <c r="EO55" i="3"/>
  <c r="EN128" i="3"/>
  <c r="EN134" i="3" s="1"/>
  <c r="EN61" i="3"/>
  <c r="EO61" i="3" s="1"/>
  <c r="EF108" i="2"/>
  <c r="EE109" i="2"/>
  <c r="EE19" i="2" s="1"/>
  <c r="EG134" i="3"/>
  <c r="EB134" i="3"/>
  <c r="EC129" i="3"/>
  <c r="ET284" i="1" l="1"/>
  <c r="EU284" i="1" s="1"/>
  <c r="ET125" i="3"/>
  <c r="O273" i="484"/>
  <c r="P273" i="484" s="1"/>
  <c r="Q273" i="484" s="1"/>
  <c r="R273" i="484" s="1"/>
  <c r="N274" i="484"/>
  <c r="EU117" i="3"/>
  <c r="EU125" i="3" s="1"/>
  <c r="EN284" i="1"/>
  <c r="EO284" i="1" s="1"/>
  <c r="EN125" i="3"/>
  <c r="EO117" i="3"/>
  <c r="EO125" i="3" s="1"/>
  <c r="EI128" i="3"/>
  <c r="EI134" i="3" s="1"/>
  <c r="EI106" i="2"/>
  <c r="EH125" i="2"/>
  <c r="EH124" i="2" s="1"/>
  <c r="EK106" i="2"/>
  <c r="EE39" i="3"/>
  <c r="EE88" i="3"/>
  <c r="EF13" i="3"/>
  <c r="EC134" i="3"/>
  <c r="EG108" i="2"/>
  <c r="EF109" i="2"/>
  <c r="EF19" i="2" s="1"/>
  <c r="L268" i="484"/>
  <c r="EG124" i="2"/>
  <c r="EO128" i="3"/>
  <c r="EO134" i="3" s="1"/>
  <c r="EE143" i="2"/>
  <c r="EI143" i="2" s="1"/>
  <c r="EC44" i="2"/>
  <c r="EE44" i="2"/>
  <c r="EB288" i="1"/>
  <c r="EC288" i="1" s="1"/>
  <c r="EB345" i="1"/>
  <c r="EB89" i="1"/>
  <c r="EB90" i="1" s="1"/>
  <c r="EB113" i="3"/>
  <c r="EC88" i="3"/>
  <c r="EI125" i="2" l="1"/>
  <c r="EL106" i="2"/>
  <c r="EK125" i="2"/>
  <c r="EB346" i="1"/>
  <c r="EF88" i="3"/>
  <c r="EF39" i="3"/>
  <c r="EG13" i="3"/>
  <c r="EE144" i="2"/>
  <c r="EF44" i="2"/>
  <c r="EC89" i="1"/>
  <c r="EC345" i="1"/>
  <c r="EC113" i="3"/>
  <c r="EC144" i="2"/>
  <c r="EC145" i="2" s="1"/>
  <c r="EI124" i="2"/>
  <c r="EH108" i="2"/>
  <c r="EG109" i="2"/>
  <c r="EG19" i="2" s="1"/>
  <c r="EE89" i="1"/>
  <c r="EE90" i="1" s="1"/>
  <c r="EE345" i="1"/>
  <c r="EE113" i="3"/>
  <c r="EE288" i="1"/>
  <c r="EB139" i="3"/>
  <c r="EB269" i="1"/>
  <c r="EB285" i="1"/>
  <c r="EB286" i="1" s="1"/>
  <c r="EB149" i="2" s="1"/>
  <c r="EB145" i="3"/>
  <c r="L269" i="484"/>
  <c r="L272" i="484"/>
  <c r="L276" i="484" s="1"/>
  <c r="EE40" i="3"/>
  <c r="EE66" i="3"/>
  <c r="EE346" i="1" l="1"/>
  <c r="EF144" i="2"/>
  <c r="EG44" i="2"/>
  <c r="EF40" i="3"/>
  <c r="EF66" i="3"/>
  <c r="EB143" i="3"/>
  <c r="EE68" i="3"/>
  <c r="EE70" i="3" s="1"/>
  <c r="EB72" i="3"/>
  <c r="EB148" i="3"/>
  <c r="EB152" i="3"/>
  <c r="EB153" i="3" s="1"/>
  <c r="EB147" i="3"/>
  <c r="EB270" i="1"/>
  <c r="EB272" i="1" s="1"/>
  <c r="EE139" i="3"/>
  <c r="EE269" i="1"/>
  <c r="EE145" i="3"/>
  <c r="EE285" i="1"/>
  <c r="EE286" i="1" s="1"/>
  <c r="EC139" i="3"/>
  <c r="EC145" i="3"/>
  <c r="EC285" i="1"/>
  <c r="EC286" i="1" s="1"/>
  <c r="EC149" i="2" s="1"/>
  <c r="EF143" i="2"/>
  <c r="EE145" i="2"/>
  <c r="EF288" i="1"/>
  <c r="EF89" i="1"/>
  <c r="EF90" i="1" s="1"/>
  <c r="EF113" i="3"/>
  <c r="EF345" i="1"/>
  <c r="EK124" i="2"/>
  <c r="L277" i="484"/>
  <c r="L282" i="484"/>
  <c r="L288" i="484" s="1"/>
  <c r="L289" i="484" s="1"/>
  <c r="EC143" i="3"/>
  <c r="EI108" i="2"/>
  <c r="EK108" i="2"/>
  <c r="EH109" i="2"/>
  <c r="EC346" i="1"/>
  <c r="EL125" i="2"/>
  <c r="EL124" i="2" s="1"/>
  <c r="EM106" i="2"/>
  <c r="EC90" i="1"/>
  <c r="EG88" i="3"/>
  <c r="EG39" i="3"/>
  <c r="EH13" i="3"/>
  <c r="EB149" i="3" l="1"/>
  <c r="EG40" i="3"/>
  <c r="EG66" i="3"/>
  <c r="EG70" i="3" s="1"/>
  <c r="EF139" i="3"/>
  <c r="EF269" i="1"/>
  <c r="EF145" i="3"/>
  <c r="EF285" i="1"/>
  <c r="EF286" i="1" s="1"/>
  <c r="EF149" i="2" s="1"/>
  <c r="EM125" i="2"/>
  <c r="EM124" i="2" s="1"/>
  <c r="EN106" i="2"/>
  <c r="EQ106" i="2" s="1"/>
  <c r="M285" i="484"/>
  <c r="M291" i="484"/>
  <c r="L355" i="484"/>
  <c r="L291" i="484"/>
  <c r="EK13" i="3"/>
  <c r="EE149" i="2"/>
  <c r="EE270" i="1"/>
  <c r="EE272" i="1" s="1"/>
  <c r="EE141" i="3"/>
  <c r="EF68" i="3"/>
  <c r="EG144" i="2"/>
  <c r="EH44" i="2"/>
  <c r="EH88" i="3"/>
  <c r="EI88" i="3" s="1"/>
  <c r="EH39" i="3"/>
  <c r="EI13" i="3"/>
  <c r="EL108" i="2"/>
  <c r="EK109" i="2"/>
  <c r="EK19" i="2" s="1"/>
  <c r="EE143" i="3"/>
  <c r="EE9" i="2"/>
  <c r="EG288" i="1"/>
  <c r="EG345" i="1"/>
  <c r="EG113" i="3"/>
  <c r="EG89" i="1"/>
  <c r="EG90" i="1" s="1"/>
  <c r="EC148" i="3"/>
  <c r="EC152" i="3"/>
  <c r="EC153" i="3" s="1"/>
  <c r="EC146" i="3"/>
  <c r="EC147" i="3"/>
  <c r="EE147" i="3"/>
  <c r="EE148" i="3"/>
  <c r="EE152" i="3"/>
  <c r="EE153" i="3" s="1"/>
  <c r="EI109" i="2"/>
  <c r="EH19" i="2"/>
  <c r="EI19" i="2" s="1"/>
  <c r="L293" i="484"/>
  <c r="EF346" i="1"/>
  <c r="EC9" i="2"/>
  <c r="EB280" i="1"/>
  <c r="EF70" i="3"/>
  <c r="EG143" i="2"/>
  <c r="EF145" i="2"/>
  <c r="ER106" i="2" l="1"/>
  <c r="EQ125" i="2"/>
  <c r="EF270" i="1"/>
  <c r="EF272" i="1" s="1"/>
  <c r="EF143" i="3"/>
  <c r="EF9" i="2"/>
  <c r="EF72" i="3" s="1"/>
  <c r="EC72" i="3"/>
  <c r="L354" i="484"/>
  <c r="EE16" i="2"/>
  <c r="EE24" i="2" s="1"/>
  <c r="EE280" i="1"/>
  <c r="EF310" i="1" s="1"/>
  <c r="EG311" i="1" s="1"/>
  <c r="EM108" i="2"/>
  <c r="EL109" i="2"/>
  <c r="EL19" i="2" s="1"/>
  <c r="EH144" i="2"/>
  <c r="EK143" i="2"/>
  <c r="EO143" i="2" s="1"/>
  <c r="EI44" i="2"/>
  <c r="EK44" i="2"/>
  <c r="EG139" i="3"/>
  <c r="EG145" i="3"/>
  <c r="EG269" i="1"/>
  <c r="EG285" i="1"/>
  <c r="EG286" i="1" s="1"/>
  <c r="EE149" i="3"/>
  <c r="EI39" i="3"/>
  <c r="EI40" i="3" s="1"/>
  <c r="M268" i="484"/>
  <c r="EH143" i="2"/>
  <c r="EG145" i="2"/>
  <c r="EO106" i="2"/>
  <c r="EN125" i="2"/>
  <c r="EG143" i="3"/>
  <c r="EG9" i="2"/>
  <c r="EG72" i="3" s="1"/>
  <c r="EC16" i="2"/>
  <c r="EC149" i="3"/>
  <c r="EG346" i="1"/>
  <c r="EE72" i="3"/>
  <c r="EH40" i="3"/>
  <c r="EH66" i="3"/>
  <c r="EK39" i="3"/>
  <c r="EL13" i="3"/>
  <c r="EK88" i="3"/>
  <c r="EF147" i="3"/>
  <c r="EF148" i="3"/>
  <c r="EF152" i="3"/>
  <c r="EF153" i="3" s="1"/>
  <c r="EE310" i="1"/>
  <c r="EF311" i="1" s="1"/>
  <c r="EC280" i="1"/>
  <c r="EI89" i="1"/>
  <c r="EI345" i="1"/>
  <c r="EI113" i="3"/>
  <c r="EH288" i="1"/>
  <c r="EI288" i="1" s="1"/>
  <c r="EH113" i="3"/>
  <c r="EH89" i="1"/>
  <c r="EH90" i="1" s="1"/>
  <c r="EH345" i="1"/>
  <c r="EF141" i="3"/>
  <c r="EG68" i="3"/>
  <c r="EQ124" i="2" l="1"/>
  <c r="EQ13" i="3" s="1"/>
  <c r="ER125" i="2"/>
  <c r="ER124" i="2" s="1"/>
  <c r="ES106" i="2"/>
  <c r="EI346" i="1"/>
  <c r="EG141" i="3"/>
  <c r="EH68" i="3"/>
  <c r="EH139" i="3"/>
  <c r="EH269" i="1"/>
  <c r="EH285" i="1"/>
  <c r="EH286" i="1" s="1"/>
  <c r="EH149" i="2" s="1"/>
  <c r="EH145" i="3"/>
  <c r="EI90" i="1"/>
  <c r="EK288" i="1"/>
  <c r="EK345" i="1"/>
  <c r="EK89" i="1"/>
  <c r="EK90" i="1" s="1"/>
  <c r="EK113" i="3"/>
  <c r="M269" i="484"/>
  <c r="M272" i="484"/>
  <c r="M276" i="484" s="1"/>
  <c r="EK144" i="2"/>
  <c r="EL44" i="2"/>
  <c r="EF280" i="1"/>
  <c r="EG310" i="1" s="1"/>
  <c r="EH311" i="1" s="1"/>
  <c r="EI311" i="1" s="1"/>
  <c r="EI314" i="1" s="1"/>
  <c r="EF16" i="2"/>
  <c r="EF24" i="2" s="1"/>
  <c r="EL39" i="3"/>
  <c r="EM13" i="3"/>
  <c r="EL88" i="3"/>
  <c r="EC24" i="2"/>
  <c r="EG147" i="3"/>
  <c r="EG148" i="3"/>
  <c r="EG152" i="3"/>
  <c r="EG153" i="3" s="1"/>
  <c r="EN108" i="2"/>
  <c r="EQ108" i="2" s="1"/>
  <c r="EM109" i="2"/>
  <c r="EM19" i="2" s="1"/>
  <c r="EH346" i="1"/>
  <c r="EI139" i="3"/>
  <c r="EI285" i="1"/>
  <c r="EI286" i="1" s="1"/>
  <c r="EI149" i="2" s="1"/>
  <c r="EI145" i="3"/>
  <c r="EK40" i="3"/>
  <c r="EK66" i="3"/>
  <c r="EG280" i="1"/>
  <c r="EH310" i="1" s="1"/>
  <c r="EK311" i="1" s="1"/>
  <c r="EG16" i="2"/>
  <c r="EG24" i="2" s="1"/>
  <c r="EN124" i="2"/>
  <c r="EO124" i="2" s="1"/>
  <c r="EO125" i="2"/>
  <c r="EF149" i="3"/>
  <c r="EI66" i="3"/>
  <c r="EH70" i="3"/>
  <c r="EG149" i="3"/>
  <c r="EG149" i="2"/>
  <c r="EG270" i="1"/>
  <c r="EG272" i="1" s="1"/>
  <c r="EH145" i="2"/>
  <c r="EI144" i="2"/>
  <c r="EI145" i="2" s="1"/>
  <c r="EE171" i="2"/>
  <c r="ER108" i="2" l="1"/>
  <c r="EQ109" i="2"/>
  <c r="EQ19" i="2" s="1"/>
  <c r="ES125" i="2"/>
  <c r="ES124" i="2" s="1"/>
  <c r="ET106" i="2"/>
  <c r="EQ88" i="3"/>
  <c r="ER13" i="3"/>
  <c r="EQ39" i="3"/>
  <c r="EH270" i="1"/>
  <c r="EH272" i="1" s="1"/>
  <c r="EO108" i="2"/>
  <c r="EN109" i="2"/>
  <c r="EE168" i="2"/>
  <c r="EC171" i="2"/>
  <c r="EM88" i="3"/>
  <c r="EM39" i="3"/>
  <c r="EN13" i="3"/>
  <c r="EL144" i="2"/>
  <c r="EM44" i="2"/>
  <c r="EK346" i="1"/>
  <c r="EH148" i="3"/>
  <c r="EH147" i="3"/>
  <c r="EH152" i="3"/>
  <c r="EH153" i="3" s="1"/>
  <c r="EH141" i="3"/>
  <c r="EI68" i="3"/>
  <c r="EI141" i="3" s="1"/>
  <c r="EL288" i="1"/>
  <c r="EL345" i="1"/>
  <c r="EL89" i="1"/>
  <c r="EL90" i="1" s="1"/>
  <c r="EL113" i="3"/>
  <c r="M277" i="484"/>
  <c r="M282" i="484"/>
  <c r="M286" i="484" s="1"/>
  <c r="M288" i="484" s="1"/>
  <c r="M289" i="484" s="1"/>
  <c r="M293" i="484"/>
  <c r="EH9" i="2"/>
  <c r="EH72" i="3" s="1"/>
  <c r="EK68" i="3"/>
  <c r="EK70" i="3" s="1"/>
  <c r="EH143" i="3"/>
  <c r="EL40" i="3"/>
  <c r="EL66" i="3"/>
  <c r="EK139" i="3"/>
  <c r="EK269" i="1"/>
  <c r="EK145" i="3"/>
  <c r="EK285" i="1"/>
  <c r="EK286" i="1" s="1"/>
  <c r="EG171" i="2"/>
  <c r="EG168" i="2" s="1"/>
  <c r="EI147" i="3"/>
  <c r="EI148" i="3"/>
  <c r="EI146" i="3"/>
  <c r="EI152" i="3"/>
  <c r="EI153" i="3" s="1"/>
  <c r="EF171" i="2"/>
  <c r="EF168" i="2" s="1"/>
  <c r="EK145" i="2"/>
  <c r="EL143" i="2"/>
  <c r="ET125" i="2" l="1"/>
  <c r="ET124" i="2" s="1"/>
  <c r="EU124" i="2" s="1"/>
  <c r="EU106" i="2"/>
  <c r="ES108" i="2"/>
  <c r="ER109" i="2"/>
  <c r="ER19" i="2" s="1"/>
  <c r="EQ113" i="3"/>
  <c r="EQ145" i="3" s="1"/>
  <c r="EQ288" i="1"/>
  <c r="EQ89" i="1"/>
  <c r="EQ90" i="1" s="1"/>
  <c r="EQ345" i="1"/>
  <c r="EQ66" i="3"/>
  <c r="EQ40" i="3"/>
  <c r="ER88" i="3"/>
  <c r="ER39" i="3"/>
  <c r="ES13" i="3"/>
  <c r="EL70" i="3"/>
  <c r="EL143" i="3" s="1"/>
  <c r="EI70" i="3"/>
  <c r="EI143" i="3" s="1"/>
  <c r="EH149" i="3"/>
  <c r="EK143" i="3"/>
  <c r="EK9" i="2"/>
  <c r="EN88" i="3"/>
  <c r="EN39" i="3"/>
  <c r="EO13" i="3"/>
  <c r="EO109" i="2"/>
  <c r="EN19" i="2"/>
  <c r="EO19" i="2" s="1"/>
  <c r="EK149" i="2"/>
  <c r="EK270" i="1"/>
  <c r="EK272" i="1" s="1"/>
  <c r="M354" i="484"/>
  <c r="EL269" i="1"/>
  <c r="EL139" i="3"/>
  <c r="EL145" i="3"/>
  <c r="EL285" i="1"/>
  <c r="EL286" i="1" s="1"/>
  <c r="EM144" i="2"/>
  <c r="EN44" i="2"/>
  <c r="EM40" i="3"/>
  <c r="EM66" i="3"/>
  <c r="EM70" i="3" s="1"/>
  <c r="EF45" i="2"/>
  <c r="EF48" i="2" s="1"/>
  <c r="EF169" i="2"/>
  <c r="EG45" i="2"/>
  <c r="EG48" i="2" s="1"/>
  <c r="EG169" i="2"/>
  <c r="EK147" i="3"/>
  <c r="EK148" i="3"/>
  <c r="EK152" i="3"/>
  <c r="EK153" i="3" s="1"/>
  <c r="EK141" i="3"/>
  <c r="EL68" i="3"/>
  <c r="EM288" i="1"/>
  <c r="EM89" i="1"/>
  <c r="EM90" i="1" s="1"/>
  <c r="EM113" i="3"/>
  <c r="EM345" i="1"/>
  <c r="EE169" i="2"/>
  <c r="EE45" i="2"/>
  <c r="EE48" i="2" s="1"/>
  <c r="EI9" i="2"/>
  <c r="EH280" i="1"/>
  <c r="EH16" i="2"/>
  <c r="EL346" i="1"/>
  <c r="EL145" i="2"/>
  <c r="EM143" i="2"/>
  <c r="EC168" i="2"/>
  <c r="EC169" i="2" s="1"/>
  <c r="EQ143" i="2" l="1"/>
  <c r="EU143" i="2" s="1"/>
  <c r="EQ44" i="2"/>
  <c r="EU125" i="2"/>
  <c r="ET108" i="2"/>
  <c r="ES109" i="2"/>
  <c r="ES19" i="2" s="1"/>
  <c r="EQ346" i="1"/>
  <c r="EQ139" i="3"/>
  <c r="ER113" i="3"/>
  <c r="ER139" i="3" s="1"/>
  <c r="ER288" i="1"/>
  <c r="ER345" i="1"/>
  <c r="ER89" i="1"/>
  <c r="ER90" i="1" s="1"/>
  <c r="EQ285" i="1"/>
  <c r="EQ286" i="1" s="1"/>
  <c r="EQ149" i="2" s="1"/>
  <c r="ES88" i="3"/>
  <c r="ES39" i="3"/>
  <c r="EQ152" i="3"/>
  <c r="EQ153" i="3" s="1"/>
  <c r="EQ148" i="3"/>
  <c r="EQ147" i="3"/>
  <c r="ET13" i="3"/>
  <c r="ET39" i="3" s="1"/>
  <c r="ER40" i="3"/>
  <c r="ER66" i="3"/>
  <c r="EL149" i="2"/>
  <c r="EL9" i="2"/>
  <c r="EL280" i="1" s="1"/>
  <c r="EM310" i="1" s="1"/>
  <c r="EN311" i="1" s="1"/>
  <c r="EM346" i="1"/>
  <c r="EI72" i="3"/>
  <c r="EI16" i="2"/>
  <c r="EH24" i="2"/>
  <c r="EI280" i="1"/>
  <c r="EK310" i="1"/>
  <c r="EL311" i="1" s="1"/>
  <c r="EE50" i="2"/>
  <c r="EE52" i="2" s="1"/>
  <c r="EE282" i="1"/>
  <c r="EO44" i="2"/>
  <c r="EN144" i="2"/>
  <c r="EL148" i="3"/>
  <c r="EL147" i="3"/>
  <c r="EL152" i="3"/>
  <c r="EL153" i="3" s="1"/>
  <c r="EO39" i="3"/>
  <c r="EO40" i="3" s="1"/>
  <c r="N268" i="484"/>
  <c r="EF50" i="2"/>
  <c r="EF52" i="2" s="1"/>
  <c r="EF282" i="1"/>
  <c r="EN40" i="3"/>
  <c r="EN66" i="3"/>
  <c r="EK280" i="1"/>
  <c r="EL310" i="1" s="1"/>
  <c r="EM311" i="1" s="1"/>
  <c r="EK16" i="2"/>
  <c r="EK24" i="2" s="1"/>
  <c r="EC45" i="2"/>
  <c r="EI149" i="3"/>
  <c r="EL141" i="3"/>
  <c r="EM68" i="3"/>
  <c r="EM9" i="2"/>
  <c r="EM72" i="3" s="1"/>
  <c r="EM143" i="3"/>
  <c r="EM145" i="2"/>
  <c r="EN143" i="2"/>
  <c r="EL270" i="1"/>
  <c r="EL272" i="1" s="1"/>
  <c r="EN288" i="1"/>
  <c r="EO288" i="1" s="1"/>
  <c r="EN345" i="1"/>
  <c r="EN89" i="1"/>
  <c r="EN90" i="1" s="1"/>
  <c r="EN113" i="3"/>
  <c r="EQ269" i="1" s="1"/>
  <c r="EO88" i="3"/>
  <c r="EK149" i="3"/>
  <c r="EM269" i="1"/>
  <c r="EM139" i="3"/>
  <c r="EM285" i="1"/>
  <c r="EM286" i="1" s="1"/>
  <c r="EM149" i="2" s="1"/>
  <c r="EM145" i="3"/>
  <c r="EG282" i="1"/>
  <c r="EG50" i="2"/>
  <c r="EG52" i="2" s="1"/>
  <c r="EK72" i="3"/>
  <c r="ER44" i="2" l="1"/>
  <c r="EQ144" i="2"/>
  <c r="EU108" i="2"/>
  <c r="ET109" i="2"/>
  <c r="ER145" i="3"/>
  <c r="ER148" i="3" s="1"/>
  <c r="ER346" i="1"/>
  <c r="ES113" i="3"/>
  <c r="ES145" i="3" s="1"/>
  <c r="ES288" i="1"/>
  <c r="ES345" i="1"/>
  <c r="ES89" i="1"/>
  <c r="ES90" i="1" s="1"/>
  <c r="ER269" i="1"/>
  <c r="ER285" i="1"/>
  <c r="ER286" i="1" s="1"/>
  <c r="ER149" i="2" s="1"/>
  <c r="ET88" i="3"/>
  <c r="EU13" i="3"/>
  <c r="EU39" i="3" s="1"/>
  <c r="EU40" i="3" s="1"/>
  <c r="ES40" i="3"/>
  <c r="ES66" i="3"/>
  <c r="ET40" i="3"/>
  <c r="ET66" i="3"/>
  <c r="EU66" i="3" s="1"/>
  <c r="EL149" i="3"/>
  <c r="EL16" i="2"/>
  <c r="EL24" i="2" s="1"/>
  <c r="EL171" i="2" s="1"/>
  <c r="EL168" i="2" s="1"/>
  <c r="EL72" i="3"/>
  <c r="EM149" i="3"/>
  <c r="EO66" i="3"/>
  <c r="EN70" i="3"/>
  <c r="EQ68" i="3" s="1"/>
  <c r="N272" i="484"/>
  <c r="N276" i="484" s="1"/>
  <c r="N269" i="484"/>
  <c r="O269" i="484" s="1"/>
  <c r="EM148" i="3"/>
  <c r="EM147" i="3"/>
  <c r="EM152" i="3"/>
  <c r="EM153" i="3" s="1"/>
  <c r="EN346" i="1"/>
  <c r="EM16" i="2"/>
  <c r="EM24" i="2" s="1"/>
  <c r="EM280" i="1"/>
  <c r="EN310" i="1" s="1"/>
  <c r="EQ311" i="1" s="1"/>
  <c r="EB282" i="1"/>
  <c r="EC282" i="1" s="1"/>
  <c r="EC48" i="2"/>
  <c r="EO144" i="2"/>
  <c r="EO145" i="2" s="1"/>
  <c r="EN145" i="2"/>
  <c r="EH171" i="2"/>
  <c r="EI24" i="2"/>
  <c r="EO345" i="1"/>
  <c r="EO113" i="3"/>
  <c r="EO89" i="1"/>
  <c r="EO90" i="1" s="1"/>
  <c r="EN68" i="3"/>
  <c r="EM141" i="3"/>
  <c r="EN139" i="3"/>
  <c r="EN285" i="1"/>
  <c r="EN286" i="1" s="1"/>
  <c r="EN149" i="2" s="1"/>
  <c r="EN145" i="3"/>
  <c r="EN269" i="1"/>
  <c r="EK171" i="2"/>
  <c r="EM270" i="1"/>
  <c r="EM272" i="1" s="1"/>
  <c r="EO311" i="1"/>
  <c r="EO314" i="1" s="1"/>
  <c r="EQ145" i="2" l="1"/>
  <c r="ER143" i="2"/>
  <c r="ES44" i="2"/>
  <c r="ER144" i="2"/>
  <c r="EU109" i="2"/>
  <c r="ET19" i="2"/>
  <c r="EU19" i="2" s="1"/>
  <c r="EQ270" i="1"/>
  <c r="EQ272" i="1" s="1"/>
  <c r="ER152" i="3"/>
  <c r="ER153" i="3" s="1"/>
  <c r="ES139" i="3"/>
  <c r="ER147" i="3"/>
  <c r="ER270" i="1"/>
  <c r="ER272" i="1" s="1"/>
  <c r="ES285" i="1"/>
  <c r="ES286" i="1" s="1"/>
  <c r="ES149" i="2" s="1"/>
  <c r="ES269" i="1"/>
  <c r="ET113" i="3"/>
  <c r="ET139" i="3" s="1"/>
  <c r="ET288" i="1"/>
  <c r="EU288" i="1" s="1"/>
  <c r="ET345" i="1"/>
  <c r="ET89" i="1"/>
  <c r="ET90" i="1" s="1"/>
  <c r="ES346" i="1"/>
  <c r="EU88" i="3"/>
  <c r="ES148" i="3"/>
  <c r="ES152" i="3"/>
  <c r="ES153" i="3" s="1"/>
  <c r="ES147" i="3"/>
  <c r="EQ141" i="3"/>
  <c r="ER68" i="3"/>
  <c r="EQ70" i="3"/>
  <c r="EQ9" i="2" s="1"/>
  <c r="ER70" i="3"/>
  <c r="ER9" i="2" s="1"/>
  <c r="ES70" i="3"/>
  <c r="ES9" i="2" s="1"/>
  <c r="ET70" i="3"/>
  <c r="ET9" i="2" s="1"/>
  <c r="EO346" i="1"/>
  <c r="EK168" i="2"/>
  <c r="EL169" i="2" s="1"/>
  <c r="EN141" i="3"/>
  <c r="EO68" i="3"/>
  <c r="EO141" i="3" s="1"/>
  <c r="O268" i="484"/>
  <c r="O272" i="484" s="1"/>
  <c r="O276" i="484" s="1"/>
  <c r="P269" i="484"/>
  <c r="EL45" i="2"/>
  <c r="EL48" i="2" s="1"/>
  <c r="EH168" i="2"/>
  <c r="EI171" i="2"/>
  <c r="EC177" i="2"/>
  <c r="EC178" i="2" s="1"/>
  <c r="EC179" i="2"/>
  <c r="EC180" i="2" s="1"/>
  <c r="EM171" i="2"/>
  <c r="EM168" i="2" s="1"/>
  <c r="N277" i="484"/>
  <c r="N293" i="484"/>
  <c r="S276" i="484"/>
  <c r="N282" i="484"/>
  <c r="N286" i="484" s="1"/>
  <c r="N288" i="484" s="1"/>
  <c r="N289" i="484" s="1"/>
  <c r="EN270" i="1"/>
  <c r="EN272" i="1" s="1"/>
  <c r="EO139" i="3"/>
  <c r="EO285" i="1"/>
  <c r="EO286" i="1" s="1"/>
  <c r="EO149" i="2" s="1"/>
  <c r="EO145" i="3"/>
  <c r="EC50" i="2"/>
  <c r="EC52" i="2" s="1"/>
  <c r="EB52" i="2"/>
  <c r="EN143" i="3"/>
  <c r="EN9" i="2"/>
  <c r="EN72" i="3" s="1"/>
  <c r="EN147" i="3"/>
  <c r="EN148" i="3"/>
  <c r="EN152" i="3"/>
  <c r="EN153" i="3" s="1"/>
  <c r="ES143" i="2" l="1"/>
  <c r="ER145" i="2"/>
  <c r="ET44" i="2"/>
  <c r="ES144" i="2"/>
  <c r="ER16" i="2"/>
  <c r="ER24" i="2" s="1"/>
  <c r="ER280" i="1"/>
  <c r="ES310" i="1" s="1"/>
  <c r="ET311" i="1" s="1"/>
  <c r="EQ280" i="1"/>
  <c r="ER310" i="1" s="1"/>
  <c r="ES311" i="1" s="1"/>
  <c r="EQ16" i="2"/>
  <c r="EQ24" i="2" s="1"/>
  <c r="ET16" i="2"/>
  <c r="ET280" i="1"/>
  <c r="EU280" i="1" s="1"/>
  <c r="EU9" i="2"/>
  <c r="ES16" i="2"/>
  <c r="ES24" i="2" s="1"/>
  <c r="ES280" i="1"/>
  <c r="ET310" i="1" s="1"/>
  <c r="ET145" i="3"/>
  <c r="ET152" i="3" s="1"/>
  <c r="ET153" i="3" s="1"/>
  <c r="EU113" i="3"/>
  <c r="EU145" i="3" s="1"/>
  <c r="EU147" i="3" s="1"/>
  <c r="EU89" i="1"/>
  <c r="EU90" i="1" s="1"/>
  <c r="EU345" i="1"/>
  <c r="ET346" i="1"/>
  <c r="ES270" i="1"/>
  <c r="ES272" i="1" s="1"/>
  <c r="ET285" i="1"/>
  <c r="ET286" i="1" s="1"/>
  <c r="ET149" i="2" s="1"/>
  <c r="ET269" i="1"/>
  <c r="ER72" i="3"/>
  <c r="ER143" i="3"/>
  <c r="ER149" i="3" s="1"/>
  <c r="EQ72" i="3"/>
  <c r="EQ143" i="3"/>
  <c r="EQ149" i="3" s="1"/>
  <c r="ES68" i="3"/>
  <c r="ER141" i="3"/>
  <c r="ET143" i="3"/>
  <c r="ET149" i="3" s="1"/>
  <c r="ET72" i="3"/>
  <c r="ES143" i="3"/>
  <c r="ES149" i="3" s="1"/>
  <c r="ES72" i="3"/>
  <c r="EO70" i="3"/>
  <c r="EO143" i="3" s="1"/>
  <c r="N354" i="484"/>
  <c r="S293" i="484"/>
  <c r="EH169" i="2"/>
  <c r="EI168" i="2"/>
  <c r="EI169" i="2" s="1"/>
  <c r="EH45" i="2"/>
  <c r="O277" i="484"/>
  <c r="O282" i="484"/>
  <c r="O286" i="484" s="1"/>
  <c r="O288" i="484" s="1"/>
  <c r="O289" i="484" s="1"/>
  <c r="P289" i="484" s="1"/>
  <c r="EL50" i="2"/>
  <c r="EL52" i="2" s="1"/>
  <c r="EL282" i="1"/>
  <c r="EN149" i="3"/>
  <c r="EO9" i="2"/>
  <c r="EN280" i="1"/>
  <c r="EQ310" i="1" s="1"/>
  <c r="ER311" i="1" s="1"/>
  <c r="EN16" i="2"/>
  <c r="EO147" i="3"/>
  <c r="EO148" i="3"/>
  <c r="EO152" i="3"/>
  <c r="EO153" i="3" s="1"/>
  <c r="EO146" i="3"/>
  <c r="EM169" i="2"/>
  <c r="EM45" i="2"/>
  <c r="EM48" i="2" s="1"/>
  <c r="P268" i="484"/>
  <c r="P272" i="484" s="1"/>
  <c r="P276" i="484" s="1"/>
  <c r="Q269" i="484"/>
  <c r="EK45" i="2"/>
  <c r="EK48" i="2" s="1"/>
  <c r="EK169" i="2"/>
  <c r="ET143" i="2" l="1"/>
  <c r="ES145" i="2"/>
  <c r="EU44" i="2"/>
  <c r="ET144" i="2"/>
  <c r="EU311" i="1"/>
  <c r="Q289" i="484"/>
  <c r="R289" i="484" s="1"/>
  <c r="ES171" i="2"/>
  <c r="ES168" i="2" s="1"/>
  <c r="EQ171" i="2"/>
  <c r="ET24" i="2"/>
  <c r="EU16" i="2"/>
  <c r="ER171" i="2"/>
  <c r="ER168" i="2" s="1"/>
  <c r="ET148" i="3"/>
  <c r="ET147" i="3"/>
  <c r="EU346" i="1"/>
  <c r="ET270" i="1"/>
  <c r="ET272" i="1" s="1"/>
  <c r="EU139" i="3"/>
  <c r="EU285" i="1"/>
  <c r="EU286" i="1" s="1"/>
  <c r="EU149" i="2" s="1"/>
  <c r="EU148" i="3"/>
  <c r="EU146" i="3"/>
  <c r="EU152" i="3"/>
  <c r="EU153" i="3" s="1"/>
  <c r="ES141" i="3"/>
  <c r="ET68" i="3"/>
  <c r="EO280" i="1"/>
  <c r="Q268" i="484"/>
  <c r="Q272" i="484" s="1"/>
  <c r="Q276" i="484" s="1"/>
  <c r="T276" i="484" s="1"/>
  <c r="R269" i="484"/>
  <c r="R268" i="484" s="1"/>
  <c r="R272" i="484" s="1"/>
  <c r="R276" i="484" s="1"/>
  <c r="EO72" i="3"/>
  <c r="P277" i="484"/>
  <c r="P282" i="484"/>
  <c r="P286" i="484" s="1"/>
  <c r="P288" i="484" s="1"/>
  <c r="EO16" i="2"/>
  <c r="EN24" i="2"/>
  <c r="O355" i="484"/>
  <c r="O291" i="484"/>
  <c r="O256" i="484"/>
  <c r="O257" i="484" s="1"/>
  <c r="P285" i="484"/>
  <c r="EI45" i="2"/>
  <c r="EH48" i="2"/>
  <c r="EM50" i="2"/>
  <c r="EM52" i="2" s="1"/>
  <c r="EM282" i="1"/>
  <c r="O293" i="484"/>
  <c r="EK50" i="2"/>
  <c r="EK52" i="2" s="1"/>
  <c r="EK282" i="1"/>
  <c r="EO149" i="3"/>
  <c r="ET145" i="2" l="1"/>
  <c r="EU144" i="2"/>
  <c r="EU145" i="2" s="1"/>
  <c r="EU314" i="1"/>
  <c r="ER45" i="2"/>
  <c r="ER48" i="2" s="1"/>
  <c r="EQ168" i="2"/>
  <c r="ET171" i="2"/>
  <c r="ET168" i="2" s="1"/>
  <c r="EU24" i="2"/>
  <c r="ES169" i="2"/>
  <c r="ES45" i="2"/>
  <c r="ES48" i="2" s="1"/>
  <c r="ET141" i="3"/>
  <c r="EU68" i="3"/>
  <c r="Q277" i="484"/>
  <c r="H297" i="484"/>
  <c r="Q282" i="484"/>
  <c r="Q286" i="484" s="1"/>
  <c r="Q288" i="484" s="1"/>
  <c r="R277" i="484"/>
  <c r="R282" i="484"/>
  <c r="R286" i="484" s="1"/>
  <c r="R288" i="484" s="1"/>
  <c r="EH282" i="1"/>
  <c r="EI282" i="1" s="1"/>
  <c r="EH50" i="2"/>
  <c r="EI48" i="2"/>
  <c r="O354" i="484"/>
  <c r="P290" i="484"/>
  <c r="EO24" i="2"/>
  <c r="EN171" i="2"/>
  <c r="EU171" i="2" l="1"/>
  <c r="EQ45" i="2"/>
  <c r="EQ48" i="2" s="1"/>
  <c r="ER50" i="2"/>
  <c r="ER52" i="2" s="1"/>
  <c r="ER282" i="1"/>
  <c r="ES50" i="2"/>
  <c r="ES52" i="2" s="1"/>
  <c r="ES282" i="1"/>
  <c r="ET169" i="2"/>
  <c r="EU168" i="2"/>
  <c r="ET45" i="2"/>
  <c r="ER169" i="2"/>
  <c r="EU141" i="3"/>
  <c r="EU70" i="3"/>
  <c r="H298" i="484"/>
  <c r="P291" i="484"/>
  <c r="P355" i="484"/>
  <c r="P256" i="484"/>
  <c r="P257" i="484" s="1"/>
  <c r="Q285" i="484"/>
  <c r="Q290" i="484" s="1"/>
  <c r="R285" i="484" s="1"/>
  <c r="R290" i="484" s="1"/>
  <c r="P293" i="484"/>
  <c r="EI177" i="2"/>
  <c r="EI178" i="2" s="1"/>
  <c r="EI179" i="2"/>
  <c r="EI180" i="2" s="1"/>
  <c r="EI50" i="2"/>
  <c r="EI52" i="2" s="1"/>
  <c r="EH52" i="2"/>
  <c r="EN168" i="2"/>
  <c r="EQ169" i="2" s="1"/>
  <c r="EO171" i="2"/>
  <c r="EU45" i="2" l="1"/>
  <c r="ET48" i="2"/>
  <c r="EQ50" i="2"/>
  <c r="EQ52" i="2" s="1"/>
  <c r="EQ282" i="1"/>
  <c r="EU143" i="3"/>
  <c r="EU149" i="3" s="1"/>
  <c r="EU72" i="3"/>
  <c r="R293" i="484"/>
  <c r="H302" i="484" s="1"/>
  <c r="R256" i="484"/>
  <c r="R257" i="484" s="1"/>
  <c r="R291" i="484"/>
  <c r="Q355" i="484"/>
  <c r="Q291" i="484"/>
  <c r="Q256" i="484"/>
  <c r="Q257" i="484" s="1"/>
  <c r="Q293" i="484"/>
  <c r="EN169" i="2"/>
  <c r="EN45" i="2"/>
  <c r="EO168" i="2"/>
  <c r="EU169" i="2" s="1"/>
  <c r="P354" i="484"/>
  <c r="EU48" i="2" l="1"/>
  <c r="ET50" i="2"/>
  <c r="ET282" i="1"/>
  <c r="EU282" i="1" s="1"/>
  <c r="EO169" i="2"/>
  <c r="T293" i="484"/>
  <c r="Q354" i="484"/>
  <c r="T257" i="484"/>
  <c r="EO45" i="2"/>
  <c r="EN48" i="2"/>
  <c r="EU50" i="2" l="1"/>
  <c r="EU52" i="2" s="1"/>
  <c r="ET52" i="2"/>
  <c r="EU179" i="2"/>
  <c r="EU180" i="2" s="1"/>
  <c r="EU177" i="2"/>
  <c r="EU178" i="2" s="1"/>
  <c r="EN282" i="1"/>
  <c r="EO282" i="1" s="1"/>
  <c r="EO48" i="2"/>
  <c r="EN50" i="2"/>
  <c r="EO177" i="2" l="1"/>
  <c r="EO178" i="2" s="1"/>
  <c r="EO179" i="2"/>
  <c r="EO180" i="2" s="1"/>
  <c r="EO50" i="2"/>
  <c r="EO52" i="2" s="1"/>
  <c r="EN52" i="2"/>
</calcChain>
</file>

<file path=xl/comments1.xml><?xml version="1.0" encoding="utf-8"?>
<comments xmlns="http://schemas.openxmlformats.org/spreadsheetml/2006/main">
  <authors>
    <author>kweiss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卟䙄_x0001_＀＀㰗䬃 摡歳偞偟䥒䕃䅟䝖㔨ㄯ〯ⰶ⼷ㄳ〯⤶_x0018_＀＀_x0018_＀＀_x0008_＀＀_x0001_＀＀_x0001_＀＀㒘隨䁁㰗䬃 摡歳偞偟䥒䕃䅟䝖㈨ㄯ〯ⰸ⼴〳〯⤸_x0018_＀＀_x0018_＀＀_x0008_＀＀_x0001_＀＀_x0001_＀＀灐ꊱ漆䁁㰗䬃!䑁䭓偞偟䥒䕃䅟䝖ㄨ⼱⼱㈰ㄬ㌯⼱㌰착_x0018_＀＀_x0018_＀＀_x0008_＀＀_x0001_＀＀_x0001_＀＀쐻氿ᇩ䀝㰗䬃!摡歳偞偟䥒䕃䅟䝖㠨ㄯ〯ⰵ〱㌯⼰㔰착_x0018_＀＀_x0018_＀＀_x0008_＀＀_x0001_＀＀_x0001_＀＀尨䁄㰗䬃 䑁䭓偞偟䥒䕃䅟䝖㔨ㄯ〯ⰳ⼷ㄳ〯⤳_x0018_＀＀_x0018_＀＀_x0008_＀＀_x0001_＀＀_x0001_＀＀冏禞鰹䀟﫭䵦!摡歳偞偟䥒䕃䅟䝖ㄨ⼱⼱〱ㄬ㌯⼰ㄱ착_x0018_＀＀_x0018_＀＀_x0008_＀＀_x0001_＀＀_x0001_＀＀涜䱮၏䁃㰗䬃!摡歳偞偟䥒䕃䅟䝖ㄨ㌯⼱〰ㄬ㌯⼱㄰착_x0018_＀＀_x0018_＀＀_x0008_＀＀_x0001_＀＀_x0001_＀＀힡쒟໧䀠﫭䵦!摡歳偞偟䥒䕃䅟䝖㠨ㄯㄯⰰ〱㌯⼰〱착_x0018_＀＀_x0018_＀＀_x0008_＀＀_x0001_＀＀_x0001_＀＀࿺럩ய䀿㰗䬃!䑁䭓偞偟䥒䕃䅟䝖ㄨ⼱⼱㤹ㄬ㌯⼱〰착_x0018_＀＀_x0018_＀＀_x0008_＀＀_x0001_＀＀_x0001_＀＀ﻍ륀彭䀜㰗䬃!䑁䭓偞偟䥒䕃䅟䝖ㄨ⼱⼱㘰ㄬ㌯⼱㜰착_x0018_＀＀_x0018_＀＀_x0008_＀＀_x0001_＀＀_x0001_＀＀隣葡䣰䁄㰗䬃 摡歳偞偟䥒䕃䅟䝖㈨ㄯ〯ⰳ⼴〳〯⤳_x0018_＀＀_x0018_＀＀_x0008_＀＀_x0001_＀＀_x0001_＀＀處㝱ڈ䀞㰗䬃!摡歳偞偟䥒䕃䅟䝖㠨ㄯ〯ⰷ〱㌯⼰㜰착_x0018_＀＀_x0018_＀＀_x0008_＀＀_x0001_＀＀_x0001_＀＀ꜞ䣨眮䁇㰗䬃!䑁䭓偞偟䥒䕃䅟䝖ㄨ⼱⼱㠹ㄬ㌯⼱㤹착_x0018_＀＀_x0018_＀＀_x0008_＀＀_x0001_＀＀_x0001_＀＀儚ᯚ䀣㰗䬃!摡歳偞偟䥒䕃䅟䝖ㄨ㌯⼱㐰ㄬ㌯⼱㔰착_x0018_＀＀_x0018_＀＀_x0008_＀＀_x0001_＀＀_x0001_＀＀劉傛䂈䀶躟䱤!摡歳偞偟䥒䕃䅟䝖㠨ㄯ〯ⰹ〱㌯⼰㤰착_x0018_＀＀_x0018_＀＀_x0008_＀＀_x0001_＀＀_x0001_＀＀ⲻ㘦ᜟ䀸㰗䬃!䑁䭓偞偟䥒䕃䅟䝖㠨ㄯ㤯ⰹ〱㌯⼱㤹착_x0018_＀＀_x0018_＀＀_x0008_＀＀_x0001_＀＀_x0001_＀＀὜ᯖ犵䀖㰗䬃 摡歳偞偟䥒䕃䅟䝖㔨ㄯ〯ⰵ⼷ㄳ〯⤵_x0018_＀＀_x0018_＀＀_x0008_＀＀_x0001_＀＀_x0001_＀＀癵㠲쩊䁁㰗䬃 摡歳偞偟䥒䕃䅟䝖㈨ㄯ〯ⰷ⼴〳〯⤷_x0018_＀＀_x0018_＀＀_x0008_＀＀_x0001_＀＀_x0001_＀＀뎧솓ቑ䁄㰗䬃!䑁䭓偞偟䥒䕃䅟䝖ㄨ⼱⼱㄰ㄬ㌯⼱㈰착_x0018_＀＀_x0018_＀＀_x0008_＀＀_x0001_＀＀_x0001_＀＀襲༣﹄䀢㰗䬃 摡歳偞偟䥒䕃䅟䝖㈨ㄯ㤯ⰹ⼴〳㤯⤹_x0018_＀＀_x0018_＀＀_x0008_＀＀_x0001_＀＀_x0001_＀＀焿ﴀꞾ䀢㰗䬃 䑁䭓偞偟䥒䕃䅟䝖㔨ㄯ〯ⰲ⼷ㄳ〯⤲_x0018_＀＀_x0018_＀＀_x0008_＀＀_x0001_＀＀_x0001_＀＀讠貆े䀛㰗䬃!䑁䭓偞偟䥒䕃䅟䝖㠨ㄯ〯ⰰ〱㌯⼱〰착_x0018_＀＀_x0018_＀＀_x0008_＀＀_x0001_＀＀_x0001_＀＀đ傇ꚥ䀘躟䱤 摡歳偞偟䥒䕃䅟䝖㔨ㄯ〯ⰹ⼷ㄳ〯⤹_x0018_＀＀_x0018_＀＀_x0008_＀＀_x0001_＀＀_x0001_＀＀꿷㒬㴩䀴㰗䬃!䑁䭓偞偟䥒䕃䅟䝖ㄨ⼱⼱㔰ㄬ㌯⼱㘰착_x0018_＀＀_x0018_＀＀_x0008_＀＀_x0001_＀＀_x0001_＀＀╰㘻섂䁅㰗䬃 摡歳偞偟䥒䕃䅟䝖㈨ㄯ〯ⰲ⼴〳〯⤲_x0018_＀＀_x0018_＀＀_x0008_＀＀_x0001_＀＀_x0001_＀＀뇿ᴐ✂䀥㰗䬃"䑁䭓偞偟䥒䕃䅟䝖㔨ㄯ㈯〰ⰴ⼷ㄳ㤯⤹_x0018_＀＀_x0018_＀＀_x0008_＀＀_x0001_＀＀_x0001_＀＀降㴋ౢ䀡㰗䬃 䑁䭓偞偟䥒䕃䅟䝖㔨ㄯ㤯ⰸ⼷ㄳ㤯⤸_x0018_＀＀_x0018_＀＀_x0008_＀＀_x0001_＀＀_x0001_＀＀᧣⁏䀤㰗䬃!䑁䭓偞偟䥒䕃䅟䝖㠨ㄯ〯ⰲ〱㌯⼱㈰착_x0018_＀＀_x0018_＀＀_x0008_＀＀_x0001_＀＀_x0001_＀＀_xDF2E_냺㣞䀙䰏_x0016_摡歳䙞彇䕐䙟ㅙ〨Ⱜ㤬⤰_x0018_＀＀_x0018_＀＀_x0008_＀＀_x0001_＀＀_x0001_＀＀✘_xDABE_䀵㰗䬃!摡歳偞偟䥒䕃䅟䝖ㄨ㌯⼱㌰ㄬ㌯⼱㐰착_x0018_＀＀_x0018_＀＀_x0008_＀＀_x0001_＀＀_x0001_＀＀㘀䈠䀡躟䱤 摡歳偞偟䥒䕃䅟䝖㈨ㄯㄯⰰ⼴〳ㄯ⤰_x0018_＀＀_x0018_＀＀_x0008_＀＀_x0001_＀＀_x0001_＀＀硭ꕺ䀼㰗䬃 摡歳偞偟䥒䕃䅟䝖㈨ㄯ〯ⰶ⼴〳〯⤶_x0018_＀＀_x0018_＀＀_x0008_＀＀_x0001_＀＀_x0001_＀＀ᓤ줝该䁃㰗䬃!䑁䭓偞偟䥒䕃䅟䝖ㄨ⼱⼱〰ㄬ㌯⼱㄰착_x0018_＀＀_x0018_＀＀_x0008_＀＀_x0001_＀＀_x0001_＀＀鸧ֳ嚄䀜䰏_x0017_摡歳䙞彇灥彳奆⠱ⰰⰬ〹착＀＀＀＀㰗䬃!䑁䭓偞偟䥒䕃䅟䝖㠨ㄯ〯ⰴ〱㌯⼱㐰착_x0018_＀＀_x0018_＀＀_x0008_＀＀_x0001_＀＀_x0001_＀＀蚮㷄뚖䀶䰏0摡歳䙞彥獥楴慭整✨偅❓✬敭湡Ⱗ愧湮慵❬✬ㄫⰧⰰⰬ＀＀＀＀㰗䬃 摡歳偞偟䥒䕃䅟䝖㈨ㄯ㤯ⰸ⼴〳㤯⤸_x0018_＀＀_x0018_＀＀_x0008_＀＀_x0001_＀＀_x0001_＀＀徳멷峳䀦㰗䬃 䑁䭓偞偟䥒䕃䅟䝖㔨ㄯ〯ⰱ⼷ㄳ〯⤱_x0018_＀＀_x0018_＀＀_x0008_＀＀_x0001_＀＀_x0001_＀＀蝲摍鋦䀡㰗䬃 摡歳偞偟䥒䕃䅟䝖㔨ㄯ〯ⰸ⼷ㄳ〯⤸_x0018_＀＀_x0018_＀＀_x0008_＀＀_x0001_＀＀_x0001_＀＀伣꺒钙䁂㰗䬃!摡歳偞偟䥒䕃䅟䝖㠨ㄯ〯ⰶ〱㌯⼰㘰착_x0018_＀＀_x0018_＀＀_x0008_＀＀_x0001_＀＀_x0001_＀＀凬Ẹ䎅䁁㰗䬃!䑁䭓偞偟䥒䕃䅟䝖ㄨ⼱⼱㐰ㄬ㌯⼱㔰착_x0018_＀＀_x0018_＀＀_x0008_＀＀_x0001_＀＀_x0001_＀＀Ꞝ䡦䁀㰗䬃 摡歳偞偟䥒䕃䅟䝖㈨ㄯ〯ⰱ⼴〳〯⤱_x0018_＀＀_x0018_＀＀_x0008_＀＀_x0001_＀＀_x0001_＀＀轏ᥭᙰ䀡㰗䬃!摡歳偞偟䥒䕃䅟䝖㠨ㄯ〯ⰸ〱㌯⼰㠰착_x0018_＀＀_x0018_＀＀_x0008_＀＀_x0001_＀＀_x0001_＀＀倊쭓論䀿㰗䬃!摡歳偞偟䥒䕃䅟䝖ㄨ㌯⼱㈰ㄬ㌯⼱㌰착_x0018_＀＀_x0018_＀＀_x0008_＀＀_x0001_＀＀_x0001_＀＀曬㽆츚䀞㰗䬃!䑁䭓偞偟䥒䕃䅟䝖㠨ㄯ㤯ⰸ〱㌯⼱㠹착_x0018_＀＀_x0018_＀＀_x0008_＀＀_x0001_＀＀_x0001_＀＀럥擨䖩䀛㰗䬃!䑁䭓偞偟䥒䕃䅟䝖ㄨ⼱⼱㠰ㄬ㌯⼱㤰착_x0018_＀＀_x0018_＀＀_x0008_＀＀_x0001_＀＀_x0001_＀＀㗓澓ㆶ䀲㰗䬃 摡歳偞偟䥒䕃䅟䝖㈨ㄯ〯ⰵ⼴〳〯⤵_x0018_＀＀_x0018_＀＀_x0008_＀＀_x0001_＀＀_x0001_＀＀㨖놯葋䀾㰗䬃!摡歳偞偟䥒䕃䅟䝖ㄨ㌯⼱㤹ㄬ㌯⼱〰착_x0018_＀＀_x0018_＀＀_x0008_＀＀_x0001_＀＀_x0001_＀＀⵮빸䀜㰗䬃 䑁䭓偞偟䥒䕃䅟䝖㔨ㄯ〯ⰰ⼷ㄳ〯⤰_x0018_＀＀_x0018_＀＀_x0008_＀＀_x0001_＀＀_x0001_＀＀풙ې譠䀠㰗䬃!摡歳偞偟䥒䕃䅟䝖ㄨ㌯⼱㠹ㄬ㌯⼱㤹착_x0018_＀＀_x0018_＀＀_x0008_＀＀_x0001_＀＀_x0001_＀＀ぁ轇ﯟ䀢㰗䬃 摡歳偞偟䥒䕃䅟䝖㔨ㄯ〯ⰷ⼷ㄳ〯⤷_x0018_＀＀_x0018_＀＀_x0008_＀＀_x0001_＀＀_x0001_＀＀결⤴礅䁆躟䱤 摡歳偞偟䥒䕃䅟䝖㈨ㄯ〯ⰹ⼴〳〯⤹_x0018_＀＀_x0018_＀＀_x0008_＀＀_x0001_＀＀_x0001_＀＀漫㡇ᠭ䀰㰗䬃!䑁䭓偞偟䥒䕃䅟䝖ㄨ⼱⼱㌰ㄬ㌯⼱㐰착_x0018_＀＀_x0018_＀＀_x0008_＀＀_x0001_＀＀_x0001_＀＀鱻쉩菶䀧㰗䬃 摡歳偞偟䥒䕃䅟䝖㈨ㄯ〯ⰰ⼴〳〯⤰_x0018_＀＀_x0018_＀＀_x0008_＀＀_x0001_＀＀_x0001_＀＀愵짻弘䀥㰗䬃 䑁䭓偞偟䥒䕃䅟䝖㔨ㄯ〯ⰴ⼷ㄳ〯⤴_x0018_＀＀_x0018_＀＀_x0008_＀＀_x0001_＀＀_x0001_＀＀ꃹ덧쯪䀲㰗䬃!摡歳偞偟䥒䕃䅟䝖ㄨ㌯⼱㄰ㄬ㌯⼱㈰착_x0018_＀＀_x0018_＀＀_x0008_＀＀_x0001_＀＀_x0001_＀＀䝧틼䀡㰗䬃!䑁䭓偞偟䥒䕃䅟䝖㠨ㄯ〯ⰱ〱㌯⼱㄰착_x0018_＀＀_x0018_＀＀_x0008_＀＀_x0001_＀＀_x0001_＀＀兺徻ꀅ䀡㰗䬃!䑁䭓偞偟䥒䕃䅟䝖ㄨ⼱⼱㜰ㄬ㌯⼱㠰착_x0018_＀＀_x0018_＀＀_x0008_＀＀_x0001_＀＀_x0001_＀＀ⴤ랕㰣䁇㰗䬃 摡歳偞偟䥒䕃䅟䝖㈨ㄯ〯ⰴ⼴〳〯⤴_x0018_＀＀_x0018_＀＀_x0008_＀＀_x0001_＀＀_x0001_＀＀펣䀭㰗䬃!䑁䭓偞偟䥒䕃䅟䝖㠨ㄯ〯ⰳ〱㌯⼱㌰착_x0018_＀＀_x0018_＀＀_x0008_＀＀_x0001_＀＀_x0001_＀＀㕀멞豉䀡躟䱤 摡歳偞偟䥒䕃䅟䝖㔨ㄯㄯⰰ⼷ㄳㄯ⤰_x0018_＀＀_x0018_＀＀_x0008_＀＀_x0001_＀＀_x0001_＀＀粅돐啙䀼躟䱤!䑁䭓偞偟䥒䕃䅟䝖ㄨ⼱⼱㤰ㄬ㌯⼱〱착_x0018_＀＀_x0018_＀＀_x0008_＀＀_x0001_＀＀_x0001_＀＀迅眱ㄭ䀹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2364</t>
        </r>
      </text>
    </comment>
  </commentList>
</comments>
</file>

<file path=xl/comments2.xml><?xml version="1.0" encoding="utf-8"?>
<comments xmlns="http://schemas.openxmlformats.org/spreadsheetml/2006/main">
  <authors>
    <author>Fodderwala, Hamza (Research)</author>
    <author>StanZ</author>
  </authors>
  <commentList>
    <comment ref="L4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core product subs up (excl. Cloud) up +14% YoY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under guidance of 5.4M subs 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close to zero by FY20</t>
        </r>
      </text>
    </comment>
    <comment ref="L10" authorId="1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2015 A-day: New model subs and ARR surpass maintenance in FY18</t>
        </r>
      </text>
    </comment>
    <comment ref="K14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pre-loyalty / converted sub customers</t>
        </r>
      </text>
    </comment>
    <comment ref="K1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cloud subs doubled YoY</t>
        </r>
      </text>
    </comment>
    <comment ref="N27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70-75% product subs</t>
        </r>
      </text>
    </comment>
    <comment ref="N2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15-20% cloud</t>
        </r>
      </text>
    </comment>
    <comment ref="N29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10-15% EBAs</t>
        </r>
      </text>
    </comment>
    <comment ref="L30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above 500-800K historical, driven by growing adoption of cloud subs</t>
        </r>
      </text>
    </comment>
    <comment ref="L32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inline with historical 500-800K range excl. cloud subs</t>
        </r>
      </text>
    </comment>
    <comment ref="L57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44K EBA subs added in Q1</t>
        </r>
      </text>
    </comment>
    <comment ref="L6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decline due to BIM 360 team subs not being renewed</t>
        </r>
      </text>
    </comment>
    <comment ref="M6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half year impact from cloud seats not renewing in 1H FY19</t>
        </r>
      </text>
    </comment>
    <comment ref="L84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Q1: 600-650
Q2: 625-675
Q3: 625-650K</t>
        </r>
      </text>
    </comment>
    <comment ref="K89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assuming fewer conversions with perpetual license sales expring in F2Q17</t>
        </r>
      </text>
    </comment>
    <comment ref="L89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loyalty discounts on subs and maintenance price increases kick in June 2017</t>
        </r>
      </text>
    </comment>
    <comment ref="K9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conversions prior to loyalty program</t>
        </r>
      </text>
    </comment>
    <comment ref="L10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price increase on maintenance to take effect in June FY18</t>
        </r>
      </text>
    </comment>
    <comment ref="M10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price increase on maintenance to take effect in FY19/20</t>
        </r>
      </text>
    </comment>
    <comment ref="M10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assuming minimal discounting beyond FY18</t>
        </r>
      </text>
    </comment>
    <comment ref="N10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discounts go away</t>
        </r>
      </text>
    </comment>
    <comment ref="L115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5% uplift vs FY17 maintenance price from converting to subscription if switched in Year 1; price locked in for 3 years</t>
        </r>
      </text>
    </comment>
    <comment ref="M115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discount decreases by 5%; Year 2 customers subject to 10% uplift vs. FY18 maintenance price based on annual renewal period (also locked in for 3 years)</t>
        </r>
      </text>
    </comment>
    <comment ref="N115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15% increase maintenace uplift in Year 3, can only lock in pricing for one year</t>
        </r>
      </text>
    </comment>
    <comment ref="O115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Year 1 and 3 loyalty rate expires, customers subject to ~16% maintenance uplift, FY19 (Year 2) discount remains, any remaining maintenance customers pay full price for subscription </t>
        </r>
      </text>
    </comment>
    <comment ref="P116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all loyalty discounts expire; normal price increases going forward</t>
        </r>
      </text>
    </comment>
    <comment ref="N12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225-250</t>
        </r>
      </text>
    </comment>
    <comment ref="N123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650-725</t>
        </r>
      </text>
    </comment>
    <comment ref="S126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above 3% ARPS CAGR guidance</t>
        </r>
      </text>
    </comment>
    <comment ref="L127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net increase YoY; pressure from loyalty discouns and cloud mix, offset by maintenance price increase; should trend upward in 2HFY18</t>
        </r>
      </text>
    </comment>
    <comment ref="N13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700-750 by FY20 (2016 A-day)</t>
        </r>
      </text>
    </comment>
    <comment ref="N132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225-250 by A-day</t>
        </r>
      </text>
    </comment>
    <comment ref="N133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650-725 by FY20</t>
        </r>
      </text>
    </comment>
    <comment ref="L134" authorId="1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Should trough in early FY18 and ramp in 2HFY18</t>
        </r>
      </text>
    </comment>
    <comment ref="L141" authorId="1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2015 A-day: New model subs and ARR surpass maintenance in FY18</t>
        </r>
      </text>
    </comment>
    <comment ref="K145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pre-loyalty / conversion customers</t>
        </r>
      </text>
    </comment>
    <comment ref="L14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less than $100M in ARR from Cloud</t>
        </r>
      </text>
    </comment>
    <comment ref="S150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24% ARR CAGR</t>
        </r>
      </text>
    </comment>
    <comment ref="M15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up 29-31% excluding  ASC606 impact</t>
        </r>
      </text>
    </comment>
    <comment ref="K153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32% of Q417 rev was via direct sales</t>
        </r>
      </text>
    </comment>
    <comment ref="K183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pre-loyalty discount customers who shifted from maint to subs</t>
        </r>
      </text>
    </comment>
    <comment ref="B192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non-recurring rev</t>
        </r>
      </text>
    </comment>
    <comment ref="L195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impact by growth in off balance sheet bookings from EBA</t>
        </r>
      </text>
    </comment>
    <comment ref="L200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NT headwind from EBAs shifting from multi-year to annual billings; 25% growth including 326M of unbilled DR</t>
        </r>
      </text>
    </comment>
    <comment ref="N20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below guided D/R ramp of +600M YoY </t>
        </r>
      </text>
    </comment>
    <comment ref="L21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no more multi-year contracts on maintenance beginning FY18</t>
        </r>
      </text>
    </comment>
    <comment ref="K23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55% of EBA rev and 60% of desktip subs previously allocated to license revs</t>
        </r>
      </text>
    </comment>
    <comment ref="L239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Q1: 2,000-2,050
Q2: 2,030-2,050
Q3: 2,040-2,050</t>
        </r>
      </text>
    </comment>
    <comment ref="L24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FY18 guide btwn (8)-(5)%; prior guide of +2-4% range on A-Day (Dec 2016)</t>
        </r>
      </text>
    </comment>
    <comment ref="N248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below 32-34% FY20 guidance</t>
        </r>
      </text>
    </comment>
    <comment ref="K256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basic share count</t>
        </r>
      </text>
    </comment>
    <comment ref="L256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basic share count</t>
        </r>
      </text>
    </comment>
    <comment ref="N26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change in A/R btwn 150-200M in FY20</t>
        </r>
      </text>
    </comment>
    <comment ref="J270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variance from other working capital</t>
        </r>
      </text>
    </comment>
    <comment ref="N270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taxes, depreciation &amp; other are $200M benefit to FY20 FCF (2016 A-day)  </t>
        </r>
      </text>
    </comment>
    <comment ref="N281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majority of FCF used for buyback thru FY20</t>
        </r>
      </text>
    </comment>
    <comment ref="L290" authorId="0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diluted shares</t>
        </r>
      </text>
    </comment>
  </commentList>
</comments>
</file>

<file path=xl/comments3.xml><?xml version="1.0" encoding="utf-8"?>
<comments xmlns="http://schemas.openxmlformats.org/spreadsheetml/2006/main">
  <authors>
    <author>kweiss</author>
    <author>Fodderwala, Hamza (Research)</author>
    <author>StanZ</author>
    <author>Leo Kulp</author>
    <author>Brian Essex</author>
    <author>Samson Lee</author>
    <author>James Ferrara</author>
    <author>meligo</author>
    <author>jamesfer</author>
  </authors>
  <commentList>
    <comment ref="FC13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Buzzsaw had revenues of $6 million in FY02</t>
        </r>
      </text>
    </comment>
    <comment ref="A60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AutoCAD, AutoCAD LT, vertical design products</t>
        </r>
      </text>
    </comment>
    <comment ref="A64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previously allocated in platform &amp; emerging, may not equal to total rev due to rounding</t>
        </r>
      </text>
    </comment>
    <comment ref="A72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Revit, Civil 3D, Architecture, Map3d</t>
        </r>
      </text>
    </comment>
    <comment ref="GN72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40% increase in Revit revenues in first 6 mo
</t>
        </r>
      </text>
    </comment>
    <comment ref="A76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Inventor, Mechanical, Moldflow</t>
        </r>
      </text>
    </comment>
    <comment ref="DH76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$11M from Delcam</t>
        </r>
      </text>
    </comment>
    <comment ref="DI76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$14M from Delcam</t>
        </r>
      </text>
    </comment>
    <comment ref="GN81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annimation biz up 19% Y/Y due to 45% increase in 3ds Max. </t>
        </r>
      </text>
    </comment>
    <comment ref="DY90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486 reported, differences due to rounding</t>
        </r>
      </text>
    </comment>
    <comment ref="EA90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may not match reported net revenue due to rounding</t>
        </r>
      </text>
    </comment>
    <comment ref="FA101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GIS segment</t>
        </r>
      </text>
    </comment>
    <comment ref="GD101" authorId="4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landesktop down but civil 3d up</t>
        </r>
      </text>
    </comment>
    <comment ref="A153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Primarily corporate expenses and other geographic costs and expenses managed outside the reportable segments.</t>
        </r>
      </text>
    </comment>
    <comment ref="A172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F2003 - 2005 includes prior period adjustment of approx. 28k seats.</t>
        </r>
      </text>
    </comment>
    <comment ref="FA177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accd to 4Q03 cc, stand alone AutoCAD install base increased 4% in F2003</t>
        </r>
      </text>
    </comment>
    <comment ref="FQ18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said decreased 6%</t>
        </r>
      </text>
    </comment>
    <comment ref="FW18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said decreased 6%</t>
        </r>
      </text>
    </comment>
    <comment ref="GC18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said decreased 6%</t>
        </r>
      </text>
    </comment>
    <comment ref="GI18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said decreased 6%</t>
        </r>
      </text>
    </comment>
    <comment ref="GO18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said decreased 6%</t>
        </r>
      </text>
    </comment>
    <comment ref="GU18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said decreased 6%</t>
        </r>
      </text>
    </comment>
    <comment ref="FA192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accd to 4Q03 cc, AutoCAD Mechanical install base increased 13% in F2003</t>
        </r>
      </text>
    </comment>
    <comment ref="GN192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up 25% y/y</t>
        </r>
      </text>
    </comment>
    <comment ref="FA193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accd to 4Q03 cc, AutoCAD Map install base increased 13% in F2003</t>
        </r>
      </text>
    </comment>
    <comment ref="FA194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accd to 4Q03 cc, AutoCAD Architectural Desktop install base increased 26% in F2003</t>
        </r>
      </text>
    </comment>
    <comment ref="FA195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accd to 4Q03 cc, Land Desktop install base increased 20% in F2003</t>
        </r>
      </text>
    </comment>
    <comment ref="FA197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accd to 4Q03 cc, AutoCAD LT install base increased 13% in F2003</t>
        </r>
      </text>
    </comment>
    <comment ref="GG218" authorId="4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32,000 commercial 3d seats shipped in q.</t>
        </r>
      </text>
    </comment>
    <comment ref="GH218" authorId="5">
      <text>
        <r>
          <rPr>
            <b/>
            <sz val="8"/>
            <color indexed="81"/>
            <rFont val="Tahoma"/>
            <family val="2"/>
          </rPr>
          <t>Samson Lee:
39,000 commercial fees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25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F2003 - 2005 includes prior period adjustment of approx. 28k seats.</t>
        </r>
      </text>
    </comment>
    <comment ref="GJ228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revenue from new seats up 50% Y/Y</t>
        </r>
      </text>
    </comment>
    <comment ref="A230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F2003 - 2005 includes prior period adjustment of approx. 28k seats.</t>
        </r>
      </text>
    </comment>
    <comment ref="GA231" authorId="6">
      <text>
        <r>
          <rPr>
            <b/>
            <sz val="8"/>
            <color indexed="81"/>
            <rFont val="Tahoma"/>
            <family val="2"/>
          </rPr>
          <t>James Ferrara:</t>
        </r>
        <r>
          <rPr>
            <sz val="8"/>
            <color indexed="81"/>
            <rFont val="Tahoma"/>
            <family val="2"/>
          </rPr>
          <t xml:space="preserve">
Total new commercial seats for 3D was 31,000.  13,100 for Revit and 8,500 for Civil 3D</t>
        </r>
      </text>
    </comment>
    <comment ref="A235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F2003 - 2005 includes prior period adjustment of approx. 28k seats.</t>
        </r>
      </text>
    </comment>
    <comment ref="GJ24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revenue up 19%
</t>
        </r>
      </text>
    </comment>
    <comment ref="GM24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Revit family up 61% Y/Y</t>
        </r>
      </text>
    </comment>
    <comment ref="GO24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REVIT family up 23%
</t>
        </r>
      </text>
    </comment>
    <comment ref="GJ249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revenue up 14%
</t>
        </r>
      </text>
    </comment>
    <comment ref="A256" authorId="0">
      <text>
        <r>
          <rPr>
            <sz val="8"/>
            <color indexed="81"/>
            <rFont val="Tahoma"/>
            <family val="2"/>
          </rPr>
          <t>3ds Max, AutoCAD, AutoCAD LT, AutoCAD vertical, Civil 3D, Inventor Standalone, Maya, Plant 3D, Revit Standalone</t>
        </r>
      </text>
    </comment>
    <comment ref="A260" authorId="0">
      <text>
        <r>
          <rPr>
            <b/>
            <sz val="8"/>
            <color indexed="81"/>
            <rFont val="Tahoma"/>
            <family val="2"/>
          </rPr>
          <t>AutoCAD Design, Educational/Academic, Entertainment Creation, Factory Design, Inventor Family, Plant Design, Revit Family Suites</t>
        </r>
      </text>
    </comment>
    <comment ref="GN260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40% increase in Revit revenues in first 6 mo
</t>
        </r>
      </text>
    </comment>
    <comment ref="A264" authorId="0">
      <text>
        <r>
          <rPr>
            <b/>
            <sz val="8"/>
            <color indexed="81"/>
            <rFont val="Tahoma"/>
            <family val="2"/>
          </rPr>
          <t>Algor, Alias Design, Autodesk Consulting, Buzzsaw, Constructware, Consumer, Creative Finishing, Moldflow, Navisworks, Vault, All others</t>
        </r>
      </text>
    </comment>
    <comment ref="DU273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43K attributed to promotional activity</t>
        </r>
      </text>
    </comment>
    <comment ref="DZ273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trade-in promo began 2 weeks before end of Q; added only 2K subs</t>
        </r>
      </text>
    </comment>
    <comment ref="EA273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26K sub benefit from trade-in promo</t>
        </r>
      </text>
    </comment>
    <comment ref="DZ276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includes 63K converted maintenance subs</t>
        </r>
      </text>
    </comment>
    <comment ref="EA276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includes 110K of maintenance conversions</t>
        </r>
      </text>
    </comment>
    <comment ref="EB276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includes 168K converted maintenance subs</t>
        </r>
      </text>
    </comment>
    <comment ref="DU285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13K maintenance subscriptions attributed to acq. of Solid Angle in Mar 2016</t>
        </r>
      </text>
    </comment>
    <comment ref="DZ288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maintenance to subscription program kicks in June</t>
        </r>
      </text>
    </comment>
    <comment ref="DU29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$10-11M neg impact per qtr due to MDF; 40-45M impact annually  </t>
        </r>
      </text>
    </comment>
    <comment ref="DU293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MDF negative impact of 3% YoY</t>
        </r>
      </text>
    </comment>
    <comment ref="DU294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18% ex. Negative impact from MDF</t>
        </r>
      </text>
    </comment>
    <comment ref="DU298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MDF negative impact of   -2% YoY</t>
        </r>
      </text>
    </comment>
    <comment ref="DU299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+2% YoY ex. MDF</t>
        </r>
      </text>
    </comment>
    <comment ref="DU303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MDF negative impact of   -6% YoY</t>
        </r>
      </text>
    </comment>
    <comment ref="DU304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+97% ex. MDF</t>
        </r>
      </text>
    </comment>
    <comment ref="DT314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will continue to decline from mix shift to LT/cloud, but rebound from higher suite sales</t>
        </r>
      </text>
    </comment>
    <comment ref="DZ314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$509 sub ARPS excl. M2S program</t>
        </r>
      </text>
    </comment>
    <comment ref="EA314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0.496 adjusted for M2S</t>
        </r>
      </text>
    </comment>
    <comment ref="DU316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50% of decline atrributed to changes in mix</t>
        </r>
      </text>
    </comment>
    <comment ref="DT318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will see a faster rebound here vs. new model</t>
        </r>
      </text>
    </comment>
    <comment ref="EA318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0.561 adjusted for M2S</t>
        </r>
      </text>
    </comment>
    <comment ref="DZ322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550 excl. M2S program</t>
        </r>
      </text>
    </comment>
    <comment ref="GB327" authorId="4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Includes cross grades and upgrades</t>
        </r>
      </text>
    </comment>
    <comment ref="HO328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-3% as per 10K</t>
        </r>
      </text>
    </comment>
    <comment ref="A337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remaining subscription revenue related to select Creative Finishing product offerings, Autodesk
Buzzsaw, Autodesk Constructware, education offerings, and third party products.</t>
        </r>
      </text>
    </comment>
    <comment ref="A36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pro services revs
</t>
        </r>
      </text>
    </comment>
    <comment ref="GH373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declined 3% Y/Y</t>
        </r>
      </text>
    </comment>
    <comment ref="GB377" authorId="4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Includes advanced systems, buzzsaw, consulting, etc.  Advanced systems part of M&amp;E and is currently running about 1/2 of M&amp;E since the acquisition of Alias.  Co. notes that if it changes significantly, they'll note the change.</t>
        </r>
      </text>
    </comment>
    <comment ref="GN377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10Q: 23 pts of growth from increase ASP, offsetting (14) pts of growth from lower units </t>
        </r>
      </text>
    </comment>
    <comment ref="FS383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41% from new comml seats</t>
        </r>
      </text>
    </comment>
    <comment ref="A388" authorId="7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Includes revenue from Creative finishing, consulting and training, and Autodesk Collaborative Solution</t>
        </r>
      </text>
    </comment>
    <comment ref="DZ39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excl. 63M of unbilled deferred rev; +21% YoY adjusted</t>
        </r>
      </text>
    </comment>
    <comment ref="EA39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25% YoY growth when accounted for 148M of unbilled DR</t>
        </r>
      </text>
    </comment>
    <comment ref="EB39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~25% YoY growth when adjusted for 326M in unbilled deferred</t>
        </r>
      </text>
    </comment>
    <comment ref="EC409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impact from 300-350M in  unbilled backlog in FY18 from &lt;100M today </t>
        </r>
      </text>
    </comment>
    <comment ref="EO409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deferred non-sub rev declining from ongoing shift from maint to subs</t>
        </r>
      </text>
    </comment>
    <comment ref="EU409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deferred non-sub rev declining from ongoing shift from maint to subs</t>
        </r>
      </text>
    </comment>
    <comment ref="HN412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$34m billings impact from upgrade pull-forward, but only $24m impact on license revenue</t>
        </r>
      </text>
    </comment>
    <comment ref="HS432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-27% YTD</t>
        </r>
      </text>
    </comment>
    <comment ref="HS433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+21% YTD</t>
        </r>
      </text>
    </comment>
    <comment ref="FX434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at 2Q06 was 389</t>
        </r>
      </text>
    </comment>
    <comment ref="GA434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@ FY3Q06 was $400 to $410m</t>
        </r>
      </text>
    </comment>
    <comment ref="FX43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at 2Q06 was 409</t>
        </r>
      </text>
    </comment>
    <comment ref="GA44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@3Q06 was $0.25 to $0.27</t>
        </r>
      </text>
    </comment>
    <comment ref="GA45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@ FY3Q06 was $0.31 to $0.33</t>
        </r>
      </text>
    </comment>
    <comment ref="GO455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$0.07 for amort of int, and $0.07 for SBC</t>
        </r>
      </text>
    </comment>
    <comment ref="FL477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seq</t>
        </r>
      </text>
    </comment>
    <comment ref="FX480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+23% in CC</t>
        </r>
      </text>
    </comment>
    <comment ref="GA480" authorId="8">
      <text>
        <r>
          <rPr>
            <b/>
            <sz val="8"/>
            <color indexed="81"/>
            <rFont val="Tahoma"/>
            <family val="2"/>
          </rPr>
          <t>jamesfer:</t>
        </r>
        <r>
          <rPr>
            <sz val="8"/>
            <color indexed="81"/>
            <rFont val="Tahoma"/>
            <family val="2"/>
          </rPr>
          <t xml:space="preserve">
25% in CC</t>
        </r>
      </text>
    </comment>
    <comment ref="GO500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$0.04 for amort of int and $0.08</t>
        </r>
      </text>
    </comment>
    <comment ref="FQ543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from cc:
Revenue from new design seats grew 43% yoy.</t>
        </r>
      </text>
    </comment>
    <comment ref="GT556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includes an adjustment for 581K educational seats</t>
        </r>
      </text>
    </comment>
    <comment ref="EE598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19% non-GAAP tax rate</t>
        </r>
      </text>
    </comment>
    <comment ref="FD598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accd to 3Q03 cc, Buzzsaw user base increased 6% seq.</t>
        </r>
      </text>
    </comment>
    <comment ref="EE602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non-gaap spend growth of 1-2% in FY19, flat CC</t>
        </r>
      </text>
    </comment>
    <comment ref="FX610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commercial seats
</t>
        </r>
      </text>
    </comment>
    <comment ref="GA650" authorId="8">
      <text>
        <r>
          <rPr>
            <b/>
            <sz val="8"/>
            <color indexed="81"/>
            <rFont val="Tahoma"/>
            <family val="2"/>
          </rPr>
          <t>jamesfer:</t>
        </r>
        <r>
          <rPr>
            <sz val="8"/>
            <color indexed="81"/>
            <rFont val="Tahoma"/>
            <family val="2"/>
          </rPr>
          <t xml:space="preserve">
5% organic growth.  78% includes Alias</t>
        </r>
      </text>
    </comment>
    <comment ref="FV661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Just release Max8</t>
        </r>
      </text>
    </comment>
    <comment ref="FF690" authorId="3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exp. 2/04</t>
        </r>
      </text>
    </comment>
  </commentList>
</comments>
</file>

<file path=xl/comments4.xml><?xml version="1.0" encoding="utf-8"?>
<comments xmlns="http://schemas.openxmlformats.org/spreadsheetml/2006/main">
  <authors>
    <author>meligo</author>
    <author>Fodderwala, Hamza (Research)</author>
    <author>Leo Kulp</author>
    <author>Brian Essex</author>
    <author>kweiss</author>
    <author>Samson Lee</author>
    <author>StanZ</author>
  </authors>
  <commentList>
    <comment ref="CQ10" authorId="0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includes $10M one-time license compliance transaction</t>
        </r>
      </text>
    </comment>
    <comment ref="DT10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benefit from end of perpetual license in Q2</t>
        </r>
      </text>
    </comment>
    <comment ref="A14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a.k.a. subscription revenues</t>
        </r>
      </text>
    </comment>
    <comment ref="A28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includes  perpetual license revenue. Other
rev includes standalone consulting and training</t>
        </r>
      </text>
    </comment>
    <comment ref="BL31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5/18/06: $440-$450</t>
        </r>
      </text>
    </comment>
    <comment ref="BN31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Guidance:
11/16/06: $490 - $500m</t>
        </r>
      </text>
    </comment>
    <comment ref="BQ31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2/27/07: $490-$500</t>
        </r>
      </text>
    </comment>
    <comment ref="BR31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2/27/07: $505-$515
5/17/07: $520-530</t>
        </r>
      </text>
    </comment>
    <comment ref="BS31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5/17/07: $520-530 million
8/16/07: $530-540 million</t>
        </r>
      </text>
    </comment>
    <comment ref="BT31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8/16/07: $575-$585 million</t>
        </r>
      </text>
    </comment>
    <comment ref="BU31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Guidance:
11/16/06: $2.075 - $2.125 billion
2/27/07: reiterated above
5/17/07: $2.115 - $2.150 billion
8/16/07: $2.140 - $2.160 billion
11/15/07 $2.148 - $2.158 billion</t>
        </r>
      </text>
    </comment>
    <comment ref="BW31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11/15/07: $575 to $585 million
2/26/08: $575 to $585 million
4/24/08: $590 to $595 million</t>
        </r>
      </text>
    </comment>
    <comment ref="BX31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2/26/08: $590m
5/15/08: $600 to $610mn</t>
        </r>
      </text>
    </comment>
    <comment ref="BY31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5/15/08: $605 to $620mn
8/14/08: $625 to $635mn
11/04/08: pre-released $604 to $607M</t>
        </r>
      </text>
    </comment>
    <comment ref="BZ31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8/15/08: $660 to $680mn
1/15/08: $475 to $500M</t>
        </r>
      </text>
    </comment>
    <comment ref="CA31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11/15/07: $2.425 to $2.475 billion
2/26/08: unchanged
5/15/08: $2.45 to 2.5 billion
8/14/08: 2.50 to $2.53 billion</t>
        </r>
      </text>
    </comment>
    <comment ref="DW3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2012-2032M</t>
        </r>
      </text>
    </comment>
    <comment ref="EA32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14% YoY rev growth adjusted for $38M in license backlog from 3Q17</t>
        </r>
      </text>
    </comment>
    <comment ref="BM51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down a point this quarter due to w/off of systems inventory.
</t>
        </r>
      </text>
    </comment>
    <comment ref="DW66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Q217: 226M in stock comp for FY17</t>
        </r>
      </text>
    </comment>
    <comment ref="BU71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2/27/08 Guidance = $16m</t>
        </r>
      </text>
    </comment>
    <comment ref="EC7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36M in amort of intangibles</t>
        </r>
      </text>
    </comment>
    <comment ref="BL72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Reversal of accrual disclosed on Q4 earnings call.  Net effect is that pre-tax non-GAAP opex goes down $3.7m and pre-tax GAAP opex falls $13.6m from reported results.
Formerly in cell:  -9.9
</t>
        </r>
      </text>
    </comment>
    <comment ref="BM72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$8.8m one-time bonus to non-executives to compensate employees effected by option review process.
*Adjusted in Q4 with settlement-based reversal of legal accrual.
Formerly in cell was: 8.8-2.3=6.5</t>
        </r>
      </text>
    </comment>
    <comment ref="DW72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Q2: $86M from restructuring for FY17
Q3: $80M</t>
        </r>
      </text>
    </comment>
    <comment ref="EC72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13M in CEO transition costs and 91-100M in restructuring costs</t>
        </r>
      </text>
    </comment>
    <comment ref="BQ75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Tax Impact of Stock Option review.</t>
        </r>
      </text>
    </comment>
    <comment ref="BA79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Bonuses and Sales Commissions for Performance Above Original Plan - $12 mil</t>
        </r>
      </text>
    </comment>
    <comment ref="BB79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Bonuses and Sales Commissions for Performance Above Original Plan - $30 mil</t>
        </r>
      </text>
    </comment>
    <comment ref="BM79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Includes $3.6m of expenses related to ongoing option review process.</t>
        </r>
      </text>
    </comment>
    <comment ref="BN79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inlcudes $3m in legal and other related to ongoing stock option review</t>
        </r>
      </text>
    </comment>
    <comment ref="DW82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down approx. (2)% on non-GAAP basis</t>
        </r>
      </text>
    </comment>
    <comment ref="EC82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spend growth expected to be approx. flat in FY18</t>
        </r>
      </text>
    </comment>
    <comment ref="EI82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expect flat growth in FY19 </t>
        </r>
      </text>
    </comment>
    <comment ref="BQ86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2/27/07: 25.5%-26.3%</t>
        </r>
      </text>
    </comment>
    <comment ref="BR86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2/27/07: 25.5%-26.3%
5/17/07: 24.5%-25.4% -- does not include SFAS123r or $4m amort of intangibles -- does include $1.5m in legal/tax expense</t>
        </r>
      </text>
    </comment>
    <comment ref="BS86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5/17/07: operating margin = 26.4-26.9% -- does not include SFAS123r or $4m amort of intangibles </t>
        </r>
      </text>
    </comment>
    <comment ref="BU86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2/27/07 Guidance = 27% - 27.5%
5/17/07 guidance = 27% - 27.5%  -- does not include SFAS123r or $16m amort of intangibles</t>
        </r>
      </text>
    </comment>
    <comment ref="CS94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Interest = +5.7
FX = (1.1)
Other Income = +2.7</t>
        </r>
      </text>
    </comment>
    <comment ref="BU101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2/27/07 Guidance: 25%-26%
5/17/07 Guidance: 25%-26%</t>
        </r>
      </text>
    </comment>
    <comment ref="CA101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2/26/08: 26%</t>
        </r>
      </text>
    </comment>
    <comment ref="DW10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26% guide</t>
        </r>
      </text>
    </comment>
    <comment ref="BL107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5/18/06: $0.34-$0.36</t>
        </r>
      </text>
    </comment>
    <comment ref="BR107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6/4/07:
Guidance = $.41-$.43</t>
        </r>
      </text>
    </comment>
    <comment ref="BS107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6/4/07 Guidance: $.43-$.45
8/16/07: $0.47 - $0.49</t>
        </r>
      </text>
    </comment>
    <comment ref="BT107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8/16/07: $0.52 -$0.54</t>
        </r>
      </text>
    </comment>
    <comment ref="BU107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6/4/07 Guidance:$1.82-$1.89
8/16/07:  $1.87 - $1.91</t>
        </r>
      </text>
    </comment>
    <comment ref="BW107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11/15/07: $0.50 to $0.52
2/26/08: $0.46 to $0.48</t>
        </r>
      </text>
    </comment>
    <comment ref="BX107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2/26/08:$0.50</t>
        </r>
      </text>
    </comment>
    <comment ref="BY107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8/14/08: $0.54 to $0.56</t>
        </r>
      </text>
    </comment>
    <comment ref="BZ107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$0.64 to $0.68</t>
        </r>
      </text>
    </comment>
    <comment ref="CA107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11/15/07: $2.20 to $2.26
2/26/08: $2.15 to $2.25
8/14/08: $2.24 to $2.30</t>
        </r>
      </text>
    </comment>
    <comment ref="CA141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2/26/08: 26%</t>
        </r>
      </text>
    </comment>
    <comment ref="DW141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(11)% guide</t>
        </r>
      </text>
    </comment>
    <comment ref="BL150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5/18/06: $0.26-$0.28</t>
        </r>
      </text>
    </comment>
    <comment ref="BR150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6/4/07 Guidance:
$.27-$.29</t>
        </r>
      </text>
    </comment>
    <comment ref="BS150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6/4/07 Guidance:
$.33-$.35</t>
        </r>
      </text>
    </comment>
    <comment ref="BT150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11/15/07:  $0.42 to $0.44</t>
        </r>
      </text>
    </comment>
    <comment ref="BU150" authorId="3">
      <text>
        <r>
          <rPr>
            <b/>
            <sz val="8"/>
            <color indexed="81"/>
            <rFont val="Tahoma"/>
            <family val="2"/>
          </rPr>
          <t>Brian Essex:</t>
        </r>
        <r>
          <rPr>
            <sz val="8"/>
            <color indexed="81"/>
            <rFont val="Tahoma"/>
            <family val="2"/>
          </rPr>
          <t xml:space="preserve">
6/4/07 Guidance:
$1.40-$1.47
11/15/07:  $1.50 to $1.52</t>
        </r>
      </text>
    </comment>
    <comment ref="BW150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11/15/07:  $0.42 to $0.44
2/26/08:  $0.35 to $0.37</t>
        </r>
      </text>
    </comment>
    <comment ref="BX150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2/26/08: $0.40</t>
        </r>
      </text>
    </comment>
    <comment ref="CA150" authorId="5">
      <text>
        <r>
          <rPr>
            <b/>
            <sz val="8"/>
            <color indexed="81"/>
            <rFont val="Tahoma"/>
            <family val="2"/>
          </rPr>
          <t>Samson Lee:</t>
        </r>
        <r>
          <rPr>
            <sz val="8"/>
            <color indexed="81"/>
            <rFont val="Tahoma"/>
            <family val="2"/>
          </rPr>
          <t xml:space="preserve">
11/15/07: $1.84 to $1.90
2/26/08: $1.75 to $1.85</t>
        </r>
      </text>
    </comment>
    <comment ref="DW150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(2.77)-(2.67)</t>
        </r>
      </text>
    </comment>
    <comment ref="P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9/2/98</t>
        </r>
      </text>
    </comment>
    <comment ref="U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6/8/99</t>
        </r>
      </text>
    </comment>
    <comment ref="V157" authorId="2">
      <text>
        <r>
          <rPr>
            <b/>
            <sz val="8"/>
            <color indexed="81"/>
            <rFont val="Tahoma"/>
            <family val="2"/>
          </rPr>
          <t xml:space="preserve">Leo Kulp:
</t>
        </r>
        <r>
          <rPr>
            <sz val="8"/>
            <color indexed="81"/>
            <rFont val="Tahoma"/>
            <family val="2"/>
          </rPr>
          <t>a/o 9/7/99</t>
        </r>
      </text>
    </comment>
    <comment ref="W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12/1/99</t>
        </r>
      </text>
    </comment>
    <comment ref="AA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4/30/00
</t>
        </r>
      </text>
    </comment>
    <comment ref="AB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7/31/00</t>
        </r>
      </text>
    </comment>
    <comment ref="AC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11/30/04</t>
        </r>
      </text>
    </comment>
    <comment ref="AG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4/31/01</t>
        </r>
      </text>
    </comment>
    <comment ref="AH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7/31/01</t>
        </r>
      </text>
    </comment>
    <comment ref="AI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10/31/01</t>
        </r>
      </text>
    </comment>
    <comment ref="AM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4/30/02</t>
        </r>
      </text>
    </comment>
    <comment ref="AN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7/31/02</t>
        </r>
      </text>
    </comment>
    <comment ref="AO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11/30/02</t>
        </r>
      </text>
    </comment>
    <comment ref="AS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5/30/03</t>
        </r>
      </text>
    </comment>
    <comment ref="AT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7/31/03
</t>
        </r>
      </text>
    </comment>
    <comment ref="AU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11/30/03</t>
        </r>
      </text>
    </comment>
    <comment ref="AY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5/31/04</t>
        </r>
      </text>
    </comment>
    <comment ref="BA157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a/o 11/30/04</t>
        </r>
      </text>
    </comment>
    <comment ref="BX157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as of May 23rd 2008 -- 223.9 million shares outstanding</t>
        </r>
      </text>
    </comment>
    <comment ref="BY157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as of 8/29/08 = 224.95</t>
        </r>
      </text>
    </comment>
    <comment ref="DM157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update after 10Q comes out</t>
        </r>
      </text>
    </comment>
    <comment ref="DU157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repurchased 2M shares at 68.74/share</t>
        </r>
      </text>
    </comment>
    <comment ref="DW158" authorId="1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basic share count down by ~3%</t>
        </r>
      </text>
    </comment>
    <comment ref="BE194" authorId="4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In December 2004, we announced our intent to discontinue payment of cash dividends after the fourth quarter of fiscal 2005. </t>
        </r>
      </text>
    </comment>
    <comment ref="J332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2/1/97</t>
        </r>
      </text>
    </comment>
    <comment ref="U332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3/29/99</t>
        </r>
      </text>
    </comment>
    <comment ref="AB332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7/10/00</t>
        </r>
      </text>
    </comment>
    <comment ref="AH332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6/1/01</t>
        </r>
      </text>
    </comment>
    <comment ref="AS332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3/1/03</t>
        </r>
      </text>
    </comment>
    <comment ref="AY332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3/23/04</t>
        </r>
      </text>
    </comment>
    <comment ref="BE332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3/22/05</t>
        </r>
      </text>
    </comment>
    <comment ref="AC333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7/31/01</t>
        </r>
      </text>
    </comment>
    <comment ref="AI333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7/31/02</t>
        </r>
      </text>
    </comment>
    <comment ref="AV333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1/1/04</t>
        </r>
      </text>
    </comment>
    <comment ref="BB333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1/1/05</t>
        </r>
      </text>
    </comment>
    <comment ref="BK333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3/16/06</t>
        </r>
      </text>
    </comment>
    <comment ref="W335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9/20/99</t>
        </r>
      </text>
    </comment>
    <comment ref="AA335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3/15/00</t>
        </r>
      </text>
    </comment>
    <comment ref="AC335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8/1/00</t>
        </r>
      </text>
    </comment>
    <comment ref="AD335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12/21/00</t>
        </r>
      </text>
    </comment>
    <comment ref="AI335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9/17/01
</t>
        </r>
      </text>
    </comment>
    <comment ref="AO335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10/17/02</t>
        </r>
      </text>
    </comment>
    <comment ref="AS335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4/22/03</t>
        </r>
      </text>
    </comment>
    <comment ref="BG336" authorId="2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10/15/05</t>
        </r>
      </text>
    </comment>
  </commentList>
</comments>
</file>

<file path=xl/comments5.xml><?xml version="1.0" encoding="utf-8"?>
<comments xmlns="http://schemas.openxmlformats.org/spreadsheetml/2006/main">
  <authors>
    <author>Leo Kulp</author>
    <author>jamesfer</author>
  </authors>
  <commentList>
    <comment ref="O45" authorId="0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represents foreign currency translation adjustment</t>
        </r>
      </text>
    </comment>
    <comment ref="P45" authorId="0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represents foreign currency translation adjustment</t>
        </r>
      </text>
    </comment>
    <comment ref="Q45" authorId="0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represents foreign currency translation adjustment</t>
        </r>
      </text>
    </comment>
    <comment ref="BK95" authorId="1">
      <text>
        <r>
          <rPr>
            <b/>
            <sz val="8"/>
            <color indexed="81"/>
            <rFont val="Tahoma"/>
            <family val="2"/>
          </rPr>
          <t>jamesfer:</t>
        </r>
        <r>
          <rPr>
            <sz val="8"/>
            <color indexed="81"/>
            <rFont val="Tahoma"/>
            <family val="2"/>
          </rPr>
          <t xml:space="preserve">
not given in 10-q</t>
        </r>
      </text>
    </comment>
    <comment ref="AQ201" authorId="0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includes 225k options assumed in acquisition
(wa share price = $1.51) </t>
        </r>
      </text>
    </comment>
    <comment ref="BX301" authorId="0">
      <text>
        <r>
          <rPr>
            <b/>
            <sz val="8"/>
            <color indexed="81"/>
            <rFont val="Tahoma"/>
            <family val="2"/>
          </rPr>
          <t>Leo Kulp:</t>
        </r>
        <r>
          <rPr>
            <sz val="8"/>
            <color indexed="81"/>
            <rFont val="Tahoma"/>
            <family val="2"/>
          </rPr>
          <t xml:space="preserve">
Included in cost of revenues</t>
        </r>
      </text>
    </comment>
  </commentList>
</comments>
</file>

<file path=xl/comments6.xml><?xml version="1.0" encoding="utf-8"?>
<comments xmlns="http://schemas.openxmlformats.org/spreadsheetml/2006/main">
  <authors>
    <author xml:space="preserve"> Leo Kulp</author>
  </authors>
  <commentList>
    <comment ref="X59" authorId="0">
      <text>
        <r>
          <rPr>
            <b/>
            <sz val="8"/>
            <color indexed="81"/>
            <rFont val="Tahoma"/>
            <family val="2"/>
          </rPr>
          <t xml:space="preserve"> Leo Kulp:</t>
        </r>
        <r>
          <rPr>
            <sz val="8"/>
            <color indexed="81"/>
            <rFont val="Tahoma"/>
            <family val="2"/>
          </rPr>
          <t xml:space="preserve">
Includes -$1.921 for decrease in credit line</t>
        </r>
      </text>
    </comment>
  </commentList>
</comments>
</file>

<file path=xl/sharedStrings.xml><?xml version="1.0" encoding="utf-8"?>
<sst xmlns="http://schemas.openxmlformats.org/spreadsheetml/2006/main" count="15863" uniqueCount="7615">
  <si>
    <t>SREV.O,mstag:researchAndDevelopment,2008Q3,,CY</t>
  </si>
  <si>
    <t>ORCL.O,mstag:costOfSalesWithDepreciation,2013Q4,,CY</t>
  </si>
  <si>
    <t>CHKP.O,mstag:costOfSalesWithDepreciation,2010Q4,,CY</t>
  </si>
  <si>
    <t>ORCL.O,mstag:otherOperatingExpenseChild,2010FY,,CY</t>
  </si>
  <si>
    <t>SYMC.O,mstag:marketingAndDistributionCosts,2010Q4,,CY</t>
  </si>
  <si>
    <t>VRSN.O,mscalc:operatingRevenueForConsensus,2010FY,,CY</t>
  </si>
  <si>
    <t>CRM.N,mstag:revenueNet,2010Q4,,CY</t>
  </si>
  <si>
    <t>TLEO.O,mstag:shortTermBorrowings,2011Q3,,CY</t>
  </si>
  <si>
    <t>DMAN.O,mstag:revenueNet,2011Q3,,CY</t>
  </si>
  <si>
    <t>CTXS.O,mstag:costOfSalesWithDepreciation,2010FY,,CY</t>
  </si>
  <si>
    <t>RHT.N,mstag:revenueNet,2011Q2,,CY</t>
  </si>
  <si>
    <t>WBSN.O,mscalc:epsForConsensusForThomsonFeed,2009FY,,CY</t>
  </si>
  <si>
    <t>GUID.O,mstag:revenueNet,2011Q2,,CY</t>
  </si>
  <si>
    <t>VRSN.O,mscalc:targetPrice</t>
  </si>
  <si>
    <t>IL.N,mscalc:epsForConsensusForThomsonFeed,2013Q2,,CY</t>
  </si>
  <si>
    <t>INFA.O,mscalc:operatingRevenueForConsensus,2012FY,,CY</t>
  </si>
  <si>
    <t>QLIK.O,mstag:marketingAndDistributionCosts,2012Q1,,CY</t>
  </si>
  <si>
    <t>CTXS.O,mstag:marketingCosts,2008FY,,CY</t>
  </si>
  <si>
    <t>CRM.N,mstag:marketingAndDistributionCosts,2008Q2,,CY</t>
  </si>
  <si>
    <t>ADSK.O,mstag:researchAndDevelopment,2010Q1,,CY</t>
  </si>
  <si>
    <t>FIRE.O,mscalc:operatingRevenueForConsensus,2009FY,,CY</t>
  </si>
  <si>
    <t>ORCL.O,mscalc:generalAndAdministrativeExpensesCalc,2009Q2,,CY</t>
  </si>
  <si>
    <t>FTNT.O,mstag:costOfSalesWithDepreciation,2013Q4,,CY</t>
  </si>
  <si>
    <t>WBSN.O,mscalc:epsForConsensusForThomsonFeed,2007FY,,CY</t>
  </si>
  <si>
    <t>ADBE.O,mstag:researchAndDevelopment,2012FY,,CY</t>
  </si>
  <si>
    <t>IL.N,mstag:costOfSalesWithDepreciation,2009FY,,CY</t>
  </si>
  <si>
    <t>CHKP.O,mstag:costOfSalesWithDepreciation,2010Q2,,CY</t>
  </si>
  <si>
    <t>INTU.O,mstag:cashAndCashEquivalents,2011Q3,,CY</t>
  </si>
  <si>
    <t>GUID.O,mstag:revenueNet,2012Q3,,CY</t>
  </si>
  <si>
    <t>SFSF.N,mstag:marketingAndDistributionCosts,2008Q2,,CY</t>
  </si>
  <si>
    <t>SFSF.N,mstag:costOfSalesWithDepreciation,2012Q1,,CY</t>
  </si>
  <si>
    <t>AMZN.O,mscalc:epsForConsensusForThomsonFeed,2010FY,,CY</t>
  </si>
  <si>
    <t>CNQR.O,mstag:researchAndDevelopment,2008FY,,CY</t>
  </si>
  <si>
    <t>ORCL.O,mscalc:generalAndAdministrativeExpensesCalc,2012FY,,CY</t>
  </si>
  <si>
    <t>ADSK.O,mscalc:generalAndAdministrativeExpensesCalc,2009Q4,,CY</t>
  </si>
  <si>
    <t>SFSF.N,mstag:marketingAndDistributionCosts,2008Q1,,CY</t>
  </si>
  <si>
    <t>IL.N,mstag:costOfSalesWithDepreciation,2012Q4,,CY</t>
  </si>
  <si>
    <t>WBSN.O,mscalc:generalAndAdministrativeExpensesCalc,2013Q1,,CY</t>
  </si>
  <si>
    <t>QLIK.O,mscalc:generalAndAdministrativeExpensesCalc,2010Q3,,CY</t>
  </si>
  <si>
    <t>MSFT.O,mstag:researchAndDevelopment,2009Q3,,CY</t>
  </si>
  <si>
    <t>SFSF.N,mstag:companyReportedRevenue,2010Q1,,CY</t>
  </si>
  <si>
    <t>VMW.N,mscalc:epsForConsensusForThomsonFeed,2012Q4,,CY</t>
  </si>
  <si>
    <t>NA,mscalc:generalAndAdministrativeExpensesCalc,2011FY,,CY</t>
  </si>
  <si>
    <t>FIRE.O,mstag:otherOperatingExpenseChild,2012FY,,CY</t>
  </si>
  <si>
    <t>IL.N,mstag:marketingAndDistributionCosts,2008Q2,,CY</t>
  </si>
  <si>
    <t>SYMC.O,mscalc:epsForConsensusForThomsonFeed,2011Q3,,CY</t>
  </si>
  <si>
    <t>ADSK.O,mstag:researchAndDevelopment,2012Q4,,CY</t>
  </si>
  <si>
    <t>VMW.N,mstag:costOfSalesWithDepreciation,2008Q2,,CY</t>
  </si>
  <si>
    <t>MSFT.O,mscalc:epsForConsensusForThomsonFeed,2012Q2,,CY</t>
  </si>
  <si>
    <t>MSFT.O,mstag:marketingAndDistributionCosts,2011Q4,,CY</t>
  </si>
  <si>
    <t>AAPL.O,mscalc:epsForConsensusForThomsonFeed,2009FY,,CY</t>
  </si>
  <si>
    <t>DMAN.O,mstag:marketingAndDistributionCosts,2010Q1,,CY</t>
  </si>
  <si>
    <t>GOOG.O,msuser:cmAUPLEBITDA20060530T0035524245,2009FY,,CY</t>
  </si>
  <si>
    <t>CTXS.O,mstag:sellingGeneralAndAdministrativeExpenses,2013FY,,CY</t>
  </si>
  <si>
    <t>SREV.O,mstag:researchAndDevelopment,2013Q2,,CY</t>
  </si>
  <si>
    <t>GUID.O,mstag:shortTermInvestments,2011Q3,,CY</t>
  </si>
  <si>
    <t>AMAT.O,msuser:cmAUPLEBITDA20060530T0035524245,2007FY,,CY</t>
  </si>
  <si>
    <t>ORCL.O,mscalc:generalAndAdministrativeExpensesCalc,2010Q3,,CY</t>
  </si>
  <si>
    <t>QLIK.O,mscalc:generalAndAdministrativeExpensesCalc,2010Q2,,CY</t>
  </si>
  <si>
    <t>N.N,mstag:researchAndDevelopment,2010Q1,,CY</t>
  </si>
  <si>
    <t>VRSN.O,mscalc:operatingRevenueForConsensus,2009FY,,CY</t>
  </si>
  <si>
    <t>QLIK.O,mscalc:generalAndAdministrativeExpensesCalc,2013Q3,,CY</t>
  </si>
  <si>
    <t>INTU.O,mstag:averageDilutedSharesOutstanding,2011Q3,,CY</t>
  </si>
  <si>
    <t>ADBE.O,mscalc:generalAndAdministrativeExpensesCalc,2013Q1,,CY</t>
  </si>
  <si>
    <t>SREV.O,mscalc:epsForConsensusForThomsonFeed,2013FY,,CY</t>
  </si>
  <si>
    <t>GUID.O,mstag:depreciationInIncomeStatement,2009Q4,,CY</t>
  </si>
  <si>
    <t>ORCL.O,mstag:researchAndDevelopment,2010Q4,,CY</t>
  </si>
  <si>
    <t>MSFT.O,mstag:revenueNet,2012Q2,,CY</t>
  </si>
  <si>
    <t>QLIK.O,mstag:marketingAndDistributionCosts,2007FY,,CY</t>
  </si>
  <si>
    <t>CHKP.O,mscalc:epsForConsensusForThomsonFeed,2008Q3,,CY</t>
  </si>
  <si>
    <t>JIVE.O,mstag:otherOperatingExpenseChild,2012FY,,CY</t>
  </si>
  <si>
    <t>SFSF.N,mstag:costOfSalesWithDepreciation,2012Q4,,CY</t>
  </si>
  <si>
    <t>RNOW.O,mscalc:epsForConsensusForThomsonFeed,2008Q2,,CY</t>
  </si>
  <si>
    <t>AKAM.O,mscalc:generalAndAdministrativeExpensesCalc,2011FY,,CY</t>
  </si>
  <si>
    <t>CHKP.O,mscalc:generalAndAdministrativeExpensesCalc,2011Q2,,CY</t>
  </si>
  <si>
    <t>ADBE.O,mstag:shortTermInvestments,2011Q4,,CY</t>
  </si>
  <si>
    <t>SWI.N,mscalc:epsForConsensusForThomsonFeed,2008Q1,,CY</t>
  </si>
  <si>
    <t>N.N,mscalc:epsForConsensusForThomsonFeed,2012Q3,,CY</t>
  </si>
  <si>
    <t>AKAM.O,mstag:marketingAndDistributionCosts,2012FY,,CY</t>
  </si>
  <si>
    <t>TLEO.O,mstag:researchAndDevelopment,2010Q4,,CY</t>
  </si>
  <si>
    <t>DMAN.O,mscalc:generalAndAdministrativeExpensesCalc,2008Q3,,CY</t>
  </si>
  <si>
    <t>IL.N,mscalc:epsForConsensusForThomsonFeed,2012FY,,CY</t>
  </si>
  <si>
    <t>DMAN.O,mscalc:epsForConsensusForThomsonFeed,2011Q3,,CY</t>
  </si>
  <si>
    <t>FIRE.O,mstag:revenueNet,2011Q1,,CY</t>
  </si>
  <si>
    <t>10/09</t>
  </si>
  <si>
    <t>% of average price</t>
  </si>
  <si>
    <t>Common Stock &amp; Additional Paid In Capital</t>
  </si>
  <si>
    <t>Other Changes to Common Stock &amp; Additional Paid In Capital</t>
  </si>
  <si>
    <t>BoP Common Stock &amp; Additional Paid In Capital</t>
  </si>
  <si>
    <t>EoP Common Stock &amp; Additional Paid In Capital</t>
  </si>
  <si>
    <t>FCF adjusted for repurchases</t>
  </si>
  <si>
    <t>Balance Sheet</t>
  </si>
  <si>
    <t>Y/Y % Growth</t>
  </si>
  <si>
    <t>N.N,mscalc:generalAndAdministrativeExpensesCalc,2011Q2,,CY</t>
  </si>
  <si>
    <t>SYMC.O,mstag:marketingAndDistributionCosts,2012Q4,,CY</t>
  </si>
  <si>
    <t>CSCO.O,mscalc:operatingRevenueForConsensus,2013FY,,CY</t>
  </si>
  <si>
    <t>ADBE.O,mscalc:generalAndAdministrativeExpensesCalc,2008FY,,CY</t>
  </si>
  <si>
    <t>ADBE.O,mstag:costOfSalesWithDepreciation,2011FY,,CY</t>
  </si>
  <si>
    <t>N.N,mscalc:epsForConsensusForThomsonFeed,2012FY,,CY</t>
  </si>
  <si>
    <t>ORCL.O,mstag:marketingAndDistributionCosts,2013Q1,,CY</t>
  </si>
  <si>
    <t>VMW.N,mstag:costOfSalesWithDepreciation,2013Q1,,CY</t>
  </si>
  <si>
    <t>INTU.O,mstag:costOfSalesWithDepreciation,2012Q3,,CY</t>
  </si>
  <si>
    <t>TLEO.O,mscalc:epsForConsensusForThomsonFeed,2010Q2,,CY</t>
  </si>
  <si>
    <t>IBM.N,mscalc:operatingRevenueForConsensus,2012FY,,CY</t>
  </si>
  <si>
    <t>CTXS.O,mstag:researchAndDevelopment,2010Q4,,CY</t>
  </si>
  <si>
    <t>AKAM.O,mstag:otherOperatingExpenseChild,2013FY,,CY</t>
  </si>
  <si>
    <t>FIRE.O,mstag:marketingAndDistributionCosts,2012Q1,,CY</t>
  </si>
  <si>
    <t>SAPG.DE,mscalc:operatingRevenueForConsensus,2010FY,,CY</t>
  </si>
  <si>
    <t>MSFT.O,mstag:revenueNet,2008Q3,,CY</t>
  </si>
  <si>
    <t>ADSK.O,mstag:revenueNet,2009Q2,,CY</t>
  </si>
  <si>
    <t>N.N,mscalc:generalAndAdministrativeExpensesCalc,2013Q3,,CY</t>
  </si>
  <si>
    <t>INTU.O,mstag:researchAndDevelopment,2012Q3,,CY</t>
  </si>
  <si>
    <t>SYMC.O,mstag:marketingAndDistributionCosts,2010FY,,CY</t>
  </si>
  <si>
    <t>NA,mscalc:epsForConsensusForThomsonFeed,2009FY,,CY</t>
  </si>
  <si>
    <t>INTU.O,mstag:marketingAndDistributionCosts,2011Q3,,CY</t>
  </si>
  <si>
    <t>QLIK.O,mstag:marketingAndDistributionCosts,2011Q1,,CY</t>
  </si>
  <si>
    <t>N.N,mstag:marketingAndDistributionCosts,2013FY,,CY</t>
  </si>
  <si>
    <t>RNOW.O,mscalc:generalAndAdministrativeExpensesCalc,2009Q3,,CY</t>
  </si>
  <si>
    <t>FIRE.O,mstag:costOfSalesWithoutDepreciation,2010Q2,,CY</t>
  </si>
  <si>
    <t>IL.N,mstag:researchAndDevelopment,2008FY,,CY</t>
  </si>
  <si>
    <t>IL.N,mstag:costOfSalesWithDepreciation,2008Q2,,CY</t>
  </si>
  <si>
    <t>ADBE.O,mscalc:generalAndAdministrativeExpensesCalc,2008Q2,,CY</t>
  </si>
  <si>
    <t>CNQR.O,mscalc:epsForConsensusForThomsonFeed,2013FY,,CY</t>
  </si>
  <si>
    <t>DELL.O,mscalc:stockRating</t>
  </si>
  <si>
    <t>MKTG.O,mscalc:generalAndAdministrativeExpensesCalc,2012FY,,CY</t>
  </si>
  <si>
    <t>SREV.O,mstag:marketingAndDistributionCosts,2009Q3,,CY</t>
  </si>
  <si>
    <t>SREV.O,mscalc:generalAndAdministrativeExpensesCalc,2011Q2,,CY</t>
  </si>
  <si>
    <t>10/13</t>
  </si>
  <si>
    <t>CHKP.O,mstag:marketingAndDistributionCosts,2009Q4,,CY</t>
  </si>
  <si>
    <t>INTU.O,mstag:costOfSalesWithDepreciation,2013Q3,,CY</t>
  </si>
  <si>
    <t>CRM.N,mstag:costOfSalesWithDepreciation,2013Q2,,CY</t>
  </si>
  <si>
    <t>MSFT.O,mstag:softwareProductRevenues,2008FY,,CY</t>
  </si>
  <si>
    <t>DMAN.O,mstag:researchAndDevelopment,2010Q2,,CY</t>
  </si>
  <si>
    <t>GUID.O,mstag:researchAndDevelopment,2010Q4,,CY</t>
  </si>
  <si>
    <t>DST.N,msuser:cmAUPLEBITDA20060530T0035524245,2011FY,,CY</t>
  </si>
  <si>
    <t>RNOW.O,mscalc:epsForConsensusForThomsonFeed,2009Q2,,CY</t>
  </si>
  <si>
    <t>ORCL.O,mstag:shortTermInvestments,2011Q4,,CY</t>
  </si>
  <si>
    <t>ADSK.O,mscalc:epsForConsensusForThomsonFeed,2013Q3,,CY</t>
  </si>
  <si>
    <t>SREV.O,mstag:marketingAndDistributionCosts,2012Q2,,CY</t>
  </si>
  <si>
    <t>ADBE.O,mstag:costOfSalesWithDepreciation,2010Q4,,CY</t>
  </si>
  <si>
    <t>N.N,mstag:costOfSalesWithDepreciation,2012Q2,,CY</t>
  </si>
  <si>
    <t>INTU.O,mscalc:generalAndAdministrativeExpensesCalc,2010FY,,CY</t>
  </si>
  <si>
    <t>ADBE.O,mscalc:epsForConsensusForThomsonFeed,2011Q2,,CY</t>
  </si>
  <si>
    <t>ORCL.O,mstag:revenueNet,2008Q2,,CY</t>
  </si>
  <si>
    <t>SREV.O,mstag:revenueNet,2009Q3,,CY</t>
  </si>
  <si>
    <t>SWI.N,mstag:marketingAndDistributionCosts,2009FY,,CY</t>
  </si>
  <si>
    <t>SWI.N,mscalc:generalAndAdministrativeExpensesCalc,2011Q4,,CY</t>
  </si>
  <si>
    <t>CHKP.O,mstag:costOfSalesWithDepreciation,2007FY,,CY</t>
  </si>
  <si>
    <t>ORCL.O,mscalc:generalAndAdministrativeExpensesCalc,2012Q3,,CY</t>
  </si>
  <si>
    <t>WBSN.O,mstag:shortTermInvestments,2011Q4,,CY</t>
  </si>
  <si>
    <t>MSFT.O,mscalc:epsForConsensusForThomsonFeed,2009Q4,,CY</t>
  </si>
  <si>
    <t>VMW.N,mscalc:epsForConsensusForThomsonFeed,2013Q4,,CY</t>
  </si>
  <si>
    <t>TLEO.O,mstag:revenueNet,2012Q1,,CY</t>
  </si>
  <si>
    <t>FIRE.O,mscalc:epsForConsensusForThomsonFeed,2010Q3,,CY</t>
  </si>
  <si>
    <t>INTC.O,msuser:cmAUPLEBITDA20060530T0035524245,2007FY,,CY</t>
  </si>
  <si>
    <t>IL.N,mstag:costOfSalesWithDepreciation,2009Q1,,CY</t>
  </si>
  <si>
    <t>TXN.N,msuser:cmAUPLEBITDA20060530T0035524245,2010FY,,CY</t>
  </si>
  <si>
    <t>CTXS.O,mstag:otherOperatingExpenseChild,2012FY,,CY</t>
  </si>
  <si>
    <t>FTNT.O,mscalc:epsForConsensusForThomsonFeed,2011Q4,,CY</t>
  </si>
  <si>
    <t>CHKP.O,mscalc:epsForConsensusForThomsonFeed,2009Q2,,CY</t>
  </si>
  <si>
    <t>CNQR.O,mstag:researchAndDevelopment,2009FY,,CY</t>
  </si>
  <si>
    <t>EBAY.O,mscalc:operatingRevenueForConsensus,2007FY,,CY</t>
  </si>
  <si>
    <t>AKAM.O,mstag:costOfSalesWithDepreciation,2010FY,,CY</t>
  </si>
  <si>
    <t>DMAN.O,mstag:costOfSalesWithDepreciation,2008Q2,,CY</t>
  </si>
  <si>
    <t>N.N,mstag:researchAndDevelopment,2008FY,,CY</t>
  </si>
  <si>
    <t>SYMC.O,mstag:marketingAndDistributionCosts,2010Q3,,CY</t>
  </si>
  <si>
    <t>FTNT.O,mstag:otherOperatingExpenseChild,2007FY,,CY</t>
  </si>
  <si>
    <t>TLEO.O,mscalc:epsForConsensusForThomsonFeed,2008Q3,,CY</t>
  </si>
  <si>
    <t>SREV.O,mstag:researchAndDevelopment,2009Q3,,CY</t>
  </si>
  <si>
    <t>ORCL.O,mstag:companyReportedRevenue,2009FY,,CY</t>
  </si>
  <si>
    <t>SREV.O,mscalc:epsForConsensusForThomsonFeed,2008Q1,,CY</t>
  </si>
  <si>
    <t>DELL.O,msuser:cmAUPLEBITDA20060530T0035524245,2008FY,,CY</t>
  </si>
  <si>
    <t>QLIK.O,mstag:costOfSalesWithDepreciation,2013FY,,CY</t>
  </si>
  <si>
    <t>ZNGA.O,msuser:cmAUPLEBITDA20060530T0035524245,2011FY,,CY</t>
  </si>
  <si>
    <t>CTXS.O,mscalc:epsForConsensusForThomsonFeed,2013Q2,,CY</t>
  </si>
  <si>
    <t>MKTG.O,mstag:marketingAndDistributionCosts,2011Q2,,CY</t>
  </si>
  <si>
    <t>RHT.N,mstag:marketingAndDistributionCosts,2011Q1,,CY</t>
  </si>
  <si>
    <t>SFSF.N,mstag:researchAndDevelopment,2012Q1,,CY</t>
  </si>
  <si>
    <t>WBSN.O,mscalc:generalAndAdministrativeExpensesCalc,2009FY,,CY</t>
  </si>
  <si>
    <t>VMW.N,mstag:marketingCosts,2008Q2,,CY</t>
  </si>
  <si>
    <t>INTU.O,mscalc:epsForConsensusForThomsonFeed,2013Q2,,CY</t>
  </si>
  <si>
    <t>SFSF.N,mstag:marketingAndDistributionCosts,2013Q2,,CY</t>
  </si>
  <si>
    <t>VMW.N,mstag:costOfSalesWithDepreciation,2013FY,,CY</t>
  </si>
  <si>
    <t>SWI.N,mstag:marketingAndDistributionCosts,2011Q4,,CY</t>
  </si>
  <si>
    <t>FIRE.O,mstag:revenueNet,2012Q4,,CY</t>
  </si>
  <si>
    <t>CTXS.O,mstag:researchAndDevelopment,2013Q3,,CY</t>
  </si>
  <si>
    <t>VMW.N,mstag:revenueNet,2012Q3,,CY</t>
  </si>
  <si>
    <t>MSFT.O,mscalc:generalAndAdministrativeExpensesCalc,2010Q1,,CY</t>
  </si>
  <si>
    <t>N.N,mstag:researchAndDevelopment,2011Q2,,CY</t>
  </si>
  <si>
    <t>RHT.N,mstag:researchAndDevelopment,2012Q2,,CY</t>
  </si>
  <si>
    <t>GUID.O,mscalc:generalAndAdministrativeExpensesCalc,2013Q1,,CY</t>
  </si>
  <si>
    <t>TLEO.O,mscalc:epsForConsensusForThomsonFeed,2011FY,,CY</t>
  </si>
  <si>
    <t>NFLX.O,mscalc:yearEndMonth</t>
  </si>
  <si>
    <t>SFSF.N,mstag:marketingAndDistributionCosts,2013Q3,,CY</t>
  </si>
  <si>
    <t>TLEO.O,mscalc:epsForConsensusForThomsonFeed,2009Q2,,CY</t>
  </si>
  <si>
    <t>TXN.N,mscalc:operatingRevenueForConsensus,2011FY,,CY</t>
  </si>
  <si>
    <t>N.N,mstag:researchAndDevelopment,2011Q1,,CY</t>
  </si>
  <si>
    <t>LNKD.N,mscalc:operatingRevenueForConsensus,2012FY,,CY</t>
  </si>
  <si>
    <t>SREV.O,mstag:revenueNet,2009Q1,,CY</t>
  </si>
  <si>
    <t>AKAM.O,mscalc:generalAndAdministrativeExpensesCalc,2012FY,,CY</t>
  </si>
  <si>
    <t>N.N,mstag:costOfSalesWithDepreciation,2009Q3,,CY</t>
  </si>
  <si>
    <t>GUID.O,mscalc:operatingRevenueForConsensus,2008FY,,CY</t>
  </si>
  <si>
    <t>FTNT.O,mstag:marketingAndDistributionCosts,2010Q3,,CY</t>
  </si>
  <si>
    <t>SREV.O,mstag:revenueNet,2008Q4,,CY</t>
  </si>
  <si>
    <t>MKTG.O,mstag:costOfSalesWithDepreciation,2009Q3,,CY</t>
  </si>
  <si>
    <t>LNKD.N,mscalc:epsForConsensusForThomsonFeed,2008FY,,CY</t>
  </si>
  <si>
    <t>RHT.N,mscalc:generalAndAdministrativeExpensesCalc,2012FY,,CY</t>
  </si>
  <si>
    <t>VMW.N,mstag:revenueNet,2010Q2,,CY</t>
  </si>
  <si>
    <t>NA,mstag:marketingAndDistributionCosts,2011FY,,CY</t>
  </si>
  <si>
    <t>IL.N,mstag:revenueNet,2013Q2,,CY</t>
  </si>
  <si>
    <t>FTNT.O,mstag:revenueNet,2013Q4,,CY</t>
  </si>
  <si>
    <t>CTXS.O,mstag:marketingCosts,2013Q1,,CY</t>
  </si>
  <si>
    <t>FTNT.O,mstag:researchAndDevelopment,2013Q2,,CY</t>
  </si>
  <si>
    <t>SREV.O,mstag:researchAndDevelopment,2011Q4,,CY</t>
  </si>
  <si>
    <t>CNQR.O,mscalc:generalAndAdministrativeExpensesCalc,2011FY,,CY</t>
  </si>
  <si>
    <t>INTU.O,mstag:marketingAndDistributionCosts,2012Q3,,CY</t>
  </si>
  <si>
    <t>FIRE.O,mstag:researchAndDevelopment,2008Q3,,CY</t>
  </si>
  <si>
    <t>VMW.N,mstag:otherOperatingExpenseChild,2009FY,,CY</t>
  </si>
  <si>
    <t>FTNT.O,mstag:costOfSalesWithDepreciation,2011Q3,,CY</t>
  </si>
  <si>
    <t>ADBE.O,mstag:otherOperatingExpenseChild,2012FY,,CY</t>
  </si>
  <si>
    <t>MSFT.O,mstag:costOfSalesWithDepreciation,2011Q1,,CY</t>
  </si>
  <si>
    <t>CHKP.O,mstag:costOfSalesWithDepreciation,2013Q1,,CY</t>
  </si>
  <si>
    <t>JIVE.O,mscalc:operatingRevenueForConsensus,2009FY,,CY</t>
  </si>
  <si>
    <t>MSFT.O,mscalc:epsForConsensusForThomsonFeed,2013Q2,,CY</t>
  </si>
  <si>
    <t>CHKP.O,mstag:marketingAndDistributionCosts,2012Q3,,CY</t>
  </si>
  <si>
    <t>CTXS.O,mscalc:operatingRevenueForConsensus,2008FY,,CY</t>
  </si>
  <si>
    <t>FTNT.O,mstag:marketingAndDistributionCosts,2011Q4,,CY</t>
  </si>
  <si>
    <t>QLIK.O,mscalc:epsForConsensusForThomsonFeed,2008Q2,,CY</t>
  </si>
  <si>
    <t>ADSK.O,mstag:softwareLicenseRevenues,2013FY,,CY</t>
  </si>
  <si>
    <t>P.N,mscalc:epsForConsensusForThomsonFeed,2008FY,,CY</t>
  </si>
  <si>
    <t>N.N,mstag:costOfSalesWithDepreciation,2008Q4,,CY</t>
  </si>
  <si>
    <t>FIRE.O,mscalc:generalAndAdministrativeExpensesCalc,2009Q1,,CY</t>
  </si>
  <si>
    <t>ADSK.O,mstag:researchAndDevelopment,2009Q1,,CY</t>
  </si>
  <si>
    <t>FTNT.O,mstag:cashAndCashEquivalents,2011Q4,,CY</t>
  </si>
  <si>
    <t>FTNT.O,mstag:marketingAndDistributionCosts,2008Q1,,CY</t>
  </si>
  <si>
    <t>MSFT.O,mstag:costOfSalesWithDepreciation,2012Q1,,CY</t>
  </si>
  <si>
    <t>MSFT.O,mscalc:generalAndAdministrativeExpensesCalc,2011Q3,,CY</t>
  </si>
  <si>
    <t>AKAM.O,mstag:otherOperatingExpenseChild,2010FY,,CY</t>
  </si>
  <si>
    <t>SYMC.O,mscalc:epsForConsensusForThomsonFeed,2008Q2,,CY</t>
  </si>
  <si>
    <t>FTNT.O,mscalc:epsForConsensusForThomsonFeed,2008Q1,,CY</t>
  </si>
  <si>
    <t>RHT.N,mstag:costOfSalesWithDepreciation,2008Q1,,CY</t>
  </si>
  <si>
    <t>SWI.N,mscalc:generalAndAdministrativeExpensesCalc,2012Q3,,CY</t>
  </si>
  <si>
    <t>N.N,mscalc:epsForConsensusForThomsonFeed,2011FY,,CY</t>
  </si>
  <si>
    <t>AKAM.O,mstag:otherOperatingExpenseChild,2012FY,,CY</t>
  </si>
  <si>
    <t>ADSK.O,mstag:softwareLicenseRevenues,2012FY,,CY</t>
  </si>
  <si>
    <t>WBSN.O,mscalc:epsForConsensusForThomsonFeed,2008Q2,,CY</t>
  </si>
  <si>
    <t>ORCL.O,mstag:softwareLicenseRevenues,2009FY,,CY</t>
  </si>
  <si>
    <t>SREV.O,mscalc:generalAndAdministrativeExpensesCalc,2013FY,,CY</t>
  </si>
  <si>
    <t>CTXS.O,mscalc:operatingRevenueForConsensus,2007FY,,CY</t>
  </si>
  <si>
    <t>NA,mscalc:generalAndAdministrativeExpensesCalc,2009FY,,CY</t>
  </si>
  <si>
    <t>EBAY.O,msuser:cmAUPLEBITDA20060530T0035524245,2008FY,,CY</t>
  </si>
  <si>
    <t>AKAM.O,mstag:researchAndDevelopment,2013FY,,CY</t>
  </si>
  <si>
    <t>VMW.N,mscalc:epsForConsensusForThomsonFeed,2012Q1,,CY</t>
  </si>
  <si>
    <t>MSFT.O,mstag:costOfSalesWithDepreciation,2013Q1,,CY</t>
  </si>
  <si>
    <t>RHT.N,mstag:costOfSalesWithDepreciation,2009Q3,,CY</t>
  </si>
  <si>
    <t>FTNT.O,mstag:costOfSalesWithDepreciation,2013Q3,,CY</t>
  </si>
  <si>
    <t>CHKP.O,mscalc:generalAndAdministrativeExpensesCalc,2010Q4,,CY</t>
  </si>
  <si>
    <t>INTU.O,mstag:marketingAndDistributionCosts,2011Q4,,CY</t>
  </si>
  <si>
    <t>CRM.N,mscalc:generalAndAdministrativeExpensesCalc,2011Q4,,CY</t>
  </si>
  <si>
    <t>QLIK.O,mstag:researchAndDevelopment,2010Q3,,CY</t>
  </si>
  <si>
    <t>SREV.O,mscalc:epsForConsensusForThomsonFeed,2012FY,,CY</t>
  </si>
  <si>
    <t>SWI.N,mscalc:epsForConsensusForThomsonFeed,2012Q3,,CY</t>
  </si>
  <si>
    <t>FTNT.O,mstag:researchAndDevelopment,2010FY,,CY</t>
  </si>
  <si>
    <t>VRSN.O,mscalc:generalAndAdministrativeExpensesCalc,2008FY,,CY</t>
  </si>
  <si>
    <t>SYMC.O,mstag:costOfSalesWithDepreciation,2011Q2,,CY</t>
  </si>
  <si>
    <t>AKAM.O,mstag:costOfSalesWithDepreciation,2013Q3,,CY</t>
  </si>
  <si>
    <t>ADSK.O,mscalc:generalAndAdministrativeExpensesCalc,2010Q3,,CY</t>
  </si>
  <si>
    <t>RHT.N,mscalc:generalAndAdministrativeExpensesCalc,2009Q1,,CY</t>
  </si>
  <si>
    <t>RNOW.O,mstag:researchAndDevelopment,2012Q4,,CY</t>
  </si>
  <si>
    <t>SREV.O,mstag:researchAndDevelopment,2008Q4,,CY</t>
  </si>
  <si>
    <t>CRM.N,mstag:marketingAndDistributionCosts,2008FY,,CY</t>
  </si>
  <si>
    <t>CHKP.O,mscalc:operatingRevenueForConsensus,2011FY,,CY</t>
  </si>
  <si>
    <t>CTXS.O,mscalc:epsForConsensusForThomsonFeed,2010Q3,,CY</t>
  </si>
  <si>
    <t>WBSN.O,mstag:marketingAndDistributionCosts,2008FY,,CY</t>
  </si>
  <si>
    <t>SYMC.O,mstag:shortTermBorrowings,2011Q4,,CY</t>
  </si>
  <si>
    <t>MKTG.O,mstag:marketingAndDistributionCosts,2009Q4,,CY</t>
  </si>
  <si>
    <t>N.N,mscalc:operatingRevenueForConsensus,2013FY,,CY</t>
  </si>
  <si>
    <t>ADP.O,mscalc:operatingRevenueForConsensus,2008FY,,CY</t>
  </si>
  <si>
    <t>NFLX.O,mscalc:operatingRevenueForConsensus,2007FY,,CY</t>
  </si>
  <si>
    <t>RHT.N,mstag:researchAndDevelopment,2013Q3,,CY</t>
  </si>
  <si>
    <t>N.N,mstag:costOfSalesWithDepreciation,2009Q2,,CY</t>
  </si>
  <si>
    <t>GUID.O,mstag:researchAndDevelopment,2010Q3,,CY</t>
  </si>
  <si>
    <t>ORCL.O,mscalc:generalAndAdministrativeExpensesCalc,2008Q2,,CY</t>
  </si>
  <si>
    <t>VMW.N,mscalc:epsForConsensusForThomsonFeed,2009Q2,,CY</t>
  </si>
  <si>
    <t>MSFT.O,mscalc:yearEndMonth</t>
  </si>
  <si>
    <t>VMW.N,mstag:researchAndDevelopment,2012Q4,,CY</t>
  </si>
  <si>
    <t>N.N,mscalc:generalAndAdministrativeExpensesCalc,2011Q4,,CY</t>
  </si>
  <si>
    <t>N.N,mstag:researchAndDevelopment,2013Q4,,CY</t>
  </si>
  <si>
    <t>CHKP.O,mstag:researchAndDevelopment,2013FY,,CY</t>
  </si>
  <si>
    <t>FTNT.O,mstag:marketingAndDistributionCosts,2012Q4,,CY</t>
  </si>
  <si>
    <t>MSFT.O,mscalc:generalAndAdministrativeExpensesCalc,2011Q1,,CY</t>
  </si>
  <si>
    <t>RHT.N,mstag:otherOperatingExpenseChild,2013FY,,CY</t>
  </si>
  <si>
    <t>FIRE.O,mstag:marketingAndDistributionCosts,2011Q4,,CY</t>
  </si>
  <si>
    <t>GUID.O,mscalc:generalAndAdministrativeExpensesCalc,2010Q4,,CY</t>
  </si>
  <si>
    <t>GUID.O,mstag:marketingAndDistributionCosts,2013Q1,,CY</t>
  </si>
  <si>
    <t>AKAM.O,mscalc:generalAndAdministrativeExpensesCalc,2009FY,,CY</t>
  </si>
  <si>
    <t>EBAY.O,mscalc:operatingRevenueForConsensus,2013FY,,CY</t>
  </si>
  <si>
    <t>QLIK.O,mstag:marketingAndDistributionCosts,2011Q2,,CY</t>
  </si>
  <si>
    <t>SREV.O,mstag:marketingAndDistributionCosts,2008FY,,CY</t>
  </si>
  <si>
    <t>LNKD.N,mscalc:operatingRevenueForConsensus,2010FY,,CY</t>
  </si>
  <si>
    <t>DMAN.O,mstag:costOfSalesWithDepreciation,2012Q1,,CY</t>
  </si>
  <si>
    <t>ADBE.O,mscalc:epsForConsensusForThomsonFeed,2012Q1,,CY</t>
  </si>
  <si>
    <t>N.N,mstag:researchAndDevelopment,2012Q2,,CY</t>
  </si>
  <si>
    <t>SWI.N,mstag:researchAndDevelopment,2012Q4,,CY</t>
  </si>
  <si>
    <t>MSFT.O,mstag:researchAndDevelopment,2008Q4,,CY</t>
  </si>
  <si>
    <t>DELL.O,mscalc:operatingRevenueForConsensus,2012FY,,CY</t>
  </si>
  <si>
    <t>ADBE.O,mscalc:epsForConsensusForThomsonFeed,2010Q1,,CY</t>
  </si>
  <si>
    <t>WBSN.O,mstag:marketingAndDistributionCosts,2012Q3,,CY</t>
  </si>
  <si>
    <t>ADBE.O,mscalc:generalAndAdministrativeExpensesCalc,2008Q1,,CY</t>
  </si>
  <si>
    <t>QLIK.O,mstag:researchAndDevelopment,2011FY,,CY</t>
  </si>
  <si>
    <t>SAPG.DE,mscalc:dilutedEarningsPerShare,2010FY,,CY</t>
  </si>
  <si>
    <t>JIVE.O,mscalc:epsForConsensusForThomsonFeed,2013FY,,CY</t>
  </si>
  <si>
    <t>CHKP.O,mstag:longTermInvestmentsNonOperating,2011Q4,,CY</t>
  </si>
  <si>
    <t>AMD.N,msuser:cmAUPLEBITDA20060530T0035524245,2009FY,,CY</t>
  </si>
  <si>
    <t>CTXS.O,mstag:revenueNet,2013Q1,,CY</t>
  </si>
  <si>
    <t>AAPL.O,mscalc:operatingRevenueForConsensus,2013FY,,CY</t>
  </si>
  <si>
    <t>CRM.N,mstag:researchAndDevelopment,2013Q3,,CY</t>
  </si>
  <si>
    <t>SREV.O,mstag:otherOperatingExpenseChild,2009FY,,CY</t>
  </si>
  <si>
    <t>TXN.N,mscalc:operatingRevenueForConsensus,2007FY,,CY</t>
  </si>
  <si>
    <t>SREV.O,mstag:costOfSalesWithDepreciation,2010Q2,,CY</t>
  </si>
  <si>
    <t>QLIK.O,mstag:costOfSalesWithDepreciation,2011FY,,CY</t>
  </si>
  <si>
    <t>FIRE.O,mstag:costOfSalesWithoutDepreciation,2010FY,,CY</t>
  </si>
  <si>
    <t>SFSF.N,mstag:companyReportedRevenue,2009Q1,,CY</t>
  </si>
  <si>
    <t>FIRE.O,mstag:costOfSalesWithoutDepreciation,2009Q1,,CY</t>
  </si>
  <si>
    <t>SAPG.DE,mstag:cashAndCashEquivalents,2011Q3,,CY</t>
  </si>
  <si>
    <t>JNPR.N,mscalc:yearEndMonth</t>
  </si>
  <si>
    <t>SFSF.N,mstag:companyReportedRevenue,2010Q3,,CY</t>
  </si>
  <si>
    <t>AMD.N,msuser:cmAUPLEBITDA20060530T0035524245,2008FY,,CY</t>
  </si>
  <si>
    <t>SREV.O,mstag:costOfSalesWithDepreciation,2013Q2,,CY</t>
  </si>
  <si>
    <t>DMAN.O,mscalc:epsForConsensusForThomsonFeed,2013Q3,,CY</t>
  </si>
  <si>
    <t>WBSN.O,mstag:researchAndDevelopment,2009FY,,CY</t>
  </si>
  <si>
    <t>ORCL.O,mscalc:epsForConsensusForThomsonFeed,2007FY,,CY</t>
  </si>
  <si>
    <t>CTXS.O,mstag:marketingCosts,2010Q2,,CY</t>
  </si>
  <si>
    <t>SFSF.N,mscalc:generalAndAdministrativeExpensesCalc,2008Q4,,CY</t>
  </si>
  <si>
    <t>Prepaid Expenses and Other Current Assets</t>
  </si>
  <si>
    <t>Litigation and related interest accrual reversal</t>
  </si>
  <si>
    <t>Reversal of restructuring charge, net</t>
  </si>
  <si>
    <t>Net gain on disposition of business unit</t>
  </si>
  <si>
    <t>Net gain on sale of investment</t>
  </si>
  <si>
    <t>7/06</t>
  </si>
  <si>
    <t>4/07</t>
  </si>
  <si>
    <t>Total Deferred Revenue</t>
  </si>
  <si>
    <t>Total Current Liabilities</t>
  </si>
  <si>
    <t>Total Liabilities</t>
  </si>
  <si>
    <t xml:space="preserve">          Q/Q growth</t>
  </si>
  <si>
    <t xml:space="preserve">          Y/Y growth</t>
  </si>
  <si>
    <t xml:space="preserve">Goodwill </t>
  </si>
  <si>
    <t>N.N,mscalc:generalAndAdministrativeExpensesCalc,2011Q3,,CY</t>
  </si>
  <si>
    <t>MKTG.O,mscalc:generalAndAdministrativeExpensesCalc,2007FY,,CY</t>
  </si>
  <si>
    <t>RNOW.O,mstag:costOfSalesWithDepreciation,2009Q4,,CY</t>
  </si>
  <si>
    <t>GUID.O,mstag:researchAndDevelopment,2013Q2,,CY</t>
  </si>
  <si>
    <t>INTU.O,mscalc:epsForConsensusForThomsonFeed,2008Q2,,CY</t>
  </si>
  <si>
    <t>FIRE.O,mscalc:generalAndAdministrativeExpensesCalc,2011Q4,,CY</t>
  </si>
  <si>
    <t>WBSN.O,mstag:marketingAndDistributionCosts,2009Q1,,CY</t>
  </si>
  <si>
    <t>GUID.O,mstag:marketingAndDistributionCosts,2008Q3,,CY</t>
  </si>
  <si>
    <t>IL.N,mscalc:generalAndAdministrativeExpensesCalc,2012Q1,,CY</t>
  </si>
  <si>
    <t>SREV.O,mscalc:generalAndAdministrativeExpensesCalc,2011Q4,,CY</t>
  </si>
  <si>
    <t>SFSF.N,mscalc:generalAndAdministrativeExpensesCalc,2010Q1,,CY</t>
  </si>
  <si>
    <t>GUID.O,mstag:revenueNet,2010Q4,,CY</t>
  </si>
  <si>
    <t>SREV.O,mstag:researchAndDevelopment,2010Q1,,CY</t>
  </si>
  <si>
    <t>RNOW.O,mstag:marketingAndDistributionCosts,2009Q4,,CY</t>
  </si>
  <si>
    <t>INTU.O,mscalc:generalAndAdministrativeExpensesCalc,2008FY,,CY</t>
  </si>
  <si>
    <t>DMAN.O,mscalc:epsForConsensusForThomsonFeed,2013Q1,,CY</t>
  </si>
  <si>
    <t>INTU.O,mstag:marketingAndDistributionCosts,2011Q2,,CY</t>
  </si>
  <si>
    <t>N.N,mscalc:epsForConsensusForThomsonFeed,2008Q1,,CY</t>
  </si>
  <si>
    <t>TLEO.O,mstag:costOfSalesWithDepreciation,2011FY,,CY</t>
  </si>
  <si>
    <t>ADBE.O,mstag:otherLongTermDebtCi,2011Q4,,CY</t>
  </si>
  <si>
    <t>FY19e</t>
  </si>
  <si>
    <t>FY20e</t>
  </si>
  <si>
    <t>FY21e</t>
  </si>
  <si>
    <t>FY22e</t>
  </si>
  <si>
    <t>FY23e</t>
  </si>
  <si>
    <t>YoY growth</t>
  </si>
  <si>
    <t>FY16</t>
  </si>
  <si>
    <t>renewal billings</t>
  </si>
  <si>
    <t>new billings</t>
  </si>
  <si>
    <t>year 1</t>
  </si>
  <si>
    <t>year 2</t>
  </si>
  <si>
    <t>year 3</t>
  </si>
  <si>
    <t>Recurring Revenue</t>
  </si>
  <si>
    <t>EBT</t>
  </si>
  <si>
    <t>IL.N,mstag:costOfSalesWithDepreciation,2010Q2,,CY</t>
  </si>
  <si>
    <t>QLIK.O,mstag:revenueNet,2010Q2,,CY</t>
  </si>
  <si>
    <t>FIRE.O,mstag:researchAndDevelopment,2010Q1,,CY</t>
  </si>
  <si>
    <t>IL.N,mstag:researchAndDevelopment,2013FY,,CY</t>
  </si>
  <si>
    <t>IL.N,mstag:otherOperatingExpenseChild,2008FY,,CY</t>
  </si>
  <si>
    <t>MSFT.O,mstag:researchAndDevelopment,2012Q1,,CY</t>
  </si>
  <si>
    <t>ADSK.O,mstag:researchAndDevelopment,2008Q4,,CY</t>
  </si>
  <si>
    <t>MSFT.O,mstag:otherOperatingExpenseChild,2009FY,,CY</t>
  </si>
  <si>
    <t>TLEO.O,mstag:marketingAndDistributionCosts,2012Q4,,CY</t>
  </si>
  <si>
    <t>FIRE.O,mscalc:operatingRevenueForConsensus,2011FY,,CY</t>
  </si>
  <si>
    <t>INTU.O,mstag:otherOperatingExpenseChild,2012FY,,CY</t>
  </si>
  <si>
    <t>ADSK.O,mscalc:generalAndAdministrativeExpensesCalc,2012Q1,,CY</t>
  </si>
  <si>
    <t>GUID.O,mstag:costOfSalesWithoutDepreciation,2012Q4,,CY</t>
  </si>
  <si>
    <t>NFLX.O,mscalc:operatingRevenueForConsensus,2009FY,,CY</t>
  </si>
  <si>
    <t>RNOW.O,mstag:marketingAndDistributionCosts,2008Q2,,CY</t>
  </si>
  <si>
    <t>INTU.O,mstag:revenueNet,2011Q4,,CY</t>
  </si>
  <si>
    <t>MKTG.O,mstag:revenueNet,2011Q4,,CY</t>
  </si>
  <si>
    <t>FIRE.O,mstag:costOfSalesWithoutDepreciation,2012Q3,,CY</t>
  </si>
  <si>
    <t>RHT.N,mscalc:epsForConsensusForThomsonFeed,2009Q4,,CY</t>
  </si>
  <si>
    <t>TLEO.O,mscalc:generalAndAdministrativeExpensesCalc,2008Q1,,CY</t>
  </si>
  <si>
    <t>TLEO.O,mscalc:operatingRevenueForConsensus,2011FY,,CY</t>
  </si>
  <si>
    <t>SREV.O,mscalc:epsForConsensusForThomsonFeed,2013Q1,,CY</t>
  </si>
  <si>
    <t>SREV.O,mscalc:yearEndMonth</t>
  </si>
  <si>
    <t>GUID.O,mstag:marketingAndDistributionCosts,2008Q4,,CY</t>
  </si>
  <si>
    <t>MKTG.O,mscalc:operatingRevenueForConsensus,2013FY,,CY</t>
  </si>
  <si>
    <t>RHT.N,mscalc:generalAndAdministrativeExpensesCalc,2011Q4,,CY</t>
  </si>
  <si>
    <t>FIRE.O,mscalc:epsForConsensusForThomsonFeed,2010FY,,CY</t>
  </si>
  <si>
    <t>AMD.N,msuser:cmAUPLEBITDA20060530T0035524245,2011FY,,CY</t>
  </si>
  <si>
    <t>AKAM.O,mscalc:generalAndAdministrativeExpensesCalc,2010Q1,,CY</t>
  </si>
  <si>
    <t>GRPN.O,mscalc:operatingRevenueForConsensus,2008FY,,CY</t>
  </si>
  <si>
    <t>VMW.N,mstag:sellingGeneralAndAdministrativeExpenses,2013Q2,,CY</t>
  </si>
  <si>
    <t>CTXS.O,mscalc:epsForConsensusForThomsonFeed,2012Q3,,CY</t>
  </si>
  <si>
    <t>SWI.N,mstag:longTermInvestmentsNonOperating,2011Q3,,CY</t>
  </si>
  <si>
    <t>FIRE.O,mstag:revenueNet,2011Q2,,CY</t>
  </si>
  <si>
    <t>DMAN.O,mscalc:epsForConsensusForThomsonFeed,2013Q4,,CY</t>
  </si>
  <si>
    <t>SFSF.N,mscalc:generalAndAdministrativeExpensesCalc,2010Q4,,CY</t>
  </si>
  <si>
    <t>FTNT.O,mstag:revenueNet,2012Q3,,CY</t>
  </si>
  <si>
    <t>IL.N,mstag:marketingAndDistributionCosts,2009Q2,,CY</t>
  </si>
  <si>
    <t>RNOW.O,mscalc:generalAndAdministrativeExpensesCalc,2008Q4,,CY</t>
  </si>
  <si>
    <t>FISV.O,msuser:cmAUPLEBITDA20060530T0035524245,2009FY,,CY</t>
  </si>
  <si>
    <t>ORCL.O,mscalc:generalAndAdministrativeExpensesCalc,2011FY,,CY</t>
  </si>
  <si>
    <t>MKTG.O,mscalc:epsForConsensusForThomsonFeed,2010Q2,,CY</t>
  </si>
  <si>
    <t>SREV.O,mstag:marketingAndDistributionCosts,2013FY,,CY</t>
  </si>
  <si>
    <t>CTXS.O,mstag:sellingGeneralAndAdministrativeExpenses,2010FY,,CY</t>
  </si>
  <si>
    <t>CHKP.O,mstag:revenueNet,2012Q4,,CY</t>
  </si>
  <si>
    <t>AMAT.O,mscalc:operatingRevenueForConsensus,2010FY,,CY</t>
  </si>
  <si>
    <t>IL.N,mstag:marketingAndDistributionCosts,2008Q4,,CY</t>
  </si>
  <si>
    <t>QLIK.O,mstag:researchAndDevelopment,2007FY,,CY</t>
  </si>
  <si>
    <t>MKTG.O,mstag:otherOperatingExpenseChild,2012FY,,CY</t>
  </si>
  <si>
    <t>AKAM.O,mscalc:epsForConsensusForThomsonFeed,2011Q2,,CY</t>
  </si>
  <si>
    <t>ADSK.O,mstag:otherOperatingExpenseChild,2010FY,,CY</t>
  </si>
  <si>
    <t>CRM.N,mscalc:generalAndAdministrativeExpensesCalc,2013Q1,,CY</t>
  </si>
  <si>
    <t>LNKD.N,mscalc:epsForConsensusForThomsonFeed,2011FY,,CY</t>
  </si>
  <si>
    <t>ADP.O,mscalc:dilutedEarningsPerShare,2009FY,,CY</t>
  </si>
  <si>
    <t>JIVE.O,mstag:researchAndDevelopment,2007FY,,CY</t>
  </si>
  <si>
    <t>ORCL.O,mstag:revenueNet,2008Q4,,CY</t>
  </si>
  <si>
    <t>ADSK.O,mstag:otherOperatingExpenseChild,2012FY,,CY</t>
  </si>
  <si>
    <t>CRM.N,mscalc:generalAndAdministrativeExpensesCalc,2010Q4,,CY</t>
  </si>
  <si>
    <t>P.N,msuser:cmAUPLEBITDA20060530T0035524245,2013FY,,CY</t>
  </si>
  <si>
    <t>AKAM.O,mstag:marketingAndDistributionCosts,2009Q2,,CY</t>
  </si>
  <si>
    <t>JIVE.O,mstag:researchAndDevelopment,2009FY,,CY</t>
  </si>
  <si>
    <t>DMAN.O,mscalc:epsForConsensusForThomsonFeed,2011Q4,,CY</t>
  </si>
  <si>
    <t>SYMC.O,mscalc:epsForConsensusForThomsonFeed,2011Q4,,CY</t>
  </si>
  <si>
    <t>IL.N,mstag:researchAndDevelopment,2010Q3,,CY</t>
  </si>
  <si>
    <t>MSFT.O,mscalc:generalAndAdministrativeExpensesCalc,2008FY,,CY</t>
  </si>
  <si>
    <t>AKAM.O,mstag:costOfSalesWithDepreciation,2010Q1,,CY</t>
  </si>
  <si>
    <t>DMAN.O,mstag:revenueNet,2008Q4,,CY</t>
  </si>
  <si>
    <t>IL.N,mstag:researchAndDevelopment,2011Q1,,CY</t>
  </si>
  <si>
    <t>SREV.O,mstag:costOfSalesWithDepreciation,2008Q2,,CY</t>
  </si>
  <si>
    <t>CHKP.O,mstag:researchAndDevelopment,2012Q1,,CY</t>
  </si>
  <si>
    <t>CRM.N,mstag:researchAndDevelopment,2008Q3,,CY</t>
  </si>
  <si>
    <t>MKTG.O,mscalc:epsForConsensusForThomsonFeed,2008FY,,CY</t>
  </si>
  <si>
    <t>VMW.N,mscalc:epsForConsensusForThomsonFeed,2010Q1,,CY</t>
  </si>
  <si>
    <t>TLEO.O,mscalc:epsForConsensusForThomsonFeed,2007FY,,CY</t>
  </si>
  <si>
    <t>RHT.N,mscalc:epsForConsensusForThomsonFeed,2013Q3,,CY</t>
  </si>
  <si>
    <t>FTNT.O,mstag:researchAndDevelopment,2011Q4,,CY</t>
  </si>
  <si>
    <t>SFSF.N,mscalc:epsForConsensusForThomsonFeed,2013Q4,,CY</t>
  </si>
  <si>
    <t>CTXS.O,mscalc:epsForConsensusForThomsonFeed,2011FY,,CY</t>
  </si>
  <si>
    <t>FTNT.O,mscalc:generalAndAdministrativeExpensesCalc,2012Q3,,CY</t>
  </si>
  <si>
    <t>P.N,mscalc:stockRating</t>
  </si>
  <si>
    <t>QLIK.O,mstag:costOfSalesWithDepreciation,2008Q4,,CY</t>
  </si>
  <si>
    <t>TXN.N,mscalc:epsForConsensusForThomsonFeed,2013FY,,CY</t>
  </si>
  <si>
    <t>TLEO.O,mstag:researchAndDevelopment,2009Q1,,CY</t>
  </si>
  <si>
    <t>ADSK.O,mscalc:yearEndMonth</t>
  </si>
  <si>
    <t>SWI.N,mscalc:epsForConsensusForThomsonFeed,2009Q2,,CY</t>
  </si>
  <si>
    <t>AKAM.O,mstag:costOfSalesWithDepreciation,2011Q1,,CY</t>
  </si>
  <si>
    <t>SAPG.DE,mscalc:generalAndAdministrativeExpensesCalc,2008FY,,CY</t>
  </si>
  <si>
    <t>Upgrade</t>
  </si>
  <si>
    <t>Subscription</t>
  </si>
  <si>
    <t>FY09</t>
  </si>
  <si>
    <t>FY10</t>
  </si>
  <si>
    <t>TXN.N,mscalc:dilutedEarningsPerShare,2007FY,,CY</t>
  </si>
  <si>
    <t>GUID.O,mscalc:generalAndAdministrativeExpensesCalc,2008Q3,,CY</t>
  </si>
  <si>
    <t>ADSK.O,mstag:revenueNet,2013Q3,,CY</t>
  </si>
  <si>
    <t>GUID.O,mscalc:epsForConsensusForThomsonFeed,2009Q3,,CY</t>
  </si>
  <si>
    <t>ORCL.O,mstag:researchAndDevelopment,2009Q2,,CY</t>
  </si>
  <si>
    <t>TLEO.O,mstag:revenueNet,2009Q3,,CY</t>
  </si>
  <si>
    <t>JNPR.N,mscalc:operatingRevenueForConsensus,2010FY,,CY</t>
  </si>
  <si>
    <t>3Q09</t>
  </si>
  <si>
    <t>Shares Issued, net</t>
  </si>
  <si>
    <t xml:space="preserve">         Average Share Price for FY</t>
  </si>
  <si>
    <t>Total AutoCAD Installed Base (000's)</t>
  </si>
  <si>
    <t>Less: Accumulated Amortization</t>
  </si>
  <si>
    <t>Future Amortization of Purchased Technologies and Capitalized Software</t>
  </si>
  <si>
    <t>Stock-Based Compensation Expense</t>
  </si>
  <si>
    <t>Restructuring Related Charges, Net</t>
  </si>
  <si>
    <t>Accounts Payable and Accrued Liabilities</t>
  </si>
  <si>
    <t>VRSN.O,mscalc:generalAndAdministrativeExpensesCalc,2010FY,,CY</t>
  </si>
  <si>
    <t>NFLX.O,mscalc:epsForConsensusForThomsonFeed,2008FY,,CY</t>
  </si>
  <si>
    <t>CHKP.O,mstag:revenueNet,2009Q3,,CY</t>
  </si>
  <si>
    <t>INTU.O,mstag:revenueNet,2009Q2,,CY</t>
  </si>
  <si>
    <t>AAPL.O,mscalc:operatingRevenueForConsensus,2012FY,,CY</t>
  </si>
  <si>
    <t>INTU.O,mstag:shortTermInvestments,2011Q3,,CY</t>
  </si>
  <si>
    <t>RHT.N,mstag:costOfSalesWithDepreciation,2009Q1,,CY</t>
  </si>
  <si>
    <t>MKTG.O,mstag:otherOperatingExpenseChild,2013FY,,CY</t>
  </si>
  <si>
    <t>SYMC.O,mstag:revenueNet,2012Q4,,CY</t>
  </si>
  <si>
    <t>MKTG.O,mstag:revenueNet,2013Q2,,CY</t>
  </si>
  <si>
    <t>RNOW.O,mstag:researchAndDevelopment,2008Q1,,CY</t>
  </si>
  <si>
    <t>RHT.N,mstag:costOfSalesWithDepreciation,2011FY,,CY</t>
  </si>
  <si>
    <t>SYMC.O,mstag:revenueNet,2013Q1,,CY</t>
  </si>
  <si>
    <t>SREV.O,mstag:costOfSalesWithDepreciation,2012Q1,,CY</t>
  </si>
  <si>
    <t>ORCL.O,mstag:researchAndDevelopment,2012Q4,,CY</t>
  </si>
  <si>
    <t>SYMC.O,mscalc:epsForConsensusForThomsonFeed,2007FY,,CY</t>
  </si>
  <si>
    <t>HPQ.N,mscalc:dilutedEarningsPerShare,2009FY,,CY</t>
  </si>
  <si>
    <t>AKAM.O,mscalc:stockRating</t>
  </si>
  <si>
    <t>SWI.N,mstag:otherOperatingExpenseChild,2010FY,,CY</t>
  </si>
  <si>
    <t>AKAM.O,mstag:marketingAndDistributionCosts,2011Q4,,CY</t>
  </si>
  <si>
    <t>N.N,mstag:marketingAndDistributionCosts,2013Q1,,CY</t>
  </si>
  <si>
    <t>ADSK.O,mstag:revenueNet,2012Q2,,CY</t>
  </si>
  <si>
    <t>N.N,mstag:researchAndDevelopment,2010Q2,,CY</t>
  </si>
  <si>
    <t>N.N,mscalc:epsForConsensusForThomsonFeed,2013Q3,,CY</t>
  </si>
  <si>
    <t>CTXS.O,mstag:sellingGeneralAndAdministrativeExpenses,2009Q1,,CY</t>
  </si>
  <si>
    <t>NA,mscalc:epsForConsensusForThomsonFeed,2008FY,,CY</t>
  </si>
  <si>
    <t>TLEO.O,mstag:marketingAndDistributionCosts,2010FY,,CY</t>
  </si>
  <si>
    <t>SREV.O,mstag:revenueNet,2011Q1,,CY</t>
  </si>
  <si>
    <t>IL.N,mstag:revenueNet,2011Q1,,CY</t>
  </si>
  <si>
    <t>QLIK.O,mscalc:epsForConsensusForThomsonFeed,2013FY,,CY</t>
  </si>
  <si>
    <t>GUID.O,mstag:costOfSalesWithoutDepreciation,2012Q1,,CY</t>
  </si>
  <si>
    <t>RNOW.O,mscalc:generalAndAdministrativeExpensesCalc,2013Q2,,CY</t>
  </si>
  <si>
    <t>ADSK.O,mstag:researchAndDevelopment,2013Q2,,CY</t>
  </si>
  <si>
    <t>TXN.N,msuser:cmAUPLEBITDA20060530T0035524245,2013FY,,CY</t>
  </si>
  <si>
    <t>MSFT.O,mstag:costOfSalesWithDepreciation,2010Q1,,CY</t>
  </si>
  <si>
    <t>SREV.O,mscalc:epsForConsensusForThomsonFeed,2012Q1,,CY</t>
  </si>
  <si>
    <t>FTNT.O,mscalc:generalAndAdministrativeExpensesCalc,2008Q2,,CY</t>
  </si>
  <si>
    <t>TLEO.O,mstag:costOfSalesWithDepreciation,2010Q4,,CY</t>
  </si>
  <si>
    <t>FISV.O,msuser:cmAUPLEBITDA20060530T0035524245,2008FY,,CY</t>
  </si>
  <si>
    <t>CNQR.O,mscalc:operatingRevenueForConsensus,2011FY,,CY</t>
  </si>
  <si>
    <t>JIVE.O,mstag:researchAndDevelopment,2012FY,,CY</t>
  </si>
  <si>
    <t>MSFT.O,mstag:researchAndDevelopment,2008FY,,CY</t>
  </si>
  <si>
    <t>ADSK.O,mstag:researchAndDevelopment,2011Q3,,CY</t>
  </si>
  <si>
    <t>Exercisable Options Outstanding</t>
  </si>
  <si>
    <t>% of Period Ending Basic Sharecount</t>
  </si>
  <si>
    <t>SYMC.O,mstag:averageDilutedSharesOutstanding,2011Q4,,CY</t>
  </si>
  <si>
    <t>SWI.N,mscalc:generalAndAdministrativeExpensesCalc,2012Q2,,CY</t>
  </si>
  <si>
    <t>FTNT.O,mstag:otherOperatingExpenseChild,2010FY,,CY</t>
  </si>
  <si>
    <t>ADSK.O,mscalc:epsForConsensusForThomsonFeed,2013Q4,,CY</t>
  </si>
  <si>
    <t>ADSK.O,mstag:costOfSalesWithDepreciation,2008FY,,CY</t>
  </si>
  <si>
    <t>IL.N,mstag:researchAndDevelopment,2009FY,,CY</t>
  </si>
  <si>
    <t>CTXS.O,mscalc:operatingRevenueForConsensus,2013FY,,CY</t>
  </si>
  <si>
    <t>QLIK.O,mstag:revenueNet,2013Q4,,CY</t>
  </si>
  <si>
    <t>DMAN.O,mstag:costOfSalesWithDepreciation,2011Q4,,CY</t>
  </si>
  <si>
    <t>INTU.O,mscalc:epsForConsensusForThomsonFeed,2011Q3,,CY</t>
  </si>
  <si>
    <t>LNKD.N,msuser:cmAUPLEBITDA20060530T0035524245,2012FY,,CY</t>
  </si>
  <si>
    <t>MSFT.O,mstag:marketingAndDistributionCosts,2013Q3,,CY</t>
  </si>
  <si>
    <t>WBSN.O,mstag:researchAndDevelopment,2010FY,,CY</t>
  </si>
  <si>
    <t>SYMC.O,mscalc:generalAndAdministrativeExpensesCalc,2010Q2,,CY</t>
  </si>
  <si>
    <t>TLEO.O,mstag:otherOperatingExpenseChild,2010FY,,CY</t>
  </si>
  <si>
    <t>SYMC.O,mscalc:epsForConsensusForThomsonFeed,2010Q3,,CY</t>
  </si>
  <si>
    <t>N.N,mstag:marketingAndDistributionCosts,2007FY,,CY</t>
  </si>
  <si>
    <t>CHKP.O,mscalc:generalAndAdministrativeExpensesCalc,2013Q3,,CY</t>
  </si>
  <si>
    <t>N.N,mstag:marketingAndDistributionCosts,2011Q3,,CY</t>
  </si>
  <si>
    <t>CRM.N,mscalc:generalAndAdministrativeExpensesCalc,2011Q3,,CY</t>
  </si>
  <si>
    <t>GUID.O,mstag:marketingAndDistributionCosts,2009Q3,,CY</t>
  </si>
  <si>
    <t>ADBE.O,mstag:costOfSalesWithDepreciation,2008Q3,,CY</t>
  </si>
  <si>
    <t>FTNT.O,mstag:researchAndDevelopment,2010Q2,,CY</t>
  </si>
  <si>
    <t>ZNGA.O,mscalc:epsForConsensusForThomsonFeed,2011FY,,CY</t>
  </si>
  <si>
    <t>MKTG.O,mscalc:generalAndAdministrativeExpensesCalc,2009Q1,,CY</t>
  </si>
  <si>
    <t>SYMC.O,mstag:costOfSalesWithDepreciation,2008Q2,,CY</t>
  </si>
  <si>
    <t>RNOW.O,mstag:costOfSalesWithDepreciation,2013Q1,,CY</t>
  </si>
  <si>
    <t>JNPR.N,msuser:cmAUPLEBITDA20060530T0035524245,2013FY,,CY</t>
  </si>
  <si>
    <t>RHT.N,mstag:marketingAndDistributionCosts,2010Q4,,CY</t>
  </si>
  <si>
    <t>CRM.N,mscalc:operatingRevenueForConsensus,2009FY,,CY</t>
  </si>
  <si>
    <t>WBSN.O,mscalc:epsForConsensusForThomsonFeed,2011Q2,,CY</t>
  </si>
  <si>
    <t>MKTG.O,mstag:researchAndDevelopment,2012Q4,,CY</t>
  </si>
  <si>
    <t>MSFT.O,mstag:costOfSalesWithDepreciation,2009Q3,,CY</t>
  </si>
  <si>
    <t>N.N,mstag:revenueNet,2013Q4,,CY</t>
  </si>
  <si>
    <t>SREV.O,mstag:revenueNet,2008Q2,,CY</t>
  </si>
  <si>
    <t>ORCL.O,mstag:costOfSalesWithDepreciation,2009FY,,CY</t>
  </si>
  <si>
    <t>AKAM.O,mstag:marketingAndDistributionCosts,2008Q2,,CY</t>
  </si>
  <si>
    <t>GUID.O,mstag:researchAndDevelopment,2013Q1,,CY</t>
  </si>
  <si>
    <t>VMW.N,mstag:sellingGeneralAndAdministrativeExpenses,2012Q4,,CY</t>
  </si>
  <si>
    <t>CRM.N,mstag:researchAndDevelopment,2011FY,,CY</t>
  </si>
  <si>
    <t>WBSN.O,mstag:marketingAndDistributionCosts,2008Q4,,CY</t>
  </si>
  <si>
    <t>SYMC.O,mstag:costOfSalesWithDepreciation,2010FY,,CY</t>
  </si>
  <si>
    <t>AAPL.O,msuser:cmAUPLEBITDA20060530T0035524245,2007FY,,CY</t>
  </si>
  <si>
    <t>FIRE.O,mscalc:epsForConsensusForThomsonFeed,2009Q1,,CY</t>
  </si>
  <si>
    <t>SFSF.N,mstag:companyReportedRevenue,2012Q3,,CY</t>
  </si>
  <si>
    <t>SREV.O,mstag:marketingAndDistributionCosts,2012FY,,CY</t>
  </si>
  <si>
    <t>ADBE.O,mstag:costOfSalesWithDepreciation,2009Q3,,CY</t>
  </si>
  <si>
    <t>TLEO.O,mstag:marketingAndDistributionCosts,2008Q4,,CY</t>
  </si>
  <si>
    <t>GUID.O,mstag:revenueNet,2010Q3,,CY</t>
  </si>
  <si>
    <t>SYMC.O,mstag:revenueNet,2013Q3,,CY</t>
  </si>
  <si>
    <t>GUID.O,mscalc:epsForConsensusForThomsonFeed,2010Q4,,CY</t>
  </si>
  <si>
    <t>SFSF.N,mscalc:generalAndAdministrativeExpensesCalc,2010Q2,,CY</t>
  </si>
  <si>
    <t>NA,mstag:otherOperatingExpenseChild,2012FY,,CY</t>
  </si>
  <si>
    <t>CRM.N,mstag:marketingAndDistributionCosts,2012Q4,,CY</t>
  </si>
  <si>
    <t>ORCL.O,mstag:costOfSalesWithDepreciation,2013Q2,,CY</t>
  </si>
  <si>
    <t>VRSN.O,mstag:otherOperatingExpenseChild,2011FY,,CY</t>
  </si>
  <si>
    <t>FIRE.O,mscalc:epsForConsensusForThomsonFeed,2012Q2,,CY</t>
  </si>
  <si>
    <t>ADSK.O,mstag:marketingAndDistributionCosts,2011Q2,,CY</t>
  </si>
  <si>
    <t>MKTG.O,mscalc:operatingRevenueForConsensus,2011FY,,CY</t>
  </si>
  <si>
    <t>QLIK.O,mscalc:epsForConsensusForThomsonFeed,2011Q1,,CY</t>
  </si>
  <si>
    <t>SWI.N,mstag:marketingAndDistributionCosts,2013FY,,CY</t>
  </si>
  <si>
    <t>N.N,mstag:longTermDebt,2011Q4,,CY</t>
  </si>
  <si>
    <t>MKTG.O,mscalc:generalAndAdministrativeExpensesCalc,2012Q3,,CY</t>
  </si>
  <si>
    <t>GUID.O,mscalc:generalAndAdministrativeExpensesCalc,2008Q4,,CY</t>
  </si>
  <si>
    <t>CTXS.O,mstag:costOfSalesWithDepreciation,2009Q1,,CY</t>
  </si>
  <si>
    <t>,mscalc:epsForConsensusForThomsonFeed,2007FY,,CY</t>
  </si>
  <si>
    <t>SWI.N,mstag:researchAndDevelopment,2011FY,,CY</t>
  </si>
  <si>
    <t>DMAN.O,mscalc:generalAndAdministrativeExpensesCalc,2011Q1,,CY</t>
  </si>
  <si>
    <t>SYMC.O,mstag:costOfSalesWithDepreciation,2009Q4,,CY</t>
  </si>
  <si>
    <t>RHT.N,mstag:otherOperatingExpenseChild,2007FY,,CY</t>
  </si>
  <si>
    <t>FIRE.O,mstag:costOfSalesWithoutDepreciation,2011Q1,,CY</t>
  </si>
  <si>
    <t>WBSN.O,mscalc:generalAndAdministrativeExpensesCalc,2011Q4,,CY</t>
  </si>
  <si>
    <t>SREV.O,mstag:revenueNet,2008Q3,,CY</t>
  </si>
  <si>
    <t>ORCL.O,mstag:costOfSalesWithDepreciation,2012Q2,,CY</t>
  </si>
  <si>
    <t>AKAM.O,mstag:revenueNet,2010Q3,,CY</t>
  </si>
  <si>
    <t>MKTG.O,mstag:revenueNet,2013Q4,,CY</t>
  </si>
  <si>
    <t>SWI.N,mstag:costOfSalesWithDepreciation,2012Q1,,CY</t>
  </si>
  <si>
    <t>GRPN.O,msuser:cmAUPLEBITDA20060530T0035524245,2011FY,,CY</t>
  </si>
  <si>
    <t>ADBE.O,mstag:researchAndDevelopment,2009Q1,,CY</t>
  </si>
  <si>
    <t>HRB.N,mscalc:operatingRevenueForConsensus,2012FY,,CY</t>
  </si>
  <si>
    <t>CRM.N,mstag:revenueNet,2009Q3,,CY</t>
  </si>
  <si>
    <t>CHKP.O,mstag:researchAndDevelopment,2008Q4,,CY</t>
  </si>
  <si>
    <t>RNOW.O,mstag:marketingAndDistributionCosts,2011Q2,,CY</t>
  </si>
  <si>
    <t>SFSF.N,mscalc:epsForConsensusForThomsonFeed,2011Q3,,CY</t>
  </si>
  <si>
    <t>SAPG.DE,mstag:otherOperatingExpenseChild,2012FY,,CY</t>
  </si>
  <si>
    <t>FIRE.O,mstag:depreciationInIncomeStatement,2010Q2,,CY</t>
  </si>
  <si>
    <t>VMW.N,mscalc:epsForConsensusForThomsonFeed,2008FY,,CY</t>
  </si>
  <si>
    <t>AKAM.O,mstag:revenueNet,2013Q2,,CY</t>
  </si>
  <si>
    <t>FTNT.O,mstag:costOfSalesWithDepreciation,2008Q4,,CY</t>
  </si>
  <si>
    <t>DST.N,mscalc:yearEndMonth</t>
  </si>
  <si>
    <t>IL.N,mscalc:epsForConsensusForThomsonFeed,2013Q4,,CY</t>
  </si>
  <si>
    <t>IL.N,mstag:marketingAndDistributionCosts,2012Q1,,CY</t>
  </si>
  <si>
    <t>FTNT.O,mscalc:epsForConsensusForThomsonFeed,2012Q1,,CY</t>
  </si>
  <si>
    <t>IL.N,mstag:costOfSalesWithDepreciation,2011FY,,CY</t>
  </si>
  <si>
    <t>ADSK.O,mstag:marketingAndDistributionCosts,2011Q4,,CY</t>
  </si>
  <si>
    <t>N.N,mstag:costOfSalesWithDepreciation,2009Q4,,CY</t>
  </si>
  <si>
    <t>ADSK.O,mstag:researchAndDevelopment,2010Q3,,CY</t>
  </si>
  <si>
    <t>N.N,mscalc:epsForConsensusForThomsonFeed,2009Q1,,CY</t>
  </si>
  <si>
    <t>TLEO.O,mstag:costOfSalesWithDepreciation,2012FY,,CY</t>
  </si>
  <si>
    <t>QLIK.O,mstag:revenueNet,2008Q1,,CY</t>
  </si>
  <si>
    <t>INTU.O,mstag:revenueNet,2008Q3,,CY</t>
  </si>
  <si>
    <t>INTU.O,mscalc:epsForConsensusForThomsonFeed,2012Q2,,CY</t>
  </si>
  <si>
    <t>RNOW.O,mstag:costOfSalesWithDepreciation,2009Q3,,CY</t>
  </si>
  <si>
    <t>DMAN.O,mstag:researchAndDevelopment,2008Q3,,CY</t>
  </si>
  <si>
    <t>AKAM.O,mscalc:generalAndAdministrativeExpensesCalc,2008Q4,,CY</t>
  </si>
  <si>
    <t>WBSN.O,mstag:researchAndDevelopment,2012Q4,,CY</t>
  </si>
  <si>
    <t>AKAM.O,mstag:researchAndDevelopment,2010Q4,,CY</t>
  </si>
  <si>
    <t>FTNT.O,mscalc:generalAndAdministrativeExpensesCalc,2009Q3,,CY</t>
  </si>
  <si>
    <t>SREV.O,mscalc:generalAndAdministrativeExpensesCalc,2009FY,,CY</t>
  </si>
  <si>
    <t>ORCL.O,mstag:marketingAndDistributionCosts,2007FY,,CY</t>
  </si>
  <si>
    <t>2012</t>
  </si>
  <si>
    <t>AAPL.O,msuser:cmAUPLEBITDA20060530T0035524245,2009FY,,CY</t>
  </si>
  <si>
    <t>MSFT.O,mstag:marketingAndDistributionCosts,2008Q1,,CY</t>
  </si>
  <si>
    <t>LT as a % of total</t>
  </si>
  <si>
    <t>ORCL.O,mscalc:generalAndAdministrativeExpensesCalc,2011Q3,,CY</t>
  </si>
  <si>
    <t>DMAN.O,mscalc:epsForConsensusForThomsonFeed,2013Q2,,CY</t>
  </si>
  <si>
    <t>7/01</t>
  </si>
  <si>
    <t>10/01</t>
  </si>
  <si>
    <t>($ Millions, Except Per-Share Data)</t>
  </si>
  <si>
    <t>International Revenue</t>
  </si>
  <si>
    <t>Revenue</t>
  </si>
  <si>
    <t>Total Revenue</t>
  </si>
  <si>
    <t>Cost of Revenue</t>
  </si>
  <si>
    <t>Total Cost of Revenues</t>
  </si>
  <si>
    <t>Gross Income</t>
  </si>
  <si>
    <t>Gross Margin</t>
  </si>
  <si>
    <t>Change in AOCI</t>
  </si>
  <si>
    <t>AutoCAD</t>
  </si>
  <si>
    <t>Product Timeline</t>
  </si>
  <si>
    <t>Release</t>
  </si>
  <si>
    <t>Civil 3D Base</t>
  </si>
  <si>
    <t xml:space="preserve">   Revit Seats Shipped</t>
  </si>
  <si>
    <t xml:space="preserve">   Civil 3D Seats Shipped</t>
  </si>
  <si>
    <t>AutoCAD Revenue Growth</t>
  </si>
  <si>
    <t>AutoCAD LT Revenue Growth</t>
  </si>
  <si>
    <t>Total Manufacturing Seats Shipped</t>
  </si>
  <si>
    <t>Manufacturing ASP</t>
  </si>
  <si>
    <t>Inventor Revenue Growth (Y/Y)</t>
  </si>
  <si>
    <t>Total Horizontal and 2D Vertical Growth</t>
  </si>
  <si>
    <t>QLIK.O,mscalc:operatingRevenueForConsensus,2008FY,,CY</t>
  </si>
  <si>
    <t>FTNT.O,mscalc:epsForConsensusForThomsonFeed,2010FY,,CY</t>
  </si>
  <si>
    <t>VRSN.O,mstag:marketingAndDistributionCosts,2007FY,,CY</t>
  </si>
  <si>
    <t>EBAY.O,mscalc:operatingRevenueForConsensus,2009FY,,CY</t>
  </si>
  <si>
    <t>DMAN.O,mscalc:epsForConsensusForThomsonFeed,2008Q1,,CY</t>
  </si>
  <si>
    <t>DELL.O,msuser:cmAUPLEBITDA20060530T0035524245,2007FY,,CY</t>
  </si>
  <si>
    <t>TLEO.O,mscalc:generalAndAdministrativeExpensesCalc,2009Q1,,CY</t>
  </si>
  <si>
    <t>CRM.N,mstag:marketingAndDistributionCosts,2013Q2,,CY</t>
  </si>
  <si>
    <t>JIVE.O,mscalc:operatingRevenueForConsensus,2012FY,,CY</t>
  </si>
  <si>
    <t>FIRE.O,mstag:revenueNet,2009Q1,,CY</t>
  </si>
  <si>
    <t>INFA.O,mscalc:epsForConsensusForThomsonFeed,2011FY,,CY</t>
  </si>
  <si>
    <t>SYMC.O,mstag:marketingAndDistributionCosts,2013Q3,,CY</t>
  </si>
  <si>
    <t>ADBE.O,mstag:costOfSalesWithDepreciation,2008FY,,CY</t>
  </si>
  <si>
    <t>AMZN.O,mscalc:operatingRevenueForConsensus,2007FY,,CY</t>
  </si>
  <si>
    <t>CHKP.O,mscalc:operatingRevenueForConsensus,2007FY,,CY</t>
  </si>
  <si>
    <t>FIRE.O,mscalc:epsForConsensusForThomsonFeed,2009Q3,,CY</t>
  </si>
  <si>
    <t>HPQ.N,msuser:cmAUPLEBITDA20060530T0035524245,2010FY,,CY</t>
  </si>
  <si>
    <t>SYMC.O,mscalc:epsForConsensusForThomsonFeed,2013Q3,,CY</t>
  </si>
  <si>
    <t>AKAM.O,mscalc:epsForConsensusForThomsonFeed,2013Q1,,CY</t>
  </si>
  <si>
    <t>SYMC.O,mstag:marketingAndDistributionCosts,2011Q4,,CY</t>
  </si>
  <si>
    <t>TLEO.O,mscalc:epsForConsensusForThomsonFeed,2009Q3,,CY</t>
  </si>
  <si>
    <t>IL.N,mstag:costOfSalesWithDepreciation,2013FY,,CY</t>
  </si>
  <si>
    <t>FTNT.O,mstag:costOfSalesWithDepreciation,2013Q2,,CY</t>
  </si>
  <si>
    <t>CHKP.O,mstag:marketingAndDistributionCosts,2009Q2,,CY</t>
  </si>
  <si>
    <t>FIRE.O,mstag:revenueNet,2011Q4,,CY</t>
  </si>
  <si>
    <t>N.N,mstag:marketingAndDistributionCosts,2011Q4,,CY</t>
  </si>
  <si>
    <t>SFSF.N,mstag:companyReportedRevenue,2008Q2,,CY</t>
  </si>
  <si>
    <t>GOOG.O,msuser:cmAUPLEBITDA20060530T0035524245,2008FY,,CY</t>
  </si>
  <si>
    <t>AKAM.O,mscalc:epsForConsensusForThomsonFeed,2009FY,,CY</t>
  </si>
  <si>
    <t>AKAM.O,mstag:costOfSalesWithDepreciation,2009Q1,,CY</t>
  </si>
  <si>
    <t>MSFT.O,mstag:costOfSalesWithDepreciation,2011Q3,,CY</t>
  </si>
  <si>
    <t>CTXS.O,mstag:revenueNet,2011Q1,,CY</t>
  </si>
  <si>
    <t>GUID.O,mscalc:operatingRevenueForConsensus,2012FY,,CY</t>
  </si>
  <si>
    <t>ORCL.O,mstag:longTermDebt,2011Q4,,CY</t>
  </si>
  <si>
    <t>TXN.N,msuser:cmAUPLEBITDA20060530T0035524245,2011FY,,CY</t>
  </si>
  <si>
    <t>DMAN.O,mscalc:epsForConsensusForThomsonFeed,2010Q4,,CY</t>
  </si>
  <si>
    <t>QLIK.O,mstag:averageDilutedSharesOutstanding,2011Q3,,CY</t>
  </si>
  <si>
    <t>DELL.O,mscalc:operatingRevenueForConsensus,2013FY,,CY</t>
  </si>
  <si>
    <t>IL.N,mstag:revenueNet,2012Q2,,CY</t>
  </si>
  <si>
    <t>DST.N,msuser:cmAUPLEBITDA20060530T0035524245,2008FY,,CY</t>
  </si>
  <si>
    <t>SYMC.O,mstag:marketingAndDistributionCosts,2011Q2,,CY</t>
  </si>
  <si>
    <t>Revenue by Service</t>
  </si>
  <si>
    <t>Upgrade Revenue</t>
  </si>
  <si>
    <t>Special Charges</t>
  </si>
  <si>
    <t>% of revenues</t>
  </si>
  <si>
    <t>LTM Operating Expenses (Normalized)</t>
  </si>
  <si>
    <t>WBSN.O,mstag:researchAndDevelopment,2007FY,,CY</t>
  </si>
  <si>
    <t>SREV.O,mscalc:generalAndAdministrativeExpensesCalc,2008FY,,CY</t>
  </si>
  <si>
    <t>FIRE.O,mstag:otherOperatingExpenseChild,2009FY,,CY</t>
  </si>
  <si>
    <t>TLEO.O,mstag:revenueNet,2010Q3,,CY</t>
  </si>
  <si>
    <t>GRPN.O,mscalc:epsForConsensusForThomsonFeed,2013FY,,CY</t>
  </si>
  <si>
    <t>QLIK.O,mscalc:epsForConsensusForThomsonFeed,2011FY,,CY</t>
  </si>
  <si>
    <t>SAPG.DE,mscalc:operatingRevenueForConsensus,2009FY,,CY</t>
  </si>
  <si>
    <t>WBSN.O,mstag:marketingAndDistributionCosts,2012Q1,,CY</t>
  </si>
  <si>
    <t>MSFT.O,mscalc:epsForConsensusForThomsonFeed,2010Q2,,CY</t>
  </si>
  <si>
    <t>SFSF.N,mstag:companyReportedRevenue,2009Q3,,CY</t>
  </si>
  <si>
    <t>FTNT.O,mstag:researchAndDevelopment,2013FY,,CY</t>
  </si>
  <si>
    <t>WBSN.O,mscalc:operatingRevenueForConsensus,2013FY,,CY</t>
  </si>
  <si>
    <t>WBSN.O,mstag:otherOperatingExpenseChild,2011FY,,CY</t>
  </si>
  <si>
    <t>GUID.O,mstag:otherOperatingExpenseChild,2011FY,,CY</t>
  </si>
  <si>
    <t>GUID.O,mstag:depreciationInIncomeStatement,2009Q3,,CY</t>
  </si>
  <si>
    <t>ADSK.O,mscalc:epsForConsensusForThomsonFeed,2012Q1,,CY</t>
  </si>
  <si>
    <t>CNQR.O,mstag:otherOperatingExpenseChild,2007FY,,CY</t>
  </si>
  <si>
    <t>MSFT.O,mstag:averageDilutedSharesOutstanding,2011Q4,,CY</t>
  </si>
  <si>
    <t>SREV.O,mscalc:epsForConsensusForThomsonFeed,2011FY,,CY</t>
  </si>
  <si>
    <t>TLEO.O,mstag:researchAndDevelopment,2013FY,,CY</t>
  </si>
  <si>
    <t>MKTG.O,mstag:marketingAndDistributionCosts,2011Q4,,CY</t>
  </si>
  <si>
    <t>WBSN.O,mstag:costOfSalesWithDepreciation,2008Q4,,CY</t>
  </si>
  <si>
    <t>CSCO.O,mscalc:operatingRevenueForConsensus,2012FY,,CY</t>
  </si>
  <si>
    <t>SAPG.DE,mstag:researchAndDevelopment,2013FY,,CY</t>
  </si>
  <si>
    <t>ADP.O,mscalc:epsForConsensusForThomsonFeed,2010FY,,CY</t>
  </si>
  <si>
    <t>FTNT.O,mscalc:epsForConsensusForThomsonFeed,2009Q1,,CY</t>
  </si>
  <si>
    <t>SFSF.N,mscalc:generalAndAdministrativeExpensesCalc,2012Q3,,CY</t>
  </si>
  <si>
    <t>ADSK.O,mstag:researchAndDevelopment,2008Q1,,CY</t>
  </si>
  <si>
    <t>New Seat Revenues and Other (MS Estimate)</t>
  </si>
  <si>
    <t>New Commercial Seat Revenue (Reported)</t>
  </si>
  <si>
    <t xml:space="preserve">          % increase in # of seats</t>
  </si>
  <si>
    <t xml:space="preserve">          % increase in avg. rev. per seat</t>
  </si>
  <si>
    <t>Unrecorded Amortized Goodwill &amp; IPRD</t>
  </si>
  <si>
    <t xml:space="preserve">     Return on Equity</t>
  </si>
  <si>
    <t>per employee figures in 000's</t>
  </si>
  <si>
    <t>Additional Paid in Capital</t>
  </si>
  <si>
    <t>FCF</t>
  </si>
  <si>
    <t>ADSK.O,mscalc:targetPrice</t>
  </si>
  <si>
    <t>,mscalc:targetPrice,,,,USD</t>
  </si>
  <si>
    <t>,mscalc:closePriceCurrencyCalc</t>
  </si>
  <si>
    <t>,mscalc:sedolCodeCalc</t>
  </si>
  <si>
    <t xml:space="preserve">    YoY Growth</t>
  </si>
  <si>
    <t>N.N,mscalc:generalAndAdministrativeExpensesCalc,2008Q4,,CY</t>
  </si>
  <si>
    <t>SREV.O,mstag:shortTermBorrowings,2011Q3,,CY</t>
  </si>
  <si>
    <t>INTC.O,msuser:cmAUPLEBITDA20060530T0035524245,2010FY,,CY</t>
  </si>
  <si>
    <t>SYMC.O,mstag:researchAndDevelopment,2009Q2,,CY</t>
  </si>
  <si>
    <t>ADSK.O,mstag:marketingAndDistributionCosts,2012FY,,CY</t>
  </si>
  <si>
    <t>EBAY.O,mscalc:epsForConsensusForThomsonFeed,2012FY,,CY</t>
  </si>
  <si>
    <t>TXN.N,mscalc:stockRating</t>
  </si>
  <si>
    <t>SYMC.O,mstag:costOfSalesWithDepreciation,2011FY,,CY</t>
  </si>
  <si>
    <t>ADBE.O,mstag:researchAndDevelopment,2011FY,,CY</t>
  </si>
  <si>
    <t>FTNT.O,mstag:revenueNet,2009Q3,,CY</t>
  </si>
  <si>
    <t>CTXS.O,mstag:costOfSalesWithDepreciation,2011Q3,,CY</t>
  </si>
  <si>
    <t>OPEN.O,mscalc:stockRating</t>
  </si>
  <si>
    <t>FTNT.O,mscalc:operatingRevenueForConsensus,2010FY,,CY</t>
  </si>
  <si>
    <t>INTU.O,mscalc:operatingRevenueForConsensus,2009FY,,CY</t>
  </si>
  <si>
    <t>FTNT.O,mstag:marketingAndDistributionCosts,2013Q2,,CY</t>
  </si>
  <si>
    <t>GUID.O,mstag:costOfSalesWithoutDepreciation,2012FY,,CY</t>
  </si>
  <si>
    <t>$IV$49</t>
  </si>
  <si>
    <t>WBSN.O,mstag:revenueNet,2009Q4,,CY</t>
  </si>
  <si>
    <t>ADBE.O,mstag:revenueNet,2009Q3,,CY</t>
  </si>
  <si>
    <t>DST.N,mscalc:operatingRevenueForConsensus,2009FY,,CY</t>
  </si>
  <si>
    <t>FTNT.O,mscalc:epsForConsensusForThomsonFeed,2010Q4,,CY</t>
  </si>
  <si>
    <t>ADBE.O,mstag:revenueNet,2011Q2,,CY</t>
  </si>
  <si>
    <t>IL.N,mstag:researchAndDevelopment,2011Q4,,CY</t>
  </si>
  <si>
    <t>DELL.O,mscalc:operatingRevenueForConsensus,2011FY,,CY</t>
  </si>
  <si>
    <t>WBSN.O,mstag:researchAndDevelopment,2012Q1,,CY</t>
  </si>
  <si>
    <t>N.N,mstag:otherOperatingExpenseChild,2007FY,,CY</t>
  </si>
  <si>
    <t>FIRE.O,mstag:researchAndDevelopment,2010Q3,,CY</t>
  </si>
  <si>
    <t>TLEO.O,mstag:researchAndDevelopment,2011Q4,,CY</t>
  </si>
  <si>
    <t>GUID.O,mstag:costOfSalesWithoutDepreciation,2011FY,,CY</t>
  </si>
  <si>
    <t>AKAM.O,mstag:softwareLicenseRevenues,2010FY,,CY</t>
  </si>
  <si>
    <t>FTNT.O,mstag:marketingAndDistributionCosts,2010Q4,,CY</t>
  </si>
  <si>
    <t>ORCL.O,mstag:revenueNet,2008Q3,,CY</t>
  </si>
  <si>
    <t>N.N,mscalc:generalAndAdministrativeExpensesCalc,2008Q2,,CY</t>
  </si>
  <si>
    <t>ADP.O,mscalc:epsForConsensusForThomsonFeed,2013FY,,CY</t>
  </si>
  <si>
    <t>INTU.O,mscalc:operatingRevenueForConsensus,2011FY,,CY</t>
  </si>
  <si>
    <t>WBSN.O,mstag:researchAndDevelopment,2013Q1,,CY</t>
  </si>
  <si>
    <t>ADBE.O,mstag:marketingAndDistributionCosts,2008FY,,CY</t>
  </si>
  <si>
    <t>TLEO.O,mstag:otherOperatingExpenseChild,2007FY,,CY</t>
  </si>
  <si>
    <t>CRM.N,mstag:costOfSalesWithDepreciation,2008Q3,,CY</t>
  </si>
  <si>
    <t>AKAM.O,mscalc:epsForConsensusForThomsonFeed,2010Q1,,CY</t>
  </si>
  <si>
    <t>MKTG.O,mstag:marketingAndDistributionCosts,2010Q1,,CY</t>
  </si>
  <si>
    <t>FTNT.O,mscalc:generalAndAdministrativeExpensesCalc,2013Q2,,CY</t>
  </si>
  <si>
    <t>SAPG.DE,mstag:otherOperatingExpenseChild,2011FY,,CY</t>
  </si>
  <si>
    <t>SYMC.O,mstag:researchAndDevelopment,2013Q1,,CY</t>
  </si>
  <si>
    <t>SAPG.DE,mscalc:generalAndAdministrativeExpensesCalc,2011FY,,CY</t>
  </si>
  <si>
    <t>INTU.O,mscalc:yearEndMonth</t>
  </si>
  <si>
    <t>DMAN.O,mstag:costOfSalesWithDepreciation,2011Q3,,CY</t>
  </si>
  <si>
    <t>INTC.O,mscalc:operatingRevenueForConsensus,2012FY,,CY</t>
  </si>
  <si>
    <t>VMW.N,mstag:researchAndDevelopment,2012Q3,,CY</t>
  </si>
  <si>
    <t>CTXS.O,mstag:costOfSalesWithDepreciation,2011Q1,,CY</t>
  </si>
  <si>
    <t>SYMC.O,mstag:researchAndDevelopment,2009Q3,,CY</t>
  </si>
  <si>
    <t>N.N,mstag:costOfSalesWithDepreciation,2010FY,,CY</t>
  </si>
  <si>
    <t>CNQR.O,mscalc:epsForConsensusForThomsonFeed,2010FY,,CY</t>
  </si>
  <si>
    <t>SWI.N,mstag:costOfSalesWithDepreciation,2012Q3,,CY</t>
  </si>
  <si>
    <t>CSCO.O,msuser:cmAUPLEBITDA20060530T0035524245,2007FY,,CY</t>
  </si>
  <si>
    <t>QLIK.O,mstag:marketingAndDistributionCosts,2010Q2,,CY</t>
  </si>
  <si>
    <t>N.N,mstag:researchAndDevelopment,2013Q2,,CY</t>
  </si>
  <si>
    <t>N.N,mstag:researchAndDevelopment,2009Q4,,CY</t>
  </si>
  <si>
    <t>CTXS.O,mstag:otherOperatingExpenseChild,2007FY,,CY</t>
  </si>
  <si>
    <t>CTXS.O,mstag:costOfSalesWithDepreciation,2012Q2,,CY</t>
  </si>
  <si>
    <t>DMAN.O,mstag:costOfSalesWithDepreciation,2013Q1,,CY</t>
  </si>
  <si>
    <t>RNOW.O,mstag:researchAndDevelopment,2009Q3,,CY</t>
  </si>
  <si>
    <t>RNOW.O,mscalc:epsForConsensusForThomsonFeed,2013Q3,,CY</t>
  </si>
  <si>
    <t>CRM.N,mstag:otherOperatingExpenseChild,2009FY,,CY</t>
  </si>
  <si>
    <t>CRM.N,mstag:researchAndDevelopment,2012Q4,,CY</t>
  </si>
  <si>
    <t>RNOW.O,mstag:marketingAndDistributionCosts,2008Q1,,CY</t>
  </si>
  <si>
    <t>VMW.N,mstag:revenueNet,2008Q4,,CY</t>
  </si>
  <si>
    <t>RHT.N,mstag:researchAndDevelopment,2013Q2,,CY</t>
  </si>
  <si>
    <t>AKAM.O,mstag:researchAndDevelopment,2012FY,,CY</t>
  </si>
  <si>
    <t>FTNT.O,mscalc:epsForConsensusForThomsonFeed,2011Q3,,CY</t>
  </si>
  <si>
    <t xml:space="preserve">AutoCAD/LT Revenues </t>
  </si>
  <si>
    <t>Change in Cash and Cash Equivalents</t>
  </si>
  <si>
    <t>EPS (Diluted) - Operating Incl. FV SOE</t>
  </si>
  <si>
    <t>Modelware - Includes Reported Stock Option Expense, Excluding Special Charges</t>
  </si>
  <si>
    <t>ADSK.O,mstag:marketingAndDistributionCosts,2012Q1,,CY</t>
  </si>
  <si>
    <t>GUID.O,mstag:revenueNet,2010Q1,,CY</t>
  </si>
  <si>
    <t>FIRE.O,mstag:marketingAndDistributionCosts,2011Q1,,CY</t>
  </si>
  <si>
    <t>WBSN.O,mstag:costOfSalesWithDepreciation,2008Q1,,CY</t>
  </si>
  <si>
    <t>RNOW.O,mstag:revenueNet,2013Q4,,CY</t>
  </si>
  <si>
    <t>SWI.N,mstag:marketingAndDistributionCosts,2010FY,,CY</t>
  </si>
  <si>
    <t>FTNT.O,mstag:costOfSalesWithDepreciation,2011Q4,,CY</t>
  </si>
  <si>
    <t>CRM.N,mstag:researchAndDevelopment,2009Q2,,CY</t>
  </si>
  <si>
    <t>RNOW.O,mscalc:generalAndAdministrativeExpensesCalc,2010Q4,,CY</t>
  </si>
  <si>
    <t>ADSK.O,mstag:marketingAndDistributionCosts,2013Q4,,CY</t>
  </si>
  <si>
    <t>CNQR.O,mstag:marketingAndDistributionCosts,2013FY,,CY</t>
  </si>
  <si>
    <t>SYMC.O,mstag:revenueNet,2009Q2,,CY</t>
  </si>
  <si>
    <t>ADBE.O,mscalc:epsForConsensusForThomsonFeed,2009FY,,CY</t>
  </si>
  <si>
    <t>IL.N,mscalc:generalAndAdministrativeExpensesCalc,2013Q1,,CY</t>
  </si>
  <si>
    <t>ADSK.O,mstag:revenueNet,2010Q2,,CY</t>
  </si>
  <si>
    <t>SYMC.O,mstag:marketingAndDistributionCosts,2011FY,,CY</t>
  </si>
  <si>
    <t>DMAN.O,mscalc:stockRating</t>
  </si>
  <si>
    <t>JNPR.N,msuser:cmAUPLEBITDA20060530T0035524245,2010FY,,CY</t>
  </si>
  <si>
    <t>CHKP.O,mstag:costOfSalesWithDepreciation,2009Q2,,CY</t>
  </si>
  <si>
    <t>P.N,msuser:cmAUPLEBITDA20060530T0035524245,2009FY,,CY</t>
  </si>
  <si>
    <t>SWI.N,mstag:marketingAndDistributionCosts,2008FY,,CY</t>
  </si>
  <si>
    <t>SFSF.N,mstag:researchAndDevelopment,2008Q4,,CY</t>
  </si>
  <si>
    <t>SFSF.N,mscalc:generalAndAdministrativeExpensesCalc,2008Q3,,CY</t>
  </si>
  <si>
    <t>RHT.N,mscalc:operatingRevenueForConsensus,2013FY,,CY</t>
  </si>
  <si>
    <t>MKTG.O,mstag:revenueNet,2008Q4,,CY</t>
  </si>
  <si>
    <t>RHT.N,mstag:researchAndDevelopment,2011FY,,CY</t>
  </si>
  <si>
    <t>VMW.N,mstag:sellingGeneralAndAdministrativeExpenses,2010FY,,CY</t>
  </si>
  <si>
    <t>RHT.N,mstag:researchAndDevelopment,2010Q1,,CY</t>
  </si>
  <si>
    <t>CHKP.O,mscalc:epsForConsensusForThomsonFeed,2012Q2,,CY</t>
  </si>
  <si>
    <t>MKTG.O,mstag:costOfSalesWithDepreciation,2008FY,,CY</t>
  </si>
  <si>
    <t>MKTG.O,mscalc:epsForConsensusForThomsonFeed,2007FY,,CY</t>
  </si>
  <si>
    <t>INTU.O,mstag:researchAndDevelopment,2010Q2,,CY</t>
  </si>
  <si>
    <t>N.N,mstag:otherOperatingExpenseChild,2009FY,,CY</t>
  </si>
  <si>
    <t>ORCL.O,mscalc:generalAndAdministrativeExpensesCalc,2013Q2,,CY</t>
  </si>
  <si>
    <t>TLEO.O,mscalc:generalAndAdministrativeExpensesCalc,2009Q3,,CY</t>
  </si>
  <si>
    <t>ORCL.O,mstag:costOfSalesWithDepreciation,2012FY,,CY</t>
  </si>
  <si>
    <t>ZNGA.O,mscalc:stockRating</t>
  </si>
  <si>
    <t>RHT.N,mstag:revenueNet,2013Q2,,CY</t>
  </si>
  <si>
    <t>DELL.O,msuser:cmAUPLEBITDA20060530T0035524245,2010FY,,CY</t>
  </si>
  <si>
    <t>WBSN.O,mstag:marketingAndDistributionCosts,2010Q4,,CY</t>
  </si>
  <si>
    <t>DMAN.O,mstag:costOfSalesWithDepreciation,2011Q1,,CY</t>
  </si>
  <si>
    <t>MKTG.O,mscalc:epsForConsensusForThomsonFeed,2011Q2,,CY</t>
  </si>
  <si>
    <t>VRSN.O,mstag:researchAndDevelopment,2011FY,,CY</t>
  </si>
  <si>
    <t>RNOW.O,mscalc:generalAndAdministrativeExpensesCalc,2012Q4,,CY</t>
  </si>
  <si>
    <t>CRM.N,mstag:marketingAndDistributionCosts,2013Q4,,CY</t>
  </si>
  <si>
    <t>MSFT.O,mstag:marketingAndDistributionCosts,2009Q2,,CY</t>
  </si>
  <si>
    <t>N.N,mstag:revenueNet,2008Q2,,CY</t>
  </si>
  <si>
    <t>ADBE.O,mstag:marketingAndDistributionCosts,2011Q3,,CY</t>
  </si>
  <si>
    <t>INTC.O,mscalc:stockRating</t>
  </si>
  <si>
    <t>VMW.N,mstag:revenueNet,2009Q1,,CY</t>
  </si>
  <si>
    <t>CTXS.O,mstag:sellingGeneralAndAdministrativeExpenses,2009Q2,,CY</t>
  </si>
  <si>
    <t>FIRE.O,mstag:shortTermInvestments,2011Q3,,CY</t>
  </si>
  <si>
    <t>GUID.O,mscalc:epsForConsensusForThomsonFeed,2008Q4,,CY</t>
  </si>
  <si>
    <t>AKAM.O,mstag:researchAndDevelopment,2013Q4,,CY</t>
  </si>
  <si>
    <t>FIRE.O,mstag:marketingAndDistributionCosts,2012Q2,,CY</t>
  </si>
  <si>
    <t>WBSN.O,mstag:marketingAndDistributionCosts,2013Q1,,CY</t>
  </si>
  <si>
    <t>CTXS.O,mstag:researchAndDevelopment,2012Q1,,CY</t>
  </si>
  <si>
    <t>SYMC.O,mstag:researchAndDevelopment,2010Q4,,CY</t>
  </si>
  <si>
    <t>TLEO.O,mstag:marketingAndDistributionCosts,2007FY,,CY</t>
  </si>
  <si>
    <t>ORCL.O,mstag:researchAndDevelopment,2007FY,,CY</t>
  </si>
  <si>
    <t>VMW.N,mstag:otherOperatingExpenseChild,2013FY,,CY</t>
  </si>
  <si>
    <t>FTNT.O,mstag:revenueNet,2012Q2,,CY</t>
  </si>
  <si>
    <t>INTC.O,msuser:cmAUPLEBITDA20060530T0035524245,2009FY,,CY</t>
  </si>
  <si>
    <t>DMAN.O,mstag:marketingAndDistributionCosts,2011Q2,,CY</t>
  </si>
  <si>
    <t>CHKP.O,mstag:otherLongTermDebtCi,2011Q4,,CY</t>
  </si>
  <si>
    <t>N.N,mscalc:generalAndAdministrativeExpensesCalc,2008FY,,CY</t>
  </si>
  <si>
    <t>GUID.O,mstag:researchAndDevelopment,2011FY,,CY</t>
  </si>
  <si>
    <t>SYMC.O,mscalc:generalAndAdministrativeExpensesCalc,2011Q2,,CY</t>
  </si>
  <si>
    <t>N.N,mstag:marketingAndDistributionCosts,2011FY,,CY</t>
  </si>
  <si>
    <t>FIRE.O,mstag:costOfSalesWithoutDepreciation,2008Q3,,CY</t>
  </si>
  <si>
    <t>CTXS.O,mstag:sellingGeneralAndAdministrativeExpenses,2008Q3,,CY</t>
  </si>
  <si>
    <t>CTXS.O,mstag:researchAndDevelopment,2011Q1,,CY</t>
  </si>
  <si>
    <t>CNQR.O,mscalc:epsForConsensusForThomsonFeed,2011FY,,CY</t>
  </si>
  <si>
    <t>MSFT.O,mstag:marketingAndDistributionCosts,2012Q2,,CY</t>
  </si>
  <si>
    <t>ORCL.O,mstag:otherOperatingExpenseChild,2007FY,,CY</t>
  </si>
  <si>
    <t>SFSF.N,mstag:companyReportedRevenue,2008Q3,,CY</t>
  </si>
  <si>
    <t>CTXS.O,mstag:costOfSalesWithDepreciation,2010Q1,,CY</t>
  </si>
  <si>
    <t>FTNT.O,mscalc:epsForConsensusForThomsonFeed,2011Q1,,CY</t>
  </si>
  <si>
    <t>INTU.O,mstag:softwareProductRevenues,2009FY,,CY</t>
  </si>
  <si>
    <t>SREV.O,mscalc:generalAndAdministrativeExpensesCalc,2009Q1,,CY</t>
  </si>
  <si>
    <t>MSFT.O,mstag:marketingAndDistributionCosts,2010FY,,CY</t>
  </si>
  <si>
    <t>CRM.N,mscalc:epsForConsensusForThomsonFeed,2009Q2,,CY</t>
  </si>
  <si>
    <t>ADSK.O,mstag:marketingAndDistributionCosts,2009FY,,CY</t>
  </si>
  <si>
    <t>ADBE.O,mstag:researchAndDevelopment,2011Q1,,CY</t>
  </si>
  <si>
    <t>AKAM.O,mstag:costOfSalesWithDepreciation,2010Q2,,CY</t>
  </si>
  <si>
    <t>CTXS.O,mstag:sellingGeneralAndAdministrativeExpenses,2008Q2,,CY</t>
  </si>
  <si>
    <t>SREV.O,mstag:researchAndDevelopment,2008Q2,,CY</t>
  </si>
  <si>
    <t>QLIK.O,mscalc:epsForConsensusForThomsonFeed,2010Q3,,CY</t>
  </si>
  <si>
    <t>Forfeiture as a % of total options outstanding</t>
  </si>
  <si>
    <t>Design Solutions</t>
  </si>
  <si>
    <t>2Q10</t>
  </si>
  <si>
    <t>SYMC.O,mscalc:yearEndMonth</t>
  </si>
  <si>
    <t>ORCL.O,mscalc:generalAndAdministrativeExpensesCalc,2009Q1,,CY</t>
  </si>
  <si>
    <t>CTXS.O,mstag:costOfSalesWithDepreciation,2013FY,,CY</t>
  </si>
  <si>
    <t>SREV.O,mstag:researchAndDevelopment,2012Q2,,CY</t>
  </si>
  <si>
    <t>SREV.O,mstag:costOfSalesWithDepreciation,2012FY,,CY</t>
  </si>
  <si>
    <t>FIRE.O,mstag:marketingAndDistributionCosts,2008Q1,,CY</t>
  </si>
  <si>
    <t>RHT.N,mscalc:epsForConsensusForThomsonFeed,2008FY,,CY</t>
  </si>
  <si>
    <t>IL.N,mscalc:generalAndAdministrativeExpensesCalc,2012Q3,,CY</t>
  </si>
  <si>
    <t>SYMC.O,mscalc:generalAndAdministrativeExpensesCalc,2010Q4,,CY</t>
  </si>
  <si>
    <t>CSCO.O,msuser:cmAUPLEBITDA20060530T0035524245,2013FY,,CY</t>
  </si>
  <si>
    <t>FIRE.O,mstag:depreciationInIncomeStatement,2013Q3,,CY</t>
  </si>
  <si>
    <t>WBSN.O,mscalc:generalAndAdministrativeExpensesCalc,2012Q3,,CY</t>
  </si>
  <si>
    <t>NA,mscalc:operatingRevenueForConsensus,2010FY,,CY</t>
  </si>
  <si>
    <t>GUID.O,mstag:costOfSalesWithoutDepreciation,2010Q2,,CY</t>
  </si>
  <si>
    <t>JNPR.N,mscalc:dilutedEarningsPerShare,2007FY,,CY</t>
  </si>
  <si>
    <t>FTNT.O,mstag:researchAndDevelopment,2013Q4,,CY</t>
  </si>
  <si>
    <t>QLIK.O,mstag:marketingAndDistributionCosts,2009FY,,CY</t>
  </si>
  <si>
    <t>GOOG.O,mscalc:dilutedEarningsPerShare,2009FY,,CY</t>
  </si>
  <si>
    <t>IL.N,mscalc:generalAndAdministrativeExpensesCalc,2010Q3,,CY</t>
  </si>
  <si>
    <t>MSFT.O,mstag:revenueNet,2012Q4,,CY</t>
  </si>
  <si>
    <t>ADBE.O,mstag:marketingAndDistributionCosts,2010FY,,CY</t>
  </si>
  <si>
    <t>CTXS.O,mstag:costOfSalesWithDepreciation,2010Q4,,CY</t>
  </si>
  <si>
    <t>AKAM.O,mstag:researchAndDevelopment,2013Q2,,CY</t>
  </si>
  <si>
    <t>TLEO.O,mscalc:generalAndAdministrativeExpensesCalc,2010Q4,,CY</t>
  </si>
  <si>
    <t>VMW.N,mscalc:epsForConsensusForThomsonFeed,2013FY,,CY</t>
  </si>
  <si>
    <t>INTU.O,mstag:researchAndDevelopment,2011Q3,,CY</t>
  </si>
  <si>
    <t>EMC.N,mscalc:yearEndMonth</t>
  </si>
  <si>
    <t>ADSK.O,mstag:costOfSalesWithDepreciation,2009Q1,,CY</t>
  </si>
  <si>
    <t>IL.N,mscalc:generalAndAdministrativeExpensesCalc,2013FY,,CY</t>
  </si>
  <si>
    <t>FIRE.O,mstag:depreciationInIncomeStatement,2013Q1,,CY</t>
  </si>
  <si>
    <t>CVG.N,mscalc:epsForConsensusForThomsonFeed,2009FY,,CY</t>
  </si>
  <si>
    <t>SREV.O,mstag:costOfSalesWithDepreciation,2012Q4,,CY</t>
  </si>
  <si>
    <t>IBM.N,mscalc:operatingRevenueForConsensus,2010FY,,CY</t>
  </si>
  <si>
    <t>NA,mstag:otherOperatingExpenseChild,2013FY,,CY</t>
  </si>
  <si>
    <t>ORCL.O,mscalc:stockRating</t>
  </si>
  <si>
    <t>TLEO.O,mscalc:stockRating</t>
  </si>
  <si>
    <t>WBSN.O,mstag:costOfSalesWithDepreciation,2012FY,,CY</t>
  </si>
  <si>
    <t>SREV.O,mscalc:generalAndAdministrativeExpensesCalc,2008Q1,,CY</t>
  </si>
  <si>
    <t>INFA.O,mstag:costOfSalesWithDepreciation,2011FY,,CY</t>
  </si>
  <si>
    <t>HRB.N,mscalc:epsForConsensusForThomsonFeed,2010FY,,CY</t>
  </si>
  <si>
    <t>CRM.N,mstag:costOfSalesWithDepreciation,2011Q2,,CY</t>
  </si>
  <si>
    <t>MSFT.O,mstag:researchAndDevelopment,2007FY,,CY</t>
  </si>
  <si>
    <t>TLEO.O,mscalc:generalAndAdministrativeExpensesCalc,2008Q3,,CY</t>
  </si>
  <si>
    <t>ORCL.O,mstag:researchAndDevelopment,2011Q4,,CY</t>
  </si>
  <si>
    <t>CSCO.O,mscalc:dilutedEarningsPerShare,2008FY,,CY</t>
  </si>
  <si>
    <t>AAPL.O,mscalc:dilutedEarningsPerShare,2008FY,,CY</t>
  </si>
  <si>
    <t>AAPL.O,mscalc:operatingRevenueForConsensus,2009FY,,CY</t>
  </si>
  <si>
    <t>SAPG.DE,mstag:otherOperatingExpenseChild,2008FY,,CY</t>
  </si>
  <si>
    <t>SREV.O,mscalc:generalAndAdministrativeExpensesCalc,2011Q3,,CY</t>
  </si>
  <si>
    <t>VRSN.O,mstag:marketingAndDistributionCosts,2008FY,,CY</t>
  </si>
  <si>
    <t>ORCL.O,mstag:researchAndDevelopment,2011FY,,CY</t>
  </si>
  <si>
    <t>OPEN.O,mscalc:operatingRevenueForConsensus,2011FY,,CY</t>
  </si>
  <si>
    <t>N.N,mstag:researchAndDevelopment,2011Q3,,CY</t>
  </si>
  <si>
    <t>IL.N,mscalc:generalAndAdministrativeExpensesCalc,2011Q3,,CY</t>
  </si>
  <si>
    <t>SREV.O,mscalc:generalAndAdministrativeExpensesCalc,2008Q2,,CY</t>
  </si>
  <si>
    <t>ADSK.O,mstag:costOfSalesWithDepreciation,2008Q1,,CY</t>
  </si>
  <si>
    <t>GOOG.O,mscalc:epsForConsensusForThomsonFeed,2012FY,,CY</t>
  </si>
  <si>
    <t>CTXS.O,mstag:sellingGeneralAndAdministrativeExpenses,2012Q2,,CY</t>
  </si>
  <si>
    <t>INFA.O,mstag:marketingAndDistributionCosts,2009FY,,CY</t>
  </si>
  <si>
    <t>N.N,mstag:researchAndDevelopment,2008Q2,,CY</t>
  </si>
  <si>
    <t>TLEO.O,mscalc:generalAndAdministrativeExpensesCalc,2013Q1,,CY</t>
  </si>
  <si>
    <t>AKAM.O,mstag:softwareLicenseRevenues,2012FY,,CY</t>
  </si>
  <si>
    <t>SFSF.N,mstag:costOfSalesWithDepreciation,2009Q3,,CY</t>
  </si>
  <si>
    <t>IL.N,mstag:marketingAndDistributionCosts,2013Q1,,CY</t>
  </si>
  <si>
    <t>ORCL.O,mstag:costOfSalesWithDepreciation,2008Q3,,CY</t>
  </si>
  <si>
    <t>LNKD.N,mscalc:operatingRevenueForConsensus,2013FY,,CY</t>
  </si>
  <si>
    <t>CHKP.O,mscalc:epsForConsensusForThomsonFeed,2009Q4,,CY</t>
  </si>
  <si>
    <t>FIRE.O,mstag:otherOperatingExpenseChild,2008FY,,CY</t>
  </si>
  <si>
    <t>CHKP.O,mstag:researchAndDevelopment,2009Q4,,CY</t>
  </si>
  <si>
    <t>RNOW.O,mstag:researchAndDevelopment,2011Q4,,CY</t>
  </si>
  <si>
    <t>CHKP.O,mstag:marketingAndDistributionCosts,2013Q1,,CY</t>
  </si>
  <si>
    <t>TXN.N,msuser:cmAUPLEBITDA20060530T0035524245,2012FY,,CY</t>
  </si>
  <si>
    <t>AMAT.O,msuser:cmAUPLEBITDA20060530T0035524245,2011FY,,CY</t>
  </si>
  <si>
    <t>IL.N,mstag:costOfSalesWithDepreciation,2009Q3,,CY</t>
  </si>
  <si>
    <t>QLIK.O,mscalc:generalAndAdministrativeExpensesCalc,2009Q3,,CY</t>
  </si>
  <si>
    <t>DELL.O,msuser:cmAUPLEBITDA20060530T0035524245,2011FY,,CY</t>
  </si>
  <si>
    <t>INTU.O,mstag:revenueNet,2013Q1,,CY</t>
  </si>
  <si>
    <t>VMW.N,mstag:sellingGeneralAndAdministrativeExpenses,2012FY,,CY</t>
  </si>
  <si>
    <t>QLIK.O,mstag:researchAndDevelopment,2011Q3,,CY</t>
  </si>
  <si>
    <t>SYMC.O,mscalc:operatingRevenueForConsensus,2012FY,,CY</t>
  </si>
  <si>
    <t>N.N,mstag:marketingAndDistributionCosts,2010FY,,CY</t>
  </si>
  <si>
    <t>N.N,mstag:marketingAndDistributionCosts,2010Q2,,CY</t>
  </si>
  <si>
    <t>CTXS.O,mstag:sellingGeneralAndAdministrativeExpenses,2010Q3,,CY</t>
  </si>
  <si>
    <t>GUID.O,mstag:researchAndDevelopment,2012Q2,,CY</t>
  </si>
  <si>
    <t>ADSK.O,mstag:costOfSalesWithDepreciation,2009Q2,,CY</t>
  </si>
  <si>
    <t>AKAM.O,mscalc:operatingRevenueForConsensus,2012FY,,CY</t>
  </si>
  <si>
    <t>NFLX.O,msuser:cmAUPLEBITDA20060530T0035524245,2012FY,,CY</t>
  </si>
  <si>
    <t>ADSK.O,mstag:costOfSalesWithDepreciation,2010Q3,,CY</t>
  </si>
  <si>
    <t>CTXS.O,mstag:sellingGeneralAndAdministrativeExpenses,2013Q3,,CY</t>
  </si>
  <si>
    <t>FTNT.O,mscalc:generalAndAdministrativeExpensesCalc,2012FY,,CY</t>
  </si>
  <si>
    <t>SYMC.O,mstag:marketingAndDistributionCosts,2013Q4,,CY</t>
  </si>
  <si>
    <t>SFSF.N,mscalc:generalAndAdministrativeExpensesCalc,2008Q2,,CY</t>
  </si>
  <si>
    <t>RHT.N,mscalc:epsForConsensusForThomsonFeed,2010Q2,,CY</t>
  </si>
  <si>
    <t>VRSN.O,mstag:researchAndDevelopment,2009FY,,CY</t>
  </si>
  <si>
    <t>VMW.N,mscalc:epsForConsensusForThomsonFeed,2009Q1,,CY</t>
  </si>
  <si>
    <t>CRM.N,mstag:costOfSalesWithDepreciation,2010Q1,,CY</t>
  </si>
  <si>
    <t>GUID.O,mstag:costOfSalesWithoutDepreciation,2013Q3,,CY</t>
  </si>
  <si>
    <t>CHKP.O,mscalc:epsForConsensusForThomsonFeed,2013Q1,,CY</t>
  </si>
  <si>
    <t>SFSF.N,mstag:marketingAndDistributionCosts,2010Q1,,CY</t>
  </si>
  <si>
    <t>CRM.N,mscalc:targetPrice</t>
  </si>
  <si>
    <t>DELL.O,msuser:cmAUPLEBITDA20060530T0035524245,2012FY,,CY</t>
  </si>
  <si>
    <t>GUID.O,mscalc:operatingRevenueForConsensus,2010FY,,CY</t>
  </si>
  <si>
    <t>IL.N,mscalc:epsForConsensusForThomsonFeed,2012Q1,,CY</t>
  </si>
  <si>
    <t>VRSN.O,mscalc:epsForConsensusForThomsonFeed,2012FY,,CY</t>
  </si>
  <si>
    <t>SREV.O,mstag:researchAndDevelopment,2011FY,,CY</t>
  </si>
  <si>
    <t>GOOG.O,mscalc:epsForConsensusForThomsonFeed,2011FY,,CY</t>
  </si>
  <si>
    <t>GUID.O,mscalc:epsForConsensusForThomsonFeed,2011Q2,,CY</t>
  </si>
  <si>
    <t>CRM.N,mstag:researchAndDevelopment,2011Q4,,CY</t>
  </si>
  <si>
    <t>RHT.N,mstag:revenueNet,2009Q2,,CY</t>
  </si>
  <si>
    <t>INTU.O,mstag:softwareProductRevenues,2013FY,,CY</t>
  </si>
  <si>
    <t>MSFT.O,mscalc:epsForConsensusForThomsonFeed,2013Q3,,CY</t>
  </si>
  <si>
    <t>P.N,mscalc:operatingRevenueForConsensus,2011FY,,CY</t>
  </si>
  <si>
    <t>WBSN.O,mstag:marketingAndDistributionCosts,2012FY,,CY</t>
  </si>
  <si>
    <t>SegmentID</t>
  </si>
  <si>
    <t>10/04</t>
  </si>
  <si>
    <t xml:space="preserve"> 07/04</t>
  </si>
  <si>
    <t xml:space="preserve"> 1/04</t>
  </si>
  <si>
    <t xml:space="preserve"> 4/04</t>
  </si>
  <si>
    <t>1/05</t>
  </si>
  <si>
    <t>4/05</t>
  </si>
  <si>
    <t>1/97</t>
  </si>
  <si>
    <t>4/97</t>
  </si>
  <si>
    <t>7/97</t>
  </si>
  <si>
    <t>10/97</t>
  </si>
  <si>
    <t>1/98</t>
  </si>
  <si>
    <t>4/98</t>
  </si>
  <si>
    <t>7/98</t>
  </si>
  <si>
    <t>10/98</t>
  </si>
  <si>
    <t>1/99</t>
  </si>
  <si>
    <t>4/99</t>
  </si>
  <si>
    <t>7/99</t>
  </si>
  <si>
    <t>10/99</t>
  </si>
  <si>
    <t>1/00</t>
  </si>
  <si>
    <t>4/00</t>
  </si>
  <si>
    <t>1/12</t>
  </si>
  <si>
    <t>INTU.O,mstag:costOfSalesWithDepreciation,2011Q3,,CY</t>
  </si>
  <si>
    <t>CHKP.O,mstag:marketingAndDistributionCosts,2009Q3,,CY</t>
  </si>
  <si>
    <t>N.N,mscalc:generalAndAdministrativeExpensesCalc,2013Q2,,CY</t>
  </si>
  <si>
    <t>SREV.O,mstag:marketingAndDistributionCosts,2010Q2,,CY</t>
  </si>
  <si>
    <t>INTU.O,mstag:researchAndDevelopment,2009Q2,,CY</t>
  </si>
  <si>
    <t>EBIT(1-t) Per Share</t>
  </si>
  <si>
    <t>Q/Q % Growth</t>
  </si>
  <si>
    <t>FIRE.O,mscalc:generalAndAdministrativeExpensesCalc,2009Q2,,CY</t>
  </si>
  <si>
    <t>SFSF.N,mscalc:generalAndAdministrativeExpensesCalc,2011Q3,,CY</t>
  </si>
  <si>
    <t>OPEN.O,mscalc:epsForConsensusForThomsonFeed,2009FY,,CY</t>
  </si>
  <si>
    <t>SFSF.N,mstag:researchAndDevelopment,2008Q2,,CY</t>
  </si>
  <si>
    <t>HPQ.N,mscalc:yearEndMonth</t>
  </si>
  <si>
    <t>INTU.O,mscalc:epsForConsensusForThomsonFeed,2011Q2,,CY</t>
  </si>
  <si>
    <t>VMW.N,mstag:sellingGeneralAndAdministrativeExpenses,2010Q4,,CY</t>
  </si>
  <si>
    <t>MKTG.O,mstag:researchAndDevelopment,2010FY,,CY</t>
  </si>
  <si>
    <t>CVG.N,mscalc:operatingRevenueForConsensus,2008FY,,CY</t>
  </si>
  <si>
    <t>,mscalc:epsForConsensusForThomsonFeed,2012FY,,CY</t>
  </si>
  <si>
    <t>RNOW.O,mscalc:generalAndAdministrativeExpensesCalc,2013Q4,,CY</t>
  </si>
  <si>
    <t>JIVE.O,mstag:otherOperatingExpenseChild,2008FY,,CY</t>
  </si>
  <si>
    <t>N.N,mscalc:generalAndAdministrativeExpensesCalc,2010FY,,CY</t>
  </si>
  <si>
    <t>SYMC.O,mstag:researchAndDevelopment,2013Q2,,CY</t>
  </si>
  <si>
    <t>SAPG.DE,mscalc:generalAndAdministrativeExpensesCalc,2009FY,,CY</t>
  </si>
  <si>
    <t>IL.N,mscalc:epsForConsensusForThomsonFeed,2011Q3,,CY</t>
  </si>
  <si>
    <t>GOOG.O,mscalc:operatingRevenueForConsensus,2009FY,,CY</t>
  </si>
  <si>
    <t>DMAN.O,mstag:marketingAndDistributionCosts,2008Q3,,CY</t>
  </si>
  <si>
    <t>FIRE.O,mstag:revenueNet,2008Q3,,CY</t>
  </si>
  <si>
    <t>LTM FCF</t>
  </si>
  <si>
    <t>ltmfcf</t>
  </si>
  <si>
    <t>LTM FCF excluding SOE tax benefit</t>
  </si>
  <si>
    <t>ltmfcfextb</t>
  </si>
  <si>
    <t>Other Liabilities</t>
  </si>
  <si>
    <t>Accumulated and Other Comprehensive Loss</t>
  </si>
  <si>
    <t>SYMC.O,mstag:marketingAndDistributionCosts,2008Q4,,CY</t>
  </si>
  <si>
    <t>MSFT.O,mscalc:generalAndAdministrativeExpensesCalc,2009Q3,,CY</t>
  </si>
  <si>
    <t>WBSN.O,mstag:revenueNet,2013Q1,,CY</t>
  </si>
  <si>
    <t>SFSF.N,mscalc:generalAndAdministrativeExpensesCalc,2009Q2,,CY</t>
  </si>
  <si>
    <t>RHT.N,mscalc:epsForConsensusForThomsonFeed,2010FY,,CY</t>
  </si>
  <si>
    <t>CTXS.O,mstag:costOfSalesWithDepreciation,2013Q1,,CY</t>
  </si>
  <si>
    <t>WBSN.O,mstag:marketingAndDistributionCosts,2008Q3,,CY</t>
  </si>
  <si>
    <t>GUID.O,mscalc:generalAndAdministrativeExpensesCalc,2012Q1,,CY</t>
  </si>
  <si>
    <t>SYMC.O,mstag:marketingAndDistributionCosts,2012Q1,,CY</t>
  </si>
  <si>
    <t>SYMC.O,mscalc:generalAndAdministrativeExpensesCalc,2011Q4,,CY</t>
  </si>
  <si>
    <t>GUID.O,mscalc:generalAndAdministrativeExpensesCalc,2009Q4,,CY</t>
  </si>
  <si>
    <t>INTU.O,mscalc:generalAndAdministrativeExpensesCalc,2011Q3,,CY</t>
  </si>
  <si>
    <t>CRM.N,mstag:revenueNet,2009Q2,,CY</t>
  </si>
  <si>
    <t>MSFT.O,mstag:costOfSalesWithDepreciation,2013FY,,CY</t>
  </si>
  <si>
    <t>RNOW.O,mstag:marketingAndDistributionCosts,2011Q3,,CY</t>
  </si>
  <si>
    <t>WBSN.O,mscalc:yearEndMonth</t>
  </si>
  <si>
    <t>QLIK.O,mscalc:epsForConsensusForThomsonFeed,2009Q1,,CY</t>
  </si>
  <si>
    <t>AKAM.O,mstag:researchAndDevelopment,2009Q2,,CY</t>
  </si>
  <si>
    <t>AKAM.O,mscalc:epsForConsensusForThomsonFeed,2008Q4,,CY</t>
  </si>
  <si>
    <t>CHKP.O,mscalc:epsForConsensusForThomsonFeed,2012FY,,CY</t>
  </si>
  <si>
    <t>MKTG.O,mstag:researchAndDevelopment,2013Q4,,CY</t>
  </si>
  <si>
    <t>SYMC.O,mstag:revenueNet,2008Q2,,CY</t>
  </si>
  <si>
    <t>CHKP.O,mscalc:epsForConsensusForThomsonFeed,2011Q1,,CY</t>
  </si>
  <si>
    <t>CTXS.O,mscalc:epsForConsensusForThomsonFeed,2011Q2,,CY</t>
  </si>
  <si>
    <t>QLIK.O,mstag:revenueNet,2013Q3,,CY</t>
  </si>
  <si>
    <t>CHKP.O,mstag:marketingAndDistributionCosts,2013Q4,,CY</t>
  </si>
  <si>
    <t>CTXS.O,mstag:marketingCosts,2011Q3,,CY</t>
  </si>
  <si>
    <t>WBSN.O,mstag:revenueNet,2008Q1,,CY</t>
  </si>
  <si>
    <t>SYMC.O,mstag:revenueNet,2010Q1,,CY</t>
  </si>
  <si>
    <t>FIRE.O,mscalc:generalAndAdministrativeExpensesCalc,2011Q1,,CY</t>
  </si>
  <si>
    <t>IL.N,mscalc:generalAndAdministrativeExpensesCalc,2012FY,,CY</t>
  </si>
  <si>
    <t>MSFT.O,mstag:revenueNet,2010Q4,,CY</t>
  </si>
  <si>
    <t>CHKP.O,mstag:researchAndDevelopment,2011Q2,,CY</t>
  </si>
  <si>
    <t>IL.N,mstag:marketingAndDistributionCosts,2011Q1,,CY</t>
  </si>
  <si>
    <t>TLEO.O,mstag:revenueNet,2009Q4,,CY</t>
  </si>
  <si>
    <t>VMW.N,mstag:marketingCosts,2008FY,,CY</t>
  </si>
  <si>
    <t>RHT.N,mstag:cashAndCashEquivalents,2011Q4,,CY</t>
  </si>
  <si>
    <t>QLIK.O,mstag:costOfSalesWithDepreciation,2010FY,,CY</t>
  </si>
  <si>
    <t>ADBE.O,mstag:costOfSalesWithDepreciation,2009FY,,CY</t>
  </si>
  <si>
    <t>GUID.O,mstag:researchAndDevelopment,2011Q2,,CY</t>
  </si>
  <si>
    <t>ORCL.O,mstag:companyReportedRevenue,2012FY,,CY</t>
  </si>
  <si>
    <t>SWI.N,mstag:revenueNet,2009Q3,,CY</t>
  </si>
  <si>
    <t>CHKP.O,mscalc:targetPrice</t>
  </si>
  <si>
    <t>MKTG.O,mscalc:generalAndAdministrativeExpensesCalc,2011Q4,,CY</t>
  </si>
  <si>
    <t>CRM.N,mstag:researchAndDevelopment,2010Q1,,CY</t>
  </si>
  <si>
    <t>VMW.N,mscalc:epsForConsensusForThomsonFeed,2008Q4,,CY</t>
  </si>
  <si>
    <t>SFSF.N,mscalc:generalAndAdministrativeExpensesCalc,2013Q3,,CY</t>
  </si>
  <si>
    <t>SYMC.O,mscalc:epsForConsensusForThomsonFeed,2013FY,,CY</t>
  </si>
  <si>
    <t>WBSN.O,mscalc:epsForConsensusForThomsonFeed,2013Q4,,CY</t>
  </si>
  <si>
    <t>TLEO.O,mscalc:generalAndAdministrativeExpensesCalc,2013Q4,,CY</t>
  </si>
  <si>
    <t>SAPG.DE,mscalc:dilutedEarningsPerShare,2012FY,,CY</t>
  </si>
  <si>
    <t>GUID.O,mscalc:generalAndAdministrativeExpensesCalc,2012Q3,,CY</t>
  </si>
  <si>
    <t>CRM.N,mstag:researchAndDevelopment,2010Q2,,CY</t>
  </si>
  <si>
    <t>VMW.N,mstag:marketingCosts,2009FY,,CY</t>
  </si>
  <si>
    <t>GRPN.O,msuser:cmAUPLEBITDA20060530T0035524245,2013FY,,CY</t>
  </si>
  <si>
    <t>MSFT.O,mstag:researchAndDevelopment,2010Q1,,CY</t>
  </si>
  <si>
    <t>N.N,mstag:revenueNet,2013Q2,,CY</t>
  </si>
  <si>
    <t>NA,mstag:researchAndDevelopment,2008FY,,CY</t>
  </si>
  <si>
    <t>INTU.O,mscalc:generalAndAdministrativeExpensesCalc,2012Q2,,CY</t>
  </si>
  <si>
    <t>CRM.N,mstag:costOfSalesWithDepreciation,2011Q3,,CY</t>
  </si>
  <si>
    <t>CTXS.O,mscalc:epsForConsensusForThomsonFeed,2008Q3,,CY</t>
  </si>
  <si>
    <t>GUID.O,mstag:costOfSalesWithoutDepreciation,2009FY,,CY</t>
  </si>
  <si>
    <t>GUID.O,mstag:costOfSalesWithoutDepreciation,2011Q3,,CY</t>
  </si>
  <si>
    <t>SWI.N,mscalc:generalAndAdministrativeExpensesCalc,2013Q2,,CY</t>
  </si>
  <si>
    <t>FIRE.O,mstag:depreciationInIncomeStatement,2010Q4,,CY</t>
  </si>
  <si>
    <t>ADSK.O,mscalc:epsForConsensusForThomsonFeed,2011Q3,,CY</t>
  </si>
  <si>
    <t>SYMC.O,mstag:costOfSalesWithDepreciation,2013FY,,CY</t>
  </si>
  <si>
    <t>Incremental Margin</t>
  </si>
  <si>
    <t>CTXS.O,mstag:costOfSalesWithDepreciation,2010Q2,,CY</t>
  </si>
  <si>
    <t>CRM.N,mscalc:operatingRevenueForConsensus,2012FY,,CY</t>
  </si>
  <si>
    <t>IL.N,mstag:researchAndDevelopment,2009Q1,,CY</t>
  </si>
  <si>
    <t>MKTG.O,mscalc:epsForConsensusForThomsonFeed,2012Q2,,CY</t>
  </si>
  <si>
    <t>SREV.O,mstag:revenueNet,2012Q1,,CY</t>
  </si>
  <si>
    <t>FIRE.O,mscalc:operatingRevenueForConsensus,2008FY,,CY</t>
  </si>
  <si>
    <t>CTXS.O,mstag:costOfSalesWithDepreciation,2012Q1,,CY</t>
  </si>
  <si>
    <t>MKTG.O,mscalc:generalAndAdministrativeExpensesCalc,2012Q1,,CY</t>
  </si>
  <si>
    <t>N.N,mstag:marketingAndDistributionCosts,2012Q3,,CY</t>
  </si>
  <si>
    <t>QLIK.O,mscalc:epsForConsensusForThomsonFeed,2012Q3,,CY</t>
  </si>
  <si>
    <t>CRM.N,mstag:revenueNet,2012Q3,,CY</t>
  </si>
  <si>
    <t>MKTG.O,mstag:marketingAndDistributionCosts,2010Q3,,CY</t>
  </si>
  <si>
    <t>WBSN.O,mscalc:generalAndAdministrativeExpensesCalc,2013Q2,,CY</t>
  </si>
  <si>
    <t>GUID.O,mstag:costOfSalesWithoutDepreciation,2013Q4,,CY</t>
  </si>
  <si>
    <t>NFLX.O,msuser:cmAUPLEBITDA20060530T0035524245,2013FY,,CY</t>
  </si>
  <si>
    <t>TLEO.O,mscalc:yearEndMonth</t>
  </si>
  <si>
    <t>AKAM.O,mstag:revenueNet,2008Q1,,CY</t>
  </si>
  <si>
    <t>ORCL.O,mscalc:epsForConsensusForThomsonFeed,2008Q1,,CY</t>
  </si>
  <si>
    <t>SYMC.O,mscalc:operatingRevenueForConsensus,2007FY,,CY</t>
  </si>
  <si>
    <t>QLIK.O,mscalc:generalAndAdministrativeExpensesCalc,2012Q2,,CY</t>
  </si>
  <si>
    <t>SWI.N,mstag:researchAndDevelopment,2012FY,,CY</t>
  </si>
  <si>
    <t>MKTG.O,mstag:marketingAndDistributionCosts,2013FY,,CY</t>
  </si>
  <si>
    <t>AKAM.O,mscalc:epsForConsensusForThomsonFeed,2012FY,,CY</t>
  </si>
  <si>
    <t>CHKP.O,mstag:revenueNet,2008Q1,,CY</t>
  </si>
  <si>
    <t>VMW.N,mstag:marketingCosts,2009Q2,,CY</t>
  </si>
  <si>
    <t>CTXS.O,mstag:researchAndDevelopment,2010FY,,CY</t>
  </si>
  <si>
    <t>IL.N,mscalc:generalAndAdministrativeExpensesCalc,2010Q1,,CY</t>
  </si>
  <si>
    <t>SYMC.O,mscalc:epsForConsensusForThomsonFeed,2010Q2,,CY</t>
  </si>
  <si>
    <t>SAPG.DE,mscalc:operatingRevenueForConsensus,2013FY,,CY</t>
  </si>
  <si>
    <t>ORCL.O,mscalc:epsForConsensusForThomsonFeed,2008FY,,CY</t>
  </si>
  <si>
    <t>SFSF.N,mstag:researchAndDevelopment,2011Q3,,CY</t>
  </si>
  <si>
    <t>CRM.N,mstag:revenueNet,2012Q2,,CY</t>
  </si>
  <si>
    <t>DMAN.O,mscalc:generalAndAdministrativeExpensesCalc,2011Q4,,CY</t>
  </si>
  <si>
    <t>SAPG.DE,mscalc:dilutedEarningsPerShare,2011FY,,CY</t>
  </si>
  <si>
    <t>WBSN.O,mscalc:targetPrice</t>
  </si>
  <si>
    <t>OPEN.O,mscalc:epsForConsensusForThomsonFeed,2012FY,,CY</t>
  </si>
  <si>
    <t>FTNT.O,mscalc:generalAndAdministrativeExpensesCalc,2013FY,,CY</t>
  </si>
  <si>
    <t>FTNT.O,mstag:researchAndDevelopment,2011Q3,,CY</t>
  </si>
  <si>
    <t>IL.N,mstag:revenueNet,2011Q4,,CY</t>
  </si>
  <si>
    <t>SREV.O,mscalc:generalAndAdministrativeExpensesCalc,2008Q3,,CY</t>
  </si>
  <si>
    <t>ADBE.O,mstag:researchAndDevelopment,2008Q4,,CY</t>
  </si>
  <si>
    <t>CHKP.O,mstag:researchAndDevelopment,2009Q1,,CY</t>
  </si>
  <si>
    <t>SFSF.N,mscalc:epsForConsensusForThomsonFeed,2008Q2,,CY</t>
  </si>
  <si>
    <t>N.N,mstag:researchAndDevelopment,2010Q4,,CY</t>
  </si>
  <si>
    <t>INTU.O,mstag:marketingAndDistributionCosts,2010Q2,,CY</t>
  </si>
  <si>
    <t>AAPL.O,mscalc:operatingRevenueForConsensus,2008FY,,CY</t>
  </si>
  <si>
    <t>MKTG.O,mstag:researchAndDevelopment,2008Q3,,CY</t>
  </si>
  <si>
    <t>SFSF.N,mstag:costOfSalesWithDepreciation,2010Q3,,CY</t>
  </si>
  <si>
    <t>DMAN.O,mstag:costOfSalesWithDepreciation,2013Q3,,CY</t>
  </si>
  <si>
    <t>INFA.O,mstag:otherOperatingExpenseChild,2011FY,,CY</t>
  </si>
  <si>
    <t>SYMC.O,mstag:marketingAndDistributionCosts,2008Q2,,CY</t>
  </si>
  <si>
    <t>INTU.O,mscalc:epsForConsensusForThomsonFeed,2010Q4,,CY</t>
  </si>
  <si>
    <t>SYMC.O,mstag:researchAndDevelopment,2008Q4,,CY</t>
  </si>
  <si>
    <t>TLEO.O,mscalc:epsForConsensusForThomsonFeed,2011Q3,,CY</t>
  </si>
  <si>
    <t>VMW.N,mstag:sellingGeneralAndAdministrativeExpenses,2011Q1,,CY</t>
  </si>
  <si>
    <t>ADSK.O,mstag:marketingAndDistributionCosts,2013Q3,,CY</t>
  </si>
  <si>
    <t>IL.N,mscalc:epsForConsensusForThomsonFeed,2012Q3,,CY</t>
  </si>
  <si>
    <t>MKTG.O,mstag:marketingAndDistributionCosts,2013Q1,,CY</t>
  </si>
  <si>
    <t>MKTG.O,mstag:otherOperatingExpenseChild,2007FY,,CY</t>
  </si>
  <si>
    <t>SWI.N,mstag:costOfSalesWithDepreciation,2013Q4,,CY</t>
  </si>
  <si>
    <t>IL.N,mstag:revenueNet,2009Q1,,CY</t>
  </si>
  <si>
    <t>CTXS.O,mstag:averageDilutedSharesOutstanding,2011Q4,,CY</t>
  </si>
  <si>
    <t>AKAM.O,mscalc:epsForConsensusForThomsonFeed,2008FY,,CY</t>
  </si>
  <si>
    <t>AKAM.O,mstag:researchAndDevelopment,2008Q3,,CY</t>
  </si>
  <si>
    <t>NA,mstag:marketingAndDistributionCosts,2010FY,,CY</t>
  </si>
  <si>
    <t>ADSK.O,mscalc:generalAndAdministrativeExpensesCalc,2011FY,,CY</t>
  </si>
  <si>
    <t>ADBE.O,mscalc:generalAndAdministrativeExpensesCalc,2009FY,,CY</t>
  </si>
  <si>
    <t>ORCL.O,mstag:costOfSalesWithDepreciation,2011FY,,CY</t>
  </si>
  <si>
    <t>ORCL.O,mscalc:epsForConsensusForThomsonFeed,2012Q1,,CY</t>
  </si>
  <si>
    <t>TLEO.O,mscalc:generalAndAdministrativeExpensesCalc,2009Q2,,CY</t>
  </si>
  <si>
    <t>RHT.N,mstag:researchAndDevelopment,2008Q4,,CY</t>
  </si>
  <si>
    <t>CHKP.O,mstag:costOfSalesWithDepreciation,2011Q2,,CY</t>
  </si>
  <si>
    <t>FIRE.O,mscalc:generalAndAdministrativeExpensesCalc,2011Q3,,CY</t>
  </si>
  <si>
    <t>FTNT.O,mscalc:targetPrice</t>
  </si>
  <si>
    <t>AKAM.O,mscalc:generalAndAdministrativeExpensesCalc,2007FY,,CY</t>
  </si>
  <si>
    <t>AMZN.O,msuser:cmAUPLEBITDA20060530T0035524245,2013FY,,CY</t>
  </si>
  <si>
    <t>RHT.N,mscalc:operatingRevenueForConsensus,2007FY,,CY</t>
  </si>
  <si>
    <t>FTNT.O,mscalc:epsForConsensusForThomsonFeed,2013FY,,CY</t>
  </si>
  <si>
    <t>ADSK.O,mstag:otherOperatingExpenseChild,2009FY,,CY</t>
  </si>
  <si>
    <t>IL.N,mscalc:epsForConsensusForThomsonFeed,2011Q2,,CY</t>
  </si>
  <si>
    <t>CTXS.O,mstag:costOfSalesWithDepreciation,2013Q4,,CY</t>
  </si>
  <si>
    <t>WBSN.O,mscalc:epsForConsensusForThomsonFeed,2012Q3,,CY</t>
  </si>
  <si>
    <t>GUID.O,mscalc:generalAndAdministrativeExpensesCalc,2012Q4,,CY</t>
  </si>
  <si>
    <t>MKTG.O,mscalc:operatingRevenueForConsensus,2007FY,,CY</t>
  </si>
  <si>
    <t>ADBE.O,mstag:marketingAndDistributionCosts,2008Q4,,CY</t>
  </si>
  <si>
    <t>SYMC.O,mstag:researchAndDevelopment,2010Q1,,CY</t>
  </si>
  <si>
    <t>RHT.N,mstag:researchAndDevelopment,2010Q4,,CY</t>
  </si>
  <si>
    <t>ADBE.O,mstag:revenueNet,2010Q1,,CY</t>
  </si>
  <si>
    <t>CHKP.O,mscalc:epsForConsensusForThomsonFeed,2009Q3,,CY</t>
  </si>
  <si>
    <t>GUID.O,mstag:costOfSalesWithoutDepreciation,2009Q2,,CY</t>
  </si>
  <si>
    <t>AKAM.O,mstag:marketingAndDistributionCosts,2010Q2,,CY</t>
  </si>
  <si>
    <t>FTNT.O,mscalc:generalAndAdministrativeExpensesCalc,2011Q4,,CY</t>
  </si>
  <si>
    <t>AMD.N,mscalc:dilutedEarningsPerShare,2007FY,,CY</t>
  </si>
  <si>
    <t>SFSF.N,mstag:costOfSalesWithDepreciation,2010Q1,,CY</t>
  </si>
  <si>
    <t>SREV.O,mscalc:epsForConsensusForThomsonFeed,2013Q4,,CY</t>
  </si>
  <si>
    <t>INTU.O,mstag:costOfSalesWithDepreciation,2008Q3,,CY</t>
  </si>
  <si>
    <t>GUID.O,mscalc:generalAndAdministrativeExpensesCalc,2009Q3,,CY</t>
  </si>
  <si>
    <t>TLEO.O,mstag:marketingAndDistributionCosts,2009Q1,,CY</t>
  </si>
  <si>
    <t>AMZN.O,msuser:cmAUPLEBITDA20060530T0035524245,2007FY,,CY</t>
  </si>
  <si>
    <t>SREV.O,mstag:revenueNet,2012Q2,,CY</t>
  </si>
  <si>
    <t>TLEO.O,mscalc:epsForConsensusForThomsonFeed,2013Q2,,CY</t>
  </si>
  <si>
    <t>IL.N,mstag:researchAndDevelopment,2012Q2,,CY</t>
  </si>
  <si>
    <t>CTXS.O,mstag:researchAndDevelopment,2011Q4,,CY</t>
  </si>
  <si>
    <t>ADP.O,mscalc:epsForConsensusForThomsonFeed,2011FY,,CY</t>
  </si>
  <si>
    <t>SWI.N,mstag:marketingAndDistributionCosts,2013Q4,,CY</t>
  </si>
  <si>
    <t>N.N,mstag:marketingAndDistributionCosts,2008Q3,,CY</t>
  </si>
  <si>
    <t>JIVE.O,mscalc:generalAndAdministrativeExpensesCalc,2008FY,,CY</t>
  </si>
  <si>
    <t>TLEO.O,mstag:researchAndDevelopment,2011Q3,,CY</t>
  </si>
  <si>
    <t>CHKP.O,mscalc:generalAndAdministrativeExpensesCalc,2010Q1,,CY</t>
  </si>
  <si>
    <t>VMW.N,mscalc:epsForConsensusForThomsonFeed,2012FY,,CY</t>
  </si>
  <si>
    <t>TLEO.O,mscalc:generalAndAdministrativeExpensesCalc,2011FY,,CY</t>
  </si>
  <si>
    <t>ORCL.O,mstag:marketingAndDistributionCosts,2012Q1,,CY</t>
  </si>
  <si>
    <t>WBSN.O,mscalc:generalAndAdministrativeExpensesCalc,2013Q4,,CY</t>
  </si>
  <si>
    <t>NFLX.O,msuser:cmAUPLEBITDA20060530T0035524245,2011FY,,CY</t>
  </si>
  <si>
    <t>RHT.N,mstag:revenueNet,2008Q1,,CY</t>
  </si>
  <si>
    <t>QLIK.O,mscalc:epsForConsensusForThomsonFeed,2009Q4,,CY</t>
  </si>
  <si>
    <t>SFSF.N,mstag:companyReportedRevenue,2011Q3,,CY</t>
  </si>
  <si>
    <t>N.N,mstag:marketingAndDistributionCosts,2009FY,,CY</t>
  </si>
  <si>
    <t>CTXS.O,mscalc:epsForConsensusForThomsonFeed,2008Q1,,CY</t>
  </si>
  <si>
    <t>SWI.N,mstag:costOfSalesWithDepreciation,2012FY,,CY</t>
  </si>
  <si>
    <t>SFSF.N,mstag:researchAndDevelopment,2012Q4,,CY</t>
  </si>
  <si>
    <t>VRSN.O,mstag:marketingAndDistributionCosts,2010FY,,CY</t>
  </si>
  <si>
    <t>ADSK.O,mscalc:operatingRevenueForConsensus,2011FY,,CY</t>
  </si>
  <si>
    <t>QLIK.O,mscalc:generalAndAdministrativeExpensesCalc,2009Q1,,CY</t>
  </si>
  <si>
    <t>RHT.N,mstag:marketingAndDistributionCosts,2009Q2,,CY</t>
  </si>
  <si>
    <t>RHT.N,mstag:costOfSalesWithDepreciation,2013FY,,CY</t>
  </si>
  <si>
    <t>RHT.N,mstag:researchAndDevelopment,2009Q3,,CY</t>
  </si>
  <si>
    <t>SYMC.O,mstag:marketingAndDistributionCosts,2013Q2,,CY</t>
  </si>
  <si>
    <t>GRPN.O,mscalc:operatingRevenueForConsensus,2011FY,,CY</t>
  </si>
  <si>
    <t>SREV.O,mscalc:epsForConsensusForThomsonFeed,2010Q3,,CY</t>
  </si>
  <si>
    <t>SAPG.DE,mstag:costOfServicesSold,2007FY,,CY</t>
  </si>
  <si>
    <t>SAPG.DE,mstag:researchAndDevelopment,2010FY,,CY</t>
  </si>
  <si>
    <t>SREV.O,mstag:researchAndDevelopment,2009Q2,,CY</t>
  </si>
  <si>
    <t>FTNT.O,mstag:costOfSalesWithDepreciation,2007FY,,CY</t>
  </si>
  <si>
    <t>ADBE.O,mstag:researchAndDevelopment,2010Q1,,CY</t>
  </si>
  <si>
    <t>IL.N,mstag:marketingAndDistributionCosts,2010Q4,,CY</t>
  </si>
  <si>
    <t>CRM.N,mstag:costOfSalesWithDepreciation,2010Q3,,CY</t>
  </si>
  <si>
    <t>SYMC.O,mscalc:generalAndAdministrativeExpensesCalc,2009FY,,CY</t>
  </si>
  <si>
    <t>N.N,mstag:costOfSalesWithDepreciation,2010Q2,,CY</t>
  </si>
  <si>
    <t>QLIK.O,mstag:marketingAndDistributionCosts,2011Q4,,CY</t>
  </si>
  <si>
    <t>VMW.N,mstag:marketingCosts,2012Q2,,CY</t>
  </si>
  <si>
    <t>VMW.N,mstag:otherOperatingExpenseChild,2012FY,,CY</t>
  </si>
  <si>
    <t>MSFT.O,mstag:costOfSalesWithDepreciation,2010Q2,,CY</t>
  </si>
  <si>
    <t>DMAN.O,mstag:marketingAndDistributionCosts,2010Q2,,CY</t>
  </si>
  <si>
    <t>ADP.O,mscalc:dilutedEarningsPerShare,2008FY,,CY</t>
  </si>
  <si>
    <t>INTU.O,mscalc:generalAndAdministrativeExpensesCalc,2009FY,,CY</t>
  </si>
  <si>
    <t>RHT.N,mstag:revenueNet,2013Q1,,CY</t>
  </si>
  <si>
    <t>ADSK.O,mstag:marketingAndDistributionCosts,2012Q4,,CY</t>
  </si>
  <si>
    <t>CRM.N,mstag:researchAndDevelopment,2008Q1,,CY</t>
  </si>
  <si>
    <t>GUID.O,mstag:marketingAndDistributionCosts,2013Q4,,CY</t>
  </si>
  <si>
    <t>QLIK.O,mscalc:operatingRevenueForConsensus,2007FY,,CY</t>
  </si>
  <si>
    <t>TLEO.O,mstag:marketingAndDistributionCosts,2008Q2,,CY</t>
  </si>
  <si>
    <t>SFSF.N,mstag:companyReportedRevenue,2011Q2,,CY</t>
  </si>
  <si>
    <t>TLEO.O,mscalc:epsForConsensusForThomsonFeed,2011Q2,,CY</t>
  </si>
  <si>
    <t>MSFT.O,mscalc:epsForConsensusForThomsonFeed,2013Q4,,CY</t>
  </si>
  <si>
    <t>CHKP.O,mscalc:epsForConsensusForThomsonFeed,2008FY,,CY</t>
  </si>
  <si>
    <t>CTXS.O,mstag:sellingGeneralAndAdministrativeExpenses,2012FY,,CY</t>
  </si>
  <si>
    <t>INTU.O,mstag:marketingAndDistributionCosts,2009Q1,,CY</t>
  </si>
  <si>
    <t>IL.N,mstag:averageDilutedSharesOutstanding,2011Q3,,CY</t>
  </si>
  <si>
    <t>ADSK.O,mscalc:epsForConsensusForThomsonFeed,2010Q4,,CY</t>
  </si>
  <si>
    <t>SWI.N,mstag:revenueNet,2012Q2,,CY</t>
  </si>
  <si>
    <t>IL.N,mscalc:generalAndAdministrativeExpensesCalc,2011FY,,CY</t>
  </si>
  <si>
    <t>QLIK.O,mscalc:generalAndAdministrativeExpensesCalc,2010Q1,,CY</t>
  </si>
  <si>
    <t>ORCL.O,mscalc:yearEndMonth</t>
  </si>
  <si>
    <t>CTXS.O,mstag:costOfSalesWithDepreciation,2010Q3,,CY</t>
  </si>
  <si>
    <t>DMAN.O,mscalc:generalAndAdministrativeExpensesCalc,2012Q3,,CY</t>
  </si>
  <si>
    <t>IL.N,mstag:revenueNet,2012Q3,,CY</t>
  </si>
  <si>
    <t>SFSF.N,mscalc:epsForConsensusForThomsonFeed,2008Q4,,CY</t>
  </si>
  <si>
    <t>CVG.N,msuser:cmAUPLEBITDA20060530T0035524245,2013FY,,CY</t>
  </si>
  <si>
    <t>CHKP.O,mstag:marketingAndDistributionCosts,2009FY,,CY</t>
  </si>
  <si>
    <t>NFLX.O,mscalc:epsForConsensusForThomsonFeed,2013FY,,CY</t>
  </si>
  <si>
    <t>MSFT.O,mstag:marketingAndDistributionCosts,2007FY,,CY</t>
  </si>
  <si>
    <t>SYMC.O,mstag:costOfSalesWithDepreciation,2008Q3,,CY</t>
  </si>
  <si>
    <t>ORCL.O,mstag:companyReportedRevenue,2011Q4,,CY</t>
  </si>
  <si>
    <t>ORCL.O,mstag:costOfSalesWithDepreciation,2012Q1,,CY</t>
  </si>
  <si>
    <t>MSFT.O,mstag:costOfSalesWithDepreciation,2007FY,,CY</t>
  </si>
  <si>
    <t>CTXS.O,mstag:softwareProductRevenues,2009FY,,CY</t>
  </si>
  <si>
    <t>ZNGA.O,msuser:cmAUPLEBITDA20060530T0035524245,2008FY,,CY</t>
  </si>
  <si>
    <t>MKTG.O,mstag:revenueNet,2013Q3,,CY</t>
  </si>
  <si>
    <t>N.N,mscalc:epsForConsensusForThomsonFeed,2012Q1,,CY</t>
  </si>
  <si>
    <t>ADBE.O,mstag:marketingAndDistributionCosts,2013Q3,,CY</t>
  </si>
  <si>
    <t>INTU.O,mstag:marketingAndDistributionCosts,2012Q2,,CY</t>
  </si>
  <si>
    <t>SYMC.O,mstag:revenueNet,2012Q1,,CY</t>
  </si>
  <si>
    <t>VMW.N,mstag:researchAndDevelopment,2009Q2,,CY</t>
  </si>
  <si>
    <t>VMW.N,mstag:costOfSalesWithDepreciation,2008Q1,,CY</t>
  </si>
  <si>
    <t>SREV.O,mstag:marketingAndDistributionCosts,2008Q2,,CY</t>
  </si>
  <si>
    <t>INTU.O,mstag:costOfSalesWithDepreciation,2009Q4,,CY</t>
  </si>
  <si>
    <t>ADP.O,msuser:cmAUPLEBITDA20060530T0035524245,2012FY,,CY</t>
  </si>
  <si>
    <t>INTU.O,mscalc:epsForConsensusForThomsonFeed,2008Q3,,CY</t>
  </si>
  <si>
    <t>INTU.O,mstag:researchAndDevelopment,2010Q4,,CY</t>
  </si>
  <si>
    <t>ADSK.O,mstag:marketingAndDistributionCosts,2007FY,,CY</t>
  </si>
  <si>
    <t>QLIK.O,mscalc:generalAndAdministrativeExpensesCalc,2012Q4,,CY</t>
  </si>
  <si>
    <t>GOOG.O,mscalc:epsForConsensusForThomsonFeed,2010FY,,CY</t>
  </si>
  <si>
    <t>FIRE.O,mstag:revenueNet,2009Q3,,CY</t>
  </si>
  <si>
    <t>SWI.N,mstag:revenueNet,2012Q3,,CY</t>
  </si>
  <si>
    <t>QLIK.O,mscalc:generalAndAdministrativeExpensesCalc,2011Q1,,CY</t>
  </si>
  <si>
    <t>ORCL.O,mstag:costOfSalesWithDepreciation,2012Q3,,CY</t>
  </si>
  <si>
    <t>AKAM.O,mstag:marketingAndDistributionCosts,2013Q3,,CY</t>
  </si>
  <si>
    <t>AKAM.O,mscalc:generalAndAdministrativeExpensesCalc,2013Q1,,CY</t>
  </si>
  <si>
    <t>N.N,mscalc:epsForConsensusForThomsonFeed,2013Q1,,CY</t>
  </si>
  <si>
    <t>MKTG.O,mstag:researchAndDevelopment,2012Q1,,CY</t>
  </si>
  <si>
    <t>ADBE.O,mstag:revenueNet,2009Q1,,CY</t>
  </si>
  <si>
    <t>INTU.O,mstag:costOfSalesWithDepreciation,2008Q4,,CY</t>
  </si>
  <si>
    <t>ADP.O,msuser:cmAUPLEBITDA20060530T0035524245,2013FY,,CY</t>
  </si>
  <si>
    <t>EMC.N,mscalc:operatingRevenueForConsensus,2012FY,,CY</t>
  </si>
  <si>
    <t>SFSF.N,mstag:marketingAndDistributionCosts,2009Q3,,CY</t>
  </si>
  <si>
    <t>QLIK.O,mstag:costOfSalesWithDepreciation,2013Q4,,CY</t>
  </si>
  <si>
    <t>RHT.N,mscalc:generalAndAdministrativeExpensesCalc,2013Q4,,CY</t>
  </si>
  <si>
    <t>INFA.O,mscalc:epsForConsensusForThomsonFeed,2012FY,,CY</t>
  </si>
  <si>
    <t>N.N,mstag:costOfSalesWithDepreciation,2012Q1,,CY</t>
  </si>
  <si>
    <t>Modelware EPS (Diluted)**</t>
  </si>
  <si>
    <t>Including FV Stock Option Expense, Excluding Special Charges</t>
  </si>
  <si>
    <t>RHT.N,mscalc:epsForConsensusForThomsonFeed,2012Q2,,CY</t>
  </si>
  <si>
    <t>MKTG.O,mstag:revenueNet,2011Q2,,CY</t>
  </si>
  <si>
    <t>RHT.N,mstag:marketingAndDistributionCosts,2012Q2,,CY</t>
  </si>
  <si>
    <t>DMAN.O,mstag:marketingAndDistributionCosts,2008Q2,,CY</t>
  </si>
  <si>
    <t>SYMC.O,mscalc:generalAndAdministrativeExpensesCalc,2013Q2,,CY</t>
  </si>
  <si>
    <t>CRM.N,mstag:revenueNet,2008Q2,,CY</t>
  </si>
  <si>
    <t>JIVE.O,mstag:researchAndDevelopment,2011FY,,CY</t>
  </si>
  <si>
    <t>SREV.O,mstag:longTermDebt,2011Q3,,CY</t>
  </si>
  <si>
    <t>QLIK.O,mscalc:epsForConsensusForThomsonFeed,2013Q2,,CY</t>
  </si>
  <si>
    <t>CHKP.O,mstag:costOfSalesWithDepreciation,2011Q3,,CY</t>
  </si>
  <si>
    <t>SREV.O,mscalc:operatingRevenueForConsensus,2010FY,,CY</t>
  </si>
  <si>
    <t>WBSN.O,mscalc:epsForConsensusForThomsonFeed,2008Q1,,CY</t>
  </si>
  <si>
    <t>ORCL.O,mstag:companyReportedRevenue,2008FY,,CY</t>
  </si>
  <si>
    <t>EMC.N,msuser:cmAUPLEBITDA20060530T0035524245,2011FY,,CY</t>
  </si>
  <si>
    <t>MSFT.O,mscalc:epsForConsensusForThomsonFeed,2008FY,,CY</t>
  </si>
  <si>
    <t>DMAN.O,mstag:costOfSalesWithDepreciation,2010Q4,,CY</t>
  </si>
  <si>
    <t>ADSK.O,mscalc:generalAndAdministrativeExpensesCalc,2010Q1,,CY</t>
  </si>
  <si>
    <t>WBSN.O,mstag:revenueNet,2012Q1,,CY</t>
  </si>
  <si>
    <t>TLEO.O,mstag:researchAndDevelopment,2011FY,,CY</t>
  </si>
  <si>
    <t>JIVE.O,mstag:otherOperatingExpenseChild,2009FY,,CY</t>
  </si>
  <si>
    <t>SWI.N,mstag:averageDilutedSharesOutstanding,2011Q3,,CY</t>
  </si>
  <si>
    <t>MSFT.O,mstag:costOfSalesWithDepreciation,2012Q4,,CY</t>
  </si>
  <si>
    <t>CVG.N,mscalc:operatingRevenueForConsensus,2011FY,,CY</t>
  </si>
  <si>
    <t>IL.N,mstag:researchAndDevelopment,2008Q3,,CY</t>
  </si>
  <si>
    <t>MKTG.O,mstag:costOfSalesWithDepreciation,2010Q1,,CY</t>
  </si>
  <si>
    <t>CRM.N,mstag:researchAndDevelopment,2007FY,,CY</t>
  </si>
  <si>
    <t>RHT.N,mstag:longTermDebt,2011Q4,,CY</t>
  </si>
  <si>
    <t>CHKP.O,mstag:researchAndDevelopment,2009FY,,CY</t>
  </si>
  <si>
    <t>DMAN.O,mstag:costOfSalesWithDepreciation,2013Q4,,CY</t>
  </si>
  <si>
    <t>RHT.N,mstag:revenueNet,2012Q1,,CY</t>
  </si>
  <si>
    <t>INTC.O,mscalc:operatingRevenueForConsensus,2013FY,,CY</t>
  </si>
  <si>
    <t>INTU.O,mstag:marketingAndDistributionCosts,2011Q1,,CY</t>
  </si>
  <si>
    <t>TLEO.O,mstag:costOfSalesWithDepreciation,2010FY,,CY</t>
  </si>
  <si>
    <t>RHT.N,mstag:marketingAndDistributionCosts,2009Q1,,CY</t>
  </si>
  <si>
    <t>RHT.N,mstag:marketingAndDistributionCosts,2012Q1,,CY</t>
  </si>
  <si>
    <t>AMAT.O,mscalc:stockRating</t>
  </si>
  <si>
    <t>MSFT.O,mstag:otherOperatingExpenseChild,2008FY,,CY</t>
  </si>
  <si>
    <t>INTU.O,mscalc:generalAndAdministrativeExpensesCalc,2013Q4,,CY</t>
  </si>
  <si>
    <t>MSFT.O,mscalc:epsForConsensusForThomsonFeed,2009Q1,,CY</t>
  </si>
  <si>
    <t>CTXS.O,mstag:researchAndDevelopment,2012FY,,CY</t>
  </si>
  <si>
    <t>FTNT.O,mstag:revenueNet,2011Q4,,CY</t>
  </si>
  <si>
    <t>CTXS.O,mstag:marketingCosts,2013Q3,,CY</t>
  </si>
  <si>
    <t>INTU.O,mstag:costOfSalesWithDepreciation,2009Q1,,CY</t>
  </si>
  <si>
    <t>MSFT.O,mscalc:generalAndAdministrativeExpensesCalc,2009Q2,,CY</t>
  </si>
  <si>
    <t>FIRE.O,mstag:researchAndDevelopment,2012Q1,,CY</t>
  </si>
  <si>
    <t>MKTG.O,mstag:costOfSalesWithDepreciation,2012Q3,,CY</t>
  </si>
  <si>
    <t>VMW.N,mstag:otherLongTermDebtCi,2011Q4,,CY</t>
  </si>
  <si>
    <t>ORCL.O,mstag:marketingAndDistributionCosts,2012Q2,,CY</t>
  </si>
  <si>
    <t>DMAN.O,mstag:costOfSalesWithDepreciation,2008Q4,,CY</t>
  </si>
  <si>
    <t>N.N,mstag:researchAndDevelopment,2011FY,,CY</t>
  </si>
  <si>
    <t>CHKP.O,mstag:costOfSalesWithDepreciation,2013FY,,CY</t>
  </si>
  <si>
    <t>QLIK.O,mstag:otherOperatingExpenseChild,2010FY,,CY</t>
  </si>
  <si>
    <t>TLEO.O,mstag:marketingAndDistributionCosts,2010Q1,,CY</t>
  </si>
  <si>
    <t>CTXS.O,mstag:revenueNet,2012Q4,,CY</t>
  </si>
  <si>
    <t>ADBE.O,mscalc:generalAndAdministrativeExpensesCalc,2007FY,,CY</t>
  </si>
  <si>
    <t>SREV.O,mstag:marketingAndDistributionCosts,2012Q3,,CY</t>
  </si>
  <si>
    <t>MSFT.O,mscalc:generalAndAdministrativeExpensesCalc,2010Q4,,CY</t>
  </si>
  <si>
    <t>HRB.N,mscalc:operatingRevenueForConsensus,2010FY,,CY</t>
  </si>
  <si>
    <t>INTU.O,mstag:marketingAndDistributionCosts,2012Q4,,CY</t>
  </si>
  <si>
    <t>GUID.O,mstag:marketingAndDistributionCosts,2012Q4,,CY</t>
  </si>
  <si>
    <t>CRM.N,mstag:costOfSalesWithDepreciation,2009Q2,,CY</t>
  </si>
  <si>
    <t>MKTG.O,mscalc:operatingRevenueForConsensus,2010FY,,CY</t>
  </si>
  <si>
    <t>CRM.N,mscalc:generalAndAdministrativeExpensesCalc,2009Q4,,CY</t>
  </si>
  <si>
    <t>INTU.O,mstag:costOfSalesWithDepreciation,2009Q2,,CY</t>
  </si>
  <si>
    <t>Deferred Revenues</t>
  </si>
  <si>
    <t>% of Revenues</t>
  </si>
  <si>
    <t>Accumulated Other Comprehensive Income</t>
  </si>
  <si>
    <t>Statutory Tax Rate</t>
  </si>
  <si>
    <t>AKAM.O,mscalc:generalAndAdministrativeExpensesCalc,2012Q1,,CY</t>
  </si>
  <si>
    <t>CTXS.O,mstag:marketingCosts,2012Q1,,CY</t>
  </si>
  <si>
    <t>ADBE.O,mstag:researchAndDevelopment,2011Q2,,CY</t>
  </si>
  <si>
    <t>ADSK.O,mstag:revenueNet,2012Q1,,CY</t>
  </si>
  <si>
    <t xml:space="preserve">   QoQ in Guidance</t>
  </si>
  <si>
    <t xml:space="preserve">   Actual vs. Mid-point of Guide</t>
  </si>
  <si>
    <t>CTXS.O,mscalc:epsForConsensusForThomsonFeed,2012Q2,,CY</t>
  </si>
  <si>
    <t>SWI.N,mscalc:epsForConsensusForThomsonFeed,2009Q4,,CY</t>
  </si>
  <si>
    <t>TLEO.O,mstag:revenueNet,2009Q2,,CY</t>
  </si>
  <si>
    <t>INTU.O,mstag:marketingAndDistributionCosts,2010Q4,,CY</t>
  </si>
  <si>
    <t>DST.N,mscalc:epsForConsensusForThomsonFeed,2012FY,,CY</t>
  </si>
  <si>
    <t>INTU.O,mstag:researchAndDevelopment,2013Q3,,CY</t>
  </si>
  <si>
    <t>SREV.O,mstag:researchAndDevelopment,2012Q1,,CY</t>
  </si>
  <si>
    <t>SAPG.DE,mstag:otherOperatingExpenseChild,2009FY,,CY</t>
  </si>
  <si>
    <t>IL.N,mstag:costOfSalesWithDepreciation,2012FY,,CY</t>
  </si>
  <si>
    <t>INTC.O,mscalc:epsForConsensusForThomsonFeed,2013FY,,CY</t>
  </si>
  <si>
    <t>MSFT.O,mstag:revenueNet,2011Q1,,CY</t>
  </si>
  <si>
    <t>JIVE.O,mscalc:epsForConsensusForThomsonFeed,2010FY,,CY</t>
  </si>
  <si>
    <t>GUID.O,mstag:revenueNet,2012Q4,,CY</t>
  </si>
  <si>
    <t>WBSN.O,mstag:revenueNet,2012Q2,,CY</t>
  </si>
  <si>
    <t>SWI.N,mstag:researchAndDevelopment,2011Q3,,CY</t>
  </si>
  <si>
    <t>MKTG.O,mstag:costOfSalesWithDepreciation,2012FY,,CY</t>
  </si>
  <si>
    <t>ORCL.O,mstag:companyReportedRevenue,2013Q3,,CY</t>
  </si>
  <si>
    <t>CHKP.O,mstag:researchAndDevelopment,2010Q2,,CY</t>
  </si>
  <si>
    <t>CHKP.O,mscalc:epsForConsensusForThomsonFeed,2011Q4,,CY</t>
  </si>
  <si>
    <t>RHT.N,mscalc:generalAndAdministrativeExpensesCalc,2008Q1,,CY</t>
  </si>
  <si>
    <t>INFA.O,mscalc:generalAndAdministrativeExpensesCalc,2008FY,,CY</t>
  </si>
  <si>
    <t>INTC.O,mscalc:yearEndMonth</t>
  </si>
  <si>
    <t>SYMC.O,mscalc:epsForConsensusForThomsonFeed,2012Q4,,CY</t>
  </si>
  <si>
    <t>ORCL.O,mstag:marketingAndDistributionCosts,2010Q3,,CY</t>
  </si>
  <si>
    <t>ADBE.O,mstag:revenueNet,2009Q4,,CY</t>
  </si>
  <si>
    <t>CTXS.O,mstag:sellingGeneralAndAdministrativeExpenses,2010Q4,,CY</t>
  </si>
  <si>
    <t>CVG.N,mscalc:yearEndMonth</t>
  </si>
  <si>
    <t>FTNT.O,mstag:otherOperatingExpenseChild,2013FY,,CY</t>
  </si>
  <si>
    <t>SWI.N,mscalc:operatingRevenueForConsensus,2007FY,,CY</t>
  </si>
  <si>
    <t>DST.N,mscalc:operatingRevenueForConsensus,2011FY,,CY</t>
  </si>
  <si>
    <t>FIRE.O,mstag:researchAndDevelopment,2008Q1,,CY</t>
  </si>
  <si>
    <t>RHT.N,mstag:researchAndDevelopment,2013Q4,,CY</t>
  </si>
  <si>
    <t>FIRE.O,mstag:revenueNet,2010Q4,,CY</t>
  </si>
  <si>
    <t>CHKP.O,mstag:researchAndDevelopment,2011Q1,,CY</t>
  </si>
  <si>
    <t>7/12</t>
  </si>
  <si>
    <t>RHT.N,mstag:researchAndDevelopment,2007FY,,CY</t>
  </si>
  <si>
    <t>CHKP.O,mstag:revenueNet,2012Q3,,CY</t>
  </si>
  <si>
    <t>DMAN.O,mscalc:generalAndAdministrativeExpensesCalc,2011Q3,,CY</t>
  </si>
  <si>
    <t>MKTG.O,mstag:costOfSalesWithDepreciation,2011FY,,CY</t>
  </si>
  <si>
    <t>FTNT.O,mstag:researchAndDevelopment,2012Q4,,CY</t>
  </si>
  <si>
    <t>SYMC.O,mstag:revenueNet,2011Q2,,CY</t>
  </si>
  <si>
    <t>MKTG.O,mscalc:generalAndAdministrativeExpensesCalc,2008Q4,,CY</t>
  </si>
  <si>
    <t>FTNT.O,mscalc:generalAndAdministrativeExpensesCalc,2009Q4,,CY</t>
  </si>
  <si>
    <t>WBSN.O,mstag:researchAndDevelopment,2011FY,,CY</t>
  </si>
  <si>
    <t>FIRE.O,mstag:researchAndDevelopment,2010Q2,,CY</t>
  </si>
  <si>
    <t>CRM.N,mstag:longTermInvestmentsNonOperating,2011Q3,,CY</t>
  </si>
  <si>
    <t>WBSN.O,mscalc:epsForConsensusForThomsonFeed,2008Q3,,CY</t>
  </si>
  <si>
    <t>FISV.O,msuser:cmAUPLEBITDA20060530T0035524245,2012FY,,CY</t>
  </si>
  <si>
    <t>CNQR.O,mstag:marketingAndDistributionCosts,2011FY,,CY</t>
  </si>
  <si>
    <t>AKAM.O,mscalc:epsForConsensusForThomsonFeed,2013Q4,,CY</t>
  </si>
  <si>
    <t>MSFT.O,mscalc:generalAndAdministrativeExpensesCalc,2013FY,,CY</t>
  </si>
  <si>
    <t>FTNT.O,mscalc:epsForConsensusForThomsonFeed,2010Q2,,CY</t>
  </si>
  <si>
    <t>CTXS.O,mstag:researchAndDevelopment,2008Q3,,CY</t>
  </si>
  <si>
    <t>RNOW.O,mstag:researchAndDevelopment,2009Q4,,CY</t>
  </si>
  <si>
    <t>WBSN.O,mscalc:epsForConsensusForThomsonFeed,2009Q4,,CY</t>
  </si>
  <si>
    <t>N.N,mstag:marketingAndDistributionCosts,2011Q2,,CY</t>
  </si>
  <si>
    <t>TLEO.O,mstag:cashAndCashEquivalents,2011Q3,,CY</t>
  </si>
  <si>
    <t>CNQR.O,mstag:researchAndDevelopment,2013FY,,CY</t>
  </si>
  <si>
    <t>GUID.O,mscalc:generalAndAdministrativeExpensesCalc,2011Q1,,CY</t>
  </si>
  <si>
    <t>FIRE.O,mscalc:generalAndAdministrativeExpensesCalc,2013Q1,,CY</t>
  </si>
  <si>
    <t>IL.N,mscalc:epsForConsensusForThomsonFeed,2010FY,,CY</t>
  </si>
  <si>
    <t>FIRE.O,mstag:costOfSalesWithoutDepreciation,2010Q3,,CY</t>
  </si>
  <si>
    <t>ADBE.O,mstag:costOfSalesWithDepreciation,2010Q2,,CY</t>
  </si>
  <si>
    <t>ADSK.O,mscalc:generalAndAdministrativeExpensesCalc,2009FY,,CY</t>
  </si>
  <si>
    <t>MSFT.O,mscalc:generalAndAdministrativeExpensesCalc,2007FY,,CY</t>
  </si>
  <si>
    <t>GUID.O,mstag:marketingAndDistributionCosts,2011Q4,,CY</t>
  </si>
  <si>
    <t>VRSN.O,mstag:costOfSalesWithDepreciation,2011FY,,CY</t>
  </si>
  <si>
    <t>VMW.N,mstag:sellingGeneralAndAdministrativeExpenses,2011FY,,CY</t>
  </si>
  <si>
    <t>WBSN.O,mstag:costOfSalesWithDepreciation,2011Q1,,CY</t>
  </si>
  <si>
    <t>MSFT.O,mstag:revenueNet,2011Q4,,CY</t>
  </si>
  <si>
    <t>FTNT.O,mscalc:epsForConsensusForThomsonFeed,2007FY,,CY</t>
  </si>
  <si>
    <t>NA,mstag:costOfSalesWithDepreciation,2011FY,,CY</t>
  </si>
  <si>
    <t>QLIK.O,mstag:researchAndDevelopment,2008Q1,,CY</t>
  </si>
  <si>
    <t>SAPG.DE,mstag:costOfServicesSold,2012FY,,CY</t>
  </si>
  <si>
    <t>VMW.N,mstag:costOfSalesWithDepreciation,2009Q1,,CY</t>
  </si>
  <si>
    <t>FISV.O,mscalc:operatingRevenueForConsensus,2010FY,,CY</t>
  </si>
  <si>
    <t>DMAN.O,mstag:researchAndDevelopment,2011Q4,,CY</t>
  </si>
  <si>
    <t>SYMC.O,mscalc:epsForConsensusForThomsonFeed,2009Q3,,CY</t>
  </si>
  <si>
    <t>CRM.N,mstag:revenueNet,2013Q4,,CY</t>
  </si>
  <si>
    <t>GUID.O,mstag:costOfSalesWithoutDepreciation,2011Q2,,CY</t>
  </si>
  <si>
    <t>CHKP.O,mscalc:generalAndAdministrativeExpensesCalc,2011FY,,CY</t>
  </si>
  <si>
    <t>VMW.N,mstag:revenueNet,2008Q3,,CY</t>
  </si>
  <si>
    <t>SWI.N,mscalc:targetPrice</t>
  </si>
  <si>
    <t>SREV.O,mscalc:epsForConsensusForThomsonFeed,2013Q2,,CY</t>
  </si>
  <si>
    <t>IL.N,mscalc:generalAndAdministrativeExpensesCalc,2012Q2,,CY</t>
  </si>
  <si>
    <t>WBSN.O,mstag:costOfSalesWithDepreciation,2010Q3,,CY</t>
  </si>
  <si>
    <t>LNKD.N,msuser:cmAUPLEBITDA20060530T0035524245,2010FY,,CY</t>
  </si>
  <si>
    <t>MSFT.O,mscalc:epsForConsensusForThomsonFeed,2008Q3,,CY</t>
  </si>
  <si>
    <t>ADBE.O,mstag:researchAndDevelopment,2013Q2,,CY</t>
  </si>
  <si>
    <t>INTU.O,mscalc:generalAndAdministrativeExpensesCalc,2012Q4,,CY</t>
  </si>
  <si>
    <t>AMD.N,mscalc:operatingRevenueForConsensus,2008FY,,CY</t>
  </si>
  <si>
    <t>DST.N,msuser:cmAUPLEBITDA20060530T0035524245,2009FY,,CY</t>
  </si>
  <si>
    <t>CHKP.O,mscalc:generalAndAdministrativeExpensesCalc,2008Q1,,CY</t>
  </si>
  <si>
    <t>SWI.N,mscalc:generalAndAdministrativeExpensesCalc,2008FY,,CY</t>
  </si>
  <si>
    <t>RHT.N,mstag:marketingAndDistributionCosts,2010FY,,CY</t>
  </si>
  <si>
    <t>MKTG.O,mstag:marketingAndDistributionCosts,2012Q4,,CY</t>
  </si>
  <si>
    <t>SFSF.N,mstag:marketingAndDistributionCosts,2012Q3,,CY</t>
  </si>
  <si>
    <t>AKAM.O,mscalc:generalAndAdministrativeExpensesCalc,2010Q4,,CY</t>
  </si>
  <si>
    <t>WBSN.O,mscalc:epsForConsensusForThomsonFeed,2011FY,,CY</t>
  </si>
  <si>
    <t>VMW.N,mstag:costOfSalesWithDepreciation,2008Q3,,CY</t>
  </si>
  <si>
    <t>ADSK.O,mstag:costOfSalesWithDepreciation,2011Q4,,CY</t>
  </si>
  <si>
    <t>CTXS.O,mstag:sellingGeneralAndAdministrativeExpenses,2013Q4,,CY</t>
  </si>
  <si>
    <t>FTNT.O,mstag:marketingAndDistributionCosts,2009Q2,,CY</t>
  </si>
  <si>
    <t>INTC.O,mscalc:epsForConsensusForThomsonFeed,2010FY,,CY</t>
  </si>
  <si>
    <t>CHKP.O,mstag:otherOperatingExpenseChild,2012FY,,CY</t>
  </si>
  <si>
    <t>SYMC.O,mscalc:stockRating</t>
  </si>
  <si>
    <t>WBSN.O,mstag:shortTermBorrowings,2011Q4,,CY</t>
  </si>
  <si>
    <t>QLIK.O,mscalc:operatingRevenueForConsensus,2013FY,,CY</t>
  </si>
  <si>
    <t>MKTG.O,mscalc:generalAndAdministrativeExpensesCalc,2012Q4,,CY</t>
  </si>
  <si>
    <t>MKTG.O,mstag:marketingAndDistributionCosts,2007FY,,CY</t>
  </si>
  <si>
    <t>GUID.O,mscalc:generalAndAdministrativeExpensesCalc,2008Q1,,CY</t>
  </si>
  <si>
    <t>SYMC.O,mstag:researchAndDevelopment,2009Q1,,CY</t>
  </si>
  <si>
    <t>ORCL.O,mstag:researchAndDevelopment,2009Q3,,CY</t>
  </si>
  <si>
    <t>INTU.O,mscalc:epsForConsensusForThomsonFeed,2008FY,,CY</t>
  </si>
  <si>
    <t>MSFT.O,mscalc:operatingRevenueForConsensus,2012FY,,CY</t>
  </si>
  <si>
    <t>VRSN.O,mstag:otherOperatingExpenseChild,2009FY,,CY</t>
  </si>
  <si>
    <t>WBSN.O,mscalc:epsForConsensusForThomsonFeed,2009Q3,,CY</t>
  </si>
  <si>
    <t>FIRE.O,mstag:depreciationInIncomeStatement,2008Q2,,CY</t>
  </si>
  <si>
    <t>GUID.O,mscalc:generalAndAdministrativeExpensesCalc,2011Q2,,CY</t>
  </si>
  <si>
    <t>WBSN.O,mstag:researchAndDevelopment,2011Q1,,CY</t>
  </si>
  <si>
    <t>QLIK.O,mstag:researchAndDevelopment,2008Q3,,CY</t>
  </si>
  <si>
    <t>FTNT.O,mscalc:epsForConsensusForThomsonFeed,2012FY,,CY</t>
  </si>
  <si>
    <t>GUID.O,mscalc:epsForConsensusForThomsonFeed,2012Q4,,CY</t>
  </si>
  <si>
    <t>SWI.N,mscalc:epsForConsensusForThomsonFeed,2011Q4,,CY</t>
  </si>
  <si>
    <t>ADSK.O,mscalc:generalAndAdministrativeExpensesCalc,2011Q3,,CY</t>
  </si>
  <si>
    <t>WBSN.O,mstag:marketingAndDistributionCosts,2013Q3,,CY</t>
  </si>
  <si>
    <t>CRM.N,mstag:marketingAndDistributionCosts,2011Q4,,CY</t>
  </si>
  <si>
    <t>IL.N,mstag:marketingAndDistributionCosts,2013Q4,,CY</t>
  </si>
  <si>
    <t>INTU.O,mscalc:epsForConsensusForThomsonFeed,2013Q1,,CY</t>
  </si>
  <si>
    <t>FIRE.O,mscalc:epsForConsensusForThomsonFeed,2012Q3,,CY</t>
  </si>
  <si>
    <t>FTNT.O,mstag:marketingAndDistributionCosts,2012Q1,,CY</t>
  </si>
  <si>
    <t>TLEO.O,mscalc:epsForConsensusForThomsonFeed,2008Q1,,CY</t>
  </si>
  <si>
    <t>SFSF.N,mstag:marketingAndDistributionCosts,2012Q2,,CY</t>
  </si>
  <si>
    <t>SYMC.O,mscalc:generalAndAdministrativeExpensesCalc,2013Q4,,CY</t>
  </si>
  <si>
    <t>AKAM.O,mstag:costOfSalesWithDepreciation,2008Q1,,CY</t>
  </si>
  <si>
    <t>INFA.O,mscalc:epsForConsensusForThomsonFeed,2010FY,,CY</t>
  </si>
  <si>
    <t>FTNT.O,mstag:revenueNet,2008Q1,,CY</t>
  </si>
  <si>
    <t>QLIK.O,mstag:costOfSalesWithDepreciation,2007FY,,CY</t>
  </si>
  <si>
    <t>GUID.O,mstag:revenueNet,2013Q3,,CY</t>
  </si>
  <si>
    <t>CTXS.O,mstag:revenueNet,2013Q4,,CY</t>
  </si>
  <si>
    <t>GUID.O,mscalc:generalAndAdministrativeExpensesCalc,2010Q3,,CY</t>
  </si>
  <si>
    <t>ORCL.O,mstag:marketingAndDistributionCosts,2013Q4,,CY</t>
  </si>
  <si>
    <t>IL.N,mstag:costOfSalesWithDepreciation,2011Q1,,CY</t>
  </si>
  <si>
    <t>MSFT.O,mstag:shortTermBorrowings,2011Q4,,CY</t>
  </si>
  <si>
    <t>WBSN.O,mscalc:generalAndAdministrativeExpensesCalc,2012FY,,CY</t>
  </si>
  <si>
    <t>FTNT.O,mstag:researchAndDevelopment,2008Q1,,CY</t>
  </si>
  <si>
    <t>FIRE.O,mstag:otherOperatingExpenseChild,2013FY,,CY</t>
  </si>
  <si>
    <t>INTU.O,mscalc:generalAndAdministrativeExpensesCalc,2009Q2,,CY</t>
  </si>
  <si>
    <t>Upgrades</t>
  </si>
  <si>
    <t>Shareholders Equity</t>
  </si>
  <si>
    <t>toteq</t>
  </si>
  <si>
    <t>Options Data</t>
  </si>
  <si>
    <t>Operating Net Income</t>
  </si>
  <si>
    <t>GAAP Net Income</t>
  </si>
  <si>
    <t>'SFAS 123' Pro-Forma Net Income</t>
  </si>
  <si>
    <t>SAPG.DE,mstag:marketingAndDistributionCosts,2010FY,,CY</t>
  </si>
  <si>
    <t>CRM.N,mstag:revenueNet,2012Q1,,CY</t>
  </si>
  <si>
    <t>WBSN.O,mstag:marketingAndDistributionCosts,2009Q4,,CY</t>
  </si>
  <si>
    <t>SWI.N,mstag:otherOperatingExpenseChild,2008FY,,CY</t>
  </si>
  <si>
    <t>SFSF.N,mstag:researchAndDevelopment,2012Q2,,CY</t>
  </si>
  <si>
    <t>RHT.N,mstag:costOfSalesWithDepreciation,2009Q2,,CY</t>
  </si>
  <si>
    <t>SFSF.N,mstag:costOfSalesWithDepreciation,2008Q4,,CY</t>
  </si>
  <si>
    <t>MKTG.O,mscalc:generalAndAdministrativeExpensesCalc,2012Q2,,CY</t>
  </si>
  <si>
    <t>WBSN.O,mscalc:operatingRevenueForConsensus,2011FY,,CY</t>
  </si>
  <si>
    <t>CHKP.O,mscalc:generalAndAdministrativeExpensesCalc,2009FY,,CY</t>
  </si>
  <si>
    <t>SWI.N,mstag:costOfSalesWithDepreciation,2007FY,,CY</t>
  </si>
  <si>
    <t>SFSF.N,mstag:costOfSalesWithDepreciation,2008Q3,,CY</t>
  </si>
  <si>
    <t>ORCL.O,mstag:companyReportedRevenue,2012Q4,,CY</t>
  </si>
  <si>
    <t>SFSF.N,mscalc:generalAndAdministrativeExpensesCalc,2009Q4,,CY</t>
  </si>
  <si>
    <t>QLIK.O,mscalc:epsForConsensusForThomsonFeed,2011Q2,,CY</t>
  </si>
  <si>
    <t>AKAM.O,mstag:otherOperatingExpenseChild,2008FY,,CY</t>
  </si>
  <si>
    <t>TLEO.O,mscalc:epsForConsensusForThomsonFeed,2009Q4,,CY</t>
  </si>
  <si>
    <t>QLIK.O,mstag:costOfSalesWithDepreciation,2010Q1,,CY</t>
  </si>
  <si>
    <t>SAPG.DE,mstag:averageDilutedSharesOutstanding,2011Q3,,CY</t>
  </si>
  <si>
    <t>AMZN.O,msuser:cmAUPLEBITDA20060530T0035524245,2011FY,,CY</t>
  </si>
  <si>
    <t>ORCL.O,mstag:marketingAndDistributionCosts,2013FY,,CY</t>
  </si>
  <si>
    <t>MKTG.O,mstag:researchAndDevelopment,2010Q2,,CY</t>
  </si>
  <si>
    <t>ADBE.O,mstag:marketingAndDistributionCosts,2012FY,,CY</t>
  </si>
  <si>
    <t>Total Stockholder's Equity</t>
  </si>
  <si>
    <t>Total Liabs &amp; Stockholder's Equity</t>
  </si>
  <si>
    <t>Cash and Equivalents</t>
  </si>
  <si>
    <t>Computer Equipment, Software and Furniture, Gross</t>
  </si>
  <si>
    <t>Computer Equipment, Software and Furniture, Net</t>
  </si>
  <si>
    <t>4c06</t>
  </si>
  <si>
    <t>_fy06</t>
  </si>
  <si>
    <t>4c96</t>
  </si>
  <si>
    <t>1c97</t>
  </si>
  <si>
    <t>2c97</t>
  </si>
  <si>
    <t>3c97</t>
  </si>
  <si>
    <t>4c97</t>
  </si>
  <si>
    <t>_fy97</t>
  </si>
  <si>
    <t>1c98</t>
  </si>
  <si>
    <t>2c98</t>
  </si>
  <si>
    <t>3c98</t>
  </si>
  <si>
    <t>4c98</t>
  </si>
  <si>
    <t>_fy98</t>
  </si>
  <si>
    <t>1c99</t>
  </si>
  <si>
    <t>2c99</t>
  </si>
  <si>
    <t>3c99</t>
  </si>
  <si>
    <t>SWI.N,mscalc:epsForConsensusForThomsonFeed,2007FY,,CY</t>
  </si>
  <si>
    <t>FIRE.O,mscalc:stockRating</t>
  </si>
  <si>
    <t>RHT.N,mstag:otherOperatingExpenseChild,2010FY,,CY</t>
  </si>
  <si>
    <t>QLIK.O,mscalc:generalAndAdministrativeExpensesCalc,2009Q2,,CY</t>
  </si>
  <si>
    <t>FTNT.O,mstag:researchAndDevelopment,2012Q1,,CY</t>
  </si>
  <si>
    <t>WBSN.O,mstag:revenueNet,2011Q3,,CY</t>
  </si>
  <si>
    <t>QLIK.O,mstag:marketingAndDistributionCosts,2009Q1,,CY</t>
  </si>
  <si>
    <t>ADBE.O,mstag:costOfSalesWithDepreciation,2008Q4,,CY</t>
  </si>
  <si>
    <t>SWI.N,mstag:revenueNet,2011Q2,,CY</t>
  </si>
  <si>
    <t>INTU.O,mstag:revenueNet,2010Q1,,CY</t>
  </si>
  <si>
    <t>AKAM.O,mstag:revenueNet,2008Q4,,CY</t>
  </si>
  <si>
    <t>RHT.N,mstag:researchAndDevelopment,2009FY,,CY</t>
  </si>
  <si>
    <t>VMW.N,mstag:sellingGeneralAndAdministrativeExpenses,2013Q1,,CY</t>
  </si>
  <si>
    <t>Op. margin improvement of 125-150 bps YoY</t>
  </si>
  <si>
    <t>Interest Expense as a % of Debt</t>
  </si>
  <si>
    <t>Long-Term Notes Payable</t>
  </si>
  <si>
    <t>IL.N,mstag:revenueNet,2010Q2,,CY</t>
  </si>
  <si>
    <t>DMAN.O,mstag:revenueNet,2008Q3,,CY</t>
  </si>
  <si>
    <t>VRSN.O,mstag:researchAndDevelopment,2013FY,,CY</t>
  </si>
  <si>
    <t>TLEO.O,mstag:marketingAndDistributionCosts,2013FY,,CY</t>
  </si>
  <si>
    <t>FTNT.O,mstag:revenueNet,2013Q1,,CY</t>
  </si>
  <si>
    <t>CHKP.O,mstag:marketingAndDistributionCosts,2010Q1,,CY</t>
  </si>
  <si>
    <t>SYMC.O,mstag:researchAndDevelopment,2011FY,,CY</t>
  </si>
  <si>
    <t>SREV.O,mstag:revenueNet,2010Q2,,CY</t>
  </si>
  <si>
    <t>EMC.N,mscalc:operatingRevenueForConsensus,2007FY,,CY</t>
  </si>
  <si>
    <t>RHT.N,mstag:researchAndDevelopment,2010FY,,CY</t>
  </si>
  <si>
    <t>FTNT.O,mstag:costOfSalesWithDepreciation,2010Q1,,CY</t>
  </si>
  <si>
    <t>CHKP.O,mstag:costOfSalesWithDepreciation,2011Q4,,CY</t>
  </si>
  <si>
    <t>WBSN.O,mscalc:generalAndAdministrativeExpensesCalc,2010FY,,CY</t>
  </si>
  <si>
    <t>DMAN.O,mstag:revenueNet,2012Q2,,CY</t>
  </si>
  <si>
    <t>IL.N,mscalc:epsForConsensusForThomsonFeed,2009Q2,,CY</t>
  </si>
  <si>
    <t>FIRE.O,mstag:revenueNet,2008Q4,,CY</t>
  </si>
  <si>
    <t>SFSF.N,mscalc:epsForConsensusForThomsonFeed,2010Q2,,CY</t>
  </si>
  <si>
    <t>GUID.O,mscalc:stockRating</t>
  </si>
  <si>
    <t>CRM.N,mscalc:epsForConsensusForThomsonFeed,2013Q3,,CY</t>
  </si>
  <si>
    <t>MSFT.O,mscalc:epsForConsensusForThomsonFeed,2008Q1,,CY</t>
  </si>
  <si>
    <t>IL.N,mstag:otherOperatingExpenseChild,2010FY,,CY</t>
  </si>
  <si>
    <t>MSFT.O,mstag:otherOperatingExpenseChild,2011FY,,CY</t>
  </si>
  <si>
    <t>DELL.O,mscalc:epsForConsensusForThomsonFeed,2011FY,,CY</t>
  </si>
  <si>
    <t>SREV.O,mstag:costOfSalesWithDepreciation,2013Q1,,CY</t>
  </si>
  <si>
    <t>RHT.N,mscalc:epsForConsensusForThomsonFeed,2009Q2,,CY</t>
  </si>
  <si>
    <t>VMW.N,mstag:costOfSalesWithDepreciation,2012Q4,,CY</t>
  </si>
  <si>
    <t>TLEO.O,mstag:otherOperatingExpenseChild,2011FY,,CY</t>
  </si>
  <si>
    <t>GUID.O,mscalc:epsForConsensusForThomsonFeed,2013FY,,CY</t>
  </si>
  <si>
    <t>GUID.O,mstag:revenueNet,2008Q3,,CY</t>
  </si>
  <si>
    <t>GUID.O,mstag:marketingAndDistributionCosts,2009FY,,CY</t>
  </si>
  <si>
    <t>IBM.N,mscalc:epsForConsensusForThomsonFeed,2011FY,,CY</t>
  </si>
  <si>
    <t>CHKP.O,mstag:revenueNet,2011Q2,,CY</t>
  </si>
  <si>
    <t>ADBE.O,mscalc:operatingRevenueForConsensus,2012FY,,CY</t>
  </si>
  <si>
    <t>VMW.N,mstag:researchAndDevelopment,2013Q1,,CY</t>
  </si>
  <si>
    <t>FIRE.O,mstag:revenueNet,2011Q3,,CY</t>
  </si>
  <si>
    <t>ADSK.O,mscalc:epsForConsensusForThomsonFeed,2009Q1,,CY</t>
  </si>
  <si>
    <t>CHKP.O,mstag:revenueNet,2012Q1,,CY</t>
  </si>
  <si>
    <t>SWI.N,mstag:otherOperatingExpenseChild,2007FY,,CY</t>
  </si>
  <si>
    <t>ADSK.O,mscalc:epsForConsensusForThomsonFeed,2012Q2,,CY</t>
  </si>
  <si>
    <t>VMW.N,mstag:researchAndDevelopment,2012Q2,,CY</t>
  </si>
  <si>
    <t>MSFT.O,mstag:researchAndDevelopment,2010Q3,,CY</t>
  </si>
  <si>
    <t>INTU.O,mstag:researchAndDevelopment,2009Q4,,CY</t>
  </si>
  <si>
    <t>N.N,mstag:otherOperatingExpenseChild,2008FY,,CY</t>
  </si>
  <si>
    <t>ORCL.O,mscalc:generalAndAdministrativeExpensesCalc,2013Q1,,CY</t>
  </si>
  <si>
    <t>SWI.N,mstag:marketingAndDistributionCosts,2013Q2,,CY</t>
  </si>
  <si>
    <t>ORCL.O,mstag:costOfSalesWithDepreciation,2013FY,,CY</t>
  </si>
  <si>
    <t>MSFT.O,mscalc:epsForConsensusForThomsonFeed,2007FY,,CY</t>
  </si>
  <si>
    <t>CRM.N,mscalc:generalAndAdministrativeExpensesCalc,2008Q2,,CY</t>
  </si>
  <si>
    <t>WBSN.O,mstag:researchAndDevelopment,2010Q3,,CY</t>
  </si>
  <si>
    <t>SWI.N,mscalc:stockRating</t>
  </si>
  <si>
    <t>CRM.N,mstag:otherOperatingExpenseChild,2007FY,,CY</t>
  </si>
  <si>
    <t>FIRE.O,mstag:marketingAndDistributionCosts,2010Q2,,CY</t>
  </si>
  <si>
    <t>FTNT.O,mscalc:yearEndMonth</t>
  </si>
  <si>
    <t>CHKP.O,mscalc:epsForConsensusForThomsonFeed,2010Q3,,CY</t>
  </si>
  <si>
    <t>ORCL.O,mstag:researchAndDevelopment,2008Q3,,CY</t>
  </si>
  <si>
    <t>WBSN.O,mstag:costOfSalesWithDepreciation,2013Q2,,CY</t>
  </si>
  <si>
    <t>AKAM.O,mstag:researchAndDevelopment,2012Q4,,CY</t>
  </si>
  <si>
    <t>CHKP.O,mstag:researchAndDevelopment,2012Q2,,CY</t>
  </si>
  <si>
    <t>MKTG.O,mstag:revenueNet,2013Q1,,CY</t>
  </si>
  <si>
    <t>HPQ.N,msuser:cmAUPLEBITDA20060530T0035524245,2013FY,,CY</t>
  </si>
  <si>
    <t>VMW.N,mstag:marketingCosts,2010Q2,,CY</t>
  </si>
  <si>
    <t>FIRE.O,mstag:marketingAndDistributionCosts,2010FY,,CY</t>
  </si>
  <si>
    <t>CRM.N,mscalc:generalAndAdministrativeExpensesCalc,2008Q3,,CY</t>
  </si>
  <si>
    <t>RHT.N,mstag:costOfSalesWithDepreciation,2012Q3,,CY</t>
  </si>
  <si>
    <t>VMW.N,mstag:researchAndDevelopment,2011Q1,,CY</t>
  </si>
  <si>
    <t>ADSK.O,mstag:otherOperatingExpenseChild,2011FY,,CY</t>
  </si>
  <si>
    <t>N.N,mstag:researchAndDevelopment,2012Q4,,CY</t>
  </si>
  <si>
    <t>ADBE.O,mstag:researchAndDevelopment,2008Q1,,CY</t>
  </si>
  <si>
    <t>AKAM.O,mstag:marketingAndDistributionCosts,2010Q1,,CY</t>
  </si>
  <si>
    <t>INTU.O,mscalc:generalAndAdministrativeExpensesCalc,2012FY,,CY</t>
  </si>
  <si>
    <t>MSFT.O,mscalc:generalAndAdministrativeExpensesCalc,2012Q1,,CY</t>
  </si>
  <si>
    <t>CRM.N,mscalc:epsForConsensusForThomsonFeed,2007FY,,CY</t>
  </si>
  <si>
    <t>RHT.N,mstag:researchAndDevelopment,2010Q2,,CY</t>
  </si>
  <si>
    <t>MSFT.O,mstag:shortTermInvestments,2011Q4,,CY</t>
  </si>
  <si>
    <t>AKAM.O,mstag:marketingAndDistributionCosts,2010Q3,,CY</t>
  </si>
  <si>
    <t>ADBE.O,mstag:revenueNet,2013Q2,,CY</t>
  </si>
  <si>
    <t>SREV.O,mstag:costOfSalesWithDepreciation,2009Q1,,CY</t>
  </si>
  <si>
    <t>CHKP.O,mstag:marketingAndDistributionCosts,2008Q1,,CY</t>
  </si>
  <si>
    <t>EMC.N,mscalc:dilutedEarningsPerShare,2007FY,,CY</t>
  </si>
  <si>
    <t>RNOW.O,mstag:revenueNet,2009Q3,,CY</t>
  </si>
  <si>
    <t>ADSK.O,mstag:revenueNet,2011Q4,,CY</t>
  </si>
  <si>
    <t>QLIK.O,mstag:marketingAndDistributionCosts,2010Q3,,CY</t>
  </si>
  <si>
    <t>IL.N,mstag:researchAndDevelopment,2009Q4,,CY</t>
  </si>
  <si>
    <t>AMZN.O,mscalc:epsForConsensusForThomsonFeed,2007FY,,CY</t>
  </si>
  <si>
    <t>SREV.O,mstag:marketingAndDistributionCosts,2008Q1,,CY</t>
  </si>
  <si>
    <t>ORCL.O,mstag:costOfSalesWithDepreciation,2011Q4,,CY</t>
  </si>
  <si>
    <t>N.N,mscalc:epsForConsensusForThomsonFeed,2010Q3,,CY</t>
  </si>
  <si>
    <t>INTU.O,mstag:researchAndDevelopment,2007FY,,CY</t>
  </si>
  <si>
    <t>WBSN.O,mscalc:generalAndAdministrativeExpensesCalc,2009Q2,,CY</t>
  </si>
  <si>
    <t>IL.N,mstag:researchAndDevelopment,2010FY,,CY</t>
  </si>
  <si>
    <t>WBSN.O,mstag:revenueNet,2010Q3,,CY</t>
  </si>
  <si>
    <t>ADSK.O,mstag:researchAndDevelopment,2008Q3,,CY</t>
  </si>
  <si>
    <t>GUID.O,mstag:marketingAndDistributionCosts,2012Q1,,CY</t>
  </si>
  <si>
    <t>RHT.N,mscalc:generalAndAdministrativeExpensesCalc,2012Q2,,CY</t>
  </si>
  <si>
    <t>FIRE.O,mscalc:epsForConsensusForThomsonFeed,2012Q1,,CY</t>
  </si>
  <si>
    <t>INTU.O,mscalc:epsForConsensusForThomsonFeed,2012Q1,,CY</t>
  </si>
  <si>
    <t>DMAN.O,mscalc:epsForConsensusForThomsonFeed,2012Q3,,CY</t>
  </si>
  <si>
    <t>AKAM.O,mscalc:targetPrice</t>
  </si>
  <si>
    <t>INTU.O,mstag:costOfSalesWithDepreciation,2012FY,,CY</t>
  </si>
  <si>
    <t>AKAM.O,mstag:researchAndDevelopment,2009Q1,,CY</t>
  </si>
  <si>
    <t>SFSF.N,mstag:companyReportedRevenue,2013Q3,,CY</t>
  </si>
  <si>
    <t>ZNGA.O,mscalc:operatingRevenueForConsensus,2012FY,,CY</t>
  </si>
  <si>
    <t>INTU.O,mstag:revenueNet,2011Q2,,CY</t>
  </si>
  <si>
    <t>WBSN.O,mscalc:generalAndAdministrativeExpensesCalc,2013Q3,,CY</t>
  </si>
  <si>
    <t>GUID.O,mstag:marketingAndDistributionCosts,2011Q1,,CY</t>
  </si>
  <si>
    <t>SREV.O,mstag:otherOperatingExpenseChild,2012FY,,CY</t>
  </si>
  <si>
    <t>SREV.O,mstag:revenueNet,2013Q2,,CY</t>
  </si>
  <si>
    <t>DMAN.O,mstag:revenueNet,2012Q3,,CY</t>
  </si>
  <si>
    <t>WBSN.O,mstag:costOfSalesWithDepreciation,2010Q4,,CY</t>
  </si>
  <si>
    <t>FIRE.O,mstag:revenueNet,2010Q2,,CY</t>
  </si>
  <si>
    <t>FTNT.O,mscalc:generalAndAdministrativeExpensesCalc,2008FY,,CY</t>
  </si>
  <si>
    <t>EMC.N,mscalc:stockRating</t>
  </si>
  <si>
    <t>MKTG.O,mstag:marketingAndDistributionCosts,2013Q4,,CY</t>
  </si>
  <si>
    <t>ADBE.O,mstag:revenueNet,2009Q2,,CY</t>
  </si>
  <si>
    <t>VMW.N,mstag:costOfSalesWithDepreciation,2011Q1,,CY</t>
  </si>
  <si>
    <t>DMAN.O,mstag:researchAndDevelopment,2009Q4,,CY</t>
  </si>
  <si>
    <t>ADBE.O,mscalc:generalAndAdministrativeExpensesCalc,2008Q3,,CY</t>
  </si>
  <si>
    <t>SYMC.O,mscalc:epsForConsensusForThomsonFeed,2013Q1,,CY</t>
  </si>
  <si>
    <t>SREV.O,mstag:otherOperatingExpenseChild,2008FY,,CY</t>
  </si>
  <si>
    <t>FTNT.O,mscalc:generalAndAdministrativeExpensesCalc,2009Q1,,CY</t>
  </si>
  <si>
    <t>MKTG.O,mscalc:generalAndAdministrativeExpensesCalc,2009Q2,,CY</t>
  </si>
  <si>
    <t>SREV.O,mscalc:epsForConsensusForThomsonFeed,2009FY,,CY</t>
  </si>
  <si>
    <t>QLIK.O,mstag:revenueNet,2012Q1,,CY</t>
  </si>
  <si>
    <t>CRM.N,mscalc:epsForConsensusForThomsonFeed,2008Q2,,CY</t>
  </si>
  <si>
    <t>RNOW.O,mscalc:epsForConsensusForThomsonFeed,2008Q4,,CY</t>
  </si>
  <si>
    <t>P.N,mscalc:operatingRevenueForConsensus,2009FY,,CY</t>
  </si>
  <si>
    <t>Depreciation and amortization</t>
  </si>
  <si>
    <t>Reported Revenue</t>
  </si>
  <si>
    <t>1Q11</t>
  </si>
  <si>
    <t>2011</t>
  </si>
  <si>
    <t>1c11</t>
  </si>
  <si>
    <t>2c11</t>
  </si>
  <si>
    <t>3c11</t>
  </si>
  <si>
    <t>4c11</t>
  </si>
  <si>
    <t>_fy12</t>
  </si>
  <si>
    <t>Constant Currency Total Revenue Growth</t>
  </si>
  <si>
    <t>wA Exercise Price Relative to Avg Stk Price</t>
  </si>
  <si>
    <t>Exercisable Stock Options</t>
  </si>
  <si>
    <t>Exercisable Options wA Price ($)</t>
  </si>
  <si>
    <t>Exercisable/Outstanding Options</t>
  </si>
  <si>
    <t xml:space="preserve">EBITDA </t>
  </si>
  <si>
    <t xml:space="preserve">   EBITDA margin</t>
  </si>
  <si>
    <t>Robobat (announced 11/15/07)</t>
  </si>
  <si>
    <t>MSFT.O,mstag:revenueNet,2013Q4,,CY</t>
  </si>
  <si>
    <t>IL.N,mscalc:generalAndAdministrativeExpensesCalc,2008Q3,,CY</t>
  </si>
  <si>
    <t>AMD.N,msuser:cmAUPLEBITDA20060530T0035524245,2010FY,,CY</t>
  </si>
  <si>
    <t>AMAT.O,msuser:cmAUPLEBITDA20060530T0035524245,2012FY,,CY</t>
  </si>
  <si>
    <t>ADBE.O,mscalc:epsForConsensusForThomsonFeed,2008Q1,,CY</t>
  </si>
  <si>
    <t>CHKP.O,mstag:costOfSalesWithDepreciation,2010FY,,CY</t>
  </si>
  <si>
    <t>NA,mscalc:generalAndAdministrativeExpensesCalc,2012FY,,CY</t>
  </si>
  <si>
    <t>QLIK.O,mstag:revenueNet,2013Q1,,CY</t>
  </si>
  <si>
    <t>TLEO.O,mscalc:generalAndAdministrativeExpensesCalc,2008Q2,,CY</t>
  </si>
  <si>
    <t>N.N,mscalc:epsForConsensusForThomsonFeed,2008Q2,,CY</t>
  </si>
  <si>
    <t>NA,mscalc:operatingRevenueForConsensus,2011FY,,CY</t>
  </si>
  <si>
    <t>RHT.N,mstag:researchAndDevelopment,2009Q2,,CY</t>
  </si>
  <si>
    <t>CTXS.O,mstag:researchAndDevelopment,2007FY,,CY</t>
  </si>
  <si>
    <t>RHT.N,mscalc:generalAndAdministrativeExpensesCalc,2009Q3,,CY</t>
  </si>
  <si>
    <t>SWI.N,mscalc:epsForConsensusForThomsonFeed,2013Q3,,CY</t>
  </si>
  <si>
    <t>GUID.O,mstag:depreciationInIncomeStatement,2011FY,,CY</t>
  </si>
  <si>
    <t>GUID.O,mscalc:generalAndAdministrativeExpensesCalc,2010FY,,CY</t>
  </si>
  <si>
    <t>AMZN.O,mscalc:epsForConsensusForThomsonFeed,2009FY,,CY</t>
  </si>
  <si>
    <t>ADSK.O,mscalc:generalAndAdministrativeExpensesCalc,2013Q1,,CY</t>
  </si>
  <si>
    <t>SREV.O,mstag:revenueNet,2009Q4,,CY</t>
  </si>
  <si>
    <t>QLIK.O,mscalc:generalAndAdministrativeExpensesCalc,2010Q4,,CY</t>
  </si>
  <si>
    <t>QLIK.O,mstag:costOfSalesWithDepreciation,2013Q1,,CY</t>
  </si>
  <si>
    <t>TLEO.O,mstag:otherOperatingExpenseChild,2012FY,,CY</t>
  </si>
  <si>
    <t>FTNT.O,mstag:costOfSalesWithDepreciation,2009FY,,CY</t>
  </si>
  <si>
    <t>RNOW.O,mstag:researchAndDevelopment,2012Q3,,CY</t>
  </si>
  <si>
    <t>FIRE.O,mscalc:generalAndAdministrativeExpensesCalc,2008FY,,CY</t>
  </si>
  <si>
    <t>MSFT.O,mscalc:epsForConsensusForThomsonFeed,2009Q3,,CY</t>
  </si>
  <si>
    <t>SFSF.N,mscalc:epsForConsensusForThomsonFeed,2010Q3,,CY</t>
  </si>
  <si>
    <t>CRM.N,mstag:researchAndDevelopment,2012Q2,,CY</t>
  </si>
  <si>
    <t>IBM.N,mscalc:dilutedEarningsPerShare,2008FY,,CY</t>
  </si>
  <si>
    <t>TLEO.O,mscalc:operatingRevenueForConsensus,2013FY,,CY</t>
  </si>
  <si>
    <t>1c10</t>
  </si>
  <si>
    <t>2c10</t>
  </si>
  <si>
    <t>3c10</t>
  </si>
  <si>
    <t>4c10</t>
  </si>
  <si>
    <t>_fy11</t>
  </si>
  <si>
    <t>2008</t>
  </si>
  <si>
    <t>CTXS.O,mscalc:operatingRevenueForConsensus,2009FY,,CY</t>
  </si>
  <si>
    <t>VMW.N,mstag:revenueNet,2011Q4,,CY</t>
  </si>
  <si>
    <t>CTXS.O,mscalc:targetPrice</t>
  </si>
  <si>
    <t>ADBE.O,mscalc:epsForConsensusForThomsonFeed,2011Q3,,CY</t>
  </si>
  <si>
    <t>EBAY.O,mscalc:operatingRevenueForConsensus,2011FY,,CY</t>
  </si>
  <si>
    <t>CHKP.O,mscalc:operatingRevenueForConsensus,2010FY,,CY</t>
  </si>
  <si>
    <t>INFA.O,mscalc:generalAndAdministrativeExpensesCalc,2011FY,,CY</t>
  </si>
  <si>
    <t>ORCL.O,mscalc:epsForConsensusForThomsonFeed,2013Q1,,CY</t>
  </si>
  <si>
    <t>N.N,mscalc:generalAndAdministrativeExpensesCalc,2009Q3,,CY</t>
  </si>
  <si>
    <t>QLIK.O,mstag:marketingAndDistributionCosts,2012Q3,,CY</t>
  </si>
  <si>
    <t>SREV.O,mstag:researchAndDevelopment,2009Q4,,CY</t>
  </si>
  <si>
    <t>WBSN.O,mstag:costOfSalesWithDepreciation,2008Q2,,CY</t>
  </si>
  <si>
    <t>DMAN.O,mstag:marketingAndDistributionCosts,2011Q3,,CY</t>
  </si>
  <si>
    <t>SYMC.O,mstag:researchAndDevelopment,2011Q1,,CY</t>
  </si>
  <si>
    <t>GUID.O,mstag:cashAndCashEquivalents,2011Q3,,CY</t>
  </si>
  <si>
    <t>SWI.N,mscalc:operatingRevenueForConsensus,2012FY,,CY</t>
  </si>
  <si>
    <t xml:space="preserve">     2008 Amortization</t>
  </si>
  <si>
    <t>1/11</t>
  </si>
  <si>
    <t>4/11</t>
  </si>
  <si>
    <t>Loss on investment</t>
  </si>
  <si>
    <t>Net Cash Provided by (used in) Operating Activities</t>
  </si>
  <si>
    <t>New Inventor Units - Commercial</t>
  </si>
  <si>
    <t>DMAN.O,mstag:costOfSalesWithDepreciation,2011Q2,,CY</t>
  </si>
  <si>
    <t>ADSK.O,mstag:researchAndDevelopment,2009Q3,,CY</t>
  </si>
  <si>
    <t>TLEO.O,mstag:costOfSalesWithDepreciation,2010Q3,,CY</t>
  </si>
  <si>
    <t>INFA.O,mstag:marketingAndDistributionCosts,2013FY,,CY</t>
  </si>
  <si>
    <t>ADSK.O,mscalc:generalAndAdministrativeExpensesCalc,2008Q2,,CY</t>
  </si>
  <si>
    <t>ADSK.O,mstag:revenueNet,2008Q2,,CY</t>
  </si>
  <si>
    <t>SWI.N,mscalc:epsForConsensusForThomsonFeed,2008FY,,CY</t>
  </si>
  <si>
    <t>ADBE.O,mstag:researchAndDevelopment,2011Q3,,CY</t>
  </si>
  <si>
    <t>NA,mscalc:operatingRevenueForConsensus,2007FY,,CY</t>
  </si>
  <si>
    <t>SYMC.O,mstag:costOfSalesWithDepreciation,2011Q1,,CY</t>
  </si>
  <si>
    <t>FTNT.O,mstag:otherOperatingExpenseChild,2012FY,,CY</t>
  </si>
  <si>
    <t>License Margin</t>
  </si>
  <si>
    <t>liccost</t>
  </si>
  <si>
    <t>Total Net Revenue</t>
  </si>
  <si>
    <t>INFA.O,mstag:costOfSalesWithDepreciation,2013FY,,CY</t>
  </si>
  <si>
    <t>CNQR.O,mstag:researchAndDevelopment,2010FY,,CY</t>
  </si>
  <si>
    <t>ADBE.O,mstag:revenueNet,2008Q4,,CY</t>
  </si>
  <si>
    <t>CHKP.O,mscalc:epsForConsensusForThomsonFeed,2011Q3,,CY</t>
  </si>
  <si>
    <t>SWI.N,mscalc:epsForConsensusForThomsonFeed,2012FY,,CY</t>
  </si>
  <si>
    <t>AKAM.O,mscalc:generalAndAdministrativeExpensesCalc,2010FY,,CY</t>
  </si>
  <si>
    <t>EBAY.O,mscalc:epsForConsensusForThomsonFeed,2010FY,,CY</t>
  </si>
  <si>
    <t>JNPR.N,mscalc:epsForConsensusForThomsonFeed,2012FY,,CY</t>
  </si>
  <si>
    <t>VMW.N,mscalc:epsForConsensusForThomsonFeed,2013Q2,,CY</t>
  </si>
  <si>
    <t>SREV.O,mstag:costOfSalesWithDepreciation,2010Q3,,CY</t>
  </si>
  <si>
    <t>CRM.N,mscalc:epsForConsensusForThomsonFeed,2009Q4,,CY</t>
  </si>
  <si>
    <t>ADBE.O,mstag:marketingAndDistributionCosts,2009FY,,CY</t>
  </si>
  <si>
    <t>CSCO.O,mscalc:epsForConsensusForThomsonFeed,2013FY,,CY</t>
  </si>
  <si>
    <t>ADBE.O,mstag:otherOperatingExpenseChild,2013FY,,CY</t>
  </si>
  <si>
    <t>SREV.O,mstag:marketingAndDistributionCosts,2009FY,,CY</t>
  </si>
  <si>
    <t>VMW.N,mstag:costOfSalesWithDepreciation,2007FY,,CY</t>
  </si>
  <si>
    <t>CTXS.O,mstag:sellingGeneralAndAdministrativeExpenses,2007FY,,CY</t>
  </si>
  <si>
    <t>FTNT.O,mstag:shortTermInvestments,2011Q4,,CY</t>
  </si>
  <si>
    <t>SWI.N,mstag:researchAndDevelopment,2013Q4,,CY</t>
  </si>
  <si>
    <t>HPQ.N,mscalc:dilutedEarningsPerShare,2008FY,,CY</t>
  </si>
  <si>
    <t>ADBE.O,mstag:researchAndDevelopment,2010Q4,,CY</t>
  </si>
  <si>
    <t>CSCO.O,mscalc:operatingRevenueForConsensus,2008FY,,CY</t>
  </si>
  <si>
    <t>MSFT.O,mstag:longTermDebt,2011Q4,,CY</t>
  </si>
  <si>
    <t>RHT.N,mscalc:generalAndAdministrativeExpensesCalc,2010Q3,,CY</t>
  </si>
  <si>
    <t>CHKP.O,mstag:marketingAndDistributionCosts,2011Q3,,CY</t>
  </si>
  <si>
    <t>CHKP.O,mscalc:stockRating</t>
  </si>
  <si>
    <t>ORCL.O,mscalc:generalAndAdministrativeExpensesCalc,2008Q1,,CY</t>
  </si>
  <si>
    <t>MKTG.O,mstag:revenueNet,2012Q3,,CY</t>
  </si>
  <si>
    <t>GUID.O,mstag:depreciationInIncomeStatement,2012FY,,CY</t>
  </si>
  <si>
    <t>SYMC.O,mstag:costOfSalesWithDepreciation,2010Q3,,CY</t>
  </si>
  <si>
    <t>NA,mscalc:generalAndAdministrativeExpensesCalc,2007FY,,CY</t>
  </si>
  <si>
    <t>AKAM.O,mstag:costOfSalesWithDepreciation,2010Q3,,CY</t>
  </si>
  <si>
    <t>MSFT.O,mstag:marketingAndDistributionCosts,2012FY,,CY</t>
  </si>
  <si>
    <t>IL.N,mstag:costOfSalesWithDepreciation,2011Q3,,CY</t>
  </si>
  <si>
    <t>MSFT.O,mscalc:operatingRevenueForConsensus,2009FY,,CY</t>
  </si>
  <si>
    <t>ADBE.O,mstag:otherOperatingExpenseChild,2009FY,,CY</t>
  </si>
  <si>
    <t>TLEO.O,mstag:costOfSalesWithDepreciation,2013Q1,,CY</t>
  </si>
  <si>
    <t>MSFT.O,mstag:revenueNet,2009Q2,,CY</t>
  </si>
  <si>
    <t>INTC.O,msuser:cmAUPLEBITDA20060530T0035524245,2008FY,,CY</t>
  </si>
  <si>
    <t>DMAN.O,mstag:marketingAndDistributionCosts,2013Q4,,CY</t>
  </si>
  <si>
    <t>TLEO.O,mstag:marketingAndDistributionCosts,2012FY,,CY</t>
  </si>
  <si>
    <t>CTXS.O,mstag:marketingCosts,2010Q1,,CY</t>
  </si>
  <si>
    <t>SFSF.N,mscalc:epsForConsensusForThomsonFeed,2012Q3,,CY</t>
  </si>
  <si>
    <t>CTXS.O,mstag:costOfSalesWithDepreciation,2013Q3,,CY</t>
  </si>
  <si>
    <t>DELL.O,msuser:cmAUPLEBITDA20060530T0035524245,2009FY,,CY</t>
  </si>
  <si>
    <t>CSCO.O,msuser:cmAUPLEBITDA20060530T0035524245,2012FY,,CY</t>
  </si>
  <si>
    <t>ADSK.O,mscalc:generalAndAdministrativeExpensesCalc,2008Q3,,CY</t>
  </si>
  <si>
    <t>INTU.O,mstag:revenueNet,2010Q4,,CY</t>
  </si>
  <si>
    <t xml:space="preserve">    Y/Y Chg - %</t>
  </si>
  <si>
    <t>S&amp;M</t>
  </si>
  <si>
    <t>Proceeds from sale of investment</t>
  </si>
  <si>
    <t>EMEA Revenue</t>
  </si>
  <si>
    <t>emea</t>
  </si>
  <si>
    <t>ASP</t>
  </si>
  <si>
    <t>10/11</t>
  </si>
  <si>
    <t>Commerical New Seat revenues as % of license</t>
  </si>
  <si>
    <t>Other (non-new seat/upgrade)</t>
  </si>
  <si>
    <t>Average Seat Price</t>
  </si>
  <si>
    <t>Repurchases of common stock</t>
  </si>
  <si>
    <t>Metrics for Forecasting</t>
  </si>
  <si>
    <t>Interest Income as % of Cash &amp; Inv.</t>
  </si>
  <si>
    <t>Black-Scholes Assumptions</t>
  </si>
  <si>
    <t xml:space="preserve">Expected life from vest date (in years) </t>
  </si>
  <si>
    <t>FY12</t>
  </si>
  <si>
    <t>FY13</t>
  </si>
  <si>
    <t>7/10</t>
  </si>
  <si>
    <t>10/10</t>
  </si>
  <si>
    <t>RHT.N,mstag:averageDilutedSharesOutstanding,2011Q4,,CY</t>
  </si>
  <si>
    <t>MSFT.O,mstag:revenueNet,2012Q3,,CY</t>
  </si>
  <si>
    <t>MKTG.O,mstag:revenueNet,2012Q2,,CY</t>
  </si>
  <si>
    <t>WBSN.O,mstag:researchAndDevelopment,2009Q1,,CY</t>
  </si>
  <si>
    <t>AKAM.O,mscalc:generalAndAdministrativeExpensesCalc,2013Q4,,CY</t>
  </si>
  <si>
    <t>MKTG.O,mscalc:epsForConsensusForThomsonFeed,2012Q1,,CY</t>
  </si>
  <si>
    <t>MKTG.O,mscalc:generalAndAdministrativeExpensesCalc,2008Q2,,CY</t>
  </si>
  <si>
    <t>CHKP.O,mstag:researchAndDevelopment,2012FY,,CY</t>
  </si>
  <si>
    <t>CRM.N,mstag:researchAndDevelopment,2008FY,,CY</t>
  </si>
  <si>
    <t>ADBE.O,mstag:researchAndDevelopment,2008FY,,CY</t>
  </si>
  <si>
    <t>JIVE.O,mstag:researchAndDevelopment,2008FY,,CY</t>
  </si>
  <si>
    <t>CHKP.O,mstag:researchAndDevelopment,2008FY,,CY</t>
  </si>
  <si>
    <t>ORCL.O,mstag:marketingAndDistributionCosts,2010Q1,,CY</t>
  </si>
  <si>
    <t>MSFT.O,mscalc:epsForConsensusForThomsonFeed,2010Q4,,CY</t>
  </si>
  <si>
    <t>MSFT.O,mscalc:targetPrice</t>
  </si>
  <si>
    <t>ADBE.O,mscalc:generalAndAdministrativeExpensesCalc,2011Q4,,CY</t>
  </si>
  <si>
    <t>DST.N,msuser:cmAUPLEBITDA20060530T0035524245,2007FY,,CY</t>
  </si>
  <si>
    <t>GRPN.O,msuser:cmAUPLEBITDA20060530T0035524245,2008FY,,CY</t>
  </si>
  <si>
    <t>SYMC.O,mstag:costOfSalesWithDepreciation,2008FY,,CY</t>
  </si>
  <si>
    <t>FTNT.O,mstag:costOfSalesWithDepreciation,2008Q1,,CY</t>
  </si>
  <si>
    <t>WBSN.O,mscalc:operatingRevenueForConsensus,2009FY,,CY</t>
  </si>
  <si>
    <t>7/13</t>
  </si>
  <si>
    <t>INTU.O,mscalc:generalAndAdministrativeExpensesCalc,2008Q3,,CY</t>
  </si>
  <si>
    <t>RNOW.O,mscalc:generalAndAdministrativeExpensesCalc,2012Q2,,CY</t>
  </si>
  <si>
    <t>CTXS.O,mscalc:epsForConsensusForThomsonFeed,2012FY,,CY</t>
  </si>
  <si>
    <t>SFSF.N,mstag:costOfSalesWithDepreciation,2010Q2,,CY</t>
  </si>
  <si>
    <t>ORCL.O,mstag:otherOperatingExpenseChild,2008FY,,CY</t>
  </si>
  <si>
    <t>FIRE.O,mscalc:epsForConsensusForThomsonFeed,2010Q4,,CY</t>
  </si>
  <si>
    <t>TLEO.O,mstag:costOfSalesWithDepreciation,2012Q4,,CY</t>
  </si>
  <si>
    <t>NFLX.O,mscalc:epsForConsensusForThomsonFeed,2007FY,,CY</t>
  </si>
  <si>
    <t>CHKP.O,mstag:revenueNet,2009Q4,,CY</t>
  </si>
  <si>
    <t>MKTG.O,mstag:researchAndDevelopment,2012Q3,,CY</t>
  </si>
  <si>
    <t>JIVE.O,mstag:costOfSalesWithDepreciation,2008FY,,CY</t>
  </si>
  <si>
    <t>WBSN.O,mstag:researchAndDevelopment,2011Q3,,CY</t>
  </si>
  <si>
    <t>CRM.N,mstag:researchAndDevelopment,2013FY,,CY</t>
  </si>
  <si>
    <t>SWI.N,mstag:marketingAndDistributionCosts,2011FY,,CY</t>
  </si>
  <si>
    <t>CTXS.O,mstag:marketingCosts,2012FY,,CY</t>
  </si>
  <si>
    <t>TLEO.O,mstag:revenueNet,2010Q4,,CY</t>
  </si>
  <si>
    <t>SWI.N,mstag:revenueNet,2013Q1,,CY</t>
  </si>
  <si>
    <t>AAPL.O,mscalc:operatingRevenueForConsensus,2010FY,,CY</t>
  </si>
  <si>
    <t>QLIK.O,mscalc:generalAndAdministrativeExpensesCalc,2012Q1,,CY</t>
  </si>
  <si>
    <t>CRM.N,mstag:costOfSalesWithDepreciation,2010Q4,,CY</t>
  </si>
  <si>
    <t>DMAN.O,mstag:revenueNet,2009Q4,,CY</t>
  </si>
  <si>
    <t>FIRE.O,mstag:marketingAndDistributionCosts,2013Q3,,CY</t>
  </si>
  <si>
    <t>,mscalc:epsForConsensusForThomsonFeed,2008FY,,CY</t>
  </si>
  <si>
    <t>SREV.O,mstag:researchAndDevelopment,2011Q2,,CY</t>
  </si>
  <si>
    <t>CTXS.O,mstag:softwareProductRevenues,2012FY,,CY</t>
  </si>
  <si>
    <t>IL.N,mstag:revenueNet,2008Q1,,CY</t>
  </si>
  <si>
    <t>TLEO.O,mstag:revenueNet,2013Q3,,CY</t>
  </si>
  <si>
    <t>AKAM.O,mstag:costOfSalesWithDepreciation,2013Q4,,CY</t>
  </si>
  <si>
    <t>CHKP.O,mstag:revenueNet,2010Q1,,CY</t>
  </si>
  <si>
    <t>CTXS.O,mscalc:epsForConsensusForThomsonFeed,2010FY,,CY</t>
  </si>
  <si>
    <t>QLIK.O,mscalc:operatingRevenueForConsensus,2009FY,,CY</t>
  </si>
  <si>
    <t>VMW.N,mstag:researchAndDevelopment,2008Q3,,CY</t>
  </si>
  <si>
    <t>ORCL.O,mstag:companyReportedRevenue,2011Q1,,CY</t>
  </si>
  <si>
    <t>GUID.O,mscalc:targetPrice</t>
  </si>
  <si>
    <t>CHKP.O,mscalc:yearEndMonth</t>
  </si>
  <si>
    <t>IL.N,mstag:costOfSalesWithDepreciation,2008FY,,CY</t>
  </si>
  <si>
    <t>AKAM.O,mstag:costOfSalesWithDepreciation,2012FY,,CY</t>
  </si>
  <si>
    <t>CTXS.O,mscalc:epsForConsensusForThomsonFeed,2011Q3,,CY</t>
  </si>
  <si>
    <t>VRSN.O,mstag:costOfSalesWithDepreciation,2009FY,,CY</t>
  </si>
  <si>
    <t>CTXS.O,mstag:marketingCosts,2011Q1,,CY</t>
  </si>
  <si>
    <t>CHKP.O,mstag:marketingAndDistributionCosts,2011Q1,,CY</t>
  </si>
  <si>
    <t>FIRE.O,mstag:otherOperatingExpenseChild,2011FY,,CY</t>
  </si>
  <si>
    <t>ADSK.O,mstag:costOfSalesWithDepreciation,2011Q2,,CY</t>
  </si>
  <si>
    <t>INFA.O,mscalc:stockRating</t>
  </si>
  <si>
    <t>INTU.O,mstag:revenueNet,2013Q3,,CY</t>
  </si>
  <si>
    <t>INTU.O,mstag:marketingAndDistributionCosts,2012FY,,CY</t>
  </si>
  <si>
    <t>SREV.O,mstag:costOfSalesWithDepreciation,2008Q3,,CY</t>
  </si>
  <si>
    <t>VMW.N,mstag:researchAndDevelopment,2011Q4,,CY</t>
  </si>
  <si>
    <t>MSFT.O,mstag:costOfSalesWithDepreciation,2013Q3,,CY</t>
  </si>
  <si>
    <t>TLEO.O,mstag:marketingAndDistributionCosts,2011FY,,CY</t>
  </si>
  <si>
    <t>INTC.O,mscalc:operatingRevenueForConsensus,2010FY,,CY</t>
  </si>
  <si>
    <t>RNOW.O,mscalc:generalAndAdministrativeExpensesCalc,2011Q1,,CY</t>
  </si>
  <si>
    <t>N.N,mscalc:generalAndAdministrativeExpensesCalc,2012FY,,CY</t>
  </si>
  <si>
    <t>RHT.N,mstag:researchAndDevelopment,2012FY,,CY</t>
  </si>
  <si>
    <t>IL.N,mstag:costOfSalesWithDepreciation,2009Q2,,CY</t>
  </si>
  <si>
    <t>SYMC.O,mstag:marketingAndDistributionCosts,2010Q1,,CY</t>
  </si>
  <si>
    <t>WBSN.O,mscalc:epsForConsensusForThomsonFeed,2009Q1,,CY</t>
  </si>
  <si>
    <t>AKAM.O,mscalc:epsForConsensusForThomsonFeed,2010Q4,,CY</t>
  </si>
  <si>
    <t>SYMC.O,mscalc:generalAndAdministrativeExpensesCalc,2012Q1,,CY</t>
  </si>
  <si>
    <t>RHT.N,mstag:marketingAndDistributionCosts,2010Q1,,CY</t>
  </si>
  <si>
    <t>ORCL.O,mstag:revenueNet,2009Q4,,CY</t>
  </si>
  <si>
    <t>CTXS.O,mstag:marketingCosts,2007FY,,CY</t>
  </si>
  <si>
    <t>VMW.N,mscalc:operatingRevenueForConsensus,2013FY,,CY</t>
  </si>
  <si>
    <t>N.N,mstag:researchAndDevelopment,2009FY,,CY</t>
  </si>
  <si>
    <t>DMAN.O,mscalc:epsForConsensusForThomsonFeed,2012Q4,,CY</t>
  </si>
  <si>
    <t>ADBE.O,mstag:costOfSalesWithDepreciation,2013Q2,,CY</t>
  </si>
  <si>
    <t>FTNT.O,mstag:revenueNet,2011Q3,,CY</t>
  </si>
  <si>
    <t>CTXS.O,mstag:marketingCosts,2013Q4,,CY</t>
  </si>
  <si>
    <t>INTU.O,mstag:shortTermBorrowings,2011Q3,,CY</t>
  </si>
  <si>
    <t>IL.N,mstag:revenueNet,2010Q1,,CY</t>
  </si>
  <si>
    <t>ADSK.O,mstag:revenueNet,2012Q4,,CY</t>
  </si>
  <si>
    <t>SREV.O,mstag:marketingAndDistributionCosts,2010Q3,,CY</t>
  </si>
  <si>
    <t>CTXS.O,mscalc:epsForConsensusForThomsonFeed,2011Q4,,CY</t>
  </si>
  <si>
    <t>AKAM.O,mscalc:epsForConsensusForThomsonFeed,2013Q2,,CY</t>
  </si>
  <si>
    <t>FTNT.O,mstag:costOfSalesWithDepreciation,2013FY,,CY</t>
  </si>
  <si>
    <t>GUID.O,mstag:otherOperatingExpenseChild,2012FY,,CY</t>
  </si>
  <si>
    <t>VMW.N,mstag:costOfSalesWithDepreciation,2009Q3,,CY</t>
  </si>
  <si>
    <t>ADSK.O,mscalc:epsForConsensusForThomsonFeed,2013Q1,,CY</t>
  </si>
  <si>
    <t>MSFT.O,mscalc:generalAndAdministrativeExpensesCalc,2010Q3,,CY</t>
  </si>
  <si>
    <t>JIVE.O,mscalc:epsForConsensusForThomsonFeed,2008FY,,CY</t>
  </si>
  <si>
    <t>ADBE.O,mscalc:epsForConsensusForThomsonFeed,2008Q3,,CY</t>
  </si>
  <si>
    <t>AKAM.O,mstag:costOfSalesWithDepreciation,2007FY,,CY</t>
  </si>
  <si>
    <t>SFSF.N,mstag:researchAndDevelopment,2010Q1,,CY</t>
  </si>
  <si>
    <t>NA,mscalc:generalAndAdministrativeExpensesCalc,2013FY,,CY</t>
  </si>
  <si>
    <t>INTC.O,mscalc:dilutedEarningsPerShare,2007FY,,CY</t>
  </si>
  <si>
    <t>SREV.O,mstag:costOfSalesWithDepreciation,2011Q3,,CY</t>
  </si>
  <si>
    <t>SAPG.DE,mscalc:operatingRevenueForConsensus,2012FY,,CY</t>
  </si>
  <si>
    <t>SAPG.DE,mscalc:dilutedEarningsPerShare,2009FY,,CY</t>
  </si>
  <si>
    <t>MSFT.O,mstag:costOfSalesWithDepreciation,2010Q3,,CY</t>
  </si>
  <si>
    <t>SYMC.O,mscalc:epsForConsensusForThomsonFeed,2012FY,,CY</t>
  </si>
  <si>
    <t>SREV.O,mscalc:generalAndAdministrativeExpensesCalc,2013Q1,,CY</t>
  </si>
  <si>
    <t>CHKP.O,mscalc:generalAndAdministrativeExpensesCalc,2010Q2,,CY</t>
  </si>
  <si>
    <t>QLIK.O,mscalc:generalAndAdministrativeExpensesCalc,2010FY,,CY</t>
  </si>
  <si>
    <t>FTNT.O,mstag:marketingAndDistributionCosts,2008FY,,CY</t>
  </si>
  <si>
    <t>RNOW.O,mstag:costOfSalesWithDepreciation,2009Q2,,CY</t>
  </si>
  <si>
    <t>MSFT.O,mstag:revenueNet,2010Q1,,CY</t>
  </si>
  <si>
    <t>CNQR.O,mscalc:epsForConsensusForThomsonFeed,2012FY,,CY</t>
  </si>
  <si>
    <t>AAPL.O,msuser:cmAUPLEBITDA20060530T0035524245,2013FY,,CY</t>
  </si>
  <si>
    <t>IL.N,mscalc:generalAndAdministrativeExpensesCalc,2011Q2,,CY</t>
  </si>
  <si>
    <t>AMD.N,mscalc:operatingRevenueForConsensus,2013FY,,CY</t>
  </si>
  <si>
    <t>HRB.N,mscalc:operatingRevenueForConsensus,2009FY,,CY</t>
  </si>
  <si>
    <t>GUID.O,mstag:revenueNet,2009Q2,,CY</t>
  </si>
  <si>
    <t>VMW.N,mstag:costOfSalesWithDepreciation,2012FY,,CY</t>
  </si>
  <si>
    <t>GUID.O,mscalc:epsForConsensusForThomsonFeed,2012Q3,,CY</t>
  </si>
  <si>
    <t>ORCL.O,mscalc:epsForConsensusForThomsonFeed,2011Q3,,CY</t>
  </si>
  <si>
    <t>CRM.N,mstag:costOfSalesWithDepreciation,2012Q4,,CY</t>
  </si>
  <si>
    <t>SYMC.O,mstag:researchAndDevelopment,2013FY,,CY</t>
  </si>
  <si>
    <t>FIRE.O,mstag:marketingAndDistributionCosts,2009Q3,,CY</t>
  </si>
  <si>
    <t>CNQR.O,mscalc:operatingRevenueForConsensus,2007FY,,CY</t>
  </si>
  <si>
    <t>IL.N,mstag:researchAndDevelopment,2010Q4,,CY</t>
  </si>
  <si>
    <t>SYMC.O,mstag:marketingAndDistributionCosts,2009Q2,,CY</t>
  </si>
  <si>
    <t>Forward Year Revenues</t>
  </si>
  <si>
    <t>Forward Year Pro Forma EPS</t>
  </si>
  <si>
    <t>_fy09</t>
  </si>
  <si>
    <t>Total Fair Value of Gross Grants</t>
  </si>
  <si>
    <t>RNOW.O,mstag:marketingAndDistributionCosts,2011Q1,,CY</t>
  </si>
  <si>
    <t>AKAM.O,mstag:researchAndDevelopment,2012Q3,,CY</t>
  </si>
  <si>
    <t>CRM.N,mscalc:generalAndAdministrativeExpensesCalc,2011Q1,,CY</t>
  </si>
  <si>
    <t>CRM.N,mscalc:generalAndAdministrativeExpensesCalc,2009Q1,,CY</t>
  </si>
  <si>
    <t>SREV.O,mstag:costOfSalesWithDepreciation,2007FY,,CY</t>
  </si>
  <si>
    <t>FISV.O,msuser:cmAUPLEBITDA20060530T0035524245,2007FY,,CY</t>
  </si>
  <si>
    <t>ORCL.O,mstag:otherOperatingExpenseChild,2013FY,,CY</t>
  </si>
  <si>
    <t>SYMC.O,mstag:marketingAndDistributionCosts,2012Q2,,CY</t>
  </si>
  <si>
    <t>RNOW.O,mscalc:epsForConsensusForThomsonFeed,2013Q4,,CY</t>
  </si>
  <si>
    <t>TLEO.O,mstag:costOfSalesWithDepreciation,2013Q2,,CY</t>
  </si>
  <si>
    <t>SFSF.N,mscalc:generalAndAdministrativeExpensesCalc,2009Q1,,CY</t>
  </si>
  <si>
    <t>CHKP.O,mscalc:generalAndAdministrativeExpensesCalc,2009Q3,,CY</t>
  </si>
  <si>
    <t xml:space="preserve">     1999 Amortization</t>
  </si>
  <si>
    <t xml:space="preserve">          Annual Forfeiture </t>
  </si>
  <si>
    <t xml:space="preserve">               Remaining Fair Value</t>
  </si>
  <si>
    <t>CHKP.O,mstag:researchAndDevelopment,2007FY,,CY</t>
  </si>
  <si>
    <t>MSFT.O,mscalc:generalAndAdministrativeExpensesCalc,2013Q3,,CY</t>
  </si>
  <si>
    <t>TLEO.O,mstag:researchAndDevelopment,2012Q3,,CY</t>
  </si>
  <si>
    <t>ORCL.O,mstag:costOfSalesWithDepreciation,2012Q4,,CY</t>
  </si>
  <si>
    <t>MKTG.O,mstag:costOfSalesWithDepreciation,2011Q1,,CY</t>
  </si>
  <si>
    <t>MSFT.O,mstag:researchAndDevelopment,2011FY,,CY</t>
  </si>
  <si>
    <t>DST.N,mscalc:operatingRevenueForConsensus,2008FY,,CY</t>
  </si>
  <si>
    <t>ADSK.O,mstag:cashAndCashEquivalents,2011Q3,,CY</t>
  </si>
  <si>
    <t>VMW.N,mstag:sellingGeneralAndAdministrativeExpenses,2008Q2,,CY</t>
  </si>
  <si>
    <t>Estimated Amortization</t>
  </si>
  <si>
    <t>TLEO.O,mstag:otherOperatingExpenseChild,2013FY,,CY</t>
  </si>
  <si>
    <t>QLIK.O,mstag:revenueNet,2013Q2,,CY</t>
  </si>
  <si>
    <t>MSFT.O,mstag:cashAndCashEquivalents,2011Q4,,CY</t>
  </si>
  <si>
    <t>WBSN.O,mscalc:generalAndAdministrativeExpensesCalc,2010Q1,,CY</t>
  </si>
  <si>
    <t>QLIK.O,mscalc:epsForConsensusForThomsonFeed,2010Q4,,CY</t>
  </si>
  <si>
    <t>QLIK.O,mstag:revenueNet,2009Q4,,CY</t>
  </si>
  <si>
    <t>TLEO.O,mstag:researchAndDevelopment,2011Q2,,CY</t>
  </si>
  <si>
    <t>MSFT.O,mstag:marketingAndDistributionCosts,2010Q1,,CY</t>
  </si>
  <si>
    <t>AKAM.O,mscalc:generalAndAdministrativeExpensesCalc,2012Q3,,CY</t>
  </si>
  <si>
    <t>GUID.O,mstag:researchAndDevelopment,2010Q1,,CY</t>
  </si>
  <si>
    <t>JNPR.N,msuser:cmAUPLEBITDA20060530T0035524245,2008FY,,CY</t>
  </si>
  <si>
    <t>ORCL.O,mscalc:epsForConsensusForThomsonFeed,2012Q2,,CY</t>
  </si>
  <si>
    <t>JIVE.O,mstag:researchAndDevelopment,2010FY,,CY</t>
  </si>
  <si>
    <t>CRM.N,mscalc:generalAndAdministrativeExpensesCalc,2013Q3,,CY</t>
  </si>
  <si>
    <t>GUID.O,mstag:researchAndDevelopment,2012Q1,,CY</t>
  </si>
  <si>
    <t>VMW.N,mstag:sellingGeneralAndAdministrativeExpenses,2013Q4,,CY</t>
  </si>
  <si>
    <t>MKTG.O,mscalc:generalAndAdministrativeExpensesCalc,2013FY,,CY</t>
  </si>
  <si>
    <t>ADSK.O,mstag:researchAndDevelopment,2013Q3,,CY</t>
  </si>
  <si>
    <t>TLEO.O,mstag:revenueNet,2011Q1,,CY</t>
  </si>
  <si>
    <t>MSFT.O,mstag:costOfSalesWithDepreciation,2011FY,,CY</t>
  </si>
  <si>
    <t>GUID.O,mscalc:epsForConsensusForThomsonFeed,2010Q2,,CY</t>
  </si>
  <si>
    <t>WBSN.O,mstag:costOfSalesWithDepreciation,2009Q1,,CY</t>
  </si>
  <si>
    <t>FIRE.O,mstag:marketingAndDistributionCosts,2011Q2,,CY</t>
  </si>
  <si>
    <t>JIVE.O,mscalc:generalAndAdministrativeExpensesCalc,2010FY,,CY</t>
  </si>
  <si>
    <t>ADSK.O,mscalc:generalAndAdministrativeExpensesCalc,2009Q1,,CY</t>
  </si>
  <si>
    <t>RHT.N,mscalc:generalAndAdministrativeExpensesCalc,2011Q2,,CY</t>
  </si>
  <si>
    <t>TLEO.O,mscalc:epsForConsensusForThomsonFeed,2012Q3,,CY</t>
  </si>
  <si>
    <t>ORCL.O,mstag:costOfSalesWithDepreciation,2008Q1,,CY</t>
  </si>
  <si>
    <t>JIVE.O,mstag:costOfSalesWithDepreciation,2011FY,,CY</t>
  </si>
  <si>
    <t>CTXS.O,mstag:revenueNet,2010Q1,,CY</t>
  </si>
  <si>
    <t>ORCL.O,mstag:marketingAndDistributionCosts,2012Q4,,CY</t>
  </si>
  <si>
    <t>IL.N,mstag:costOfSalesWithDepreciation,2012Q1,,CY</t>
  </si>
  <si>
    <t>WBSN.O,mscalc:epsForConsensusForThomsonFeed,2012Q1,,CY</t>
  </si>
  <si>
    <t>OPEN.O,mscalc:epsForConsensusForThomsonFeed,2008FY,,CY</t>
  </si>
  <si>
    <t>IL.N,mstag:marketingAndDistributionCosts,2013FY,,CY</t>
  </si>
  <si>
    <t>ADSK.O,mstag:revenueNet,2013Q4,,CY</t>
  </si>
  <si>
    <t>SREV.O,mscalc:epsForConsensusForThomsonFeed,2012Q2,,CY</t>
  </si>
  <si>
    <t>QLIK.O,mscalc:epsForConsensusForThomsonFeed,2009FY,,CY</t>
  </si>
  <si>
    <t>INTU.O,mscalc:generalAndAdministrativeExpensesCalc,2010Q2,,CY</t>
  </si>
  <si>
    <t>VRSN.O,mscalc:stockRating</t>
  </si>
  <si>
    <t>N.N,mstag:revenueNet,2010Q2,,CY</t>
  </si>
  <si>
    <t>RHT.N,mstag:marketingAndDistributionCosts,2012FY,,CY</t>
  </si>
  <si>
    <t>CVG.N,msuser:cmAUPLEBITDA20060530T0035524245,2012FY,,CY</t>
  </si>
  <si>
    <t>FIRE.O,mscalc:operatingRevenueForConsensus,2013FY,,CY</t>
  </si>
  <si>
    <t>GUID.O,mscalc:epsForConsensusForThomsonFeed,2011Q1,,CY</t>
  </si>
  <si>
    <t>AMD.N,mscalc:operatingRevenueForConsensus,2010FY,,CY</t>
  </si>
  <si>
    <t>INTU.O,mstag:costOfSalesWithDepreciation,2009Q3,,CY</t>
  </si>
  <si>
    <t>AKAM.O,mstag:marketingAndDistributionCosts,2013Q4,,CY</t>
  </si>
  <si>
    <t>MSFT.O,mscalc:epsForConsensusForThomsonFeed,2011Q1,,CY</t>
  </si>
  <si>
    <t>NFLX.O,mscalc:epsForConsensusForThomsonFeed,2011FY,,CY</t>
  </si>
  <si>
    <t>MKTG.O,mscalc:epsForConsensusForThomsonFeed,2013FY,,CY</t>
  </si>
  <si>
    <t>CHKP.O,mscalc:generalAndAdministrativeExpensesCalc,2008Q4,,CY</t>
  </si>
  <si>
    <t>WBSN.O,mstag:researchAndDevelopment,2012Q2,,CY</t>
  </si>
  <si>
    <t>MSFT.O,mstag:researchAndDevelopment,2012Q2,,CY</t>
  </si>
  <si>
    <t>VMW.N,mstag:researchAndDevelopment,2009Q3,,CY</t>
  </si>
  <si>
    <t>DMAN.O,mscalc:generalAndAdministrativeExpensesCalc,2009Q3,,CY</t>
  </si>
  <si>
    <t>SFSF.N,mstag:costOfSalesWithDepreciation,2012Q2,,CY</t>
  </si>
  <si>
    <t>ADBE.O,mstag:researchAndDevelopment,2010Q2,,CY</t>
  </si>
  <si>
    <t>VRSN.O,mstag:otherOperatingExpenseChild,2008FY,,CY</t>
  </si>
  <si>
    <t>SREV.O,mscalc:epsForConsensusForThomsonFeed,2011Q4,,CY</t>
  </si>
  <si>
    <t>IL.N,mscalc:epsForConsensusForThomsonFeed,2010Q3,,CY</t>
  </si>
  <si>
    <t>WBSN.O,mstag:marketingAndDistributionCosts,2010Q1,,CY</t>
  </si>
  <si>
    <t>SYMC.O,mstag:costOfSalesWithDepreciation,2011Q4,,CY</t>
  </si>
  <si>
    <t>P.N,mscalc:epsForConsensusForThomsonFeed,2012FY,,CY</t>
  </si>
  <si>
    <t>RHT.N,mscalc:epsForConsensusForThomsonFeed,2008Q1,,CY</t>
  </si>
  <si>
    <t>ORCL.O,mscalc:generalAndAdministrativeExpensesCalc,2012Q1,,CY</t>
  </si>
  <si>
    <t>RNOW.O,mstag:costOfSalesWithDepreciation,2012Q2,,CY</t>
  </si>
  <si>
    <t>SFSF.N,mstag:researchAndDevelopment,2009Q1,,CY</t>
  </si>
  <si>
    <t>CTXS.O,mscalc:epsForConsensusForThomsonFeed,2009Q4,,CY</t>
  </si>
  <si>
    <t>ADSK.O,mstag:costOfSalesWithDepreciation,2009Q4,,CY</t>
  </si>
  <si>
    <t>GUID.O,mscalc:generalAndAdministrativeExpensesCalc,2010Q2,,CY</t>
  </si>
  <si>
    <t>QLIK.O,mstag:researchAndDevelopment,2012Q4,,CY</t>
  </si>
  <si>
    <t>VMW.N,mstag:marketingCosts,2009Q4,,CY</t>
  </si>
  <si>
    <t>OPEN.O,msuser:cmAUPLEBITDA20060530T0035524245,2009FY,,CY</t>
  </si>
  <si>
    <t>GRPN.O,mscalc:operatingRevenueForConsensus,2012FY,,CY</t>
  </si>
  <si>
    <t>IL.N,mstag:marketingAndDistributionCosts,2012FY,,CY</t>
  </si>
  <si>
    <t>QLIK.O,mstag:revenueNet,2008Q4,,CY</t>
  </si>
  <si>
    <t>RHT.N,mscalc:epsForConsensusForThomsonFeed,2013Q4,,CY</t>
  </si>
  <si>
    <t>INTU.O,mscalc:generalAndAdministrativeExpensesCalc,2010Q1,,CY</t>
  </si>
  <si>
    <t>JNPR.N,mscalc:epsForConsensusForThomsonFeed,2013FY,,CY</t>
  </si>
  <si>
    <t>ADBE.O,mscalc:epsForConsensusForThomsonFeed,2012Q2,,CY</t>
  </si>
  <si>
    <t>QLIK.O,mstag:costOfSalesWithDepreciation,2009Q3,,CY</t>
  </si>
  <si>
    <t>FIRE.O,mstag:researchAndDevelopment,2013Q2,,CY</t>
  </si>
  <si>
    <t>SFSF.N,mstag:costOfSalesWithDepreciation,2008Q2,,CY</t>
  </si>
  <si>
    <t>EMC.N,mscalc:operatingRevenueForConsensus,2008FY,,CY</t>
  </si>
  <si>
    <t>ADSK.O,mstag:marketingAndDistributionCosts,2012Q3,,CY</t>
  </si>
  <si>
    <t>RNOW.O,mscalc:epsForConsensusForThomsonFeed,2011Q2,,CY</t>
  </si>
  <si>
    <t>EMC.N,msuser:cmAUPLEBITDA20060530T0035524245,2013FY,,CY</t>
  </si>
  <si>
    <t>N.N,mscalc:operatingRevenueForConsensus,2007FY,,CY</t>
  </si>
  <si>
    <t>TLEO.O,mscalc:epsForConsensusForThomsonFeed,2013Q3,,CY</t>
  </si>
  <si>
    <t>CHKP.O,mstag:marketingAndDistributionCosts,2011FY,,CY</t>
  </si>
  <si>
    <t>N.N,mscalc:yearEndMonth</t>
  </si>
  <si>
    <t>SYMC.O,mscalc:epsForConsensusForThomsonFeed,2013Q4,,CY</t>
  </si>
  <si>
    <t>FTNT.O,mstag:revenueNet,2009Q1,,CY</t>
  </si>
  <si>
    <t>FTNT.O,mstag:marketingAndDistributionCosts,2013Q4,,CY</t>
  </si>
  <si>
    <t>CRM.N,mscalc:generalAndAdministrativeExpensesCalc,2010Q2,,CY</t>
  </si>
  <si>
    <t>GUID.O,mstag:revenueNet,2012Q1,,CY</t>
  </si>
  <si>
    <t>MSFT.O,mscalc:stockRating</t>
  </si>
  <si>
    <t>CVG.N,mscalc:operatingRevenueForConsensus,2012FY,,CY</t>
  </si>
  <si>
    <t>VMW.N,mstag:researchAndDevelopment,2013FY,,CY</t>
  </si>
  <si>
    <t>CHKP.O,mstag:revenueNet,2010Q2,,CY</t>
  </si>
  <si>
    <t>CRM.N,mscalc:epsForConsensusForThomsonFeed,2009FY,,CY</t>
  </si>
  <si>
    <t>AKAM.O,mscalc:epsForConsensusForThomsonFeed,2012Q2,,CY</t>
  </si>
  <si>
    <t>RHT.N,mstag:otherOperatingExpenseChild,2008FY,,CY</t>
  </si>
  <si>
    <t>EMC.N,msuser:cmAUPLEBITDA20060530T0035524245,2012FY,,CY</t>
  </si>
  <si>
    <t>GUID.O,mstag:marketingAndDistributionCosts,2013Q3,,CY</t>
  </si>
  <si>
    <t>WBSN.O,mstag:marketingAndDistributionCosts,2008Q1,,CY</t>
  </si>
  <si>
    <t>MSFT.O,mscalc:generalAndAdministrativeExpensesCalc,2011Q2,,CY</t>
  </si>
  <si>
    <t>AKAM.O,mstag:costOfSalesWithDepreciation,2011Q3,,CY</t>
  </si>
  <si>
    <t>SFSF.N,mstag:researchAndDevelopment,2010Q3,,CY</t>
  </si>
  <si>
    <t>TLEO.O,mstag:marketingAndDistributionCosts,2008Q1,,CY</t>
  </si>
  <si>
    <t>MSFT.O,mstag:revenueNet,2008Q2,,CY</t>
  </si>
  <si>
    <t>N.N,mscalc:generalAndAdministrativeExpensesCalc,2013Q4,,CY</t>
  </si>
  <si>
    <t>INTU.O,mstag:costOfSalesWithDepreciation,2013Q2,,CY</t>
  </si>
  <si>
    <t>CSCO.O,msuser:cmAUPLEBITDA20060530T0035524245,2008FY,,CY</t>
  </si>
  <si>
    <t>ORCL.O,mscalc:generalAndAdministrativeExpensesCalc,2008Q4,,CY</t>
  </si>
  <si>
    <t>ADSK.O,mscalc:generalAndAdministrativeExpensesCalc,2010Q2,,CY</t>
  </si>
  <si>
    <t>SWI.N,mscalc:epsForConsensusForThomsonFeed,2010FY,,CY</t>
  </si>
  <si>
    <t>RHT.N,mscalc:epsForConsensusForThomsonFeed,2010Q3,,CY</t>
  </si>
  <si>
    <t>VMW.N,mstag:costOfSalesWithDepreciation,2013Q2,,CY</t>
  </si>
  <si>
    <t>QLIK.O,mstag:researchAndDevelopment,2009Q2,,CY</t>
  </si>
  <si>
    <t>SYMC.O,mstag:costOfSalesWithDepreciation,2012FY,,CY</t>
  </si>
  <si>
    <t>AKAM.O,mstag:costOfSalesWithDepreciation,2012Q3,,CY</t>
  </si>
  <si>
    <t>WBSN.O,mstag:marketingAndDistributionCosts,2008Q2,,CY</t>
  </si>
  <si>
    <t>CRM.N,mstag:marketingAndDistributionCosts,2010FY,,CY</t>
  </si>
  <si>
    <t>ADSK.O,mstag:researchAndDevelopment,2011Q1,,CY</t>
  </si>
  <si>
    <t>RHT.N,mstag:researchAndDevelopment,2008Q1,,CY</t>
  </si>
  <si>
    <t>FIRE.O,mstag:costOfSalesWithoutDepreciation,2010Q1,,CY</t>
  </si>
  <si>
    <t>RNOW.O,mstag:marketingAndDistributionCosts,2012Q2,,CY</t>
  </si>
  <si>
    <t>INTC.O,msuser:cmAUPLEBITDA20060530T0035524245,2012FY,,CY</t>
  </si>
  <si>
    <t>TLEO.O,mscalc:generalAndAdministrativeExpensesCalc,2010FY,,CY</t>
  </si>
  <si>
    <t>VRSN.O,mstag:costOfSalesWithDepreciation,2013FY,,CY</t>
  </si>
  <si>
    <t>MKTG.O,mstag:marketingAndDistributionCosts,2011FY,,CY</t>
  </si>
  <si>
    <t>Bear</t>
  </si>
  <si>
    <t>Base</t>
  </si>
  <si>
    <t>Bull</t>
  </si>
  <si>
    <t>Y/Y Growth</t>
  </si>
  <si>
    <t>totrec</t>
  </si>
  <si>
    <t>defrev</t>
  </si>
  <si>
    <t>dso</t>
  </si>
  <si>
    <t>hc</t>
  </si>
  <si>
    <t>revemp</t>
  </si>
  <si>
    <t>lrevemp</t>
  </si>
  <si>
    <t>fcf</t>
  </si>
  <si>
    <t>ADBE.O,mstag:researchAndDevelopment,2008Q3,,CY</t>
  </si>
  <si>
    <t>INTU.O,mscalc:epsForConsensusForThomsonFeed,2007FY,,CY</t>
  </si>
  <si>
    <t>INTU.O,mscalc:generalAndAdministrativeExpensesCalc,2013Q2,,CY</t>
  </si>
  <si>
    <t>SYMC.O,mstag:researchAndDevelopment,2010Q2,,CY</t>
  </si>
  <si>
    <t>VRSN.O,mscalc:generalAndAdministrativeExpensesCalc,2009FY,,CY</t>
  </si>
  <si>
    <t>ORCL.O,mstag:costOfSalesWithDepreciation,2008Q4,,CY</t>
  </si>
  <si>
    <t>VMW.N,mscalc:epsForConsensusForThomsonFeed,2009Q4,,CY</t>
  </si>
  <si>
    <t>N.N,mstag:marketingAndDistributionCosts,2008Q1,,CY</t>
  </si>
  <si>
    <t>N.N,mstag:researchAndDevelopment,2013FY,,CY</t>
  </si>
  <si>
    <t>FIRE.O,mscalc:operatingRevenueForConsensus,2007FY,,CY</t>
  </si>
  <si>
    <t>SFSF.N,mstag:marketingAndDistributionCosts,2011Q1,,CY</t>
  </si>
  <si>
    <t>ORCL.O,mstag:marketingAndDistributionCosts,2009Q3,,CY</t>
  </si>
  <si>
    <t>CHKP.O,mstag:costOfSalesWithDepreciation,2013Q2,,CY</t>
  </si>
  <si>
    <t>VRSN.O,mscalc:generalAndAdministrativeExpensesCalc,2012FY,,CY</t>
  </si>
  <si>
    <t>CHKP.O,mscalc:epsForConsensusForThomsonFeed,2013Q3,,CY</t>
  </si>
  <si>
    <t>INTC.O,mscalc:operatingRevenueForConsensus,2011FY,,CY</t>
  </si>
  <si>
    <t>MSFT.O,mstag:costOfSalesWithDepreciation,2011Q4,,CY</t>
  </si>
  <si>
    <t>MKTG.O,mscalc:epsForConsensusForThomsonFeed,2012Q4,,CY</t>
  </si>
  <si>
    <t>SFSF.N,mscalc:epsForConsensusForThomsonFeed,2009Q2,,CY</t>
  </si>
  <si>
    <t>SREV.O,mstag:researchAndDevelopment,2013Q4,,CY</t>
  </si>
  <si>
    <t>CHKP.O,mstag:researchAndDevelopment,2010Q3,,CY</t>
  </si>
  <si>
    <t>CRM.N,mstag:researchAndDevelopment,2009Q4,,CY</t>
  </si>
  <si>
    <t>RHT.N,mstag:revenueNet,2012Q2,,CY</t>
  </si>
  <si>
    <t>ADP.O,mscalc:epsForConsensusForThomsonFeed,2012FY,,CY</t>
  </si>
  <si>
    <t>ADBE.O,mstag:marketingAndDistributionCosts,2008Q1,,CY</t>
  </si>
  <si>
    <t>RNOW.O,mscalc:generalAndAdministrativeExpensesCalc,2009Q4,,CY</t>
  </si>
  <si>
    <t>WBSN.O,mstag:otherOperatingExpenseChild,2008FY,,CY</t>
  </si>
  <si>
    <t>SYMC.O,mstag:researchAndDevelopment,2009FY,,CY</t>
  </si>
  <si>
    <t>GOOG.O,mscalc:operatingRevenueForConsensus,2013FY,,CY</t>
  </si>
  <si>
    <t>AKAM.O,mstag:marketingAndDistributionCosts,2009Q1,,CY</t>
  </si>
  <si>
    <t>INTU.O,mstag:researchAndDevelopment,2011Q4,,CY</t>
  </si>
  <si>
    <t>ORCL.O,mscalc:generalAndAdministrativeExpensesCalc,2010Q2,,CY</t>
  </si>
  <si>
    <t>CSCO.O,msuser:cmAUPLEBITDA20060530T0035524245,2011FY,,CY</t>
  </si>
  <si>
    <t>RNOW.O,mstag:researchAndDevelopment,2010Q4,,CY</t>
  </si>
  <si>
    <t>N.N,mscalc:epsForConsensusForThomsonFeed,2007FY,,CY</t>
  </si>
  <si>
    <t>MSFT.O,mstag:researchAndDevelopment,2013Q3,,CY</t>
  </si>
  <si>
    <t>N.N,mstag:otherOperatingExpenseChild,2010FY,,CY</t>
  </si>
  <si>
    <t>FTNT.O,mscalc:epsForConsensusForThomsonFeed,2009Q4,,CY</t>
  </si>
  <si>
    <t>CTXS.O,mstag:marketingCosts,2010Q4,,CY</t>
  </si>
  <si>
    <t>FISV.O,mscalc:epsForConsensusForThomsonFeed,2013FY,,CY</t>
  </si>
  <si>
    <t>QLIK.O,mstag:marketingAndDistributionCosts,2010Q4,,CY</t>
  </si>
  <si>
    <t>NFLX.O,msuser:cmAUPLEBITDA20060530T0035524245,2008FY,,CY</t>
  </si>
  <si>
    <t>ADBE.O,mscalc:epsForConsensusForThomsonFeed,2013FY,,CY</t>
  </si>
  <si>
    <t>FIRE.O,mstag:revenueNet,2013Q3,,CY</t>
  </si>
  <si>
    <t>AKAM.O,mscalc:operatingRevenueForConsensus,2013FY,,CY</t>
  </si>
  <si>
    <t>INTU.O,mstag:costOfSalesWithDepreciation,2008Q1,,CY</t>
  </si>
  <si>
    <t>RHT.N,mstag:revenueNet,2013Q4,,CY</t>
  </si>
  <si>
    <t>AKAM.O,mstag:marketingAndDistributionCosts,2007FY,,CY</t>
  </si>
  <si>
    <t>NA,mscalc:generalAndAdministrativeExpensesCalc,2010FY,,CY</t>
  </si>
  <si>
    <t>SFSF.N,mstag:companyReportedRevenue,2009Q4,,CY</t>
  </si>
  <si>
    <t>VMW.N,mstag:revenueNet,2013Q4,,CY</t>
  </si>
  <si>
    <t>RNOW.O,mstag:costOfSalesWithDepreciation,2009Q1,,CY</t>
  </si>
  <si>
    <t>CTXS.O,mstag:longTermDebt,2011Q4,,CY</t>
  </si>
  <si>
    <t>N.N,mstag:costOfSalesWithDepreciation,2013Q1,,CY</t>
  </si>
  <si>
    <t>SYMC.O,mstag:researchAndDevelopment,2012Q3,,CY</t>
  </si>
  <si>
    <t>CRM.N,mstag:researchAndDevelopment,2009Q1,,CY</t>
  </si>
  <si>
    <t>EMC.N,mscalc:epsForConsensusForThomsonFeed,2012FY,,CY</t>
  </si>
  <si>
    <t>SWI.N,mscalc:epsForConsensusForThomsonFeed,2011Q3,,CY</t>
  </si>
  <si>
    <t>GUID.O,mscalc:generalAndAdministrativeExpensesCalc,2012FY,,CY</t>
  </si>
  <si>
    <t>CHKP.O,mscalc:epsForConsensusForThomsonFeed,2012Q1,,CY</t>
  </si>
  <si>
    <t>QLIK.O,mstag:costOfSalesWithDepreciation,2011Q4,,CY</t>
  </si>
  <si>
    <t>CTXS.O,mstag:marketingCosts,2010FY,,CY</t>
  </si>
  <si>
    <t>FIRE.O,mstag:researchAndDevelopment,2008Q4,,CY</t>
  </si>
  <si>
    <t>SYMC.O,mstag:researchAndDevelopment,2012Q4,,CY</t>
  </si>
  <si>
    <t>INTU.O,mscalc:generalAndAdministrativeExpensesCalc,2010Q3,,CY</t>
  </si>
  <si>
    <t>JIVE.O,mscalc:generalAndAdministrativeExpensesCalc,2013FY,,CY</t>
  </si>
  <si>
    <t>ORCL.O,mstag:costOfSalesWithDepreciation,2011Q3,,CY</t>
  </si>
  <si>
    <t>JIVE.O,mstag:costOfSalesWithDepreciation,2010FY,,CY</t>
  </si>
  <si>
    <t>IL.N,mstag:costOfSalesWithDepreciation,2007FY,,CY</t>
  </si>
  <si>
    <t>CHKP.O,mstag:revenueNet,2011Q1,,CY</t>
  </si>
  <si>
    <t>DMAN.O,mstag:revenueNet,2010Q4,,CY</t>
  </si>
  <si>
    <t>Shareholders Equity Adjustment</t>
  </si>
  <si>
    <t>Dilution Ratio</t>
  </si>
  <si>
    <t>New AutoCAD Units</t>
  </si>
  <si>
    <t>Land Desktop</t>
  </si>
  <si>
    <t>Total Inventor Installed Base</t>
  </si>
  <si>
    <t>Operating Income by Segment</t>
  </si>
  <si>
    <t>as % of FCF</t>
  </si>
  <si>
    <t>ltmeps</t>
  </si>
  <si>
    <t>ltmopmgn</t>
  </si>
  <si>
    <t>ltmopcash</t>
  </si>
  <si>
    <t>Retirement</t>
  </si>
  <si>
    <t>v. 14</t>
  </si>
  <si>
    <t>v. 2000</t>
  </si>
  <si>
    <t xml:space="preserve">v. 2000i </t>
  </si>
  <si>
    <t>v. 13</t>
  </si>
  <si>
    <t>Location Services Spin Out (announced 1/2009)</t>
  </si>
  <si>
    <t>EPS (Diluted) - GAAP</t>
  </si>
  <si>
    <t>grp</t>
  </si>
  <si>
    <t>slscost</t>
  </si>
  <si>
    <t>snm</t>
  </si>
  <si>
    <t>WBSN.O,mscalc:epsForConsensusForThomsonFeed,2010Q1,,CY</t>
  </si>
  <si>
    <t>N.N,mstag:researchAndDevelopment,2012Q1,,CY</t>
  </si>
  <si>
    <t>P.N,msuser:cmAUPLEBITDA20060530T0035524245,2012FY,,CY</t>
  </si>
  <si>
    <t>QLIK.O,mstag:researchAndDevelopment,2012Q1,,CY</t>
  </si>
  <si>
    <t>VMW.N,mscalc:operatingRevenueForConsensus,2012FY,,CY</t>
  </si>
  <si>
    <t>WBSN.O,mstag:researchAndDevelopment,2013Q2,,CY</t>
  </si>
  <si>
    <t>DMAN.O,mscalc:epsForConsensusForThomsonFeed,2012Q1,,CY</t>
  </si>
  <si>
    <t>DMAN.O,mstag:marketingAndDistributionCosts,2013Q2,,CY</t>
  </si>
  <si>
    <t>GUID.O,mstag:costOfSalesWithoutDepreciation,2013FY,,CY</t>
  </si>
  <si>
    <t>opmgn</t>
  </si>
  <si>
    <t>taxrate</t>
  </si>
  <si>
    <t>ni</t>
  </si>
  <si>
    <t>shs</t>
  </si>
  <si>
    <t>eps</t>
  </si>
  <si>
    <t>ltmlrev</t>
  </si>
  <si>
    <t>ltmrev</t>
  </si>
  <si>
    <t>1c13</t>
  </si>
  <si>
    <t>2c13</t>
  </si>
  <si>
    <t>3c13</t>
  </si>
  <si>
    <t>4c13</t>
  </si>
  <si>
    <t>_fy14</t>
  </si>
  <si>
    <t>Estimated Depreciation of PP&amp;E</t>
  </si>
  <si>
    <t>AutoCAD Installed Base</t>
  </si>
  <si>
    <t>Inventor Installed Base</t>
  </si>
  <si>
    <t>NA,mscalc:epsForConsensusForThomsonFeed,2010FY,,CY</t>
  </si>
  <si>
    <t>ADBE.O,mstag:marketingAndDistributionCosts,2013Q2,,CY</t>
  </si>
  <si>
    <t>ADBE.O,mstag:marketingAndDistributionCosts,2012Q2,,CY</t>
  </si>
  <si>
    <t>FTNT.O,mstag:marketingAndDistributionCosts,2013FY,,CY</t>
  </si>
  <si>
    <t>SREV.O,mstag:marketingAndDistributionCosts,2008Q3,,CY</t>
  </si>
  <si>
    <t>SYMC.O,mstag:researchAndDevelopment,2008Q2,,CY</t>
  </si>
  <si>
    <t>QLIK.O,mscalc:targetPrice</t>
  </si>
  <si>
    <t>CTXS.O,mstag:revenueNet,2011Q3,,CY</t>
  </si>
  <si>
    <t>QLIK.O,mscalc:epsForConsensusForThomsonFeed,2008Q4,,CY</t>
  </si>
  <si>
    <t>SWI.N,mstag:revenueNet,2012Q1,,CY</t>
  </si>
  <si>
    <t>RHT.N,mscalc:epsForConsensusForThomsonFeed,2011Q3,,CY</t>
  </si>
  <si>
    <t>VMW.N,mstag:revenueNet,2011Q3,,CY</t>
  </si>
  <si>
    <t>TLEO.O,mscalc:generalAndAdministrativeExpensesCalc,2013Q2,,CY</t>
  </si>
  <si>
    <t>SFSF.N,mscalc:generalAndAdministrativeExpensesCalc,2009Q3,,CY</t>
  </si>
  <si>
    <t>FTNT.O,mstag:costOfSalesWithDepreciation,2012Q4,,CY</t>
  </si>
  <si>
    <t>WBSN.O,mstag:researchAndDevelopment,2010Q1,,CY</t>
  </si>
  <si>
    <t>CHKP.O,mscalc:generalAndAdministrativeExpensesCalc,2009Q1,,CY</t>
  </si>
  <si>
    <t>VMW.N,mstag:revenueNet,2009Q2,,CY</t>
  </si>
  <si>
    <t>7/07</t>
  </si>
  <si>
    <t>1/07</t>
  </si>
  <si>
    <t>Non-GAAP EPS</t>
  </si>
  <si>
    <t>Subscription Revenue</t>
  </si>
  <si>
    <t>Accrued Income Taxes &amp; Other</t>
  </si>
  <si>
    <t>Building Solutions Division</t>
  </si>
  <si>
    <t>Moldflow</t>
  </si>
  <si>
    <t>Billings</t>
  </si>
  <si>
    <t>Shareholders Equity (incl. Cumulative Acquired Goodwill)</t>
  </si>
  <si>
    <t xml:space="preserve">     Adjusted ROE</t>
  </si>
  <si>
    <t>Accumulated Amortization of Goodwill - Reported</t>
  </si>
  <si>
    <t>GAAP Diluted EPS</t>
  </si>
  <si>
    <t>'SFAS 123' Pro-Forma EPS</t>
  </si>
  <si>
    <t>Operating EPS Incl. Options Expense</t>
  </si>
  <si>
    <t>GUID.O,mscalc:operatingRevenueForConsensus,2009FY,,CY</t>
  </si>
  <si>
    <t>N.N,mstag:costOfSalesWithDepreciation,2013Q2,,CY</t>
  </si>
  <si>
    <t>MKTG.O,mscalc:epsForConsensusForThomsonFeed,2011Q1,,CY</t>
  </si>
  <si>
    <t>CRM.N,mscalc:generalAndAdministrativeExpensesCalc,2012Q2,,CY</t>
  </si>
  <si>
    <t>CTXS.O,mstag:marketingCosts,2013Q2,,CY</t>
  </si>
  <si>
    <t>ADSK.O,mscalc:epsForConsensusForThomsonFeed,2008FY,,CY</t>
  </si>
  <si>
    <t>SREV.O,mstag:researchAndDevelopment,2009FY,,CY</t>
  </si>
  <si>
    <t>DST.N,mscalc:operatingRevenueForConsensus,2010FY,,CY</t>
  </si>
  <si>
    <t>SREV.O,mscalc:generalAndAdministrativeExpensesCalc,2010FY,,CY</t>
  </si>
  <si>
    <t>ADSK.O,mstag:costOfSalesWithDepreciation,2012Q4,,CY</t>
  </si>
  <si>
    <t>TLEO.O,mscalc:epsForConsensusForThomsonFeed,2011Q1,,CY</t>
  </si>
  <si>
    <t>AKAM.O,mstag:researchAndDevelopment,2011Q3,,CY</t>
  </si>
  <si>
    <t>CTXS.O,mstag:costOfSalesWithDepreciation,2008Q1,,CY</t>
  </si>
  <si>
    <t>GUID.O,mstag:shortTermBorrowings,2011Q3,,CY</t>
  </si>
  <si>
    <t>MKTG.O,mstag:costOfSalesWithDepreciation,2010FY,,CY</t>
  </si>
  <si>
    <t>IL.N,mscalc:generalAndAdministrativeExpensesCalc,2011Q1,,CY</t>
  </si>
  <si>
    <t>DMAN.O,mscalc:generalAndAdministrativeExpensesCalc,2011Q2,,CY</t>
  </si>
  <si>
    <t>CTXS.O,mstag:sellingGeneralAndAdministrativeExpenses,2012Q4,,CY</t>
  </si>
  <si>
    <t>ADSK.O,mstag:revenueNet,2009Q4,,CY</t>
  </si>
  <si>
    <t>JNPR.N,mscalc:epsForConsensusForThomsonFeed,2011FY,,CY</t>
  </si>
  <si>
    <t>INTU.O,mstag:marketingAndDistributionCosts,2008Q4,,CY</t>
  </si>
  <si>
    <t>AMD.N,mscalc:epsForConsensusForThomsonFeed,2011FY,,CY</t>
  </si>
  <si>
    <t>TLEO.O,mstag:costOfSalesWithDepreciation,2010Q1,,CY</t>
  </si>
  <si>
    <t>VMW.N,mstag:researchAndDevelopment,2010FY,,CY</t>
  </si>
  <si>
    <t>IL.N,mstag:revenueNet,2008Q4,,CY</t>
  </si>
  <si>
    <t>IL.N,mscalc:stockRating</t>
  </si>
  <si>
    <t>ADSK.O,mstag:costOfSalesWithDepreciation,2013Q4,,CY</t>
  </si>
  <si>
    <t>SYMC.O,mstag:costOfSalesWithDepreciation,2008Q4,,CY</t>
  </si>
  <si>
    <t>SWI.N,mstag:revenueNet,2010Q3,,CY</t>
  </si>
  <si>
    <t>ADBE.O,mscalc:generalAndAdministrativeExpensesCalc,2013Q4,,CY</t>
  </si>
  <si>
    <t>EBAY.O,msuser:cmAUPLEBITDA20060530T0035524245,2009FY,,CY</t>
  </si>
  <si>
    <t>ADBE.O,mscalc:epsForConsensusForThomsonFeed,2013Q1,,CY</t>
  </si>
  <si>
    <t>GUID.O,mscalc:generalAndAdministrativeExpensesCalc,2012Q2,,CY</t>
  </si>
  <si>
    <t>FIRE.O,mstag:revenueNet,2008Q2,,CY</t>
  </si>
  <si>
    <t>ADSK.O,mscalc:epsForConsensusForThomsonFeed,2011FY,,CY</t>
  </si>
  <si>
    <t>IL.N,mstag:revenueNet,2011Q3,,CY</t>
  </si>
  <si>
    <t>ADBE.O,mstag:costOfSalesWithDepreciation,2007FY,,CY</t>
  </si>
  <si>
    <t>CRM.N,mstag:marketingAndDistributionCosts,2011FY,,CY</t>
  </si>
  <si>
    <t>SYMC.O,mscalc:operatingRevenueForConsensus,2009FY,,CY</t>
  </si>
  <si>
    <t>RNOW.O,mstag:researchAndDevelopment,2013Q2,,CY</t>
  </si>
  <si>
    <t>CRM.N,mstag:shortTermInvestments,2011Q3,,CY</t>
  </si>
  <si>
    <t>INTU.O,mscalc:generalAndAdministrativeExpensesCalc,2011Q2,,CY</t>
  </si>
  <si>
    <t>MSFT.O,mstag:costOfSalesWithDepreciation,2008Q4,,CY</t>
  </si>
  <si>
    <t>N.N,mstag:costOfSalesWithDepreciation,2008Q3,,CY</t>
  </si>
  <si>
    <t>N.N,mscalc:generalAndAdministrativeExpensesCalc,2009FY,,CY</t>
  </si>
  <si>
    <t>TLEO.O,mscalc:epsForConsensusForThomsonFeed,2009Q1,,CY</t>
  </si>
  <si>
    <t>IL.N,mscalc:targetPrice</t>
  </si>
  <si>
    <t>NFLX.O,mscalc:operatingRevenueForConsensus,2008FY,,CY</t>
  </si>
  <si>
    <t>AKAM.O,mstag:researchAndDevelopment,2008Q1,,CY</t>
  </si>
  <si>
    <t>ADSK.O,mstag:marketingAndDistributionCosts,2011FY,,CY</t>
  </si>
  <si>
    <t>SFSF.N,mstag:costOfSalesWithDepreciation,2011Q3,,CY</t>
  </si>
  <si>
    <t>CHKP.O,mstag:costOfSalesWithDepreciation,2008Q3,,CY</t>
  </si>
  <si>
    <t>IL.N,mstag:marketingAndDistributionCosts,2010Q1,,CY</t>
  </si>
  <si>
    <t>CRM.N,mstag:marketingAndDistributionCosts,2012Q3,,CY</t>
  </si>
  <si>
    <t>FIRE.O,mstag:costOfSalesWithoutDepreciation,2012Q2,,CY</t>
  </si>
  <si>
    <t>SFSF.N,mscalc:epsForConsensusForThomsonFeed,2009Q4,,CY</t>
  </si>
  <si>
    <t>CRM.N,mscalc:generalAndAdministrativeExpensesCalc,2012FY,,CY</t>
  </si>
  <si>
    <t>HPQ.N,mscalc:epsForConsensusForThomsonFeed,2011FY,,CY</t>
  </si>
  <si>
    <t>RHT.N,mstag:costOfSalesWithDepreciation,2011Q3,,CY</t>
  </si>
  <si>
    <t>TLEO.O,mscalc:generalAndAdministrativeExpensesCalc,2010Q1,,CY</t>
  </si>
  <si>
    <t>RHT.N,mscalc:epsForConsensusForThomsonFeed,2012Q4,,CY</t>
  </si>
  <si>
    <t>JIVE.O,mstag:costOfSalesWithDepreciation,2013FY,,CY</t>
  </si>
  <si>
    <t>ADBE.O,mstag:researchAndDevelopment,2007FY,,CY</t>
  </si>
  <si>
    <t>CHKP.O,mstag:costOfSalesWithDepreciation,2008Q2,,CY</t>
  </si>
  <si>
    <t>TLEO.O,mstag:marketingAndDistributionCosts,2012Q2,,CY</t>
  </si>
  <si>
    <t>SYMC.O,mscalc:generalAndAdministrativeExpensesCalc,2010Q3,,CY</t>
  </si>
  <si>
    <t>MKTG.O,mstag:marketingAndDistributionCosts,2008Q1,,CY</t>
  </si>
  <si>
    <t>ADBE.O,mscalc:operatingRevenueForConsensus,2008FY,,CY</t>
  </si>
  <si>
    <t>AKAM.O,mstag:researchAndDevelopment,2009Q4,,CY</t>
  </si>
  <si>
    <t>WBSN.O,mstag:researchAndDevelopment,2013Q3,,CY</t>
  </si>
  <si>
    <t>IL.N,mscalc:generalAndAdministrativeExpensesCalc,2010FY,,CY</t>
  </si>
  <si>
    <t>TLEO.O,mstag:costOfSalesWithDepreciation,2012Q1,,CY</t>
  </si>
  <si>
    <t>RNOW.O,mstag:marketingAndDistributionCosts,2011Q4,,CY</t>
  </si>
  <si>
    <t>CTXS.O,mscalc:epsForConsensusForThomsonFeed,2008FY,,CY</t>
  </si>
  <si>
    <t>INTU.O,mstag:otherOperatingExpenseChild,2010FY,,CY</t>
  </si>
  <si>
    <t>VMW.N,mstag:marketingCosts,2011FY,,CY</t>
  </si>
  <si>
    <t>GUID.O,mstag:costOfSalesWithoutDepreciation,2010Q4,,CY</t>
  </si>
  <si>
    <t>CHKP.O,mstag:costOfSalesWithDepreciation,2009Q3,,CY</t>
  </si>
  <si>
    <t>SYMC.O,mscalc:epsForConsensusForThomsonFeed,2010Q1,,CY</t>
  </si>
  <si>
    <t>RHT.N,mstag:revenueNet,2011Q4,,CY</t>
  </si>
  <si>
    <t>CRM.N,mstag:marketingAndDistributionCosts,2009Q1,,CY</t>
  </si>
  <si>
    <t>INTC.O,mscalc:operatingRevenueForConsensus,2009FY,,CY</t>
  </si>
  <si>
    <t>CTXS.O,mstag:sellingGeneralAndAdministrativeExpenses,2011Q2,,CY</t>
  </si>
  <si>
    <t>GUID.O,mscalc:epsForConsensusForThomsonFeed,2008FY,,CY</t>
  </si>
  <si>
    <t>CHKP.O,mstag:researchAndDevelopment,2013Q2,,CY</t>
  </si>
  <si>
    <t>RHT.N,mscalc:epsForConsensusForThomsonFeed,2011Q4,,CY</t>
  </si>
  <si>
    <t>ZNGA.O,msuser:cmAUPLEBITDA20060530T0035524245,2012FY,,CY</t>
  </si>
  <si>
    <t>QLIK.O,mstag:revenueNet,2008Q2,,CY</t>
  </si>
  <si>
    <t>VMW.N,mstag:researchAndDevelopment,2008FY,,CY</t>
  </si>
  <si>
    <t>ORCL.O,mscalc:epsForConsensusForThomsonFeed,2012Q3,,CY</t>
  </si>
  <si>
    <t>GRPN.O,msuser:cmAUPLEBITDA20060530T0035524245,2012FY,,CY</t>
  </si>
  <si>
    <t>CRM.N,mstag:costOfSalesWithDepreciation,2011Q4,,CY</t>
  </si>
  <si>
    <t>ADBE.O,mstag:otherOperatingExpenseChild,2007FY,,CY</t>
  </si>
  <si>
    <t>MSFT.O,mscalc:operatingRevenueForConsensus,2007FY,,CY</t>
  </si>
  <si>
    <t>CRM.N,mstag:otherOperatingExpenseChild,2012FY,,CY</t>
  </si>
  <si>
    <t>ADP.O,mscalc:operatingRevenueForConsensus,2010FY,,CY</t>
  </si>
  <si>
    <t>GRPN.O,mscalc:operatingRevenueForConsensus,2013FY,,CY</t>
  </si>
  <si>
    <t>Unallocated Amounts</t>
  </si>
  <si>
    <t>Total Operating Income</t>
  </si>
  <si>
    <t>SYMC.O,mstag:cashAndCashEquivalents,,,CY</t>
  </si>
  <si>
    <t>1c07</t>
  </si>
  <si>
    <t>_fy07</t>
  </si>
  <si>
    <t>2c07</t>
  </si>
  <si>
    <t>3c07</t>
  </si>
  <si>
    <t>_fy08</t>
  </si>
  <si>
    <t>nopat</t>
  </si>
  <si>
    <t>4c03</t>
  </si>
  <si>
    <t>_fy03</t>
  </si>
  <si>
    <t>1c04</t>
  </si>
  <si>
    <t>2c04</t>
  </si>
  <si>
    <t>3c04</t>
  </si>
  <si>
    <t>4c04</t>
  </si>
  <si>
    <t>_fy04</t>
  </si>
  <si>
    <t>ADSK.O,mscalc:closePriceCurrencyCalc</t>
  </si>
  <si>
    <t>ADSK.O,mscalc:sedolCodeCalc</t>
  </si>
  <si>
    <t>ADSK.O,mscalc:targetPrice,,,,USD</t>
  </si>
  <si>
    <t>2065159</t>
  </si>
  <si>
    <t/>
  </si>
  <si>
    <t>1c09</t>
  </si>
  <si>
    <t>2c09</t>
  </si>
  <si>
    <t>3c09</t>
  </si>
  <si>
    <t>4c09</t>
  </si>
  <si>
    <t>_fy10</t>
  </si>
  <si>
    <t>2007</t>
  </si>
  <si>
    <t>\]\</t>
  </si>
  <si>
    <t>SYMC.O,mstag:costOfSalesWithDepreciation,2007FY,,CY</t>
  </si>
  <si>
    <t>ADP.O,msuser:cmAUPLEBITDA20060530T0035524245,2010FY,,CY</t>
  </si>
  <si>
    <t>NA,mstag:marketingAndDistributionCosts,2013FY,,CY</t>
  </si>
  <si>
    <t>VMW.N,mscalc:yearEndMonth</t>
  </si>
  <si>
    <t>GUID.O,mstag:researchAndDevelopment,2012Q3,,CY</t>
  </si>
  <si>
    <t>QLIK.O,mscalc:operatingRevenueForConsensus,2011FY,,CY</t>
  </si>
  <si>
    <t>NA,mstag:researchAndDevelopment,2007FY,,CY</t>
  </si>
  <si>
    <t>QLIK.O,mscalc:epsForConsensusForThomsonFeed,2013Q4,,CY</t>
  </si>
  <si>
    <t>MKTG.O,mscalc:epsForConsensusForThomsonFeed,2011Q4,,CY</t>
  </si>
  <si>
    <t>HPQ.N,mscalc:operatingRevenueForConsensus,2008FY,,CY</t>
  </si>
  <si>
    <t>N.N,mstag:revenueNet,2012Q1,,CY</t>
  </si>
  <si>
    <t>N.N,mscalc:operatingRevenueForConsensus,2012FY,,CY</t>
  </si>
  <si>
    <t>CTXS.O,mstag:costOfSalesWithDepreciation,2008Q2,,CY</t>
  </si>
  <si>
    <t>SFSF.N,mstag:costOfSalesWithDepreciation,2013Q4,,CY</t>
  </si>
  <si>
    <t>TLEO.O,mstag:marketingAndDistributionCosts,2013Q4,,CY</t>
  </si>
  <si>
    <t>SYMC.O,mstag:researchAndDevelopment,2013Q4,,CY</t>
  </si>
  <si>
    <t>INTC.O,mscalc:epsForConsensusForThomsonFeed,2012FY,,CY</t>
  </si>
  <si>
    <t>N.N,mstag:costOfSalesWithDepreciation,2010Q1,,CY</t>
  </si>
  <si>
    <t>DMAN.O,mstag:costOfSalesWithDepreciation,2013Q2,,CY</t>
  </si>
  <si>
    <t>CNQR.O,mstag:costOfSalesWithDepreciation,2011FY,,CY</t>
  </si>
  <si>
    <t>10/07</t>
  </si>
  <si>
    <t>DMAN.O,mstag:marketingAndDistributionCosts,2013Q3,,CY</t>
  </si>
  <si>
    <t>VMW.N,mstag:revenueNet,2011Q1,,CY</t>
  </si>
  <si>
    <t>FTNT.O,mstag:revenueNet,2012Q1,,CY</t>
  </si>
  <si>
    <t>CRM.N,mstag:costOfSalesWithDepreciation,2009Q3,,CY</t>
  </si>
  <si>
    <t>FTNT.O,mstag:costOfSalesWithDepreciation,2008Q3,,CY</t>
  </si>
  <si>
    <t>SYMC.O,mstag:costOfSalesWithDepreciation,2011Q3,,CY</t>
  </si>
  <si>
    <t>TLEO.O,mscalc:operatingRevenueForConsensus,2008FY,,CY</t>
  </si>
  <si>
    <t>RNOW.O,mscalc:generalAndAdministrativeExpensesCalc,2011Q3,,CY</t>
  </si>
  <si>
    <t>RHT.N,mscalc:epsForConsensusForThomsonFeed,2010Q4,,CY</t>
  </si>
  <si>
    <t>SFSF.N,mstag:researchAndDevelopment,2012Q3,,CY</t>
  </si>
  <si>
    <t>FTNT.O,mstag:marketingAndDistributionCosts,2011Q1,,CY</t>
  </si>
  <si>
    <t>GRPN.O,msuser:cmAUPLEBITDA20060530T0035524245,2009FY,,CY</t>
  </si>
  <si>
    <t>N.N,mstag:marketingAndDistributionCosts,2012Q4,,CY</t>
  </si>
  <si>
    <t>FTNT.O,mstag:marketingAndDistributionCosts,2010FY,,CY</t>
  </si>
  <si>
    <t>SWI.N,mstag:otherOperatingExpenseChild,2012FY,,CY</t>
  </si>
  <si>
    <t>AKAM.O,mstag:longTermDebt,2011Q3,,CY</t>
  </si>
  <si>
    <t>AAPL.O,mscalc:yearEndMonth</t>
  </si>
  <si>
    <t>FIRE.O,mscalc:generalAndAdministrativeExpensesCalc,2012Q1,,CY</t>
  </si>
  <si>
    <t>FTNT.O,mstag:revenueNet,2013Q2,,CY</t>
  </si>
  <si>
    <t>INTU.O,mstag:researchAndDevelopment,2010FY,,CY</t>
  </si>
  <si>
    <t>CNQR.O,mscalc:epsForConsensusForThomsonFeed,2008FY,,CY</t>
  </si>
  <si>
    <t>SYMC.O,mscalc:epsForConsensusForThomsonFeed,2009Q4,,CY</t>
  </si>
  <si>
    <t>VMW.N,mstag:marketingCosts,2013FY,,CY</t>
  </si>
  <si>
    <t>RNOW.O,mscalc:epsForConsensusForThomsonFeed,2012Q2,,CY</t>
  </si>
  <si>
    <t>TLEO.O,mstag:otherOperatingExpenseChild,2009FY,,CY</t>
  </si>
  <si>
    <t>SFSF.N,mstag:marketingAndDistributionCosts,2011Q3,,CY</t>
  </si>
  <si>
    <t>SWI.N,mscalc:operatingRevenueForConsensus,2011FY,,CY</t>
  </si>
  <si>
    <t>RHT.N,mstag:costOfSalesWithDepreciation,2010FY,,CY</t>
  </si>
  <si>
    <t>AKAM.O,mstag:longTermInvestmentsNonOperating,2011Q3,,CY</t>
  </si>
  <si>
    <t>NA,mstag:researchAndDevelopment,2012FY,,CY</t>
  </si>
  <si>
    <t>ZNGA.O,mscalc:yearEndMonth</t>
  </si>
  <si>
    <t>SWI.N,mscalc:epsForConsensusForThomsonFeed,2008Q3,,CY</t>
  </si>
  <si>
    <t>SWI.N,mstag:revenueNet,2013Q3,,CY</t>
  </si>
  <si>
    <t>CTXS.O,mstag:otherOperatingExpenseChild,2010FY,,CY</t>
  </si>
  <si>
    <t>INTU.O,mscalc:generalAndAdministrativeExpensesCalc,2013Q1,,CY</t>
  </si>
  <si>
    <t>ADBE.O,mstag:revenueNet,2013Q4,,CY</t>
  </si>
  <si>
    <t>DELL.O,mscalc:dilutedEarningsPerShare,2007FY,,CY</t>
  </si>
  <si>
    <t>IL.N,mstag:marketingAndDistributionCosts,2009Q4,,CY</t>
  </si>
  <si>
    <t>N.N,mstag:costOfSalesWithDepreciation,2011Q1,,CY</t>
  </si>
  <si>
    <t>GUID.O,mstag:costOfSalesWithoutDepreciation,2013Q1,,CY</t>
  </si>
  <si>
    <t>MKTG.O,mscalc:generalAndAdministrativeExpensesCalc,2010Q2,,CY</t>
  </si>
  <si>
    <t>LNKD.N,mscalc:epsForConsensusForThomsonFeed,2009FY,,CY</t>
  </si>
  <si>
    <t>MKTG.O,mscalc:epsForConsensusForThomsonFeed,2009Q3,,CY</t>
  </si>
  <si>
    <t>SREV.O,mstag:researchAndDevelopment,2010Q4,,CY</t>
  </si>
  <si>
    <t>DMAN.O,mscalc:epsForConsensusForThomsonFeed,2008Q2,,CY</t>
  </si>
  <si>
    <t>QLIK.O,mstag:marketingAndDistributionCosts,2013Q2,,CY</t>
  </si>
  <si>
    <t>AMD.N,msuser:cmAUPLEBITDA20060530T0035524245,2012FY,,CY</t>
  </si>
  <si>
    <t>ADBE.O,mscalc:generalAndAdministrativeExpensesCalc,2012Q3,,CY</t>
  </si>
  <si>
    <t>CRM.N,mstag:marketingAndDistributionCosts,2012Q2,,CY</t>
  </si>
  <si>
    <t>HPQ.N,mscalc:operatingRevenueForConsensus,2013FY,,CY</t>
  </si>
  <si>
    <t>CHKP.O,mstag:costOfSalesWithDepreciation,2013Q4,,CY</t>
  </si>
  <si>
    <t>DELL.O,mscalc:epsForConsensusForThomsonFeed,2013FY,,CY</t>
  </si>
  <si>
    <t>SREV.O,mstag:costOfSalesWithDepreciation,2009Q2,,CY</t>
  </si>
  <si>
    <t>QLIK.O,mstag:otherOperatingExpenseChild,2011FY,,CY</t>
  </si>
  <si>
    <t>CRM.N,mstag:researchAndDevelopment,2013Q1,,CY</t>
  </si>
  <si>
    <t>DMAN.O,mstag:costOfSalesWithDepreciation,2010Q1,,CY</t>
  </si>
  <si>
    <t>EBAY.O,msuser:cmAUPLEBITDA20060530T0035524245,2012FY,,CY</t>
  </si>
  <si>
    <t>OPEN.O,msuser:cmAUPLEBITDA20060530T0035524245,2013FY,,CY</t>
  </si>
  <si>
    <t>AKAM.O,mstag:softwareLicenseRevenues,2011FY,,CY</t>
  </si>
  <si>
    <t>INTU.O,mscalc:generalAndAdministrativeExpensesCalc,2011FY,,CY</t>
  </si>
  <si>
    <t>IL.N,mstag:researchAndDevelopment,2013Q3,,CY</t>
  </si>
  <si>
    <t>CTXS.O,mstag:revenueNet,2008Q4,,CY</t>
  </si>
  <si>
    <t>VMW.N,mstag:costOfSalesWithDepreciation,2008FY,,CY</t>
  </si>
  <si>
    <t>SYMC.O,mstag:researchAndDevelopment,2008Q1,,CY</t>
  </si>
  <si>
    <t>WBSN.O,mscalc:generalAndAdministrativeExpensesCalc,2010Q2,,CY</t>
  </si>
  <si>
    <t>FTNT.O,mstag:revenueNet,2009Q2,,CY</t>
  </si>
  <si>
    <t>RHT.N,mstag:costOfSalesWithDepreciation,2013Q4,,CY</t>
  </si>
  <si>
    <t>N.N,mstag:researchAndDevelopment,2010FY,,CY</t>
  </si>
  <si>
    <t>CHKP.O,mscalc:generalAndAdministrativeExpensesCalc,2008Q3,,CY</t>
  </si>
  <si>
    <t>SAPG.DE,mstag:marketingAndDistributionCosts,2013FY,,CY</t>
  </si>
  <si>
    <t>MKTG.O,mscalc:epsForConsensusForThomsonFeed,2013Q1,,CY</t>
  </si>
  <si>
    <t>RNOW.O,mscalc:generalAndAdministrativeExpensesCalc,2012Q1,,CY</t>
  </si>
  <si>
    <t>QLIK.O,mstag:marketingAndDistributionCosts,2013Q1,,CY</t>
  </si>
  <si>
    <t>HPQ.N,mscalc:epsForConsensusForThomsonFeed,2010FY,,CY</t>
  </si>
  <si>
    <t>GUID.O,mstag:revenueNet,2012Q2,,CY</t>
  </si>
  <si>
    <t>FIRE.O,mstag:marketingAndDistributionCosts,2012Q3,,CY</t>
  </si>
  <si>
    <t>NA,mstag:costOfSalesWithDepreciation,2010FY,,CY</t>
  </si>
  <si>
    <t>AKAM.O,mscalc:epsForConsensusForThomsonFeed,2012Q3,,CY</t>
  </si>
  <si>
    <t>CTXS.O,mscalc:operatingRevenueForConsensus,2011FY,,CY</t>
  </si>
  <si>
    <t>SYMC.O,mscalc:operatingRevenueForConsensus,2010FY,,CY</t>
  </si>
  <si>
    <t>P.N,mscalc:operatingRevenueForConsensus,2007FY,,CY</t>
  </si>
  <si>
    <t>RHT.N,mscalc:generalAndAdministrativeExpensesCalc,2008Q3,,CY</t>
  </si>
  <si>
    <t>RNOW.O,mscalc:generalAndAdministrativeExpensesCalc,2008Q3,,CY</t>
  </si>
  <si>
    <t>ORCL.O,mstag:researchAndDevelopment,2013Q1,,CY</t>
  </si>
  <si>
    <t>RHT.N,mstag:researchAndDevelopment,2012Q3,,CY</t>
  </si>
  <si>
    <t>CHKP.O,mscalc:generalAndAdministrativeExpensesCalc,2013Q4,,CY</t>
  </si>
  <si>
    <t>WBSN.O,mstag:costOfSalesWithDepreciation,2012Q1,,CY</t>
  </si>
  <si>
    <t>MKTG.O,mstag:marketingAndDistributionCosts,2008Q4,,CY</t>
  </si>
  <si>
    <t>MKTG.O,mstag:costOfSalesWithDepreciation,2012Q2,,CY</t>
  </si>
  <si>
    <t>DMAN.O,mstag:revenueNet,2013Q4,,CY</t>
  </si>
  <si>
    <t>CRM.N,mstag:researchAndDevelopment,2008Q2,,CY</t>
  </si>
  <si>
    <t>INTU.O,mstag:marketingAndDistributionCosts,2010FY,,CY</t>
  </si>
  <si>
    <t>SAPG.DE,mscalc:operatingRevenueForConsensus,2011FY,,CY</t>
  </si>
  <si>
    <t>VMW.N,mstag:researchAndDevelopment,2009FY,,CY</t>
  </si>
  <si>
    <t>WBSN.O,mstag:revenueNet,2012Q4,,CY</t>
  </si>
  <si>
    <t>QLIK.O,mstag:revenueNet,2008Q3,,CY</t>
  </si>
  <si>
    <t>TLEO.O,mstag:costOfSalesWithDepreciation,2013FY,,CY</t>
  </si>
  <si>
    <t>TXN.N,mscalc:operatingRevenueForConsensus,2009FY,,CY</t>
  </si>
  <si>
    <t>CHKP.O,mscalc:generalAndAdministrativeExpensesCalc,2011Q3,,CY</t>
  </si>
  <si>
    <t>AKAM.O,mstag:revenueNet,2011Q4,,CY</t>
  </si>
  <si>
    <t>MKTG.O,mstag:revenueNet,2008Q1,,CY</t>
  </si>
  <si>
    <t>SYMC.O,mstag:researchAndDevelopment,2009Q4,,CY</t>
  </si>
  <si>
    <t>OPEN.O,msuser:cmAUPLEBITDA20060530T0035524245,2010FY,,CY</t>
  </si>
  <si>
    <t>RHT.N,mscalc:epsForConsensusForThomsonFeed,2013FY,,CY</t>
  </si>
  <si>
    <t>WBSN.O,mstag:costOfSalesWithDepreciation,2012Q2,,CY</t>
  </si>
  <si>
    <t>FIRE.O,mscalc:generalAndAdministrativeExpensesCalc,2008Q3,,CY</t>
  </si>
  <si>
    <t>N.N,mstag:costOfSalesWithDepreciation,2013Q3,,CY</t>
  </si>
  <si>
    <t>GUID.O,mstag:costOfSalesWithoutDepreciation,2008Q4,,CY</t>
  </si>
  <si>
    <t>MSFT.O,mscalc:epsForConsensusForThomsonFeed,2012Q4,,CY</t>
  </si>
  <si>
    <t>WBSN.O,mscalc:generalAndAdministrativeExpensesCalc,2010Q3,,CY</t>
  </si>
  <si>
    <t>SYMC.O,mscalc:epsForConsensusForThomsonFeed,2012Q2,,CY</t>
  </si>
  <si>
    <t>TLEO.O,mstag:researchAndDevelopment,2010FY,,CY</t>
  </si>
  <si>
    <t>MKTG.O,mscalc:generalAndAdministrativeExpensesCalc,2008Q1,,CY</t>
  </si>
  <si>
    <t>RHT.N,mscalc:epsForConsensusForThomsonFeed,2007FY,,CY</t>
  </si>
  <si>
    <t>RHT.N,mscalc:generalAndAdministrativeExpensesCalc,2012Q1,,CY</t>
  </si>
  <si>
    <t>VMW.N,mstag:researchAndDevelopment,2010Q2,,CY</t>
  </si>
  <si>
    <t>RHT.N,mscalc:operatingRevenueForConsensus,2009FY,,CY</t>
  </si>
  <si>
    <t>MKTG.O,mstag:costOfSalesWithDepreciation,2009Q1,,CY</t>
  </si>
  <si>
    <t>FIRE.O,mstag:depreciationInIncomeStatement,2012Q1,,CY</t>
  </si>
  <si>
    <t>RNOW.O,mscalc:epsForConsensusForThomsonFeed,2010Q3,,CY</t>
  </si>
  <si>
    <t>10/12</t>
  </si>
  <si>
    <t>N.N,mscalc:epsForConsensusForThomsonFeed,2011Q2,,CY</t>
  </si>
  <si>
    <t>CNQR.O,mscalc:operatingRevenueForConsensus,2008FY,,CY</t>
  </si>
  <si>
    <t>TLEO.O,mstag:researchAndDevelopment,2009Q2,,CY</t>
  </si>
  <si>
    <t>SYMC.O,mscalc:epsForConsensusForThomsonFeed,2009Q1,,CY</t>
  </si>
  <si>
    <t>WBSN.O,mstag:costOfSalesWithDepreciation,2008FY,,CY</t>
  </si>
  <si>
    <t>CSCO.O,mscalc:operatingRevenueForConsensus,2010FY,,CY</t>
  </si>
  <si>
    <t>CHKP.O,mstag:revenueNet,2008Q4,,CY</t>
  </si>
  <si>
    <t>VMW.N,mstag:revenueNet,2010Q1,,CY</t>
  </si>
  <si>
    <t>CHKP.O,mstag:researchAndDevelopment,2012Q3,,CY</t>
  </si>
  <si>
    <t>AKAM.O,mstag:researchAndDevelopment,2011FY,,CY</t>
  </si>
  <si>
    <t>DMAN.O,mstag:researchAndDevelopment,2008Q2,,CY</t>
  </si>
  <si>
    <t>SYMC.O,mstag:marketingAndDistributionCosts,2011Q1,,CY</t>
  </si>
  <si>
    <t>LNKD.N,mscalc:operatingRevenueForConsensus,2007FY,,CY</t>
  </si>
  <si>
    <t>FIRE.O,mstag:researchAndDevelopment,2009FY,,CY</t>
  </si>
  <si>
    <t>SFSF.N,mstag:costOfSalesWithDepreciation,2012Q3,,CY</t>
  </si>
  <si>
    <t>FIRE.O,mstag:marketingAndDistributionCosts,2012Q4,,CY</t>
  </si>
  <si>
    <t>ORCL.O,mscalc:epsForConsensusForThomsonFeed,2010Q3,,CY</t>
  </si>
  <si>
    <t>MSFT.O,mstag:softwareProductRevenues,2011FY,,CY</t>
  </si>
  <si>
    <t>RHT.N,mscalc:generalAndAdministrativeExpensesCalc,2009Q4,,CY</t>
  </si>
  <si>
    <t>SREV.O,mscalc:epsForConsensusForThomsonFeed,2010Q2,,CY</t>
  </si>
  <si>
    <t>INFA.O,mstag:costOfSalesWithDepreciation,2007FY,,CY</t>
  </si>
  <si>
    <t>INTU.O,mstag:costOfSalesWithDepreciation,2013FY,,CY</t>
  </si>
  <si>
    <t>MKTG.O,mstag:marketingAndDistributionCosts,2011Q3,,CY</t>
  </si>
  <si>
    <t>MKTG.O,mstag:marketingAndDistributionCosts,2008Q2,,CY</t>
  </si>
  <si>
    <t>IL.N,mstag:revenueNet,2013Q1,,CY</t>
  </si>
  <si>
    <t>N.N,mscalc:epsForConsensusForThomsonFeed,2011Q4,,CY</t>
  </si>
  <si>
    <t>SREV.O,mscalc:epsForConsensusForThomsonFeed,2011Q1,,CY</t>
  </si>
  <si>
    <t>GUID.O,mscalc:generalAndAdministrativeExpensesCalc,2010Q1,,CY</t>
  </si>
  <si>
    <t>SYMC.O,mstag:otherOperatingExpenseChild,2010FY,,CY</t>
  </si>
  <si>
    <t>RNOW.O,mstag:revenueNet,2009Q1,,CY</t>
  </si>
  <si>
    <t>TLEO.O,mscalc:generalAndAdministrativeExpensesCalc,2011Q4,,CY</t>
  </si>
  <si>
    <t>NA,mscalc:epsForConsensusForThomsonFeed,2007FY,,CY</t>
  </si>
  <si>
    <t>AKAM.O,mscalc:generalAndAdministrativeExpensesCalc,2010Q2,,CY</t>
  </si>
  <si>
    <t>INTU.O,mstag:researchAndDevelopment,2008Q1,,CY</t>
  </si>
  <si>
    <t>QLIK.O,mscalc:generalAndAdministrativeExpensesCalc,2011Q3,,CY</t>
  </si>
  <si>
    <t>WBSN.O,mscalc:generalAndAdministrativeExpensesCalc,2011Q2,,CY</t>
  </si>
  <si>
    <t>MKTG.O,mstag:costOfSalesWithDepreciation,2008Q3,,CY</t>
  </si>
  <si>
    <t>FTNT.O,mscalc:generalAndAdministrativeExpensesCalc,2013Q4,,CY</t>
  </si>
  <si>
    <t>4/12</t>
  </si>
  <si>
    <t>CVG.N,mscalc:epsForConsensusForThomsonFeed,2012FY,,CY</t>
  </si>
  <si>
    <t>CTXS.O,mstag:researchAndDevelopment,2010Q1,,CY</t>
  </si>
  <si>
    <t>ADBE.O,mscalc:epsForConsensusForThomsonFeed,2012Q3,,CY</t>
  </si>
  <si>
    <t>VMW.N,mstag:researchAndDevelopment,2013Q2,,CY</t>
  </si>
  <si>
    <t>ADBE.O,mstag:revenueNet,2011Q4,,CY</t>
  </si>
  <si>
    <t>CTXS.O,mstag:sellingGeneralAndAdministrativeExpenses,2011Q1,,CY</t>
  </si>
  <si>
    <t>CHKP.O,mstag:marketingAndDistributionCosts,2008Q2,,CY</t>
  </si>
  <si>
    <t>CTXS.O,mstag:marketingCosts,2009FY,,CY</t>
  </si>
  <si>
    <t>HPQ.N,mscalc:operatingRevenueForConsensus,2009FY,,CY</t>
  </si>
  <si>
    <t>IL.N,mstag:otherOperatingExpenseChild,2007FY,,CY</t>
  </si>
  <si>
    <t>CRM.N,mstag:revenueNet,2008Q1,,CY</t>
  </si>
  <si>
    <t>CHKP.O,mstag:softwareLicenseRevenues,2013FY,,CY</t>
  </si>
  <si>
    <t>WBSN.O,mstag:researchAndDevelopment,2010Q4,,CY</t>
  </si>
  <si>
    <t>QLIK.O,mscalc:stockRating</t>
  </si>
  <si>
    <t>NA,mstag:costOfSalesWithDepreciation,2013FY,,CY</t>
  </si>
  <si>
    <t>DMAN.O,mscalc:generalAndAdministrativeExpensesCalc,2013Q4,,CY</t>
  </si>
  <si>
    <t>VMW.N,mscalc:epsForConsensusForThomsonFeed,2011Q4,,CY</t>
  </si>
  <si>
    <t>ADSK.O,mstag:costOfSalesWithDepreciation,2012Q1,,CY</t>
  </si>
  <si>
    <t>IL.N,mstag:researchAndDevelopment,2009Q3,,CY</t>
  </si>
  <si>
    <t>ADBE.O,mstag:costOfSalesWithDepreciation,2012Q2,,CY</t>
  </si>
  <si>
    <t>GUID.O,mstag:depreciationInIncomeStatement,2007FY,,CY</t>
  </si>
  <si>
    <t>VRSN.O,mstag:marketingAndDistributionCosts,2012FY,,CY</t>
  </si>
  <si>
    <t>INTU.O,mstag:marketingAndDistributionCosts,2013FY,,CY</t>
  </si>
  <si>
    <t>CVG.N,mscalc:epsForConsensusForThomsonFeed,2011FY,,CY</t>
  </si>
  <si>
    <t>MKTG.O,mscalc:epsForConsensusForThomsonFeed,2009Q1,,CY</t>
  </si>
  <si>
    <t>SREV.O,mscalc:epsForConsensusForThomsonFeed,2008Q2,,CY</t>
  </si>
  <si>
    <t>MKTG.O,mstag:costOfSalesWithDepreciation,2013Q2,,CY</t>
  </si>
  <si>
    <t>TLEO.O,mscalc:generalAndAdministrativeExpensesCalc,2013FY,,CY</t>
  </si>
  <si>
    <t>INFA.O,mstag:marketingAndDistributionCosts,2010FY,,CY</t>
  </si>
  <si>
    <t>SWI.N,mstag:costOfSalesWithDepreciation,2013Q3,,CY</t>
  </si>
  <si>
    <t>VMW.N,mstag:sellingGeneralAndAdministrativeExpenses,2008Q1,,CY</t>
  </si>
  <si>
    <t>CHKP.O,mstag:researchAndDevelopment,2008Q3,,CY</t>
  </si>
  <si>
    <t>QLIK.O,mstag:researchAndDevelopment,2010Q4,,CY</t>
  </si>
  <si>
    <t>CRM.N,mscalc:epsForConsensusForThomsonFeed,2011Q2,,CY</t>
  </si>
  <si>
    <t>DMAN.O,mscalc:epsForConsensusForThomsonFeed,2011Q2,,CY</t>
  </si>
  <si>
    <t>HRB.N,msuser:cmAUPLEBITDA20060530T0035524245,2008FY,,CY</t>
  </si>
  <si>
    <t>ADBE.O,mstag:researchAndDevelopment,2009FY,,CY</t>
  </si>
  <si>
    <t>AKAM.O,mstag:marketingAndDistributionCosts,2012Q1,,CY</t>
  </si>
  <si>
    <t>GUID.O,mscalc:generalAndAdministrativeExpensesCalc,2011Q4,,CY</t>
  </si>
  <si>
    <t>SYMC.O,mstag:marketingAndDistributionCosts,2008FY,,CY</t>
  </si>
  <si>
    <t>10/08</t>
  </si>
  <si>
    <r>
      <t>% of applicable revenue (</t>
    </r>
    <r>
      <rPr>
        <i/>
        <sz val="9"/>
        <rFont val="Arial"/>
        <family val="2"/>
      </rPr>
      <t>company reported</t>
    </r>
    <r>
      <rPr>
        <sz val="9"/>
        <rFont val="Arial"/>
        <family val="2"/>
      </rPr>
      <t>)</t>
    </r>
  </si>
  <si>
    <t>Product Returns</t>
  </si>
  <si>
    <t>SWI.N,mstag:shortTermInvestments,2011Q3,,CY</t>
  </si>
  <si>
    <t>INFA.O,mstag:costOfSalesWithDepreciation,2008FY,,CY</t>
  </si>
  <si>
    <t>MKTG.O,mstag:marketingAndDistributionCosts,2009FY,,CY</t>
  </si>
  <si>
    <t>IBM.N,mscalc:operatingRevenueForConsensus,2009FY,,CY</t>
  </si>
  <si>
    <t>WBSN.O,mscalc:operatingRevenueForConsensus,2012FY,,CY</t>
  </si>
  <si>
    <t>RNOW.O,mstag:costOfSalesWithDepreciation,2013Q4,,CY</t>
  </si>
  <si>
    <t>SFSF.N,mstag:marketingAndDistributionCosts,2010Q2,,CY</t>
  </si>
  <si>
    <t>AMAT.O,mscalc:epsForConsensusForThomsonFeed,2010FY,,CY</t>
  </si>
  <si>
    <t>CHKP.O,mscalc:generalAndAdministrativeExpensesCalc,2009Q4,,CY</t>
  </si>
  <si>
    <t>AKAM.O,mstag:marketingAndDistributionCosts,2008Q4,,CY</t>
  </si>
  <si>
    <t>ADP.O,msuser:cmAUPLEBITDA20060530T0035524245,2008FY,,CY</t>
  </si>
  <si>
    <t>AKAM.O,mstag:marketingAndDistributionCosts,2008FY,,CY</t>
  </si>
  <si>
    <t>SFSF.N,mscalc:generalAndAdministrativeExpensesCalc,2013Q1,,CY</t>
  </si>
  <si>
    <t>JIVE.O,mstag:otherOperatingExpenseChild,2013FY,,CY</t>
  </si>
  <si>
    <t>7/00</t>
  </si>
  <si>
    <t>10/00</t>
  </si>
  <si>
    <t>1/01</t>
  </si>
  <si>
    <t>Product Return reserves</t>
  </si>
  <si>
    <t>Additions to Product Return Reserves</t>
  </si>
  <si>
    <t>% of LTM revenues</t>
  </si>
  <si>
    <t>% of Q revenues</t>
  </si>
  <si>
    <t>MSFT.O,mscalc:epsForConsensusForThomsonFeed,2011Q4,,CY</t>
  </si>
  <si>
    <t>ADSK.O,mstag:otherOperatingExpenseChild,2008FY,,CY</t>
  </si>
  <si>
    <t>QLIK.O,mscalc:epsForConsensusForThomsonFeed,2013Q1,,CY</t>
  </si>
  <si>
    <t>IBM.N,mscalc:operatingRevenueForConsensus,2007FY,,CY</t>
  </si>
  <si>
    <t>SWI.N,mstag:revenueNet,2009Q1,,CY</t>
  </si>
  <si>
    <t>ADSK.O,mscalc:epsForConsensusForThomsonFeed,2012Q4,,CY</t>
  </si>
  <si>
    <t>VRSN.O,mstag:researchAndDevelopment,2007FY,,CY</t>
  </si>
  <si>
    <t>MSFT.O,mstag:revenueNet,2013Q3,,CY</t>
  </si>
  <si>
    <t>TLEO.O,mstag:marketingAndDistributionCosts,2010Q2,,CY</t>
  </si>
  <si>
    <t>DMAN.O,mscalc:generalAndAdministrativeExpensesCalc,2010Q1,,CY</t>
  </si>
  <si>
    <t>INTU.O,mstag:costOfSalesWithDepreciation,2011Q1,,CY</t>
  </si>
  <si>
    <t>SWI.N,mscalc:generalAndAdministrativeExpensesCalc,2011Q3,,CY</t>
  </si>
  <si>
    <t>VRSN.O,mscalc:epsForConsensusForThomsonFeed,2010FY,,CY</t>
  </si>
  <si>
    <t>SFSF.N,mscalc:generalAndAdministrativeExpensesCalc,2012Q4,,CY</t>
  </si>
  <si>
    <t>SYMC.O,mstag:marketingAndDistributionCosts,2013FY,,CY</t>
  </si>
  <si>
    <t>SREV.O,mscalc:epsForConsensusForThomsonFeed,2009Q4,,CY</t>
  </si>
  <si>
    <t>QLIK.O,mscalc:generalAndAdministrativeExpensesCalc,2009Q4,,CY</t>
  </si>
  <si>
    <t>CRM.N,mscalc:epsForConsensusForThomsonFeed,2013FY,,CY</t>
  </si>
  <si>
    <t>VRSN.O,mscalc:epsForConsensusForThomsonFeed,2011FY,,CY</t>
  </si>
  <si>
    <t>GUID.O,mstag:depreciationInIncomeStatement,2009Q1,,CY</t>
  </si>
  <si>
    <t>RHT.N,mstag:researchAndDevelopment,2011Q4,,CY</t>
  </si>
  <si>
    <t>MSFT.O,mstag:researchAndDevelopment,2010Q2,,CY</t>
  </si>
  <si>
    <t>SFSF.O,mscalc:stockRating</t>
  </si>
  <si>
    <t>RHT.N,mscalc:generalAndAdministrativeExpensesCalc,2009FY,,CY</t>
  </si>
  <si>
    <t>Flagship</t>
  </si>
  <si>
    <t>Suites</t>
  </si>
  <si>
    <t>New and Adjacent</t>
  </si>
  <si>
    <t>FTNT.O,mscalc:epsForConsensusForThomsonFeed,2008FY,,CY</t>
  </si>
  <si>
    <t>WBSN.O,mstag:revenueNet,2011Q1,,CY</t>
  </si>
  <si>
    <t>FTNT.O,mstag:researchAndDevelopment,2008Q4,,CY</t>
  </si>
  <si>
    <t>AKAM.O,mscalc:epsForConsensusForThomsonFeed,2009Q2,,CY</t>
  </si>
  <si>
    <t>JIVE.O,mscalc:generalAndAdministrativeExpensesCalc,2012FY,,CY</t>
  </si>
  <si>
    <t>CTXS.O,mstag:costOfSalesWithDepreciation,2009FY,,CY</t>
  </si>
  <si>
    <t>DST.N,mscalc:operatingRevenueForConsensus,2013FY,,CY</t>
  </si>
  <si>
    <t>DMAN.O,mstag:costOfSalesWithDepreciation,2008Q1,,CY</t>
  </si>
  <si>
    <t>INFA.O,mstag:otherOperatingExpenseChild,2009FY,,CY</t>
  </si>
  <si>
    <t>RHT.N,mstag:researchAndDevelopment,2011Q1,,CY</t>
  </si>
  <si>
    <t>AMZN.O,mscalc:operatingRevenueForConsensus,2010FY,,CY</t>
  </si>
  <si>
    <t>N.N,mstag:revenueNet,2008Q3,,CY</t>
  </si>
  <si>
    <t>GUID.O,mstag:depreciationInIncomeStatement,2013Q2,,CY</t>
  </si>
  <si>
    <t>ADSK.O,mstag:marketingAndDistributionCosts,2010Q1,,CY</t>
  </si>
  <si>
    <t>AMZN.O,mscalc:dilutedEarningsPerShare,2008FY,,CY</t>
  </si>
  <si>
    <t>MSFT.O,mstag:researchAndDevelopment,2008Q1,,CY</t>
  </si>
  <si>
    <t>GUID.O,mscalc:epsForConsensusForThomsonFeed,2010FY,,CY</t>
  </si>
  <si>
    <t>CRM.N,mstag:revenueNet,2008Q4,,CY</t>
  </si>
  <si>
    <t>GUID.O,mstag:depreciationInIncomeStatement,2010Q1,,CY</t>
  </si>
  <si>
    <t>CVG.N,mscalc:epsForConsensusForThomsonFeed,2010FY,,CY</t>
  </si>
  <si>
    <t>DMAN.O,mstag:marketingAndDistributionCosts,2009Q2,,CY</t>
  </si>
  <si>
    <t>WBSN.O,mstag:marketingAndDistributionCosts,2011Q2,,CY</t>
  </si>
  <si>
    <t>GUID.O,mstag:researchAndDevelopment,2008Q3,,CY</t>
  </si>
  <si>
    <t>AKAM.O,mstag:costOfSalesWithDepreciation,2008Q3,,CY</t>
  </si>
  <si>
    <t>ADSK.O,mscalc:epsForConsensusForThomsonFeed,2013FY,,CY</t>
  </si>
  <si>
    <t>CRM.N,mscalc:epsForConsensusForThomsonFeed,2010Q4,,CY</t>
  </si>
  <si>
    <t>INFA.O,mscalc:targetPrice</t>
  </si>
  <si>
    <t>TLEO.O,mstag:researchAndDevelopment,2012Q1,,CY</t>
  </si>
  <si>
    <t>AKAM.O,mscalc:generalAndAdministrativeExpensesCalc,2009Q2,,CY</t>
  </si>
  <si>
    <t>CTXS.O,mstag:sellingGeneralAndAdministrativeExpenses,2011Q3,,CY</t>
  </si>
  <si>
    <t>FIRE.O,mstag:marketingAndDistributionCosts,2009Q4,,CY</t>
  </si>
  <si>
    <t>GUID.O,mstag:revenueNet,2013Q4,,CY</t>
  </si>
  <si>
    <t>AKAM.O,mstag:revenueNet,2012Q1,,CY</t>
  </si>
  <si>
    <t>MSFT.O,mscalc:epsForConsensusForThomsonFeed,2012Q1,,CY</t>
  </si>
  <si>
    <t>CHKP.O,mstag:otherOperatingExpenseChild,2008FY,,CY</t>
  </si>
  <si>
    <t>WBSN.O,mscalc:epsForConsensusForThomsonFeed,2010Q2,,CY</t>
  </si>
  <si>
    <t>MSFT.O,mscalc:epsForConsensusForThomsonFeed,2010Q3,,CY</t>
  </si>
  <si>
    <t>FTNT.O,mstag:researchAndDevelopment,2008Q2,,CY</t>
  </si>
  <si>
    <t>MSFT.O,mscalc:operatingRevenueForConsensus,2010FY,,CY</t>
  </si>
  <si>
    <t>CTXS.O,mstag:cashAndCashEquivalents,2011Q4,,CY</t>
  </si>
  <si>
    <t>AKAM.O,mscalc:generalAndAdministrativeExpensesCalc,2009Q3,,CY</t>
  </si>
  <si>
    <t>SYMC.O,mscalc:generalAndAdministrativeExpensesCalc,2011FY,,CY</t>
  </si>
  <si>
    <t>AKAM.O,mscalc:epsForConsensusForThomsonFeed,2011FY,,CY</t>
  </si>
  <si>
    <t>CTXS.O,mstag:sellingGeneralAndAdministrativeExpenses,2008Q4,,CY</t>
  </si>
  <si>
    <t>CRM.N,mstag:marketingAndDistributionCosts,2011Q3,,CY</t>
  </si>
  <si>
    <t>INFA.O,mstag:costOfSalesWithDepreciation,2012FY,,CY</t>
  </si>
  <si>
    <t>CHKP.O,mstag:averageDilutedSharesOutstanding,2011Q4,,CY</t>
  </si>
  <si>
    <t>MSFT.O,mstag:marketingAndDistributionCosts,2008Q2,,CY</t>
  </si>
  <si>
    <t>MKTG.O,mstag:researchAndDevelopment,2011Q4,,CY</t>
  </si>
  <si>
    <t>MSFT.O,mstag:researchAndDevelopment,2012Q3,,CY</t>
  </si>
  <si>
    <t>RNOW.O,mstag:revenueNet,2010Q4,,CY</t>
  </si>
  <si>
    <t>MSFT.O,mscalc:operatingRevenueForConsensus,2013FY,,CY</t>
  </si>
  <si>
    <t>JIVE.O,mstag:otherOperatingExpenseChild,2007FY,,CY</t>
  </si>
  <si>
    <t>SFSF.N,mstag:marketingAndDistributionCosts,2011Q2,,CY</t>
  </si>
  <si>
    <t>QLIK.O,mscalc:epsForConsensusForThomsonFeed,2010Q2,,CY</t>
  </si>
  <si>
    <t>DMAN.O,mstag:costOfSalesWithDepreciation,2012Q4,,CY</t>
  </si>
  <si>
    <t>SWI.N,mstag:revenueNet,2011Q1,,CY</t>
  </si>
  <si>
    <t>QLIK.O,mscalc:epsForConsensusForThomsonFeed,2007FY,,CY</t>
  </si>
  <si>
    <t>TLEO.O,mscalc:epsForConsensusForThomsonFeed,2008FY,,CY</t>
  </si>
  <si>
    <t>FIRE.O,mscalc:generalAndAdministrativeExpensesCalc,2010FY,,CY</t>
  </si>
  <si>
    <t>NA,mscalc:stockRating</t>
  </si>
  <si>
    <t>CRM.N,mstag:marketingAndDistributionCosts,2008Q1,,CY</t>
  </si>
  <si>
    <t>CSCO.O,mscalc:epsForConsensusForThomsonFeed,2010FY,,CY</t>
  </si>
  <si>
    <t>MSFT.O,mstag:costOfSalesWithDepreciation,2010Q4,,CY</t>
  </si>
  <si>
    <t>ZNGA.O,mscalc:epsForConsensusForThomsonFeed,2013FY,,CY</t>
  </si>
  <si>
    <t>RNOW.O,mstag:researchAndDevelopment,2010Q3,,CY</t>
  </si>
  <si>
    <t>CTXS.O,mstag:researchAndDevelopment,2013FY,,CY</t>
  </si>
  <si>
    <t>N.N,mstag:marketingAndDistributionCosts,2011Q1,,CY</t>
  </si>
  <si>
    <t>AKAM.O,mscalc:generalAndAdministrativeExpensesCalc,2008FY,,CY</t>
  </si>
  <si>
    <t>SREV.O,mscalc:generalAndAdministrativeExpensesCalc,2012Q3,,CY</t>
  </si>
  <si>
    <t>SREV.O,mstag:revenueNet,2010Q3,,CY</t>
  </si>
  <si>
    <t>SREV.O,mscalc:generalAndAdministrativeExpensesCalc,2011Q1,,CY</t>
  </si>
  <si>
    <t>MSFT.O,mstag:revenueNet,2008Q1,,CY</t>
  </si>
  <si>
    <t>FTNT.O,mstag:researchAndDevelopment,2013Q1,,CY</t>
  </si>
  <si>
    <t>CTXS.O,mstag:researchAndDevelopment,2008Q2,,CY</t>
  </si>
  <si>
    <t>INFA.O,mstag:marketingAndDistributionCosts,2007FY,,CY</t>
  </si>
  <si>
    <t>MKTG.O,mscalc:generalAndAdministrativeExpensesCalc,2009Q4,,CY</t>
  </si>
  <si>
    <t>SWI.N,mscalc:epsForConsensusForThomsonFeed,2009Q3,,CY</t>
  </si>
  <si>
    <t>SYMC.O,mscalc:generalAndAdministrativeExpensesCalc,2010Q1,,CY</t>
  </si>
  <si>
    <t>MKTG.O,mscalc:epsForConsensusForThomsonFeed,2008Q1,,CY</t>
  </si>
  <si>
    <t>WBSN.O,mstag:researchAndDevelopment,2012FY,,CY</t>
  </si>
  <si>
    <t>FIRE.O,mstag:researchAndDevelopment,2011Q2,,CY</t>
  </si>
  <si>
    <t>SYMC.O,mscalc:generalAndAdministrativeExpensesCalc,2009Q3,,CY</t>
  </si>
  <si>
    <t>FTNT.O,mscalc:epsForConsensusForThomsonFeed,2009FY,,CY</t>
  </si>
  <si>
    <t>GUID.O,mstag:marketingAndDistributionCosts,2009Q2,,CY</t>
  </si>
  <si>
    <t>WBSN.O,mscalc:epsForConsensusForThomsonFeed,2009Q2,,CY</t>
  </si>
  <si>
    <t>RHT.N,mstag:marketingAndDistributionCosts,2013Q1,,CY</t>
  </si>
  <si>
    <t>SREV.O,mstag:marketingAndDistributionCosts,2011FY,,CY</t>
  </si>
  <si>
    <t>RHT.N,mstag:costOfSalesWithDepreciation,2011Q1,,CY</t>
  </si>
  <si>
    <t>ADBE.O,mscalc:epsForConsensusForThomsonFeed,2011Q1,,CY</t>
  </si>
  <si>
    <t>GUID.O,mscalc:generalAndAdministrativeExpensesCalc,2009Q1,,CY</t>
  </si>
  <si>
    <t>FTNT.O,mstag:researchAndDevelopment,2013Q3,,CY</t>
  </si>
  <si>
    <t>CHKP.O,mstag:marketingAndDistributionCosts,2007FY,,CY</t>
  </si>
  <si>
    <t>CRM.N,mstag:costOfSalesWithDepreciation,2008FY,,CY</t>
  </si>
  <si>
    <t>QLIK.O,mstag:revenueNet,2010Q4,,CY</t>
  </si>
  <si>
    <t>IL.N,mstag:otherOperatingExpenseChild,2013FY,,CY</t>
  </si>
  <si>
    <t>DMAN.O,mstag:marketingAndDistributionCosts,2012Q1,,CY</t>
  </si>
  <si>
    <t>VMW.N,mstag:marketingCosts,2013Q1,,CY</t>
  </si>
  <si>
    <t>QLIK.O,mstag:revenueNet,2011Q3,,CY</t>
  </si>
  <si>
    <t>ADBE.O,mstag:marketingAndDistributionCosts,2011Q1,,CY</t>
  </si>
  <si>
    <t>ADSK.O,mstag:marketingAndDistributionCosts,2008FY,,CY</t>
  </si>
  <si>
    <t>ORCL.O,mstag:revenueNet,2009Q2,,CY</t>
  </si>
  <si>
    <t>TLEO.O,mstag:costOfSalesWithDepreciation,2010Q2,,CY</t>
  </si>
  <si>
    <t>N.N,mscalc:epsForConsensusForThomsonFeed,2008FY,,CY</t>
  </si>
  <si>
    <t>ORCL.O,mstag:researchAndDevelopment,2013Q4,,CY</t>
  </si>
  <si>
    <t>IL.N,mstag:costOfSalesWithDepreciation,2013Q4,,CY</t>
  </si>
  <si>
    <t>SREV.O,mstag:marketingAndDistributionCosts,2011Q1,,CY</t>
  </si>
  <si>
    <t>SYMC.O,mstag:costOfSalesWithDepreciation,2012Q3,,CY</t>
  </si>
  <si>
    <t>ADSK.O,mstag:costOfSalesWithDepreciation,2010Q2,,CY</t>
  </si>
  <si>
    <t>ORCL.O,mscalc:generalAndAdministrativeExpensesCalc,2012Q4,,CY</t>
  </si>
  <si>
    <t>SYMC.O,mscalc:generalAndAdministrativeExpensesCalc,2012Q3,,CY</t>
  </si>
  <si>
    <t>VMW.N,mstag:costOfSalesWithDepreciation,2013Q4,,CY</t>
  </si>
  <si>
    <t>QLIK.O,mstag:costOfSalesWithDepreciation,2012FY,,CY</t>
  </si>
  <si>
    <t>WBSN.O,mstag:costOfSalesWithDepreciation,2010Q2,,CY</t>
  </si>
  <si>
    <t>CRM.N,mstag:researchAndDevelopment,2013Q4,,CY</t>
  </si>
  <si>
    <t>CRM.N,mstag:researchAndDevelopment,2008Q4,,CY</t>
  </si>
  <si>
    <t>VMW.N,mscalc:epsForConsensusForThomsonFeed,2011Q1,,CY</t>
  </si>
  <si>
    <t>CHKP.O,mscalc:epsForConsensusForThomsonFeed,2008Q1,,CY</t>
  </si>
  <si>
    <t>MKTG.O,mstag:marketingAndDistributionCosts,2011Q1,,CY</t>
  </si>
  <si>
    <t>VMW.N,mstag:sellingGeneralAndAdministrativeExpenses,2012Q2,,CY</t>
  </si>
  <si>
    <t>CRM.N,mstag:marketingAndDistributionCosts,2010Q2,,CY</t>
  </si>
  <si>
    <t>SREV.O,mstag:marketingAndDistributionCosts,2011Q2,,CY</t>
  </si>
  <si>
    <t>ADBE.O,mscalc:yearEndMonth</t>
  </si>
  <si>
    <t>WBSN.O,mscalc:generalAndAdministrativeExpensesCalc,2009Q3,,CY</t>
  </si>
  <si>
    <t>QLIK.O,mstag:marketingAndDistributionCosts,2011Q3,,CY</t>
  </si>
  <si>
    <t>ADBE.O,mscalc:operatingRevenueForConsensus,2011FY,,CY</t>
  </si>
  <si>
    <t>RHT.N,mstag:researchAndDevelopment,2013FY,,CY</t>
  </si>
  <si>
    <t>GUID.O,mscalc:epsForConsensusForThomsonFeed,2009Q4,,CY</t>
  </si>
  <si>
    <t>IL.N,mstag:otherOperatingExpenseChild,2012FY,,CY</t>
  </si>
  <si>
    <t>FIRE.O,mstag:cashAndCashEquivalents,2011Q3,,CY</t>
  </si>
  <si>
    <t>GUID.O,mstag:marketingAndDistributionCosts,2012Q2,,CY</t>
  </si>
  <si>
    <t>ADBE.O,mstag:costOfSalesWithDepreciation,2010Q1,,CY</t>
  </si>
  <si>
    <t>CRM.N,mstag:otherOperatingExpenseChild,2010FY,,CY</t>
  </si>
  <si>
    <t>ADBE.O,mstag:costOfSalesWithDepreciation,2012Q1,,CY</t>
  </si>
  <si>
    <t>WBSN.O,mscalc:epsForConsensusForThomsonFeed,2013Q3,,CY</t>
  </si>
  <si>
    <t>INTU.O,mstag:longTermInvestmentsNonOperating,2011Q3,,CY</t>
  </si>
  <si>
    <t>CRM.N,mscalc:generalAndAdministrativeExpensesCalc,2013Q2,,CY</t>
  </si>
  <si>
    <t>FTNT.O,mscalc:operatingRevenueForConsensus,2007FY,,CY</t>
  </si>
  <si>
    <t>SREV.O,mstag:marketingAndDistributionCosts,2010Q1,,CY</t>
  </si>
  <si>
    <t>RNOW.O,mscalc:epsForConsensusForThomsonFeed,2013Q2,,CY</t>
  </si>
  <si>
    <t>N.N,mstag:researchAndDevelopment,2013Q1,,CY</t>
  </si>
  <si>
    <t>GUID.O,mstag:costOfSalesWithoutDepreciation,2010Q1,,CY</t>
  </si>
  <si>
    <t>CTXS.O,mstag:sellingGeneralAndAdministrativeExpenses,2008FY,,CY</t>
  </si>
  <si>
    <t>ORCL.O,mstag:costOfSalesWithDepreciation,2009Q3,,CY</t>
  </si>
  <si>
    <t>MSFT.O,mstag:costOfSalesWithDepreciation,2012Q3,,CY</t>
  </si>
  <si>
    <t>,mstag:averageDilutedSharesOutstanding,2011Q3,,CY</t>
  </si>
  <si>
    <t>HRB.N,mscalc:operatingRevenueForConsensus,2011FY,,CY</t>
  </si>
  <si>
    <t>SWI.N,mstag:marketingAndDistributionCosts,2011Q3,,CY</t>
  </si>
  <si>
    <t>FTNT.O,mstag:costOfSalesWithDepreciation,2011FY,,CY</t>
  </si>
  <si>
    <t>SREV.O,mstag:shortTermInvestments,2011Q3,,CY</t>
  </si>
  <si>
    <t>SWI.N,mscalc:epsForConsensusForThomsonFeed,2013Q1,,CY</t>
  </si>
  <si>
    <t>QLIK.O,mscalc:generalAndAdministrativeExpensesCalc,2012Q3,,CY</t>
  </si>
  <si>
    <t>ADBE.O,mscalc:generalAndAdministrativeExpensesCalc,2013FY,,CY</t>
  </si>
  <si>
    <t>CTXS.O,mstag:sellingGeneralAndAdministrativeExpenses,2009FY,,CY</t>
  </si>
  <si>
    <t>TLEO.O,mstag:researchAndDevelopment,2012Q2,,CY</t>
  </si>
  <si>
    <t>GUID.O,mstag:depreciationInIncomeStatement,2009FY,,CY</t>
  </si>
  <si>
    <t>SFSF.N,mstag:companyReportedRevenue,2013Q1,,CY</t>
  </si>
  <si>
    <t>SYMC.O,mstag:researchAndDevelopment,2012Q2,,CY</t>
  </si>
  <si>
    <t>RHT.N,mscalc:epsForConsensusForThomsonFeed,2012Q3,,CY</t>
  </si>
  <si>
    <t>VMW.N,mstag:revenueNet,2012Q2,,CY</t>
  </si>
  <si>
    <t>SYMC.O,mstag:revenueNet,2011Q3,,CY</t>
  </si>
  <si>
    <t>SYMC.O,mstag:revenueNet,2010Q4,,CY</t>
  </si>
  <si>
    <t>ORCL.O,mstag:revenueNet,2010Q3,,CY</t>
  </si>
  <si>
    <t>FIRE.O,mstag:costOfSalesWithoutDepreciation,2009Q4,,CY</t>
  </si>
  <si>
    <t>SAPG.DE,mscalc:generalAndAdministrativeExpensesCalc,2012FY,,CY</t>
  </si>
  <si>
    <t>ADBE.O,mscalc:epsForConsensusForThomsonFeed,2013Q2,,CY</t>
  </si>
  <si>
    <t>RHT.N,mstag:marketingAndDistributionCosts,2008FY,,CY</t>
  </si>
  <si>
    <t>RNOW.O,mstag:revenueNet,2011Q4,,CY</t>
  </si>
  <si>
    <t>MSFT.O,mstag:softwareProductRevenues,2007FY,,CY</t>
  </si>
  <si>
    <t>SWI.N,mstag:costOfSalesWithDepreciation,2011Q3,,CY</t>
  </si>
  <si>
    <t>SFSF.N,mstag:marketingAndDistributionCosts,2012Q4,,CY</t>
  </si>
  <si>
    <t>MSFT.O,mscalc:epsForConsensusForThomsonFeed,2009Q2,,CY</t>
  </si>
  <si>
    <t>ADBE.O,mstag:shortTermBorrowings,2011Q4,,CY</t>
  </si>
  <si>
    <t>CRM.N,mstag:marketingAndDistributionCosts,2012FY,,CY</t>
  </si>
  <si>
    <t>INTU.O,mstag:costOfSalesWithDepreciation,2009FY,,CY</t>
  </si>
  <si>
    <t>CNQR.O,mscalc:generalAndAdministrativeExpensesCalc,2009FY,,CY</t>
  </si>
  <si>
    <t>WBSN.O,mstag:researchAndDevelopment,2008Q1,,CY</t>
  </si>
  <si>
    <t>CRM.N,mscalc:yearEndMonth</t>
  </si>
  <si>
    <t>ADBE.O,mstag:costOfSalesWithDepreciation,2012Q4,,CY</t>
  </si>
  <si>
    <t>SYMC.O,mscalc:generalAndAdministrativeExpensesCalc,2012Q2,,CY</t>
  </si>
  <si>
    <t>CRM.N,mscalc:generalAndAdministrativeExpensesCalc,2010Q3,,CY</t>
  </si>
  <si>
    <t>VMW.N,mstag:sellingGeneralAndAdministrativeExpenses,2013Q3,,CY</t>
  </si>
  <si>
    <t>RHT.N,mscalc:generalAndAdministrativeExpensesCalc,2010Q1,,CY</t>
  </si>
  <si>
    <t>TLEO.O,mstag:marketingAndDistributionCosts,2009Q4,,CY</t>
  </si>
  <si>
    <t>TLEO.O,mstag:costOfSalesWithDepreciation,2011Q4,,CY</t>
  </si>
  <si>
    <t>GRPN.O,mscalc:epsForConsensusForThomsonFeed,2009FY,,CY</t>
  </si>
  <si>
    <t>CHKP.O,mscalc:epsForConsensusForThomsonFeed,2010Q2,,CY</t>
  </si>
  <si>
    <t>GUID.O,mstag:depreciationInIncomeStatement,2011Q1,,CY</t>
  </si>
  <si>
    <t>ZNGA.O,msuser:cmAUPLEBITDA20060530T0035524245,2007FY,,CY</t>
  </si>
  <si>
    <t>WBSN.O,mscalc:generalAndAdministrativeExpensesCalc,2009Q4,,CY</t>
  </si>
  <si>
    <t>INTU.O,mscalc:epsForConsensusForThomsonFeed,2009Q4,,CY</t>
  </si>
  <si>
    <t>FTNT.O,mstag:marketingAndDistributionCosts,2008Q2,,CY</t>
  </si>
  <si>
    <t>RHT.N,mstag:costOfSalesWithDepreciation,2012Q4,,CY</t>
  </si>
  <si>
    <t>MSFT.O,mstag:researchAndDevelopment,2009FY,,CY</t>
  </si>
  <si>
    <t>SREV.O,mstag:marketingAndDistributionCosts,2011Q3,,CY</t>
  </si>
  <si>
    <t>ADSK.O,mstag:revenueNet,2013Q1,,CY</t>
  </si>
  <si>
    <t>GUID.O,mstag:marketingAndDistributionCosts,2012Q3,,CY</t>
  </si>
  <si>
    <t>FTNT.O,mstag:revenueNet,2010Q3,,CY</t>
  </si>
  <si>
    <t>GUID.O,mstag:otherOperatingExpenseChild,2010FY,,CY</t>
  </si>
  <si>
    <t xml:space="preserve">     2002 Amortization</t>
  </si>
  <si>
    <t xml:space="preserve">     2003 Amortization</t>
  </si>
  <si>
    <t xml:space="preserve">     2004 Amortization</t>
  </si>
  <si>
    <t>New Inventor Units - Non-Commercial</t>
  </si>
  <si>
    <t>Q/Q</t>
  </si>
  <si>
    <t>% of Total Licenses</t>
  </si>
  <si>
    <t>% of Total New Licenses</t>
  </si>
  <si>
    <t xml:space="preserve"> </t>
  </si>
  <si>
    <t>ADBE.O,mstag:softwareLicenseRevenues,2012FY,,CY</t>
  </si>
  <si>
    <t>GUID.O,mstag:marketingAndDistributionCosts,2010FY,,CY</t>
  </si>
  <si>
    <t>AKAM.O,mstag:marketingAndDistributionCosts,2012Q2,,CY</t>
  </si>
  <si>
    <t>SYMC.O,mscalc:operatingRevenueForConsensus,2011FY,,CY</t>
  </si>
  <si>
    <t>MKTG.O,mstag:revenueNet,2010Q2,,CY</t>
  </si>
  <si>
    <t>QLIK.O,mstag:marketingAndDistributionCosts,2008FY,,CY</t>
  </si>
  <si>
    <t>ADBE.O,mscalc:generalAndAdministrativeExpensesCalc,2012Q4,,CY</t>
  </si>
  <si>
    <t>IL.N,mscalc:generalAndAdministrativeExpensesCalc,2010Q2,,CY</t>
  </si>
  <si>
    <t>AKAM.O,mscalc:generalAndAdministrativeExpensesCalc,2011Q2,,CY</t>
  </si>
  <si>
    <t>AKAM.O,mscalc:generalAndAdministrativeExpensesCalc,2009Q4,,CY</t>
  </si>
  <si>
    <t>MSFT.O,mscalc:generalAndAdministrativeExpensesCalc,2011Q4,,CY</t>
  </si>
  <si>
    <t>QLIK.O,mstag:revenueNet,2010Q3,,CY</t>
  </si>
  <si>
    <t>VMW.N,mstag:revenueNet,2008Q1,,CY</t>
  </si>
  <si>
    <t>HPQ.N,mscalc:stockRating</t>
  </si>
  <si>
    <t>MKTG.O,mstag:researchAndDevelopment,2011Q1,,CY</t>
  </si>
  <si>
    <t>FTNT.O,mstag:revenueNet,2008Q4,,CY</t>
  </si>
  <si>
    <t>FIRE.O,mstag:researchAndDevelopment,2011Q1,,CY</t>
  </si>
  <si>
    <t>Revenue up ~6%</t>
  </si>
  <si>
    <t>ORCL.O,mstag:companyReportedRevenue,2012Q3,,CY</t>
  </si>
  <si>
    <t>CHKP.O,mstag:marketingAndDistributionCosts,2011Q2,,CY</t>
  </si>
  <si>
    <t>GUID.O,mstag:researchAndDevelopment,2009FY,,CY</t>
  </si>
  <si>
    <t>INTU.O,mstag:researchAndDevelopment,2011FY,,CY</t>
  </si>
  <si>
    <t>SREV.O,mscalc:generalAndAdministrativeExpensesCalc,2013Q4,,CY</t>
  </si>
  <si>
    <t>ADP.O,mscalc:operatingRevenueForConsensus,2011FY,,CY</t>
  </si>
  <si>
    <t>CTXS.O,mstag:sellingGeneralAndAdministrativeExpenses,2009Q4,,CY</t>
  </si>
  <si>
    <t>DMAN.O,mstag:researchAndDevelopment,2008Q4,,CY</t>
  </si>
  <si>
    <t>MSFT.O,mstag:revenueNet,2009Q3,,CY</t>
  </si>
  <si>
    <t>CHKP.O,mstag:marketingAndDistributionCosts,2013FY,,CY</t>
  </si>
  <si>
    <t>NFLX.O,mscalc:operatingRevenueForConsensus,2012FY,,CY</t>
  </si>
  <si>
    <t>SWI.N,mstag:otherOperatingExpenseChild,2009FY,,CY</t>
  </si>
  <si>
    <t>AMZN.O,mscalc:epsForConsensusForThomsonFeed,2008FY,,CY</t>
  </si>
  <si>
    <t>QLIK.O,mstag:shortTermBorrowings,2011Q3,,CY</t>
  </si>
  <si>
    <t>DMAN.O,mstag:researchAndDevelopment,2009Q3,,CY</t>
  </si>
  <si>
    <t>SFSF.N,mscalc:epsForConsensusForThomsonFeed,2013Q3,,CY</t>
  </si>
  <si>
    <t>SWI.N,mscalc:generalAndAdministrativeExpensesCalc,2009FY,,CY</t>
  </si>
  <si>
    <t>RHT.N,mstag:marketingAndDistributionCosts,2011FY,,CY</t>
  </si>
  <si>
    <t>INTU.O,mscalc:generalAndAdministrativeExpensesCalc,2012Q3,,CY</t>
  </si>
  <si>
    <t>WBSN.O,mstag:marketingAndDistributionCosts,2007FY,,CY</t>
  </si>
  <si>
    <t>ADSK.O,mscalc:generalAndAdministrativeExpensesCalc,2010Q4,,CY</t>
  </si>
  <si>
    <t>SYMC.O,mstag:marketingAndDistributionCosts,2012FY,,CY</t>
  </si>
  <si>
    <t>TLEO.O,mstag:marketingAndDistributionCosts,2013Q2,,CY</t>
  </si>
  <si>
    <t>CRM.N,mstag:revenueNet,2009Q1,,CY</t>
  </si>
  <si>
    <t>MSFT.O,mstag:costOfSalesWithDepreciation,2012FY,,CY</t>
  </si>
  <si>
    <t>SYMC.O,mstag:marketingAndDistributionCosts,2008Q3,,CY</t>
  </si>
  <si>
    <t>INTU.O,mscalc:epsForConsensusForThomsonFeed,2008Q1,,CY</t>
  </si>
  <si>
    <t>CRM.N,mstag:otherOperatingExpenseChild,2008FY,,CY</t>
  </si>
  <si>
    <t>SWI.N,mstag:revenueNet,2011Q4,,CY</t>
  </si>
  <si>
    <t>ORCL.O,mscalc:epsForConsensusForThomsonFeed,2009Q1,,CY</t>
  </si>
  <si>
    <t>NFLX.O,msuser:cmAUPLEBITDA20060530T0035524245,2009FY,,CY</t>
  </si>
  <si>
    <t>JIVE.O,mscalc:epsForConsensusForThomsonFeed,2007FY,,CY</t>
  </si>
  <si>
    <t>AKAM.O,mstag:softwareLicenseRevenues,2007FY,,CY</t>
  </si>
  <si>
    <t>WBSN.O,mstag:marketingAndDistributionCosts,2013Q2,,CY</t>
  </si>
  <si>
    <t>ZNGA.O,msuser:cmAUPLEBITDA20060530T0035524245,2009FY,,CY</t>
  </si>
  <si>
    <t>RNOW.O,mstag:marketingAndDistributionCosts,2009Q1,,CY</t>
  </si>
  <si>
    <t>RHT.N,mstag:marketingAndDistributionCosts,2013Q3,,CY</t>
  </si>
  <si>
    <t>SFSF.N,mscalc:generalAndAdministrativeExpensesCalc,2008Q1,,CY</t>
  </si>
  <si>
    <t>SWI.N,mstag:revenueNet,2008Q1,,CY</t>
  </si>
  <si>
    <t>ORCL.O,mstag:softwareLicenseRevenues,2008FY,,CY</t>
  </si>
  <si>
    <t>INTC.O,mscalc:operatingRevenueForConsensus,2008FY,,CY</t>
  </si>
  <si>
    <t>QLIK.O,mscalc:epsForConsensusForThomsonFeed,2012FY,,CY</t>
  </si>
  <si>
    <t>HPQ.N,mscalc:operatingRevenueForConsensus,2007FY,,CY</t>
  </si>
  <si>
    <t>FTNT.O,mstag:costOfSalesWithDepreciation,2010Q3,,CY</t>
  </si>
  <si>
    <t>CRM.N,mstag:costOfSalesWithDepreciation,2009Q1,,CY</t>
  </si>
  <si>
    <t>ADSK.O,mstag:researchAndDevelopment,2012Q2,,CY</t>
  </si>
  <si>
    <t>NFLX.O,mscalc:epsForConsensusForThomsonFeed,2009FY,,CY</t>
  </si>
  <si>
    <t>CRM.N,mstag:costOfSalesWithDepreciation,2011FY,,CY</t>
  </si>
  <si>
    <t>SREV.O,mstag:revenueNet,2011Q4,,CY</t>
  </si>
  <si>
    <t>CHKP.O,mstag:revenueNet,2009Q1,,CY</t>
  </si>
  <si>
    <t>SFSF.N,mstag:companyReportedRevenue,2008Q1,,CY</t>
  </si>
  <si>
    <t>SREV.O,mstag:marketingAndDistributionCosts,2013Q3,,CY</t>
  </si>
  <si>
    <t>ORCL.O,mscalc:generalAndAdministrativeExpensesCalc,2008Q3,,CY</t>
  </si>
  <si>
    <t>JIVE.O,mstag:costOfSalesWithDepreciation,2012FY,,CY</t>
  </si>
  <si>
    <t>AKAM.O,mstag:costOfSalesWithDepreciation,2009Q4,,CY</t>
  </si>
  <si>
    <t>ADSK.O,mstag:softwareLicenseRevenues,2010FY,,CY</t>
  </si>
  <si>
    <t>N.N,mstag:marketingAndDistributionCosts,2009Q1,,CY</t>
  </si>
  <si>
    <t>ORCL.O,mstag:costOfSalesWithDepreciation,2013Q3,,CY</t>
  </si>
  <si>
    <t>SWI.N,mstag:revenueNet,2008Q2,,CY</t>
  </si>
  <si>
    <t>FIRE.O,mstag:revenueNet,2013Q1,,CY</t>
  </si>
  <si>
    <t>RNOW.O,mstag:researchAndDevelopment,2009Q1,,CY</t>
  </si>
  <si>
    <t>VMW.N,mscalc:epsForConsensusForThomsonFeed,2012Q3,,CY</t>
  </si>
  <si>
    <t>FTNT.O,mstag:costOfSalesWithDepreciation,2012Q3,,CY</t>
  </si>
  <si>
    <t>IL.N,mstag:researchAndDevelopment,2011FY,,CY</t>
  </si>
  <si>
    <t>ORCL.O,mstag:costOfSalesWithDepreciation,2009Q1,,CY</t>
  </si>
  <si>
    <t>RHT.N,mscalc:operatingRevenueForConsensus,2011FY,,CY</t>
  </si>
  <si>
    <t>VRSN.O,mscalc:epsForConsensusForThomsonFeed,2007FY,,CY</t>
  </si>
  <si>
    <t>CTXS.O,mscalc:epsForConsensusForThomsonFeed,2010Q4,,CY</t>
  </si>
  <si>
    <t>CRM.N,mstag:costOfSalesWithDepreciation,2010FY,,CY</t>
  </si>
  <si>
    <t>MKTG.O,mstag:costOfSalesWithDepreciation,2008Q4,,CY</t>
  </si>
  <si>
    <t>JNPR.N,mscalc:stockRating</t>
  </si>
  <si>
    <t>FISV.O,mscalc:operatingRevenueForConsensus,2012FY,,CY</t>
  </si>
  <si>
    <t>ADBE.O,mstag:revenueNet,2011Q1,,CY</t>
  </si>
  <si>
    <t>ORCL.O,mstag:revenueNet,2008Q1,,CY</t>
  </si>
  <si>
    <t>IL.N,mstag:revenueNet,2009Q4,,CY</t>
  </si>
  <si>
    <t>AKAM.O,mscalc:epsForConsensusForThomsonFeed,2013Q3,,CY</t>
  </si>
  <si>
    <t>SREV.O,mscalc:generalAndAdministrativeExpensesCalc,2009Q2,,CY</t>
  </si>
  <si>
    <t>RNOW.O,mstag:researchAndDevelopment,2011Q2,,CY</t>
  </si>
  <si>
    <t>SFSF.N,mscalc:epsForConsensusForThomsonFeed,2012Q2,,CY</t>
  </si>
  <si>
    <t>CRM.N,mstag:longTermDebt,2011Q3,,CY</t>
  </si>
  <si>
    <t>IL.N,mscalc:epsForConsensusForThomsonFeed,2008Q4,,CY</t>
  </si>
  <si>
    <t>NA,mscalc:epsForConsensusForThomsonFeed,2013FY,,CY</t>
  </si>
  <si>
    <t>FTNT.O,mscalc:epsForConsensusForThomsonFeed,2011Q2,,CY</t>
  </si>
  <si>
    <t>P.N,mscalc:epsForConsensusForThomsonFeed,2011FY,,CY</t>
  </si>
  <si>
    <t>SFSF.N,mstag:companyReportedRevenue,2010Q4,,CY</t>
  </si>
  <si>
    <t>TLEO.O,mstag:costOfSalesWithDepreciation,2009Q4,,CY</t>
  </si>
  <si>
    <t>CRM.N,mstag:marketingAndDistributionCosts,2009Q2,,CY</t>
  </si>
  <si>
    <t>MKTG.O,mstag:costOfSalesWithDepreciation,2007FY,,CY</t>
  </si>
  <si>
    <t>RNOW.O,mstag:researchAndDevelopment,2011Q3,,CY</t>
  </si>
  <si>
    <t>FIRE.O,mstag:marketingAndDistributionCosts,2013FY,,CY</t>
  </si>
  <si>
    <t>SWI.N,mscalc:epsForConsensusForThomsonFeed,2010Q1,,CY</t>
  </si>
  <si>
    <t>FIRE.O,mstag:researchAndDevelopment,2007FY,,CY</t>
  </si>
  <si>
    <t>VMW.N,mstag:marketingCosts,2010Q1,,CY</t>
  </si>
  <si>
    <t>CRM.N,mscalc:epsForConsensusForThomsonFeed,2010FY,,CY</t>
  </si>
  <si>
    <t>AKAM.O,mstag:softwareLicenseRevenues,2013FY,,CY</t>
  </si>
  <si>
    <t>TXN.N,msuser:cmAUPLEBITDA20060530T0035524245,2008FY,,CY</t>
  </si>
  <si>
    <t>RHT.N,mstag:revenueNet,2011Q3,,CY</t>
  </si>
  <si>
    <t>MSFT.O,mstag:revenueNet,2012Q1,,CY</t>
  </si>
  <si>
    <t>VRSN.O,mscalc:yearEndMonth</t>
  </si>
  <si>
    <t>SREV.O,mstag:researchAndDevelopment,2007FY,,CY</t>
  </si>
  <si>
    <t>CTXS.O,mscalc:epsForConsensusForThomsonFeed,2009Q3,,CY</t>
  </si>
  <si>
    <t>VMW.N,mstag:sellingGeneralAndAdministrativeExpenses,2008FY,,CY</t>
  </si>
  <si>
    <t>IBM.N,mscalc:epsForConsensusForThomsonFeed,2013FY,,CY</t>
  </si>
  <si>
    <t>CHKP.O,mstag:marketingAndDistributionCosts,2012FY,,CY</t>
  </si>
  <si>
    <t>SREV.O,mstag:revenueNet,2010Q1,,CY</t>
  </si>
  <si>
    <t>TLEO.O,mscalc:operatingRevenueForConsensus,2007FY,,CY</t>
  </si>
  <si>
    <t>ORCL.O,mstag:softwareLicenseRevenues,2007FY,,CY</t>
  </si>
  <si>
    <t>N.N,mstag:costOfSalesWithDepreciation,2013FY,,CY</t>
  </si>
  <si>
    <t>IL.N,mstag:marketingAndDistributionCosts,2012Q4,,CY</t>
  </si>
  <si>
    <t>N.N,mstag:revenueNet,2012Q2,,CY</t>
  </si>
  <si>
    <t>CVG.N,msuser:cmAUPLEBITDA20060530T0035524245,2010FY,,CY</t>
  </si>
  <si>
    <t>CRM.N,mstag:researchAndDevelopment,2009FY,,CY</t>
  </si>
  <si>
    <t>VMW.N,mstag:sellingGeneralAndAdministrativeExpenses,2011Q4,,CY</t>
  </si>
  <si>
    <t>MSFT.O,mstag:researchAndDevelopment,2011Q2,,CY</t>
  </si>
  <si>
    <t>N.N,mstag:costOfSalesWithDepreciation,2012FY,,CY</t>
  </si>
  <si>
    <t>SREV.O,mstag:researchAndDevelopment,2008Q1,,CY</t>
  </si>
  <si>
    <t>INTU.O,mstag:marketingAndDistributionCosts,2009Q2,,CY</t>
  </si>
  <si>
    <t>FIRE.O,mstag:depreciationInIncomeStatement,2011Q1,,CY</t>
  </si>
  <si>
    <t>FIRE.O,mstag:researchAndDevelopment,2008FY,,CY</t>
  </si>
  <si>
    <t>CHKP.O,mscalc:operatingRevenueForConsensus,2013FY,,CY</t>
  </si>
  <si>
    <t>TLEO.O,mscalc:generalAndAdministrativeExpensesCalc,2012Q1,,CY</t>
  </si>
  <si>
    <t>DMAN.O,mscalc:epsForConsensusForThomsonFeed,2012Q2,,CY</t>
  </si>
  <si>
    <t>TLEO.O,mstag:marketingAndDistributionCosts,2009Q2,,CY</t>
  </si>
  <si>
    <t>IL.N,mstag:marketingAndDistributionCosts,2007FY,,CY</t>
  </si>
  <si>
    <t>FIRE.O,mscalc:targetPrice</t>
  </si>
  <si>
    <t>RHT.N,mstag:costOfSalesWithDepreciation,2012Q1,,CY</t>
  </si>
  <si>
    <t>FTNT.O,mstag:marketingAndDistributionCosts,2011FY,,CY</t>
  </si>
  <si>
    <t>AKAM.O,mscalc:operatingRevenueForConsensus,2007FY,,CY</t>
  </si>
  <si>
    <t>MKTG.O,mstag:marketingAndDistributionCosts,2010Q4,,CY</t>
  </si>
  <si>
    <t>MSFT.O,mscalc:generalAndAdministrativeExpensesCalc,2008Q4,,CY</t>
  </si>
  <si>
    <t>HPQ.N,mscalc:operatingRevenueForConsensus,2010FY,,CY</t>
  </si>
  <si>
    <t>VRSN.O,mscalc:epsForConsensusForThomsonFeed,2009FY,,CY</t>
  </si>
  <si>
    <t>FIRE.O,mstag:revenueNet,2012Q3,,CY</t>
  </si>
  <si>
    <t>ADSK.O,mscalc:epsForConsensusForThomsonFeed,2010Q3,,CY</t>
  </si>
  <si>
    <t>QLIK.O,mscalc:epsForConsensusForThomsonFeed,2012Q4,,CY</t>
  </si>
  <si>
    <t>P.N,mscalc:epsForConsensusForThomsonFeed,2013FY,,CY</t>
  </si>
  <si>
    <t>CRM.N,mstag:costOfSalesWithDepreciation,2011Q1,,CY</t>
  </si>
  <si>
    <t>RHT.N,mstag:otherOperatingExpenseChild,2011FY,,CY</t>
  </si>
  <si>
    <t>ADSK.O,mstag:otherAssetsNonOperatingNonCurrent,2011Q3,,CY</t>
  </si>
  <si>
    <t>FIRE.O,mscalc:operatingRevenueForConsensus,2010FY,,CY</t>
  </si>
  <si>
    <t>ADSK.O,mstag:marketingAndDistributionCosts,2013FY,,CY</t>
  </si>
  <si>
    <t>AKAM.O,mstag:researchAndDevelopment,2009FY,,CY</t>
  </si>
  <si>
    <t>SWI.N,mscalc:epsForConsensusForThomsonFeed,2009Q1,,CY</t>
  </si>
  <si>
    <t>INTU.O,mscalc:generalAndAdministrativeExpensesCalc,2010Q4,,CY</t>
  </si>
  <si>
    <t>CTXS.O,mstag:softwareProductRevenues,2008FY,,CY</t>
  </si>
  <si>
    <t>NA,mscalc:targetPrice</t>
  </si>
  <si>
    <t>FIRE.O,mstag:costOfSalesWithoutDepreciation,2012Q1,,CY</t>
  </si>
  <si>
    <t>INTU.O,mstag:researchAndDevelopment,2013Q4,,CY</t>
  </si>
  <si>
    <t>TLEO.O,mscalc:generalAndAdministrativeExpensesCalc,2012Q2,,CY</t>
  </si>
  <si>
    <t>N.N,mstag:revenueNet,2010Q1,,CY</t>
  </si>
  <si>
    <t>ADSK.O,mstag:costOfSalesWithDepreciation,2012Q2,,CY</t>
  </si>
  <si>
    <t>SREV.O,mscalc:generalAndAdministrativeExpensesCalc,2012Q2,,CY</t>
  </si>
  <si>
    <t>IL.N,mstag:marketingAndDistributionCosts,2008FY,,CY</t>
  </si>
  <si>
    <t>ADSK.O,mstag:researchAndDevelopment,2011FY,,CY</t>
  </si>
  <si>
    <t>CSCO.O,mscalc:epsForConsensusForThomsonFeed,2012FY,,CY</t>
  </si>
  <si>
    <t>FIRE.O,mstag:revenueNet,2013Q2,,CY</t>
  </si>
  <si>
    <t>ADSK.O,mscalc:epsForConsensusForThomsonFeed,2008Q3,,CY</t>
  </si>
  <si>
    <t>AKAM.O,mstag:marketingAndDistributionCosts,2009Q3,,CY</t>
  </si>
  <si>
    <t>SREV.O,mstag:revenueNet,2012Q3,,CY</t>
  </si>
  <si>
    <t>WBSN.O,mstag:researchAndDevelopment,2012Q3,,CY</t>
  </si>
  <si>
    <t>SWI.N,mstag:generalAndAdministrativeExpenses,2011FY,,CY</t>
  </si>
  <si>
    <t>ADSK.O,mscalc:epsForConsensusForThomsonFeed,2012Q3,,CY</t>
  </si>
  <si>
    <t>RHT.N,mscalc:generalAndAdministrativeExpensesCalc,2009Q2,,CY</t>
  </si>
  <si>
    <t>DST.N,mscalc:epsForConsensusForThomsonFeed,2009FY,,CY</t>
  </si>
  <si>
    <t>VMW.N,mstag:researchAndDevelopment,2009Q4,,CY</t>
  </si>
  <si>
    <t>SFSF.N,mstag:researchAndDevelopment,2008Q3,,CY</t>
  </si>
  <si>
    <t>QLIK.O,mstag:costOfSalesWithDepreciation,2008Q1,,CY</t>
  </si>
  <si>
    <t>FTNT.O,mstag:marketingAndDistributionCosts,2008Q4,,CY</t>
  </si>
  <si>
    <t>GUID.O,mstag:revenueNet,2008Q4,,CY</t>
  </si>
  <si>
    <t>SWI.N,mstag:revenueNet,2010Q1,,CY</t>
  </si>
  <si>
    <t>MKTG.O,mstag:researchAndDevelopment,2008FY,,CY</t>
  </si>
  <si>
    <t>GUID.O,mscalc:epsForConsensusForThomsonFeed,2013Q1,,CY</t>
  </si>
  <si>
    <t>AKAM.O,mstag:revenueNet,2009Q4,,CY</t>
  </si>
  <si>
    <t>QLIK.O,mstag:otherOperatingExpenseChild,2007FY,,CY</t>
  </si>
  <si>
    <t>SYMC.O,mscalc:generalAndAdministrativeExpensesCalc,2012Q4,,CY</t>
  </si>
  <si>
    <t>SYMC.O,mscalc:generalAndAdministrativeExpensesCalc,2013Q3,,CY</t>
  </si>
  <si>
    <t>ADSK.O,mscalc:operatingRevenueForConsensus,2009FY,,CY</t>
  </si>
  <si>
    <t>IL.N,mstag:marketingAndDistributionCosts,2010FY,,CY</t>
  </si>
  <si>
    <t>INTU.O,mstag:researchAndDevelopment,2012Q2,,CY</t>
  </si>
  <si>
    <t>VMW.N,mscalc:stockRating</t>
  </si>
  <si>
    <t>IBM.N,mscalc:operatingRevenueForConsensus,2008FY,,CY</t>
  </si>
  <si>
    <t>FIRE.O,mstag:marketingAndDistributionCosts,2008FY,,CY</t>
  </si>
  <si>
    <t>IL.N,mstag:marketingAndDistributionCosts,2011Q4,,CY</t>
  </si>
  <si>
    <t>ADSK.O,mstag:revenueNet,2008Q3,,CY</t>
  </si>
  <si>
    <t>ORCL.O,mstag:marketingAndDistributionCosts,2008Q1,,CY</t>
  </si>
  <si>
    <t>MSFT.O,mscalc:epsForConsensusForThomsonFeed,2010FY,,CY</t>
  </si>
  <si>
    <t>QLIK.O,mstag:marketingAndDistributionCosts,2008Q4,,CY</t>
  </si>
  <si>
    <t>RHT.N,mstag:marketingAndDistributionCosts,2013Q2,,CY</t>
  </si>
  <si>
    <t>SREV.O,mscalc:epsForConsensusForThomsonFeed,2008Q3,,CY</t>
  </si>
  <si>
    <t>ADSK.O,mscalc:epsForConsensusForThomsonFeed,2009Q2,,CY</t>
  </si>
  <si>
    <t>SYMC.O,mstag:costOfSalesWithDepreciation,2013Q4,,CY</t>
  </si>
  <si>
    <t>P.N,mscalc:operatingRevenueForConsensus,2010FY,,CY</t>
  </si>
  <si>
    <t>INTU.O,mstag:revenueNet,2011Q1,,CY</t>
  </si>
  <si>
    <t>WBSN.O,mstag:researchAndDevelopment,2010Q2,,CY</t>
  </si>
  <si>
    <t>VMW.N,mstag:researchAndDevelopment,2009Q1,,CY</t>
  </si>
  <si>
    <t>AMAT.O,mscalc:epsForConsensusForThomsonFeed,2012FY,,CY</t>
  </si>
  <si>
    <t>IL.N,mstag:costOfSalesWithDepreciation,2010Q4,,CY</t>
  </si>
  <si>
    <t>VRSN.O,mscalc:generalAndAdministrativeExpensesCalc,2007FY,,CY</t>
  </si>
  <si>
    <t>SWI.N,mscalc:operatingRevenueForConsensus,2010FY,,CY</t>
  </si>
  <si>
    <t>SWI.N,mstag:revenueNet,2010Q2,,CY</t>
  </si>
  <si>
    <t>FIRE.O,mstag:depreciationInIncomeStatement,2012Q4,,CY</t>
  </si>
  <si>
    <t>IL.N,mscalc:operatingRevenueForConsensus,2008FY,,CY</t>
  </si>
  <si>
    <t>GUID.O,mscalc:epsForConsensusForThomsonFeed,2008Q2,,CY</t>
  </si>
  <si>
    <t>AAPL.O,msuser:cmAUPLEBITDA20060530T0035524245,2011FY,,CY</t>
  </si>
  <si>
    <t>VMW.N,mscalc:operatingRevenueForConsensus,2010FY,,CY</t>
  </si>
  <si>
    <t>CRM.N,mstag:researchAndDevelopment,2011Q3,,CY</t>
  </si>
  <si>
    <t>ADBE.O,mstag:marketingAndDistributionCosts,2007FY,,CY</t>
  </si>
  <si>
    <t>AKAM.O,mstag:costOfSalesWithDepreciation,2010Q4,,CY</t>
  </si>
  <si>
    <t>CNQR.O,mscalc:targetPrice</t>
  </si>
  <si>
    <t>P.N,msuser:cmAUPLEBITDA20060530T0035524245,2008FY,,CY</t>
  </si>
  <si>
    <t>MKTG.O,mscalc:epsForConsensusForThomsonFeed,2009FY,,CY</t>
  </si>
  <si>
    <t>CRM.N,mstag:marketingAndDistributionCosts,2010Q1,,CY</t>
  </si>
  <si>
    <t>ADBE.O,mscalc:generalAndAdministrativeExpensesCalc,2010Q3,,CY</t>
  </si>
  <si>
    <t>ADSK.O,mscalc:generalAndAdministrativeExpensesCalc,2013Q3,,CY</t>
  </si>
  <si>
    <t>AKAM.O,mstag:researchAndDevelopment,2011Q1,,CY</t>
  </si>
  <si>
    <t>ADBE.O,mstag:researchAndDevelopment,2010FY,,CY</t>
  </si>
  <si>
    <t>VMW.N,mstag:sellingGeneralAndAdministrativeExpenses,2009FY,,CY</t>
  </si>
  <si>
    <t>FIRE.O,mscalc:epsForConsensusForThomsonFeed,2009FY,,CY</t>
  </si>
  <si>
    <t>ADSK.O,mscalc:operatingRevenueForConsensus,2013FY,,CY</t>
  </si>
  <si>
    <t>FISV.O,msuser:cmAUPLEBITDA20060530T0035524245,2011FY,,CY</t>
  </si>
  <si>
    <t>QLIK.O,mstag:revenueNet,2012Q2,,CY</t>
  </si>
  <si>
    <t>JIVE.O,mstag:researchAndDevelopment,2013FY,,CY</t>
  </si>
  <si>
    <t>Depreciation</t>
  </si>
  <si>
    <t>dcfdna</t>
  </si>
  <si>
    <t>SYMC.O,mstag:marketingAndDistributionCosts,2009Q4,,CY</t>
  </si>
  <si>
    <t>IBM.N,mscalc:dilutedEarningsPerShare,2007FY,,CY</t>
  </si>
  <si>
    <t>ADSK.O,mscalc:epsForConsensusForThomsonFeed,2008Q2,,CY</t>
  </si>
  <si>
    <t>FTNT.O,mstag:researchAndDevelopment,2010Q4,,CY</t>
  </si>
  <si>
    <t>FTNT.O,mscalc:epsForConsensusForThomsonFeed,2008Q4,,CY</t>
  </si>
  <si>
    <t>EBAY.O,mscalc:stockRating</t>
  </si>
  <si>
    <t>N.N,mstag:costOfSalesWithDepreciation,2008FY,,CY</t>
  </si>
  <si>
    <t>SREV.O,mstag:costOfSalesWithDepreciation,2010Q1,,CY</t>
  </si>
  <si>
    <t>ADSK.O,mscalc:operatingRevenueForConsensus,2010FY,,CY</t>
  </si>
  <si>
    <t>CTXS.O,mstag:researchAndDevelopment,2008FY,,CY</t>
  </si>
  <si>
    <t>ORCL.O,mscalc:epsForConsensusForThomsonFeed,2011Q1,,CY</t>
  </si>
  <si>
    <t>WBSN.O,mstag:revenueNet,2012Q3,,CY</t>
  </si>
  <si>
    <t>SREV.O,mstag:revenueNet,2010Q4,,CY</t>
  </si>
  <si>
    <t>GUID.O,mstag:researchAndDevelopment,2013FY,,CY</t>
  </si>
  <si>
    <t>SWI.N,mstag:longTermDebt,2011Q3,,CY</t>
  </si>
  <si>
    <t>DMAN.O,mscalc:generalAndAdministrativeExpensesCalc,2009Q4,,CY</t>
  </si>
  <si>
    <t>ORCL.O,mstag:researchAndDevelopment,2010FY,,CY</t>
  </si>
  <si>
    <t>CRM.N,mscalc:epsForConsensusForThomsonFeed,2010Q3,,CY</t>
  </si>
  <si>
    <t>ORCL.O,mstag:companyReportedRevenue,2013FY,,CY</t>
  </si>
  <si>
    <t>ADBE.O,mscalc:operatingRevenueForConsensus,2009FY,,CY</t>
  </si>
  <si>
    <t>AKAM.O,mscalc:generalAndAdministrativeExpensesCalc,2008Q3,,CY</t>
  </si>
  <si>
    <t>TLEO.O,mstag:researchAndDevelopment,2013Q1,,CY</t>
  </si>
  <si>
    <t>SYMC.O,mscalc:generalAndAdministrativeExpensesCalc,2010FY,,CY</t>
  </si>
  <si>
    <t>INFA.O,mscalc:generalAndAdministrativeExpensesCalc,2007FY,,CY</t>
  </si>
  <si>
    <t>SREV.O,mstag:researchAndDevelopment,2010Q2,,CY</t>
  </si>
  <si>
    <t>MKTG.O,mscalc:generalAndAdministrativeExpensesCalc,2010Q4,,CY</t>
  </si>
  <si>
    <t>IL.N,mscalc:generalAndAdministrativeExpensesCalc,2009FY,,CY</t>
  </si>
  <si>
    <t>RHT.N,mstag:costOfSalesWithDepreciation,2011Q2,,CY</t>
  </si>
  <si>
    <t>SWI.N,mstag:researchAndDevelopment,2012Q3,,CY</t>
  </si>
  <si>
    <t>GUID.O,mscalc:generalAndAdministrativeExpensesCalc,2009Q2,,CY</t>
  </si>
  <si>
    <t>N.N,mstag:otherOperatingExpenseChild,2011FY,,CY</t>
  </si>
  <si>
    <t>MSFT.O,mscalc:operatingRevenueForConsensus,2008FY,,CY</t>
  </si>
  <si>
    <t>CSCO.O,mscalc:operatingRevenueForConsensus,2007FY,,CY</t>
  </si>
  <si>
    <t>RNOW.O,mscalc:epsForConsensusForThomsonFeed,2010Q2,,CY</t>
  </si>
  <si>
    <t>DMAN.O,mstag:marketingAndDistributionCosts,2012Q4,,CY</t>
  </si>
  <si>
    <t>ADBE.O,mscalc:epsForConsensusForThomsonFeed,2012Q4,,CY</t>
  </si>
  <si>
    <t>FTNT.O,mstag:revenueNet,2011Q2,,CY</t>
  </si>
  <si>
    <t>CSCO.O,msuser:cmAUPLEBITDA20060530T0035524245,2010FY,,CY</t>
  </si>
  <si>
    <t>VRSN.O,mscalc:generalAndAdministrativeExpensesCalc,2011FY,,CY</t>
  </si>
  <si>
    <t>EBAY.O,mscalc:operatingRevenueForConsensus,2012FY,,CY</t>
  </si>
  <si>
    <t>DST.N,mscalc:epsForConsensusForThomsonFeed,2007FY,,CY</t>
  </si>
  <si>
    <t>ADBE.O,mscalc:targetPrice</t>
  </si>
  <si>
    <t>ADBE.O,mscalc:epsForConsensusForThomsonFeed,2007FY,,CY</t>
  </si>
  <si>
    <t>QLIK.O,mstag:researchAndDevelopment,2009FY,,CY</t>
  </si>
  <si>
    <t>SREV.O,mstag:costOfSalesWithDepreciation,2010FY,,CY</t>
  </si>
  <si>
    <t>ADBE.O,mscalc:generalAndAdministrativeExpensesCalc,2009Q1,,CY</t>
  </si>
  <si>
    <t>FTNT.O,mstag:costOfSalesWithDepreciation,2009Q3,,CY</t>
  </si>
  <si>
    <t>SYMC.O,mstag:costOfSalesWithDepreciation,2013Q3,,CY</t>
  </si>
  <si>
    <t>WBSN.O,mstag:revenueNet,2010Q4,,CY</t>
  </si>
  <si>
    <t>GUID.O,mstag:researchAndDevelopment,2011Q1,,CY</t>
  </si>
  <si>
    <t>QLIK.O,mstag:marketingAndDistributionCosts,2009Q4,,CY</t>
  </si>
  <si>
    <t>GUID.O,mstag:depreciationInIncomeStatement,2013Q1,,CY</t>
  </si>
  <si>
    <t>MKTG.O,mstag:researchAndDevelopment,2008Q1,,CY</t>
  </si>
  <si>
    <t>SYMC.O,mstag:revenueNet,2009Q3,,CY</t>
  </si>
  <si>
    <t>RNOW.O,mstag:revenueNet,2013Q2,,CY</t>
  </si>
  <si>
    <t>ADBE.O,mscalc:epsForConsensusForThomsonFeed,2010Q4,,CY</t>
  </si>
  <si>
    <t>GUID.O,mstag:marketingAndDistributionCosts,2009Q4,,CY</t>
  </si>
  <si>
    <t>,mscalc:epsForConsensusForThomsonFeed,2013FY,,CY</t>
  </si>
  <si>
    <t>NA,mstag:otherOperatingExpenseChild,2008FY,,CY</t>
  </si>
  <si>
    <t>AMZN.O,msuser:cmAUPLEBITDA20060530T0035524245,2008FY,,CY</t>
  </si>
  <si>
    <t>SREV.O,mstag:marketingAndDistributionCosts,2012Q4,,CY</t>
  </si>
  <si>
    <t>AMZN.O,msuser:cmAUPLEBITDA20060530T0035524245,2012FY,,CY</t>
  </si>
  <si>
    <t>INTU.O,mstag:revenueNet,2009Q4,,CY</t>
  </si>
  <si>
    <t>N.N,mstag:marketingAndDistributionCosts,2013Q3,,CY</t>
  </si>
  <si>
    <t>FIRE.O,mscalc:epsForConsensusForThomsonFeed,2008Q2,,CY</t>
  </si>
  <si>
    <t>ADBE.O,mstag:averageDilutedSharesOutstanding,2011Q4,,CY</t>
  </si>
  <si>
    <t>CRM.N,mstag:otherOperatingExpenseChild,2013FY,,CY</t>
  </si>
  <si>
    <t>INTU.O,mstag:marketingAndDistributionCosts,2010Q1,,CY</t>
  </si>
  <si>
    <t>MKTG.O,mstag:researchAndDevelopment,2009Q4,,CY</t>
  </si>
  <si>
    <t>OPEN.O,msuser:cmAUPLEBITDA20060530T0035524245,2011FY,,CY</t>
  </si>
  <si>
    <t>ADSK.O,mstag:costOfSalesWithDepreciation,2012Q3,,CY</t>
  </si>
  <si>
    <t>MKTG.O,mstag:researchAndDevelopment,2011FY,,CY</t>
  </si>
  <si>
    <t>DST.N,mscalc:epsForConsensusForThomsonFeed,2011FY,,CY</t>
  </si>
  <si>
    <t>QLIK.O,mstag:costOfSalesWithDepreciation,2012Q3,,CY</t>
  </si>
  <si>
    <t>FTNT.O,mscalc:epsForConsensusForThomsonFeed,2009Q2,,CY</t>
  </si>
  <si>
    <t>ADSK.O,mstag:costOfSalesWithDepreciation,2008Q2,,CY</t>
  </si>
  <si>
    <t>ADSK.O,mstag:marketingAndDistributionCosts,2010FY,,CY</t>
  </si>
  <si>
    <t>CRM.N,mstag:revenueNet,2011Q2,,CY</t>
  </si>
  <si>
    <t>SFSF.N,mstag:researchAndDevelopment,2011Q2,,CY</t>
  </si>
  <si>
    <t>MKTG.O,mstag:revenueNet,2009Q2,,CY</t>
  </si>
  <si>
    <t>FIRE.O,mstag:revenueNet,2012Q1,,CY</t>
  </si>
  <si>
    <t>VMW.N,mstag:marketingCosts,2011Q3,,CY</t>
  </si>
  <si>
    <t>HPQ.N,mscalc:epsForConsensusForThomsonFeed,2012FY,,CY</t>
  </si>
  <si>
    <t>LNKD.N,msuser:cmAUPLEBITDA20060530T0035524245,2013FY,,CY</t>
  </si>
  <si>
    <t>WBSN.O,mstag:costOfSalesWithDepreciation,2013FY,,CY</t>
  </si>
  <si>
    <t>ADSK.O,mstag:costOfSalesWithDepreciation,2013Q3,,CY</t>
  </si>
  <si>
    <t>RNOW.O,mstag:costOfSalesWithDepreciation,2008Q2,,CY</t>
  </si>
  <si>
    <t>CRM.N,mscalc:epsForConsensusForThomsonFeed,2010Q1,,CY</t>
  </si>
  <si>
    <t>ADBE.O,mscalc:epsForConsensusForThomsonFeed,2013Q4,,CY</t>
  </si>
  <si>
    <t>IL.N,mstag:revenueNet,2010Q4,,CY</t>
  </si>
  <si>
    <t>FIRE.O,mstag:costOfSalesWithoutDepreciation,2012FY,,CY</t>
  </si>
  <si>
    <t>GUID.O,mstag:researchAndDevelopment,2010Q2,,CY</t>
  </si>
  <si>
    <t>OPEN.O,mscalc:operatingRevenueForConsensus,2009FY,,CY</t>
  </si>
  <si>
    <t xml:space="preserve">     Y.Y.</t>
  </si>
  <si>
    <t>Inventory</t>
  </si>
  <si>
    <t>FY06</t>
  </si>
  <si>
    <t>FY07</t>
  </si>
  <si>
    <t>FY08</t>
  </si>
  <si>
    <t>Design Solutions Segment</t>
  </si>
  <si>
    <t>Total Amortization of SBC Comp Expense</t>
  </si>
  <si>
    <t>Income Tax minus Estimated Tax of Non-Operating One-Time</t>
  </si>
  <si>
    <t>Software Services Revenue</t>
  </si>
  <si>
    <t>ND</t>
  </si>
  <si>
    <t>Diluted Shares Outstanding</t>
  </si>
  <si>
    <t>Full Year Guidance</t>
  </si>
  <si>
    <t>Operating Cash Flow</t>
  </si>
  <si>
    <t>1/08</t>
  </si>
  <si>
    <t>OpEx</t>
  </si>
  <si>
    <t>Change in Deferred Comp, net</t>
  </si>
  <si>
    <t>BoP Additional Deferred Comp</t>
  </si>
  <si>
    <t>EoP Additional Deferred Comp</t>
  </si>
  <si>
    <t>Total Expense Per Employee</t>
  </si>
  <si>
    <t>Gross Option Grants per Employee</t>
  </si>
  <si>
    <t xml:space="preserve">     Y/Y Change</t>
  </si>
  <si>
    <t>CHKP.O,mscalc:epsForConsensusForThomsonFeed,2007FY,,CY</t>
  </si>
  <si>
    <t>IL.N,mstag:costOfSalesWithDepreciation,2011Q2,,CY</t>
  </si>
  <si>
    <t>SFSF.N,mscalc:epsForConsensusForThomsonFeed,2008Q3,,CY</t>
  </si>
  <si>
    <t>CHKP.O,mstag:revenueNet,2009Q2,,CY</t>
  </si>
  <si>
    <t>RHT.N,mstag:researchAndDevelopment,2009Q4,,CY</t>
  </si>
  <si>
    <t>WBSN.O,mstag:researchAndDevelopment,2013FY,,CY</t>
  </si>
  <si>
    <t>ORCL.O,mscalc:generalAndAdministrativeExpensesCalc,2011Q2,,CY</t>
  </si>
  <si>
    <t>FIRE.O,mstag:researchAndDevelopment,2011Q4,,CY</t>
  </si>
  <si>
    <t>FTNT.O,mscalc:generalAndAdministrativeExpensesCalc,2007FY,,CY</t>
  </si>
  <si>
    <t>FTNT.O,mstag:costOfSalesWithDepreciation,2010FY,,CY</t>
  </si>
  <si>
    <t>Relative to RFR</t>
  </si>
  <si>
    <t>CRM.N,mscalc:epsForConsensusForThomsonFeed,2008Q3,,CY</t>
  </si>
  <si>
    <t>TLEO.O,mstag:revenueNet,2013Q1,,CY</t>
  </si>
  <si>
    <t>VMW.N,mstag:researchAndDevelopment,2012FY,,CY</t>
  </si>
  <si>
    <t>SREV.O,mscalc:operatingRevenueForConsensus,2011FY,,CY</t>
  </si>
  <si>
    <t>CRM.N,mstag:marketingAndDistributionCosts,2011Q1,,CY</t>
  </si>
  <si>
    <t>MKTG.O,mstag:researchAndDevelopment,2007FY,,CY</t>
  </si>
  <si>
    <t>LNKD.N,mscalc:yearEndMonth</t>
  </si>
  <si>
    <t>INTU.O,mstag:costOfSalesWithDepreciation,2010Q3,,CY</t>
  </si>
  <si>
    <t>SFSF.N,mscalc:generalAndAdministrativeExpensesCalc,2011Q1,,CY</t>
  </si>
  <si>
    <t>ORCL.O,mstag:costOfSalesWithDepreciation,2010Q1,,CY</t>
  </si>
  <si>
    <t>JIVE.O,mstag:marketingAndDistributionCosts,2010FY,,CY</t>
  </si>
  <si>
    <t>ORCL.O,mstag:marketingAndDistributionCosts,2013Q3,,CY</t>
  </si>
  <si>
    <t>wA Exercise Price ($)</t>
  </si>
  <si>
    <t>Options Cancelled</t>
  </si>
  <si>
    <t>QLIK.O,mstag:marketingAndDistributionCosts,2010FY,,CY</t>
  </si>
  <si>
    <t>CHKP.O,mstag:revenueNet,2008Q3,,CY</t>
  </si>
  <si>
    <t>RNOW.O,mstag:revenueNet,2008Q4,,CY</t>
  </si>
  <si>
    <t>FIRE.O,mstag:marketingAndDistributionCosts,2009Q1,,CY</t>
  </si>
  <si>
    <t>SREV.O,mstag:marketingAndDistributionCosts,2010FY,,CY</t>
  </si>
  <si>
    <t>GUID.O,mstag:marketingAndDistributionCosts,2008FY,,CY</t>
  </si>
  <si>
    <t>ADBE.O,mscalc:epsForConsensusForThomsonFeed,2011Q4,,CY</t>
  </si>
  <si>
    <t>DST.N,mscalc:epsForConsensusForThomsonFeed,2008FY,,CY</t>
  </si>
  <si>
    <t>IL.N,mscalc:generalAndAdministrativeExpensesCalc,2008Q1,,CY</t>
  </si>
  <si>
    <t>CHKP.O,mstag:otherOperatingExpenseChild,2013FY,,CY</t>
  </si>
  <si>
    <t>IL.N,mstag:longTermDebt,2011Q3,,CY</t>
  </si>
  <si>
    <t>CVG.N,mscalc:operatingRevenueForConsensus,2010FY,,CY</t>
  </si>
  <si>
    <t>RHT.N,mstag:revenueNet,2012Q4,,CY</t>
  </si>
  <si>
    <t>FIRE.O,mstag:marketingAndDistributionCosts,2009Q2,,CY</t>
  </si>
  <si>
    <t>MKTG.O,mstag:researchAndDevelopment,2013FY,,CY</t>
  </si>
  <si>
    <t>IL.N,mscalc:generalAndAdministrativeExpensesCalc,2009Q1,,CY</t>
  </si>
  <si>
    <t>AKAM.O,mstag:researchAndDevelopment,2010Q3,,CY</t>
  </si>
  <si>
    <t>AKAM.O,mscalc:generalAndAdministrativeExpensesCalc,2009Q1,,CY</t>
  </si>
  <si>
    <t>INFA.O,mscalc:operatingRevenueForConsensus,2010FY,,CY</t>
  </si>
  <si>
    <t>AKAM.O,mscalc:yearEndMonth</t>
  </si>
  <si>
    <t>WBSN.O,mstag:costOfSalesWithDepreciation,2011FY,,CY</t>
  </si>
  <si>
    <t>ADSK.O,mstag:costOfSalesWithDepreciation,2011Q3,,CY</t>
  </si>
  <si>
    <t>CRM.N,mstag:researchAndDevelopment,2011Q1,,CY</t>
  </si>
  <si>
    <t>ADBE.O,mscalc:epsForConsensusForThomsonFeed,2008FY,,CY</t>
  </si>
  <si>
    <t>INFA.O,mstag:costOfSalesWithDepreciation,2010FY,,CY</t>
  </si>
  <si>
    <t>ADSK.O,mstag:revenueNet,2011Q2,,CY</t>
  </si>
  <si>
    <t>RHT.N,mstag:costOfSalesWithDepreciation,2010Q2,,CY</t>
  </si>
  <si>
    <t>SREV.O,mscalc:generalAndAdministrativeExpensesCalc,2008Q4,,CY</t>
  </si>
  <si>
    <t>MSFT.O,mscalc:generalAndAdministrativeExpensesCalc,2009Q4,,CY</t>
  </si>
  <si>
    <t>MKTG.O,mscalc:yearEndMonth</t>
  </si>
  <si>
    <t>RHT.N,mstag:marketingAndDistributionCosts,2009Q3,,CY</t>
  </si>
  <si>
    <t>RNOW.O,mscalc:epsForConsensusForThomsonFeed,2009Q1,,CY</t>
  </si>
  <si>
    <t>TLEO.O,mscalc:generalAndAdministrativeExpensesCalc,2010Q2,,CY</t>
  </si>
  <si>
    <t>FIRE.O,mscalc:epsForConsensusForThomsonFeed,2011FY,,CY</t>
  </si>
  <si>
    <t>CTXS.O,mstag:costOfSalesWithDepreciation,2012Q4,,CY</t>
  </si>
  <si>
    <t>FIRE.O,mstag:revenueNet,2013Q4,,CY</t>
  </si>
  <si>
    <t>GUID.O,mstag:marketingAndDistributionCosts,2009Q1,,CY</t>
  </si>
  <si>
    <t>ADSK.O,mscalc:generalAndAdministrativeExpensesCalc,2012Q4,,CY</t>
  </si>
  <si>
    <t>TLEO.O,mstag:revenueNet,2008Q3,,CY</t>
  </si>
  <si>
    <t>CTXS.O,mstag:sellingGeneralAndAdministrativeExpenses,2013Q2,,CY</t>
  </si>
  <si>
    <t>GUID.O,mscalc:epsForConsensusForThomsonFeed,2009Q1,,CY</t>
  </si>
  <si>
    <t>CTXS.O,mstag:costOfSalesWithDepreciation,2008Q4,,CY</t>
  </si>
  <si>
    <t>CTXS.O,mstag:marketingCosts,2008Q3,,CY</t>
  </si>
  <si>
    <t>FTNT.O,mscalc:epsForConsensusForThomsonFeed,2013Q2,,CY</t>
  </si>
  <si>
    <t>ADSK.O,mstag:researchAndDevelopment,2008Q2,,CY</t>
  </si>
  <si>
    <t>MKTG.O,mscalc:epsForConsensusForThomsonFeed,2010Q1,,CY</t>
  </si>
  <si>
    <t>FTNT.O,mstag:costOfSalesWithDepreciation,2009Q1,,CY</t>
  </si>
  <si>
    <t>VMW.N,mstag:costOfSalesWithDepreciation,2009Q2,,CY</t>
  </si>
  <si>
    <t>SAPG.DE,mstag:otherOperatingExpenseChild,2013FY,,CY</t>
  </si>
  <si>
    <t>RHT.N,mscalc:generalAndAdministrativeExpensesCalc,2007FY,,CY</t>
  </si>
  <si>
    <t>WBSN.O,mscalc:generalAndAdministrativeExpensesCalc,2008Q1,,CY</t>
  </si>
  <si>
    <t>N.N,mstag:researchAndDevelopment,2009Q2,,CY</t>
  </si>
  <si>
    <t>SYMC.O,mstag:marketingAndDistributionCosts,2011Q3,,CY</t>
  </si>
  <si>
    <t>LNKD.N,msuser:cmAUPLEBITDA20060530T0035524245,2009FY,,CY</t>
  </si>
  <si>
    <t>DMAN.O,mscalc:generalAndAdministrativeExpensesCalc,2012Q1,,CY</t>
  </si>
  <si>
    <t>FTNT.O,mstag:researchAndDevelopment,2011Q1,,CY</t>
  </si>
  <si>
    <t>ZNGA.O,mscalc:operatingRevenueForConsensus,2013FY,,CY</t>
  </si>
  <si>
    <t>NA,mscalc:yearEndMonth</t>
  </si>
  <si>
    <t>SAPG.DE,mscalc:operatingRevenueForConsensus,2008FY,,CY</t>
  </si>
  <si>
    <t>CNQR.O,mscalc:generalAndAdministrativeExpensesCalc,2008FY,,CY</t>
  </si>
  <si>
    <t>MKTG.O,mscalc:generalAndAdministrativeExpensesCalc,2011FY,,CY</t>
  </si>
  <si>
    <t>AKAM.O,mstag:marketingAndDistributionCosts,2009Q4,,CY</t>
  </si>
  <si>
    <t>ADBE.O,mstag:costOfSalesWithDepreciation,2013Q3,,CY</t>
  </si>
  <si>
    <t>RNOW.O,mstag:revenueNet,2010Q3,,CY</t>
  </si>
  <si>
    <t>AMD.N,mscalc:yearEndMonth</t>
  </si>
  <si>
    <t>INTU.O,mstag:costOfSalesWithDepreciation,2010Q2,,CY</t>
  </si>
  <si>
    <t>RNOW.O,mstag:costOfSalesWithDepreciation,2012Q4,,CY</t>
  </si>
  <si>
    <t>WBSN.O,mscalc:epsForConsensusForThomsonFeed,2012FY,,CY</t>
  </si>
  <si>
    <t>GUID.O,mstag:costOfSalesWithoutDepreciation,2013Q2,,CY</t>
  </si>
  <si>
    <t>GRPN.O,mscalc:stockRating</t>
  </si>
  <si>
    <t>MSFT.O,mstag:researchAndDevelopment,2008Q2,,CY</t>
  </si>
  <si>
    <t>VMW.N,mstag:costOfSalesWithDepreciation,2009Q4,,CY</t>
  </si>
  <si>
    <t>ADSK.O,mstag:marketingAndDistributionCosts,2009Q2,,CY</t>
  </si>
  <si>
    <t>RHT.N,mstag:researchAndDevelopment,2008FY,,CY</t>
  </si>
  <si>
    <t>GUID.O,mstag:marketingAndDistributionCosts,2008Q2,,CY</t>
  </si>
  <si>
    <t>CVG.N,mscalc:operatingRevenueForConsensus,2007FY,,CY</t>
  </si>
  <si>
    <t>SAPG.DE,mscalc:yearEndMonth</t>
  </si>
  <si>
    <t>EBAY.O,msuser:cmAUPLEBITDA20060530T0035524245,2013FY,,CY</t>
  </si>
  <si>
    <t>SYMC.O,mstag:marketingAndDistributionCosts,2013Q1,,CY</t>
  </si>
  <si>
    <t>ADSK.O,mstag:researchAndDevelopment,2007FY,,CY</t>
  </si>
  <si>
    <t>NA,mscalc:operatingRevenueForConsensus,2009FY,,CY</t>
  </si>
  <si>
    <t>INTU.O,mstag:marketingAndDistributionCosts,2009FY,,CY</t>
  </si>
  <si>
    <t>VMW.N,mstag:sellingGeneralAndAdministrativeExpenses,2010Q1,,CY</t>
  </si>
  <si>
    <t>N.N,mstag:revenueNet,2011Q4,,CY</t>
  </si>
  <si>
    <t>FTNT.O,mstag:revenueNet,2008Q2,,CY</t>
  </si>
  <si>
    <t>CRM.N,mstag:costOfSalesWithDepreciation,2007FY,,CY</t>
  </si>
  <si>
    <t>TLEO.O,mstag:revenueNet,2012Q2,,CY</t>
  </si>
  <si>
    <t>OPEN.O,mscalc:operatingRevenueForConsensus,2010FY,,CY</t>
  </si>
  <si>
    <t>WBSN.O,mscalc:generalAndAdministrativeExpensesCalc,2012Q2,,CY</t>
  </si>
  <si>
    <t>ORCL.O,mscalc:epsForConsensusForThomsonFeed,2010FY,,CY</t>
  </si>
  <si>
    <t>GUID.O,mstag:costOfSalesWithoutDepreciation,2010FY,,CY</t>
  </si>
  <si>
    <t>RNOW.O,mstag:costOfSalesWithDepreciation,2011Q3,,CY</t>
  </si>
  <si>
    <t>AMAT.O,mscalc:operatingRevenueForConsensus,2008FY,,CY</t>
  </si>
  <si>
    <t>N.N,mstag:researchAndDevelopment,2008Q1,,CY</t>
  </si>
  <si>
    <t>FTNT.O,mstag:revenueNet,2010Q1,,CY</t>
  </si>
  <si>
    <t>ADSK.O,mstag:marketingAndDistributionCosts,2009Q3,,CY</t>
  </si>
  <si>
    <t>SREV.O,mscalc:operatingRevenueForConsensus,2007FY,,CY</t>
  </si>
  <si>
    <t>SYMC.O,mstag:researchAndDevelopment,2011Q3,,CY</t>
  </si>
  <si>
    <t>ADBE.O,mstag:revenueNet,2011Q3,,CY</t>
  </si>
  <si>
    <t>MKTG.O,mscalc:generalAndAdministrativeExpensesCalc,2011Q3,,CY</t>
  </si>
  <si>
    <t>SWI.N,mstag:revenueNet,2011Q3,,CY</t>
  </si>
  <si>
    <t>TLEO.O,mscalc:epsForConsensusForThomsonFeed,2008Q4,,CY</t>
  </si>
  <si>
    <t>CRM.N,mstag:revenueNet,2010Q2,,CY</t>
  </si>
  <si>
    <t>SWI.N,mstag:marketingAndDistributionCosts,2012FY,,CY</t>
  </si>
  <si>
    <t xml:space="preserve">    Operating Margin</t>
  </si>
  <si>
    <t>Y.Y.</t>
  </si>
  <si>
    <t>1c12</t>
  </si>
  <si>
    <t>2c12</t>
  </si>
  <si>
    <t>3c12</t>
  </si>
  <si>
    <t>4c12</t>
  </si>
  <si>
    <t>_fy13</t>
  </si>
  <si>
    <t>Gross Profit by Division</t>
  </si>
  <si>
    <t xml:space="preserve">          Gross Margin</t>
  </si>
  <si>
    <t>Total Gross Profit</t>
  </si>
  <si>
    <t>1/10</t>
  </si>
  <si>
    <t>2010</t>
  </si>
  <si>
    <t>4/06</t>
  </si>
  <si>
    <t>Options Granted (Gross)</t>
  </si>
  <si>
    <t>Options Exercised</t>
  </si>
  <si>
    <t>Options Outstanding</t>
  </si>
  <si>
    <t>Total Expense</t>
  </si>
  <si>
    <t>Purchased Tech and Capitalized SW, Net</t>
  </si>
  <si>
    <t>PP&amp;E</t>
  </si>
  <si>
    <t>CHKP.O,mstag:revenueNet,2013Q4,,CY</t>
  </si>
  <si>
    <t>ADBE.O,mstag:marketingAndDistributionCosts,2009Q4,,CY</t>
  </si>
  <si>
    <t>ORCL.O,mscalc:generalAndAdministrativeExpensesCalc,2008FY,,CY</t>
  </si>
  <si>
    <t>CNQR.O,mscalc:yearEndMonth</t>
  </si>
  <si>
    <t>INTU.O,mscalc:generalAndAdministrativeExpensesCalc,2009Q3,,CY</t>
  </si>
  <si>
    <t>SREV.O,mscalc:epsForConsensusForThomsonFeed,2010Q1,,CY</t>
  </si>
  <si>
    <t>AKAM.O,mscalc:operatingRevenueForConsensus,2011FY,,CY</t>
  </si>
  <si>
    <t>IL.N,mstag:researchAndDevelopment,2008Q4,,CY</t>
  </si>
  <si>
    <t>FTNT.O,mscalc:epsForConsensusForThomsonFeed,2009Q3,,CY</t>
  </si>
  <si>
    <t>ADBE.O,mscalc:generalAndAdministrativeExpensesCalc,2009Q3,,CY</t>
  </si>
  <si>
    <t>FTNT.O,mscalc:generalAndAdministrativeExpensesCalc,2010FY,,CY</t>
  </si>
  <si>
    <t>SFSF.N,mstag:marketingAndDistributionCosts,2013Q1,,CY</t>
  </si>
  <si>
    <t>ADBE.O,mscalc:stockRating</t>
  </si>
  <si>
    <t>CTXS.O,mstag:sellingGeneralAndAdministrativeExpenses,2010Q2,,CY</t>
  </si>
  <si>
    <t>MKTG.O,mstag:costOfSalesWithDepreciation,2010Q3,,CY</t>
  </si>
  <si>
    <t>CHKP.O,mstag:marketingAndDistributionCosts,2012Q2,,CY</t>
  </si>
  <si>
    <t>TLEO.O,mstag:costOfSalesWithDepreciation,2012Q3,,CY</t>
  </si>
  <si>
    <t>VMW.N,mstag:marketingCosts,2007FY,,CY</t>
  </si>
  <si>
    <t>MSFT.O,mstag:marketingAndDistributionCosts,2010Q2,,CY</t>
  </si>
  <si>
    <t>ADBE.O,mstag:revenueNet,2012Q1,,CY</t>
  </si>
  <si>
    <t>FIRE.O,mstag:depreciationInIncomeStatement,2009Q1,,CY</t>
  </si>
  <si>
    <t>AKAM.O,mscalc:generalAndAdministrativeExpensesCalc,2011Q3,,CY</t>
  </si>
  <si>
    <t>MSFT.O,mscalc:epsForConsensusForThomsonFeed,2012FY,,CY</t>
  </si>
  <si>
    <t>SREV.O,mstag:researchAndDevelopment,2010FY,,CY</t>
  </si>
  <si>
    <t>IL.N,mstag:otherOperatingExpenseChild,2011FY,,CY</t>
  </si>
  <si>
    <t>FTNT.O,mstag:researchAndDevelopment,2011FY,,CY</t>
  </si>
  <si>
    <t>MSFT.O,mstag:costOfSalesWithDepreciation,2009Q2,,CY</t>
  </si>
  <si>
    <t>RNOW.O,mscalc:generalAndAdministrativeExpensesCalc,2011Q2,,CY</t>
  </si>
  <si>
    <t>AMZN.O,mscalc:epsForConsensusForThomsonFeed,2011FY,,CY</t>
  </si>
  <si>
    <t>SWI.N,mstag:costOfSalesWithDepreciation,2013Q1,,CY</t>
  </si>
  <si>
    <t>QLIK.O,mstag:revenueNet,2011Q2,,CY</t>
  </si>
  <si>
    <t>CHKP.O,mstag:revenueNet,2013Q2,,CY</t>
  </si>
  <si>
    <t>GUID.O,mscalc:generalAndAdministrativeExpensesCalc,2011Q3,,CY</t>
  </si>
  <si>
    <t>FIRE.O,mstag:researchAndDevelopment,2012Q4,,CY</t>
  </si>
  <si>
    <t>WBSN.O,mscalc:epsForConsensusForThomsonFeed,2013Q2,,CY</t>
  </si>
  <si>
    <t>ADSK.O,mscalc:generalAndAdministrativeExpensesCalc,2011Q2,,CY</t>
  </si>
  <si>
    <t>AKAM.O,mstag:costOfSalesWithDepreciation,2009FY,,CY</t>
  </si>
  <si>
    <t>AMD.N,msuser:cmAUPLEBITDA20060530T0035524245,2007FY,,CY</t>
  </si>
  <si>
    <t>1/13</t>
  </si>
  <si>
    <t>2013</t>
  </si>
  <si>
    <t>ADSK.O,mstag:otherOperatingExpenseChild,2013FY,,CY</t>
  </si>
  <si>
    <t>LNKD.N,mscalc:epsForConsensusForThomsonFeed,2010FY,,CY</t>
  </si>
  <si>
    <t>MSFT.O,mscalc:generalAndAdministrativeExpensesCalc,2012Q3,,CY</t>
  </si>
  <si>
    <t>CTXS.O,mstag:marketingCosts,2009Q2,,CY</t>
  </si>
  <si>
    <t>SWI.N,mstag:marketingAndDistributionCosts,2012Q2,,CY</t>
  </si>
  <si>
    <t>RNOW.O,mscalc:epsForConsensusForThomsonFeed,2008Q3,,CY</t>
  </si>
  <si>
    <t>DMAN.O,mscalc:generalAndAdministrativeExpensesCalc,2008Q4,,CY</t>
  </si>
  <si>
    <t>TXN.N,mscalc:epsForConsensusForThomsonFeed,2010FY,,CY</t>
  </si>
  <si>
    <t>IL.N,mscalc:epsForConsensusForThomsonFeed,2008Q1,,CY</t>
  </si>
  <si>
    <t>ORCL.O,mstag:researchAndDevelopment,2013Q3,,CY</t>
  </si>
  <si>
    <t>OPEN.O,mscalc:operatingRevenueForConsensus,2008FY,,CY</t>
  </si>
  <si>
    <t>ADSK.O,mscalc:generalAndAdministrativeExpensesCalc,2011Q4,,CY</t>
  </si>
  <si>
    <t>JNPR.N,msuser:cmAUPLEBITDA20060530T0035524245,2011FY,,CY</t>
  </si>
  <si>
    <t>ORCL.O,mstag:marketingAndDistributionCosts,2011Q2,,CY</t>
  </si>
  <si>
    <t>GUID.O,mstag:researchAndDevelopment,2009Q1,,CY</t>
  </si>
  <si>
    <t>SREV.O,mstag:costOfSalesWithDepreciation,2009Q3,,CY</t>
  </si>
  <si>
    <t>FIRE.O,mstag:researchAndDevelopment,2011FY,,CY</t>
  </si>
  <si>
    <t>AKAM.O,mstag:cashAndCashEquivalents,2011Q3,,CY</t>
  </si>
  <si>
    <t>SFSF.N,mstag:marketingAndDistributionCosts,2008Q3,,CY</t>
  </si>
  <si>
    <t>CTXS.O,mstag:revenueNet,2010Q4,,CY</t>
  </si>
  <si>
    <t>SWI.N,mstag:revenueNet,2013Q4,,CY</t>
  </si>
  <si>
    <t>AKAM.O,mscalc:generalAndAdministrativeExpensesCalc,2010Q3,,CY</t>
  </si>
  <si>
    <t>QLIK.O,mstag:marketingAndDistributionCosts,2013Q3,,CY</t>
  </si>
  <si>
    <t>AMD.N,msuser:cmAUPLEBITDA20060530T0035524245,2013FY,,CY</t>
  </si>
  <si>
    <t>AKAM.O,mstag:costOfSalesWithDepreciation,2013Q2,,CY</t>
  </si>
  <si>
    <t>GUID.O,mstag:costOfSalesWithoutDepreciation,2008Q2,,CY</t>
  </si>
  <si>
    <t>DMAN.O,mstag:revenueNet,2010Q1,,CY</t>
  </si>
  <si>
    <t>SYMC.O,mstag:otherOperatingExpenseChild,2007FY,,CY</t>
  </si>
  <si>
    <t>RHT.N,mscalc:generalAndAdministrativeExpensesCalc,2008FY,,CY</t>
  </si>
  <si>
    <t>SFSF.N,mscalc:epsForConsensusForThomsonFeed,2012Q1,,CY</t>
  </si>
  <si>
    <t>DELL.O,mscalc:dilutedEarningsPerShare,2009FY,,CY</t>
  </si>
  <si>
    <t>SYMC.O,mstag:revenueNet,2013Q4,,CY</t>
  </si>
  <si>
    <t>ADSK.O,mstag:revenueNet,2010Q3,,CY</t>
  </si>
  <si>
    <t>CTXS.O,mstag:sellingGeneralAndAdministrativeExpenses,2012Q3,,CY</t>
  </si>
  <si>
    <t>TLEO.O,mstag:revenueNet,2010Q2,,CY</t>
  </si>
  <si>
    <t>INFA.O,mscalc:generalAndAdministrativeExpensesCalc,2010FY,,CY</t>
  </si>
  <si>
    <t>CHKP.O,mscalc:epsForConsensusForThomsonFeed,2010Q1,,CY</t>
  </si>
  <si>
    <t>AMAT.O,mscalc:operatingRevenueForConsensus,2013FY,,CY</t>
  </si>
  <si>
    <t>MSFT.O,mstag:revenueNet,2009Q1,,CY</t>
  </si>
  <si>
    <t>RNOW.O,mscalc:epsForConsensusForThomsonFeed,2012Q1,,CY</t>
  </si>
  <si>
    <t>INFA.O,mscalc:epsForConsensusForThomsonFeed,2008FY,,CY</t>
  </si>
  <si>
    <t>RHT.N,mstag:costOfSalesWithDepreciation,2009Q4,,CY</t>
  </si>
  <si>
    <t>VMW.N,mstag:costOfSalesWithDepreciation,2010Q4,,CY</t>
  </si>
  <si>
    <t>CRM.N,mscalc:epsForConsensusForThomsonFeed,2013Q2,,CY</t>
  </si>
  <si>
    <t>VMW.N,mstag:cashAndCashEquivalents,2011Q4,,CY</t>
  </si>
  <si>
    <t>DST.N,msuser:cmAUPLEBITDA20060530T0035524245,2012FY,,CY</t>
  </si>
  <si>
    <t>WBSN.O,mstag:costOfSalesWithDepreciation,2011Q4,,CY</t>
  </si>
  <si>
    <t>ADSK.O,mstag:costOfSalesWithDepreciation,2008Q4,,CY</t>
  </si>
  <si>
    <t>ORCL.O,mstag:costOfSalesWithDepreciation,2009Q4,,CY</t>
  </si>
  <si>
    <t>WBSN.O,mscalc:generalAndAdministrativeExpensesCalc,2011Q3,,CY</t>
  </si>
  <si>
    <t>AMZN.O,mscalc:operatingRevenueForConsensus,2013FY,,CY</t>
  </si>
  <si>
    <t>SFSF.N,mstag:costOfSalesWithDepreciation,2013Q3,,CY</t>
  </si>
  <si>
    <t>WBSN.O,mstag:revenueNet,2010Q1,,CY</t>
  </si>
  <si>
    <t>MKTG.O,mstag:researchAndDevelopment,2013Q3,,CY</t>
  </si>
  <si>
    <t>JNPR.N,mscalc:dilutedEarningsPerShare,2009FY,,CY</t>
  </si>
  <si>
    <t>MSFT.O,mscalc:generalAndAdministrativeExpensesCalc,2009FY,,CY</t>
  </si>
  <si>
    <t>INTU.O,mstag:marketingAndDistributionCosts,2011FY,,CY</t>
  </si>
  <si>
    <t>CVG.N,mscalc:epsForConsensusForThomsonFeed,2013FY,,CY</t>
  </si>
  <si>
    <t>GUID.O,mstag:revenueNet,2008Q2,,CY</t>
  </si>
  <si>
    <t>GUID.O,mstag:depreciationInIncomeStatement,2010Q3,,CY</t>
  </si>
  <si>
    <t>GUID.O,mscalc:epsForConsensusForThomsonFeed,2013Q3,,CY</t>
  </si>
  <si>
    <t>ORCL.O,mscalc:epsForConsensusForThomsonFeed,2009FY,,CY</t>
  </si>
  <si>
    <t>RNOW.O,mstag:revenueNet,2012Q1,,CY</t>
  </si>
  <si>
    <t>RNOW.O,mstag:revenueNet,2009Q2,,CY</t>
  </si>
  <si>
    <t>ZNGA.O,mscalc:operatingRevenueForConsensus,2010FY,,CY</t>
  </si>
  <si>
    <t>ORCL.O,mstag:marketingAndDistributionCosts,2010Q4,,CY</t>
  </si>
  <si>
    <t>INTU.O,mstag:revenueNet,2011Q3,,CY</t>
  </si>
  <si>
    <t>SYMC.O,mstag:researchAndDevelopment,2007FY,,CY</t>
  </si>
  <si>
    <t>MKTG.O,mstag:researchAndDevelopment,2010Q4,,CY</t>
  </si>
  <si>
    <t>SREV.O,mscalc:stockRating</t>
  </si>
  <si>
    <t>IL.N,mscalc:generalAndAdministrativeExpensesCalc,2007FY,,CY</t>
  </si>
  <si>
    <t>FTNT.O,mscalc:generalAndAdministrativeExpensesCalc,2009Q2,,CY</t>
  </si>
  <si>
    <t>GUID.O,mstag:researchAndDevelopment,2008Q2,,CY</t>
  </si>
  <si>
    <t>AMD.N,mscalc:operatingRevenueForConsensus,2012FY,,CY</t>
  </si>
  <si>
    <t>CTXS.O,mscalc:epsForConsensusForThomsonFeed,2008Q4,,CY</t>
  </si>
  <si>
    <t>MKTG.O,mstag:researchAndDevelopment,2009FY,,CY</t>
  </si>
  <si>
    <t>ORCL.O,mscalc:generalAndAdministrativeExpensesCalc,2010Q1,,CY</t>
  </si>
  <si>
    <t>CNQR.O,mstag:otherOperatingExpenseChild,2008FY,,CY</t>
  </si>
  <si>
    <t>QLIK.O,mstag:otherOperatingExpenseChild,2008FY,,CY</t>
  </si>
  <si>
    <t>SREV.O,mstag:revenueNet,2013Q1,,CY</t>
  </si>
  <si>
    <t>SYMC.O,mscalc:generalAndAdministrativeExpensesCalc,2012FY,,CY</t>
  </si>
  <si>
    <t>FTNT.O,mstag:marketingAndDistributionCosts,2011Q2,,CY</t>
  </si>
  <si>
    <t>FIRE.O,mstag:marketingAndDistributionCosts,2012FY,,CY</t>
  </si>
  <si>
    <t>HRB.N,mscalc:epsForConsensusForThomsonFeed,2008FY,,CY</t>
  </si>
  <si>
    <t>CTXS.O,mscalc:epsForConsensusForThomsonFeed,2010Q2,,CY</t>
  </si>
  <si>
    <t>MSFT.O,mstag:softwareProductRevenues,2013FY,,CY</t>
  </si>
  <si>
    <t>FIRE.O,mstag:costOfSalesWithoutDepreciation,2008Q1,,CY</t>
  </si>
  <si>
    <t>RHT.N,mscalc:epsForConsensusForThomsonFeed,2011Q1,,CY</t>
  </si>
  <si>
    <t>MSFT.O,mstag:investmentsUnderTheEquityMethodNonOperating,2011Q4,,CY</t>
  </si>
  <si>
    <t>AMZN.O,mscalc:operatingRevenueForConsensus,2011FY,,CY</t>
  </si>
  <si>
    <t>CTXS.O,mscalc:yearEndMonth</t>
  </si>
  <si>
    <t>DMAN.O,mstag:costOfSalesWithDepreciation,2009Q4,,CY</t>
  </si>
  <si>
    <t>AKAM.O,mstag:revenueNet,2012Q3,,CY</t>
  </si>
  <si>
    <t>HPQ.N,msuser:cmAUPLEBITDA20060530T0035524245,2011FY,,CY</t>
  </si>
  <si>
    <t>CNQR.O,mstag:researchAndDevelopment,2007FY,,CY</t>
  </si>
  <si>
    <t>NA,mscalc:generalAndAdministrativeExpensesCalc,2008FY,,CY</t>
  </si>
  <si>
    <t>MKTG.O,mscalc:generalAndAdministrativeExpensesCalc,2008Q3,,CY</t>
  </si>
  <si>
    <t>SREV.O,mscalc:generalAndAdministrativeExpensesCalc,2010Q1,,CY</t>
  </si>
  <si>
    <t>CTXS.O,mscalc:epsForConsensusForThomsonFeed,2010Q1,,CY</t>
  </si>
  <si>
    <t>FIRE.O,mstag:depreciationInIncomeStatement,2012Q3,,CY</t>
  </si>
  <si>
    <t>IL.N,mstag:costOfSalesWithDepreciation,2013Q1,,CY</t>
  </si>
  <si>
    <t>TLEO.O,mscalc:epsForConsensusForThomsonFeed,2012FY,,CY</t>
  </si>
  <si>
    <t>IL.N,mstag:researchAndDevelopment,2008Q2,,CY</t>
  </si>
  <si>
    <t>SFSF.N,mstag:researchAndDevelopment,2013Q4,,CY</t>
  </si>
  <si>
    <t>FTNT.O,mscalc:generalAndAdministrativeExpensesCalc,2010Q3,,CY</t>
  </si>
  <si>
    <t>WBSN.O,mscalc:epsForConsensusForThomsonFeed,2011Q1,,CY</t>
  </si>
  <si>
    <t>TLEO.O,mscalc:epsForConsensusForThomsonFeed,2009FY,,CY</t>
  </si>
  <si>
    <t>CRM.N,mstag:researchAndDevelopment,2010Q4,,CY</t>
  </si>
  <si>
    <t>AKAM.O,mscalc:operatingRevenueForConsensus,2009FY,,CY</t>
  </si>
  <si>
    <t>AKAM.O,mstag:revenueNet,2011Q1,,CY</t>
  </si>
  <si>
    <t>MSFT.O,mscalc:epsForConsensusForThomsonFeed,2013Q1,,CY</t>
  </si>
  <si>
    <t>FIRE.O,mstag:researchAndDevelopment,2010FY,,CY</t>
  </si>
  <si>
    <t>TLEO.O,mstag:researchAndDevelopment,2013Q4,,CY</t>
  </si>
  <si>
    <t>FIRE.O,mstag:costOfSalesWithoutDepreciation,2009Q2,,CY</t>
  </si>
  <si>
    <t>IL.N,mstag:researchAndDevelopment,2012FY,,CY</t>
  </si>
  <si>
    <t>ORCL.O,mscalc:generalAndAdministrativeExpensesCalc,2011Q1,,CY</t>
  </si>
  <si>
    <t>CHKP.O,mstag:otherOperatingExpenseChild,2007FY,,CY</t>
  </si>
  <si>
    <t>RHT.N,mstag:marketingAndDistributionCosts,2010Q2,,CY</t>
  </si>
  <si>
    <t>SYMC.O,mstag:revenueNet,2008Q1,,CY</t>
  </si>
  <si>
    <t>VMW.N,mstag:sellingGeneralAndAdministrativeExpenses,2008Q3,,CY</t>
  </si>
  <si>
    <t>SREV.O,mscalc:generalAndAdministrativeExpensesCalc,2010Q4,,CY</t>
  </si>
  <si>
    <t>GUID.O,mstag:depreciationInIncomeStatement,2012Q3,,CY</t>
  </si>
  <si>
    <t>ADBE.O,mscalc:epsForConsensusForThomsonFeed,2012FY,,CY</t>
  </si>
  <si>
    <t>INTU.O,mscalc:generalAndAdministrativeExpensesCalc,2008Q2,,CY</t>
  </si>
  <si>
    <t>AKAM.O,mstag:marketingAndDistributionCosts,2012Q3,,CY</t>
  </si>
  <si>
    <t>VMW.N,mstag:shortTermInvestments,2011Q4,,CY</t>
  </si>
  <si>
    <t>ORCL.O,mscalc:generalAndAdministrativeExpensesCalc,2010FY,,CY</t>
  </si>
  <si>
    <t>WBSN.O,mstag:revenueNet,2013Q4,,CY</t>
  </si>
  <si>
    <t>SREV.O,mstag:costOfSalesWithDepreciation,2008FY,,CY</t>
  </si>
  <si>
    <t>FIRE.O,mstag:costOfSalesWithoutDepreciation,2012Q4,,CY</t>
  </si>
  <si>
    <t>FIRE.O,mstag:depreciationInIncomeStatement,2009Q4,,CY</t>
  </si>
  <si>
    <t>RNOW.O,mstag:researchAndDevelopment,2008Q2,,CY</t>
  </si>
  <si>
    <t>SYMC.O,mstag:otherOperatingExpenseChild,2009FY,,CY</t>
  </si>
  <si>
    <t>FTNT.O,mscalc:epsForConsensusForThomsonFeed,2010Q1,,CY</t>
  </si>
  <si>
    <t>EBAY.O,mscalc:epsForConsensusForThomsonFeed,2009FY,,CY</t>
  </si>
  <si>
    <t>FISV.O,mscalc:operatingRevenueForConsensus,2009FY,,CY</t>
  </si>
  <si>
    <t>VRSN.O,mscalc:generalAndAdministrativeExpensesCalc,2013FY,,CY</t>
  </si>
  <si>
    <t>AKAM.O,mscalc:generalAndAdministrativeExpensesCalc,2013Q2,,CY</t>
  </si>
  <si>
    <t>QLIK.O,mstag:marketingAndDistributionCosts,2009Q3,,CY</t>
  </si>
  <si>
    <t>QLIK.O,mscalc:generalAndAdministrativeExpensesCalc,2008FY,,CY</t>
  </si>
  <si>
    <t>WBSN.O,mstag:marketingAndDistributionCosts,2011Q3,,CY</t>
  </si>
  <si>
    <t>AKAM.O,mscalc:generalAndAdministrativeExpensesCalc,2013Q3,,CY</t>
  </si>
  <si>
    <t>VRSN.O,mscalc:epsForConsensusForThomsonFeed,2013FY,,CY</t>
  </si>
  <si>
    <t>DMAN.O,mstag:revenueNet,2008Q2,,CY</t>
  </si>
  <si>
    <t>Net Loss on Asset Disposals</t>
  </si>
  <si>
    <t>LTM Operating Income</t>
  </si>
  <si>
    <t xml:space="preserve">     2005 Amortization</t>
  </si>
  <si>
    <t xml:space="preserve">     2006 Amortization</t>
  </si>
  <si>
    <t>Media and Entertainment Segment</t>
  </si>
  <si>
    <t>EMC.N,mscalc:epsForConsensusForThomsonFeed,2010FY,,CY</t>
  </si>
  <si>
    <t>MKTG.O,mstag:otherOperatingExpenseChild,2011FY,,CY</t>
  </si>
  <si>
    <t>INFA.O,mstag:costOfSalesWithDepreciation,2009FY,,CY</t>
  </si>
  <si>
    <t>SREV.O,mstag:costOfSalesWithDepreciation,2013FY,,CY</t>
  </si>
  <si>
    <t>CTXS.O,mscalc:epsForConsensusForThomsonFeed,2011Q1,,CY</t>
  </si>
  <si>
    <t>RNOW.O,mscalc:epsForConsensusForThomsonFeed,2012Q3,,CY</t>
  </si>
  <si>
    <t>MKTG.O,mscalc:epsForConsensusForThomsonFeed,2011Q3,,CY</t>
  </si>
  <si>
    <t>IL.N,mstag:marketingAndDistributionCosts,2011FY,,CY</t>
  </si>
  <si>
    <t>RNOW.O,mstag:revenueNet,2008Q2,,CY</t>
  </si>
  <si>
    <t>CHKP.O,mstag:marketingAndDistributionCosts,2010FY,,CY</t>
  </si>
  <si>
    <t>TLEO.O,mstag:averageDilutedSharesOutstanding,2011Q3,,CY</t>
  </si>
  <si>
    <t>FISV.O,mscalc:yearEndMonth</t>
  </si>
  <si>
    <t>MKTG.O,mstag:researchAndDevelopment,2011Q3,,CY</t>
  </si>
  <si>
    <t>FTNT.O,mscalc:epsForConsensusForThomsonFeed,2008Q3,,CY</t>
  </si>
  <si>
    <t>JNPR.N,mscalc:operatingRevenueForConsensus,2013FY,,CY</t>
  </si>
  <si>
    <t>FTNT.O,mstag:costOfSalesWithDepreciation,2010Q4,,CY</t>
  </si>
  <si>
    <t>FTNT.O,mstag:researchAndDevelopment,2010Q1,,CY</t>
  </si>
  <si>
    <t>WBSN.O,mstag:revenueNet,2008Q2,,CY</t>
  </si>
  <si>
    <t>GUID.O,mstag:depreciationInIncomeStatement,2013Q4,,CY</t>
  </si>
  <si>
    <t>MKTG.O,mstag:costOfSalesWithDepreciation,2009Q2,,CY</t>
  </si>
  <si>
    <t>SWI.N,mscalc:epsForConsensusForThomsonFeed,2012Q2,,CY</t>
  </si>
  <si>
    <t>IL.N,mscalc:generalAndAdministrativeExpensesCalc,2012Q4,,CY</t>
  </si>
  <si>
    <t>INTC.O,mscalc:operatingRevenueForConsensus,2007FY,,CY</t>
  </si>
  <si>
    <t>RNOW.O,mstag:marketingAndDistributionCosts,2013Q2,,CY</t>
  </si>
  <si>
    <t>CTXS.O,mstag:marketingCosts,2008Q2,,CY</t>
  </si>
  <si>
    <t>CTXS.O,mscalc:epsForConsensusForThomsonFeed,2012Q1,,CY</t>
  </si>
  <si>
    <t>DMAN.O,mstag:marketingAndDistributionCosts,2009Q4,,CY</t>
  </si>
  <si>
    <t>DMAN.O,mscalc:generalAndAdministrativeExpensesCalc,2013Q1,,CY</t>
  </si>
  <si>
    <t>INTU.O,mstag:researchAndDevelopment,2008Q4,,CY</t>
  </si>
  <si>
    <t>CHKP.O,mstag:softwareLicenseRevenues,2012FY,,CY</t>
  </si>
  <si>
    <t>CRM.N,mstag:revenueNet,2013Q2,,CY</t>
  </si>
  <si>
    <t>RHT.N,mscalc:generalAndAdministrativeExpensesCalc,2010Q4,,CY</t>
  </si>
  <si>
    <t>N.N,mstag:researchAndDevelopment,2008Q4,,CY</t>
  </si>
  <si>
    <t>JNPR.N,mscalc:operatingRevenueForConsensus,2007FY,,CY</t>
  </si>
  <si>
    <t>MKTG.O,mscalc:generalAndAdministrativeExpensesCalc,2010FY,,CY</t>
  </si>
  <si>
    <t>RHT.N,mscalc:epsForConsensusForThomsonFeed,2009Q3,,CY</t>
  </si>
  <si>
    <t>RHT.N,mscalc:epsForConsensusForThomsonFeed,2011FY,,CY</t>
  </si>
  <si>
    <t>DMAN.O,mstag:revenueNet,2013Q2,,CY</t>
  </si>
  <si>
    <t>N.N,mscalc:generalAndAdministrativeExpensesCalc,2010Q4,,CY</t>
  </si>
  <si>
    <t>INTU.O,mstag:researchAndDevelopment,2010Q1,,CY</t>
  </si>
  <si>
    <t>CRM.N,mscalc:generalAndAdministrativeExpensesCalc,2012Q1,,CY</t>
  </si>
  <si>
    <t>CTXS.O,mstag:costOfSalesWithDepreciation,2011Q2,,CY</t>
  </si>
  <si>
    <t>INTU.O,mstag:otherOperatingExpenseChild,2007FY,,CY</t>
  </si>
  <si>
    <t>IL.N,mscalc:generalAndAdministrativeExpensesCalc,2011Q4,,CY</t>
  </si>
  <si>
    <t>RNOW.O,mscalc:generalAndAdministrativeExpensesCalc,2009Q1,,CY</t>
  </si>
  <si>
    <t>VMW.N,mscalc:epsForConsensusForThomsonFeed,2010Q4,,CY</t>
  </si>
  <si>
    <t>ADBE.O,mscalc:epsForConsensusForThomsonFeed,2009Q3,,CY</t>
  </si>
  <si>
    <t>ORCL.O,mstag:marketingAndDistributionCosts,2011Q3,,CY</t>
  </si>
  <si>
    <t>IL.N,mscalc:epsForConsensusForThomsonFeed,2009Q4,,CY</t>
  </si>
  <si>
    <t>SREV.O,mstag:revenueNet,2011Q3,,CY</t>
  </si>
  <si>
    <t>ADBE.O,mstag:marketingAndDistributionCosts,2008Q3,,CY</t>
  </si>
  <si>
    <t>ADBE.O,mstag:revenueNet,2008Q1,,CY</t>
  </si>
  <si>
    <t>CHKP.O,mscalc:epsForConsensusForThomsonFeed,2011Q2,,CY</t>
  </si>
  <si>
    <t>N.N,mscalc:generalAndAdministrativeExpensesCalc,2012Q1,,CY</t>
  </si>
  <si>
    <t>QLIK.O,mstag:costOfSalesWithDepreciation,2009Q4,,CY</t>
  </si>
  <si>
    <t>RNOW.O,mstag:revenueNet,2013Q1,,CY</t>
  </si>
  <si>
    <t>AKAM.O,mstag:researchAndDevelopment,2013Q1,,CY</t>
  </si>
  <si>
    <t>FIRE.O,mscalc:epsForConsensusForThomsonFeed,2012FY,,CY</t>
  </si>
  <si>
    <t>MSFT.O,mstag:costOfSalesWithDepreciation,2013Q4,,CY</t>
  </si>
  <si>
    <t>FTNT.O,mstag:costOfSalesWithDepreciation,2011Q2,,CY</t>
  </si>
  <si>
    <t>RHT.N,mstag:revenueNet,2010Q1,,CY</t>
  </si>
  <si>
    <t>FIRE.O,mstag:researchAndDevelopment,2009Q3,,CY</t>
  </si>
  <si>
    <t>GUID.O,mstag:otherOperatingExpenseChild,2013FY,,CY</t>
  </si>
  <si>
    <t>SWI.N,mstag:costOfSalesWithDepreciation,2012Q2,,CY</t>
  </si>
  <si>
    <t>INTU.O,mscalc:generalAndAdministrativeExpensesCalc,2013Q3,,CY</t>
  </si>
  <si>
    <t>CNQR.O,mscalc:operatingRevenueForConsensus,2010FY,,CY</t>
  </si>
  <si>
    <t>IL.N,mstag:costOfSalesWithDepreciation,2012Q2,,CY</t>
  </si>
  <si>
    <t>CHKP.O,mstag:costOfSalesWithDepreciation,2008Q4,,CY</t>
  </si>
  <si>
    <t>AMAT.O,msuser:cmAUPLEBITDA20060530T0035524245,2013FY,,CY</t>
  </si>
  <si>
    <t>INTU.O,mstag:marketingAndDistributionCosts,2012Q1,,CY</t>
  </si>
  <si>
    <t>GUID.O,mstag:researchAndDevelopment,2011Q3,,CY</t>
  </si>
  <si>
    <t>RHT.N,mscalc:epsForConsensusForThomsonFeed,2008Q3,,CY</t>
  </si>
  <si>
    <t>QLIK.O,mscalc:epsForConsensusForThomsonFeed,2010FY,,CY</t>
  </si>
  <si>
    <t>N.N,mscalc:epsForConsensusForThomsonFeed,2010FY,,CY</t>
  </si>
  <si>
    <t>INTC.O,mscalc:dilutedEarningsPerShare,2009FY,,CY</t>
  </si>
  <si>
    <t>VMW.N,mstag:revenueNet,2013Q3,,CY</t>
  </si>
  <si>
    <t>FIRE.O,mstag:costOfSalesWithoutDepreciation,2008Q4,,CY</t>
  </si>
  <si>
    <t>INTU.O,mstag:revenueNet,2012Q1,,CY</t>
  </si>
  <si>
    <t>ADBE.O,mscalc:generalAndAdministrativeExpensesCalc,2010Q4,,CY</t>
  </si>
  <si>
    <t>CRM.N,mstag:marketingAndDistributionCosts,2009Q4,,CY</t>
  </si>
  <si>
    <t>MSFT.O,mstag:researchAndDevelopment,2011Q1,,CY</t>
  </si>
  <si>
    <t>ADSK.O,mscalc:generalAndAdministrativeExpensesCalc,2013Q4,,CY</t>
  </si>
  <si>
    <t>CRM.N,mstag:costOfSalesWithDepreciation,2009Q4,,CY</t>
  </si>
  <si>
    <t>ORCL.O,mstag:marketingAndDistributionCosts,2010FY,,CY</t>
  </si>
  <si>
    <t>ADBE.O,mstag:marketingAndDistributionCosts,2013FY,,CY</t>
  </si>
  <si>
    <t>MKTG.O,mstag:marketingAndDistributionCosts,2010Q2,,CY</t>
  </si>
  <si>
    <t>CTXS.O,mstag:researchAndDevelopment,2012Q4,,CY</t>
  </si>
  <si>
    <t>SWI.N,mstag:revenueNet,2009Q2,,CY</t>
  </si>
  <si>
    <t>FY14</t>
  </si>
  <si>
    <t>FY15</t>
  </si>
  <si>
    <t>Revit YoY Growth</t>
  </si>
  <si>
    <t>Inventor YoY Growth</t>
  </si>
  <si>
    <t>4c99</t>
  </si>
  <si>
    <t>_fy99</t>
  </si>
  <si>
    <t>FY11</t>
  </si>
  <si>
    <t>Accrued Compensation</t>
  </si>
  <si>
    <t>Organic License Revenue - Constant Currency</t>
  </si>
  <si>
    <t>BuzzSaw</t>
  </si>
  <si>
    <t>GUID.O,mscalc:generalAndAdministrativeExpensesCalc,2009FY,,CY</t>
  </si>
  <si>
    <t>Purchases of SW tech, capitalization of SW costs</t>
  </si>
  <si>
    <t>Proceeds from issuance of common stock, net</t>
  </si>
  <si>
    <t>LTM Total Expense (Normalized)</t>
  </si>
  <si>
    <t>LTM Cost of Revenues</t>
  </si>
  <si>
    <t xml:space="preserve"> Other Income</t>
  </si>
  <si>
    <t>Interest and Other Income</t>
  </si>
  <si>
    <t>Common Dividends/Share</t>
  </si>
  <si>
    <t xml:space="preserve">     2007 Amortization</t>
  </si>
  <si>
    <t>Gain on disposal of affiliate</t>
  </si>
  <si>
    <t>Stand-alone AutoCAD</t>
  </si>
  <si>
    <t>AutoCAD Mechanical</t>
  </si>
  <si>
    <t>AutoCAD Map</t>
  </si>
  <si>
    <t>Architectural Desktop</t>
  </si>
  <si>
    <t>3D Product Revenue ($mil)</t>
  </si>
  <si>
    <t>4/08</t>
  </si>
  <si>
    <t>6 mo</t>
  </si>
  <si>
    <t>Buyback as a % of FCF</t>
  </si>
  <si>
    <t>Revenue Growth</t>
  </si>
  <si>
    <t xml:space="preserve">         additional shares per employee</t>
  </si>
  <si>
    <t>DSO (on total revenue)</t>
  </si>
  <si>
    <t>Count</t>
  </si>
  <si>
    <t>Kynogon SA (announced 2/19/08)</t>
  </si>
  <si>
    <t>PlassoTech (anounced 8/27/07)</t>
  </si>
  <si>
    <t>NavisWorks (completed 8/9/07)</t>
  </si>
  <si>
    <t>Infrastructure Solutions Division</t>
  </si>
  <si>
    <t>10/05</t>
  </si>
  <si>
    <t>Pro-Forma Adjustments for Expensing of Stock Options</t>
  </si>
  <si>
    <t>add: Stock-based employee comp included above</t>
  </si>
  <si>
    <t>less: Stock-based employee comp via fair value method</t>
  </si>
  <si>
    <t>Pro-Forma Net Income</t>
  </si>
  <si>
    <t>Pro-Forma EPS (basic)</t>
  </si>
  <si>
    <t>Pro-Forma EPS (diluted)</t>
  </si>
  <si>
    <t>Diluted Shares Outstanding (Reported)</t>
  </si>
  <si>
    <t>Diluted Shares Outstanding (Operating)</t>
  </si>
  <si>
    <t>1c06</t>
  </si>
  <si>
    <t>Write-down of purchased technology</t>
  </si>
  <si>
    <t>Litigation Accrual</t>
  </si>
  <si>
    <t>Assumed Useful Life</t>
  </si>
  <si>
    <t>VRSN.O,mscalc:operatingRevenueForConsensus,2007FY,,CY</t>
  </si>
  <si>
    <t>FIRE.O,mstag:researchAndDevelopment,2009Q4,,CY</t>
  </si>
  <si>
    <t>EBAY.O,mscalc:epsForConsensusForThomsonFeed,2013FY,,CY</t>
  </si>
  <si>
    <t>N.N,mstag:otherOperatingExpenseChild,2012FY,,CY</t>
  </si>
  <si>
    <t>AMAT.O,mscalc:dilutedEarningsPerShare,2007FY,,CY</t>
  </si>
  <si>
    <t>RHT.N,mstag:marketingAndDistributionCosts,2011Q2,,CY</t>
  </si>
  <si>
    <t>N.N,mstag:costOfSalesWithDepreciation,2012Q4,,CY</t>
  </si>
  <si>
    <t>SYMC.O,mscalc:epsForConsensusForThomsonFeed,2010Q4,,CY</t>
  </si>
  <si>
    <t>MKTG.O,mstag:researchAndDevelopment,2008Q4,,CY</t>
  </si>
  <si>
    <t>HRB.N,mscalc:epsForConsensusForThomsonFeed,2013FY,,CY</t>
  </si>
  <si>
    <t>AKAM.O,mstag:revenueNet,2010Q2,,CY</t>
  </si>
  <si>
    <t>QLIK.O,mstag:costOfSalesWithDepreciation,2011Q2,,CY</t>
  </si>
  <si>
    <t>SREV.O,mscalc:epsForConsensusForThomsonFeed,2008FY,,CY</t>
  </si>
  <si>
    <t>QLIK.O,mstag:costOfSalesWithDepreciation,2009Q1,,CY</t>
  </si>
  <si>
    <t>QLIK.O,mstag:revenueNet,2012Q4,,CY</t>
  </si>
  <si>
    <t>N.N,mscalc:epsForConsensusForThomsonFeed,2010Q1,,CY</t>
  </si>
  <si>
    <t>FIRE.O,mscalc:generalAndAdministrativeExpensesCalc,2013FY,,CY</t>
  </si>
  <si>
    <t>ORCL.O,mstag:marketingAndDistributionCosts,2009FY,,CY</t>
  </si>
  <si>
    <t>RHT.N,mstag:shortTermBorrowings,2011Q4,,CY</t>
  </si>
  <si>
    <t>AKAM.O,mstag:costOfSalesWithDepreciation,2012Q1,,CY</t>
  </si>
  <si>
    <t>ORCL.O,mstag:revenueNet,2010Q1,,CY</t>
  </si>
  <si>
    <t>SAPG.DE,mstag:costOfServicesSold,2008FY,,CY</t>
  </si>
  <si>
    <t>JIVE.O,mstag:marketingAndDistributionCosts,2007FY,,CY</t>
  </si>
  <si>
    <t>CHKP.O,mscalc:generalAndAdministrativeExpensesCalc,2012Q4,,CY</t>
  </si>
  <si>
    <t>SYMC.O,mstag:researchAndDevelopment,2012FY,,CY</t>
  </si>
  <si>
    <t>VMW.N,mstag:otherOperatingExpenseChild,2011FY,,CY</t>
  </si>
  <si>
    <t>FTNT.O,mstag:costOfSalesWithDepreciation,2010Q2,,CY</t>
  </si>
  <si>
    <t>FTNT.O,mscalc:epsForConsensusForThomsonFeed,2012Q2,,CY</t>
  </si>
  <si>
    <t>CHKP.O,mstag:revenueNet,2013Q1,,CY</t>
  </si>
  <si>
    <t>MKTG.O,mscalc:operatingRevenueForConsensus,2008FY,,CY</t>
  </si>
  <si>
    <t>ADSK.O,mstag:costOfSalesWithDepreciation,2009FY,,CY</t>
  </si>
  <si>
    <t>CHKP.O,mstag:marketingAndDistributionCosts,2011Q4,,CY</t>
  </si>
  <si>
    <t>GUID.O,mscalc:yearEndMonth</t>
  </si>
  <si>
    <t>ADBE.O,mstag:marketingAndDistributionCosts,2013Q1,,CY</t>
  </si>
  <si>
    <t>SREV.O,mstag:revenueNet,2013Q3,,CY</t>
  </si>
  <si>
    <t>SREV.O,mscalc:epsForConsensusForThomsonFeed,2007FY,,CY</t>
  </si>
  <si>
    <t>GUID.O,mstag:costOfSalesWithoutDepreciation,2012Q3,,CY</t>
  </si>
  <si>
    <t>INFA.O,mstag:researchAndDevelopment,2013FY,,CY</t>
  </si>
  <si>
    <t>SREV.O,mscalc:epsForConsensusForThomsonFeed,2012Q3,,CY</t>
  </si>
  <si>
    <t>N.N,mscalc:generalAndAdministrativeExpensesCalc,2010Q2,,CY</t>
  </si>
  <si>
    <t>IL.N,mstag:shortTermBorrowings,2011Q3,,CY</t>
  </si>
  <si>
    <t>SFSF.N,mscalc:generalAndAdministrativeExpensesCalc,2011Q2,,CY</t>
  </si>
  <si>
    <t>ADSK.O,mstag:costOfSalesWithDepreciation,2007FY,,CY</t>
  </si>
  <si>
    <t>AAPL.O,mscalc:epsForConsensusForThomsonFeed,2011FY,,CY</t>
  </si>
  <si>
    <t>CRM.N,mscalc:generalAndAdministrativeExpensesCalc,2013FY,,CY</t>
  </si>
  <si>
    <t>ORCL.O,mstag:costOfSalesWithDepreciation,2013Q1,,CY</t>
  </si>
  <si>
    <t>FTNT.O,mstag:costOfSalesWithDepreciation,2012Q2,,CY</t>
  </si>
  <si>
    <t>FTNT.O,mscalc:stockRating</t>
  </si>
  <si>
    <t>WBSN.O,mstag:revenueNet,2010Q2,,CY</t>
  </si>
  <si>
    <t>DELL.O,mscalc:operatingRevenueForConsensus,2007FY,,CY</t>
  </si>
  <si>
    <t>MKTG.O,mscalc:epsForConsensusForThomsonFeed,2009Q4,,CY</t>
  </si>
  <si>
    <t>MSFT.O,mstag:marketingAndDistributionCosts,2012Q4,,CY</t>
  </si>
  <si>
    <t>INFA.O,mscalc:operatingRevenueForConsensus,2007FY,,CY</t>
  </si>
  <si>
    <t>ADBE.O,mstag:marketingAndDistributionCosts,2012Q3,,CY</t>
  </si>
  <si>
    <t>NFLX.O,mscalc:epsForConsensusForThomsonFeed,2010FY,,CY</t>
  </si>
  <si>
    <t>MKTG.O,mscalc:epsForConsensusForThomsonFeed,2010FY,,CY</t>
  </si>
  <si>
    <t>TLEO.O,mstag:marketingAndDistributionCosts,2009FY,,CY</t>
  </si>
  <si>
    <t>SWI.N,mstag:researchAndDevelopment,2010FY,,CY</t>
  </si>
  <si>
    <t>RHT.N,mscalc:operatingRevenueForConsensus,2008FY,,CY</t>
  </si>
  <si>
    <t>TXN.N,mscalc:operatingRevenueForConsensus,2012FY,,CY</t>
  </si>
  <si>
    <t>FTNT.O,mscalc:epsForConsensusForThomsonFeed,2012Q3,,CY</t>
  </si>
  <si>
    <t>RNOW.O,mscalc:generalAndAdministrativeExpensesCalc,2013Q1,,CY</t>
  </si>
  <si>
    <t>CRM.N,mstag:costOfSalesWithDepreciation,2008Q2,,CY</t>
  </si>
  <si>
    <t>RHT.N,mstag:marketingAndDistributionCosts,2009Q4,,CY</t>
  </si>
  <si>
    <t>TLEO.O,mstag:revenueNet,2011Q4,,CY</t>
  </si>
  <si>
    <t>WBSN.O,mstag:marketingAndDistributionCosts,2009Q3,,CY</t>
  </si>
  <si>
    <t>FTNT.O,mstag:costOfSalesWithDepreciation,2011Q1,,CY</t>
  </si>
  <si>
    <t>AMD.N,mscalc:operatingRevenueForConsensus,2011FY,,CY</t>
  </si>
  <si>
    <t>MKTG.O,mstag:revenueNet,2010Q1,,CY</t>
  </si>
  <si>
    <t>AMZN.O,mscalc:epsForConsensusForThomsonFeed,2013FY,,CY</t>
  </si>
  <si>
    <t>CHKP.O,mstag:researchAndDevelopment,2012Q4,,CY</t>
  </si>
  <si>
    <t>TLEO.O,mstag:revenueNet,2012Q3,,CY</t>
  </si>
  <si>
    <t>RHT.N,mscalc:epsForConsensusForThomsonFeed,2009FY,,CY</t>
  </si>
  <si>
    <t>CRM.N,mscalc:generalAndAdministrativeExpensesCalc,2007FY,,CY</t>
  </si>
  <si>
    <t>CTXS.O,mstag:shortTermBorrowings,2011Q4,,CY</t>
  </si>
  <si>
    <t>EBAY.O,mscalc:operatingRevenueForConsensus,2010FY,,CY</t>
  </si>
  <si>
    <t>SYMC.O,mscalc:generalAndAdministrativeExpensesCalc,2008Q2,,CY</t>
  </si>
  <si>
    <t>VMW.N,mstag:sellingGeneralAndAdministrativeExpenses,2008Q4,,CY</t>
  </si>
  <si>
    <t>VMW.N,mstag:otherOperatingExpenseChild,2007FY,,CY</t>
  </si>
  <si>
    <t>MSFT.O,mstag:softwareProductRevenues,2010FY,,CY</t>
  </si>
  <si>
    <t>CTXS.O,mstag:sellingGeneralAndAdministrativeExpenses,2011FY,,CY</t>
  </si>
  <si>
    <t>SREV.O,mstag:revenueNet,2013Q4,,CY</t>
  </si>
  <si>
    <t>DMAN.O,mstag:marketingAndDistributionCosts,2010Q3,,CY</t>
  </si>
  <si>
    <t>SFSF.N,mstag:companyReportedRevenue,2012Q4,,CY</t>
  </si>
  <si>
    <t>CRM.N,mscalc:generalAndAdministrativeExpensesCalc,2011Q2,,CY</t>
  </si>
  <si>
    <t>ADBE.O,mstag:revenueNet,2008Q3,,CY</t>
  </si>
  <si>
    <t>ADSK.O,mstag:researchAndDevelopment,2010Q2,,CY</t>
  </si>
  <si>
    <t>TLEO.O,mstag:costOfSalesWithDepreciation,2008Q3,,CY</t>
  </si>
  <si>
    <t>SYMC.O,mstag:costOfSalesWithDepreciation,2010Q2,,CY</t>
  </si>
  <si>
    <t>INTU.O,mstag:revenueNet,2008Q2,,CY</t>
  </si>
  <si>
    <t>SYMC.O,mscalc:generalAndAdministrativeExpensesCalc,2013FY,,CY</t>
  </si>
  <si>
    <t>IL.N,mscalc:epsForConsensusForThomsonFeed,2009FY,,CY</t>
  </si>
  <si>
    <t>TLEO.O,mscalc:targetPrice</t>
  </si>
  <si>
    <t>CRM.N,mscalc:epsForConsensusForThomsonFeed,2013Q4,,CY</t>
  </si>
  <si>
    <t>N.N,mscalc:epsForConsensusForThomsonFeed,2012Q4,,CY</t>
  </si>
  <si>
    <t>CHKP.O,mscalc:operatingRevenueForConsensus,2012FY,,CY</t>
  </si>
  <si>
    <t>INTU.O,mstag:costOfSalesWithDepreciation,2011FY,,CY</t>
  </si>
  <si>
    <t>CTXS.O,mscalc:stockRating</t>
  </si>
  <si>
    <t>CRM.N,mstag:marketingAndDistributionCosts,2007FY,,CY</t>
  </si>
  <si>
    <t>CRM.N,mstag:costOfSalesWithDepreciation,2012Q2,,CY</t>
  </si>
  <si>
    <t>INFA.O,mscalc:yearEndMonth</t>
  </si>
  <si>
    <t>FIRE.O,mstag:researchAndDevelopment,2010Q4,,CY</t>
  </si>
  <si>
    <t>JIVE.O,mscalc:generalAndAdministrativeExpensesCalc,2007FY,,CY</t>
  </si>
  <si>
    <t>GUID.O,mstag:costOfSalesWithoutDepreciation,2011Q1,,CY</t>
  </si>
  <si>
    <t>N.N,mstag:researchAndDevelopment,2010Q3,,CY</t>
  </si>
  <si>
    <t>NA,mstag:marketingAndDistributionCosts,2008FY,,CY</t>
  </si>
  <si>
    <t>SFSF.N,mstag:marketingAndDistributionCosts,2011Q4,,CY</t>
  </si>
  <si>
    <t>MSFT.O,mstag:costOfSalesWithDepreciation,2012Q2,,CY</t>
  </si>
  <si>
    <t>ADSK.O,mscalc:generalAndAdministrativeExpensesCalc,2009Q3,,CY</t>
  </si>
  <si>
    <t>Current Stock Price</t>
  </si>
  <si>
    <t>CNQR.O,mscalc:generalAndAdministrativeExpensesCalc,2010FY,,CY</t>
  </si>
  <si>
    <t>GUID.O,mscalc:epsForConsensusForThomsonFeed,2013Q2,,CY</t>
  </si>
  <si>
    <t>ADSK.O,mstag:averageDilutedSharesOutstanding,2011Q3,,CY</t>
  </si>
  <si>
    <t>MKTG.O,mstag:revenueNet,2011Q1,,CY</t>
  </si>
  <si>
    <t>CRM.N,mscalc:operatingRevenueForConsensus,2013FY,,CY</t>
  </si>
  <si>
    <t>IL.N,mscalc:epsForConsensusForThomsonFeed,2008FY,,CY</t>
  </si>
  <si>
    <t>ADSK.O,mstag:costOfSalesWithDepreciation,2010FY,,CY</t>
  </si>
  <si>
    <t>SYMC.O,mstag:marketingAndDistributionCosts,2009Q3,,CY</t>
  </si>
  <si>
    <t>N.N,mstag:marketingAndDistributionCosts,2013Q4,,CY</t>
  </si>
  <si>
    <t>AKAM.O,mstag:costOfSalesWithDepreciation,2008Q2,,CY</t>
  </si>
  <si>
    <t>QLIK.O,mscalc:epsForConsensusForThomsonFeed,2009Q2,,CY</t>
  </si>
  <si>
    <t>ORCL.O,mstag:companyReportedRevenue,2013Q2,,CY</t>
  </si>
  <si>
    <t>SWI.N,mscalc:epsForConsensusForThomsonFeed,2011Q1,,CY</t>
  </si>
  <si>
    <t>ADBE.O,mscalc:generalAndAdministrativeExpensesCalc,2011FY,,CY</t>
  </si>
  <si>
    <t>TLEO.O,mstag:costOfSalesWithDepreciation,2007FY,,CY</t>
  </si>
  <si>
    <t>VRSN.O,mscalc:operatingRevenueForConsensus,2013FY,,CY</t>
  </si>
  <si>
    <t>4/13</t>
  </si>
  <si>
    <t>Revenue up ~3%</t>
  </si>
  <si>
    <t>Op. margin improvement of 50-100 bps YoY</t>
  </si>
  <si>
    <t>N.N,mstag:marketingAndDistributionCosts,2012Q2,,CY</t>
  </si>
  <si>
    <t>SREV.O,mstag:costOfSalesWithDepreciation,2013Q4,,CY</t>
  </si>
  <si>
    <t>N.N,mscalc:epsForConsensusForThomsonFeed,2011Q3,,CY</t>
  </si>
  <si>
    <t>AKAM.O,mscalc:epsForConsensusForThomsonFeed,2013FY,,CY</t>
  </si>
  <si>
    <t>FIRE.O,mscalc:epsForConsensusForThomsonFeed,2008Q3,,CY</t>
  </si>
  <si>
    <t>ADSK.O,mstag:costOfSalesWithDepreciation,2010Q4,,CY</t>
  </si>
  <si>
    <t>SREV.O,mscalc:generalAndAdministrativeExpensesCalc,2009Q3,,CY</t>
  </si>
  <si>
    <t>RHT.N,mscalc:generalAndAdministrativeExpensesCalc,2011Q3,,CY</t>
  </si>
  <si>
    <t>AKAM.O,mstag:researchAndDevelopment,2011Q4,,CY</t>
  </si>
  <si>
    <t>INTU.O,mstag:revenueNet,2009Q3,,CY</t>
  </si>
  <si>
    <t>JNPR.N,mscalc:epsForConsensusForThomsonFeed,2010FY,,CY</t>
  </si>
  <si>
    <t>SREV.O,mstag:researchAndDevelopment,2011Q1,,CY</t>
  </si>
  <si>
    <t>VMW.N,mscalc:epsForConsensusForThomsonFeed,2008Q3,,CY</t>
  </si>
  <si>
    <t>SYMC.O,mscalc:generalAndAdministrativeExpensesCalc,2008Q3,,CY</t>
  </si>
  <si>
    <t>ADSK.O,mstag:revenueNet,2009Q1,,CY</t>
  </si>
  <si>
    <t>FIRE.O,mstag:marketingAndDistributionCosts,2013Q4,,CY</t>
  </si>
  <si>
    <t>CRM.N,mscalc:generalAndAdministrativeExpensesCalc,2012Q3,,CY</t>
  </si>
  <si>
    <t>GUID.O,mstag:researchAndDevelopment,2012Q4,,CY</t>
  </si>
  <si>
    <t>TLEO.O,mstag:costOfSalesWithDepreciation,2008Q2,,CY</t>
  </si>
  <si>
    <t>GUID.O,mstag:costOfSalesWithoutDepreciation,2009Q3,,CY</t>
  </si>
  <si>
    <t>FIRE.O,mstag:costOfSalesWithoutDepreciation,2013Q1,,CY</t>
  </si>
  <si>
    <t>VMW.N,mstag:costOfSalesWithDepreciation,2010Q1,,CY</t>
  </si>
  <si>
    <t>FISV.O,msuser:cmAUPLEBITDA20060530T0035524245,2010FY,,CY</t>
  </si>
  <si>
    <t>FTNT.O,mstag:costOfSalesWithDepreciation,2012Q1,,CY</t>
  </si>
  <si>
    <t>VRSN.O,mstag:otherOperatingExpenseChild,2012FY,,CY</t>
  </si>
  <si>
    <t>ADSK.O,mscalc:epsForConsensusForThomsonFeed,2010Q2,,CY</t>
  </si>
  <si>
    <t>FIRE.O,mstag:depreciationInIncomeStatement,2007FY,,CY</t>
  </si>
  <si>
    <t>SWI.N,mscalc:generalAndAdministrativeExpensesCalc,2012FY,,CY</t>
  </si>
  <si>
    <t>QLIK.O,mscalc:epsForConsensusForThomsonFeed,2012Q1,,CY</t>
  </si>
  <si>
    <t>QLIK.O,mstag:researchAndDevelopment,2009Q3,,CY</t>
  </si>
  <si>
    <t>IL.N,mscalc:generalAndAdministrativeExpensesCalc,2013Q3,,CY</t>
  </si>
  <si>
    <t>TLEO.O,mscalc:epsForConsensusForThomsonFeed,2013Q4,,CY</t>
  </si>
  <si>
    <t>QLIK.O,mstag:otherOperatingExpenseChild,2009FY,,CY</t>
  </si>
  <si>
    <t>QLIK.O,mstag:researchAndDevelopment,2013Q3,,CY</t>
  </si>
  <si>
    <t>ADBE.O,mscalc:epsForConsensusForThomsonFeed,2010Q2,,CY</t>
  </si>
  <si>
    <t>FTNT.O,mstag:marketingAndDistributionCosts,2007FY,,CY</t>
  </si>
  <si>
    <t>SREV.O,mscalc:operatingRevenueForConsensus,2013FY,,CY</t>
  </si>
  <si>
    <t>ORCL.O,mstag:cashAndCashEquivalents,2011Q4,,CY</t>
  </si>
  <si>
    <t>ADSK.O,mstag:revenueNet,2010Q1,,CY</t>
  </si>
  <si>
    <t>TLEO.O,mscalc:generalAndAdministrativeExpensesCalc,2013Q3,,CY</t>
  </si>
  <si>
    <t>GUID.O,mstag:marketingAndDistributionCosts,2010Q4,,CY</t>
  </si>
  <si>
    <t>FIRE.O,mscalc:epsForConsensusForThomsonFeed,2011Q4,,CY</t>
  </si>
  <si>
    <t>DMAN.O,mstag:researchAndDevelopment,2012Q4,,CY</t>
  </si>
  <si>
    <t>VMW.N,mstag:revenueNet,2010Q3,,CY</t>
  </si>
  <si>
    <t>FIRE.O,mstag:costOfSalesWithoutDepreciation,2008Q2,,CY</t>
  </si>
  <si>
    <t>CVG.N,msuser:cmAUPLEBITDA20060530T0035524245,2009FY,,CY</t>
  </si>
  <si>
    <t>CHKP.O,mscalc:epsForConsensusForThomsonFeed,2010FY,,CY</t>
  </si>
  <si>
    <t>ZNGA.O,mscalc:operatingRevenueForConsensus,2011FY,,CY</t>
  </si>
  <si>
    <t>MKTG.O,mscalc:targetPrice</t>
  </si>
  <si>
    <t>VMW.N,mstag:costOfSalesWithDepreciation,2010Q2,,CY</t>
  </si>
  <si>
    <t>TLEO.O,mstag:marketingAndDistributionCosts,2013Q1,,CY</t>
  </si>
  <si>
    <t>GUID.O,mstag:costOfSalesWithoutDepreciation,2012Q2,,CY</t>
  </si>
  <si>
    <t>ORCL.O,mstag:costOfSalesWithDepreciation,2010Q3,,CY</t>
  </si>
  <si>
    <t>FTNT.O,mstag:marketingAndDistributionCosts,2009FY,,CY</t>
  </si>
  <si>
    <t>INTU.O,mstag:costOfSalesWithDepreciation,2010Q1,,CY</t>
  </si>
  <si>
    <t>ADSK.O,mstag:revenueNet,2012Q3,,CY</t>
  </si>
  <si>
    <t>SREV.O,mscalc:epsForConsensusForThomsonFeed,2011Q3,,CY</t>
  </si>
  <si>
    <t>JIVE.O,mstag:marketingAndDistributionCosts,2009FY,,CY</t>
  </si>
  <si>
    <t>TLEO.O,mstag:marketingAndDistributionCosts,2012Q1,,CY</t>
  </si>
  <si>
    <t>DMAN.O,mscalc:generalAndAdministrativeExpensesCalc,2010Q4,,CY</t>
  </si>
  <si>
    <t>FTNT.O,mstag:marketingAndDistributionCosts,2008Q3,,CY</t>
  </si>
  <si>
    <t>FIRE.O,mstag:costOfSalesWithoutDepreciation,2011FY,,CY</t>
  </si>
  <si>
    <t>SREV.O,mscalc:epsForConsensusForThomsonFeed,2013Q3,,CY</t>
  </si>
  <si>
    <t>MSFT.O,mstag:softwareProductRevenues,2012FY,,CY</t>
  </si>
  <si>
    <t>CTXS.O,mstag:researchAndDevelopment,2009Q2,,CY</t>
  </si>
  <si>
    <t>NA,mscalc:epsForConsensusForThomsonFeed,2011FY,,CY</t>
  </si>
  <si>
    <t>CHKP.O,mstag:researchAndDevelopment,2011Q3,,CY</t>
  </si>
  <si>
    <t>MSFT.O,mstag:marketingAndDistributionCosts,2008FY,,CY</t>
  </si>
  <si>
    <t>WBSN.O,mstag:costOfSalesWithDepreciation,2009Q4,,CY</t>
  </si>
  <si>
    <t>DMAN.O,mstag:revenueNet,2012Q1,,CY</t>
  </si>
  <si>
    <t>CHKP.O,mscalc:generalAndAdministrativeExpensesCalc,2010Q3,,CY</t>
  </si>
  <si>
    <t>MKTG.O,mstag:otherOperatingExpenseChild,2008FY,,CY</t>
  </si>
  <si>
    <t>SFSF.N,mscalc:epsForConsensusForThomsonFeed,2010Q1,,CY</t>
  </si>
  <si>
    <t>TLEO.O,mstag:costOfSalesWithDepreciation,2011Q1,,CY</t>
  </si>
  <si>
    <t>N.N,mscalc:generalAndAdministrativeExpensesCalc,2011FY,,CY</t>
  </si>
  <si>
    <t>MKTG.O,mscalc:epsForConsensusForThomsonFeed,2008Q3,,CY</t>
  </si>
  <si>
    <t>FIRE.O,mscalc:epsForConsensusForThomsonFeed,2011Q1,,CY</t>
  </si>
  <si>
    <t>CRM.N,mstag:cashAndCashEquivalents,2011Q3,,CY</t>
  </si>
  <si>
    <t>N.N,mstag:revenueNet,2011Q2,,CY</t>
  </si>
  <si>
    <t>SYMC.O,mscalc:epsForConsensusForThomsonFeed,2009Q2,,CY</t>
  </si>
  <si>
    <t>CHKP.O,mstag:revenueNet,2011Q3,,CY</t>
  </si>
  <si>
    <t>RNOW.O,mscalc:epsForConsensusForThomsonFeed,2013Q1,,CY</t>
  </si>
  <si>
    <t>SFSF.N,mstag:researchAndDevelopment,2011Q4,,CY</t>
  </si>
  <si>
    <t>SWI.N,mstag:revenueNet,2008Q4,,CY</t>
  </si>
  <si>
    <t>GUID.O,mstag:depreciationInIncomeStatement,2012Q4,,CY</t>
  </si>
  <si>
    <t>JIVE.O,mstag:otherLiabilitiesNonOperatingNonCurrent,2011Q4,,CY</t>
  </si>
  <si>
    <t>FIRE.O,mstag:costOfSalesWithoutDepreciation,2011Q2,,CY</t>
  </si>
  <si>
    <t>SYMC.O,mstag:costOfSalesWithDepreciation,2009Q3,,CY</t>
  </si>
  <si>
    <t>FTNT.O,mstag:researchAndDevelopment,2012Q2,,CY</t>
  </si>
  <si>
    <t>WBSN.O,mstag:revenueNet,2011Q2,,CY</t>
  </si>
  <si>
    <t>SWI.N,mscalc:generalAndAdministrativeExpensesCalc,2013FY,,CY</t>
  </si>
  <si>
    <t>SREV.O,mstag:marketingAndDistributionCosts,2012Q1,,CY</t>
  </si>
  <si>
    <t>ADBE.O,mstag:researchAndDevelopment,2009Q2,,CY</t>
  </si>
  <si>
    <t>TLEO.O,mstag:marketingAndDistributionCosts,2011Q4,,CY</t>
  </si>
  <si>
    <t>IL.N,mstag:marketingAndDistributionCosts,2009FY,,CY</t>
  </si>
  <si>
    <t>SWI.N,mscalc:epsForConsensusForThomsonFeed,2008Q2,,CY</t>
  </si>
  <si>
    <t>OPEN.O,mscalc:operatingRevenueForConsensus,2013FY,,CY</t>
  </si>
  <si>
    <t>RNOW.O,mstag:revenueNet,2012Q4,,CY</t>
  </si>
  <si>
    <t>FTNT.O,mstag:costOfSalesWithDepreciation,2009Q4,,CY</t>
  </si>
  <si>
    <t>RNOW.O,mstag:costOfSalesWithDepreciation,2011Q2,,CY</t>
  </si>
  <si>
    <t>SWI.N,mstag:researchAndDevelopment,2013Q1,,CY</t>
  </si>
  <si>
    <t>AKAM.O,mscalc:epsForConsensusForThomsonFeed,2011Q3,,CY</t>
  </si>
  <si>
    <t>MKTG.O,mscalc:generalAndAdministrativeExpensesCalc,2011Q1,,CY</t>
  </si>
  <si>
    <t>ADBE.O,mstag:revenueNet,2013Q3,,CY</t>
  </si>
  <si>
    <t>FISV.O,mscalc:operatingRevenueForConsensus,2007FY,,CY</t>
  </si>
  <si>
    <t>MSFT.O,mstag:revenueNet,2008Q4,,CY</t>
  </si>
  <si>
    <t>QLIK.O,mscalc:generalAndAdministrativeExpensesCalc,2011Q4,,CY</t>
  </si>
  <si>
    <t>QLIK.O,mstag:costOfSalesWithDepreciation,2011Q1,,CY</t>
  </si>
  <si>
    <t>NA,mscalc:operatingRevenueForConsensus,2012FY,,CY</t>
  </si>
  <si>
    <t>RHT.N,mstag:researchAndDevelopment,2008Q2,,CY</t>
  </si>
  <si>
    <t>TLEO.O,mstag:marketingAndDistributionCosts,2009Q3,,CY</t>
  </si>
  <si>
    <t>IL.N,mstag:revenueNet,2013Q4,,CY</t>
  </si>
  <si>
    <t>FIRE.O,mstag:researchAndDevelopment,2009Q1,,CY</t>
  </si>
  <si>
    <t>IL.N,mstag:costOfSalesWithDepreciation,2010FY,,CY</t>
  </si>
  <si>
    <t>GUID.O,mstag:researchAndDevelopment,2013Q3,,CY</t>
  </si>
  <si>
    <t>FIRE.O,mstag:depreciationInIncomeStatement,2011Q3,,CY</t>
  </si>
  <si>
    <t>DMAN.O,mscalc:epsForConsensusForThomsonFeed,2010Q2,,CY</t>
  </si>
  <si>
    <t>AMZN.O,mscalc:epsForConsensusForThomsonFeed,2012FY,,CY</t>
  </si>
  <si>
    <t>OPEN.O,mscalc:epsForConsensusForThomsonFeed,2013FY,,CY</t>
  </si>
  <si>
    <t>SREV.O,mstag:researchAndDevelopment,2012Q4,,CY</t>
  </si>
  <si>
    <t>N.N,mstag:costOfSalesWithDepreciation,2008Q2,,CY</t>
  </si>
  <si>
    <t>IL.N,mstag:revenueNet,2011Q2,,CY</t>
  </si>
  <si>
    <t>FIRE.O,mscalc:epsForConsensusForThomsonFeed,2011Q2,,CY</t>
  </si>
  <si>
    <t>N.N,mscalc:generalAndAdministrativeExpensesCalc,2010Q1,,CY</t>
  </si>
  <si>
    <t>OPEN.O,mscalc:epsForConsensusForThomsonFeed,2011FY,,CY</t>
  </si>
  <si>
    <t>GUID.O,mscalc:generalAndAdministrativeExpensesCalc,2008Q2,,CY</t>
  </si>
  <si>
    <t>WBSN.O,mstag:costOfSalesWithDepreciation,2009FY,,CY</t>
  </si>
  <si>
    <t>SYMC.O,mscalc:generalAndAdministrativeExpensesCalc,2008FY,,CY</t>
  </si>
  <si>
    <t>INFA.O,mscalc:generalAndAdministrativeExpensesCalc,2013FY,,CY</t>
  </si>
  <si>
    <t>SWI.N,mstag:cashAndCashEquivalents,2011Q3,,CY</t>
  </si>
  <si>
    <t>GUID.O,mstag:revenueNet,2010Q2,,CY</t>
  </si>
  <si>
    <t>IL.N,mscalc:generalAndAdministrativeExpensesCalc,2008FY,,CY</t>
  </si>
  <si>
    <t>ADBE.O,mscalc:generalAndAdministrativeExpensesCalc,2012Q2,,CY</t>
  </si>
  <si>
    <t>CTXS.O,mscalc:epsForConsensusForThomsonFeed,2009FY,,CY</t>
  </si>
  <si>
    <t>JIVE.O,mstag:marketingAndDistributionCosts,2012FY,,CY</t>
  </si>
  <si>
    <t>CTXS.O,mstag:sellingGeneralAndAdministrativeExpenses,2009Q3,,CY</t>
  </si>
  <si>
    <t>MSFT.O,mstag:marketingAndDistributionCosts,2008Q4,,CY</t>
  </si>
  <si>
    <t>EMC.N,mscalc:operatingRevenueForConsensus,2010FY,,CY</t>
  </si>
  <si>
    <t>GUID.O,mstag:depreciationInIncomeStatement,2013FY,,CY</t>
  </si>
  <si>
    <t>QLIK.O,mscalc:generalAndAdministrativeExpensesCalc,2013FY,,CY</t>
  </si>
  <si>
    <t>MKTG.O,mscalc:generalAndAdministrativeExpensesCalc,2008FY,,CY</t>
  </si>
  <si>
    <t>RHT.N,mscalc:generalAndAdministrativeExpensesCalc,2011FY,,CY</t>
  </si>
  <si>
    <t>ADSK.O,mscalc:stockRating</t>
  </si>
  <si>
    <t>RNOW.O,mscalc:epsForConsensusForThomsonFeed,2008Q1,,CY</t>
  </si>
  <si>
    <t>ADBE.O,mstag:revenueNet,2013Q1,,CY</t>
  </si>
  <si>
    <t>DMAN.O,mstag:marketingAndDistributionCosts,2011Q4,,CY</t>
  </si>
  <si>
    <t>MSFT.O,mscalc:epsForConsensusForThomsonFeed,2011Q3,,CY</t>
  </si>
  <si>
    <t>AKAM.O,mscalc:epsForConsensusForThomsonFeed,2010FY,,CY</t>
  </si>
  <si>
    <t>SAPG.DE,mstag:researchAndDevelopment,2008FY,,CY</t>
  </si>
  <si>
    <t>SFSF.N,mscalc:generalAndAdministrativeExpensesCalc,2013Q4,,CY</t>
  </si>
  <si>
    <t>HPQ.N,msuser:cmAUPLEBITDA20060530T0035524245,2012FY,,CY</t>
  </si>
  <si>
    <t>RHT.N,mscalc:targetPrice</t>
  </si>
  <si>
    <t>MSFT.O,mstag:revenueNet,2013Q2,,CY</t>
  </si>
  <si>
    <t>QLIK.O,mstag:researchAndDevelopment,2013Q2,,CY</t>
  </si>
  <si>
    <t>JIVE.O,mstag:costOfSalesWithDepreciation,2007FY,,CY</t>
  </si>
  <si>
    <t>INTU.O,mscalc:epsForConsensusForThomsonFeed,2012Q3,,CY</t>
  </si>
  <si>
    <t>FIRE.O,mstag:depreciationInIncomeStatement,2012Q2,,CY</t>
  </si>
  <si>
    <t>RNOW.O,mscalc:generalAndAdministrativeExpensesCalc,2009Q2,,CY</t>
  </si>
  <si>
    <t>ORCL.O,mstag:costOfSalesWithDepreciation,2008FY,,CY</t>
  </si>
  <si>
    <t>EMC.N,msuser:cmAUPLEBITDA20060530T0035524245,2008FY,,CY</t>
  </si>
  <si>
    <t>GUID.O,mstag:depreciationInIncomeStatement,2010FY,,CY</t>
  </si>
  <si>
    <t>N.N,mscalc:generalAndAdministrativeExpensesCalc,2010Q3,,CY</t>
  </si>
  <si>
    <t>HRB.N,msuser:cmAUPLEBITDA20060530T0035524245,2009FY,,CY</t>
  </si>
  <si>
    <t>SFSF.N,mstag:researchAndDevelopment,2013Q3,,CY</t>
  </si>
  <si>
    <t>CRM.N,mscalc:epsForConsensusForThomsonFeed,2011Q3,,CY</t>
  </si>
  <si>
    <t>IL.N,mscalc:epsForConsensusForThomsonFeed,2013Q3,,CY</t>
  </si>
  <si>
    <t>SWI.N,mstag:marketingAndDistributionCosts,2013Q1,,CY</t>
  </si>
  <si>
    <t>AMAT.O,mscalc:operatingRevenueForConsensus,2007FY,,CY</t>
  </si>
  <si>
    <t>NA,mstag:researchAndDevelopment,2011FY,,CY</t>
  </si>
  <si>
    <t>N.N,mstag:marketingAndDistributionCosts,2010Q4,,CY</t>
  </si>
  <si>
    <t>CHKP.O,mscalc:generalAndAdministrativeExpensesCalc,2011Q4,,CY</t>
  </si>
  <si>
    <t>AMZN.O,mscalc:operatingRevenueForConsensus,2008FY,,CY</t>
  </si>
  <si>
    <t>INTU.O,mstag:researchAndDevelopment,2012Q4,,CY</t>
  </si>
  <si>
    <t>JIVE.O,mscalc:targetPrice</t>
  </si>
  <si>
    <t>ADSK.O,mstag:marketingAndDistributionCosts,2008Q1,,CY</t>
  </si>
  <si>
    <t>ADSK.O,mscalc:epsForConsensusForThomsonFeed,2009Q3,,CY</t>
  </si>
  <si>
    <t>CNQR.O,mstag:marketingAndDistributionCosts,2010FY,,CY</t>
  </si>
  <si>
    <t>QLIK.O,mscalc:epsForConsensusForThomsonFeed,2008Q3,,CY</t>
  </si>
  <si>
    <t>GUID.O,mstag:depreciationInIncomeStatement,2008Q1,,CY</t>
  </si>
  <si>
    <t>ORCL.O,mstag:researchAndDevelopment,2009Q1,,CY</t>
  </si>
  <si>
    <t>TLEO.O,mstag:costOfSalesWithDepreciation,2008Q4,,CY</t>
  </si>
  <si>
    <t>QLIK.O,mstag:researchAndDevelopment,2013FY,,CY</t>
  </si>
  <si>
    <t>SWI.N,mscalc:epsForConsensusForThomsonFeed,2010Q2,,CY</t>
  </si>
  <si>
    <t>CRM.N,mstag:marketingAndDistributionCosts,2010Q4,,CY</t>
  </si>
  <si>
    <t>CNQR.O,mstag:costOfSalesWithDepreciation,2009FY,,CY</t>
  </si>
  <si>
    <t>QLIK.O,mstag:costOfSalesWithDepreciation,2010Q2,,CY</t>
  </si>
  <si>
    <t>SREV.O,mscalc:generalAndAdministrativeExpensesCalc,2013Q2,,CY</t>
  </si>
  <si>
    <t>SFSF.N,mstag:costOfSalesWithDepreciation,2009Q4,,CY</t>
  </si>
  <si>
    <t>ORCL.O,mstag:marketingAndDistributionCosts,2009Q4,,CY</t>
  </si>
  <si>
    <t>DMAN.O,mstag:researchAndDevelopment,2009Q2,,CY</t>
  </si>
  <si>
    <t>JIVE.O,mstag:costOfSalesWithDepreciation,2009FY,,CY</t>
  </si>
  <si>
    <t>GRPN.O,mscalc:operatingRevenueForConsensus,2009FY,,CY</t>
  </si>
  <si>
    <t>CRM.N,mscalc:epsForConsensusForThomsonFeed,2012Q1,,CY</t>
  </si>
  <si>
    <t>GUID.O,mstag:marketingAndDistributionCosts,2007FY,,CY</t>
  </si>
  <si>
    <t>RHT.N,mstag:costOfSalesWithDepreciation,2008FY,,CY</t>
  </si>
  <si>
    <t>ADBE.O,mstag:otherOperatingExpenseChild,2010FY,,CY</t>
  </si>
  <si>
    <t>FISV.O,mscalc:epsForConsensusForThomsonFeed,2007FY,,CY</t>
  </si>
  <si>
    <t>ADBE.O,mscalc:epsForConsensusForThomsonFeed,2009Q2,,CY</t>
  </si>
  <si>
    <t>MKTG.O,mscalc:generalAndAdministrativeExpensesCalc,2013Q1,,CY</t>
  </si>
  <si>
    <t>INTU.O,mscalc:epsForConsensusForThomsonFeed,2009Q1,,CY</t>
  </si>
  <si>
    <t>MSFT.O,mstag:revenueNet,2013Q1,,CY</t>
  </si>
  <si>
    <t>VMW.N,mscalc:epsForConsensusForThomsonFeed,2009Q3,,CY</t>
  </si>
  <si>
    <t>ORCL.O,mstag:researchAndDevelopment,2009Q4,,CY</t>
  </si>
  <si>
    <t>ORCL.O,mstag:companyReportedRevenue,2013Q1,,CY</t>
  </si>
  <si>
    <t>N.N,mstag:marketingAndDistributionCosts,2008FY,,CY</t>
  </si>
  <si>
    <t>ORCL.O,mstag:companyReportedRevenue,2007FY,,CY</t>
  </si>
  <si>
    <t>ORCL.O,mstag:companyReportedRevenue,2011Q3,,CY</t>
  </si>
  <si>
    <t>SYMC.O,mstag:costOfSalesWithDepreciation,2010Q4,,CY</t>
  </si>
  <si>
    <t>SAPG.DE,mscalc:epsForConsensusForThomsonFeed,2009FY,,CY</t>
  </si>
  <si>
    <t>CSCO.O,mscalc:dilutedEarningsPerShare,2007FY,,CY</t>
  </si>
  <si>
    <t>INTU.O,mscalc:generalAndAdministrativeExpensesCalc,2007FY,,CY</t>
  </si>
  <si>
    <t>CHKP.O,mscalc:epsForConsensusForThomsonFeed,2011FY,,CY</t>
  </si>
  <si>
    <t>RNOW.O,mstag:marketingAndDistributionCosts,2008Q3,,CY</t>
  </si>
  <si>
    <t>IL.N,mstag:researchAndDevelopment,2011Q3,,CY</t>
  </si>
  <si>
    <t>INTU.O,mstag:softwareProductRevenues,2012FY,,CY</t>
  </si>
  <si>
    <t>ORCL.O,mstag:revenueNet,2009Q1,,CY</t>
  </si>
  <si>
    <t>CTXS.O,mstag:softwareProductRevenues,2010FY,,CY</t>
  </si>
  <si>
    <t>FTNT.O,mstag:researchAndDevelopment,2012Q3,,CY</t>
  </si>
  <si>
    <t>IL.N,mscalc:operatingRevenueForConsensus,2007FY,,CY</t>
  </si>
  <si>
    <t>AKAM.O,mstag:costOfSalesWithDepreciation,2011Q4,,CY</t>
  </si>
  <si>
    <t>SYMC.O,mstag:costOfSalesWithDepreciation,2013Q1,,CY</t>
  </si>
  <si>
    <t>ORCL.O,mstag:marketingAndDistributionCosts,2011Q1,,CY</t>
  </si>
  <si>
    <t>MKTG.O,mstag:costOfSalesWithDepreciation,2013Q1,,CY</t>
  </si>
  <si>
    <t>AKAM.O,mscalc:epsForConsensusForThomsonFeed,2008Q3,,CY</t>
  </si>
  <si>
    <t>CRM.N,mscalc:epsForConsensusForThomsonFeed,2012Q4,,CY</t>
  </si>
  <si>
    <t>GUID.O,mscalc:epsForConsensusForThomsonFeed,2011Q4,,CY</t>
  </si>
  <si>
    <t>N.N,mscalc:epsForConsensusForThomsonFeed,2012Q2,,CY</t>
  </si>
  <si>
    <t>SREV.O,mstag:researchAndDevelopment,2012Q3,,CY</t>
  </si>
  <si>
    <t>RNOW.O,mstag:marketingAndDistributionCosts,2013Q1,,CY</t>
  </si>
  <si>
    <t>CTXS.O,mstag:marketingCosts,2008Q1,,CY</t>
  </si>
  <si>
    <t>MSFT.O,mstag:costOfSalesWithDepreciation,2013Q2,,CY</t>
  </si>
  <si>
    <t>SREV.O,mscalc:generalAndAdministrativeExpensesCalc,2013Q3,,CY</t>
  </si>
  <si>
    <t>CHKP.O,mstag:marketingAndDistributionCosts,2012Q1,,CY</t>
  </si>
  <si>
    <t>WBSN.O,mstag:costOfSalesWithDepreciation,2012Q4,,CY</t>
  </si>
  <si>
    <t>FTNT.O,mscalc:epsForConsensusForThomsonFeed,2011FY,,CY</t>
  </si>
  <si>
    <t>FIRE.O,mstag:depreciationInIncomeStatement,2010Q3,,CY</t>
  </si>
  <si>
    <t>ORCL.O,mscalc:epsForConsensusForThomsonFeed,2011Q4,,CY</t>
  </si>
  <si>
    <t>WBSN.O,mscalc:generalAndAdministrativeExpensesCalc,2013FY,,CY</t>
  </si>
  <si>
    <t>TLEO.O,mstag:researchAndDevelopment,2013Q2,,CY</t>
  </si>
  <si>
    <t>VMW.N,mstag:costOfSalesWithDepreciation,2010FY,,CY</t>
  </si>
  <si>
    <t>AKAM.O,mstag:marketingAndDistributionCosts,2010Q4,,CY</t>
  </si>
  <si>
    <t>ADSK.O,mstag:revenueNet,2009Q3,,CY</t>
  </si>
  <si>
    <t>CTXS.O,mstag:researchAndDevelopment,2008Q1,,CY</t>
  </si>
  <si>
    <t>VMW.N,mstag:costOfSalesWithDepreciation,2012Q1,,CY</t>
  </si>
  <si>
    <t>FTNT.O,mstag:marketingAndDistributionCosts,2011Q3,,CY</t>
  </si>
  <si>
    <t>ADBE.O,mscalc:generalAndAdministrativeExpensesCalc,2011Q2,,CY</t>
  </si>
  <si>
    <t>INTU.O,mscalc:operatingRevenueForConsensus,2010FY,,CY</t>
  </si>
  <si>
    <t>RHT.N,mscalc:operatingRevenueForConsensus,2012FY,,CY</t>
  </si>
  <si>
    <t>SYMC.O,mstag:researchAndDevelopment,2011Q2,,CY</t>
  </si>
  <si>
    <t>FIRE.O,mstag:costOfSalesWithoutDepreciation,2013FY,,CY</t>
  </si>
  <si>
    <t>CRM.N,mstag:researchAndDevelopment,2010Q3,,CY</t>
  </si>
  <si>
    <t>FTNT.O,mstag:revenueNet,2011Q1,,CY</t>
  </si>
  <si>
    <t>AKAM.O,mstag:researchAndDevelopment,2009Q3,,CY</t>
  </si>
  <si>
    <t>INFA.O,mscalc:epsForConsensusForThomsonFeed,2009FY,,CY</t>
  </si>
  <si>
    <t>ADSK.O,mstag:marketingAndDistributionCosts,2010Q2,,CY</t>
  </si>
  <si>
    <t>ADSK.O,mscalc:generalAndAdministrativeExpensesCalc,2010FY,,CY</t>
  </si>
  <si>
    <t>CTXS.O,mstag:researchAndDevelopment,2012Q2,,CY</t>
  </si>
  <si>
    <t>GUID.O,mstag:depreciationInIncomeStatement,2010Q2,,CY</t>
  </si>
  <si>
    <t>DMAN.O,mstag:marketingAndDistributionCosts,2009Q3,,CY</t>
  </si>
  <si>
    <t>RHT.N,mstag:costOfSalesWithDepreciation,2008Q4,,CY</t>
  </si>
  <si>
    <t>DMAN.O,mstag:revenueNet,2011Q1,,CY</t>
  </si>
  <si>
    <t>FTNT.O,mstag:marketingAndDistributionCosts,2013Q1,,CY</t>
  </si>
  <si>
    <t>AKAM.O,mstag:costOfSalesWithDepreciation,2009Q3,,CY</t>
  </si>
  <si>
    <t>RNOW.O,mscalc:epsForConsensusForThomsonFeed,2009Q3,,CY</t>
  </si>
  <si>
    <t>RHT.N,mstag:marketingAndDistributionCosts,2011Q4,,CY</t>
  </si>
  <si>
    <t>SWI.N,mstag:researchAndDevelopment,2013Q3,,CY</t>
  </si>
  <si>
    <t>IL.N,mstag:researchAndDevelopment,2010Q1,,CY</t>
  </si>
  <si>
    <t>SFSF.N,mstag:companyReportedRevenue,2008Q4,,CY</t>
  </si>
  <si>
    <t>TLEO.O,mstag:researchAndDevelopment,2010Q1,,CY</t>
  </si>
  <si>
    <t>JNPR.N,mscalc:operatingRevenueForConsensus,2008FY,,CY</t>
  </si>
  <si>
    <t>TLEO.O,mstag:researchAndDevelopment,2009FY,,CY</t>
  </si>
  <si>
    <t>ADBE.O,mstag:costOfSalesWithDepreciation,2011Q3,,CY</t>
  </si>
  <si>
    <t>INTU.O,mstag:marketingAndDistributionCosts,2009Q3,,CY</t>
  </si>
  <si>
    <t>mstag:netDecreaseInInventories</t>
  </si>
  <si>
    <t>mstag:netIncreaseInTradeAndOtherPayables</t>
  </si>
  <si>
    <t>mstag:deferredTax</t>
  </si>
  <si>
    <t>2) As a result of acquisitions, in some instances, not all quarters with a given year have been restated.</t>
  </si>
  <si>
    <t>Net Cash Provided by Financing Activities</t>
  </si>
  <si>
    <t>Period Ending Basic Sharecount</t>
  </si>
  <si>
    <t>Computer Equipment, Software, Furniture, and Leasehold Improvements at Cost</t>
  </si>
  <si>
    <t>Leasehold Improvements</t>
  </si>
  <si>
    <t>Purchased Technologies and Capitalized Software, Net</t>
  </si>
  <si>
    <t>Skymatter (completed 10/16/07)</t>
  </si>
  <si>
    <t>Constructware (completed 3/31/06)</t>
  </si>
  <si>
    <t>Alias (completed 1/10/06)</t>
  </si>
  <si>
    <t>3c02</t>
  </si>
  <si>
    <t>4c02</t>
  </si>
  <si>
    <t>_fy02</t>
  </si>
  <si>
    <t>1c03</t>
  </si>
  <si>
    <t>2c03</t>
  </si>
  <si>
    <t>3c03</t>
  </si>
  <si>
    <t>Common Shares Issued Under Stock Option and Purchase Plans</t>
  </si>
  <si>
    <t>Compensation Expense Related to Stock Options</t>
  </si>
  <si>
    <t>Options Assumed in Connection With Acquisition</t>
  </si>
  <si>
    <t>Unrealized gains on securiites</t>
  </si>
  <si>
    <t>Foreign Currency Translation</t>
  </si>
  <si>
    <t>Subscription Billings</t>
  </si>
  <si>
    <t xml:space="preserve">     Subscription Per Employee</t>
  </si>
  <si>
    <t>IL.N,mscalc:operatingRevenueForConsensus,2009FY,,CY</t>
  </si>
  <si>
    <t>FTNT.O,mstag:costOfSalesWithDepreciation,2009Q2,,CY</t>
  </si>
  <si>
    <t>WBSN.O,mstag:researchAndDevelopment,2011Q2,,CY</t>
  </si>
  <si>
    <t>MKTG.O,mstag:researchAndDevelopment,2009Q2,,CY</t>
  </si>
  <si>
    <t>VMW.N,mstag:sellingGeneralAndAdministrativeExpenses,2010Q2,,CY</t>
  </si>
  <si>
    <t>QLIK.O,mstag:researchAndDevelopment,2010Q2,,CY</t>
  </si>
  <si>
    <t>AKAM.O,mstag:costOfSalesWithDepreciation,2013FY,,CY</t>
  </si>
  <si>
    <t>GUID.O,mstag:revenueNet,2011Q1,,CY</t>
  </si>
  <si>
    <t>SREV.O,mscalc:epsForConsensusForThomsonFeed,2012Q4,,CY</t>
  </si>
  <si>
    <t>IL.N,mscalc:epsForConsensusForThomsonFeed,2010Q2,,CY</t>
  </si>
  <si>
    <t>ADBE.O,mstag:revenueNet,2010Q4,,CY</t>
  </si>
  <si>
    <t>RNOW.O,mstag:researchAndDevelopment,2012Q2,,CY</t>
  </si>
  <si>
    <t>MSFT.O,mscalc:epsForConsensusForThomsonFeed,2009FY,,CY</t>
  </si>
  <si>
    <t>ADP.O,mscalc:operatingRevenueForConsensus,2013FY,,CY</t>
  </si>
  <si>
    <t>FIRE.O,mstag:researchAndDevelopment,2009Q2,,CY</t>
  </si>
  <si>
    <t>ADBE.O,mstag:costOfSalesWithDepreciation,2013Q4,,CY</t>
  </si>
  <si>
    <t>JIVE.O,mscalc:operatingRevenueForConsensus,2010FY,,CY</t>
  </si>
  <si>
    <t>EMC.N,msuser:cmAUPLEBITDA20060530T0035524245,2007FY,,CY</t>
  </si>
  <si>
    <t>MKTG.O,mstag:shortTermInvestments,2011Q3,,CY</t>
  </si>
  <si>
    <t>FTNT.O,mstag:costOfSalesWithDepreciation,2012FY,,CY</t>
  </si>
  <si>
    <t>AKAM.O,mstag:researchAndDevelopment,2010FY,,CY</t>
  </si>
  <si>
    <t>SWI.N,mscalc:epsForConsensusForThomsonFeed,2013Q2,,CY</t>
  </si>
  <si>
    <t>SAPG.DE,mstag:marketingAndDistributionCosts,2007FY,,CY</t>
  </si>
  <si>
    <t>OPEN.O,msuser:cmAUPLEBITDA20060530T0035524245,2008FY,,CY</t>
  </si>
  <si>
    <t>DST.N,mscalc:stockRating</t>
  </si>
  <si>
    <t>RHT.N,mstag:costOfSalesWithDepreciation,2012FY,,CY</t>
  </si>
  <si>
    <t>MKTG.O,mstag:revenueNet,2009Q1,,CY</t>
  </si>
  <si>
    <t>VMW.N,mstag:marketingCosts,2008Q1,,CY</t>
  </si>
  <si>
    <t>VRSN.O,mstag:researchAndDevelopment,2008FY,,CY</t>
  </si>
  <si>
    <t>INTU.O,mstag:longTermDebt,2011Q3,,CY</t>
  </si>
  <si>
    <t>ADBE.O,mstag:marketingAndDistributionCosts,2013Q4,,CY</t>
  </si>
  <si>
    <t>WBSN.O,mstag:costOfSalesWithDepreciation,2010FY,,CY</t>
  </si>
  <si>
    <t>SAPG.DE,mscalc:generalAndAdministrativeExpensesCalc,2010FY,,CY</t>
  </si>
  <si>
    <t>MSFT.O,mstag:marketingAndDistributionCosts,2009Q1,,CY</t>
  </si>
  <si>
    <t>QLIK.O,mstag:costOfSalesWithDepreciation,2013Q3,,CY</t>
  </si>
  <si>
    <t>CSCO.O,mscalc:operatingRevenueForConsensus,2009FY,,CY</t>
  </si>
  <si>
    <t>WBSN.O,mstag:revenueNet,2013Q2,,CY</t>
  </si>
  <si>
    <t>NA,mstag:costOfSalesWithDepreciation,2008FY,,CY</t>
  </si>
  <si>
    <t>RHT.N,mscalc:generalAndAdministrativeExpensesCalc,2008Q2,,CY</t>
  </si>
  <si>
    <t>FTNT.O,mstag:marketingAndDistributionCosts,2009Q3,,CY</t>
  </si>
  <si>
    <t>WBSN.O,mstag:marketingAndDistributionCosts,2010Q2,,CY</t>
  </si>
  <si>
    <t>FTNT.O,mscalc:generalAndAdministrativeExpensesCalc,2008Q3,,CY</t>
  </si>
  <si>
    <t>SYMC.O,mstag:researchAndDevelopment,2012Q1,,CY</t>
  </si>
  <si>
    <t>MSFT.O,mstag:marketingAndDistributionCosts,2008Q3,,CY</t>
  </si>
  <si>
    <t>AMZN.O,mscalc:dilutedEarningsPerShare,2007FY,,CY</t>
  </si>
  <si>
    <t>P.N,mscalc:operatingRevenueForConsensus,2012FY,,CY</t>
  </si>
  <si>
    <t>RHT.N,mstag:costOfSalesWithDepreciation,2013Q3,,CY</t>
  </si>
  <si>
    <t>SFSF.N,mstag:researchAndDevelopment,2011Q1,,CY</t>
  </si>
  <si>
    <t>CHKP.O,mstag:costOfSalesWithDepreciation,2011Q1,,CY</t>
  </si>
  <si>
    <t>RNOW.O,mstag:researchAndDevelopment,2010Q1,,CY</t>
  </si>
  <si>
    <t>TLEO.O,mstag:costOfSalesWithDepreciation,2013Q3,,CY</t>
  </si>
  <si>
    <t>DMAN.O,mstag:researchAndDevelopment,2011Q1,,CY</t>
  </si>
  <si>
    <t>MSFT.O,mscalc:generalAndAdministrativeExpensesCalc,2012Q4,,CY</t>
  </si>
  <si>
    <t>RNOW.O,mstag:revenueNet,2012Q2,,CY</t>
  </si>
  <si>
    <t>CRM.N,mscalc:operatingRevenueForConsensus,2011FY,,CY</t>
  </si>
  <si>
    <t>IL.N,mstag:researchAndDevelopment,2008Q1,,CY</t>
  </si>
  <si>
    <t>SYMC.O,mscalc:generalAndAdministrativeExpensesCalc,2011Q1,,CY</t>
  </si>
  <si>
    <t>P.N,mscalc:epsForConsensusForThomsonFeed,2007FY,,CY</t>
  </si>
  <si>
    <t>WBSN.O,mscalc:epsForConsensusForThomsonFeed,2012Q2,,CY</t>
  </si>
  <si>
    <t>N.N,mstag:researchAndDevelopment,2011Q4,,CY</t>
  </si>
  <si>
    <t>ADBE.O,mstag:costOfSalesWithDepreciation,2012Q3,,CY</t>
  </si>
  <si>
    <t>INTU.O,mstag:revenueNet,2013Q4,,CY</t>
  </si>
  <si>
    <t>ORCL.O,mscalc:epsForConsensusForThomsonFeed,2010Q1,,CY</t>
  </si>
  <si>
    <t>EMC.N,mscalc:dilutedEarningsPerShare,2008FY,,CY</t>
  </si>
  <si>
    <t>SREV.O,mstag:researchAndDevelopment,2013Q1,,CY</t>
  </si>
  <si>
    <t>N.N,mscalc:targetPrice</t>
  </si>
  <si>
    <t>RHT.N,mstag:researchAndDevelopment,2008Q3,,CY</t>
  </si>
  <si>
    <t>CHKP.O,mstag:costOfSalesWithDepreciation,2012Q1,,CY</t>
  </si>
  <si>
    <t>RNOW.O,mstag:researchAndDevelopment,2012Q1,,CY</t>
  </si>
  <si>
    <t>ADBE.O,mstag:revenueNet,2012Q3,,CY</t>
  </si>
  <si>
    <t>MKTG.O,mscalc:operatingRevenueForConsensus,2012FY,,CY</t>
  </si>
  <si>
    <t>N.N,mscalc:generalAndAdministrativeExpensesCalc,2009Q1,,CY</t>
  </si>
  <si>
    <t>TLEO.O,mscalc:epsForConsensusForThomsonFeed,2013FY,,CY</t>
  </si>
  <si>
    <t>WBSN.O,mstag:researchAndDevelopment,2008Q3,,CY</t>
  </si>
  <si>
    <t>FIRE.O,mscalc:generalAndAdministrativeExpensesCalc,2008Q2,,CY</t>
  </si>
  <si>
    <t>4Q09</t>
  </si>
  <si>
    <t>Borrowings Under LOC</t>
  </si>
  <si>
    <t>TLEO.O,mscalc:generalAndAdministrativeExpensesCalc,2012FY,,CY</t>
  </si>
  <si>
    <t>TLEO.O,mscalc:epsForConsensusForThomsonFeed,2010Q4,,CY</t>
  </si>
  <si>
    <t>SWI.N,mstag:marketingAndDistributionCosts,2012Q1,,CY</t>
  </si>
  <si>
    <t>GUID.O,mstag:depreciationInIncomeStatement,2009Q2,,CY</t>
  </si>
  <si>
    <t>SAPG.DE,mstag:researchAndDevelopment,2012FY,,CY</t>
  </si>
  <si>
    <t>AKAM.O,mstag:researchAndDevelopment,2008Q2,,CY</t>
  </si>
  <si>
    <t>WBSN.O,mscalc:generalAndAdministrativeExpensesCalc,2011Q1,,CY</t>
  </si>
  <si>
    <t>INFA.O,mscalc:generalAndAdministrativeExpensesCalc,2009FY,,CY</t>
  </si>
  <si>
    <t>SWI.N,mstag:marketingAndDistributionCosts,2012Q3,,CY</t>
  </si>
  <si>
    <t>GUID.O,mscalc:epsForConsensusForThomsonFeed,2012Q2,,CY</t>
  </si>
  <si>
    <t>FIRE.O,mscalc:generalAndAdministrativeExpensesCalc,2010Q3,,CY</t>
  </si>
  <si>
    <t>ORCL.O,mscalc:epsForConsensusForThomsonFeed,2008Q2,,CY</t>
  </si>
  <si>
    <t>SFSF.N,mstag:costOfSalesWithDepreciation,2011Q1,,CY</t>
  </si>
  <si>
    <t>DMAN.O,mstag:revenueNet,2010Q3,,CY</t>
  </si>
  <si>
    <t>AKAM.O,mscalc:generalAndAdministrativeExpensesCalc,2008Q1,,CY</t>
  </si>
  <si>
    <t>GUID.O,mstag:costOfSalesWithoutDepreciation,2011Q4,,CY</t>
  </si>
  <si>
    <t>CHKP.O,mscalc:epsForConsensusForThomsonFeed,2013Q2,,CY</t>
  </si>
  <si>
    <t>GUID.O,mstag:longTermDebt,2011Q3,,CY</t>
  </si>
  <si>
    <t>Maintenance Revenue</t>
  </si>
  <si>
    <t xml:space="preserve">     2000 Amortization</t>
  </si>
  <si>
    <t xml:space="preserve">     2001 Amortization</t>
  </si>
  <si>
    <t>FTNT.O,mscalc:generalAndAdministrativeExpensesCalc,2011FY,,CY</t>
  </si>
  <si>
    <t>GUID.O,mstag:researchAndDevelopment,2012FY,,CY</t>
  </si>
  <si>
    <t>FIRE.O,mstag:marketingAndDistributionCosts,2008Q2,,CY</t>
  </si>
  <si>
    <t>SAPG.DE,mscalc:generalAndAdministrativeExpensesCalc,2007FY,,CY</t>
  </si>
  <si>
    <t>IL.N,mscalc:generalAndAdministrativeExpensesCalc,2008Q4,,CY</t>
  </si>
  <si>
    <t>DMAN.O,mscalc:generalAndAdministrativeExpensesCalc,2008Q2,,CY</t>
  </si>
  <si>
    <t>AKAM.O,mscalc:operatingRevenueForConsensus,2010FY,,CY</t>
  </si>
  <si>
    <t>N.N,mscalc:generalAndAdministrativeExpensesCalc,2008Q3,,CY</t>
  </si>
  <si>
    <t>RNOW.O,mstag:marketingAndDistributionCosts,2012Q4,,CY</t>
  </si>
  <si>
    <t>ZNGA.O,msuser:cmAUPLEBITDA20060530T0035524245,2010FY,,CY</t>
  </si>
  <si>
    <t>CTXS.O,mscalc:epsForConsensusForThomsonFeed,2013Q3,,CY</t>
  </si>
  <si>
    <t>CTXS.O,mstag:researchAndDevelopment,2009FY,,CY</t>
  </si>
  <si>
    <t>QLIK.O,mscalc:epsForConsensusForThomsonFeed,2012Q2,,CY</t>
  </si>
  <si>
    <t>N.N,mscalc:operatingRevenueForConsensus,2010FY,,CY</t>
  </si>
  <si>
    <t>RNOW.O,mstag:researchAndDevelopment,2013Q1,,CY</t>
  </si>
  <si>
    <t>INTU.O,mstag:costOfSalesWithDepreciation,2007FY,,CY</t>
  </si>
  <si>
    <t>VRSN.O,mstag:otherOperatingExpenseChild,2007FY,,CY</t>
  </si>
  <si>
    <t>SYMC.O,mstag:researchAndDevelopment,2010Q3,,CY</t>
  </si>
  <si>
    <t>ADBE.O,mstag:revenueNet,2010Q3,,CY</t>
  </si>
  <si>
    <t>CRM.N,mscalc:epsForConsensusForThomsonFeed,2009Q1,,CY</t>
  </si>
  <si>
    <t>MSFT.O,mstag:revenueNet,2009Q4,,CY</t>
  </si>
  <si>
    <t>MSFT.O,mstag:costOfSalesWithDepreciation,2008Q2,,CY</t>
  </si>
  <si>
    <t>INTU.O,mstag:otherOperatingExpenseChild,2009FY,,CY</t>
  </si>
  <si>
    <t>ORCL.O,mstag:marketingAndDistributionCosts,2008FY,,CY</t>
  </si>
  <si>
    <t>AKAM.O,mstag:revenueNet,2011Q3,,CY</t>
  </si>
  <si>
    <t>MSFT.O,mstag:marketingAndDistributionCosts,2011Q3,,CY</t>
  </si>
  <si>
    <t>SFSF.N,mstag:costOfSalesWithDepreciation,2010Q4,,CY</t>
  </si>
  <si>
    <t>RHT.N,mstag:revenueNet,2012Q3,,CY</t>
  </si>
  <si>
    <t>N.N,mstag:costOfSalesWithDepreciation,2008Q1,,CY</t>
  </si>
  <si>
    <t>FTNT.O,mstag:marketingAndDistributionCosts,2012Q2,,CY</t>
  </si>
  <si>
    <t>INFA.O,mstag:marketingAndDistributionCosts,2012FY,,CY</t>
  </si>
  <si>
    <t>SFSF.N,mscalc:epsForConsensusForThomsonFeed,2011Q4,,CY</t>
  </si>
  <si>
    <t>SWI.N,mstag:shortTermBorrowings,2011Q3,,CY</t>
  </si>
  <si>
    <t>HRB.N,mscalc:epsForConsensusForThomsonFeed,2009FY,,CY</t>
  </si>
  <si>
    <t>ADSK.O,mstag:researchAndDevelopment,2011Q4,,CY</t>
  </si>
  <si>
    <t>SAPG.DE,mscalc:stockRating</t>
  </si>
  <si>
    <t>CTXS.O,mstag:sellingGeneralAndAdministrativeExpenses,2008Q1,,CY</t>
  </si>
  <si>
    <t>MSFT.O,mstag:researchAndDevelopment,2008Q3,,CY</t>
  </si>
  <si>
    <t>SFSF.N,mstag:companyReportedRevenue,2011Q1,,CY</t>
  </si>
  <si>
    <t>CHKP.O,mstag:softwareLicenseRevenues,2009FY,,CY</t>
  </si>
  <si>
    <t>CRM.N,mscalc:epsForConsensusForThomsonFeed,2011Q4,,CY</t>
  </si>
  <si>
    <t>CRM.N,mstag:researchAndDevelopment,2013Q2,,CY</t>
  </si>
  <si>
    <t>GUID.O,mstag:otherOperatingExpenseChild,2009FY,,CY</t>
  </si>
  <si>
    <t>AKAM.O,mstag:costOfSalesWithDepreciation,2008FY,,CY</t>
  </si>
  <si>
    <t>CNQR.O,mstag:costOfSalesWithDepreciation,2010FY,,CY</t>
  </si>
  <si>
    <t>AKAM.O,mscalc:generalAndAdministrativeExpensesCalc,2012Q2,,CY</t>
  </si>
  <si>
    <t>VMW.N,mstag:revenueNet,2009Q3,,CY</t>
  </si>
  <si>
    <t>ADBE.O,mstag:researchAndDevelopment,2012Q1,,CY</t>
  </si>
  <si>
    <t>VRSN.O,mstag:costOfSalesWithDepreciation,2007FY,,CY</t>
  </si>
  <si>
    <t>CTXS.O,mstag:costOfSalesWithDepreciation,2011Q4,,CY</t>
  </si>
  <si>
    <t>CRM.N,mscalc:generalAndAdministrativeExpensesCalc,2013Q4,,CY</t>
  </si>
  <si>
    <t>RHT.N,mstag:marketingAndDistributionCosts,2009FY,,CY</t>
  </si>
  <si>
    <t>ORCL.O,mstag:researchAndDevelopment,2013FY,,CY</t>
  </si>
  <si>
    <t>SYMC.O,mstag:researchAndDevelopment,2008Q3,,CY</t>
  </si>
  <si>
    <t>ORCL.O,mscalc:epsForConsensusForThomsonFeed,2009Q2,,CY</t>
  </si>
  <si>
    <t>CTXS.O,mstag:costOfSalesWithDepreciation,2012Q3,,CY</t>
  </si>
  <si>
    <t>INTU.O,mscalc:epsForConsensusForThomsonFeed,2008Q4,,CY</t>
  </si>
  <si>
    <t>INTU.O,mstag:researchAndDevelopment,2010Q3,,CY</t>
  </si>
  <si>
    <t>FIRE.O,mstag:revenueNet,2012Q2,,CY</t>
  </si>
  <si>
    <t>INFA.O,mscalc:epsForConsensusForThomsonFeed,2013FY,,CY</t>
  </si>
  <si>
    <t>SFSF.N,mscalc:epsForConsensusForThomsonFeed,2010Q4,,CY</t>
  </si>
  <si>
    <t>FTNT.O,mstag:researchAndDevelopment,2008FY,,CY</t>
  </si>
  <si>
    <t>ADSK.O,mscalc:epsForConsensusForThomsonFeed,2010FY,,CY</t>
  </si>
  <si>
    <t>RNOW.O,mscalc:epsForConsensusForThomsonFeed,2012Q4,,CY</t>
  </si>
  <si>
    <t>MSFT.O,mscalc:generalAndAdministrativeExpensesCalc,2012Q2,,CY</t>
  </si>
  <si>
    <t>RNOW.O,mscalc:generalAndAdministrativeExpensesCalc,2010Q2,,CY</t>
  </si>
  <si>
    <t>SFSF.N,mscalc:epsForConsensusForThomsonFeed,2011Q1,,CY</t>
  </si>
  <si>
    <t>CTXS.O,mstag:researchAndDevelopment,2011Q2,,CY</t>
  </si>
  <si>
    <t>ADSK.O,mstag:researchAndDevelopment,2013Q1,,CY</t>
  </si>
  <si>
    <t>WBSN.O,mscalc:epsForConsensusForThomsonFeed,2012Q4,,CY</t>
  </si>
  <si>
    <t>AAPL.O,mscalc:operatingRevenueForConsensus,2011FY,,CY</t>
  </si>
  <si>
    <t>CTXS.O,mstag:researchAndDevelopment,2008Q4,,CY</t>
  </si>
  <si>
    <t>INTU.O,mstag:otherOperatingExpenseChild,2013FY,,CY</t>
  </si>
  <si>
    <t>CTXS.O,mstag:researchAndDevelopment,2009Q4,,CY</t>
  </si>
  <si>
    <t>ADBE.O,mscalc:generalAndAdministrativeExpensesCalc,2011Q3,,CY</t>
  </si>
  <si>
    <t>N.N,mstag:researchAndDevelopment,2012FY,,CY</t>
  </si>
  <si>
    <t>HRB.N,mscalc:epsForConsensusForThomsonFeed,2012FY,,CY</t>
  </si>
  <si>
    <t>DELL.O,mscalc:epsForConsensusForThomsonFeed,2012FY,,CY</t>
  </si>
  <si>
    <t>GRPN.O,msuser:cmAUPLEBITDA20060530T0035524245,2007FY,,CY</t>
  </si>
  <si>
    <t>AKAM.O,mstag:researchAndDevelopment,2010Q1,,CY</t>
  </si>
  <si>
    <t>INTU.O,mscalc:generalAndAdministrativeExpensesCalc,2009Q4,,CY</t>
  </si>
  <si>
    <t>ADBE.O,mscalc:epsForConsensusForThomsonFeed,2008Q2,,CY</t>
  </si>
  <si>
    <t>QLIK.O,mstag:cashAndCashEquivalents,2011Q3,,CY</t>
  </si>
  <si>
    <t>SYMC.O,mstag:marketingAndDistributionCosts,2012Q3,,CY</t>
  </si>
  <si>
    <t>VMW.N,mstag:revenueNet,2008Q2,,CY</t>
  </si>
  <si>
    <t>ORCL.O,mstag:researchAndDevelopment,2008Q4,,CY</t>
  </si>
  <si>
    <t>SREV.O,mstag:costOfSalesWithDepreciation,2011Q4,,CY</t>
  </si>
  <si>
    <t>MSFT.O,mstag:researchAndDevelopment,2010Q4,,CY</t>
  </si>
  <si>
    <t>N.N,mscalc:generalAndAdministrativeExpensesCalc,2009Q2,,CY</t>
  </si>
  <si>
    <t>ORCL.O,mstag:costOfSalesWithDepreciation,2010Q2,,CY</t>
  </si>
  <si>
    <t>FIRE.O,mstag:marketingAndDistributionCosts,2010Q4,,CY</t>
  </si>
  <si>
    <t>TLEO.O,mstag:revenueNet,2009Q1,,CY</t>
  </si>
  <si>
    <t>CNQR.O,mscalc:epsForConsensusForThomsonFeed,2009FY,,CY</t>
  </si>
  <si>
    <t>VMW.N,mstag:marketingCosts,2013Q3,,CY</t>
  </si>
  <si>
    <t>CTXS.O,mstag:marketingCosts,2009Q4,,CY</t>
  </si>
  <si>
    <t>SFSF.N,mstag:marketingAndDistributionCosts,2009Q1,,CY</t>
  </si>
  <si>
    <t>INTC.O,mscalc:epsForConsensusForThomsonFeed,2011FY,,CY</t>
  </si>
  <si>
    <t>FIRE.O,mstag:depreciationInIncomeStatement,2013Q4,,CY</t>
  </si>
  <si>
    <t>ADBE.O,mstag:marketingAndDistributionCosts,2010Q4,,CY</t>
  </si>
  <si>
    <t>FIRE.O,mstag:marketingAndDistributionCosts,2013Q1,,CY</t>
  </si>
  <si>
    <t>CTXS.O,mstag:revenueNet,2012Q2,,CY</t>
  </si>
  <si>
    <t>ORCL.O,mscalc:generalAndAdministrativeExpensesCalc,2010Q4,,CY</t>
  </si>
  <si>
    <t>LNKD.N,msuser:cmAUPLEBITDA20060530T0035524245,2011FY,,CY</t>
  </si>
  <si>
    <t>FIRE.O,mscalc:generalAndAdministrativeExpensesCalc,2009Q3,,CY</t>
  </si>
  <si>
    <t>SAPG.DE,mstag:otherOperatingExpenseChild,2010FY,,CY</t>
  </si>
  <si>
    <t>SYMC.O,mstag:revenueNet,2012Q2,,CY</t>
  </si>
  <si>
    <t>CRM.N,mscalc:generalAndAdministrativeExpensesCalc,2008Q1,,CY</t>
  </si>
  <si>
    <t>IL.N,mstag:revenueNet,2012Q4,,CY</t>
  </si>
  <si>
    <t>MSFT.O,mstag:revenueNet,2010Q2,,CY</t>
  </si>
  <si>
    <t>GUID.O,mstag:researchAndDevelopment,2013Q4,,CY</t>
  </si>
  <si>
    <t>MKTG.O,mstag:marketingAndDistributionCosts,2013Q3,,CY</t>
  </si>
  <si>
    <t>CRM.N,mstag:costOfSalesWithDepreciation,2008Q1,,CY</t>
  </si>
  <si>
    <t>INTU.O,mstag:researchAndDevelopment,2012FY,,CY</t>
  </si>
  <si>
    <t>FIRE.O,mscalc:epsForConsensusForThomsonFeed,2009Q2,,CY</t>
  </si>
  <si>
    <t>ADSK.O,mstag:marketingAndDistributionCosts,2013Q2,,CY</t>
  </si>
  <si>
    <t>MSFT.O,mstag:costOfSalesWithDepreciation,2009FY,,CY</t>
  </si>
  <si>
    <t>VRSN.O,mstag:otherOperatingExpenseChild,2013FY,,CY</t>
  </si>
  <si>
    <t>ADSK.O,mscalc:epsForConsensusForThomsonFeed,2011Q2,,CY</t>
  </si>
  <si>
    <t>MKTG.O,mstag:marketingAndDistributionCosts,2013Q2,,CY</t>
  </si>
  <si>
    <t>SFSF.N,mstag:costOfSalesWithDepreciation,2013Q1,,CY</t>
  </si>
  <si>
    <t>CTXS.O,mstag:costOfSalesWithDepreciation,2012FY,,CY</t>
  </si>
  <si>
    <t>GUID.O,mstag:depreciationInIncomeStatement,2012Q2,,CY</t>
  </si>
  <si>
    <t>GOOG.O,mscalc:operatingRevenueForConsensus,2012FY,,CY</t>
  </si>
  <si>
    <t>CHKP.O,mscalc:epsForConsensusForThomsonFeed,2012Q3,,CY</t>
  </si>
  <si>
    <t>GUID.O,mstag:researchAndDevelopment,2009Q2,,CY</t>
  </si>
  <si>
    <t>N.N,mscalc:stockRating</t>
  </si>
  <si>
    <t>FIRE.O,mstag:depreciationInIncomeStatement,2010FY,,CY</t>
  </si>
  <si>
    <t>MKTG.O,mstag:costOfSalesWithDepreciation,2012Q4,,CY</t>
  </si>
  <si>
    <t>CTXS.O,mstag:otherOperatingExpenseChild,2013FY,,CY</t>
  </si>
  <si>
    <t>VMW.N,mstag:revenueNet,2009Q4,,CY</t>
  </si>
  <si>
    <t>GUID.O,mstag:depreciationInIncomeStatement,2011Q4,,CY</t>
  </si>
  <si>
    <t>HRB.N,mscalc:operatingRevenueForConsensus,2007FY,,CY</t>
  </si>
  <si>
    <t>FIRE.O,mscalc:generalAndAdministrativeExpensesCalc,2010Q1,,CY</t>
  </si>
  <si>
    <t>CTXS.O,mstag:marketingCosts,2012Q3,,CY</t>
  </si>
  <si>
    <t>DMAN.O,mstag:revenueNet,2013Q3,,CY</t>
  </si>
  <si>
    <t>CHKP.O,mstag:researchAndDevelopment,2013Q1,,CY</t>
  </si>
  <si>
    <t>FTNT.O,mscalc:generalAndAdministrativeExpensesCalc,2012Q2,,CY</t>
  </si>
  <si>
    <t>SREV.O,mstag:marketingAndDistributionCosts,2010Q4,,CY</t>
  </si>
  <si>
    <t>INFA.O,mstag:researchAndDevelopment,2007FY,,CY</t>
  </si>
  <si>
    <t>IL.N,mstag:researchAndDevelopment,2012Q1,,CY</t>
  </si>
  <si>
    <t>TLEO.O,mstag:revenueNet,2010Q1,,CY</t>
  </si>
  <si>
    <t>ORCL.O,mstag:researchAndDevelopment,2012Q1,,CY</t>
  </si>
  <si>
    <t>SREV.O,mscalc:epsForConsensusForThomsonFeed,2010FY,,CY</t>
  </si>
  <si>
    <t>ADBE.O,mstag:costOfSalesWithDepreciation,2008Q1,,CY</t>
  </si>
  <si>
    <t>N.N,mscalc:generalAndAdministrativeExpensesCalc,2009Q4,,CY</t>
  </si>
  <si>
    <t>SAPG.DE,mstag:shortTermInvestments,2011Q3,,CY</t>
  </si>
  <si>
    <t>AKAM.O,mstag:softwareLicenseRevenues,2008FY,,CY</t>
  </si>
  <si>
    <t>CTXS.O,mscalc:epsForConsensusForThomsonFeed,2009Q1,,CY</t>
  </si>
  <si>
    <t>ADSK.O,mscalc:generalAndAdministrativeExpensesCalc,2007FY,,CY</t>
  </si>
  <si>
    <t>GRPN.O,mscalc:epsForConsensusForThomsonFeed,2010FY,,CY</t>
  </si>
  <si>
    <t>CHKP.O,mstag:revenueNet,2010Q4,,CY</t>
  </si>
  <si>
    <t>OPEN.O,mscalc:operatingRevenueForConsensus,2012FY,,CY</t>
  </si>
  <si>
    <t>SWI.N,mscalc:operatingRevenueForConsensus,2013FY,,CY</t>
  </si>
  <si>
    <t>IL.N,mstag:marketingAndDistributionCosts,2009Q1,,CY</t>
  </si>
  <si>
    <t>CHKP.O,mstag:researchAndDevelopment,2008Q2,,CY</t>
  </si>
  <si>
    <t>SYMC.O,mstag:otherOperatingExpenseChild,2013FY,,CY</t>
  </si>
  <si>
    <t>SAPG.DE,mscalc:epsForConsensusForThomsonFeed,2011FY,,CY</t>
  </si>
  <si>
    <t>AAPL.O,msuser:cmAUPLEBITDA20060530T0035524245,2012FY,,CY</t>
  </si>
  <si>
    <t>FTNT.O,mstag:otherOperatingExpenseChild,2011FY,,CY</t>
  </si>
  <si>
    <t>IL.N,mscalc:operatingRevenueForConsensus,2013FY,,CY</t>
  </si>
  <si>
    <t>IL.N,mstag:marketingAndDistributionCosts,2013Q2,,CY</t>
  </si>
  <si>
    <t>N.N,mstag:marketingAndDistributionCosts,2009Q2,,CY</t>
  </si>
  <si>
    <t>CNQR.O,mstag:otherOperatingExpenseChild,2009FY,,CY</t>
  </si>
  <si>
    <t>DMAN.O,mscalc:epsForConsensusForThomsonFeed,2009Q1,,CY</t>
  </si>
  <si>
    <t>SWI.N,mscalc:epsForConsensusForThomsonFeed,2013FY,,CY</t>
  </si>
  <si>
    <t>FIRE.O,mscalc:generalAndAdministrativeExpensesCalc,2012FY,,CY</t>
  </si>
  <si>
    <t>TLEO.O,mstag:marketingAndDistributionCosts,2010Q4,,CY</t>
  </si>
  <si>
    <t>SYMC.O,mstag:revenueNet,2013Q2,,CY</t>
  </si>
  <si>
    <t>HPQ.N,mscalc:epsForConsensusForThomsonFeed,2013FY,,CY</t>
  </si>
  <si>
    <t>AKAM.O,mstag:revenueNet,2008Q3,,CY</t>
  </si>
  <si>
    <t>ORCL.O,mscalc:epsForConsensusForThomsonFeed,2008Q3,,CY</t>
  </si>
  <si>
    <t>N.N,mscalc:epsForConsensusForThomsonFeed,2013Q2,,CY</t>
  </si>
  <si>
    <t>SREV.O,mstag:otherOperatingExpenseChild,2011FY,,CY</t>
  </si>
  <si>
    <t>CRM.N,mscalc:epsForConsensusForThomsonFeed,2012FY,,CY</t>
  </si>
  <si>
    <t>SREV.O,mstag:revenueNet,2008Q1,,CY</t>
  </si>
  <si>
    <t>VMW.N,mstag:researchAndDevelopment,2011Q3,,CY</t>
  </si>
  <si>
    <t>JIVE.O,mstag:cashAndCashEquivalents,2011Q4,,CY</t>
  </si>
  <si>
    <t>MKTG.O,mstag:costOfSalesWithDepreciation,2013Q4,,CY</t>
  </si>
  <si>
    <t>TLEO.O,mscalc:epsForConsensusForThomsonFeed,2010Q3,,CY</t>
  </si>
  <si>
    <t>WBSN.O,mstag:costOfSalesWithDepreciation,2013Q3,,CY</t>
  </si>
  <si>
    <t>WBSN.O,mstag:researchAndDevelopment,2011Q4,,CY</t>
  </si>
  <si>
    <t>SWI.N,mstag:revenueNet,2013Q2,,CY</t>
  </si>
  <si>
    <t>IL.N,mscalc:epsForConsensusForThomsonFeed,2013FY,,CY</t>
  </si>
  <si>
    <t>CTXS.O,mstag:revenueNet,2012Q1,,CY</t>
  </si>
  <si>
    <t>GUID.O,mstag:costOfSalesWithoutDepreciation,2008Q3,,CY</t>
  </si>
  <si>
    <t>MKTG.O,mstag:researchAndDevelopment,2011Q2,,CY</t>
  </si>
  <si>
    <t>SREV.O,mscalc:operatingRevenueForConsensus,2009FY,,CY</t>
  </si>
  <si>
    <t>N.N,mscalc:epsForConsensusForThomsonFeed,2010Q2,,CY</t>
  </si>
  <si>
    <t>FIRE.O,mstag:researchAndDevelopment,2013Q1,,CY</t>
  </si>
  <si>
    <t>FIRE.O,mstag:depreciationInIncomeStatement,2008Q4,,CY</t>
  </si>
  <si>
    <t>DELL.O,mscalc:operatingRevenueForConsensus,2010FY,,CY</t>
  </si>
  <si>
    <t>ORCL.O,mstag:averageDilutedSharesOutstanding,2011Q4,,CY</t>
  </si>
  <si>
    <t>JNPR.N,msuser:cmAUPLEBITDA20060530T0035524245,2012FY,,CY</t>
  </si>
  <si>
    <t>ADSK.O,mscalc:operatingRevenueForConsensus,2012FY,,CY</t>
  </si>
  <si>
    <t>WBSN.O,mstag:costOfSalesWithDepreciation,2013Q4,,CY</t>
  </si>
  <si>
    <t>QLIK.O,mstag:marketingAndDistributionCosts,2008Q3,,CY</t>
  </si>
  <si>
    <t>VMW.N,mstag:researchAndDevelopment,2010Q3,,CY</t>
  </si>
  <si>
    <t>RHT.N,mstag:revenueNet,2010Q2,,CY</t>
  </si>
  <si>
    <t>CHKP.O,mstag:revenueNet,2011Q4,,CY</t>
  </si>
  <si>
    <t>WBSN.O,mstag:costOfSalesWithDepreciation,2012Q3,,CY</t>
  </si>
  <si>
    <t>TLEO.O,mscalc:operatingRevenueForConsensus,2009FY,,CY</t>
  </si>
  <si>
    <t>GOOG.O,msuser:cmAUPLEBITDA20060530T0035524245,2010FY,,CY</t>
  </si>
  <si>
    <t>AKAM.O,mstag:marketingAndDistributionCosts,2013Q1,,CY</t>
  </si>
  <si>
    <t>N.N,mscalc:epsForConsensusForThomsonFeed,2011Q1,,CY</t>
  </si>
  <si>
    <t>RNOW.O,mscalc:generalAndAdministrativeExpensesCalc,2008Q1,,CY</t>
  </si>
  <si>
    <t>SREV.O,mscalc:targetPrice</t>
  </si>
  <si>
    <t>ADSK.O,mstag:marketingAndDistributionCosts,2011Q3,,CY</t>
  </si>
  <si>
    <t>N.N,mstag:revenueNet,2008Q4,,CY</t>
  </si>
  <si>
    <t>FIRE.O,mscalc:generalAndAdministrativeExpensesCalc,2013Q3,,CY</t>
  </si>
  <si>
    <t>SFSF.N,mstag:companyReportedRevenue,2012Q1,,CY</t>
  </si>
  <si>
    <t>b) As a result of acquisitions, in some instances, not all quarters with a given year have been restated.</t>
  </si>
  <si>
    <t>2c05</t>
  </si>
  <si>
    <t>3c05</t>
  </si>
  <si>
    <t>4c05</t>
  </si>
  <si>
    <t>Options Granted (Net of Forfeiture)</t>
  </si>
  <si>
    <t>Deferred Compensation</t>
  </si>
  <si>
    <t>Currency Impact</t>
  </si>
  <si>
    <t>Organic Revenue - Constant Currency</t>
  </si>
  <si>
    <t>Concurrent Transations (License Only)</t>
  </si>
  <si>
    <t>Reported Revenue Less Concur. Trans.</t>
  </si>
  <si>
    <t>Reported License Revenue Less Concur. Trans.</t>
  </si>
  <si>
    <t>Organic License Revenue</t>
  </si>
  <si>
    <t>4Q10</t>
  </si>
  <si>
    <t>Organic Revenue Growth</t>
  </si>
  <si>
    <t>Organic Revenue</t>
  </si>
  <si>
    <t>Concurrent Transations</t>
  </si>
  <si>
    <t>Revenue Analysis</t>
  </si>
  <si>
    <t>Y.Y</t>
  </si>
  <si>
    <t>Q.Q</t>
  </si>
  <si>
    <t>servicecost</t>
  </si>
  <si>
    <t>Capex</t>
  </si>
  <si>
    <t>Operating Cash</t>
  </si>
  <si>
    <t>capex</t>
  </si>
  <si>
    <t>opcash</t>
  </si>
  <si>
    <t>Repurchase of Stock</t>
  </si>
  <si>
    <t xml:space="preserve">   Shares repurchased</t>
  </si>
  <si>
    <t xml:space="preserve">   Total Cost</t>
  </si>
  <si>
    <t xml:space="preserve">        average cost per share</t>
  </si>
  <si>
    <t xml:space="preserve">        Additional Authorization</t>
  </si>
  <si>
    <t xml:space="preserve">   High End</t>
  </si>
  <si>
    <t xml:space="preserve">   Low End</t>
  </si>
  <si>
    <t xml:space="preserve">   Actual/MS Estimate</t>
  </si>
  <si>
    <t xml:space="preserve">    Q/Q Chg - #</t>
  </si>
  <si>
    <t xml:space="preserve">    Q/Q Chg - %</t>
  </si>
  <si>
    <t>Cash Flow Statement (Cumulative)</t>
  </si>
  <si>
    <t>GUID.O,mstag:depreciationInIncomeStatement,2010Q4,,CY</t>
  </si>
  <si>
    <t>SYMC.O,mstag:revenueNet,2012Q3,,CY</t>
  </si>
  <si>
    <t>DELL.O,msuser:cmAUPLEBITDA20060530T0035524245,2013FY,,CY</t>
  </si>
  <si>
    <t>CTXS.O,mstag:sellingGeneralAndAdministrativeExpenses,2012Q1,,CY</t>
  </si>
  <si>
    <t>QLIK.O,mstag:revenueNet,2011Q4,,CY</t>
  </si>
  <si>
    <t>mstag:netIncreaseInDeferredRevenue</t>
  </si>
  <si>
    <t>mstag:netIncreaseInAccruedExpenses</t>
  </si>
  <si>
    <t>mstag:netDecreaseInPrepaidExpenses</t>
  </si>
  <si>
    <t>FTNT.O,mscalc:generalAndAdministrativeExpensesCalc,2008Q1,,CY</t>
  </si>
  <si>
    <t>FTNT.O,mstag:revenueNet,2013Q3,,CY</t>
  </si>
  <si>
    <t>CRM.N,mscalc:generalAndAdministrativeExpensesCalc,2008FY,,CY</t>
  </si>
  <si>
    <t>IL.N,mscalc:generalAndAdministrativeExpensesCalc,2010Q4,,CY</t>
  </si>
  <si>
    <t>TLEO.O,mstag:researchAndDevelopment,2008Q4,,CY</t>
  </si>
  <si>
    <t>CTXS.O,mstag:researchAndDevelopment,2013Q1,,CY</t>
  </si>
  <si>
    <t>CHKP.O,mscalc:generalAndAdministrativeExpensesCalc,2012Q1,,CY</t>
  </si>
  <si>
    <t>ORCL.O,mstag:researchAndDevelopment,2011Q3,,CY</t>
  </si>
  <si>
    <t>TLEO.O,mstag:researchAndDevelopment,2013Q3,,CY</t>
  </si>
  <si>
    <t>ORCL.O,mstag:researchAndDevelopment,2008FY,,CY</t>
  </si>
  <si>
    <t>AMD.N,mscalc:epsForConsensusForThomsonFeed,2010FY,,CY</t>
  </si>
  <si>
    <t>CHKP.O,mscalc:generalAndAdministrativeExpensesCalc,2007FY,,CY</t>
  </si>
  <si>
    <t>GUID.O,mstag:revenueNet,2011Q3,,CY</t>
  </si>
  <si>
    <t>WBSN.O,mstag:longTermDebt,2011Q4,,CY</t>
  </si>
  <si>
    <t>MKTG.O,mstag:costOfSalesWithDepreciation,2012Q1,,CY</t>
  </si>
  <si>
    <t>SFSF.N,mstag:researchAndDevelopment,2010Q2,,CY</t>
  </si>
  <si>
    <t>N.N,mstag:revenueNet,2008Q1,,CY</t>
  </si>
  <si>
    <t>MKTG.O,mstag:marketingAndDistributionCosts,2012Q1,,CY</t>
  </si>
  <si>
    <t>SYMC.O,mstag:revenueNet,2008Q4,,CY</t>
  </si>
  <si>
    <t>FTNT.O,mstag:marketingAndDistributionCosts,2009Q1,,CY</t>
  </si>
  <si>
    <t>CHKP.O,mstag:marketingAndDistributionCosts,2008Q3,,CY</t>
  </si>
  <si>
    <t>RHT.N,mscalc:epsForConsensusForThomsonFeed,2012FY,,CY</t>
  </si>
  <si>
    <t>ADSK.O,mstag:revenueNet,2013Q2,,CY</t>
  </si>
  <si>
    <t>WBSN.O,mstag:researchAndDevelopment,2009Q3,,CY</t>
  </si>
  <si>
    <t>EMC.N,msuser:cmAUPLEBITDA20060530T0035524245,2010FY,,CY</t>
  </si>
  <si>
    <t>ADSK.O,mstag:marketingAndDistributionCosts,2012Q2,,CY</t>
  </si>
  <si>
    <t>QLIK.O,mstag:marketingAndDistributionCosts,2010Q1,,CY</t>
  </si>
  <si>
    <t>VMW.N,mstag:marketingCosts,2009Q3,,CY</t>
  </si>
  <si>
    <t>MSFT.O,mscalc:generalAndAdministrativeExpensesCalc,2010FY,,CY</t>
  </si>
  <si>
    <t>FIRE.O,mstag:averageDilutedSharesOutstanding,2011Q3,,CY</t>
  </si>
  <si>
    <t>FTNT.O,mstag:researchAndDevelopment,2009Q2,,CY</t>
  </si>
  <si>
    <t>MSFT.O,mscalc:generalAndAdministrativeExpensesCalc,2008Q1,,CY</t>
  </si>
  <si>
    <t>SREV.O,mstag:marketingAndDistributionCosts,2009Q4,,CY</t>
  </si>
  <si>
    <t>MKTG.O,mscalc:stockRating</t>
  </si>
  <si>
    <t>IL.N,mscalc:epsForConsensusForThomsonFeed,2012Q4,,CY</t>
  </si>
  <si>
    <t>ORCL.O,mstag:revenueNet,2009Q3,,CY</t>
  </si>
  <si>
    <t>MKTG.O,mstag:costOfSalesWithDepreciation,2010Q4,,CY</t>
  </si>
  <si>
    <t>SFSF.N,mscalc:epsForConsensusForThomsonFeed,2013Q1,,CY</t>
  </si>
  <si>
    <t>INTU.O,mscalc:epsForConsensusForThomsonFeed,2010Q3,,CY</t>
  </si>
  <si>
    <t>GUID.O,mscalc:generalAndAdministrativeExpensesCalc,2013FY,,CY</t>
  </si>
  <si>
    <t>WBSN.O,mstag:cashAndCashEquivalents,2011Q4,,CY</t>
  </si>
  <si>
    <t>IBM.N,mscalc:stockRating</t>
  </si>
  <si>
    <t>NA,mstag:marketingAndDistributionCosts,2007FY,,CY</t>
  </si>
  <si>
    <t>IL.N,mstag:marketingAndDistributionCosts,2010Q3,,CY</t>
  </si>
  <si>
    <t>ADSK.O,mstag:costOfSalesWithDepreciation,2009Q3,,CY</t>
  </si>
  <si>
    <t>ORCL.O,mstag:shortTermBorrowings,2011Q4,,CY</t>
  </si>
  <si>
    <t>VMW.N,mstag:marketingCosts,2008Q4,,CY</t>
  </si>
  <si>
    <t>SREV.O,mstag:marketingAndDistributionCosts,2011Q4,,CY</t>
  </si>
  <si>
    <t>EBAY.O,msuser:cmAUPLEBITDA20060530T0035524245,2007FY,,CY</t>
  </si>
  <si>
    <t>ADSK.O,mstag:researchAndDevelopment,2009FY,,CY</t>
  </si>
  <si>
    <t>N.N,mstag:costOfSalesWithDepreciation,2010Q4,,CY</t>
  </si>
  <si>
    <t>RHT.N,mstag:revenueNet,2011Q1,,CY</t>
  </si>
  <si>
    <t>TXN.N,mscalc:operatingRevenueForConsensus,2008FY,,CY</t>
  </si>
  <si>
    <t>TLEO.O,mstag:costOfSalesWithDepreciation,2009Q2,,CY</t>
  </si>
  <si>
    <t>ORCL.O,mscalc:generalAndAdministrativeExpensesCalc,2011Q4,,CY</t>
  </si>
  <si>
    <t>CTXS.O,mstag:otherOperatingExpenseChild,2008FY,,CY</t>
  </si>
  <si>
    <t>SYMC.O,mscalc:epsForConsensusForThomsonFeed,2012Q1,,CY</t>
  </si>
  <si>
    <t>TLEO.O,mstag:researchAndDevelopment,2009Q3,,CY</t>
  </si>
  <si>
    <t>SREV.O,mscalc:epsForConsensusForThomsonFeed,2009Q1,,CY</t>
  </si>
  <si>
    <t>RHT.N,mscalc:generalAndAdministrativeExpensesCalc,2012Q4,,CY</t>
  </si>
  <si>
    <t>DMAN.O,mstag:researchAndDevelopment,2009Q1,,CY</t>
  </si>
  <si>
    <t>DMAN.O,mstag:marketingAndDistributionCosts,2009Q1,,CY</t>
  </si>
  <si>
    <t>CTXS.O,mstag:researchAndDevelopment,2009Q3,,CY</t>
  </si>
  <si>
    <t>FIRE.O,mstag:depreciationInIncomeStatement,2009FY,,CY</t>
  </si>
  <si>
    <t>GRPN.O,mscalc:epsForConsensusForThomsonFeed,2008FY,,CY</t>
  </si>
  <si>
    <t>Net income (loss)</t>
  </si>
  <si>
    <t>Cash, end of period</t>
  </si>
  <si>
    <t>Cash Flows From Investing Activities</t>
  </si>
  <si>
    <t>Cash Flows From Financing Activities</t>
  </si>
  <si>
    <t>% of Total</t>
  </si>
  <si>
    <t>Estimated Tax Effects of Non-Operating One-Tme Items</t>
  </si>
  <si>
    <t xml:space="preserve">   Interest Income</t>
  </si>
  <si>
    <t>Risk-free Rate</t>
  </si>
  <si>
    <t>Prior Period Total Cash and Investments</t>
  </si>
  <si>
    <t xml:space="preserve">Reported EPS </t>
  </si>
  <si>
    <t>Write-downs of cost method investments</t>
  </si>
  <si>
    <t>Tax benefits from employee stock plans</t>
  </si>
  <si>
    <t>Changes in operating assets and liabilities and other</t>
  </si>
  <si>
    <t>Revenue by Division</t>
  </si>
  <si>
    <t>Description</t>
  </si>
  <si>
    <t>Net Cash Used in Investing Activities</t>
  </si>
  <si>
    <t>Net sales and maturities of marketable securities</t>
  </si>
  <si>
    <t>CTXS.O,mstag:revenueNet,2010Q3,,CY</t>
  </si>
  <si>
    <t>AKAM.O,mstag:revenueNet,2010Q4,,CY</t>
  </si>
  <si>
    <t>VMW.N,mscalc:epsForConsensusForThomsonFeed,2008Q2,,CY</t>
  </si>
  <si>
    <t>SAPG.DE,mstag:marketingAndDistributionCosts,2011FY,,CY</t>
  </si>
  <si>
    <t>RHT.N,mstag:marketingAndDistributionCosts,2007FY,,CY</t>
  </si>
  <si>
    <t>CTXS.O,mscalc:epsForConsensusForThomsonFeed,2009Q2,,CY</t>
  </si>
  <si>
    <t>SREV.O,mstag:costOfSalesWithDepreciation,2009FY,,CY</t>
  </si>
  <si>
    <t>CTXS.O,mstag:marketingCosts,2011FY,,CY</t>
  </si>
  <si>
    <t>WBSN.O,mstag:researchAndDevelopment,2013Q4,,CY</t>
  </si>
  <si>
    <t>RHT.N,mstag:researchAndDevelopment,2010Q3,,CY</t>
  </si>
  <si>
    <t>CRM.N,mstag:revenueNet,2009Q4,,CY</t>
  </si>
  <si>
    <t>TLEO.O,mstag:costOfSalesWithDepreciation,2008Q1,,CY</t>
  </si>
  <si>
    <t>JNPR.N,mscalc:operatingRevenueForConsensus,2009FY,,CY</t>
  </si>
  <si>
    <t>DMAN.O,mscalc:generalAndAdministrativeExpensesCalc,2012Q2,,CY</t>
  </si>
  <si>
    <t>FISV.O,mscalc:epsForConsensusForThomsonFeed,2009FY,,CY</t>
  </si>
  <si>
    <t>FIRE.O,mstag:depreciationInIncomeStatement,2009Q3,,CY</t>
  </si>
  <si>
    <t>EBAY.O,mscalc:epsForConsensusForThomsonFeed,2007FY,,CY</t>
  </si>
  <si>
    <t>RHT.N,mstag:marketingAndDistributionCosts,2008Q2,,CY</t>
  </si>
  <si>
    <t>SREV.O,mstag:revenueNet,2012Q4,,CY</t>
  </si>
  <si>
    <t>FIRE.O,mstag:marketingAndDistributionCosts,2010Q1,,CY</t>
  </si>
  <si>
    <t>N.N,mscalc:operatingRevenueForConsensus,2009FY,,CY</t>
  </si>
  <si>
    <t>INTU.O,mstag:softwareProductRevenues,2007FY,,CY</t>
  </si>
  <si>
    <t>JIVE.O,mscalc:operatingRevenueForConsensus,2007FY,,CY</t>
  </si>
  <si>
    <t>WBSN.O,mstag:marketingAndDistributionCosts,2010Q3,,CY</t>
  </si>
  <si>
    <t>FIRE.O,mstag:revenueNet,2008Q1,,CY</t>
  </si>
  <si>
    <t>ADBE.O,mstag:softwareLicenseRevenues,2009FY,,CY</t>
  </si>
  <si>
    <t>ADSK.O,mscalc:generalAndAdministrativeExpensesCalc,2012FY,,CY</t>
  </si>
  <si>
    <t>TLEO.O,mscalc:generalAndAdministrativeExpensesCalc,2011Q1,,CY</t>
  </si>
  <si>
    <t>SYMC.O,mscalc:epsForConsensusForThomsonFeed,2012Q3,,CY</t>
  </si>
  <si>
    <t>SFSF.N,mscalc:generalAndAdministrativeExpensesCalc,2012Q1,,CY</t>
  </si>
  <si>
    <t>ADBE.O,mstag:revenueNet,2008Q2,,CY</t>
  </si>
  <si>
    <t>VMW.N,mstag:sellingGeneralAndAdministrativeExpenses,2009Q1,,CY</t>
  </si>
  <si>
    <t>VMW.N,mstag:otherOperatingExpenseChild,2010FY,,CY</t>
  </si>
  <si>
    <t>IL.N,mstag:costOfSalesWithDepreciation,2008Q3,,CY</t>
  </si>
  <si>
    <t>SYMC.O,mscalc:epsForConsensusForThomsonFeed,2011FY,,CY</t>
  </si>
  <si>
    <t>TLEO.O,mstag:otherOperatingExpenseChild,2008FY,,CY</t>
  </si>
  <si>
    <t>Consensus Metrics</t>
  </si>
  <si>
    <t>Op Margin</t>
  </si>
  <si>
    <t>4/10</t>
  </si>
  <si>
    <t>2c06</t>
  </si>
  <si>
    <t>3c06</t>
  </si>
  <si>
    <t>Y/Y Growth in new AutoCAD units</t>
  </si>
  <si>
    <t>Y/Y Growth in installed base</t>
  </si>
  <si>
    <t>intl</t>
  </si>
  <si>
    <t>Domestic Revenue</t>
  </si>
  <si>
    <t>dom</t>
  </si>
  <si>
    <t>cash</t>
  </si>
  <si>
    <t>debt</t>
  </si>
  <si>
    <t xml:space="preserve">                  Average Exercise price</t>
  </si>
  <si>
    <t>**Modelware EPS Includes the Reported Stock Option Expense, calculated via the intrinsic method prior to FY07 and the fair value method in FY07 and beyond</t>
  </si>
  <si>
    <t xml:space="preserve"> Interest &amp; Investment Income</t>
  </si>
  <si>
    <t xml:space="preserve"> Debt Expense</t>
  </si>
  <si>
    <t>Platform Solutions and Emerging Business (PSEB)</t>
  </si>
  <si>
    <t>Navisworks Revenue (YoY)</t>
  </si>
  <si>
    <t>PLUG</t>
  </si>
  <si>
    <t>Options Granted</t>
  </si>
  <si>
    <t>Dollar Value Vesting</t>
  </si>
  <si>
    <t>Avg Strike Price</t>
  </si>
  <si>
    <t>Avg Stk Price During Year</t>
  </si>
  <si>
    <t>Stock Value in Excess of Strike Value</t>
  </si>
  <si>
    <t>Tax Benefit of Stock Based Compensation</t>
  </si>
  <si>
    <t>srev</t>
  </si>
  <si>
    <t>rev</t>
  </si>
  <si>
    <t>op</t>
  </si>
  <si>
    <t>Amortization of Stock Based Compensation Schedule</t>
  </si>
  <si>
    <t>LTM Operating EPS</t>
  </si>
  <si>
    <t>Stock Option Expense (pre-tax)</t>
  </si>
  <si>
    <t>Fair Value Stock Option Estimation</t>
  </si>
  <si>
    <t>Gross Value of Grants, net of cancelations</t>
  </si>
  <si>
    <t>Total Options Outstanding</t>
  </si>
  <si>
    <t>Total Options Granted</t>
  </si>
  <si>
    <t>CVG.N,mscalc:stockRating</t>
  </si>
  <si>
    <t>FIRE.O,mstag:revenueNet,2010Q3,,CY</t>
  </si>
  <si>
    <t>RHT.N,mscalc:epsForConsensusForThomsonFeed,2011Q2,,CY</t>
  </si>
  <si>
    <t>SAPG.DE,mstag:marketingAndDistributionCosts,2012FY,,CY</t>
  </si>
  <si>
    <t>ADSK.O,mscalc:generalAndAdministrativeExpensesCalc,2012Q2,,CY</t>
  </si>
  <si>
    <t>SYMC.O,mstag:researchAndDevelopment,2013Q3,,CY</t>
  </si>
  <si>
    <t>ORCL.O,mstag:marketingAndDistributionCosts,2009Q2,,CY</t>
  </si>
  <si>
    <t>MKTG.O,mstag:researchAndDevelopment,2009Q3,,CY</t>
  </si>
  <si>
    <t>LNKD.N,mscalc:epsForConsensusForThomsonFeed,2007FY,,CY</t>
  </si>
  <si>
    <t>GUID.O,mscalc:generalAndAdministrativeExpensesCalc,2008FY,,CY</t>
  </si>
  <si>
    <t>ORCL.O,mscalc:epsForConsensusForThomsonFeed,2013Q2,,CY</t>
  </si>
  <si>
    <t>ADBE.O,mscalc:epsForConsensusForThomsonFeed,2013Q3,,CY</t>
  </si>
  <si>
    <t>IL.N,mstag:revenueNet,2013Q3,,CY</t>
  </si>
  <si>
    <t>GUID.O,mstag:depreciationInIncomeStatement,2008Q4,,CY</t>
  </si>
  <si>
    <t>AKAM.O,mstag:revenueNet,2011Q2,,CY</t>
  </si>
  <si>
    <t>CTXS.O,mstag:costOfSalesWithDepreciation,2011FY,,CY</t>
  </si>
  <si>
    <t>ADP.O,mscalc:stockRating</t>
  </si>
  <si>
    <t>GOOG.O,mscalc:operatingRevenueForConsensus,2008FY,,CY</t>
  </si>
  <si>
    <t>INTU.O,mstag:otherOperatingExpenseChild,2011FY,,CY</t>
  </si>
  <si>
    <t>VMW.N,mstag:costOfSalesWithDepreciation,2011Q3,,CY</t>
  </si>
  <si>
    <t>RHT.N,mscalc:generalAndAdministrativeExpensesCalc,2013Q2,,CY</t>
  </si>
  <si>
    <t>FIRE.O,mstag:depreciationInIncomeStatement,2008FY,,CY</t>
  </si>
  <si>
    <t>CSCO.O,mscalc:yearEndMonth</t>
  </si>
  <si>
    <t>AKAM.O,mstag:shortTermInvestments,2011Q3,,CY</t>
  </si>
  <si>
    <t>DMAN.O,mscalc:epsForConsensusForThomsonFeed,2009Q2,,CY</t>
  </si>
  <si>
    <t>SAPG.DE,mstag:costOfServicesSold,2009FY,,CY</t>
  </si>
  <si>
    <t>N.N,mscalc:generalAndAdministrativeExpensesCalc,2011Q1,,CY</t>
  </si>
  <si>
    <t>P.N,msuser:cmAUPLEBITDA20060530T0035524245,2011FY,,CY</t>
  </si>
  <si>
    <t>GUID.O,mstag:averageDilutedSharesOutstanding,2011Q3,,CY</t>
  </si>
  <si>
    <t>MKTG.O,mscalc:epsForConsensusForThomsonFeed,2012FY,,CY</t>
  </si>
  <si>
    <t>DELL.O,mscalc:epsForConsensusForThomsonFeed,2010FY,,CY</t>
  </si>
  <si>
    <t>JIVE.O,mscalc:operatingRevenueForConsensus,2013FY,,CY</t>
  </si>
  <si>
    <t>AKAM.O,mstag:researchAndDevelopment,2012Q1,,CY</t>
  </si>
  <si>
    <t>CTXS.O,mstag:revenueNet,2009Q4,,CY</t>
  </si>
  <si>
    <t>ORCL.O,mscalc:epsForConsensusForThomsonFeed,2013Q4,,CY</t>
  </si>
  <si>
    <t>MSFT.O,mstag:marketingAndDistributionCosts,2011Q2,,CY</t>
  </si>
  <si>
    <t>SWI.N,mscalc:operatingRevenueForConsensus,2009FY,,CY</t>
  </si>
  <si>
    <t>FIRE.O,mstag:otherOperatingExpenseChild,2010FY,,CY</t>
  </si>
  <si>
    <t>GUID.O,mscalc:generalAndAdministrativeExpensesCalc,2013Q2,,CY</t>
  </si>
  <si>
    <t>CHKP.O,mstag:researchAndDevelopment,2011Q4,,CY</t>
  </si>
  <si>
    <t>ORCL.O,mscalc:epsForConsensusForThomsonFeed,2009Q3,,CY</t>
  </si>
  <si>
    <t>SFSF.N,mstag:marketingAndDistributionCosts,2009Q2,,CY</t>
  </si>
  <si>
    <t>CRM.N,mstag:researchAndDevelopment,2012Q1,,CY</t>
  </si>
  <si>
    <t>MSFT.O,mstag:costOfSalesWithDepreciation,2011Q2,,CY</t>
  </si>
  <si>
    <t>INTU.O,mscalc:epsForConsensusForThomsonFeed,2012Q4,,CY</t>
  </si>
  <si>
    <t>SFSF.N,mstag:researchAndDevelopment,2013Q1,,CY</t>
  </si>
  <si>
    <t>CRM.N,mscalc:generalAndAdministrativeExpensesCalc,2012Q4,,CY</t>
  </si>
  <si>
    <t>ADSK.O,mstag:otherOperatingExpenseChild,2007FY,,CY</t>
  </si>
  <si>
    <t>ORCL.O,mstag:companyReportedRevenue,2010FY,,CY</t>
  </si>
  <si>
    <t>WBSN.O,mstag:otherOperatingExpenseChild,2009FY,,CY</t>
  </si>
  <si>
    <t>CRM.N,mstag:marketingAndDistributionCosts,2012Q1,,CY</t>
  </si>
  <si>
    <t>SREV.O,mstag:researchAndDevelopment,2011Q3,,CY</t>
  </si>
  <si>
    <t>CHKP.O,mstag:costOfSalesWithDepreciation,2012Q2,,CY</t>
  </si>
  <si>
    <t>N.N,mstag:researchAndDevelopment,2012Q3,,CY</t>
  </si>
  <si>
    <t>Vertical</t>
  </si>
  <si>
    <t>3D Design Products - % of Total Revenue</t>
  </si>
  <si>
    <t>Total AutoCAD LT Installed Base</t>
  </si>
  <si>
    <t>VMW.N,mscalc:epsForConsensusForThomsonFeed,2012Q2,,CY</t>
  </si>
  <si>
    <t>SAPG.DE,mscalc:epsForConsensusForThomsonFeed,2008FY,,CY</t>
  </si>
  <si>
    <t>N.N,mscalc:operatingRevenueForConsensus,2011FY,,CY</t>
  </si>
  <si>
    <t>MSFT.O,mscalc:epsForConsensusForThomsonFeed,2008Q2,,CY</t>
  </si>
  <si>
    <t>GUID.O,mstag:researchAndDevelopment,2009Q4,,CY</t>
  </si>
  <si>
    <t>MSFT.O,mstag:marketingAndDistributionCosts,2011Q1,,CY</t>
  </si>
  <si>
    <t>AKAM.O,mscalc:epsForConsensusForThomsonFeed,2011Q4,,CY</t>
  </si>
  <si>
    <t>MSFT.O,mstag:costOfSalesWithDepreciation,2008Q3,,CY</t>
  </si>
  <si>
    <t>SFSF.N,mstag:marketingAndDistributionCosts,2008Q4,,CY</t>
  </si>
  <si>
    <t>INTU.O,mstag:costOfSalesWithDepreciation,2010FY,,CY</t>
  </si>
  <si>
    <t>GUID.O,mscalc:generalAndAdministrativeExpensesCalc,2013Q4,,CY</t>
  </si>
  <si>
    <t>LNKD.N,mscalc:operatingRevenueForConsensus,2008FY,,CY</t>
  </si>
  <si>
    <t>DMAN.O,mscalc:epsForConsensusForThomsonFeed,2010Q3,,CY</t>
  </si>
  <si>
    <t>N.N,mstag:researchAndDevelopment,2013Q3,,CY</t>
  </si>
  <si>
    <t>CNQR.O,mscalc:operatingRevenueForConsensus,2012FY,,CY</t>
  </si>
  <si>
    <t>MKTG.O,mstag:researchAndDevelopment,2008Q2,,CY</t>
  </si>
  <si>
    <t>SAPG.DE,mscalc:targetPrice</t>
  </si>
  <si>
    <t>IL.N,mstag:costOfSalesWithDepreciation,2008Q4,,CY</t>
  </si>
  <si>
    <t>N.N,mstag:costOfSalesWithDepreciation,2012Q3,,CY</t>
  </si>
  <si>
    <t>CVG.N,msuser:cmAUPLEBITDA20060530T0035524245,2011FY,,CY</t>
  </si>
  <si>
    <t>ADBE.O,mstag:researchAndDevelopment,2012Q4,,CY</t>
  </si>
  <si>
    <t>RNOW.O,mstag:researchAndDevelopment,2013Q4,,CY</t>
  </si>
  <si>
    <t>IL.N,mstag:otherOperatingExpenseChild,2009FY,,CY</t>
  </si>
  <si>
    <t>QLIK.O,mstag:costOfSalesWithDepreciation,2010Q4,,CY</t>
  </si>
  <si>
    <t>FTNT.O,mscalc:epsForConsensusForThomsonFeed,2013Q1,,CY</t>
  </si>
  <si>
    <t>ORCL.O,mstag:researchAndDevelopment,2012Q2,,CY</t>
  </si>
  <si>
    <t>RHT.N,mstag:costOfSalesWithDepreciation,2009FY,,CY</t>
  </si>
  <si>
    <t>CHKP.O,mscalc:generalAndAdministrativeExpensesCalc,2010FY,,CY</t>
  </si>
  <si>
    <t>FTNT.O,mscalc:operatingRevenueForConsensus,2009FY,,CY</t>
  </si>
  <si>
    <t>ORCL.O,mstag:marketingAndDistributionCosts,2012Q3,,CY</t>
  </si>
  <si>
    <t>IL.N,mstag:revenueNet,2008Q3,,CY</t>
  </si>
  <si>
    <t>CRM.N,mstag:costOfSalesWithDepreciation,2009FY,,CY</t>
  </si>
  <si>
    <t>CSCO.O,mscalc:epsForConsensusForThomsonFeed,2011FY,,CY</t>
  </si>
  <si>
    <t>GUID.O,mstag:marketingAndDistributionCosts,2012FY,,CY</t>
  </si>
  <si>
    <t>ADBE.O,mstag:otherOperatingExpenseChild,2011FY,,CY</t>
  </si>
  <si>
    <t>LNKD.N,msuser:cmAUPLEBITDA20060530T0035524245,2007FY,,CY</t>
  </si>
  <si>
    <t>GUID.O,mscalc:generalAndAdministrativeExpensesCalc,2013Q3,,CY</t>
  </si>
  <si>
    <t>AMAT.O,mscalc:operatingRevenueForConsensus,2012FY,,CY</t>
  </si>
  <si>
    <t>SAPG.DE,mstag:researchAndDevelopment,2011FY,,CY</t>
  </si>
  <si>
    <t>Revenue Per Employee</t>
  </si>
  <si>
    <t xml:space="preserve">     License &amp; Other Per Employee</t>
  </si>
  <si>
    <t>Asia Pacific Revenue</t>
  </si>
  <si>
    <t>apac</t>
  </si>
  <si>
    <t>INFA.O,mstag:researchAndDevelopment,2009FY,,CY</t>
  </si>
  <si>
    <t>MKTG.O,mscalc:generalAndAdministrativeExpensesCalc,2011Q2,,CY</t>
  </si>
  <si>
    <t>TXN.N,mscalc:dilutedEarningsPerShare,2008FY,,CY</t>
  </si>
  <si>
    <t>QLIK.O,mstag:researchAndDevelopment,2009Q1,,CY</t>
  </si>
  <si>
    <t>EBAY.O,mscalc:epsForConsensusForThomsonFeed,2011FY,,CY</t>
  </si>
  <si>
    <t>CTXS.O,mstag:marketingCosts,2009Q1,,CY</t>
  </si>
  <si>
    <t>AMAT.O,msuser:cmAUPLEBITDA20060530T0035524245,2010FY,,CY</t>
  </si>
  <si>
    <t>INTU.O,mstag:researchAndDevelopment,2011Q1,,CY</t>
  </si>
  <si>
    <t>INTU.O,mstag:researchAndDevelopment,2008Q3,,CY</t>
  </si>
  <si>
    <t>MSFT.O,mstag:costOfSalesWithDepreciation,2010FY,,CY</t>
  </si>
  <si>
    <t>VMW.N,mscalc:epsForConsensusForThomsonFeed,2007FY,,CY</t>
  </si>
  <si>
    <t>SFSF.N,mscalc:epsForConsensusForThomsonFeed,2012Q4,,CY</t>
  </si>
  <si>
    <t>DMAN.O,mstag:researchAndDevelopment,2011Q3,,CY</t>
  </si>
  <si>
    <t>NA,mstag:marketingAndDistributionCosts,2009FY,,CY</t>
  </si>
  <si>
    <t>CTXS.O,mstag:revenueNet,2009Q2,,CY</t>
  </si>
  <si>
    <t>IL.N,mstag:costOfSalesWithDepreciation,2008Q1,,CY</t>
  </si>
  <si>
    <t>ADSK.O,mscalc:epsForConsensusForThomsonFeed,2011Q1,,CY</t>
  </si>
  <si>
    <t>EMC.N,mscalc:dilutedEarningsPerShare,2009FY,,CY</t>
  </si>
  <si>
    <t>JIVE.O,mstag:marketingAndDistributionCosts,2011FY,,CY</t>
  </si>
  <si>
    <t>MKTG.O,mscalc:epsForConsensusForThomsonFeed,2010Q4,,CY</t>
  </si>
  <si>
    <t>GUID.O,mstag:researchAndDevelopment,2008Q1,,CY</t>
  </si>
  <si>
    <t>IL.N,mstag:revenueNet,2010Q3,,CY</t>
  </si>
  <si>
    <t>AKAM.O,mscalc:epsForConsensusForThomsonFeed,2008Q1,,CY</t>
  </si>
  <si>
    <t>SWI.N,mstag:costOfSalesWithDepreciation,2013Q2,,CY</t>
  </si>
  <si>
    <t>FISV.O,mscalc:operatingRevenueForConsensus,2013FY,,CY</t>
  </si>
  <si>
    <t>INTU.O,mstag:marketingAndDistributionCosts,2008FY,,CY</t>
  </si>
  <si>
    <t>TLEO.O,mscalc:epsForConsensusForThomsonFeed,2012Q4,,CY</t>
  </si>
  <si>
    <t>N.N,mstag:revenueNet,2013Q3,,CY</t>
  </si>
  <si>
    <t>TLEO.O,mstag:costOfSalesWithDepreciation,2011Q3,,CY</t>
  </si>
  <si>
    <t>CNQR.O,mstag:costOfSalesWithDepreciation,2012FY,,CY</t>
  </si>
  <si>
    <t>DMAN.O,mstag:costOfSalesWithDepreciation,2010Q3,,CY</t>
  </si>
  <si>
    <t>CSCO.O,mscalc:dilutedEarningsPerShare,2009FY,,CY</t>
  </si>
  <si>
    <t>QLIK.O,mstag:costOfSalesWithDepreciation,2010Q3,,CY</t>
  </si>
  <si>
    <t>ADBE.O,mstag:marketingAndDistributionCosts,2009Q3,,CY</t>
  </si>
  <si>
    <t>N.N,mscalc:generalAndAdministrativeExpensesCalc,2012Q4,,CY</t>
  </si>
  <si>
    <t>SFSF.N,mstag:costOfSalesWithDepreciation,2011Q4,,CY</t>
  </si>
  <si>
    <t>FIRE.O,mscalc:generalAndAdministrativeExpensesCalc,2009FY,,CY</t>
  </si>
  <si>
    <t>AAPL.O,mscalc:operatingRevenueForConsensus,2007FY,,CY</t>
  </si>
  <si>
    <t>CTXS.O,mstag:marketingCosts,2012Q4,,CY</t>
  </si>
  <si>
    <t>IL.N,mstag:costOfSalesWithDepreciation,2009Q4,,CY</t>
  </si>
  <si>
    <t>SFSF.N,mscalc:epsForConsensusForThomsonFeed,2009Q1,,CY</t>
  </si>
  <si>
    <t>FIRE.O,mstag:marketingAndDistributionCosts,2009FY,,CY</t>
  </si>
  <si>
    <t>AKAM.O,mscalc:epsForConsensusForThomsonFeed,2010Q3,,CY</t>
  </si>
  <si>
    <t>HRB.N,msuser:cmAUPLEBITDA20060530T0035524245,2011FY,,CY</t>
  </si>
  <si>
    <t>N.N,mstag:revenueNet,2013Q1,,CY</t>
  </si>
  <si>
    <t>SWI.N,mstag:researchAndDevelopment,2013Q2,,CY</t>
  </si>
  <si>
    <t>SREV.O,mstag:revenueNet,2009Q2,,CY</t>
  </si>
  <si>
    <t>TXN.N,mscalc:epsForConsensusForThomsonFeed,2011FY,,CY</t>
  </si>
  <si>
    <t>CHKP.O,mstag:marketingAndDistributionCosts,2008FY,,CY</t>
  </si>
  <si>
    <t>WBSN.O,mscalc:generalAndAdministrativeExpensesCalc,2008Q4,,CY</t>
  </si>
  <si>
    <t>MKTG.O,mstag:revenueNet,2008Q2,,CY</t>
  </si>
  <si>
    <t>SAPG.DE,mscalc:operatingRevenueForConsensus,2007FY,,CY</t>
  </si>
  <si>
    <t>INTU.O,mscalc:operatingRevenueForConsensus,2008FY,,CY</t>
  </si>
  <si>
    <t>SREV.O,mstag:researchAndDevelopment,2012FY,,CY</t>
  </si>
  <si>
    <t>GRPN.O,mscalc:epsForConsensusForThomsonFeed,2011FY,,CY</t>
  </si>
  <si>
    <t>SWI.N,mstag:researchAndDevelopment,2008FY,,CY</t>
  </si>
  <si>
    <t>WBSN.O,mstag:costOfSalesWithDepreciation,2007FY,,CY</t>
  </si>
  <si>
    <t>MKTG.O,mscalc:epsForConsensusForThomsonFeed,2013Q2,,CY</t>
  </si>
  <si>
    <t>IL.N,mstag:costOfSalesWithDepreciation,2013Q2,,CY</t>
  </si>
  <si>
    <t>ADBE.O,mstag:researchAndDevelopment,2008Q2,,CY</t>
  </si>
  <si>
    <t>RHT.N,mscalc:operatingRevenueForConsensus,2010FY,,CY</t>
  </si>
  <si>
    <t>MKTG.O,mstag:revenueNet,2011Q3,,CY</t>
  </si>
  <si>
    <t>QLIK.O,mscalc:epsForConsensusForThomsonFeed,2011Q4,,CY</t>
  </si>
  <si>
    <t>ZNGA.O,mscalc:epsForConsensusForThomsonFeed,2008FY,,CY</t>
  </si>
  <si>
    <t>SREV.O,mscalc:epsForConsensusForThomsonFeed,2009Q3,,CY</t>
  </si>
  <si>
    <t>JIVE.O,mscalc:operatingRevenueForConsensus,2008FY,,CY</t>
  </si>
  <si>
    <t>AKAM.O,mscalc:generalAndAdministrativeExpensesCalc,2008Q2,,CY</t>
  </si>
  <si>
    <t>RNOW.O,mscalc:epsForConsensusForThomsonFeed,2010Q4,,CY</t>
  </si>
  <si>
    <t>VMW.N,mstag:marketingCosts,2010Q4,,CY</t>
  </si>
  <si>
    <t>HRB.N,mscalc:operatingRevenueForConsensus,2008FY,,CY</t>
  </si>
  <si>
    <t>MKTG.O,mscalc:generalAndAdministrativeExpensesCalc,2010Q3,,CY</t>
  </si>
  <si>
    <t>RNOW.O,mstag:costOfSalesWithDepreciation,2010Q2,,CY</t>
  </si>
  <si>
    <t>TLEO.O,mstag:marketingAndDistributionCosts,2012Q3,,CY</t>
  </si>
  <si>
    <t>MKTG.O,mstag:revenueNet,2008Q3,,CY</t>
  </si>
  <si>
    <t>N.N,mstag:averageDilutedSharesOutstanding,2011Q4,,CY</t>
  </si>
  <si>
    <t>CTXS.O,mstag:marketingCosts,2009Q3,,CY</t>
  </si>
  <si>
    <t>RNOW.O,mscalc:generalAndAdministrativeExpensesCalc,2010Q3,,CY</t>
  </si>
  <si>
    <t>AKAM.O,mstag:marketingAndDistributionCosts,2011FY,,CY</t>
  </si>
  <si>
    <t>DMAN.O,mstag:revenueNet,2012Q4,,CY</t>
  </si>
  <si>
    <t xml:space="preserve">Consensus </t>
  </si>
  <si>
    <t>ORCL.O,mstag:companyReportedRevenue,2011Q2,,CY</t>
  </si>
  <si>
    <t>SYMC.O,mscalc:targetPrice</t>
  </si>
  <si>
    <t>CHKP.O,mstag:researchAndDevelopment,2010Q4,,CY</t>
  </si>
  <si>
    <t>SYMC.O,mstag:longTermDebt,2011Q4,,CY</t>
  </si>
  <si>
    <t>GUID.O,mscalc:epsForConsensusForThomsonFeed,2009Q2,,CY</t>
  </si>
  <si>
    <t>INTU.O,mscalc:epsForConsensusForThomsonFeed,2009Q3,,CY</t>
  </si>
  <si>
    <t>RHT.N,mstag:costOfSalesWithDepreciation,2012Q2,,CY</t>
  </si>
  <si>
    <t>NA,mstag:otherOperatingExpenseChild,2010FY,,CY</t>
  </si>
  <si>
    <t>DMAN.O,mstag:revenueNet,2008Q1,,CY</t>
  </si>
  <si>
    <t>INTU.O,mstag:costOfSalesWithDepreciation,2013Q4,,CY</t>
  </si>
  <si>
    <t>SREV.O,mscalc:operatingRevenueForConsensus,2008FY,,CY</t>
  </si>
  <si>
    <t>SYMC.O,mstag:otherOperatingExpenseChild,2008FY,,CY</t>
  </si>
  <si>
    <t>WBSN.O,mstag:revenueNet,2008Q3,,CY</t>
  </si>
  <si>
    <t>ADBE.O,mscalc:epsForConsensusForThomsonFeed,2009Q1,,CY</t>
  </si>
  <si>
    <t>N.N,mstag:marketingAndDistributionCosts,2009Q3,,CY</t>
  </si>
  <si>
    <t>JNPR.N,mscalc:operatingRevenueForConsensus,2011FY,,CY</t>
  </si>
  <si>
    <t>CRM.N,mscalc:epsForConsensusForThomsonFeed,2011Q1,,CY</t>
  </si>
  <si>
    <t>SWI.N,mscalc:epsForConsensusForThomsonFeed,2008Q4,,CY</t>
  </si>
  <si>
    <t>SFSF.N,mstag:companyReportedRevenue,2009Q2,,CY</t>
  </si>
  <si>
    <t>MSFT.O,mstag:revenueNet,2010Q3,,CY</t>
  </si>
  <si>
    <t>FIRE.O,mscalc:epsForConsensusForThomsonFeed,2012Q4,,CY</t>
  </si>
  <si>
    <t>CHKP.O,mstag:otherOperatingExpenseChild,2009FY,,CY</t>
  </si>
  <si>
    <t>VMW.N,mstag:marketingCosts,2010FY,,CY</t>
  </si>
  <si>
    <t>AKAM.O,mscalc:epsForConsensusForThomsonFeed,2011Q1,,CY</t>
  </si>
  <si>
    <t>LNKD.N,mscalc:operatingRevenueForConsensus,2009FY,,CY</t>
  </si>
  <si>
    <t>SREV.O,mstag:costOfSalesWithDepreciation,2011Q2,,CY</t>
  </si>
  <si>
    <t>ADBE.O,mstag:researchAndDevelopment,2012Q3,,CY</t>
  </si>
  <si>
    <t>FIRE.O,mscalc:generalAndAdministrativeExpensesCalc,2013Q4,,CY</t>
  </si>
  <si>
    <t>CNQR.O,mscalc:operatingRevenueForConsensus,2013FY,,CY</t>
  </si>
  <si>
    <t>SAPG.DE,mstag:researchAndDevelopment,2009FY,,CY</t>
  </si>
  <si>
    <t>FIRE.O,mstag:depreciationInIncomeStatement,2012FY,,CY</t>
  </si>
  <si>
    <t>MKTG.O,mscalc:epsForConsensusForThomsonFeed,2010Q3,,CY</t>
  </si>
  <si>
    <t>SWI.N,mstag:costOfSalesWithDepreciation,2011Q4,,CY</t>
  </si>
  <si>
    <t>EMC.N,mscalc:operatingRevenueForConsensus,2009FY,,CY</t>
  </si>
  <si>
    <t>TLEO.O,mscalc:epsForConsensusForThomsonFeed,2011Q4,,CY</t>
  </si>
  <si>
    <t>GUID.O,mscalc:epsForConsensusForThomsonFeed,2011FY,,CY</t>
  </si>
  <si>
    <t>MKTG.O,mscalc:epsForConsensusForThomsonFeed,2013Q4,,CY</t>
  </si>
  <si>
    <t>N.N,mscalc:epsForConsensusForThomsonFeed,2009Q2,,CY</t>
  </si>
  <si>
    <t>SYMC.O,mscalc:epsForConsensusForThomsonFeed,2008Q4,,CY</t>
  </si>
  <si>
    <t>AKAM.O,mstag:softwareLicenseRevenues,2009FY,,CY</t>
  </si>
  <si>
    <t>ORCL.O,mstag:softwareLicenseRevenues,2011FY,,CY</t>
  </si>
  <si>
    <t>FTNT.O,mstag:marketingAndDistributionCosts,2012FY,,CY</t>
  </si>
  <si>
    <t>RHT.N,mstag:revenueNet,2010Q3,,CY</t>
  </si>
  <si>
    <t>TLEO.O,mstag:researchAndDevelopment,2012FY,,CY</t>
  </si>
  <si>
    <t>INTU.O,mstag:researchAndDevelopment,2009Q1,,CY</t>
  </si>
  <si>
    <t>HPQ.N,mscalc:dilutedEarningsPerShare,2007FY,,CY</t>
  </si>
  <si>
    <t>SYMC.O,mscalc:epsForConsensusForThomsonFeed,2010FY,,CY</t>
  </si>
  <si>
    <t>OPEN.O,msuser:cmAUPLEBITDA20060530T0035524245,2007FY,,CY</t>
  </si>
  <si>
    <t>SAPG.DE,mscalc:epsForConsensusForThomsonFeed,2012FY,,CY</t>
  </si>
  <si>
    <t>WBSN.O,mstag:averageDilutedSharesOutstanding,2011Q4,,CY</t>
  </si>
  <si>
    <t>FIRE.O,mscalc:generalAndAdministrativeExpensesCalc,2008Q1,,CY</t>
  </si>
  <si>
    <t>MSFT.O,mstag:researchAndDevelopment,2009Q1,,CY</t>
  </si>
  <si>
    <t>CHKP.O,mstag:revenueNet,2008Q2,,CY</t>
  </si>
  <si>
    <t>,mscalc:epsForConsensusForThomsonFeed,2010FY,,CY</t>
  </si>
  <si>
    <t>INFA.O,mscalc:operatingRevenueForConsensus,2009FY,,CY</t>
  </si>
  <si>
    <t>N.N,mscalc:epsForConsensusForThomsonFeed,2013Q4,,CY</t>
  </si>
  <si>
    <t>SREV.O,mstag:researchAndDevelopment,2013Q3,,CY</t>
  </si>
  <si>
    <t>CRM.N,mstag:costOfSalesWithDepreciation,2010Q2,,CY</t>
  </si>
  <si>
    <t>QLIK.O,mscalc:generalAndAdministrativeExpensesCalc,2008Q1,,CY</t>
  </si>
  <si>
    <t>DMAN.O,mstag:revenueNet,2009Q3,,CY</t>
  </si>
  <si>
    <t>VRSN.O,mstag:researchAndDevelopment,2012FY,,CY</t>
  </si>
  <si>
    <t>WBSN.O,mscalc:generalAndAdministrativeExpensesCalc,2008Q2,,CY</t>
  </si>
  <si>
    <t>SWI.N,mstag:researchAndDevelopment,2013FY,,CY</t>
  </si>
  <si>
    <t>CRM.N,mscalc:epsForConsensusForThomsonFeed,2008FY,,CY</t>
  </si>
  <si>
    <t>LNKD.N,msuser:cmAUPLEBITDA20060530T0035524245,2008FY,,CY</t>
  </si>
  <si>
    <t>TLEO.O,mstag:revenueNet,2013Q2,,CY</t>
  </si>
  <si>
    <t>RNOW.O,mstag:revenueNet,2012Q3,,CY</t>
  </si>
  <si>
    <t>HPQ.N,msuser:cmAUPLEBITDA20060530T0035524245,2009FY,,CY</t>
  </si>
  <si>
    <t>ADBE.O,mstag:costOfSalesWithDepreciation,2011Q2,,CY</t>
  </si>
  <si>
    <t>FISV.O,mscalc:stockRating</t>
  </si>
  <si>
    <t>WBSN.O,mstag:costOfSalesWithDepreciation,2010Q1,,CY</t>
  </si>
  <si>
    <t>VMW.N,mstag:revenueNet,2011Q2,,CY</t>
  </si>
  <si>
    <t>N.N,mscalc:epsForConsensusForThomsonFeed,2010Q4,,CY</t>
  </si>
  <si>
    <t>FIRE.O,mscalc:operatingRevenueForConsensus,2012FY,,CY</t>
  </si>
  <si>
    <t>IBM.N,mscalc:dilutedEarningsPerShare,2009FY,,CY</t>
  </si>
  <si>
    <t>SWI.N,mstag:researchAndDevelopment,2007FY,,CY</t>
  </si>
  <si>
    <t>DMAN.O,mscalc:epsForConsensusForThomsonFeed,2009Q3,,CY</t>
  </si>
  <si>
    <t>MSFT.O,mstag:researchAndDevelopment,2011Q4,,CY</t>
  </si>
  <si>
    <t>CHKP.O,mstag:revenueNet,2012Q2,,CY</t>
  </si>
  <si>
    <t>HRB.N,mscalc:stockRating</t>
  </si>
  <si>
    <t>AKAM.O,mstag:marketingAndDistributionCosts,2013FY,,CY</t>
  </si>
  <si>
    <t>MKTG.O,mstag:costOfSalesWithDepreciation,2008Q2,,CY</t>
  </si>
  <si>
    <t>ORCL.O,mstag:marketingAndDistributionCosts,2011FY,,CY</t>
  </si>
  <si>
    <t>INTU.O,mstag:revenueNet,2009Q1,,CY</t>
  </si>
  <si>
    <t>QLIK.O,mscalc:operatingRevenueForConsensus,2010FY,,CY</t>
  </si>
  <si>
    <t>INTU.O,mscalc:operatingRevenueForConsensus,2013FY,,CY</t>
  </si>
  <si>
    <t>RHT.N,mstag:otherOperatingExpenseChild,2009FY,,CY</t>
  </si>
  <si>
    <t>ADBE.O,mstag:researchAndDevelopment,2013Q1,,CY</t>
  </si>
  <si>
    <t>FIRE.O,mstag:depreciationInIncomeStatement,2011Q4,,CY</t>
  </si>
  <si>
    <t>FIRE.O,mscalc:generalAndAdministrativeExpensesCalc,2010Q2,,CY</t>
  </si>
  <si>
    <t>RNOW.O,mstag:marketingAndDistributionCosts,2010Q1,,CY</t>
  </si>
  <si>
    <t>ORCL.O,mstag:researchAndDevelopment,2012FY,,CY</t>
  </si>
  <si>
    <t>GUID.O,mstag:depreciationInIncomeStatement,2011Q3,,CY</t>
  </si>
  <si>
    <t>FTNT.O,mscalc:generalAndAdministrativeExpensesCalc,2012Q4,,CY</t>
  </si>
  <si>
    <t>SFSF.N,mstag:marketingAndDistributionCosts,2013Q4,,CY</t>
  </si>
  <si>
    <t>IL.N,mscalc:epsForConsensusForThomsonFeed,2011Q1,,CY</t>
  </si>
  <si>
    <t>JNPR.N,msuser:cmAUPLEBITDA20060530T0035524245,2009FY,,CY</t>
  </si>
  <si>
    <t>SFSF.N,mstag:costOfSalesWithDepreciation,2009Q2,,CY</t>
  </si>
  <si>
    <t>SWI.N,mstag:marketingAndDistributionCosts,2012Q4,,CY</t>
  </si>
  <si>
    <t>QLIK.O,mstag:researchAndDevelopment,2013Q4,,CY</t>
  </si>
  <si>
    <t>DELL.O,mscalc:dilutedEarningsPerShare,2008FY,,CY</t>
  </si>
  <si>
    <t>MSFT.O,mstag:costOfSalesWithDepreciation,2009Q4,,CY</t>
  </si>
  <si>
    <t>INTU.O,mscalc:generalAndAdministrativeExpensesCalc,2011Q1,,CY</t>
  </si>
  <si>
    <t>ADBE.O,mscalc:generalAndAdministrativeExpensesCalc,2011Q1,,CY</t>
  </si>
  <si>
    <t>INTU.O,mstag:softwareProductRevenues,2008FY,,CY</t>
  </si>
  <si>
    <t>ADSK.O,mstag:revenueNet,2010Q4,,CY</t>
  </si>
  <si>
    <t>QLIK.O,mscalc:yearEndMonth</t>
  </si>
  <si>
    <t>VMW.N,mstag:marketingCosts,2011Q4,,CY</t>
  </si>
  <si>
    <t>GOOG.O,mscalc:dilutedEarningsPerShare,2007FY,,CY</t>
  </si>
  <si>
    <t>FIRE.O,mscalc:epsForConsensusForThomsonFeed,2007FY,,CY</t>
  </si>
  <si>
    <t>CRM.N,mstag:costOfSalesWithDepreciation,2013Q3,,CY</t>
  </si>
  <si>
    <t>IL.N,mscalc:generalAndAdministrativeExpensesCalc,2008Q2,,CY</t>
  </si>
  <si>
    <t>AAPL.O,mscalc:stockRating</t>
  </si>
  <si>
    <t>HRB.N,mscalc:epsForConsensusForThomsonFeed,2007FY,,CY</t>
  </si>
  <si>
    <t>FIRE.O,mstag:researchAndDevelopment,2008Q2,,CY</t>
  </si>
  <si>
    <t>QLIK.O,mscalc:generalAndAdministrativeExpensesCalc,2007FY,,CY</t>
  </si>
  <si>
    <t>INTU.O,mscalc:generalAndAdministrativeExpensesCalc,2011Q4,,CY</t>
  </si>
  <si>
    <t>TLEO.O,mstag:researchAndDevelopment,2010Q2,,CY</t>
  </si>
  <si>
    <t>DMAN.O,mstag:researchAndDevelopment,2013Q1,,CY</t>
  </si>
  <si>
    <t>RHT.N,mstag:revenueNet,2008Q4,,CY</t>
  </si>
  <si>
    <t>RNOW.O,mstag:revenueNet,2010Q2,,CY</t>
  </si>
  <si>
    <t>SWI.N,mstag:researchAndDevelopment,2009FY,,CY</t>
  </si>
  <si>
    <t>WBSN.O,mstag:otherOperatingExpenseChild,2007FY,,CY</t>
  </si>
  <si>
    <t>VMW.N,mstag:researchAndDevelopment,2011FY,,CY</t>
  </si>
  <si>
    <t>SREV.O,mscalc:epsForConsensusForThomsonFeed,2011Q2,,CY</t>
  </si>
  <si>
    <t>GUID.O,mstag:revenueNet,2009Q4,,CY</t>
  </si>
  <si>
    <t>ADP.O,msuser:cmAUPLEBITDA20060530T0035524245,2007FY,,CY</t>
  </si>
  <si>
    <t>AKAM.O,mscalc:generalAndAdministrativeExpensesCalc,2013FY,,CY</t>
  </si>
  <si>
    <t>GUID.O,mscalc:epsForConsensusForThomsonFeed,2012Q1,,CY</t>
  </si>
  <si>
    <t>JIVE.O,mstag:marketingAndDistributionCosts,2013FY,,CY</t>
  </si>
  <si>
    <t>EMC.N,msuser:cmAUPLEBITDA20060530T0035524245,2009FY,,CY</t>
  </si>
  <si>
    <t>ADSK.O,mstag:researchAndDevelopment,2009Q4,,CY</t>
  </si>
  <si>
    <t>WBSN.O,mstag:revenueNet,2011Q4,,CY</t>
  </si>
  <si>
    <t>INTU.O,mstag:researchAndDevelopment,2009Q3,,CY</t>
  </si>
  <si>
    <t>RHT.N,mstag:costOfSalesWithDepreciation,2008Q2,,CY</t>
  </si>
  <si>
    <t>FIRE.O,mstag:marketingAndDistributionCosts,2010Q3,,CY</t>
  </si>
  <si>
    <t>INTU.O,mstag:researchAndDevelopment,2011Q2,,CY</t>
  </si>
  <si>
    <t>CRM.N,mstag:revenueNet,2010Q3,,CY</t>
  </si>
  <si>
    <t>CTXS.O,mstag:softwareProductRevenues,2013FY,,CY</t>
  </si>
  <si>
    <t>GUID.O,mstag:marketingAndDistributionCosts,2010Q1,,CY</t>
  </si>
  <si>
    <t>SWI.N,mscalc:generalAndAdministrativeExpensesCalc,2012Q1,,CY</t>
  </si>
  <si>
    <t>AKAM.O,mstag:costOfSalesWithDepreciation,2012Q4,,CY</t>
  </si>
  <si>
    <t>CHKP.O,mstag:researchAndDevelopment,2010Q1,,CY</t>
  </si>
  <si>
    <t>DMAN.O,mstag:researchAndDevelopment,2012Q1,,CY</t>
  </si>
  <si>
    <t>SYMC.O,mstag:costOfSalesWithDepreciation,2010Q1,,CY</t>
  </si>
  <si>
    <t>SWI.N,mstag:revenueNet,2009Q4,,CY</t>
  </si>
  <si>
    <t>MSFT.O,mstag:revenueNet,2011Q3,,CY</t>
  </si>
  <si>
    <t>SREV.O,mstag:marketingAndDistributionCosts,2013Q2,,CY</t>
  </si>
  <si>
    <t>VMW.N,mstag:costOfSalesWithDepreciation,2010Q3,,CY</t>
  </si>
  <si>
    <t>INTU.O,mstag:revenueNet,2010Q3,,CY</t>
  </si>
  <si>
    <t>DST.N,mscalc:operatingRevenueForConsensus,2007FY,,CY</t>
  </si>
  <si>
    <t>IL.N,mstag:cashAndCashEquivalents,2011Q3,,CY</t>
  </si>
  <si>
    <t>MKTG.O,mstag:marketingAndDistributionCosts,2009Q1,,CY</t>
  </si>
  <si>
    <t>INTU.O,mscalc:stockRating</t>
  </si>
  <si>
    <t>FIRE.O,mstag:revenueNet,2009Q2,,CY</t>
  </si>
  <si>
    <t>DMAN.O,mstag:researchAndDevelopment,2013Q4,,CY</t>
  </si>
  <si>
    <t>INTU.O,mstag:softwareProductRevenues,2010FY,,CY</t>
  </si>
  <si>
    <t>TLEO.O,mscalc:generalAndAdministrativeExpensesCalc,2008Q4,,CY</t>
  </si>
  <si>
    <t>OPEN.O,mscalc:operatingRevenueForConsensus,2007FY,,CY</t>
  </si>
  <si>
    <t>ADBE.O,mscalc:operatingRevenueForConsensus,2010FY,,CY</t>
  </si>
  <si>
    <t>CHKP.O,mscalc:epsForConsensusForThomsonFeed,2013FY,,CY</t>
  </si>
  <si>
    <t>MKTG.O,mscalc:generalAndAdministrativeExpensesCalc,2009Q3,,CY</t>
  </si>
  <si>
    <t>WBSN.O,mstag:otherOperatingExpenseChild,2012FY,,CY</t>
  </si>
  <si>
    <t>QLIK.O,mstag:revenueNet,2009Q2,,CY</t>
  </si>
  <si>
    <t>CTXS.O,mscalc:epsForConsensusForThomsonFeed,2013Q1,,CY</t>
  </si>
  <si>
    <t>AKAM.O,mstag:shortTermBorrowings,2011Q3,,CY</t>
  </si>
  <si>
    <t>TLEO.O,mstag:revenueNet,2008Q1,,CY</t>
  </si>
  <si>
    <t>CTXS.O,mstag:marketingCosts,2008Q4,,CY</t>
  </si>
  <si>
    <t>FTNT.O,mscalc:generalAndAdministrativeExpensesCalc,2013Q1,,CY</t>
  </si>
  <si>
    <t>ADSK.O,mstag:marketingAndDistributionCosts,2013Q1,,CY</t>
  </si>
  <si>
    <t>MSFT.O,mstag:costOfSalesWithDepreciation,2008FY,,CY</t>
  </si>
  <si>
    <t>RHT.N,mscalc:generalAndAdministrativeExpensesCalc,2008Q4,,CY</t>
  </si>
  <si>
    <t>QLIK.O,mstag:revenueNet,2010Q1,,CY</t>
  </si>
  <si>
    <t>QLIK.O,mstag:costOfSalesWithDepreciation,2012Q1,,CY</t>
  </si>
  <si>
    <t>N.N,mscalc:epsForConsensusForThomsonFeed,2008Q3,,CY</t>
  </si>
  <si>
    <t>VMW.N,mstag:marketingCosts,2012Q4,,CY</t>
  </si>
  <si>
    <t>IL.N,mscalc:epsForConsensusForThomsonFeed,2008Q2,,CY</t>
  </si>
  <si>
    <t>FIRE.O,mstag:researchAndDevelopment,2011Q3,,CY</t>
  </si>
  <si>
    <t>TLEO.O,mstag:marketingAndDistributionCosts,2008FY,,CY</t>
  </si>
  <si>
    <t>QLIK.O,mscalc:epsForConsensusForThomsonFeed,2009Q3,,CY</t>
  </si>
  <si>
    <t>AKAM.O,mstag:researchAndDevelopment,2012Q2,,CY</t>
  </si>
  <si>
    <t>WBSN.O,mstag:revenueNet,2013Q3,,CY</t>
  </si>
  <si>
    <t>RHT.N,mstag:longTermInvestmentsNonOperating,2011Q4,,CY</t>
  </si>
  <si>
    <t>SWI.N,mstag:researchAndDevelopment,2011Q4,,CY</t>
  </si>
  <si>
    <t>TXN.N,mscalc:operatingRevenueForConsensus,2013FY,,CY</t>
  </si>
  <si>
    <t>AKAM.O,mstag:costOfSalesWithDepreciation,2012Q2,,CY</t>
  </si>
  <si>
    <t>WBSN.O,mscalc:epsForConsensusForThomsonFeed,2011Q4,,CY</t>
  </si>
  <si>
    <t>AKAM.O,mstag:researchAndDevelopment,2007FY,,CY</t>
  </si>
  <si>
    <t>NA,mstag:researchAndDevelopment,2010FY,,CY</t>
  </si>
  <si>
    <t>GUID.O,mstag:depreciationInIncomeStatement,2013Q3,,CY</t>
  </si>
  <si>
    <t>FIRE.O,mscalc:epsForConsensusForThomsonFeed,2008Q4,,CY</t>
  </si>
  <si>
    <t>FTNT.O,mstag:otherOperatingExpenseChild,2008FY,,CY</t>
  </si>
  <si>
    <t>ADBE.O,mscalc:generalAndAdministrativeExpensesCalc,2009Q4,,CY</t>
  </si>
  <si>
    <t>FTNT.O,mscalc:epsForConsensusForThomsonFeed,2013Q4,,CY</t>
  </si>
  <si>
    <t>FTNT.O,mstag:researchAndDevelopment,2010Q3,,CY</t>
  </si>
  <si>
    <t>QLIK.O,mscalc:generalAndAdministrativeExpensesCalc,2009FY,,CY</t>
  </si>
  <si>
    <t xml:space="preserve">          Contribution Margin</t>
  </si>
  <si>
    <t xml:space="preserve">     DSO on Gross AR</t>
  </si>
  <si>
    <t>nirep</t>
  </si>
  <si>
    <t>FY97</t>
  </si>
  <si>
    <t>FY98</t>
  </si>
  <si>
    <t>FY99</t>
  </si>
  <si>
    <t>FY00</t>
  </si>
  <si>
    <t>FY01</t>
  </si>
  <si>
    <t>FY02</t>
  </si>
  <si>
    <t>FY03</t>
  </si>
  <si>
    <t>2004</t>
  </si>
  <si>
    <t>FY04</t>
  </si>
  <si>
    <t>2005</t>
  </si>
  <si>
    <t>FY05</t>
  </si>
  <si>
    <t>Cash Taxes Paid (from CFS)</t>
  </si>
  <si>
    <t>% of GAAP Pretax</t>
  </si>
  <si>
    <t>Product Returns and Other Reserves</t>
  </si>
  <si>
    <t xml:space="preserve">     Q.Q.</t>
  </si>
  <si>
    <t>ISO4217:USD</t>
  </si>
  <si>
    <t>FIRE.O,mstag:depreciationInIncomeStatement,2011Q2,,CY</t>
  </si>
  <si>
    <t>RNOW.O,mstag:costOfSalesWithDepreciation,2013Q2,,CY</t>
  </si>
  <si>
    <t>QLIK.O,mscalc:generalAndAdministrativeExpensesCalc,2011FY,,CY</t>
  </si>
  <si>
    <t>lrev</t>
  </si>
  <si>
    <t>AEC Seats Shipped</t>
  </si>
  <si>
    <t>AEC Installed Base</t>
  </si>
  <si>
    <t>Total 2D Product Revenues</t>
  </si>
  <si>
    <t>Other Accrued Liabilities</t>
  </si>
  <si>
    <t>Deferred Income Taxes</t>
  </si>
  <si>
    <t>Other</t>
  </si>
  <si>
    <t>ltmrnd</t>
  </si>
  <si>
    <t>LTM Operating Margin</t>
  </si>
  <si>
    <t>LTM R&amp;D</t>
  </si>
  <si>
    <t>LTM CFFO</t>
  </si>
  <si>
    <t>This sheet contains Factset binary data for use with this workbook's =FDS codes.  Modifying the worksheet's contents may damage the workbook's =FDS functionality.</t>
  </si>
  <si>
    <t>Deferred Income Taxes, Net</t>
  </si>
  <si>
    <t>Accrued Income Taxes</t>
  </si>
  <si>
    <t>Changes in operating assets, liabilities &amp; other</t>
  </si>
  <si>
    <t>1c08</t>
  </si>
  <si>
    <t>2c08</t>
  </si>
  <si>
    <t>3c08</t>
  </si>
  <si>
    <t>4c08</t>
  </si>
  <si>
    <t>7/11</t>
  </si>
  <si>
    <t>Free Cash Flow</t>
  </si>
  <si>
    <t>Operating Margins</t>
  </si>
  <si>
    <t>Op Margins up at least 200bps</t>
  </si>
  <si>
    <t>Total Inventor Installed Base - Commercial</t>
  </si>
  <si>
    <t>Effective Tax Rate</t>
  </si>
  <si>
    <t xml:space="preserve">a) Cash flow actuals represent reported figures from most recent company filings.  </t>
  </si>
  <si>
    <t>Charge for acquired IPR&amp;D</t>
  </si>
  <si>
    <t>License &amp; Other</t>
  </si>
  <si>
    <t>M&amp;S</t>
  </si>
  <si>
    <t xml:space="preserve">  Operating margin</t>
  </si>
  <si>
    <t>Marketable Securities</t>
  </si>
  <si>
    <t xml:space="preserve">   Shares repurchased YTD</t>
  </si>
  <si>
    <t>Litigation accrual reversal</t>
  </si>
  <si>
    <t>Discount Rate</t>
  </si>
  <si>
    <t>VRSN.O,mstag:marketingAndDistributionCosts,2011FY,,CY</t>
  </si>
  <si>
    <t>MSFT.O,mstag:marketingAndDistributionCosts,2012Q3,,CY</t>
  </si>
  <si>
    <t>GUID.O,mscalc:epsForConsensusForThomsonFeed,2008Q1,,CY</t>
  </si>
  <si>
    <t>SFSF.N,mscalc:epsForConsensusForThomsonFeed,2011Q2,,CY</t>
  </si>
  <si>
    <t>SFSF.N,mstag:companyReportedRevenue,2013Q4,,CY</t>
  </si>
  <si>
    <t>AKAM.O,mstag:costOfSalesWithDepreciation,2011FY,,CY</t>
  </si>
  <si>
    <t>NA,mscalc:epsForConsensusForThomsonFeed,2012FY,,CY</t>
  </si>
  <si>
    <t>WBSN.O,mscalc:operatingRevenueForConsensus,2010FY,,CY</t>
  </si>
  <si>
    <t>RNOW.O,mstag:researchAndDevelopment,2008Q4,,CY</t>
  </si>
  <si>
    <t>ORCL.O,mstag:costOfSalesWithDepreciation,2011Q1,,CY</t>
  </si>
  <si>
    <t>CTXS.O,mstag:revenueNet,2010Q2,,CY</t>
  </si>
  <si>
    <t>TLEO.O,mstag:researchAndDevelopment,2012Q4,,CY</t>
  </si>
  <si>
    <t>CTXS.O,mstag:researchAndDevelopment,2009Q1,,CY</t>
  </si>
  <si>
    <t>CRM.N,mstag:revenueNet,2011Q4,,CY</t>
  </si>
  <si>
    <t>VMW.N,mstag:costOfSalesWithDepreciation,2011Q2,,CY</t>
  </si>
  <si>
    <t>SYMC.O,mstag:revenueNet,2010Q2,,CY</t>
  </si>
  <si>
    <t>FTNT.O,mscalc:generalAndAdministrativeExpensesCalc,2009FY,,CY</t>
  </si>
  <si>
    <t>MKTG.O,mstag:researchAndDevelopment,2009Q1,,CY</t>
  </si>
  <si>
    <t>IL.N,mstag:marketingAndDistributionCosts,2013Q3,,CY</t>
  </si>
  <si>
    <t>SFSF.N,mstag:companyReportedRevenue,2011Q4,,CY</t>
  </si>
  <si>
    <t>RNOW.O,mscalc:epsForConsensusForThomsonFeed,2011Q4,,CY</t>
  </si>
  <si>
    <t>CRM.N,mstag:marketingAndDistributionCosts,2009FY,,CY</t>
  </si>
  <si>
    <t>GUID.O,mstag:researchAndDevelopment,2011Q4,,CY</t>
  </si>
  <si>
    <t>ORCL.O,mstag:marketingAndDistributionCosts,2011Q4,,CY</t>
  </si>
  <si>
    <t>GUID.O,mscalc:epsForConsensusForThomsonFeed,2007FY,,CY</t>
  </si>
  <si>
    <t>CHKP.O,mstag:softwareLicenseRevenues,2010FY,,CY</t>
  </si>
  <si>
    <t>ORCL.O,mscalc:epsForConsensusForThomsonFeed,2012Q4,,CY</t>
  </si>
  <si>
    <t>N.N,mstag:costOfSalesWithDepreciation,2009Q1,,CY</t>
  </si>
  <si>
    <t>INTU.O,mstag:costOfSalesWithDepreciation,2008FY,,CY</t>
  </si>
  <si>
    <t>FTNT.O,mstag:researchAndDevelopment,2009Q1,,CY</t>
  </si>
  <si>
    <t>INTU.O,mscalc:epsForConsensusForThomsonFeed,2011Q1,,CY</t>
  </si>
  <si>
    <t>MKTG.O,mstag:revenueNet,2012Q4,,CY</t>
  </si>
  <si>
    <t>FTNT.O,mscalc:generalAndAdministrativeExpensesCalc,2008Q4,,CY</t>
  </si>
  <si>
    <t>ADBE.O,mstag:costOfSalesWithDepreciation,2010Q3,,CY</t>
  </si>
  <si>
    <t>GUID.O,mstag:otherOperatingExpenseChild,2008FY,,CY</t>
  </si>
  <si>
    <t>CTXS.O,mstag:researchAndDevelopment,2011Q3,,CY</t>
  </si>
  <si>
    <t>P.N,mscalc:epsForConsensusForThomsonFeed,2009FY,,CY</t>
  </si>
  <si>
    <t>Business combinations, net of cash acquired</t>
  </si>
  <si>
    <t>4/09</t>
  </si>
  <si>
    <t xml:space="preserve">Estimates Using % of LTM Operating Expense </t>
  </si>
  <si>
    <t>Est PPE as % of Total Depreciation</t>
  </si>
  <si>
    <t>Less:  Accumulated Depreciation</t>
  </si>
  <si>
    <t>Leasehold Improvements Growth</t>
  </si>
  <si>
    <t>Purchased Technologies and Capitalized Software</t>
  </si>
  <si>
    <t>Capitalized Software, Gross</t>
  </si>
  <si>
    <t>Purchased Technologies, Gross</t>
  </si>
  <si>
    <t xml:space="preserve">     Additional Shares Issued</t>
  </si>
  <si>
    <t>Capex as % of LTM revs</t>
  </si>
  <si>
    <t>Accounts Receivable</t>
  </si>
  <si>
    <t>Cash</t>
  </si>
  <si>
    <t>Debt</t>
  </si>
  <si>
    <t>Accounts Receivable, Net</t>
  </si>
  <si>
    <t>GAAP - Reported Figures</t>
  </si>
  <si>
    <t xml:space="preserve">Operating Income </t>
  </si>
  <si>
    <t xml:space="preserve">Net Income </t>
  </si>
  <si>
    <t>EPS (Diluted) - Operating</t>
  </si>
  <si>
    <t>taxbeni</t>
  </si>
  <si>
    <t>tax benefit of stock options in OCF</t>
  </si>
  <si>
    <t>LTM Tax Beni in OCF</t>
  </si>
  <si>
    <t>ltmtb</t>
  </si>
  <si>
    <t>SoftImage (announced 10/2008)</t>
  </si>
  <si>
    <t>Forward Quarterly Guidance</t>
  </si>
  <si>
    <t>25-26%</t>
  </si>
  <si>
    <t>Autodesk</t>
  </si>
  <si>
    <t>10/96</t>
  </si>
  <si>
    <t>7/96</t>
  </si>
  <si>
    <t>4/96</t>
  </si>
  <si>
    <t>1c96</t>
  </si>
  <si>
    <t>4c07</t>
  </si>
  <si>
    <t>2c96</t>
  </si>
  <si>
    <t>3c96</t>
  </si>
  <si>
    <t>CHKP.O,mscalc:epsForConsensusForThomsonFeed,2010Q4,,CY</t>
  </si>
  <si>
    <t>WBSN.O,mstag:marketingAndDistributionCosts,2011Q1,,CY</t>
  </si>
  <si>
    <t>ORCL.O,mstag:researchAndDevelopment,2010Q3,,CY</t>
  </si>
  <si>
    <t>WBSN.O,mscalc:epsForConsensusForThomsonFeed,2013Q1,,CY</t>
  </si>
  <si>
    <t>JIVE.O,mscalc:operatingRevenueForConsensus,2011FY,,CY</t>
  </si>
  <si>
    <t>ADBE.O,mstag:marketingAndDistributionCosts,2011Q4,,CY</t>
  </si>
  <si>
    <t>ADBE.O,mscalc:epsForConsensusForThomsonFeed,2009Q4,,CY</t>
  </si>
  <si>
    <t>CRM.N,mstag:revenueNet,2013Q1,,CY</t>
  </si>
  <si>
    <t>AKAM.O,mstag:researchAndDevelopment,2011Q2,,CY</t>
  </si>
  <si>
    <t>ADP.O,mscalc:yearEndMonth</t>
  </si>
  <si>
    <t>4/01</t>
  </si>
  <si>
    <t>AKAM.O,mstag:costOfSalesWithDepreciation,2009Q2,,CY</t>
  </si>
  <si>
    <t>RHT.N,mstag:marketingAndDistributionCosts,2012Q4,,CY</t>
  </si>
  <si>
    <t>CRM.N,mscalc:epsForConsensusForThomsonFeed,2010Q2,,CY</t>
  </si>
  <si>
    <t>AKAM.O,mstag:revenueNet,2013Q3,,CY</t>
  </si>
  <si>
    <t>ADSK.O,mstag:costOfSalesWithDepreciation,2011FY,,CY</t>
  </si>
  <si>
    <t>ORCL.O,mstag:otherOperatingExpenseChild,2012FY,,CY</t>
  </si>
  <si>
    <t>DMAN.O,mstag:researchAndDevelopment,2012Q3,,CY</t>
  </si>
  <si>
    <t>MKTG.O,mstag:marketingAndDistributionCosts,2008Q3,,CY</t>
  </si>
  <si>
    <t>RNOW.O,mstag:marketingAndDistributionCosts,2008Q4,,CY</t>
  </si>
  <si>
    <t>AKAM.O,mscalc:epsForConsensusForThomsonFeed,2009Q4,,CY</t>
  </si>
  <si>
    <t>SYMC.O,mstag:marketingAndDistributionCosts,2009FY,,CY</t>
  </si>
  <si>
    <t>ADBE.O,mstag:softwareLicenseRevenues,2011FY,,CY</t>
  </si>
  <si>
    <t>ADBE.O,mscalc:generalAndAdministrativeExpensesCalc,2012FY,,CY</t>
  </si>
  <si>
    <t>FTNT.O,mstag:revenueNet,2012Q4,,CY</t>
  </si>
  <si>
    <t>SFSF.N,mstag:marketingAndDistributionCosts,2010Q4,,CY</t>
  </si>
  <si>
    <t>TLEO.O,mscalc:generalAndAdministrativeExpensesCalc,2010Q3,,CY</t>
  </si>
  <si>
    <t>SWI.N,mscalc:yearEndMonth</t>
  </si>
  <si>
    <t>DMAN.O,mstag:researchAndDevelopment,2011Q2,,CY</t>
  </si>
  <si>
    <t>SFSF.N,mstag:costOfSalesWithDepreciation,2009Q1,,CY</t>
  </si>
  <si>
    <t>DMAN.O,mstag:costOfSalesWithDepreciation,2009Q3,,CY</t>
  </si>
  <si>
    <t>DMAN.O,mstag:revenueNet,2009Q2,,CY</t>
  </si>
  <si>
    <t>AKAM.O,mstag:revenueNet,2009Q2,,CY</t>
  </si>
  <si>
    <t>JIVE.O,mstag:otherOperatingExpenseChild,2011FY,,CY</t>
  </si>
  <si>
    <t>GUID.O,mscalc:epsForConsensusForThomsonFeed,2010Q3,,CY</t>
  </si>
  <si>
    <t>ORCL.O,mscalc:epsForConsensusForThomsonFeed,2013Q3,,CY</t>
  </si>
  <si>
    <t>IL.N,mscalc:generalAndAdministrativeExpensesCalc,2013Q2,,CY</t>
  </si>
  <si>
    <t>NA,mscalc:operatingRevenueForConsensus,2008FY,,CY</t>
  </si>
  <si>
    <t>MSFT.O,mstag:otherOperatingExpenseChild,2013FY,,CY</t>
  </si>
  <si>
    <t>ADSK.O,mstag:researchAndDevelopment,2008FY,,CY</t>
  </si>
  <si>
    <t>FIRE.O,mstag:marketingAndDistributionCosts,2008Q4,,CY</t>
  </si>
  <si>
    <t>CHKP.O,mscalc:generalAndAdministrativeExpensesCalc,2011Q1,,CY</t>
  </si>
  <si>
    <t>RHT.N,mstag:researchAndDevelopment,2012Q4,,CY</t>
  </si>
  <si>
    <t>DMAN.O,mscalc:epsForConsensusForThomsonFeed,2008Q4,,CY</t>
  </si>
  <si>
    <t>DMAN.O,mstag:researchAndDevelopment,2010Q4,,CY</t>
  </si>
  <si>
    <t>CTXS.O,mstag:revenueNet,2008Q3,,CY</t>
  </si>
  <si>
    <t>INFA.O,mscalc:operatingRevenueForConsensus,2013FY,,CY</t>
  </si>
  <si>
    <t>WBSN.O,mstag:costOfSalesWithDepreciation,2009Q3,,CY</t>
  </si>
  <si>
    <t>SAPG.DE,mstag:marketingAndDistributionCosts,2009FY,,CY</t>
  </si>
  <si>
    <t>CRM.N,mstag:researchAndDevelopment,2012FY,,CY</t>
  </si>
  <si>
    <t>CHKP.O,mstag:shortTermInvestments,2011Q4,,CY</t>
  </si>
  <si>
    <t>ORCL.O,mstag:researchAndDevelopment,2008Q1,,CY</t>
  </si>
  <si>
    <t>ADSK.O,mstag:researchAndDevelopment,2013FY,,CY</t>
  </si>
  <si>
    <t>INTU.O,mstag:marketingAndDistributionCosts,2009Q4,,CY</t>
  </si>
  <si>
    <t>ADP.O,mscalc:dilutedEarningsPerShare,2007FY,,CY</t>
  </si>
  <si>
    <t>CHKP.O,mstag:marketingAndDistributionCosts,2013Q3,,CY</t>
  </si>
  <si>
    <t>GUID.O,mstag:marketingAndDistributionCosts,2008Q1,,CY</t>
  </si>
  <si>
    <t>FIRE.O,mscalc:generalAndAdministrativeExpensesCalc,2007FY,,CY</t>
  </si>
  <si>
    <t>FIRE.O,mscalc:epsForConsensusForThomsonFeed,2008FY,,CY</t>
  </si>
  <si>
    <t>SYMC.O,mstag:costOfSalesWithDepreciation,2013Q2,,CY</t>
  </si>
  <si>
    <t>CHKP.O,mstag:shortTermBorrowings,2011Q4,,CY</t>
  </si>
  <si>
    <t>FTNT.O,mscalc:generalAndAdministrativeExpensesCalc,2011Q2,,CY</t>
  </si>
  <si>
    <t>CRM.N,mscalc:generalAndAdministrativeExpensesCalc,2009Q3,,CY</t>
  </si>
  <si>
    <t>GUID.O,mstag:costOfSalesWithoutDepreciation,2008FY,,CY</t>
  </si>
  <si>
    <t>MKTG.O,mstag:marketingAndDistributionCosts,2008FY,,CY</t>
  </si>
  <si>
    <t>RNOW.O,mstag:researchAndDevelopment,2009Q2,,CY</t>
  </si>
  <si>
    <t>ZNGA.O,mscalc:operatingRevenueForConsensus,2008FY,,CY</t>
  </si>
  <si>
    <t>CNQR.O,mscalc:generalAndAdministrativeExpensesCalc,2013FY,,CY</t>
  </si>
  <si>
    <t>INTU.O,mstag:marketingAndDistributionCosts,2010Q3,,CY</t>
  </si>
  <si>
    <t>FIRE.O,mstag:costOfSalesWithoutDepreciation,2013Q3,,CY</t>
  </si>
  <si>
    <t>WBSN.O,mscalc:operatingRevenueForConsensus,2008FY,,CY</t>
  </si>
  <si>
    <t>OPEN.O,mscalc:yearEndMonth</t>
  </si>
  <si>
    <t>FIRE.O,mscalc:epsForConsensusForThomsonFeed,2013Q4,,CY</t>
  </si>
  <si>
    <t>VMW.N,mscalc:operatingRevenueForConsensus,2011FY,,CY</t>
  </si>
  <si>
    <t>MKTG.O,mstag:marketingAndDistributionCosts,2009Q3,,CY</t>
  </si>
  <si>
    <t>FIRE.O,mstag:otherOperatingExpenseChild,2007FY,,CY</t>
  </si>
  <si>
    <t>INTU.O,mstag:researchAndDevelopment,2013FY,,CY</t>
  </si>
  <si>
    <t>WBSN.O,mstag:otherOperatingExpenseChild,2013FY,,CY</t>
  </si>
  <si>
    <t>CTXS.O,mstag:marketingCosts,2012Q2,,CY</t>
  </si>
  <si>
    <t>GOOG.O,msuser:cmAUPLEBITDA20060530T0035524245,2011FY,,CY</t>
  </si>
  <si>
    <t>VRSN.O,mstag:otherOperatingExpenseChild,2010FY,,CY</t>
  </si>
  <si>
    <t>VMW.N,mscalc:operatingRevenueForConsensus,2008FY,,CY</t>
  </si>
  <si>
    <t>ADBE.O,mstag:marketingAndDistributionCosts,2010Q3,,CY</t>
  </si>
  <si>
    <t>SREV.O,mscalc:generalAndAdministrativeExpensesCalc,2007FY,,CY</t>
  </si>
  <si>
    <t>FIRE.O,mstag:costOfSalesWithoutDepreciation,2008FY,,CY</t>
  </si>
  <si>
    <t>QLIK.O,mscalc:epsForConsensusForThomsonFeed,2010Q1,,CY</t>
  </si>
  <si>
    <t>ADSK.O,mstag:revenueNet,2008Q4,,CY</t>
  </si>
  <si>
    <t>TLEO.O,mscalc:generalAndAdministrativeExpensesCalc,2012Q3,,CY</t>
  </si>
  <si>
    <t>FIRE.O,mscalc:yearEndMonth</t>
  </si>
  <si>
    <t>CRM.N,mstag:marketingAndDistributionCosts,2008Q4,,CY</t>
  </si>
  <si>
    <t>N.N,mstag:marketingAndDistributionCosts,2009Q4,,CY</t>
  </si>
  <si>
    <t>VMW.N,mstag:researchAndDevelopment,2010Q1,,CY</t>
  </si>
  <si>
    <t>MSFT.O,mstag:researchAndDevelopment,2012Q4,,CY</t>
  </si>
  <si>
    <t>DMAN.O,mscalc:generalAndAdministrativeExpensesCalc,2012Q4,,CY</t>
  </si>
  <si>
    <t>ZNGA.O,mscalc:epsForConsensusForThomsonFeed,2010FY,,CY</t>
  </si>
  <si>
    <t>QLIK.O,mstag:otherOperatingExpenseChild,2013FY,,CY</t>
  </si>
  <si>
    <t>AKAM.O,mstag:researchAndDevelopment,2008Q4,,CY</t>
  </si>
  <si>
    <t>QLIK.O,mstag:costOfSalesWithDepreciation,2008FY,,CY</t>
  </si>
  <si>
    <t>AMD.N,mscalc:operatingRevenueForConsensus,2007FY,,CY</t>
  </si>
  <si>
    <t>INTU.O,mscalc:epsForConsensusForThomsonFeed,2009Q2,,CY</t>
  </si>
  <si>
    <t>MSFT.O,mscalc:generalAndAdministrativeExpensesCalc,2012FY,,CY</t>
  </si>
  <si>
    <t>HRB.N,msuser:cmAUPLEBITDA20060530T0035524245,2007FY,,CY</t>
  </si>
  <si>
    <t>ADBE.O,mstag:marketingAndDistributionCosts,2010Q2,,CY</t>
  </si>
  <si>
    <t>NA,mstag:marketingAndDistributionCosts,2012FY,,CY</t>
  </si>
  <si>
    <t>INFA.O,mscalc:epsForConsensusForThomsonFeed,2007FY,,CY</t>
  </si>
  <si>
    <t>CRM.N,mstag:marketingAndDistributionCosts,2013Q1,,CY</t>
  </si>
  <si>
    <t>WBSN.O,mstag:marketingAndDistributionCosts,2012Q2,,CY</t>
  </si>
  <si>
    <t>INFA.O,mstag:otherOperatingExpenseChild,2012FY,,CY</t>
  </si>
  <si>
    <t>SREV.O,mstag:costOfSalesWithDepreciation,2013Q3,,CY</t>
  </si>
  <si>
    <t>JIVE.O,mscalc:epsForConsensusForThomsonFeed,2011FY,,CY</t>
  </si>
  <si>
    <t>SWI.N,mscalc:epsForConsensusForThomsonFeed,2011FY,,CY</t>
  </si>
  <si>
    <t>INTU.O,mscalc:epsForConsensusForThomsonFeed,2013Q4,,CY</t>
  </si>
  <si>
    <t>SYMC.O,mstag:revenueNet,2009Q1,,CY</t>
  </si>
  <si>
    <t>ORCL.O,mstag:otherOperatingExpenseChild,2011FY,,CY</t>
  </si>
  <si>
    <t>WBSN.O,mscalc:generalAndAdministrativeExpensesCalc,2012Q1,,CY</t>
  </si>
  <si>
    <t>TLEO.O,mstag:costOfSalesWithDepreciation,2013Q4,,CY</t>
  </si>
  <si>
    <t>GUID.O,mstag:otherOperatingExpenseChild,2007FY,,CY</t>
  </si>
  <si>
    <t>FIRE.O,mstag:depreciationInIncomeStatement,2008Q1,,CY</t>
  </si>
  <si>
    <t>VMW.N,mscalc:epsForConsensusForThomsonFeed,2008Q1,,CY</t>
  </si>
  <si>
    <t>SWI.N,mstag:marketingAndDistributionCosts,2007FY,,CY</t>
  </si>
  <si>
    <t>SREV.O,mstag:costOfSalesWithDepreciation,2010Q4,,CY</t>
  </si>
  <si>
    <t>N.N,mstag:marketingAndDistributionCosts,2013Q2,,CY</t>
  </si>
  <si>
    <t>INTU.O,mstag:researchAndDevelopment,2013Q1,,CY</t>
  </si>
  <si>
    <t>ORCL.O,mstag:companyReportedRevenue,2012Q1,,CY</t>
  </si>
  <si>
    <t>GUID.O,mstag:researchAndDevelopment,2008FY,,CY</t>
  </si>
  <si>
    <t>CVG.N,msuser:cmAUPLEBITDA20060530T0035524245,2008FY,,CY</t>
  </si>
  <si>
    <t>N.N,mstag:marketingAndDistributionCosts,2010Q3,,CY</t>
  </si>
  <si>
    <t>WBSN.O,mstag:costOfSalesWithDepreciation,2013Q1,,CY</t>
  </si>
  <si>
    <t>CTXS.O,mstag:revenueNet,2013Q2,,CY</t>
  </si>
  <si>
    <t>ADSK.O,mstag:researchAndDevelopment,2012Q1,,CY</t>
  </si>
  <si>
    <t>INTU.O,mstag:researchAndDevelopment,2012Q1,,CY</t>
  </si>
  <si>
    <t>SREV.O,mstag:marketingAndDistributionCosts,2009Q1,,CY</t>
  </si>
  <si>
    <t>RHT.N,mscalc:epsForConsensusForThomsonFeed,2012Q1,,CY</t>
  </si>
  <si>
    <t>SREV.O,mscalc:generalAndAdministrativeExpensesCalc,2012Q4,,CY</t>
  </si>
  <si>
    <t>CTXS.O,mstag:marketingCosts,2011Q2,,CY</t>
  </si>
  <si>
    <t>WBSN.O,mstag:revenueNet,2008Q4,,CY</t>
  </si>
  <si>
    <t>SYMC.O,mstag:researchAndDevelopment,2008FY,,CY</t>
  </si>
  <si>
    <t>N.N,mstag:researchAndDevelopment,2007FY,,CY</t>
  </si>
  <si>
    <t>SREV.O,mstag:marketingAndDistributionCosts,2013Q4,,CY</t>
  </si>
  <si>
    <t>ADBE.O,mstag:costOfSalesWithDepreciation,2009Q1,,CY</t>
  </si>
  <si>
    <t>ADBE.O,mstag:cashAndCashEquivalents,2011Q4,,CY</t>
  </si>
  <si>
    <t>CRM.N,mscalc:generalAndAdministrativeExpensesCalc,2010FY,,CY</t>
  </si>
  <si>
    <t>ORCL.O,mstag:softwareLicenseRevenues,2013FY,,CY</t>
  </si>
  <si>
    <t>IL.N,mstag:marketingAndDistributionCosts,2008Q1,,CY</t>
  </si>
  <si>
    <t>RNOW.O,mscalc:generalAndAdministrativeExpensesCalc,2013Q3,,CY</t>
  </si>
  <si>
    <t>CRM.N,mstag:costOfSalesWithDepreciation,2008Q4,,CY</t>
  </si>
  <si>
    <t>FIRE.O,mstag:marketingAndDistributionCosts,2007FY,,CY</t>
  </si>
  <si>
    <t>SAPG.DE,mscalc:epsForConsensusForThomsonFeed,2010FY,,CY</t>
  </si>
  <si>
    <t>FIRE.O,mscalc:epsForConsensusForThomsonFeed,2009Q4,,CY</t>
  </si>
  <si>
    <t>CHKP.O,mstag:costOfSalesWithDepreciation,2008FY,,CY</t>
  </si>
  <si>
    <t>IL.N,mscalc:operatingRevenueForConsensus,2012FY,,CY</t>
  </si>
  <si>
    <t>RHT.N,mscalc:generalAndAdministrativeExpensesCalc,2010Q2,,CY</t>
  </si>
  <si>
    <t>CHKP.O,mstag:researchAndDevelopment,2011FY,,CY</t>
  </si>
  <si>
    <t>P.N,mscalc:epsForConsensusForThomsonFeed,2010FY,,CY</t>
  </si>
  <si>
    <t>FISV.O,mscalc:operatingRevenueForConsensus,2011FY,,CY</t>
  </si>
  <si>
    <t>MKTG.O,mstag:costOfSalesWithDepreciation,2011Q4,,CY</t>
  </si>
  <si>
    <t>MKTG.O,mstag:costOfSalesWithDepreciation,2009Q4,,CY</t>
  </si>
  <si>
    <t>QLIK.O,mstag:revenueNet,2012Q3,,CY</t>
  </si>
  <si>
    <t>INTU.O,mstag:costOfSalesWithDepreciation,2012Q1,,CY</t>
  </si>
  <si>
    <t>GUID.O,mstag:costOfSalesWithoutDepreciation,2008Q1,,CY</t>
  </si>
  <si>
    <t>DMAN.O,mstag:revenueNet,2010Q2,,CY</t>
  </si>
  <si>
    <t>ADP.O,mscalc:operatingRevenueForConsensus,2012FY,,CY</t>
  </si>
  <si>
    <t>FIRE.O,mscalc:generalAndAdministrativeExpensesCalc,2010Q4,,CY</t>
  </si>
  <si>
    <t>ADBE.O,mstag:revenueNet,2010Q2,,CY</t>
  </si>
  <si>
    <t>N.N,mstag:costOfSalesWithDepreciation,2009FY,,CY</t>
  </si>
  <si>
    <t>INTC.O,msuser:cmAUPLEBITDA20060530T0035524245,2013FY,,CY</t>
  </si>
  <si>
    <t>FIRE.O,mstag:costOfSalesWithoutDepreciation,2007FY,,CY</t>
  </si>
  <si>
    <t>EBAY.O,mscalc:yearEndMonth</t>
  </si>
  <si>
    <t>CRM.N,mscalc:generalAndAdministrativeExpensesCalc,2011FY,,CY</t>
  </si>
  <si>
    <t>SFSF.N,mscalc:generalAndAdministrativeExpensesCalc,2013Q2,,CY</t>
  </si>
  <si>
    <t>CNQR.O,mscalc:generalAndAdministrativeExpensesCalc,2007FY,,CY</t>
  </si>
  <si>
    <t>MKTG.O,mstag:costOfSalesWithDepreciation,2008Q1,,CY</t>
  </si>
  <si>
    <t>WBSN.O,mstag:costOfSalesWithDepreciation,2011Q2,,CY</t>
  </si>
  <si>
    <t>N.N,mstag:revenueNet,2009Q1,,CY</t>
  </si>
  <si>
    <t>MKTG.O,mstag:marketingAndDistributionCosts,2012Q2,,CY</t>
  </si>
  <si>
    <t>FTNT.O,mscalc:generalAndAdministrativeExpensesCalc,2011Q3,,CY</t>
  </si>
  <si>
    <t>CNQR.O,mstag:otherOperatingExpenseChild,2011FY,,CY</t>
  </si>
  <si>
    <t>CHKP.O,mstag:costOfSalesWithDepreciation,2010Q3,,CY</t>
  </si>
  <si>
    <t>CNQR.O,mscalc:generalAndAdministrativeExpensesCalc,2012FY,,CY</t>
  </si>
  <si>
    <t>INTU.O,mstag:marketingAndDistributionCosts,2013Q3,,CY</t>
  </si>
  <si>
    <t>AKAM.O,mscalc:epsForConsensusForThomsonFeed,2008Q2,,CY</t>
  </si>
  <si>
    <t>ADBE.O,mscalc:epsForConsensusForThomsonFeed,2010Q3,,CY</t>
  </si>
  <si>
    <t>MSFT.O,mstag:marketingAndDistributionCosts,2009Q4,,CY</t>
  </si>
  <si>
    <t>WBSN.O,mstag:marketingAndDistributionCosts,2010FY,,CY</t>
  </si>
  <si>
    <t>INTU.O,mscalc:targetPrice</t>
  </si>
  <si>
    <t>RHT.N,mstag:marketingAndDistributionCosts,2011Q3,,CY</t>
  </si>
  <si>
    <t>TLEO.O,mstag:researchAndDevelopment,2011Q1,,CY</t>
  </si>
  <si>
    <t>VMW.N,mstag:sellingGeneralAndAdministrativeExpenses,2009Q4,,CY</t>
  </si>
  <si>
    <t>VRSN.O,mscalc:operatingRevenueForConsensus,2011FY,,CY</t>
  </si>
  <si>
    <t>WBSN.O,mscalc:epsForConsensusForThomsonFeed,2008FY,,CY</t>
  </si>
  <si>
    <t>MSFT.O,mstag:researchAndDevelopment,2012FY,,CY</t>
  </si>
  <si>
    <t>N.N,mstag:revenueNet,2009Q2,,CY</t>
  </si>
  <si>
    <t>ADBE.O,mstag:marketingAndDistributionCosts,2011Q2,,CY</t>
  </si>
  <si>
    <t>ORCL.O,mstag:companyReportedRevenue,2012Q2,,CY</t>
  </si>
  <si>
    <t>SREV.O,mstag:costOfSalesWithDepreciation,2011Q1,,CY</t>
  </si>
  <si>
    <t>GOOG.O,mscalc:stockRating</t>
  </si>
  <si>
    <t>CHKP.O,mstag:marketingAndDistributionCosts,2010Q4,,CY</t>
  </si>
  <si>
    <t>ADBE.O,mstag:marketingAndDistributionCosts,2012Q1,,CY</t>
  </si>
  <si>
    <t>MSFT.O,mstag:marketingAndDistributionCosts,2009Q3,,CY</t>
  </si>
  <si>
    <t>SFSF.N,mstag:companyReportedRevenue,2012Q2,,CY</t>
  </si>
  <si>
    <t>IL.N,mscalc:epsForConsensusForThomsonFeed,2013Q1,,CY</t>
  </si>
  <si>
    <t>VMW.N,mscalc:operatingRevenueForConsensus,2009FY,,CY</t>
  </si>
  <si>
    <t>AKAM.O,mstag:marketingAndDistributionCosts,2008Q3,,CY</t>
  </si>
  <si>
    <t>RNOW.O,mstag:costOfSalesWithDepreciation,2012Q3,,CY</t>
  </si>
  <si>
    <t>DMAN.O,mscalc:epsForConsensusForThomsonFeed,2008Q3,,CY</t>
  </si>
  <si>
    <t>CNQR.O,mstag:researchAndDevelopment,2012FY,,CY</t>
  </si>
  <si>
    <t>,mstag:revenueNet,2011Q2,,CY</t>
  </si>
  <si>
    <t>RNOW.O,mstag:costOfSalesWithDepreciation,2010Q4,,CY</t>
  </si>
  <si>
    <t>DST.N,mscalc:operatingRevenueForConsensus,2012FY,,CY</t>
  </si>
  <si>
    <t>JIVE.O,mscalc:yearEndMonth</t>
  </si>
  <si>
    <t>SYMC.O,mstag:costOfSalesWithDepreciation,2012Q2,,CY</t>
  </si>
  <si>
    <t>DMAN.O,mscalc:epsForConsensusForThomsonFeed,2011Q1,,CY</t>
  </si>
  <si>
    <t>ADSK.O,mstag:marketingAndDistributionCosts,2009Q4,,CY</t>
  </si>
  <si>
    <t>CTXS.O,mstag:revenueNet,2008Q1,,CY</t>
  </si>
  <si>
    <t>CTXS.O,mstag:otherAssetsNonOperatingNonCurrent,2011Q4,,CY</t>
  </si>
  <si>
    <t>JNPR.N,mscalc:dilutedEarningsPerShare,2008FY,,CY</t>
  </si>
  <si>
    <t>FIRE.O,mstag:depreciationInIncomeStatement,2011FY,,CY</t>
  </si>
  <si>
    <t>NFLX.O,mscalc:operatingRevenueForConsensus,2010FY,,CY</t>
  </si>
  <si>
    <t>mstag:netDecreaseInTradeReceivables</t>
  </si>
  <si>
    <t>Purchases of software technologies, capitalization of software costs</t>
  </si>
  <si>
    <t>QLIK.O,mscalc:generalAndAdministrativeExpensesCalc,2011Q2,,CY</t>
  </si>
  <si>
    <t>SREV.O,mstag:otherOperatingExpenseChild,2010FY,,CY</t>
  </si>
  <si>
    <t>SWI.N,mscalc:epsForConsensusForThomsonFeed,2011Q2,,CY</t>
  </si>
  <si>
    <t>VMW.N,mscalc:epsForConsensusForThomsonFeed,2010Q2,,CY</t>
  </si>
  <si>
    <t>CHKP.O,mstag:costOfSalesWithDepreciation,2011FY,,CY</t>
  </si>
  <si>
    <t>TLEO.O,mstag:costOfSalesWithDepreciation,2009FY,,CY</t>
  </si>
  <si>
    <t>LNKD.N,mscalc:stockRating</t>
  </si>
  <si>
    <t>VMW.N,mstag:costOfSalesWithDepreciation,2011Q4,,CY</t>
  </si>
  <si>
    <t>AMZN.O,msuser:cmAUPLEBITDA20060530T0035524245,2010FY,,CY</t>
  </si>
  <si>
    <t>ORCL.O,mscalc:epsForConsensusForThomsonFeed,2010Q4,,CY</t>
  </si>
  <si>
    <t>SYMC.O,mstag:otherOperatingExpenseChild,2011FY,,CY</t>
  </si>
  <si>
    <t>SREV.O,mstag:longTermInvestmentsNonOperating,2011Q3,,CY</t>
  </si>
  <si>
    <t>ADSK.O,mstag:costOfSalesWithDepreciation,2013Q1,,CY</t>
  </si>
  <si>
    <t>CTXS.O,mstag:costOfSalesWithDepreciation,2013Q2,,CY</t>
  </si>
  <si>
    <t>INTU.O,mstag:marketingAndDistributionCosts,2008Q3,,CY</t>
  </si>
  <si>
    <t>GOOG.O,msuser:cmAUPLEBITDA20060530T0035524245,2013FY,,CY</t>
  </si>
  <si>
    <t>FTNT.O,mscalc:generalAndAdministrativeExpensesCalc,2010Q1,,CY</t>
  </si>
  <si>
    <t>CTXS.O,mstag:costOfSalesWithDepreciation,2009Q3,,CY</t>
  </si>
  <si>
    <t>TLEO.O,mstag:marketingAndDistributionCosts,2008Q3,,CY</t>
  </si>
  <si>
    <t>EBAY.O,msuser:cmAUPLEBITDA20060530T0035524245,2010FY,,CY</t>
  </si>
  <si>
    <t>ADSK.O,mscalc:operatingRevenueForConsensus,2008FY,,CY</t>
  </si>
  <si>
    <t>CHKP.O,mscalc:generalAndAdministrativeExpensesCalc,2012Q2,,CY</t>
  </si>
  <si>
    <t>VMW.N,mstag:costOfSalesWithDepreciation,2012Q2,,CY</t>
  </si>
  <si>
    <t>CTXS.O,mstag:sellingGeneralAndAdministrativeExpenses,2010Q1,,CY</t>
  </si>
  <si>
    <t>CHKP.O,mstag:softwareLicenseRevenues,2011FY,,CY</t>
  </si>
  <si>
    <t>DMAN.O,mscalc:generalAndAdministrativeExpensesCalc,2013Q2,,CY</t>
  </si>
  <si>
    <t>CRM.N,mstag:revenueNet,2008Q3,,CY</t>
  </si>
  <si>
    <t>P.N,msuser:cmAUPLEBITDA20060530T0035524245,2007FY,,CY</t>
  </si>
  <si>
    <t>QLIK.O,mstag:marketingAndDistributionCosts,2012FY,,CY</t>
  </si>
  <si>
    <t>SYMC.O,mstag:marketingAndDistributionCosts,2010Q2,,CY</t>
  </si>
  <si>
    <t>ADSK.O,mstag:costOfSalesWithDepreciation,2010Q1,,CY</t>
  </si>
  <si>
    <t>AMD.N,mscalc:epsForConsensusForThomsonFeed,2013FY,,CY</t>
  </si>
  <si>
    <t>RHT.N,mstag:costOfSalesWithDepreciation,2013Q2,,CY</t>
  </si>
  <si>
    <t>RHT.N,mstag:revenueNet,2013Q3,,CY</t>
  </si>
  <si>
    <t>CTXS.O,mstag:longTermInvestmentsNonOperating,2011Q4,,CY</t>
  </si>
  <si>
    <t>SREV.O,mscalc:epsForConsensusForThomsonFeed,2010Q4,,CY</t>
  </si>
  <si>
    <t>New Inventor Units</t>
  </si>
  <si>
    <t>IL.N,mstag:revenueNet,2009Q3,,CY</t>
  </si>
  <si>
    <t>MSFT.O,mstag:marketingAndDistributionCosts,2011FY,,CY</t>
  </si>
  <si>
    <t>IL.N,mstag:costOfSalesWithDepreciation,2010Q3,,CY</t>
  </si>
  <si>
    <t>ADBE.O,mstag:costOfSalesWithDepreciation,2012FY,,CY</t>
  </si>
  <si>
    <t>ADBE.O,mscalc:operatingRevenueForConsensus,2007FY,,CY</t>
  </si>
  <si>
    <t>FIRE.O,mstag:costOfSalesWithoutDepreciation,2010Q4,,CY</t>
  </si>
  <si>
    <t>ADBE.O,mstag:costOfSalesWithDepreciation,2011Q4,,CY</t>
  </si>
  <si>
    <t>IL.N,mstag:researchAndDevelopment,2012Q4,,CY</t>
  </si>
  <si>
    <t>INTU.O,mstag:revenueNet,2008Q1,,CY</t>
  </si>
  <si>
    <t>SFSF.N,mstag:marketingAndDistributionCosts,2010Q3,,CY</t>
  </si>
  <si>
    <t>RNOW.O,mstag:revenueNet,2009Q4,,CY</t>
  </si>
  <si>
    <t>SREV.O,mscalc:generalAndAdministrativeExpensesCalc,2010Q3,,CY</t>
  </si>
  <si>
    <t>CTXS.O,mstag:softwareProductRevenues,2007FY,,CY</t>
  </si>
  <si>
    <t>VMW.N,mstag:sellingGeneralAndAdministrativeExpenses,2010Q3,,CY</t>
  </si>
  <si>
    <t>ORCL.O,mscalc:epsForConsensusForThomsonFeed,2010Q2,,CY</t>
  </si>
  <si>
    <t>QLIK.O,mstag:researchAndDevelopment,2011Q1,,CY</t>
  </si>
  <si>
    <t>CRM.N,mstag:costOfSalesWithDepreciation,2013Q1,,CY</t>
  </si>
  <si>
    <t>CRM.N,mscalc:stockRating</t>
  </si>
  <si>
    <t>SREV.O,mstag:marketingAndDistributionCosts,2007FY,,CY</t>
  </si>
  <si>
    <t>TLEO.O,mstag:revenueNet,2008Q2,,CY</t>
  </si>
  <si>
    <t>AMD.N,mscalc:dilutedEarningsPerShare,2009FY,,CY</t>
  </si>
  <si>
    <t>License &amp; Other Revenues</t>
  </si>
  <si>
    <t>Cash, Beginning of Period</t>
  </si>
  <si>
    <t>Allowance for Doubtful Accounts</t>
  </si>
  <si>
    <t>United States</t>
  </si>
  <si>
    <t>ltmexp</t>
  </si>
  <si>
    <t>D&amp;A on CF Statement</t>
  </si>
  <si>
    <t>Adjustments</t>
  </si>
  <si>
    <t>Advanced Systems (MS Estimate)</t>
  </si>
  <si>
    <t>OLD Reporting</t>
  </si>
  <si>
    <t>2Q Forward Quarterly Guidance</t>
  </si>
  <si>
    <t>Platform Solutions</t>
  </si>
  <si>
    <t>Manufacturing</t>
  </si>
  <si>
    <t>Media and Entertainment</t>
  </si>
  <si>
    <t>Basic Shares (EoP)</t>
  </si>
  <si>
    <t>ORCL.O,mstag:otherOperatingExpenseChild,2009FY,,CY</t>
  </si>
  <si>
    <t>AKAM.O,mstag:revenueNet,2013Q4,,CY</t>
  </si>
  <si>
    <t>RNOW.O,mstag:marketingAndDistributionCosts,2009Q3,,CY</t>
  </si>
  <si>
    <t>AAPL.O,msuser:cmAUPLEBITDA20060530T0035524245,2008FY,,CY</t>
  </si>
  <si>
    <t>FTNT.O,mstag:marketingAndDistributionCosts,2012Q3,,CY</t>
  </si>
  <si>
    <t>AKAM.O,mstag:otherOperatingExpenseChild,2007FY,,CY</t>
  </si>
  <si>
    <t>FTNT.O,mscalc:epsForConsensusForThomsonFeed,2010Q3,,CY</t>
  </si>
  <si>
    <t>CHKP.O,mstag:marketingAndDistributionCosts,2012Q4,,CY</t>
  </si>
  <si>
    <t xml:space="preserve">EPS (Basic) - Operating </t>
  </si>
  <si>
    <t>EPS (Basic) - Reported</t>
  </si>
  <si>
    <t>Assets</t>
  </si>
  <si>
    <t>Total Current Assets</t>
  </si>
  <si>
    <t>Total Assets</t>
  </si>
  <si>
    <t>Liabilities</t>
  </si>
  <si>
    <t>Accounts Payable</t>
  </si>
  <si>
    <t>Investments in unconsolidated entities</t>
  </si>
  <si>
    <t>2D Design Products</t>
  </si>
  <si>
    <t>2D Vertical Product Revenues</t>
  </si>
  <si>
    <t>Product Detail</t>
  </si>
  <si>
    <t>3D Design Products</t>
  </si>
  <si>
    <t>% of Total Revenue</t>
  </si>
  <si>
    <t>% of Total Revenues</t>
  </si>
  <si>
    <t xml:space="preserve">          % of revenues</t>
  </si>
  <si>
    <t>AEC</t>
  </si>
  <si>
    <t>MSD</t>
  </si>
  <si>
    <t>Revit Installed Base</t>
  </si>
  <si>
    <t>Total 3D Installed Base</t>
  </si>
  <si>
    <t>3Q10</t>
  </si>
  <si>
    <t>New Seat Growth</t>
  </si>
  <si>
    <t>Reported Stock-based compensation expense</t>
  </si>
  <si>
    <t>Total Billings</t>
  </si>
  <si>
    <t>5-year average seasonality</t>
  </si>
  <si>
    <t>QLIK.O,mstag:revenueNet,2009Q3,,CY</t>
  </si>
  <si>
    <t>QLIK.O,mstag:marketingAndDistributionCosts,2008Q2,,CY</t>
  </si>
  <si>
    <t>IL.N,mstag:marketingAndDistributionCosts,2012Q3,,CY</t>
  </si>
  <si>
    <t>CHKP.O,mscalc:epsForConsensusForThomsonFeed,2012Q4,,CY</t>
  </si>
  <si>
    <t>N.N,mstag:revenueNet,2009Q4,,CY</t>
  </si>
  <si>
    <t>FISV.O,msuser:cmAUPLEBITDA20060530T0035524245,2013FY,,CY</t>
  </si>
  <si>
    <t>ORCL.O,mstag:researchAndDevelopment,2010Q2,,CY</t>
  </si>
  <si>
    <t>MSFT.O,mscalc:generalAndAdministrativeExpensesCalc,2013Q1,,CY</t>
  </si>
  <si>
    <t>SREV.O,mstag:researchAndDevelopment,2009Q1,,CY</t>
  </si>
  <si>
    <t>CNQR.O,mstag:otherOperatingExpenseChild,2010FY,,CY</t>
  </si>
  <si>
    <t>RHT.N,mstag:researchAndDevelopment,2011Q2,,CY</t>
  </si>
  <si>
    <t>INFA.O,mstag:marketingAndDistributionCosts,2008FY,,CY</t>
  </si>
  <si>
    <t>AKAM.O,mstag:marketingAndDistributionCosts,2011Q3,,CY</t>
  </si>
  <si>
    <t>SREV.O,mstag:marketingAndDistributionCosts,2009Q2,,CY</t>
  </si>
  <si>
    <t>CHKP.O,mstag:costOfSalesWithDepreciation,2012Q4,,CY</t>
  </si>
  <si>
    <t>TLEO.O,mstag:costOfSalesWithDepreciation,2009Q1,,CY</t>
  </si>
  <si>
    <t>CNQR.O,mstag:otherOperatingExpenseChild,2012FY,,CY</t>
  </si>
  <si>
    <t>IL.N,mscalc:epsForConsensusForThomsonFeed,2011FY,,CY</t>
  </si>
  <si>
    <t>CHKP.O,mstag:costOfSalesWithDepreciation,2009Q4,,CY</t>
  </si>
  <si>
    <t>N.N,mstag:researchAndDevelopment,2009Q3,,CY</t>
  </si>
  <si>
    <t>CTXS.O,mstag:costOfSalesWithDepreciation,2007FY,,CY</t>
  </si>
  <si>
    <t>SYMC.O,mscalc:epsForConsensusForThomsonFeed,2008FY,,CY</t>
  </si>
  <si>
    <t>Cost of Subscription</t>
  </si>
  <si>
    <t>Deferred Subscription Revenue</t>
  </si>
  <si>
    <t xml:space="preserve">          % of NTM Subscription Revenues</t>
  </si>
  <si>
    <t xml:space="preserve">         % of NTM Subscription Revenues</t>
  </si>
  <si>
    <t>Deferred Non-Subscription Revenue</t>
  </si>
  <si>
    <t xml:space="preserve">  incremental margin</t>
  </si>
  <si>
    <t>Opticore AB (completed 8/20/07)</t>
  </si>
  <si>
    <t>7/09</t>
  </si>
  <si>
    <t>1c00</t>
  </si>
  <si>
    <t>2c00</t>
  </si>
  <si>
    <t>3c00</t>
  </si>
  <si>
    <t>4c00</t>
  </si>
  <si>
    <t>_fy00</t>
  </si>
  <si>
    <t>1c01</t>
  </si>
  <si>
    <t>2c01</t>
  </si>
  <si>
    <t>3c01</t>
  </si>
  <si>
    <t>4c01</t>
  </si>
  <si>
    <t>_fy01</t>
  </si>
  <si>
    <t>Organic License Revenue Growth</t>
  </si>
  <si>
    <t>EPS</t>
  </si>
  <si>
    <t>1c14</t>
  </si>
  <si>
    <t>2c14</t>
  </si>
  <si>
    <t>3c14</t>
  </si>
  <si>
    <t>WBSN.O,mstag:costOfSalesWithDepreciation,2011Q3,,CY</t>
  </si>
  <si>
    <t>MKTG.O,mscalc:epsForConsensusForThomsonFeed,2008Q4,,CY</t>
  </si>
  <si>
    <t>Employees</t>
  </si>
  <si>
    <t>Total Revenues</t>
  </si>
  <si>
    <t>R&amp;D</t>
  </si>
  <si>
    <t>G&amp;A</t>
  </si>
  <si>
    <t>Income Statement Analysis</t>
  </si>
  <si>
    <t>DSO</t>
  </si>
  <si>
    <t>Deferred Revenue</t>
  </si>
  <si>
    <t>Gain on Disposal of Affiliate</t>
  </si>
  <si>
    <t xml:space="preserve">Note: Non-GAAP Operating Expenses for the quarter ended 10/06 include $3.6m of fees related to the company's ongoing stock option review.  </t>
  </si>
  <si>
    <t xml:space="preserve">         Cost of revenue includes $3m writedown of Advanced Systems inventory.</t>
  </si>
  <si>
    <t>NM</t>
  </si>
  <si>
    <t xml:space="preserve">   Gross grant per employee (000's)</t>
  </si>
  <si>
    <t>From 3Q06 10Q</t>
  </si>
  <si>
    <t>Pro Forma EPS</t>
  </si>
  <si>
    <t>Inventories</t>
  </si>
  <si>
    <t xml:space="preserve">1) Cash flow actuals represent reported figures from most recent company filings.  </t>
  </si>
  <si>
    <t>Total Inventor Installed Base - Non-Commercial</t>
  </si>
  <si>
    <t>,mscalc:epsForConsensusForThomsonFeed,2009FY,,CY</t>
  </si>
  <si>
    <t>FTNT.O,mstag:averageDilutedSharesOutstanding,2011Q4,,CY</t>
  </si>
  <si>
    <t>ADBE.O,mstag:costOfSalesWithDepreciation,2008Q2,,CY</t>
  </si>
  <si>
    <t>ORCL.O,mstag:companyReportedRevenue,2013Q4,,CY</t>
  </si>
  <si>
    <t>DMAN.O,mscalc:generalAndAdministrativeExpensesCalc,2013Q3,,CY</t>
  </si>
  <si>
    <t>RNOW.O,mstag:marketingAndDistributionCosts,2012Q3,,CY</t>
  </si>
  <si>
    <t>TLEO.O,mscalc:generalAndAdministrativeExpensesCalc,2009Q4,,CY</t>
  </si>
  <si>
    <t>FTNT.O,mscalc:generalAndAdministrativeExpensesCalc,2010Q2,,CY</t>
  </si>
  <si>
    <t>CTXS.O,mstag:researchAndDevelopment,2010Q3,,CY</t>
  </si>
  <si>
    <t>RHT.N,mscalc:epsForConsensusForThomsonFeed,2009Q1,,CY</t>
  </si>
  <si>
    <t>SREV.O,mstag:otherOperatingExpenseChild,2007FY,,CY</t>
  </si>
  <si>
    <t>INTU.O,mstag:costOfSalesWithDepreciation,2008Q2,,CY</t>
  </si>
  <si>
    <t>CRM.N,mscalc:epsForConsensusForThomsonFeed,2012Q3,,CY</t>
  </si>
  <si>
    <t>ADSK.O,mstag:softwareLicenseRevenues,2007FY,,CY</t>
  </si>
  <si>
    <t>SAPG.DE,mstag:costOfServicesSold,2011FY,,CY</t>
  </si>
  <si>
    <t>TLEO.O,mscalc:epsForConsensusForThomsonFeed,2010FY,,CY</t>
  </si>
  <si>
    <t>CRM.N,mstag:revenueNet,2013Q3,,CY</t>
  </si>
  <si>
    <t>MSFT.O,mstag:costOfSalesWithDepreciation,2008Q1,,CY</t>
  </si>
  <si>
    <t>SREV.O,mscalc:generalAndAdministrativeExpensesCalc,2011FY,,CY</t>
  </si>
  <si>
    <t>SYMC.O,mscalc:operatingRevenueForConsensus,2008FY,,CY</t>
  </si>
  <si>
    <t>CRM.N,mstag:revenueNet,2011Q3,,CY</t>
  </si>
  <si>
    <t>P.N,mscalc:yearEndMonth</t>
  </si>
  <si>
    <t>RHT.N,mscalc:generalAndAdministrativeExpensesCalc,2012Q3,,CY</t>
  </si>
  <si>
    <t>ADBE.O,mstag:costOfSalesWithDepreciation,2009Q2,,CY</t>
  </si>
  <si>
    <t>MSFT.O,mscalc:epsForConsensusForThomsonFeed,2008Q4,,CY</t>
  </si>
  <si>
    <t>ADBE.O,mstag:researchAndDevelopment,2013Q3,,CY</t>
  </si>
  <si>
    <t>QLIK.O,mstag:costOfSalesWithDepreciation,2012Q4,,CY</t>
  </si>
  <si>
    <t>QLIK.O,mstag:costOfSalesWithDepreciation,2011Q3,,CY</t>
  </si>
  <si>
    <t>CRM.N,mstag:costOfSalesWithDepreciation,2013FY,,CY</t>
  </si>
  <si>
    <t>WBSN.O,mstag:researchAndDevelopment,2008FY,,CY</t>
  </si>
  <si>
    <t>FIRE.O,mstag:depreciationInIncomeStatement,2009Q2,,CY</t>
  </si>
  <si>
    <t>ORCL.O,mstag:marketingAndDistributionCosts,2012FY,,CY</t>
  </si>
  <si>
    <t>MSFT.O,mscalc:generalAndAdministrativeExpensesCalc,2010Q2,,CY</t>
  </si>
  <si>
    <t>MKTG.O,mstag:revenueNet,2009Q3,,CY</t>
  </si>
  <si>
    <t>SWI.N,mscalc:generalAndAdministrativeExpensesCalc,2013Q4,,CY</t>
  </si>
  <si>
    <t>IL.N,mscalc:generalAndAdministrativeExpensesCalc,2009Q4,,CY</t>
  </si>
  <si>
    <t>N.N,mstag:costOfSalesWithDepreciation,2013Q4,,CY</t>
  </si>
  <si>
    <t>ADSK.O,mstag:researchAndDevelopment,2013Q4,,CY</t>
  </si>
  <si>
    <t>SWI.N,mscalc:epsForConsensusForThomsonFeed,2010Q4,,CY</t>
  </si>
  <si>
    <t>SREV.O,mscalc:epsForConsensusForThomsonFeed,2009Q2,,CY</t>
  </si>
  <si>
    <t>HRB.N,mscalc:epsForConsensusForThomsonFeed,2011FY,,CY</t>
  </si>
  <si>
    <t>DMAN.O,mstag:marketingAndDistributionCosts,2008Q4,,CY</t>
  </si>
  <si>
    <t>CNQR.O,mstag:marketingAndDistributionCosts,2009FY,,CY</t>
  </si>
  <si>
    <t>MSFT.O,mscalc:generalAndAdministrativeExpensesCalc,2008Q3,,CY</t>
  </si>
  <si>
    <t>ORCL.O,mstag:revenueNet,2010Q2,,CY</t>
  </si>
  <si>
    <t>IL.N,mstag:revenueNet,2012Q1,,CY</t>
  </si>
  <si>
    <t>IL.N,mstag:researchAndDevelopment,2007FY,,CY</t>
  </si>
  <si>
    <t>AAPL.O,mscalc:epsForConsensusForThomsonFeed,2010FY,,CY</t>
  </si>
  <si>
    <t>DMAN.O,mstag:researchAndDevelopment,2013Q2,,CY</t>
  </si>
  <si>
    <t>TLEO.O,mscalc:epsForConsensusForThomsonFeed,2012Q1,,CY</t>
  </si>
  <si>
    <t>GUID.O,mstag:researchAndDevelopment,2009Q3,,CY</t>
  </si>
  <si>
    <t>VMW.N,mstag:averageDilutedSharesOutstanding,2011Q4,,CY</t>
  </si>
  <si>
    <t>VMW.N,mstag:researchAndDevelopment,2008Q1,,CY</t>
  </si>
  <si>
    <t>INTU.O,mstag:costOfSalesWithDepreciation,2013Q1,,CY</t>
  </si>
  <si>
    <t>ORCL.O,mscalc:generalAndAdministrativeExpensesCalc,2007FY,,CY</t>
  </si>
  <si>
    <t>IL.N,mscalc:epsForConsensusForThomsonFeed,2010Q4,,CY</t>
  </si>
  <si>
    <t>DMAN.O,mscalc:generalAndAdministrativeExpensesCalc,2009Q2,,CY</t>
  </si>
  <si>
    <t>INTU.O,mscalc:generalAndAdministrativeExpensesCalc,2012Q1,,CY</t>
  </si>
  <si>
    <t>DMAN.O,mscalc:generalAndAdministrativeExpensesCalc,2010Q2,,CY</t>
  </si>
  <si>
    <t>MKTG.O,mscalc:epsForConsensusForThomsonFeed,2011FY,,CY</t>
  </si>
  <si>
    <t>WBSN.O,mstag:marketingAndDistributionCosts,2011Q4,,CY</t>
  </si>
  <si>
    <t>RHT.N,mscalc:generalAndAdministrativeExpensesCalc,2013Q1,,CY</t>
  </si>
  <si>
    <t>AMD.N,mscalc:epsForConsensusForThomsonFeed,2012FY,,CY</t>
  </si>
  <si>
    <t>SYMC.O,mscalc:generalAndAdministrativeExpensesCalc,2011Q3,,CY</t>
  </si>
  <si>
    <t>RNOW.O,mstag:revenueNet,2010Q1,,CY</t>
  </si>
  <si>
    <t>SFSF.N,mstag:researchAndDevelopment,2008Q1,,CY</t>
  </si>
  <si>
    <t>MSFT.O,mstag:marketingAndDistributionCosts,2013Q1,,CY</t>
  </si>
  <si>
    <t>N.N,mscalc:generalAndAdministrativeExpensesCalc,2013Q1,,CY</t>
  </si>
  <si>
    <t>INTU.O,mstag:costOfSalesWithDepreciation,2012Q2,,CY</t>
  </si>
  <si>
    <t>GUID.O,mstag:revenueNet,2008Q1,,CY</t>
  </si>
  <si>
    <t>SFSF.N,mstag:companyReportedRevenue,2010Q2,,CY</t>
  </si>
  <si>
    <t>INTU.O,mstag:researchAndDevelopment,2008FY,,CY</t>
  </si>
  <si>
    <t>GUID.O,mstag:marketingAndDistributionCosts,2011Q2,,CY</t>
  </si>
  <si>
    <t>AMAT.O,mscalc:epsForConsensusForThomsonFeed,2011FY,,CY</t>
  </si>
  <si>
    <t>FIRE.O,mstag:costOfSalesWithoutDepreciation,2009FY,,CY</t>
  </si>
  <si>
    <t>MKTG.O,mstag:revenueNet,2009Q4,,CY</t>
  </si>
  <si>
    <t>AKAM.O,mstag:researchAndDevelopment,2013Q3,,CY</t>
  </si>
  <si>
    <t>GUID.O,mstag:researchAndDevelopment,2007FY,,CY</t>
  </si>
  <si>
    <t>RNOW.O,mstag:revenueNet,2011Q3,,CY</t>
  </si>
  <si>
    <t>FTNT.O,mscalc:operatingRevenueForConsensus,2013FY,,CY</t>
  </si>
  <si>
    <t>INTU.O,mstag:otherOperatingExpenseChild,2008FY,,CY</t>
  </si>
  <si>
    <t>CHKP.O,mstag:costOfSalesWithDepreciation,2008Q1,,CY</t>
  </si>
  <si>
    <t>AKAM.O,mstag:marketingAndDistributionCosts,2011Q2,,CY</t>
  </si>
  <si>
    <t>ADSK.O,mstag:revenueNet,2011Q3,,CY</t>
  </si>
  <si>
    <t>N.N,mstag:revenueNet,2009Q3,,CY</t>
  </si>
  <si>
    <t>TLEO.O,mstag:marketingAndDistributionCosts,2011Q2,,CY</t>
  </si>
  <si>
    <t>FIRE.O,mscalc:generalAndAdministrativeExpensesCalc,2012Q3,,CY</t>
  </si>
  <si>
    <t>ADSK.O,mstag:researchAndDevelopment,2012Q3,,CY</t>
  </si>
  <si>
    <t>TLEO.O,mstag:researchAndDevelopment,2008Q2,,CY</t>
  </si>
  <si>
    <t>TLEO.O,mstag:costOfSalesWithDepreciation,2012Q2,,CY</t>
  </si>
  <si>
    <t>ADSK.O,mstag:marketingAndDistributionCosts,2010Q3,,CY</t>
  </si>
  <si>
    <t>SYMC.O,mstag:researchAndDevelopment,2010FY,,CY</t>
  </si>
  <si>
    <t>EBAY.O,msuser:cmAUPLEBITDA20060530T0035524245,2011FY,,CY</t>
  </si>
  <si>
    <t>SWI.N,mstag:researchAndDevelopment,2012Q2,,CY</t>
  </si>
  <si>
    <t>IL.N,mscalc:epsForConsensusForThomsonFeed,2009Q3,,CY</t>
  </si>
  <si>
    <t>HRB.N,mscalc:yearEndMonth</t>
  </si>
  <si>
    <t>INFA.O,mstag:otherOperatingExpenseChild,2007FY,,CY</t>
  </si>
  <si>
    <t>N.N,mstag:costOfSalesWithDepreciation,2011Q3,,CY</t>
  </si>
  <si>
    <t>CTXS.O,mscalc:epsForConsensusForThomsonFeed,2007FY,,CY</t>
  </si>
  <si>
    <t>INTC.O,mscalc:dilutedEarningsPerShare,2008FY,,CY</t>
  </si>
  <si>
    <t>JNPR.N,msuser:cmAUPLEBITDA20060530T0035524245,2007FY,,CY</t>
  </si>
  <si>
    <t>DMAN.O,mstag:costOfSalesWithDepreciation,2009Q1,,CY</t>
  </si>
  <si>
    <t>CTXS.O,mstag:costOfSalesWithDepreciation,2008FY,,CY</t>
  </si>
  <si>
    <t>RNOW.O,mscalc:epsForConsensusForThomsonFeed,2010Q1,,CY</t>
  </si>
  <si>
    <t>QLIK.O,mstag:researchAndDevelopment,2012FY,,CY</t>
  </si>
  <si>
    <t>RHT.N,mscalc:epsForConsensusForThomsonFeed,2008Q4,,CY</t>
  </si>
  <si>
    <t>AKAM.O,mscalc:epsForConsensusForThomsonFeed,2007FY,,CY</t>
  </si>
  <si>
    <t>GUID.O,mscalc:epsForConsensusForThomsonFeed,2012FY,,CY</t>
  </si>
  <si>
    <t>GUID.O,mstag:revenueNet,2009Q3,,CY</t>
  </si>
  <si>
    <t>IL.N,mstag:researchAndDevelopment,2013Q2,,CY</t>
  </si>
  <si>
    <t>ORCL.O,mscalc:epsForConsensusForThomsonFeed,2011FY,,CY</t>
  </si>
  <si>
    <t>GOOG.O,mscalc:operatingRevenueForConsensus,2010FY,,CY</t>
  </si>
  <si>
    <t>ADSK.O,mstag:marketingAndDistributionCosts,2011Q1,,CY</t>
  </si>
  <si>
    <t>NFLX.O,msuser:cmAUPLEBITDA20060530T0035524245,2010FY,,CY</t>
  </si>
  <si>
    <t>N.N,mstag:shortTermBorrowings,2011Q4,,CY</t>
  </si>
  <si>
    <t>SREV.O,mstag:costOfSalesWithDepreciation,2011FY,,CY</t>
  </si>
  <si>
    <t>SFSF.N,mscalc:epsForConsensusForThomsonFeed,2009Q3,,CY</t>
  </si>
  <si>
    <t>FTNT.O,mstag:researchAndDevelopment,2009FY,,CY</t>
  </si>
  <si>
    <t>ADSK.O,mscalc:epsForConsensusForThomsonFeed,2009Q4,,CY</t>
  </si>
  <si>
    <t>CRM.N,mscalc:operatingRevenueForConsensus,2007FY,,CY</t>
  </si>
  <si>
    <t>JIVE.O,mstag:shortTermBorrowings,2011Q4,,CY</t>
  </si>
  <si>
    <t>RNOW.O,mscalc:generalAndAdministrativeExpensesCalc,2008Q2,,CY</t>
  </si>
  <si>
    <t>SWI.N,mscalc:operatingRevenueForConsensus,2008FY,,CY</t>
  </si>
  <si>
    <t>DMAN.O,mscalc:generalAndAdministrativeExpensesCalc,2009Q1,,CY</t>
  </si>
  <si>
    <t>RHT.N,mstag:researchAndDevelopment,2013Q1,,CY</t>
  </si>
  <si>
    <t>MKTG.O,mstag:researchAndDevelopment,2010Q3,,CY</t>
  </si>
  <si>
    <t>JIVE.O,mscalc:epsForConsensusForThomsonFeed,2012FY,,CY</t>
  </si>
  <si>
    <t>LNKD.N,mscalc:epsForConsensusForThomsonFeed,2013FY,,CY</t>
  </si>
  <si>
    <t>CHKP.O,mstag:researchAndDevelopment,2008Q1,,CY</t>
  </si>
  <si>
    <t>ORCL.O,mscalc:generalAndAdministrativeExpensesCalc,2009Q3,,CY</t>
  </si>
  <si>
    <t>FIRE.O,mscalc:generalAndAdministrativeExpensesCalc,2013Q2,,CY</t>
  </si>
  <si>
    <t>MKTG.O,mstag:costOfSalesWithDepreciation,2011Q2,,CY</t>
  </si>
  <si>
    <t>QLIK.O,mstag:revenueNet,2011Q1,,CY</t>
  </si>
  <si>
    <t>MKTG.O,mstag:longTermDebt,2011Q3,,CY</t>
  </si>
  <si>
    <t>AMD.N,mscalc:stockRating</t>
  </si>
  <si>
    <t>IL.N,mscalc:epsForConsensusForThomsonFeed,2009Q1,,CY</t>
  </si>
  <si>
    <t>JIVE.O,mscalc:generalAndAdministrativeExpensesCalc,2011FY,,CY</t>
  </si>
  <si>
    <t>GUID.O,mstag:marketingAndDistributionCosts,2011Q3,,CY</t>
  </si>
  <si>
    <t>QLIK.O,mstag:costOfSalesWithDepreciation,2008Q2,,CY</t>
  </si>
  <si>
    <t>SFSF.N,mstag:researchAndDevelopment,2009Q4,,CY</t>
  </si>
  <si>
    <t>FISV.O,mscalc:epsForConsensusForThomsonFeed,2008FY,,CY</t>
  </si>
  <si>
    <t>WBSN.O,mscalc:epsForConsensusForThomsonFeed,2013FY,,CY</t>
  </si>
  <si>
    <t>ADBE.O,mscalc:generalAndAdministrativeExpensesCalc,2009Q2,,CY</t>
  </si>
  <si>
    <t>QLIK.O,mscalc:generalAndAdministrativeExpensesCalc,2008Q4,,CY</t>
  </si>
  <si>
    <t>ADBE.O,mscalc:epsForConsensusForThomsonFeed,2011FY,,CY</t>
  </si>
  <si>
    <t>CRM.N,mstag:researchAndDevelopment,2011Q2,,CY</t>
  </si>
  <si>
    <t>IBM.N,msuser:cmAUPLEBITDA20060530T0035524245,2013FY,,CY</t>
  </si>
  <si>
    <t>CHKP.O,mstag:costOfSalesWithDepreciation,2012FY,,CY</t>
  </si>
  <si>
    <t>SYMC.O,mstag:costOfSalesWithDepreciation,2009FY,,CY</t>
  </si>
  <si>
    <t>FTNT.O,mscalc:operatingRevenueForConsensus,2011FY,,CY</t>
  </si>
  <si>
    <t>QLIK.O,mstag:costOfSalesWithDepreciation,2009Q2,,CY</t>
  </si>
  <si>
    <t>CHKP.O,mstag:cashAndCashEquivalents,2011Q4,,CY</t>
  </si>
  <si>
    <t>INTU.O,mstag:costOfSalesWithDepreciation,2012Q4,,CY</t>
  </si>
  <si>
    <t>TLEO.O,mscalc:generalAndAdministrativeExpensesCalc,2012Q4,,CY</t>
  </si>
  <si>
    <t>SWI.N,mstag:costOfSalesWithDepreciation,2009FY,,CY</t>
  </si>
  <si>
    <t>TLEO.O,mscalc:epsForConsensusForThomsonFeed,2012Q2,,CY</t>
  </si>
  <si>
    <t>IL.N,mstag:marketingAndDistributionCosts,2012Q2,,CY</t>
  </si>
  <si>
    <t>RNOW.O,mstag:revenueNet,2013Q3,,CY</t>
  </si>
  <si>
    <t>SREV.O,mstag:researchAndDevelopment,2010Q3,,CY</t>
  </si>
  <si>
    <t>SWI.N,mscalc:epsForConsensusForThomsonFeed,2013Q4,,CY</t>
  </si>
  <si>
    <t>RHT.N,mstag:researchAndDevelopment,2009Q1,,CY</t>
  </si>
  <si>
    <t>ORCL.O,mstag:softwareLicenseRevenues,2012FY,,CY</t>
  </si>
  <si>
    <t>CVG.N,mscalc:operatingRevenueForConsensus,2009FY,,CY</t>
  </si>
  <si>
    <t>EMC.N,mscalc:operatingRevenueForConsensus,2011FY,,CY</t>
  </si>
  <si>
    <t>ORCL.O,mscalc:epsForConsensusForThomsonFeed,2011Q2,,CY</t>
  </si>
  <si>
    <t>FIRE.O,mstag:marketingAndDistributionCosts,2013Q2,,CY</t>
  </si>
  <si>
    <t>CRM.N,mstag:costOfSalesWithDepreciation,2012Q1,,CY</t>
  </si>
  <si>
    <t>RHT.N,mstag:revenueNet,2010Q4,,CY</t>
  </si>
  <si>
    <t>RHT.N,mscalc:generalAndAdministrativeExpensesCalc,2010FY,,CY</t>
  </si>
  <si>
    <t>SAPG.DE,mscalc:epsForConsensusForThomsonFeed,2013FY,,CY</t>
  </si>
  <si>
    <t>GRPN.O,mscalc:epsForConsensusForThomsonFeed,2012FY,,CY</t>
  </si>
  <si>
    <t>SFSF.N,mstag:costOfSalesWithDepreciation,2011Q2,,CY</t>
  </si>
  <si>
    <t>VMW.N,mscalc:epsForConsensusForThomsonFeed,2011FY,,CY</t>
  </si>
  <si>
    <t>FTNT.O,mstag:researchAndDevelopment,2012FY,,CY</t>
  </si>
  <si>
    <t>IL.N,mscalc:operatingRevenueForConsensus,2011FY,,CY</t>
  </si>
  <si>
    <t>IL.N,mstag:marketingAndDistributionCosts,2011Q2,,CY</t>
  </si>
  <si>
    <t>CHKP.O,mstag:costOfSalesWithDepreciation,2009FY,,CY</t>
  </si>
  <si>
    <t>FIRE.O,mscalc:epsForConsensusForThomsonFeed,2010Q1,,CY</t>
  </si>
  <si>
    <t>AKAM.O,mscalc:operatingRevenueForConsensus,2008FY,,CY</t>
  </si>
  <si>
    <t>MSFT.O,mscalc:epsForConsensusForThomsonFeed,2011Q2,,CY</t>
  </si>
  <si>
    <t>VMW.N,mstag:costOfSalesWithDepreciation,2009FY,,CY</t>
  </si>
  <si>
    <t>ORCL.O,mstag:marketingAndDistributionCosts,2008Q4,,CY</t>
  </si>
  <si>
    <t>FIRE.O,mscalc:epsForConsensusForThomsonFeed,2011Q3,,CY</t>
  </si>
  <si>
    <t>VMW.N,mstag:costOfSalesWithDepreciation,2012Q3,,CY</t>
  </si>
  <si>
    <t>CTXS.O,mstag:softwareProductRevenues,2011FY,,CY</t>
  </si>
  <si>
    <t>RNOW.O,mstag:revenueNet,2008Q3,,CY</t>
  </si>
  <si>
    <t>N.N,mstag:marketingAndDistributionCosts,2012Q1,,CY</t>
  </si>
  <si>
    <t>TLEO.O,mscalc:epsForConsensusForThomsonFeed,2013Q1,,CY</t>
  </si>
  <si>
    <t>MKTG.O,mscalc:generalAndAdministrativeExpensesCalc,2013Q2,,CY</t>
  </si>
  <si>
    <t>RNOW.O,mstag:revenueNet,2011Q1,,CY</t>
  </si>
  <si>
    <t>GUID.O,mscalc:epsForConsensusForThomsonFeed,2010Q1,,CY</t>
  </si>
  <si>
    <t>QLIK.O,mstag:costOfSalesWithDepreciation,2008Q3,,CY</t>
  </si>
  <si>
    <t>RNOW.O,mstag:costOfSalesWithDepreciation,2008Q1,,CY</t>
  </si>
  <si>
    <t>INTU.O,mstag:researchAndDevelopment,2008Q2,,CY</t>
  </si>
  <si>
    <t>TLEO.O,mstag:revenueNet,2012Q4,,CY</t>
  </si>
  <si>
    <t>IL.N,mscalc:operatingRevenueForConsensus,2010FY,,CY</t>
  </si>
  <si>
    <t>IL.N,mstag:marketingAndDistributionCosts,2010Q2,,CY</t>
  </si>
  <si>
    <t>QLIK.O,mstag:costOfSalesWithDepreciation,2012Q2,,CY</t>
  </si>
  <si>
    <t>AKAM.O,mstag:marketingAndDistributionCosts,2012Q4,,CY</t>
  </si>
  <si>
    <t>ADBE.O,mstag:revenueNet,2012Q2,,CY</t>
  </si>
  <si>
    <t>SYMC.O,mscalc:epsForConsensusForThomsonFeed,2008Q3,,CY</t>
  </si>
  <si>
    <t>QLIK.O,mstag:researchAndDevelopment,2013Q1,,CY</t>
  </si>
  <si>
    <t>CHKP.O,mstag:researchAndDevelopment,2013Q4,,CY</t>
  </si>
  <si>
    <t>ORCL.O,mstag:softwareLicenseRevenues,2010FY,,CY</t>
  </si>
  <si>
    <t>RNOW.O,mscalc:epsForConsensusForThomsonFeed,2011Q1,,CY</t>
  </si>
  <si>
    <t>INFA.O,mscalc:generalAndAdministrativeExpensesCalc,2012FY,,CY</t>
  </si>
  <si>
    <t>CVG.N,mscalc:operatingRevenueForConsensus,2013FY,,CY</t>
  </si>
  <si>
    <t>AMAT.O,mscalc:operatingRevenueForConsensus,2011FY,,CY</t>
  </si>
  <si>
    <t>N.N,mstag:costOfSalesWithDepreciation,2011Q4,,CY</t>
  </si>
  <si>
    <t>RNOW.O,mscalc:generalAndAdministrativeExpensesCalc,2012Q3,,CY</t>
  </si>
  <si>
    <t>CRM.N,mscalc:generalAndAdministrativeExpensesCalc,2008Q4,,CY</t>
  </si>
  <si>
    <t>CVG.N,msuser:cmAUPLEBITDA20060530T0035524245,2007FY,,CY</t>
  </si>
  <si>
    <t>VMW.N,mstag:costOfSalesWithDepreciation,2008Q4,,CY</t>
  </si>
  <si>
    <t>CHKP.O,mscalc:epsForConsensusForThomsonFeed,2008Q2,,CY</t>
  </si>
  <si>
    <t>MSFT.O,mstag:researchAndDevelopment,2013FY,,CY</t>
  </si>
  <si>
    <t>VMW.N,mscalc:epsForConsensusForThomsonFeed,2009FY,,CY</t>
  </si>
  <si>
    <t>N.N,mscalc:generalAndAdministrativeExpensesCalc,2013FY,,CY</t>
  </si>
  <si>
    <t>SREV.O,mstag:costOfSalesWithDepreciation,2008Q1,,CY</t>
  </si>
  <si>
    <t>EBAY.O,mscalc:operatingRevenueForConsensus,2008FY,,CY</t>
  </si>
  <si>
    <t>MKTG.O,mstag:researchAndDevelopment,2012FY,,CY</t>
  </si>
  <si>
    <t>FTNT.O,mstag:marketingAndDistributionCosts,2013Q3,,CY</t>
  </si>
  <si>
    <t>QLIK.O,mstag:marketingAndDistributionCosts,2012Q2,,CY</t>
  </si>
  <si>
    <t>CRM.N,mstag:marketingAndDistributionCosts,2013Q3,,CY</t>
  </si>
  <si>
    <t>MSFT.O,mstag:marketingAndDistributionCosts,2012Q1,,CY</t>
  </si>
  <si>
    <t>VMW.N,mstag:marketingCosts,2011Q1,,CY</t>
  </si>
  <si>
    <t>MKTG.O,mscalc:epsForConsensusForThomsonFeed,2013Q3,,CY</t>
  </si>
  <si>
    <t>TXN.N,mscalc:dilutedEarningsPerShare,2009FY,,CY</t>
  </si>
  <si>
    <t>VMW.N,mstag:otherOperatingExpenseChild,2008FY,,CY</t>
  </si>
  <si>
    <t>ORCL.O,mscalc:epsForConsensusForThomsonFeed,2013FY,,CY</t>
  </si>
  <si>
    <t>SFSF.N,mstag:companyReportedRevenue,2013Q2,,CY</t>
  </si>
  <si>
    <t>FIRE.O,mscalc:epsForConsensusForThomsonFeed,2010Q2,,CY</t>
  </si>
  <si>
    <t>OPEN.O,mscalc:epsForConsensusForThomsonFeed,2010FY,,CY</t>
  </si>
  <si>
    <t>ADSK.O,mstag:otherAssetsOperatingCurrent,2011Q3,,CY</t>
  </si>
  <si>
    <t>MSFT.O,mstag:researchAndDevelopment,2009Q4,,CY</t>
  </si>
  <si>
    <t>CRM.N,mstag:averageDilutedSharesOutstanding,2011Q3,,CY</t>
  </si>
  <si>
    <t>ORCL.O,mstag:costOfSalesWithDepreciation,2010Q4,,CY</t>
  </si>
  <si>
    <t>INFA.O,mstag:marketingAndDistributionCosts,2011FY,,CY</t>
  </si>
  <si>
    <t>GUID.O,mstag:revenueNet,2013Q2,,CY</t>
  </si>
  <si>
    <t>VMW.N,mscalc:epsForConsensusForThomsonFeed,2010Q3,,CY</t>
  </si>
  <si>
    <t>TLEO.O,mstag:revenueNet,2013Q4,,CY</t>
  </si>
  <si>
    <t>GUID.O,mstag:marketingAndDistributionCosts,2013FY,,CY</t>
  </si>
  <si>
    <t>MKTG.O,mstag:revenueNet,2012Q1,,CY</t>
  </si>
  <si>
    <t>CHKP.O,mstag:researchAndDevelopment,2010FY,,CY</t>
  </si>
  <si>
    <t>SYMC.O,mscalc:generalAndAdministrativeExpensesCalc,2008Q1,,CY</t>
  </si>
  <si>
    <t>SAPG.DE,mscalc:epsForConsensusForThomsonFeed,2007FY,,CY</t>
  </si>
  <si>
    <t>RHT.N,mstag:revenueNet,2008Q3,,CY</t>
  </si>
  <si>
    <t>SWI.N,mstag:costOfSalesWithDepreciation,2008FY,,CY</t>
  </si>
  <si>
    <t>AKAM.O,mstag:costOfSalesWithDepreciation,2013Q1,,CY</t>
  </si>
  <si>
    <t>SYMC.O,mscalc:epsForConsensusForThomsonFeed,2011Q1,,CY</t>
  </si>
  <si>
    <t>VRSN.O,mstag:marketingAndDistributionCosts,2013FY,,CY</t>
  </si>
  <si>
    <t>CTXS.O,mscalc:epsForConsensusForThomsonFeed,2013FY,,CY</t>
  </si>
  <si>
    <t>SWI.N,mscalc:generalAndAdministrativeExpensesCalc,2013Q1,,CY</t>
  </si>
  <si>
    <t>FIRE.O,mstag:costOfSalesWithoutDepreciation,2013Q2,,CY</t>
  </si>
  <si>
    <t>TLEO.O,mscalc:operatingRevenueForConsensus,2012FY,,CY</t>
  </si>
  <si>
    <t>FIRE.O,mstag:researchAndDevelopment,2012FY,,CY</t>
  </si>
  <si>
    <t>CHKP.O,mstag:marketingAndDistributionCosts,2010Q2,,CY</t>
  </si>
  <si>
    <t>RHT.N,mscalc:epsForConsensusForThomsonFeed,2013Q2,,CY</t>
  </si>
  <si>
    <t>CHKP.O,mstag:costOfSalesWithDepreciation,2012Q3,,CY</t>
  </si>
  <si>
    <t>INFA.O,mstag:researchAndDevelopment,2011FY,,CY</t>
  </si>
  <si>
    <t>RHT.N,mscalc:yearEndMonth</t>
  </si>
  <si>
    <t>GUID.O,mstag:costOfSalesWithoutDepreciation,2009Q1,,CY</t>
  </si>
  <si>
    <t>CHKP.O,mstag:researchAndDevelopment,2009Q2,,CY</t>
  </si>
  <si>
    <t>CTXS.O,mstag:costOfSalesWithDepreciation,2009Q4,,CY</t>
  </si>
  <si>
    <t>CTXS.O,mstag:revenueNet,2013Q3,,CY</t>
  </si>
  <si>
    <t>SWI.N,mstag:otherOperatingExpenseChild,2013FY,,CY</t>
  </si>
  <si>
    <t>AKAM.O,mstag:revenueNet,2009Q1,,CY</t>
  </si>
  <si>
    <t>QLIK.O,mstag:marketingAndDistributionCosts,2009Q2,,CY</t>
  </si>
  <si>
    <t>CRM.N,mstag:costOfSalesWithDepreciation,2012FY,,CY</t>
  </si>
  <si>
    <t>MSFT.O,mstag:otherOperatingExpenseChild,2010FY,,CY</t>
  </si>
  <si>
    <t>CHKP.O,mscalc:operatingRevenueForConsensus,2009FY,,CY</t>
  </si>
  <si>
    <t>IL.N,mstag:revenueNet,2009Q2,,CY</t>
  </si>
  <si>
    <t>WBSN.O,mstag:marketingAndDistributionCosts,2013Q4,,CY</t>
  </si>
  <si>
    <t>NA,mstag:otherOperatingExpenseChild,2007FY,,CY</t>
  </si>
  <si>
    <t>IL.N,mstag:researchAndDevelopment,2011Q2,,CY</t>
  </si>
  <si>
    <t>SREV.O,mstag:researchAndDevelopment,2008FY,,CY</t>
  </si>
  <si>
    <t>EBIT</t>
  </si>
  <si>
    <t>MKTG.O,mscalc:epsForConsensusForThomsonFeed,2008Q2,,CY</t>
  </si>
  <si>
    <t>IL.N,mscalc:generalAndAdministrativeExpensesCalc,2013Q4,,CY</t>
  </si>
  <si>
    <t>RHT.N,mstag:marketingAndDistributionCosts,2008Q1,,CY</t>
  </si>
  <si>
    <t>RNOW.O,mstag:marketingAndDistributionCosts,2013Q3,,CY</t>
  </si>
  <si>
    <t>FIRE.O,mstag:depreciationInIncomeStatement,2013Q2,,CY</t>
  </si>
  <si>
    <t>ADSK.O,mstag:researchAndDevelopment,2010Q4,,CY</t>
  </si>
  <si>
    <t>SWI.N,mstag:researchAndDevelopment,2012Q1,,CY</t>
  </si>
  <si>
    <t>MSFT.O,mscalc:generalAndAdministrativeExpensesCalc,2013Q4,,CY</t>
  </si>
  <si>
    <t>ADSK.O,mstag:marketingAndDistributionCosts,2010Q4,,CY</t>
  </si>
  <si>
    <t>ADSK.O,mscalc:epsForConsensusForThomsonFeed,2008Q1,,CY</t>
  </si>
  <si>
    <t>MSFT.O,mstag:researchAndDevelopment,2010FY,,CY</t>
  </si>
  <si>
    <t>Operating  Income</t>
  </si>
  <si>
    <t>DSO Adjusted for Deferred</t>
  </si>
  <si>
    <t>INTU.O,mstag:costOfSalesWithDepreciation,2011Q2,,CY</t>
  </si>
  <si>
    <t>RNOW.O,mstag:costOfSalesWithDepreciation,2011Q4,,CY</t>
  </si>
  <si>
    <t>AMZN.O,mscalc:operatingRevenueForConsensus,2009FY,,CY</t>
  </si>
  <si>
    <t>SYMC.O,mstag:cashAndCashEquivalents,2011Q4,,CY</t>
  </si>
  <si>
    <t>WBSN.O,mstag:researchAndDevelopment,2008Q4,,CY</t>
  </si>
  <si>
    <t>IL.N,mscalc:yearEndMonth</t>
  </si>
  <si>
    <t>ADSK.O,mstag:marketingAndDistributionCosts,2009Q1,,CY</t>
  </si>
  <si>
    <t>CRM.N,mstag:marketingAndDistributionCosts,2008Q3,,CY</t>
  </si>
  <si>
    <t>DMAN.O,mscalc:epsForConsensusForThomsonFeed,2009Q4,,CY</t>
  </si>
  <si>
    <t>NFLX.O,mscalc:operatingRevenueForConsensus,2011FY,,CY</t>
  </si>
  <si>
    <t>NA,mscalc:operatingRevenueForConsensus,2013FY,,CY</t>
  </si>
  <si>
    <t>INTU.O,mscalc:epsForConsensusForThomsonFeed,2010Q2,,CY</t>
  </si>
  <si>
    <t>MSFT.O,mstag:marketingAndDistributionCosts,2013Q4,,CY</t>
  </si>
  <si>
    <t>GUID.O,mstag:marketingAndDistributionCosts,2011FY,,CY</t>
  </si>
  <si>
    <t>NA,mstag:costOfSalesWithDepreciation,2007FY,,CY</t>
  </si>
  <si>
    <t>FIRE.O,mstag:depreciationInIncomeStatement,2013FY,,CY</t>
  </si>
  <si>
    <t>MKTG.O,mstag:marketingAndDistributionCosts,2012FY,,CY</t>
  </si>
  <si>
    <t>ADSK.O,mstag:marketingAndDistributionCosts,2008Q4,,CY</t>
  </si>
  <si>
    <t>CTXS.O,mscalc:operatingRevenueForConsensus,2012FY,,CY</t>
  </si>
  <si>
    <t>MKTG.O,mscalc:epsForConsensusForThomsonFeed,2012Q3,,CY</t>
  </si>
  <si>
    <t>CTXS.O,mstag:revenueNet,2011Q4,,CY</t>
  </si>
  <si>
    <t>INTU.O,mstag:marketingAndDistributionCosts,2013Q4,,CY</t>
  </si>
  <si>
    <t>EMC.N,mscalc:epsForConsensusForThomsonFeed,2013FY,,CY</t>
  </si>
  <si>
    <t>SWI.N,mscalc:epsForConsensusForThomsonFeed,2010Q3,,CY</t>
  </si>
  <si>
    <t>CHKP.O,mscalc:generalAndAdministrativeExpensesCalc,2013FY,,CY</t>
  </si>
  <si>
    <t>ADSK.O,mscalc:epsForConsensusForThomsonFeed,2011Q4,,CY</t>
  </si>
  <si>
    <t>GUID.O,mscalc:epsForConsensusForThomsonFeed,2011Q3,,CY</t>
  </si>
  <si>
    <t>VMW.N,mstag:sellingGeneralAndAdministrativeExpenses,2007FY,,CY</t>
  </si>
  <si>
    <t>N.N,mstag:costOfSalesWithDepreciation,2011Q2,,CY</t>
  </si>
  <si>
    <t>TLEO.O,mscalc:generalAndAdministrativeExpensesCalc,2007FY,,CY</t>
  </si>
  <si>
    <t>DELL.O,mscalc:operatingRevenueForConsensus,2008FY,,CY</t>
  </si>
  <si>
    <t>MKTG.O,mscalc:epsForConsensusForThomsonFeed,2009Q2,,CY</t>
  </si>
  <si>
    <t>DMAN.O,mscalc:generalAndAdministrativeExpensesCalc,2008Q1,,CY</t>
  </si>
  <si>
    <t>SAPG.DE,mscalc:dilutedEarningsPerShare,2008FY,,CY</t>
  </si>
  <si>
    <t>SFSF.N,mscalc:generalAndAdministrativeExpensesCalc,2012Q2,,CY</t>
  </si>
  <si>
    <t>_fy05</t>
  </si>
  <si>
    <t>Revenues</t>
  </si>
  <si>
    <t>Maintenance</t>
  </si>
  <si>
    <t>Borrowings under line of credit</t>
  </si>
  <si>
    <t>Cash Flow Statement (Quarterly)</t>
  </si>
  <si>
    <t>Total</t>
  </si>
  <si>
    <t>Balance Sheet Drivers and Line Item Detail</t>
  </si>
  <si>
    <t>Doubtful Accounts</t>
  </si>
  <si>
    <t>FIRE.O,mstag:depreciationInIncomeStatement,2008Q3,,CY</t>
  </si>
  <si>
    <t>INTU.O,mscalc:generalAndAdministrativeExpensesCalc,2008Q4,,CY</t>
  </si>
  <si>
    <t>N.N,mstag:marketingAndDistributionCosts,2012FY,,CY</t>
  </si>
  <si>
    <t>AKAM.O,mscalc:epsForConsensusForThomsonFeed,2010Q2,,CY</t>
  </si>
  <si>
    <t>SREV.O,mstag:otherOperatingExpenseChild,2013FY,,CY</t>
  </si>
  <si>
    <t>ADBE.O,mstag:costOfSalesWithDepreciation,2013FY,,CY</t>
  </si>
  <si>
    <t>SWI.N,mstag:revenueNet,2010Q4,,CY</t>
  </si>
  <si>
    <t>RHT.N,mstag:marketingAndDistributionCosts,2008Q3,,CY</t>
  </si>
  <si>
    <t>QLIK.O,mstag:researchAndDevelopment,2011Q4,,CY</t>
  </si>
  <si>
    <t>AKAM.O,mstag:revenueNet,2008Q2,,CY</t>
  </si>
  <si>
    <t>JIVE.O,mstag:otherOperatingExpenseChild,2010FY,,CY</t>
  </si>
  <si>
    <t>CTXS.O,mstag:researchAndDevelopment,2011FY,,CY</t>
  </si>
  <si>
    <t>CRM.N,mstag:revenueNet,2012Q4,,CY</t>
  </si>
  <si>
    <t>AKAM.O,mstag:marketingAndDistributionCosts,2013Q2,,CY</t>
  </si>
  <si>
    <t>VMW.N,mstag:costOfSalesWithDepreciation,2013Q3,,CY</t>
  </si>
  <si>
    <t>MSFT.O,mstag:otherOperatingExpenseChild,2012FY,,CY</t>
  </si>
  <si>
    <t>RHT.N,mstag:shortTermInvestments,2011Q4,,CY</t>
  </si>
  <si>
    <t>ORCL.O,mstag:marketingAndDistributionCosts,2008Q3,,CY</t>
  </si>
  <si>
    <t>CHKP.O,mstag:marketingAndDistributionCosts,2010Q3,,CY</t>
  </si>
  <si>
    <t>SFSF.N,mscalc:generalAndAdministrativeExpensesCalc,2010Q3,,CY</t>
  </si>
  <si>
    <t>MSFT.O,mstag:marketingAndDistributionCosts,2013FY,,CY</t>
  </si>
  <si>
    <t>IL.N,mstag:costOfSalesWithDepreciation,2012Q3,,CY</t>
  </si>
  <si>
    <t>SREV.O,mscalc:generalAndAdministrativeExpensesCalc,2012Q1,,CY</t>
  </si>
  <si>
    <t>CRM.N,mscalc:epsForConsensusForThomsonFeed,2011FY,,CY</t>
  </si>
  <si>
    <t>ORCL.O,mscalc:epsForConsensusForThomsonFeed,2009Q4,,CY</t>
  </si>
  <si>
    <t>CHKP.O,mstag:otherOperatingExpenseChild,2011FY,,CY</t>
  </si>
  <si>
    <t>CTXS.O,mscalc:epsForConsensusForThomsonFeed,2012Q4,,CY</t>
  </si>
  <si>
    <t>IL.N,mscalc:generalAndAdministrativeExpensesCalc,2009Q2,,CY</t>
  </si>
  <si>
    <t>FTNT.O,mstag:revenueNet,2010Q2,,CY</t>
  </si>
  <si>
    <t>CHKP.O,mscalc:epsForConsensusForThomsonFeed,2009Q1,,CY</t>
  </si>
  <si>
    <t>ORCL.O,mstag:marketingAndDistributionCosts,2008Q2,,CY</t>
  </si>
  <si>
    <t>N.N,mscalc:generalAndAdministrativeExpensesCalc,2008Q1,,CY</t>
  </si>
  <si>
    <t>MSFT.O,mscalc:generalAndAdministrativeExpensesCalc,2011FY,,CY</t>
  </si>
  <si>
    <t>ADSK.O,mscalc:generalAndAdministrativeExpensesCalc,2012Q3,,CY</t>
  </si>
  <si>
    <t>GOOG.O,mscalc:operatingRevenueForConsensus,2011FY,,CY</t>
  </si>
  <si>
    <t>Discreet Logic Activity pre-YE chg</t>
  </si>
  <si>
    <t>Reported EPS</t>
  </si>
  <si>
    <t>Employee/LTM Revenue (000's)</t>
  </si>
  <si>
    <t>Employee/LTM License Revenue (000's)</t>
  </si>
  <si>
    <t>Reported License Revenue</t>
  </si>
  <si>
    <t>.</t>
  </si>
  <si>
    <t>4/03</t>
  </si>
  <si>
    <t>7/03</t>
  </si>
  <si>
    <t>10/03</t>
  </si>
  <si>
    <t>'SFAS 123' Option Expense/ Operating Net Income</t>
  </si>
  <si>
    <t>Q/Q Change in Option Expense</t>
  </si>
  <si>
    <t>Diluted EPS</t>
  </si>
  <si>
    <t>Operating EPS</t>
  </si>
  <si>
    <t>Days Payable (on total expense)</t>
  </si>
  <si>
    <t>CRM.N,mstag:marketingAndDistributionCosts,2009Q3,,CY</t>
  </si>
  <si>
    <t>AKAM.O,mstag:revenueNet,2010Q1,,CY</t>
  </si>
  <si>
    <t>FIRE.O,mstag:revenueNet,2009Q4,,CY</t>
  </si>
  <si>
    <t>RHT.N,mstag:researchAndDevelopment,2011Q3,,CY</t>
  </si>
  <si>
    <t>SYMC.O,mstag:researchAndDevelopment,2011Q4,,CY</t>
  </si>
  <si>
    <t>ORCL.O,mstag:marketingAndDistributionCosts,2009Q1,,CY</t>
  </si>
  <si>
    <t>Equity in Net Loss of Affiliate</t>
  </si>
  <si>
    <t>Cost of Licenses &amp; Other</t>
  </si>
  <si>
    <t>Repayments on borrowings</t>
  </si>
  <si>
    <t>Weighted average fair value of grants (per share)</t>
  </si>
  <si>
    <t>Weighted average fair value of grants (net)</t>
  </si>
  <si>
    <t>WBSN.O,mscalc:generalAndAdministrativeExpensesCalc,2012Q4,,CY</t>
  </si>
  <si>
    <t>WBSN.O,mscalc:generalAndAdministrativeExpensesCalc,2007FY,,CY</t>
  </si>
  <si>
    <t>MKTG.O,mscalc:generalAndAdministrativeExpensesCalc,2013Q4,,CY</t>
  </si>
  <si>
    <t>SREV.O,mscalc:generalAndAdministrativeExpensesCalc,2010Q2,,CY</t>
  </si>
  <si>
    <t>RNOW.O,mstag:researchAndDevelopment,2010Q2,,CY</t>
  </si>
  <si>
    <t>Operating Expenses</t>
  </si>
  <si>
    <t>Total Operating Expenses</t>
  </si>
  <si>
    <t>Operating Income</t>
  </si>
  <si>
    <t>Operating Margin</t>
  </si>
  <si>
    <t>Other Income</t>
  </si>
  <si>
    <t>Income Before Taxes</t>
  </si>
  <si>
    <t>Income Tax Expense</t>
  </si>
  <si>
    <t>Tax Rate</t>
  </si>
  <si>
    <t>Net Income</t>
  </si>
  <si>
    <t>Notes:</t>
  </si>
  <si>
    <t>Income Statement</t>
  </si>
  <si>
    <t>Stock Repurchases</t>
  </si>
  <si>
    <t>repurch</t>
  </si>
  <si>
    <t>dvds</t>
  </si>
  <si>
    <t>Estimates Using % of LTM Sales Approach</t>
  </si>
  <si>
    <t>Estimates Using % of MRQ Sales Approach</t>
  </si>
  <si>
    <t>Basic Shares Outstanding (Wa)</t>
  </si>
  <si>
    <t>1c05</t>
  </si>
  <si>
    <t>Manufacturing Solutions Divison</t>
  </si>
  <si>
    <t>ccrevgr</t>
  </si>
  <si>
    <t>Moldflow (announced 05/2008)</t>
  </si>
  <si>
    <t>7/08</t>
  </si>
  <si>
    <t>Currency</t>
  </si>
  <si>
    <t>EBAY.O,mscalc:epsForConsensusForThomsonFeed,2008FY,,CY</t>
  </si>
  <si>
    <t>CTXS.O,mscalc:epsForConsensusForThomsonFeed,2013Q4,,CY</t>
  </si>
  <si>
    <t>VMW.N,mstag:revenueNet,2013Q2,,CY</t>
  </si>
  <si>
    <t>FIRE.O,mstag:marketingAndDistributionCosts,2011FY,,CY</t>
  </si>
  <si>
    <t>FTNT.O,mscalc:epsForConsensusForThomsonFeed,2013Q3,,CY</t>
  </si>
  <si>
    <t>MKTG.O,mstag:researchAndDevelopment,2012Q2,,CY</t>
  </si>
  <si>
    <t>RNOW.O,mstag:marketingAndDistributionCosts,2010Q2,,CY</t>
  </si>
  <si>
    <t>VMW.N,mstag:marketingCosts,2012Q1,,CY</t>
  </si>
  <si>
    <t>ADSK.O,mstag:costOfSalesWithDepreciation,2013FY,,CY</t>
  </si>
  <si>
    <t>RHT.N,mscalc:stockRating</t>
  </si>
  <si>
    <t>TLEO.O,mstag:costOfSalesWithDepreciation,2011Q2,,CY</t>
  </si>
  <si>
    <t>RHT.N,mstag:marketingAndDistributionCosts,2008Q4,,CY</t>
  </si>
  <si>
    <t>CNQR.O,mstag:marketingAndDistributionCosts,2012FY,,CY</t>
  </si>
  <si>
    <t>VMW.N,mstag:sellingGeneralAndAdministrativeExpenses,2012Q3,,CY</t>
  </si>
  <si>
    <t>ADBE.O,mstag:softwareLicenseRevenues,2013FY,,CY</t>
  </si>
  <si>
    <t>MKTG.O,mscalc:generalAndAdministrativeExpensesCalc,2010Q1,,CY</t>
  </si>
  <si>
    <t>FIRE.O,mscalc:epsForConsensusForThomsonFeed,2013Q1,,CY</t>
  </si>
  <si>
    <t>DST.N,mscalc:epsForConsensusForThomsonFeed,2013FY,,CY</t>
  </si>
  <si>
    <t>INTU.O,mstag:softwareProductRevenues,2011FY,,CY</t>
  </si>
  <si>
    <t>VMW.N,mstag:marketingCosts,2010Q3,,CY</t>
  </si>
  <si>
    <t>SYMC.O,mscalc:generalAndAdministrativeExpensesCalc,2009Q1,,CY</t>
  </si>
  <si>
    <t>IL.N,mstag:costOfSalesWithDepreciation,2013Q3,,CY</t>
  </si>
  <si>
    <t>FIRE.O,mscalc:generalAndAdministrativeExpensesCalc,2012Q4,,CY</t>
  </si>
  <si>
    <t>ADBE.O,mstag:revenueNet,2012Q4,,CY</t>
  </si>
  <si>
    <t>DMAN.O,mstag:costOfSalesWithDepreciation,2008Q3,,CY</t>
  </si>
  <si>
    <t>DST.N,msuser:cmAUPLEBITDA20060530T0035524245,2013FY,,CY</t>
  </si>
  <si>
    <t>ADBE.O,mscalc:operatingRevenueForConsensus,2013FY,,CY</t>
  </si>
  <si>
    <t>ADSK.O,mscalc:epsForConsensusForThomsonFeed,2009FY,,CY</t>
  </si>
  <si>
    <t>RHT.N,mscalc:generalAndAdministrativeExpensesCalc,2011Q1,,CY</t>
  </si>
  <si>
    <t>ADSK.O,mstag:researchAndDevelopment,2012FY,,CY</t>
  </si>
  <si>
    <t>NA,mstag:researchAndDevelopment,2009FY,,CY</t>
  </si>
  <si>
    <t>AAPL.O,mscalc:epsForConsensusForThomsonFeed,2012FY,,CY</t>
  </si>
  <si>
    <t>INTU.O,mstag:revenueNet,2012Q3,,CY</t>
  </si>
  <si>
    <t>SWI.N,mstag:marketingAndDistributionCosts,2013Q3,,CY</t>
  </si>
  <si>
    <t>TLEO.O,mscalc:epsForConsensusForThomsonFeed,2010Q1,,CY</t>
  </si>
  <si>
    <t>GUID.O,mstag:marketingAndDistributionCosts,2010Q2,,CY</t>
  </si>
  <si>
    <t>QLIK.O,mstag:researchAndDevelopment,2009Q4,,CY</t>
  </si>
  <si>
    <t>SREV.O,mscalc:epsForConsensusForThomsonFeed,2008Q4,,CY</t>
  </si>
  <si>
    <t>GRPN.O,msuser:cmAUPLEBITDA20060530T0035524245,2010FY,,CY</t>
  </si>
  <si>
    <t>CHKP.O,mstag:marketingAndDistributionCosts,2009Q1,,CY</t>
  </si>
  <si>
    <t>MKTG.O,mscalc:operatingRevenueForConsensus,2009FY,,CY</t>
  </si>
  <si>
    <t>HRB.N,mscalc:operatingRevenueForConsensus,2013FY,,CY</t>
  </si>
  <si>
    <t>TLEO.O,mstag:revenueNet,2011Q3,,CY</t>
  </si>
  <si>
    <t>ADBE.O,mstag:marketingAndDistributionCosts,2010Q1,,CY</t>
  </si>
  <si>
    <t>FIRE.O,mstag:researchAndDevelopment,2013Q3,,CY</t>
  </si>
  <si>
    <t>ADSK.O,mstag:researchAndDevelopment,2011Q2,,CY</t>
  </si>
  <si>
    <t>CTXS.O,mstag:marketingCosts,2010Q3,,CY</t>
  </si>
  <si>
    <t>WBSN.O,mscalc:operatingRevenueForConsensus,2007FY,,CY</t>
  </si>
  <si>
    <t>ORCL.O,mstag:costOfSalesWithDepreciation,2009Q2,,CY</t>
  </si>
  <si>
    <t>WBSN.O,mstag:marketingAndDistributionCosts,2013FY,,CY</t>
  </si>
  <si>
    <t>WBSN.O,mstag:costOfSalesWithDepreciation,2008Q3,,CY</t>
  </si>
  <si>
    <t>VMW.N,mstag:sellingGeneralAndAdministrativeExpenses,2012Q1,,CY</t>
  </si>
  <si>
    <t>AKAM.O,mstag:marketingAndDistributionCosts,2011Q1,,CY</t>
  </si>
  <si>
    <t>N.N,mstag:cashAndCashEquivalents,2011Q4,,CY</t>
  </si>
  <si>
    <t>CRM.N,mstag:researchAndDevelopment,2009Q3,,CY</t>
  </si>
  <si>
    <t>SYMC.O,mscalc:generalAndAdministrativeExpensesCalc,2009Q2,,CY</t>
  </si>
  <si>
    <t>SYMC.O,mstag:marketingAndDistributionCosts,2009Q1,,CY</t>
  </si>
  <si>
    <t>VMW.N,mstag:marketingCosts,2011Q2,,CY</t>
  </si>
  <si>
    <t>MSFT.O,mstag:researchAndDevelopment,2013Q1,,CY</t>
  </si>
  <si>
    <t>ADBE.O,mstag:softwareLicenseRevenues,2010FY,,CY</t>
  </si>
  <si>
    <t>VMW.N,mstag:marketingCosts,2012Q3,,CY</t>
  </si>
  <si>
    <t>FIRE.O,mstag:researchAndDevelopment,2012Q3,,CY</t>
  </si>
  <si>
    <t>CRM.N,mstag:costOfSalesWithDepreciation,2012Q3,,CY</t>
  </si>
  <si>
    <t>NFLX.O,mscalc:operatingRevenueForConsensus,2013FY,,CY</t>
  </si>
  <si>
    <t>CHKP.O,mscalc:generalAndAdministrativeExpensesCalc,2008Q2,,CY</t>
  </si>
  <si>
    <t>Working Capital</t>
  </si>
  <si>
    <t>NA</t>
  </si>
  <si>
    <t xml:space="preserve"> CFO Excluding SO Tax Benefit</t>
  </si>
  <si>
    <t>Consulting, Training, Support, and Misc</t>
  </si>
  <si>
    <t>IL.N,mstag:costOfSalesWithDepreciation,2010Q1,,CY</t>
  </si>
  <si>
    <t>WBSN.O,mscalc:generalAndAdministrativeExpensesCalc,2011FY,,CY</t>
  </si>
  <si>
    <t>ADBE.O,mstag:researchAndDevelopment,2013FY,,CY</t>
  </si>
  <si>
    <t>CRM.N,mstag:researchAndDevelopment,2010FY,,CY</t>
  </si>
  <si>
    <t>DMAN.O,mstag:revenueNet,2013Q1,,CY</t>
  </si>
  <si>
    <t>ORCL.O,mstag:costOfSalesWithDepreciation,2008Q2,,CY</t>
  </si>
  <si>
    <t>MKTG.O,mstag:otherOperatingExpenseChild,2009FY,,CY</t>
  </si>
  <si>
    <t>CHKP.O,mscalc:generalAndAdministrativeExpensesCalc,2012Q3,,CY</t>
  </si>
  <si>
    <t>MSFT.O,mstag:marketingAndDistributionCosts,2010Q3,,CY</t>
  </si>
  <si>
    <t>SAPG.DE,mstag:marketingAndDistributionCosts,2008FY,,CY</t>
  </si>
  <si>
    <t>INTU.O,mstag:researchAndDevelopment,2009FY,,CY</t>
  </si>
  <si>
    <t>IL.N,mstag:researchAndDevelopment,2010Q2,,CY</t>
  </si>
  <si>
    <t>EMC.N,mscalc:operatingRevenueForConsensus,2013FY,,CY</t>
  </si>
  <si>
    <t>FIRE.O,mstag:shortTermBorrowings,2011Q3,,CY</t>
  </si>
  <si>
    <t>INTU.O,mscalc:operatingRevenueForConsensus,2012FY,,CY</t>
  </si>
  <si>
    <t>CTXS.O,mstag:otherOperatingExpenseChild,2009FY,,CY</t>
  </si>
  <si>
    <t>ORCL.O,mstag:researchAndDevelopment,2010Q1,,CY</t>
  </si>
  <si>
    <t>QLIK.O,mscalc:epsForConsensusForThomsonFeed,2011Q3,,CY</t>
  </si>
  <si>
    <t>IBM.N,mscalc:operatingRevenueForConsensus,2013FY,,CY</t>
  </si>
  <si>
    <t>SYMC.O,mstag:costOfSalesWithDepreciation,2012Q4,,CY</t>
  </si>
  <si>
    <t>AKAM.O,mstag:researchAndDevelopment,2008FY,,CY</t>
  </si>
  <si>
    <t>TLEO.O,mscalc:operatingRevenueForConsensus,2010FY,,CY</t>
  </si>
  <si>
    <t>FTNT.O,mscalc:generalAndAdministrativeExpensesCalc,2013Q3,,CY</t>
  </si>
  <si>
    <t>SAPG.DE,mstag:otherOperatingExpenseChild,2007FY,,CY</t>
  </si>
  <si>
    <t>FIRE.O,mscalc:generalAndAdministrativeExpensesCalc,2009Q4,,CY</t>
  </si>
  <si>
    <t>FTNT.O,mstag:marketingAndDistributionCosts,2010Q1,,CY</t>
  </si>
  <si>
    <t>GUID.O,mscalc:epsForConsensusForThomsonFeed,2008Q3,,CY</t>
  </si>
  <si>
    <t>TXN.N,msuser:cmAUPLEBITDA20060530T0035524245,2007FY,,CY</t>
  </si>
  <si>
    <t>TLEO.O,mstag:researchAndDevelopment,2008Q1,,CY</t>
  </si>
  <si>
    <t>SYMC.O,mstag:costOfSalesWithDepreciation,2009Q1,,CY</t>
  </si>
  <si>
    <t>NFLX.O,msuser:cmAUPLEBITDA20060530T0035524245,2007FY,,CY</t>
  </si>
  <si>
    <t>ZNGA.O,msuser:cmAUPLEBITDA20060530T0035524245,2013FY,,CY</t>
  </si>
  <si>
    <t>N.N,mscalc:operatingRevenueForConsensus,2008FY,,CY</t>
  </si>
  <si>
    <t>DMAN.O,mscalc:generalAndAdministrativeExpensesCalc,2010Q3,,CY</t>
  </si>
  <si>
    <t>ADBE.O,mscalc:generalAndAdministrativeExpensesCalc,2010Q2,,CY</t>
  </si>
  <si>
    <t>INTU.O,mstag:researchAndDevelopment,2013Q2,,CY</t>
  </si>
  <si>
    <t>SFSF.N,mstag:costOfSalesWithDepreciation,2008Q1,,CY</t>
  </si>
  <si>
    <t>ADSK.O,mscalc:generalAndAdministrativeExpensesCalc,2013Q2,,CY</t>
  </si>
  <si>
    <t>FIRE.O,mscalc:epsForConsensusForThomsonFeed,2008Q1,,CY</t>
  </si>
  <si>
    <t>FIRE.O,mstag:marketingAndDistributionCosts,2011Q3,,CY</t>
  </si>
  <si>
    <t>MKTG.O,mstag:cashAndCashEquivalents,2011Q3,,CY</t>
  </si>
  <si>
    <t>RHT.N,mstag:costOfSalesWithDepreciation,2010Q1,,CY</t>
  </si>
  <si>
    <t>FTNT.O,mstag:marketingAndDistributionCosts,2010Q2,,CY</t>
  </si>
  <si>
    <t>WBSN.O,mstag:marketingAndDistributionCosts,2009Q2,,CY</t>
  </si>
  <si>
    <t>RHT.N,mscalc:epsForConsensusForThomsonFeed,2013Q1,,CY</t>
  </si>
  <si>
    <t>CRM.N,mstag:revenueNet,2010Q1,,CY</t>
  </si>
  <si>
    <t>MSFT.O,mscalc:epsForConsensusForThomsonFeed,2011FY,,CY</t>
  </si>
  <si>
    <t>VMW.N,mstag:marketingCosts,2013Q4,,CY</t>
  </si>
  <si>
    <t>GUID.O,mstag:researchAndDevelopment,2008Q4,,CY</t>
  </si>
  <si>
    <t>SYMC.O,mscalc:generalAndAdministrativeExpensesCalc,2009Q4,,CY</t>
  </si>
  <si>
    <t>ADBE.O,mscalc:generalAndAdministrativeExpensesCalc,2013Q3,,CY</t>
  </si>
  <si>
    <t>CTXS.O,mscalc:epsForConsensusForThomsonFeed,2008Q2,,CY</t>
  </si>
  <si>
    <t>RHT.N,mstag:revenueNet,2009Q3,,CY</t>
  </si>
  <si>
    <t>SWI.N,mscalc:epsForConsensusForThomsonFeed,2012Q1,,CY</t>
  </si>
  <si>
    <t>QLIK.O,mstag:marketingAndDistributionCosts,2012Q4,,CY</t>
  </si>
  <si>
    <t>ADBE.O,mstag:researchAndDevelopment,2009Q3,,CY</t>
  </si>
  <si>
    <t>HPQ.N,msuser:cmAUPLEBITDA20060530T0035524245,2007FY,,CY</t>
  </si>
  <si>
    <t>SFSF.N,mstag:marketingAndDistributionCosts,2012Q1,,CY</t>
  </si>
  <si>
    <t>WBSN.O,mstag:marketingAndDistributionCosts,2009FY,,CY</t>
  </si>
  <si>
    <t>GOOG.O,msuser:cmAUPLEBITDA20060530T0035524245,2007FY,,CY</t>
  </si>
  <si>
    <t>AMZN.O,msuser:cmAUPLEBITDA20060530T0035524245,2009FY,,CY</t>
  </si>
  <si>
    <t>VMW.N,mstag:sellingGeneralAndAdministrativeExpenses,2011Q3,,CY</t>
  </si>
  <si>
    <t>SFSF.N,mstag:marketingAndDistributionCosts,2009Q4,,CY</t>
  </si>
  <si>
    <t>GUID.O,mscalc:operatingRevenueForConsensus,2013FY,,CY</t>
  </si>
  <si>
    <t>CRM.N,mstag:researchAndDevelopment,2012Q3,,CY</t>
  </si>
  <si>
    <t>IBM.N,msuser:cmAUPLEBITDA20060530T0035524245,2012FY,,CY</t>
  </si>
  <si>
    <t>NFLX.O,mscalc:stockRating</t>
  </si>
  <si>
    <t>DMAN.O,mstag:revenueNet,2011Q2,,CY</t>
  </si>
  <si>
    <t>DMAN.O,mstag:marketingAndDistributionCosts,2008Q1,,CY</t>
  </si>
  <si>
    <t>GUID.O,mscalc:generalAndAdministrativeExpensesCalc,2011FY,,CY</t>
  </si>
  <si>
    <t>N.N,mscalc:generalAndAdministrativeExpensesCalc,2012Q2,,CY</t>
  </si>
  <si>
    <t>TLEO.O,mstag:costOfSalesWithDepreciation,2008FY,,CY</t>
  </si>
  <si>
    <t>MKTG.O,mstag:costOfSalesWithDepreciation,2013FY,,CY</t>
  </si>
  <si>
    <t>GOOG.O,mscalc:epsForConsensusForThomsonFeed,2013FY,,CY</t>
  </si>
  <si>
    <t>SREV.O,mscalc:operatingRevenueForConsensus,2012FY,,CY</t>
  </si>
  <si>
    <t>TXN.N,mscalc:operatingRevenueForConsensus,2010FY,,CY</t>
  </si>
  <si>
    <t>CTXS.O,mstag:sellingGeneralAndAdministrativeExpenses,2011Q4,,CY</t>
  </si>
  <si>
    <t>ORCL.O,mstag:marketingAndDistributionCosts,2010Q2,,CY</t>
  </si>
  <si>
    <t>FTNT.O,mscalc:epsForConsensusForThomsonFeed,2008Q2,,CY</t>
  </si>
  <si>
    <t>CHKP.O,mstag:otherOperatingExpenseChild,2010FY,,CY</t>
  </si>
  <si>
    <t>ADBE.O,mscalc:generalAndAdministrativeExpensesCalc,2010FY,,CY</t>
  </si>
  <si>
    <t>ADBE.O,mstag:costOfSalesWithDepreciation,2013Q1,,CY</t>
  </si>
  <si>
    <t>ADSK.O,mscalc:epsForConsensusForThomsonFeed,2010Q1,,CY</t>
  </si>
  <si>
    <t>VMW.N,mstag:revenueNet,2012Q1,,CY</t>
  </si>
  <si>
    <t>AMAT.O,mscalc:yearEndMonth</t>
  </si>
  <si>
    <t>WBSN.O,mstag:revenueNet,2009Q1,,CY</t>
  </si>
  <si>
    <t>VMW.N,mstag:revenueNet,2010Q4,,CY</t>
  </si>
  <si>
    <t>SYMC.O,mstag:revenueNet,2011Q1,,CY</t>
  </si>
  <si>
    <t>IL.N,mstag:researchAndDevelopment,2012Q3,,CY</t>
  </si>
  <si>
    <t>RHT.N,mstag:researchAndDevelopment,2012Q1,,CY</t>
  </si>
  <si>
    <t>ORCL.O,mstag:researchAndDevelopment,2013Q2,,CY</t>
  </si>
  <si>
    <t>CNQR.O,mscalc:operatingRevenueForConsensus,2009FY,,CY</t>
  </si>
  <si>
    <t>IBM.N,mscalc:operatingRevenueForConsensus,2011FY,,CY</t>
  </si>
  <si>
    <t>SYMC.O,mscalc:generalAndAdministrativeExpensesCalc,2013Q1,,CY</t>
  </si>
  <si>
    <t>RHT.N,mstag:revenueNet,2009Q1,,CY</t>
  </si>
  <si>
    <t>SREV.O,mstag:costOfSalesWithDepreciation,2009Q4,,CY</t>
  </si>
  <si>
    <t>SYMC.O,mscalc:generalAndAdministrativeExpensesCalc,2007FY,,CY</t>
  </si>
  <si>
    <t>ADBE.O,mstag:costOfSalesWithDepreciation,2011Q1,,CY</t>
  </si>
  <si>
    <t>SWI.N,mscalc:generalAndAdministrativeExpensesCalc,2007FY,,CY</t>
  </si>
  <si>
    <t>RHT.N,mstag:marketingAndDistributionCosts,2013FY,,CY</t>
  </si>
  <si>
    <t>FTNT.O,mstag:researchAndDevelopment,2009Q4,,CY</t>
  </si>
  <si>
    <t>VMW.N,mstag:sellingGeneralAndAdministrativeExpenses,2009Q3,,CY</t>
  </si>
  <si>
    <t>MSFT.O,mstag:softwareProductRevenues,2009FY,,CY</t>
  </si>
  <si>
    <t>AMD.N,mscalc:operatingRevenueForConsensus,2009FY,,CY</t>
  </si>
  <si>
    <t>DST.N,msuser:cmAUPLEBITDA20060530T0035524245,2010FY,,CY</t>
  </si>
  <si>
    <t>FTNT.O,mstag:longTermDebt,2011Q4,,CY</t>
  </si>
  <si>
    <t>SWI.N,mscalc:generalAndAdministrativeExpensesCalc,2010FY,,CY</t>
  </si>
  <si>
    <t>WBSN.O,mscalc:epsForConsensusForThomsonFeed,2010FY,,CY</t>
  </si>
  <si>
    <t>CHKP.O,mstag:researchAndDevelopment,2013Q3,,CY</t>
  </si>
  <si>
    <t>DMAN.O,mstag:marketingAndDistributionCosts,2010Q4,,CY</t>
  </si>
  <si>
    <t>ADSK.O,mstag:marketingAndDistributionCosts,2008Q2,,CY</t>
  </si>
  <si>
    <t>ADSK.O,mscalc:generalAndAdministrativeExpensesCalc,2008FY,,CY</t>
  </si>
  <si>
    <t>SYMC.O,mscalc:epsForConsensusForThomsonFeed,2009FY,,CY</t>
  </si>
  <si>
    <t>CHKP.O,mscalc:generalAndAdministrativeExpensesCalc,2009Q2,,CY</t>
  </si>
  <si>
    <t>WBSN.O,mstag:marketingAndDistributionCosts,2011FY,,CY</t>
  </si>
  <si>
    <t>AMZN.O,mscalc:stockRating</t>
  </si>
  <si>
    <t>AKAM.O,mstag:marketingAndDistributionCosts,2009FY,,CY</t>
  </si>
  <si>
    <t>GOOG.O,mscalc:yearEndMonth</t>
  </si>
  <si>
    <t>FIRE.O,mstag:revenueNet,2010Q1,,CY</t>
  </si>
  <si>
    <t>CNQR.O,mstag:marketingAndDistributionCosts,2008FY,,CY</t>
  </si>
  <si>
    <t>AMAT.O,msuser:cmAUPLEBITDA20060530T0035524245,2008FY,,CY</t>
  </si>
  <si>
    <t>RNOW.O,mstag:revenueNet,2008Q1,,CY</t>
  </si>
  <si>
    <t>RNOW.O,mscalc:generalAndAdministrativeExpensesCalc,2011Q4,,CY</t>
  </si>
  <si>
    <t>GUID.O,mstag:marketingAndDistributionCosts,2010Q3,,CY</t>
  </si>
  <si>
    <t>CRM.N,mstag:marketingAndDistributionCosts,2010Q3,,CY</t>
  </si>
  <si>
    <t>IL.N,mstag:researchAndDevelopment,2013Q1,,CY</t>
  </si>
  <si>
    <t>ORCL.O,mscalc:epsForConsensusForThomsonFeed,2012FY,,CY</t>
  </si>
  <si>
    <t>IL.N,mstag:researchAndDevelopment,2009Q2,,CY</t>
  </si>
  <si>
    <t>ADBE.O,mstag:marketingAndDistributionCosts,2012Q4,,CY</t>
  </si>
  <si>
    <t>QLIK.O,mscalc:generalAndAdministrativeExpensesCalc,2013Q1,,CY</t>
  </si>
  <si>
    <t>TLEO.O,mstag:researchAndDevelopment,2009Q4,,CY</t>
  </si>
  <si>
    <t>SFSF.N,mstag:costOfSalesWithDepreciation,2013Q2,,CY</t>
  </si>
  <si>
    <t>ADSK.O,mscalc:epsForConsensusForThomsonFeed,2008Q4,,CY</t>
  </si>
  <si>
    <t>RNOW.O,mstag:costOfSalesWithDepreciation,2013Q3,,CY</t>
  </si>
  <si>
    <t>VMW.N,mscalc:targetPrice</t>
  </si>
  <si>
    <t>QLIK.O,mscalc:generalAndAdministrativeExpensesCalc,2012FY,,CY</t>
  </si>
  <si>
    <t>TLEO.O,mscalc:generalAndAdministrativeExpensesCalc,2011Q3,,CY</t>
  </si>
  <si>
    <t>FTNT.O,mscalc:operatingRevenueForConsensus,2008FY,,CY</t>
  </si>
  <si>
    <t>QLIK.O,mstag:costOfSalesWithDepreciation,2013Q2,,CY</t>
  </si>
  <si>
    <t>CNQR.O,mstag:costOfSalesWithDepreciation,2008FY,,CY</t>
  </si>
  <si>
    <t>AKAM.O,mstag:otherOperatingExpenseChild,2011FY,,CY</t>
  </si>
  <si>
    <t>Risk-free interest rate (%)</t>
  </si>
  <si>
    <t>Volatility</t>
  </si>
  <si>
    <t>Dividend Yield</t>
  </si>
  <si>
    <t>ib_map</t>
  </si>
  <si>
    <t>ib_archdesk</t>
  </si>
  <si>
    <t>ib_landdesk</t>
  </si>
  <si>
    <t>AutoCAD LT</t>
  </si>
  <si>
    <t>ib_lt</t>
  </si>
  <si>
    <t>AutoCAD/AutoCAD LT Revenues</t>
  </si>
  <si>
    <t>acadrev</t>
  </si>
  <si>
    <t>1/02</t>
  </si>
  <si>
    <t>4/02</t>
  </si>
  <si>
    <t>7/02</t>
  </si>
  <si>
    <t>10/02</t>
  </si>
  <si>
    <t>1/03</t>
  </si>
  <si>
    <t>Operating income</t>
  </si>
  <si>
    <t>Net income</t>
  </si>
  <si>
    <t>Income Taxes Receivable</t>
  </si>
  <si>
    <t>Minority Interest</t>
  </si>
  <si>
    <t>Non-recurring credits</t>
  </si>
  <si>
    <t>Amort. of goodwill &amp; intangibles</t>
  </si>
  <si>
    <t>'SFAS 123' Option Expense</t>
  </si>
  <si>
    <t>Operating Net Income Incl. Options Expense</t>
  </si>
  <si>
    <t>NA,mstag:costOfSalesWithDepreciation,2012FY,,CY</t>
  </si>
  <si>
    <t>CRM.N,mscalc:epsForConsensusForThomsonFeed,2008Q1,,CY</t>
  </si>
  <si>
    <t>GUID.O,mstag:depreciationInIncomeStatement,2012Q1,,CY</t>
  </si>
  <si>
    <t>CTXS.O,mstag:revenueNet,2011Q2,,CY</t>
  </si>
  <si>
    <t>Other operating activities</t>
  </si>
  <si>
    <t>RNOW.O,mstag:costOfSalesWithDepreciation,2008Q4,,CY</t>
  </si>
  <si>
    <t>SFSF.N,mscalc:generalAndAdministrativeExpensesCalc,2011Q4,,CY</t>
  </si>
  <si>
    <t>ORCL.O,mscalc:targetPrice</t>
  </si>
  <si>
    <t>FIRE.O,mstag:longTermDebt,2011Q3,,CY</t>
  </si>
  <si>
    <t>SYMC.O,mscalc:epsForConsensusForThomsonFeed,2008Q1,,CY</t>
  </si>
  <si>
    <t>INTU.O,mstag:revenueNet,2012Q4,,CY</t>
  </si>
  <si>
    <t>QLIK.O,mstag:researchAndDevelopment,2012Q2,,CY</t>
  </si>
  <si>
    <t>ADBE.O,mstag:marketingAndDistributionCosts,2008Q2,,CY</t>
  </si>
  <si>
    <t>AKAM.O,mstag:revenueNet,2012Q2,,CY</t>
  </si>
  <si>
    <t>SWI.N,mscalc:generalAndAdministrativeExpensesCalc,2012Q4,,CY</t>
  </si>
  <si>
    <t>CTXS.O,mstag:sellingGeneralAndAdministrativeExpenses,2013Q1,,CY</t>
  </si>
  <si>
    <t>INFA.O,mscalc:operatingRevenueForConsensus,2008FY,,CY</t>
  </si>
  <si>
    <t>MKTG.O,mstag:costOfSalesWithDepreciation,2010Q2,,CY</t>
  </si>
  <si>
    <t>GOOG.O,mscalc:operatingRevenueForConsensus,2007FY,,CY</t>
  </si>
  <si>
    <t>GOOG.O,msuser:cmAUPLEBITDA20060530T0035524245,2012FY,,CY</t>
  </si>
  <si>
    <t>NA,mstag:costOfSalesWithDepreciation,2009FY,,CY</t>
  </si>
  <si>
    <t>GUID.O,mstag:revenueNet,2011Q4,,CY</t>
  </si>
  <si>
    <t>FTNT.O,mstag:revenueNet,2009Q4,,CY</t>
  </si>
  <si>
    <t>RHT.N,mscalc:epsForConsensusForThomsonFeed,2010Q1,,CY</t>
  </si>
  <si>
    <t>VMW.N,mstag:marketingCosts,2009Q1,,CY</t>
  </si>
  <si>
    <t>N.N,mscalc:generalAndAdministrativeExpensesCalc,2007FY,,CY</t>
  </si>
  <si>
    <t>AKAM.O,mstag:costOfSalesWithDepreciation,2008Q4,,CY</t>
  </si>
  <si>
    <t>ADSK.O,mstag:softwareLicenseRevenues,2011FY,,CY</t>
  </si>
  <si>
    <t>GUID.O,mstag:marketingAndDistributionCosts,2013Q2,,CY</t>
  </si>
  <si>
    <t>QLIK.O,mstag:marketingAndDistributionCosts,2008Q1,,CY</t>
  </si>
  <si>
    <t>CRM.N,mstag:otherOperatingExpenseChild,2011FY,,CY</t>
  </si>
  <si>
    <t>ADSK.O,mscalc:generalAndAdministrativeExpensesCalc,2013FY,,CY</t>
  </si>
  <si>
    <t>AMZN.O,mscalc:operatingRevenueForConsensus,2012FY,,CY</t>
  </si>
  <si>
    <t>TLEO.O,mstag:marketingAndDistributionCosts,2010Q3,,CY</t>
  </si>
  <si>
    <t>N.N,mstag:marketingAndDistributionCosts,2008Q2,,CY</t>
  </si>
  <si>
    <t>GUID.O,mstag:depreciationInIncomeStatement,2011Q2,,CY</t>
  </si>
  <si>
    <t>FTNT.O,mstag:marketingAndDistributionCosts,2009Q4,,CY</t>
  </si>
  <si>
    <t>MSFT.O,mscalc:epsForConsensusForThomsonFeed,2013FY,,CY</t>
  </si>
  <si>
    <t>ADBE.O,mstag:otherOperatingExpenseChild,2008FY,,CY</t>
  </si>
  <si>
    <t>SYMC.O,mstag:revenueNet,2011Q4,,CY</t>
  </si>
  <si>
    <t>MSFT.O,mscalc:generalAndAdministrativeExpensesCalc,2008Q2,,CY</t>
  </si>
  <si>
    <t>ZNGA.O,mscalc:operatingRevenueForConsensus,2009FY,,CY</t>
  </si>
  <si>
    <t>Stand Alone AutoCAD</t>
  </si>
  <si>
    <t>Mechanical Desktop</t>
  </si>
  <si>
    <t>Autodesk Map</t>
  </si>
  <si>
    <t>ib_acad</t>
  </si>
  <si>
    <t>ib_acad_new</t>
  </si>
  <si>
    <t>ib_inven</t>
  </si>
  <si>
    <t>ib_inven_new</t>
  </si>
  <si>
    <t>ib_acad_sa</t>
  </si>
  <si>
    <t>ib_mechdesk</t>
  </si>
  <si>
    <t>AKAM.O,mstag:costOfSalesWithDepreciation,2011Q2,,CY</t>
  </si>
  <si>
    <t>INTU.O,mscalc:epsForConsensusForThomsonFeed,2013Q3,,CY</t>
  </si>
  <si>
    <t>WBSN.O,mscalc:epsForConsensusForThomsonFeed,2011Q3,,CY</t>
  </si>
  <si>
    <t>ORCL.O,mscalc:generalAndAdministrativeExpensesCalc,2013Q3,,CY</t>
  </si>
  <si>
    <t>CHKP.O,mstag:costOfSalesWithDepreciation,2010Q1,,CY</t>
  </si>
  <si>
    <t>SAPG.DE,mscalc:dilutedEarningsPerShare,2013FY,,CY</t>
  </si>
  <si>
    <t>SFSF.N,mstag:researchAndDevelopment,2009Q3,,CY</t>
  </si>
  <si>
    <t>WBSN.O,mscalc:generalAndAdministrativeExpensesCalc,2008FY,,CY</t>
  </si>
  <si>
    <t>MKTG.O,mstag:costOfSalesWithDepreciation,2013Q3,,CY</t>
  </si>
  <si>
    <t>QLIK.O,mscalc:generalAndAdministrativeExpensesCalc,2008Q3,,CY</t>
  </si>
  <si>
    <t>CHKP.O,mscalc:generalAndAdministrativeExpensesCalc,2012FY,,CY</t>
  </si>
  <si>
    <t>ORCL.O,mscalc:epsForConsensusForThomsonFeed,2008Q4,,CY</t>
  </si>
  <si>
    <t>CRM.N,mscalc:epsForConsensusForThomsonFeed,2009Q3,,CY</t>
  </si>
  <si>
    <t>AKAM.O,mscalc:epsForConsensusForThomsonFeed,2009Q1,,CY</t>
  </si>
  <si>
    <t>QLIK.O,mstag:researchAndDevelopment,2008FY,,CY</t>
  </si>
  <si>
    <t>INTU.O,mstag:marketingAndDistributionCosts,2013Q2,,CY</t>
  </si>
  <si>
    <t>GUID.O,mstag:depreciationInIncomeStatement,2008Q2,,CY</t>
  </si>
  <si>
    <t>INFA.O,mstag:otherOperatingExpenseChild,2008FY,,CY</t>
  </si>
  <si>
    <t>CHKP.O,mscalc:epsForConsensusForThomsonFeed,2009FY,,CY</t>
  </si>
  <si>
    <t>MKTG.O,mstag:researchAndDevelopment,2013Q1,,CY</t>
  </si>
  <si>
    <t>MKTG.O,mstag:marketingAndDistributionCosts,2012Q3,,CY</t>
  </si>
  <si>
    <t>IL.N,mstag:marketingAndDistributionCosts,2009Q3,,CY</t>
  </si>
  <si>
    <t>MSFT.O,mscalc:operatingRevenueForConsensus,2011FY,,CY</t>
  </si>
  <si>
    <t>RNOW.O,mstag:costOfSalesWithDepreciation,2012Q1,,CY</t>
  </si>
  <si>
    <t>JIVE.O,mscalc:generalAndAdministrativeExpensesCalc,2009FY,,CY</t>
  </si>
  <si>
    <t>VMW.N,mstag:researchAndDevelopment,2007FY,,CY</t>
  </si>
  <si>
    <t>FTNT.O,mstag:costOfSalesWithDepreciation,2008FY,,CY</t>
  </si>
  <si>
    <t>RHT.N,mstag:costOfSalesWithDepreciation,2008Q3,,CY</t>
  </si>
  <si>
    <t>CHKP.O,mscalc:generalAndAdministrativeExpensesCalc,2013Q1,,CY</t>
  </si>
  <si>
    <t>ADBE.O,mstag:marketingAndDistributionCosts,2009Q1,,CY</t>
  </si>
  <si>
    <t>WBSN.O,mstag:revenueNet,2009Q2,,CY</t>
  </si>
  <si>
    <t>WBSN.O,mscalc:stockRating</t>
  </si>
  <si>
    <t>FIRE.O,mscalc:epsForConsensusForThomsonFeed,2013Q3,,CY</t>
  </si>
  <si>
    <t>VMW.N,mstag:researchAndDevelopment,2012Q1,,CY</t>
  </si>
  <si>
    <t>IL.N,mstag:revenueNet,2008Q2,,CY</t>
  </si>
  <si>
    <t>HRB.N,msuser:cmAUPLEBITDA20060530T0035524245,2013FY,,CY</t>
  </si>
  <si>
    <t>TLEO.O,mstag:revenueNet,2008Q4,,CY</t>
  </si>
  <si>
    <t>ADSK.O,mstag:marketingAndDistributionCosts,2008Q3,,CY</t>
  </si>
  <si>
    <t>ORCL.O,mstag:costOfSalesWithDepreciation,2007FY,,CY</t>
  </si>
  <si>
    <t>ADSK.O,mscalc:epsForConsensusForThomsonFeed,2012FY,,CY</t>
  </si>
  <si>
    <t>FIRE.O,mscalc:generalAndAdministrativeExpensesCalc,2008Q4,,CY</t>
  </si>
  <si>
    <t>GUID.O,mstag:depreciationInIncomeStatement,2008Q3,,CY</t>
  </si>
  <si>
    <t>NA,mstag:researchAndDevelopment,2013FY,,CY</t>
  </si>
  <si>
    <t>RHT.N,mstag:marketingAndDistributionCosts,2012Q3,,CY</t>
  </si>
  <si>
    <t>AAPL.O,msuser:cmAUPLEBITDA20060530T0035524245,2010FY,,CY</t>
  </si>
  <si>
    <t>CTXS.O,mstag:researchAndDevelopment,2013Q2,,CY</t>
  </si>
  <si>
    <t>CSCO.O,mscalc:operatingRevenueForConsensus,2011FY,,CY</t>
  </si>
  <si>
    <t>LNKD.N,mscalc:epsForConsensusForThomsonFeed,2012FY,,CY</t>
  </si>
  <si>
    <t>ADSK.O,mscalc:operatingRevenueForConsensus,2007FY,,CY</t>
  </si>
  <si>
    <t>VMW.N,mstag:sellingGeneralAndAdministrativeExpenses,2009Q2,,CY</t>
  </si>
  <si>
    <t>CNQR.O,mstag:costOfSalesWithDepreciation,2007FY,,CY</t>
  </si>
  <si>
    <t>CHKP.O,mstag:softwareLicenseRevenues,2007FY,,CY</t>
  </si>
  <si>
    <t>CHKP.O,mstag:researchAndDevelopment,2009Q3,,CY</t>
  </si>
  <si>
    <t>N.N,mstag:revenueNet,2012Q3,,CY</t>
  </si>
  <si>
    <t>CNQR.O,mscalc:epsForConsensusForThomsonFeed,2007FY,,CY</t>
  </si>
  <si>
    <t>SYMC.O,mstag:marketingAndDistributionCosts,2007FY,,CY</t>
  </si>
  <si>
    <t>ADP.O,mscalc:operatingRevenueForConsensus,2007FY,,CY</t>
  </si>
  <si>
    <t>IL.N,mscalc:epsForConsensusForThomsonFeed,2010Q1,,CY</t>
  </si>
  <si>
    <t>GUID.O,mstag:researchAndDevelopment,2010FY,,CY</t>
  </si>
  <si>
    <t>MSFT.O,mstag:marketingAndDistributionCosts,2013Q2,,CY</t>
  </si>
  <si>
    <t>GRPN.O,mscalc:operatingRevenueForConsensus,2007FY,,CY</t>
  </si>
  <si>
    <t>SYMC.O,mstag:revenueNet,2009Q4,,CY</t>
  </si>
  <si>
    <t>N.N,mstag:revenueNet,2010Q4,,CY</t>
  </si>
  <si>
    <t>GUID.O,mstag:costOfSalesWithoutDepreciation,2009Q4,,CY</t>
  </si>
  <si>
    <t>ORCL.O,mscalc:generalAndAdministrativeExpensesCalc,2009Q4,,CY</t>
  </si>
  <si>
    <t>SYMC.O,mscalc:operatingRevenueForConsensus,2013FY,,CY</t>
  </si>
  <si>
    <t>AKAM.O,mscalc:epsForConsensusForThomsonFeed,2012Q4,,CY</t>
  </si>
  <si>
    <t>QLIK.O,mscalc:generalAndAdministrativeExpensesCalc,2013Q2,,CY</t>
  </si>
  <si>
    <t>CHKP.O,mstag:marketingAndDistributionCosts,2008Q4,,CY</t>
  </si>
  <si>
    <t>ADBE.O,mstag:researchAndDevelopment,2010Q3,,CY</t>
  </si>
  <si>
    <t>Tax Impact of One-Time Items</t>
  </si>
  <si>
    <t>Modelware</t>
  </si>
  <si>
    <t>EBIT(1-t)</t>
  </si>
  <si>
    <t>urev</t>
  </si>
  <si>
    <t>Proceeds from dispostion of fixed assets</t>
  </si>
  <si>
    <t>Proceeds from dispostion of business unit</t>
  </si>
  <si>
    <t>2009</t>
  </si>
  <si>
    <t>1/09</t>
  </si>
  <si>
    <t>10/06</t>
  </si>
  <si>
    <t>Restructuring &amp; Other</t>
  </si>
  <si>
    <t>3D Commerical Seats Shipped</t>
  </si>
  <si>
    <t>1c02</t>
  </si>
  <si>
    <t>2c02</t>
  </si>
  <si>
    <t>Accounts Receivable and Payable (Based on DSO and Days Payable)</t>
  </si>
  <si>
    <t xml:space="preserve">   As a % of outstanding shares</t>
  </si>
  <si>
    <t>-</t>
  </si>
  <si>
    <t>Proceeds from issuance of common stock, net of issuance costs</t>
  </si>
  <si>
    <t>Data Dump for Reporting</t>
  </si>
  <si>
    <t>LTM License Revenue</t>
  </si>
  <si>
    <t>LTM Total Revenue</t>
  </si>
  <si>
    <t>1c15</t>
  </si>
  <si>
    <t>2c15</t>
  </si>
  <si>
    <t>3c15</t>
  </si>
  <si>
    <t>4c15</t>
  </si>
  <si>
    <t>_fy16</t>
  </si>
  <si>
    <t>CRM.N,mscalc:generalAndAdministrativeExpensesCalc,2009FY,,CY</t>
  </si>
  <si>
    <t>TLEO.O,mstag:researchAndDevelopment,2008Q3,,CY</t>
  </si>
  <si>
    <t>RNOW.O,mstag:marketingAndDistributionCosts,2010Q3,,CY</t>
  </si>
  <si>
    <t>OPEN.O,msuser:cmAUPLEBITDA20060530T0035524245,2012FY,,CY</t>
  </si>
  <si>
    <t>DMAN.O,mstag:researchAndDevelopment,2008Q1,,CY</t>
  </si>
  <si>
    <t>ADSK.O,mstag:costOfSalesWithDepreciation,2012FY,,CY</t>
  </si>
  <si>
    <t>AKAM.O,mstag:researchAndDevelopment,2010Q2,,CY</t>
  </si>
  <si>
    <t>VMW.N,mstag:revenueNet,2013Q1,,CY</t>
  </si>
  <si>
    <t>FTNT.O,mscalc:generalAndAdministrativeExpensesCalc,2012Q1,,CY</t>
  </si>
  <si>
    <t>CHKP.O,mstag:costOfSalesWithDepreciation,2013Q3,,CY</t>
  </si>
  <si>
    <t>AMZN.O,mscalc:yearEndMonth</t>
  </si>
  <si>
    <t>TXN.N,msuser:cmAUPLEBITDA20060530T0035524245,2009FY,,CY</t>
  </si>
  <si>
    <t>WBSN.O,mstag:researchAndDevelopment,2008Q2,,CY</t>
  </si>
  <si>
    <t>GUID.O,mscalc:generalAndAdministrativeExpensesCalc,2007FY,,CY</t>
  </si>
  <si>
    <t>ADSK.O,mscalc:epsForConsensusForThomsonFeed,2007FY,,CY</t>
  </si>
  <si>
    <t>FTNT.O,mscalc:operatingRevenueForConsensus,2012FY,,CY</t>
  </si>
  <si>
    <t>ORCL.O,mscalc:generalAndAdministrativeExpensesCalc,2009FY,,CY</t>
  </si>
  <si>
    <t>VMW.N,mstag:researchAndDevelopment,2013Q4,,CY</t>
  </si>
  <si>
    <t>IL.N,mscalc:epsForConsensusForThomsonFeed,2007FY,,CY</t>
  </si>
  <si>
    <t>WBSN.O,mscalc:epsForConsensusForThomsonFeed,2008Q4,,CY</t>
  </si>
  <si>
    <t>CVG.N,mscalc:epsForConsensusForThomsonFeed,2008FY,,CY</t>
  </si>
  <si>
    <t>QLIK.O,mstag:researchAndDevelopment,2011Q2,,CY</t>
  </si>
  <si>
    <t>QLIK.O,mscalc:operatingRevenueForConsensus,2012FY,,CY</t>
  </si>
  <si>
    <t>VMW.N,mscalc:epsForConsensusForThomsonFeed,2011Q3,,CY</t>
  </si>
  <si>
    <t>GUID.O,mscalc:epsForConsensusForThomsonFeed,2009FY,,CY</t>
  </si>
  <si>
    <t>SWI.N,mscalc:epsForConsensusForThomsonFeed,2012Q4,,CY</t>
  </si>
  <si>
    <t>TLEO.O,mstag:longTermDebt,2011Q3,,CY</t>
  </si>
  <si>
    <t>RHT.N,mscalc:generalAndAdministrativeExpensesCalc,2013FY,,CY</t>
  </si>
  <si>
    <t>SWI.N,mstag:revenueNet,2012Q4,,CY</t>
  </si>
  <si>
    <t>SREV.O,mstag:marketingAndDistributionCosts,2013Q1,,CY</t>
  </si>
  <si>
    <t>FIRE.O,mstag:researchAndDevelopment,2013FY,,CY</t>
  </si>
  <si>
    <t>VMW.N,mstag:marketingCosts,2013Q2,,CY</t>
  </si>
  <si>
    <t>N.N,mscalc:epsForConsensusForThomsonFeed,2008Q4,,CY</t>
  </si>
  <si>
    <t>CVG.N,mscalc:epsForConsensusForThomsonFeed,2007FY,,CY</t>
  </si>
  <si>
    <t>INFA.O,mstag:researchAndDevelopment,2010FY,,CY</t>
  </si>
  <si>
    <t>RHT.N,mstag:marketingAndDistributionCosts,2013Q4,,CY</t>
  </si>
  <si>
    <t>INFA.O,mstag:otherOperatingExpenseChild,2013FY,,CY</t>
  </si>
  <si>
    <t>ADBE.O,mstag:softwareLicenseRevenues,2008FY,,CY</t>
  </si>
  <si>
    <t>RHT.N,mstag:marketingAndDistributionCosts,2010Q3,,CY</t>
  </si>
  <si>
    <t>ADBE.O,mstag:costOfSalesWithDepreciation,2010FY,,CY</t>
  </si>
  <si>
    <t>FIRE.O,mscalc:generalAndAdministrativeExpensesCalc,2011Q2,,CY</t>
  </si>
  <si>
    <t>RNOW.O,mscalc:generalAndAdministrativeExpensesCalc,2010Q1,,CY</t>
  </si>
  <si>
    <t>FTNT.O,mstag:costOfSalesWithDepreciation,2013Q1,,CY</t>
  </si>
  <si>
    <t>CTXS.O,mstag:marketingCosts,2013FY,,CY</t>
  </si>
  <si>
    <t>DMAN.O,mstag:costOfSalesWithDepreciation,2012Q3,,CY</t>
  </si>
  <si>
    <t>AAPL.O,mscalc:epsForConsensusForThomsonFeed,2013FY,,CY</t>
  </si>
  <si>
    <t>VMW.N,mscalc:epsForConsensusForThomsonFeed,2010FY,,CY</t>
  </si>
  <si>
    <t>WBSN.O,mscalc:epsForConsensusForThomsonFeed,2010Q4,,CY</t>
  </si>
  <si>
    <t>CTXS.O,mstag:revenueNet,2009Q3,,CY</t>
  </si>
  <si>
    <t>RHT.N,mstag:costOfSalesWithDepreciation,2011Q4,,CY</t>
  </si>
  <si>
    <t>MKTG.O,mstag:averageDilutedSharesOutstanding,2011Q3,,CY</t>
  </si>
  <si>
    <t>AKAM.O,mstag:revenueNet,2009Q3,,CY</t>
  </si>
  <si>
    <t>N.N,mscalc:epsForConsensusForThomsonFeed,2009Q3,,CY</t>
  </si>
  <si>
    <t>SYMC.O,mstag:marketingAndDistributionCosts,2008Q1,,CY</t>
  </si>
  <si>
    <t>CRM.N,mscalc:generalAndAdministrativeExpensesCalc,2010Q1,,CY</t>
  </si>
  <si>
    <t>RHT.N,mstag:revenueNet,2008Q2,,CY</t>
  </si>
  <si>
    <t>RNOW.O,mstag:marketingAndDistributionCosts,2009Q2,,CY</t>
  </si>
  <si>
    <t>AKAM.O,mstag:otherOperatingExpenseChild,2009FY,,CY</t>
  </si>
  <si>
    <t>SREV.O,mscalc:generalAndAdministrativeExpensesCalc,2009Q4,,CY</t>
  </si>
  <si>
    <t>ADBE.O,mscalc:generalAndAdministrativeExpensesCalc,2008Q4,,CY</t>
  </si>
  <si>
    <t>ORCL.O,mscalc:generalAndAdministrativeExpensesCalc,2013Q4,,CY</t>
  </si>
  <si>
    <t>CHKP.O,mscalc:generalAndAdministrativeExpensesCalc,2008FY,,CY</t>
  </si>
  <si>
    <t>MSFT.O,mstag:researchAndDevelopment,2013Q4,,CY</t>
  </si>
  <si>
    <t>CRM.N,mstag:marketingAndDistributionCosts,2011Q2,,CY</t>
  </si>
  <si>
    <t>ORCL.O,mstag:costOfSalesWithDepreciation,2011Q2,,CY</t>
  </si>
  <si>
    <t>ADSK.O,mstag:costOfSalesWithDepreciation,2013Q2,,CY</t>
  </si>
  <si>
    <t>ADBE.O,mstag:softwareLicenseRevenues,2007FY,,CY</t>
  </si>
  <si>
    <t>CHKP.O,mscalc:operatingRevenueForConsensus,2008FY,,CY</t>
  </si>
  <si>
    <t>IBM.N,mscalc:yearEndMonth</t>
  </si>
  <si>
    <t>RHT.N,mstag:costOfSalesWithDepreciation,2010Q4,,CY</t>
  </si>
  <si>
    <t>ADSK.O,mstag:softwareLicenseRevenues,2008FY,,CY</t>
  </si>
  <si>
    <t>CTXS.O,mstag:costOfSalesWithDepreciation,2008Q3,,CY</t>
  </si>
  <si>
    <t>DMAN.O,mstag:revenueNet,2009Q1,,CY</t>
  </si>
  <si>
    <t>RNOW.O,mstag:marketingAndDistributionCosts,2013Q4,,CY</t>
  </si>
  <si>
    <t>QLIK.O,mstag:researchAndDevelopment,2010FY,,CY</t>
  </si>
  <si>
    <t>AKAM.O,mscalc:generalAndAdministrativeExpensesCalc,2011Q4,,CY</t>
  </si>
  <si>
    <t>MSFT.O,mscalc:generalAndAdministrativeExpensesCalc,2013Q2,,CY</t>
  </si>
  <si>
    <t>ADSK.O,mstag:costOfSalesWithDepreciation,2011Q1,,CY</t>
  </si>
  <si>
    <t>RNOW.O,mstag:marketingAndDistributionCosts,2010Q4,,CY</t>
  </si>
  <si>
    <t>WBSN.O,mstag:researchAndDevelopment,2009Q4,,CY</t>
  </si>
  <si>
    <t>SWI.N,mstag:costOfSalesWithDepreciation,2010FY,,CY</t>
  </si>
  <si>
    <t>LNKD.N,mscalc:operatingRevenueForConsensus,2011FY,,CY</t>
  </si>
  <si>
    <t>ADSK.O,mstag:softwareLicenseRevenues,2009FY,,CY</t>
  </si>
  <si>
    <t>SAPG.DE,mstag:costOfServicesSold,2013FY,,CY</t>
  </si>
  <si>
    <t>QLIK.O,mstag:marketingAndDistributionCosts,2013Q4,,CY</t>
  </si>
  <si>
    <t>SYMC.O,mscalc:epsForConsensusForThomsonFeed,2013Q2,,CY</t>
  </si>
  <si>
    <t>SREV.O,mscalc:generalAndAdministrativeExpensesCalc,2012FY,,CY</t>
  </si>
  <si>
    <t>VMW.N,mscalc:operatingRevenueForConsensus,2007FY,,CY</t>
  </si>
  <si>
    <t>CRM.N,mstag:revenueNet,2011Q1,,CY</t>
  </si>
  <si>
    <t>DELL.O,mscalc:yearEndMonth</t>
  </si>
  <si>
    <t>FTNT.O,mstag:researchAndDevelopment,2007FY,,CY</t>
  </si>
  <si>
    <t>IL.N,mscalc:epsForConsensusForThomsonFeed,2011Q4,,CY</t>
  </si>
  <si>
    <t>ADBE.O,mscalc:epsForConsensusForThomsonFeed,2008Q4,,CY</t>
  </si>
  <si>
    <t>MKTG.O,mstag:revenueNet,2010Q4,,CY</t>
  </si>
  <si>
    <t>VMW.N,mstag:costOfSalesWithDepreciation,2011FY,,CY</t>
  </si>
  <si>
    <t>MSFT.O,mstag:revenueNet,2011Q2,,CY</t>
  </si>
  <si>
    <t>CRM.N,mscalc:epsForConsensusForThomsonFeed,2012Q2,,CY</t>
  </si>
  <si>
    <t>INTU.O,mstag:marketingAndDistributionCosts,2008Q2,,CY</t>
  </si>
  <si>
    <t>GUID.O,mscalc:epsForConsensusForThomsonFeed,2013Q4,,CY</t>
  </si>
  <si>
    <t>RNOW.O,mstag:costOfSalesWithDepreciation,2011Q1,,CY</t>
  </si>
  <si>
    <t>TLEO.O,mscalc:epsForConsensusForThomsonFeed,2008Q2,,CY</t>
  </si>
  <si>
    <t>VRSN.O,mstag:costOfSalesWithDepreciation,2010FY,,CY</t>
  </si>
  <si>
    <t>VMW.N,mscalc:epsForConsensusForThomsonFeed,2011Q2,,CY</t>
  </si>
  <si>
    <t>OPEN.O,mscalc:epsForConsensusForThomsonFeed,2007FY,,CY</t>
  </si>
  <si>
    <t>QLIK.O,mstag:marketingAndDistributionCosts,2013FY,,CY</t>
  </si>
  <si>
    <t>IBM.N,mscalc:epsForConsensusForThomsonFeed,2012FY,,CY</t>
  </si>
  <si>
    <t>CRM.N,mstag:marketingAndDistributionCosts,2013FY,,CY</t>
  </si>
  <si>
    <t>QLIK.O,mstag:researchAndDevelopment,2010Q1,,CY</t>
  </si>
  <si>
    <t>DMAN.O,mstag:costOfSalesWithDepreciation,2012Q2,,CY</t>
  </si>
  <si>
    <t>AAPL.O,mscalc:dilutedEarningsPerShare,2007FY,,CY</t>
  </si>
  <si>
    <t>ZNGA.O,mscalc:epsForConsensusForThomsonFeed,2007FY,,CY</t>
  </si>
  <si>
    <t>ADP.O,mscalc:operatingRevenueForConsensus,2009FY,,CY</t>
  </si>
  <si>
    <t>FIRE.O,mstag:costOfSalesWithoutDepreciation,2009Q3,,CY</t>
  </si>
  <si>
    <t>TLEO.O,mscalc:generalAndAdministrativeExpensesCalc,2008FY,,CY</t>
  </si>
  <si>
    <t>FIRE.O,mstag:researchAndDevelopment,2013Q4,,CY</t>
  </si>
  <si>
    <t>DELL.O,mscalc:operatingRevenueForConsensus,2009FY,,CY</t>
  </si>
  <si>
    <t>VMW.N,mstag:marketingCosts,2012FY,,CY</t>
  </si>
  <si>
    <t>WBSN.O,mscalc:generalAndAdministrativeExpensesCalc,2009Q1,,CY</t>
  </si>
  <si>
    <t>ADSK.O,mstag:otherLiabilitiesNonOperatingCurrent,2011Q3,,CY</t>
  </si>
  <si>
    <t>N.N,mstag:revenueNet,2012Q4,,CY</t>
  </si>
  <si>
    <t>FIRE.O,mstag:depreciationInIncomeStatement,2010Q1,,CY</t>
  </si>
  <si>
    <t>SFSF.N,mstag:researchAndDevelopment,2010Q4,,CY</t>
  </si>
  <si>
    <t>TLEO.O,mscalc:generalAndAdministrativeExpensesCalc,2011Q2,,CY</t>
  </si>
  <si>
    <t>AKAM.O,mstag:marketingAndDistributionCosts,2008Q1,,CY</t>
  </si>
  <si>
    <t>MSFT.O,mstag:researchAndDevelopment,2013Q2,,CY</t>
  </si>
  <si>
    <t>QLIK.O,mstag:researchAndDevelopment,2008Q4,,CY</t>
  </si>
  <si>
    <t>RNOW.O,mstag:costOfSalesWithDepreciation,2010Q3,,CY</t>
  </si>
  <si>
    <t>ADBE.O,mstag:marketingAndDistributionCosts,2011FY,,CY</t>
  </si>
  <si>
    <t>N.N,mstag:researchAndDevelopment,2009Q1,,CY</t>
  </si>
  <si>
    <t>NFLX.O,mscalc:epsForConsensusForThomsonFeed,2012FY,,CY</t>
  </si>
  <si>
    <t>CHKP.O,mstag:softwareLicenseRevenues,2008FY,,CY</t>
  </si>
  <si>
    <t>SWI.N,mscalc:epsForConsensusForThomsonFeed,2009FY,,CY</t>
  </si>
  <si>
    <t>INTC.O,msuser:cmAUPLEBITDA20060530T0035524245,2011FY,,CY</t>
  </si>
  <si>
    <t>VMW.N,mstag:revenueNet,2012Q4,,CY</t>
  </si>
  <si>
    <t>FTNT.O,mstag:researchAndDevelopment,2011Q2,,CY</t>
  </si>
  <si>
    <t>Retained Earnings</t>
  </si>
  <si>
    <t>Common Dividends</t>
  </si>
  <si>
    <t>Other Non-Current Assets</t>
  </si>
  <si>
    <t>Operating Activities:</t>
  </si>
  <si>
    <t>Exchange Rate Impact</t>
  </si>
  <si>
    <t>USD</t>
  </si>
  <si>
    <t>ADSK.O</t>
  </si>
  <si>
    <t>ADSK.O,mscalc:generalAndAdministrativeExpensesCalc,2009Q2,,CY</t>
  </si>
  <si>
    <t>ORCL.O,mstag:researchAndDevelopment,2012Q3,,CY</t>
  </si>
  <si>
    <t>FISV.O,mscalc:epsForConsensusForThomsonFeed,2012FY,,CY</t>
  </si>
  <si>
    <t>AMAT.O,mscalc:dilutedEarningsPerShare,2009FY,,CY</t>
  </si>
  <si>
    <t>QLIK.O,mstag:revenueNet,2009Q1,,CY</t>
  </si>
  <si>
    <t>MSFT.O,mstag:marketingAndDistributionCosts,2009FY,,CY</t>
  </si>
  <si>
    <t>FTNT.O,mstag:researchAndDevelopment,2009Q3,,CY</t>
  </si>
  <si>
    <t>QLIK.O,mscalc:epsForConsensusForThomsonFeed,2013Q3,,CY</t>
  </si>
  <si>
    <t>CHKP.O,mstag:revenueNet,2013Q3,,CY</t>
  </si>
  <si>
    <t>ORCL.O,mstag:researchAndDevelopment,2008Q2,,CY</t>
  </si>
  <si>
    <t>SYMC.O,mstag:costOfSalesWithDepreciation,2009Q2,,CY</t>
  </si>
  <si>
    <t>HPQ.N,mscalc:operatingRevenueForConsensus,2011FY,,CY</t>
  </si>
  <si>
    <t>RNOW.O,mstag:revenueNet,2011Q2,,CY</t>
  </si>
  <si>
    <t>AMAT.O,mscalc:epsForConsensusForThomsonFeed,2013FY,,CY</t>
  </si>
  <si>
    <t>CHKP.O,mstag:revenueNet,2010Q3,,CY</t>
  </si>
  <si>
    <t>ADSK.O,mstag:costOfSalesWithDepreciation,2008Q3,,CY</t>
  </si>
  <si>
    <t>FTNT.O,mstag:costOfSalesWithDepreciation,2008Q2,,CY</t>
  </si>
  <si>
    <t>INTU.O,mstag:costOfSalesWithDepreciation,2011Q4,,CY</t>
  </si>
  <si>
    <t>GUID.O,mstag:revenueNet,2013Q1,,CY</t>
  </si>
  <si>
    <t>AMAT.O,mscalc:operatingRevenueForConsensus,2009FY,,CY</t>
  </si>
  <si>
    <t>MSFT.O,mstag:researchAndDevelopment,2009Q2,,CY</t>
  </si>
  <si>
    <t>IL.N,mstag:marketingAndDistributionCosts,2011Q3,,CY</t>
  </si>
  <si>
    <t>VMW.N,mstag:researchAndDevelopment,2013Q3,,CY</t>
  </si>
  <si>
    <t>VRSN.O,mstag:costOfSalesWithDepreciation,2008FY,,CY</t>
  </si>
  <si>
    <t>ADBE.O,mstag:costOfSalesWithDepreciation,2009Q4,,CY</t>
  </si>
  <si>
    <t>QLIK.O,mstag:costOfSalesWithDepreciation,2009FY,,CY</t>
  </si>
  <si>
    <t>FTNT.O,mstag:revenueNet,2010Q4,,CY</t>
  </si>
  <si>
    <t>WBSN.O,mstag:researchAndDevelopment,2009Q2,,CY</t>
  </si>
  <si>
    <t>INTU.O,mstag:revenueNet,2013Q2,,CY</t>
  </si>
  <si>
    <t>ORCL.O,mstag:marketingAndDistributionCosts,2013Q2,,CY</t>
  </si>
  <si>
    <t>DMAN.O,mstag:revenueNet,2011Q4,,CY</t>
  </si>
  <si>
    <t>INTU.O,mstag:marketingAndDistributionCosts,2007FY,,CY</t>
  </si>
  <si>
    <t>N.N,mscalc:epsForConsensusForThomsonFeed,2013FY,,CY</t>
  </si>
  <si>
    <t>AKAM.O,mscalc:epsForConsensusForThomsonFeed,2012Q1,,CY</t>
  </si>
  <si>
    <t>FTNT.O,mstag:revenueNet,2008Q3,,CY</t>
  </si>
  <si>
    <t>WBSN.O,mstag:costOfSalesWithDepreciation,2009Q2,,CY</t>
  </si>
  <si>
    <t>ADBE.O,mscalc:generalAndAdministrativeExpensesCalc,2010Q1,,CY</t>
  </si>
  <si>
    <t>INTU.O,mstag:costOfSalesWithDepreciation,2010Q4,,CY</t>
  </si>
  <si>
    <t>IBM.N,msuser:cmAUPLEBITDA20060530T0035524245,2011FY,,CY</t>
  </si>
  <si>
    <t>CNQR.O,mstag:marketingAndDistributionCosts,2007FY,,CY</t>
  </si>
  <si>
    <t>DMAN.O,mstag:researchAndDevelopment,2012Q2,,CY</t>
  </si>
  <si>
    <t>MKTG.O,mstag:costOfSalesWithDepreciation,2011Q3,,CY</t>
  </si>
  <si>
    <t>FIRE.O,mscalc:epsForConsensusForThomsonFeed,2013Q2,,CY</t>
  </si>
  <si>
    <t>RNOW.O,mscalc:epsForConsensusForThomsonFeed,2011Q3,,CY</t>
  </si>
  <si>
    <t>INFA.O,mstag:researchAndDevelopment,2012FY,,CY</t>
  </si>
  <si>
    <t>VMW.N,mstag:marketingCosts,2008Q3,,CY</t>
  </si>
  <si>
    <t>MKTG.O,mstag:marketingAndDistributionCosts,2009Q2,,CY</t>
  </si>
  <si>
    <t>MSFT.O,mstag:otherOperatingExpenseChild,2007FY,,CY</t>
  </si>
  <si>
    <t>RHT.N,mstag:otherOperatingExpenseChild,2012FY,,CY</t>
  </si>
  <si>
    <t>CTXS.O,mstag:revenueNet,2012Q3,,CY</t>
  </si>
  <si>
    <t>RHT.N,mscalc:generalAndAdministrativeExpensesCalc,2013Q3,,CY</t>
  </si>
  <si>
    <t>SREV.O,mstag:costOfSalesWithDepreciation,2012Q3,,CY</t>
  </si>
  <si>
    <t>SWI.N,mstag:costOfSalesWithDepreciation,2011FY,,CY</t>
  </si>
  <si>
    <t>ADBE.O,mstag:researchAndDevelopment,2013Q4,,CY</t>
  </si>
  <si>
    <t>FIRE.O,mstag:costOfSalesWithoutDepreciation,2011Q3,,CY</t>
  </si>
  <si>
    <t>SYMC.O,mstag:costOfSalesWithDepreciation,2012Q1,,CY</t>
  </si>
  <si>
    <t>SWI.N,mscalc:generalAndAdministrativeExpensesCalc,2013Q3,,CY</t>
  </si>
  <si>
    <t>VMW.N,mstag:researchAndDevelopment,2008Q4,,CY</t>
  </si>
  <si>
    <t>SFSF.N,mstag:researchAndDevelopment,2009Q2,,CY</t>
  </si>
  <si>
    <t>ADBE.O,mstag:researchAndDevelopment,2012Q2,,CY</t>
  </si>
  <si>
    <t>VMW.N,mscalc:epsForConsensusForThomsonFeed,2013Q1,,CY</t>
  </si>
  <si>
    <t>N.N,mscalc:epsForConsensusForThomsonFeed,2009Q4,,CY</t>
  </si>
  <si>
    <t>FTNT.O,mscalc:generalAndAdministrativeExpensesCalc,2011Q1,,CY</t>
  </si>
  <si>
    <t>WBSN.O,mstag:marketingAndDistributionCosts,2012Q4,,CY</t>
  </si>
  <si>
    <t>ORCL.O,mstag:companyReportedRevenue,2011FY,,CY</t>
  </si>
  <si>
    <t>IBM.N,mscalc:epsForConsensusForThomsonFeed,2010FY,,CY</t>
  </si>
  <si>
    <t>GUID.O,mstag:depreciationInIncomeStatement,2008FY,,CY</t>
  </si>
  <si>
    <t>CTXS.O,mstag:otherOperatingExpenseChild,2011FY,,CY</t>
  </si>
  <si>
    <t>VMW.N,mstag:researchAndDevelopment,2010Q4,,CY</t>
  </si>
  <si>
    <t>AKAM.O,mstag:revenueNet,2012Q4,,CY</t>
  </si>
  <si>
    <t>ADSK.O,mstag:researchAndDevelopment,2010FY,,CY</t>
  </si>
  <si>
    <t>INFA.O,mstag:otherOperatingExpenseChild,2010FY,,CY</t>
  </si>
  <si>
    <t>,mscalc:epsForConsensusForThomsonFeed,2011FY,,CY</t>
  </si>
  <si>
    <t>INTU.O,mscalc:epsForConsensusForThomsonFeed,2011Q4,,CY</t>
  </si>
  <si>
    <t>MKTG.O,mstag:revenueNet,2010Q3,,CY</t>
  </si>
  <si>
    <t>SYMC.O,mscalc:generalAndAdministrativeExpensesCalc,2008Q4,,CY</t>
  </si>
  <si>
    <t>VMW.N,mstag:researchAndDevelopment,2008Q2,,CY</t>
  </si>
  <si>
    <t>RNOW.O,mscalc:stockRating</t>
  </si>
  <si>
    <t>VMW.N,mscalc:epsForConsensusForThomsonFeed,2013Q3,,CY</t>
  </si>
  <si>
    <t>FCF/Share</t>
  </si>
  <si>
    <t>FISV.O,mscalc:epsForConsensusForThomsonFeed,2010FY,,CY</t>
  </si>
  <si>
    <t>ZNGA.O,mscalc:epsForConsensusForThomsonFeed,2009FY,,CY</t>
  </si>
  <si>
    <t>ADSK.O,mstag:researchAndDevelopment,2009Q2,,CY</t>
  </si>
  <si>
    <t>QLIK.O,mstag:researchAndDevelopment,2012Q3,,CY</t>
  </si>
  <si>
    <t>TLEO.O,mstag:marketingAndDistributionCosts,2011Q3,,CY</t>
  </si>
  <si>
    <t>ADP.O,msuser:cmAUPLEBITDA20060530T0035524245,2009FY,,CY</t>
  </si>
  <si>
    <t>CSCO.O,mscalc:stockRating</t>
  </si>
  <si>
    <t>FIRE.O,mstag:costOfSalesWithoutDepreciation,2013Q4,,CY</t>
  </si>
  <si>
    <t>1Q10</t>
  </si>
  <si>
    <t>Total Deferred Revenues</t>
  </si>
  <si>
    <t>7/05</t>
  </si>
  <si>
    <t>rnd</t>
  </si>
  <si>
    <t>gna</t>
  </si>
  <si>
    <t>totexp</t>
  </si>
  <si>
    <t>othinc</t>
  </si>
  <si>
    <t>grinc</t>
  </si>
  <si>
    <t>taxes</t>
  </si>
  <si>
    <t>Platform Technology Division and Other</t>
  </si>
  <si>
    <t>ST Deferred Revenue (Based on Q/Q % Growth)</t>
  </si>
  <si>
    <t>LT Deferred Revenue (Based on Q/Q % Growth)</t>
  </si>
  <si>
    <t>JIVE.O,mstag:marketingAndDistributionCosts,2008FY,,CY</t>
  </si>
  <si>
    <t>ADSK.O,mstag:revenueNet,2008Q1,,CY</t>
  </si>
  <si>
    <t>P.N,mscalc:operatingRevenueForConsensus,2013FY,,CY</t>
  </si>
  <si>
    <t>MKTG.O,mscalc:generalAndAdministrativeExpensesCalc,2009FY,,CY</t>
  </si>
  <si>
    <t>CTXS.O,mstag:shortTermInvestments,2011Q4,,CY</t>
  </si>
  <si>
    <t>N.N,mstag:researchAndDevelopment,2008Q3,,CY</t>
  </si>
  <si>
    <t>QLIK.O,mscalc:epsForConsensusForThomsonFeed,2008Q1,,CY</t>
  </si>
  <si>
    <t>ADBE.O,mscalc:generalAndAdministrativeExpensesCalc,2012Q1,,CY</t>
  </si>
  <si>
    <t>RHT.N,mscalc:epsForConsensusForThomsonFeed,2008Q2,,CY</t>
  </si>
  <si>
    <t>N.N,mstag:costOfSalesWithDepreciation,2011FY,,CY</t>
  </si>
  <si>
    <t>IL.N,mscalc:generalAndAdministrativeExpensesCalc,2009Q3,,CY</t>
  </si>
  <si>
    <t>ORCL.O,mstag:researchAndDevelopment,2011Q2,,CY</t>
  </si>
  <si>
    <t>CNQR.O,mstag:researchAndDevelopment,2011FY,,CY</t>
  </si>
  <si>
    <t>SREV.O,mstag:researchAndDevelopment,2013FY,,CY</t>
  </si>
  <si>
    <t>SAPG.DE,mscalc:generalAndAdministrativeExpensesCalc,2013FY,,CY</t>
  </si>
  <si>
    <t>INTU.O,mstag:revenueNet,2008Q4,,CY</t>
  </si>
  <si>
    <t>ADSK.O,mscalc:epsForConsensusForThomsonFeed,2013Q2,,CY</t>
  </si>
  <si>
    <t>QLIK.O,mscalc:generalAndAdministrativeExpensesCalc,2013Q4,,CY</t>
  </si>
  <si>
    <t>WBSN.O,mstag:revenueNet,2009Q3,,CY</t>
  </si>
  <si>
    <t>RNOW.O,mstag:costOfSalesWithDepreciation,2008Q3,,CY</t>
  </si>
  <si>
    <t>TXN.N,mscalc:epsForConsensusForThomsonFeed,2012FY,,CY</t>
  </si>
  <si>
    <t>INFA.O,mstag:researchAndDevelopment,2008FY,,CY</t>
  </si>
  <si>
    <t>GRPN.O,mscalc:epsForConsensusForThomsonFeed,2007FY,,CY</t>
  </si>
  <si>
    <t>SYMC.O,mstag:costOfSalesWithDepreciation,2008Q1,,CY</t>
  </si>
  <si>
    <t>EMC.N,mscalc:epsForConsensusForThomsonFeed,2011FY,,CY</t>
  </si>
  <si>
    <t>SYMC.O,mstag:otherOperatingExpenseChild,2012FY,,CY</t>
  </si>
  <si>
    <t>AMD.N,mscalc:dilutedEarningsPerShare,2008FY,,CY</t>
  </si>
  <si>
    <t>MSFT.O,mstag:researchAndDevelopment,2011Q3,,CY</t>
  </si>
  <si>
    <t>SREV.O,mstag:revenueNet,2011Q2,,CY</t>
  </si>
  <si>
    <t>DMAN.O,mstag:marketingAndDistributionCosts,2012Q2,,CY</t>
  </si>
  <si>
    <t>CRM.N,mstag:costOfSalesWithDepreciation,2013Q4,,CY</t>
  </si>
  <si>
    <t>AMAT.O,mscalc:dilutedEarningsPerShare,2008FY,,CY</t>
  </si>
  <si>
    <t>ORCL.O,mscalc:generalAndAdministrativeExpensesCalc,2013FY,,CY</t>
  </si>
  <si>
    <t>SYMC.O,mstag:shortTermInvestments,2011Q4,,CY</t>
  </si>
  <si>
    <t>RNOW.O,mscalc:epsForConsensusForThomsonFeed,2009Q4,,CY</t>
  </si>
  <si>
    <t>DMAN.O,mstag:marketingAndDistributionCosts,2011Q1,,CY</t>
  </si>
  <si>
    <t>P.N,mscalc:operatingRevenueForConsensus,2008FY,,CY</t>
  </si>
  <si>
    <t>N.N,mscalc:epsForConsensusForThomsonFeed,2009FY,,CY</t>
  </si>
  <si>
    <t>VRSN.O,mstag:marketingAndDistributionCosts,2009FY,,CY</t>
  </si>
  <si>
    <t>GOOG.O,mscalc:dilutedEarningsPerShare,2008FY,,CY</t>
  </si>
  <si>
    <t>INTU.O,mscalc:operatingRevenueForConsensus,2007FY,,CY</t>
  </si>
  <si>
    <t>N.N,mstag:otherOperatingExpenseChild,2013FY,,CY</t>
  </si>
  <si>
    <t>CTXS.O,mstag:researchAndDevelopment,2010Q2,,CY</t>
  </si>
  <si>
    <t>VRSN.O,mscalc:operatingRevenueForConsensus,2008FY,,CY</t>
  </si>
  <si>
    <t>IL.N,mstag:tradeReceivablesGrossNonCurrent,2011Q3,,CY</t>
  </si>
  <si>
    <t>HPQ.N,mscalc:operatingRevenueForConsensus,2012FY,,CY</t>
  </si>
  <si>
    <t>SYMC.O,mstag:revenueNet,2010Q3,,CY</t>
  </si>
  <si>
    <t>MKTG.O,mstag:costOfSalesWithDepreciation,2009FY,,CY</t>
  </si>
  <si>
    <t>SREV.O,mstag:costOfSalesWithDepreciation,2012Q2,,CY</t>
  </si>
  <si>
    <t>DMAN.O,mstag:marketingAndDistributionCosts,2012Q3,,CY</t>
  </si>
  <si>
    <t>P.N,msuser:cmAUPLEBITDA20060530T0035524245,2010FY,,CY</t>
  </si>
  <si>
    <t>AKAM.O,mstag:revenueNet,2013Q1,,CY</t>
  </si>
  <si>
    <t>INTU.O,mscalc:generalAndAdministrativeExpensesCalc,2009Q1,,CY</t>
  </si>
  <si>
    <t>TLEO.O,mstag:researchAndDevelopment,2007FY,,CY</t>
  </si>
  <si>
    <t>SAPG.DE,mscalc:dilutedEarningsPerShare,2007FY,,CY</t>
  </si>
  <si>
    <t>AMAT.O,msuser:cmAUPLEBITDA20060530T0035524245,2009FY,,CY</t>
  </si>
  <si>
    <t>CRM.N,mscalc:epsForConsensusForThomsonFeed,2013Q1,,CY</t>
  </si>
  <si>
    <t>FIRE.O,mscalc:epsForConsensusForThomsonFeed,2013FY,,CY</t>
  </si>
  <si>
    <t>ADP.O,msuser:cmAUPLEBITDA20060530T0035524245,2011FY,,CY</t>
  </si>
  <si>
    <t>FTNT.O,mstag:otherOperatingExpenseChild,2009FY,,CY</t>
  </si>
  <si>
    <t>SFSF.N,mscalc:epsForConsensusForThomsonFeed,2008Q1,,CY</t>
  </si>
  <si>
    <t>ZNGA.O,mscalc:epsForConsensusForThomsonFeed,2012FY,,CY</t>
  </si>
  <si>
    <t>NA,mstag:otherOperatingExpenseChild,2011FY,,CY</t>
  </si>
  <si>
    <t>ADBE.O,mscalc:epsForConsensusForThomsonFeed,2010FY,,CY</t>
  </si>
  <si>
    <t>N.N,mstag:costOfSalesWithDepreciation,2007FY,,CY</t>
  </si>
  <si>
    <t>MKTG.O,mstag:otherOperatingExpenseChild,2010FY,,CY</t>
  </si>
  <si>
    <t>CHKP.O,mscalc:epsForConsensusForThomsonFeed,2008Q4,,CY</t>
  </si>
  <si>
    <t>MSFT.O,mscalc:epsForConsensusForThomsonFeed,2012Q3,,CY</t>
  </si>
  <si>
    <t>SFSF.N,mstag:researchAndDevelopment,2013Q2,,CY</t>
  </si>
  <si>
    <t>IL.N,mscalc:epsForConsensusForThomsonFeed,2012Q2,,CY</t>
  </si>
  <si>
    <t>ZNGA.O,mscalc:operatingRevenueForConsensus,2007FY,,CY</t>
  </si>
  <si>
    <t>INTU.O,mscalc:generalAndAdministrativeExpensesCalc,2008Q1,,CY</t>
  </si>
  <si>
    <t>INTU.O,mscalc:generalAndAdministrativeExpensesCalc,2013FY,,CY</t>
  </si>
  <si>
    <t>MKTG.O,mstag:researchAndDevelopment,2013Q2,,CY</t>
  </si>
  <si>
    <t>GUID.O,mstag:costOfSalesWithoutDepreciation,2010Q3,,CY</t>
  </si>
  <si>
    <t>JIVE.O,mscalc:stockRating</t>
  </si>
  <si>
    <t>N.N,mscalc:generalAndAdministrativeExpensesCalc,2012Q3,,CY</t>
  </si>
  <si>
    <t>RHT.N,mstag:costOfSalesWithDepreciation,2013Q1,,CY</t>
  </si>
  <si>
    <t>VMW.N,mstag:researchAndDevelopment,2011Q2,,CY</t>
  </si>
  <si>
    <t>FISV.O,mscalc:operatingRevenueForConsensus,2008FY,,CY</t>
  </si>
  <si>
    <t>CNQR.O,mscalc:stockRating</t>
  </si>
  <si>
    <t>TLEO.O,mstag:costOfSalesWithDepreciation,2009Q3,,CY</t>
  </si>
  <si>
    <t>% of Sales</t>
  </si>
  <si>
    <t>Revenue up at least 10%</t>
  </si>
  <si>
    <t>4c14</t>
  </si>
  <si>
    <t>_fy15</t>
  </si>
  <si>
    <t>CRM.N,mscalc:operatingRevenueForConsensus,2010FY,,CY</t>
  </si>
  <si>
    <t>ADSK.O,mstag:revenueNet,2011Q1,,CY</t>
  </si>
  <si>
    <t>ORCL.O,mscalc:generalAndAdministrativeExpensesCalc,2012Q2,,CY</t>
  </si>
  <si>
    <t>VMW.N,mstag:sellingGeneralAndAdministrativeExpenses,2013FY,,CY</t>
  </si>
  <si>
    <t>AKAM.O,mstag:marketingAndDistributionCosts,2010FY,,CY</t>
  </si>
  <si>
    <t>N.N,mstag:marketingAndDistributionCosts,2010Q1,,CY</t>
  </si>
  <si>
    <t>QLIK.O,mstag:marketingAndDistributionCosts,2011FY,,CY</t>
  </si>
  <si>
    <t>RHT.N,mstag:costOfSalesWithDepreciation,2010Q3,,CY</t>
  </si>
  <si>
    <t>MKTG.O,mstag:marketingAndDistributionCosts,2010FY,,CY</t>
  </si>
  <si>
    <t>CTXS.O,mscalc:operatingRevenueForConsensus,2010FY,,CY</t>
  </si>
  <si>
    <t>SWI.N,mstag:revenueNet,2008Q3,,CY</t>
  </si>
  <si>
    <t>VMW.N,mstag:sellingGeneralAndAdministrativeExpenses,2011Q2,,CY</t>
  </si>
  <si>
    <t>CTXS.O,mstag:researchAndDevelopment,2013Q4,,CY</t>
  </si>
  <si>
    <t>INTU.O,mstag:revenueNet,2010Q2,,CY</t>
  </si>
  <si>
    <t>SAPG.DE,mstag:costOfServicesSold,2010FY,,CY</t>
  </si>
  <si>
    <t>AKAM.O,mscalc:generalAndAdministrativeExpensesCalc,2012Q4,,CY</t>
  </si>
  <si>
    <t>ADBE.O,mstag:researchAndDevelopment,2009Q4,,CY</t>
  </si>
  <si>
    <t>FIRE.O,mscalc:generalAndAdministrativeExpensesCalc,2012Q2,,CY</t>
  </si>
  <si>
    <t>TLEO.O,mstag:marketingAndDistributionCosts,2011Q1,,CY</t>
  </si>
  <si>
    <t>GUID.O,mscalc:operatingRevenueForConsensus,2011FY,,CY</t>
  </si>
  <si>
    <t>Hanna Strategies (announced 10/31/07)</t>
  </si>
  <si>
    <t>for</t>
  </si>
  <si>
    <t>1Q09</t>
  </si>
  <si>
    <t>2Q08</t>
  </si>
  <si>
    <t>3Q08</t>
  </si>
  <si>
    <t>4Q08</t>
  </si>
  <si>
    <t>1Q08</t>
  </si>
  <si>
    <t>Non-GAAP Operating Margins</t>
  </si>
  <si>
    <t>2Q09</t>
  </si>
  <si>
    <t>Mid-Q Revision</t>
  </si>
  <si>
    <t>1/06</t>
  </si>
  <si>
    <t>2006</t>
  </si>
  <si>
    <t>Gross AR</t>
  </si>
  <si>
    <t>Adjustments to reconcile net income to net cash provided by operating activities:</t>
  </si>
  <si>
    <t>Capital and other expenditures</t>
  </si>
  <si>
    <t>Other investing activities</t>
  </si>
  <si>
    <t>Dividends paid</t>
  </si>
  <si>
    <t>Minority interest</t>
  </si>
  <si>
    <t>Net sales and maturities of available-for-sale marketable securities</t>
  </si>
  <si>
    <t>CHKP.O,mstag:costOfSalesWithDepreciation,2009Q1,,CY</t>
  </si>
  <si>
    <t>GUID.O,mscalc:operatingRevenueForConsensus,2007FY,,CY</t>
  </si>
  <si>
    <t>VRSN.O,mstag:researchAndDevelopment,2010FY,,CY</t>
  </si>
  <si>
    <t>SYMC.O,mscalc:epsForConsensusForThomsonFeed,2011Q2,,CY</t>
  </si>
  <si>
    <t>CTXS.O,mstag:revenueNet,2009Q1,,CY</t>
  </si>
  <si>
    <t>DMAN.O,mstag:researchAndDevelopment,2010Q1,,CY</t>
  </si>
  <si>
    <t>INTU.O,mstag:marketingAndDistributionCosts,2013Q1,,CY</t>
  </si>
  <si>
    <t>HRB.N,msuser:cmAUPLEBITDA20060530T0035524245,2012FY,,CY</t>
  </si>
  <si>
    <t>TLEO.O,mstag:revenueNet,2011Q2,,CY</t>
  </si>
  <si>
    <t>RNOW.O,mstag:researchAndDevelopment,2011Q1,,CY</t>
  </si>
  <si>
    <t>WBSN.O,mscalc:generalAndAdministrativeExpensesCalc,2008Q3,,CY</t>
  </si>
  <si>
    <t>QLIK.O,mscalc:generalAndAdministrativeExpensesCalc,2008Q2,,CY</t>
  </si>
  <si>
    <t>QLIK.O,mstag:longTermDebt,2011Q3,,CY</t>
  </si>
  <si>
    <t>JIVE.O,mscalc:epsForConsensusForThomsonFeed,2009FY,,CY</t>
  </si>
  <si>
    <t>DMAN.O,mstag:costOfSalesWithDepreciation,2009Q2,,CY</t>
  </si>
  <si>
    <t>DMAN.O,mstag:researchAndDevelopment,2010Q3,,CY</t>
  </si>
  <si>
    <t>IL.N,mstag:costOfSalesWithDepreciation,2011Q4,,CY</t>
  </si>
  <si>
    <t>CTXS.O,mstag:revenueNet,2008Q2,,CY</t>
  </si>
  <si>
    <t>FIRE.O,mstag:marketingAndDistributionCosts,2008Q3,,CY</t>
  </si>
  <si>
    <t>RHT.N,mstag:costOfSalesWithDepreciation,2007FY,,CY</t>
  </si>
  <si>
    <t>INTU.O,mstag:marketingAndDistributionCosts,2008Q1,,CY</t>
  </si>
  <si>
    <t>ORCL.O,mstag:researchAndDevelopment,2011Q1,,CY</t>
  </si>
  <si>
    <t>IL.N,mstag:researchAndDevelopment,2013Q4,,CY</t>
  </si>
  <si>
    <t>CHKP.O,mstag:marketingAndDistributionCosts,2013Q2,,CY</t>
  </si>
  <si>
    <t>CTXS.O,mstag:researchAndDevelopment,2012Q3,,CY</t>
  </si>
  <si>
    <t>CNQR.O,mstag:costOfSalesWithDepreciation,2013FY,,CY</t>
  </si>
  <si>
    <t>VRSN.O,mscalc:operatingRevenueForConsensus,2012FY,,CY</t>
  </si>
  <si>
    <t>N.N,mstag:revenueNet,2010Q3,,CY</t>
  </si>
  <si>
    <t>FIRE.O,mscalc:generalAndAdministrativeExpensesCalc,2011FY,,CY</t>
  </si>
  <si>
    <t>GRPN.O,mscalc:operatingRevenueForConsensus,2010FY,,CY</t>
  </si>
  <si>
    <t>AKAM.O,mscalc:generalAndAdministrativeExpensesCalc,2011Q1,,CY</t>
  </si>
  <si>
    <t>GRPN.O,mscalc:yearEndMonth</t>
  </si>
  <si>
    <t>SWI.N,mstag:otherOperatingExpenseChild,2011FY,,CY</t>
  </si>
  <si>
    <t>GUID.O,mstag:costOfSalesWithoutDepreciation,2007FY,,CY</t>
  </si>
  <si>
    <t>MSFT.O,mstag:marketingAndDistributionCosts,2010Q4,,CY</t>
  </si>
  <si>
    <t>ADSK.O,mscalc:generalAndAdministrativeExpensesCalc,2008Q4,,CY</t>
  </si>
  <si>
    <t>DMAN.O,mstag:marketingAndDistributionCosts,2013Q1,,CY</t>
  </si>
  <si>
    <t>ST Deferred Maintence Revenue</t>
  </si>
  <si>
    <t>v. 2000i</t>
  </si>
  <si>
    <t>v. 2002</t>
  </si>
  <si>
    <t>v. 2004</t>
  </si>
  <si>
    <t>v. 2005</t>
  </si>
  <si>
    <t>v. 2006</t>
  </si>
  <si>
    <t>Inventor</t>
  </si>
  <si>
    <t>v. 1</t>
  </si>
  <si>
    <t>v. 2</t>
  </si>
  <si>
    <t>v. 3</t>
  </si>
  <si>
    <t>v.4</t>
  </si>
  <si>
    <t>v. 5</t>
  </si>
  <si>
    <t>v. 7</t>
  </si>
  <si>
    <t>v. 6</t>
  </si>
  <si>
    <t>v. 9</t>
  </si>
  <si>
    <t>v. 10</t>
  </si>
  <si>
    <t xml:space="preserve">   % of Media &amp; Entertainment Revenue</t>
  </si>
  <si>
    <t xml:space="preserve">   Options Granted per Employee</t>
  </si>
  <si>
    <t xml:space="preserve">   Options Fortfeited</t>
  </si>
  <si>
    <t xml:space="preserve">   Forfeiture as % of BOP Options</t>
  </si>
  <si>
    <t xml:space="preserve">   Options Exercised</t>
  </si>
  <si>
    <t xml:space="preserve">   Exercised as % of BOP Optoins</t>
  </si>
  <si>
    <t>Average Exercise Price</t>
  </si>
  <si>
    <t xml:space="preserve">    Period End Stock Price</t>
  </si>
  <si>
    <t xml:space="preserve">     % of operating expense</t>
  </si>
  <si>
    <t>Stock Option Expense (FV)</t>
  </si>
  <si>
    <t>Excluding Stock Option Expense and Special Charges</t>
  </si>
  <si>
    <t>WBSN.O,mstag:otherOperatingExpenseChild,2010FY,,CY</t>
  </si>
  <si>
    <t>TLEO.O,mstag:marketingAndDistributionCosts,2013Q3,,CY</t>
  </si>
  <si>
    <t>RNOW.O,mstag:researchAndDevelopment,2013Q3,,CY</t>
  </si>
  <si>
    <t>HPQ.N,msuser:cmAUPLEBITDA20060530T0035524245,2008FY,,CY</t>
  </si>
  <si>
    <t>DMAN.O,mstag:costOfSalesWithDepreciation,2010Q2,,CY</t>
  </si>
  <si>
    <t>AKAM.O,mstag:averageDilutedSharesOutstanding,2011Q3,,CY</t>
  </si>
  <si>
    <t>DMAN.O,mscalc:epsForConsensusForThomsonFeed,2010Q1,,CY</t>
  </si>
  <si>
    <t>MSFT.O,mstag:costOfSalesWithDepreciation,2009Q1,,CY</t>
  </si>
  <si>
    <t>FTNT.O,mscalc:generalAndAdministrativeExpensesCalc,2010Q4,,CY</t>
  </si>
  <si>
    <t>TLEO.O,mstag:researchAndDevelopment,2010Q3,,CY</t>
  </si>
  <si>
    <t>FIRE.O,mstag:researchAndDevelopment,2012Q2,,CY</t>
  </si>
  <si>
    <t>FIRE.O,mstag:costOfSalesWithoutDepreciation,2011Q4,,CY</t>
  </si>
  <si>
    <t>CRM.N,mscalc:epsForConsensusForThomsonFeed,2008Q4,,CY</t>
  </si>
  <si>
    <t>N.N,mstag:revenueNet,2011Q3,,CY</t>
  </si>
  <si>
    <t>RNOW.O,mstag:marketingAndDistributionCosts,2012Q1,,CY</t>
  </si>
  <si>
    <t>INTU.O,mstag:revenueNet,2012Q2,,CY</t>
  </si>
  <si>
    <t>CRM.N,mscalc:operatingRevenueForConsensus,2008FY,,CY</t>
  </si>
  <si>
    <t>GUID.O,mstag:revenueNet,2009Q1,,CY</t>
  </si>
  <si>
    <t>ADSK.O,mscalc:generalAndAdministrativeExpensesCalc,2008Q1,,CY</t>
  </si>
  <si>
    <t>FTNT.O,mscalc:epsForConsensusForThomsonFeed,2012Q4,,CY</t>
  </si>
  <si>
    <t>ORCL.O,mstag:costOfSalesWithDepreciation,2010FY,,CY</t>
  </si>
  <si>
    <t>SYMC.O,mstag:revenueNet,2008Q3,,CY</t>
  </si>
  <si>
    <t>TLEO.O,mstag:researchAndDevelopment,2008FY,,CY</t>
  </si>
  <si>
    <t>WBSN.O,mscalc:generalAndAdministrativeExpensesCalc,2010Q4,,CY</t>
  </si>
  <si>
    <t>FTNT.O,mstag:researchAndDevelopment,2008Q3,,CY</t>
  </si>
  <si>
    <t>CRM.N,mscalc:generalAndAdministrativeExpensesCalc,2009Q2,,CY</t>
  </si>
  <si>
    <t>N.N,mstag:revenueNet,2011Q1,,CY</t>
  </si>
  <si>
    <t>IL.N,mstag:marketingAndDistributionCosts,2008Q3,,CY</t>
  </si>
  <si>
    <t>IL.N,mscalc:epsForConsensusForThomsonFeed,2008Q3,,CY</t>
  </si>
  <si>
    <t>CTXS.O,mstag:costOfSalesWithDepreciation,2009Q2,,CY</t>
  </si>
  <si>
    <t>WBSN.O,mscalc:epsForConsensusForThomsonFeed,2010Q3,,CY</t>
  </si>
  <si>
    <t>N.N,mstag:costOfSalesWithDepreciation,2010Q3,,CY</t>
  </si>
  <si>
    <t>CHKP.O,mscalc:generalAndAdministrativeExpensesCalc,2013Q2,,CY</t>
  </si>
  <si>
    <t>VRSN.O,mstag:costOfSalesWithDepreciation,2012FY,,CY</t>
  </si>
  <si>
    <t>SFSF.N,mscalc:epsForConsensusForThomsonFeed,2013Q2,,CY</t>
  </si>
  <si>
    <t>ADBE.O,mstag:marketingAndDistributionCosts,2009Q2,,CY</t>
  </si>
  <si>
    <t>SWI.N,mstag:costOfSalesWithDepreciation,2013FY,,CY</t>
  </si>
  <si>
    <t>ADBE.O,mstag:researchAndDevelopment,2011Q4,,CY</t>
  </si>
  <si>
    <t>INTU.O,mscalc:epsForConsensusForThomsonFeed,2010Q1,,CY</t>
  </si>
  <si>
    <t>CNQR.O,mstag:otherOperatingExpenseChild,2013FY,,CY</t>
  </si>
  <si>
    <t>HRB.N,msuser:cmAUPLEBITDA20060530T0035524245,2010FY,,CY</t>
  </si>
  <si>
    <t>MKTG.O,mstag:researchAndDevelopment,2010Q1,,CY</t>
  </si>
  <si>
    <t>DMAN.O,mstag:researchAndDevelopment,2013Q3,,CY</t>
  </si>
  <si>
    <t>MSFT.O,mscalc:epsForConsensusForThomsonFeed,2010Q1,,CY</t>
  </si>
  <si>
    <t>SREV.O,mstag:cashAndCashEquivalents,2011Q3,,CY</t>
  </si>
  <si>
    <t>RNOW.O,mstag:costOfSalesWithDepreciation,2010Q1,,CY</t>
  </si>
  <si>
    <t>TXN.N,mscalc:yearEndMonth</t>
  </si>
  <si>
    <t>ORCL.O,mstag:researchAndDevelopment,2009FY,,CY</t>
  </si>
  <si>
    <t>CHKP.O,mscalc:epsForConsensusForThomsonFeed,2013Q4,,CY</t>
  </si>
  <si>
    <t>DST.N,mscalc:epsForConsensusForThomsonFeed,2010FY,,CY</t>
  </si>
  <si>
    <t>SAPG.DE,mstag:researchAndDevelopment,2007FY,,CY</t>
  </si>
  <si>
    <t>NA,mstag:otherOperatingExpenseChild,2009FY,,CY</t>
  </si>
  <si>
    <t>RNOW.O,mstag:researchAndDevelopment,2008Q3,,CY</t>
  </si>
  <si>
    <t>TLEO.O,mscalc:generalAndAdministrativeExpensesCalc,2009FY,,CY</t>
  </si>
  <si>
    <t>CSCO.O,msuser:cmAUPLEBITDA20060530T0035524245,2009FY,,CY</t>
  </si>
  <si>
    <t>ADSK.O,mscalc:generalAndAdministrativeExpensesCalc,2011Q1,,CY</t>
  </si>
  <si>
    <t>CTXS.O,mstag:marketingCosts,2011Q4,,CY</t>
  </si>
  <si>
    <t>SWI.N,mstag:costOfSalesWithDepreciation,2012Q4,,CY</t>
  </si>
  <si>
    <t>JNPR.N,mscalc:operatingRevenueForConsensus,2012FY,,CY</t>
  </si>
  <si>
    <t>QLIK.O,mscalc:epsForConsensusForThomsonFeed,2008FY,,CY</t>
  </si>
  <si>
    <t>QLIK.O,mstag:otherOperatingExpenseChild,2012FY,,CY</t>
  </si>
  <si>
    <t>ADBE.O,mscalc:generalAndAdministrativeExpensesCalc,2013Q2,,CY</t>
  </si>
  <si>
    <t>N.N,mstag:marketingAndDistributionCosts,2008Q4,,CY</t>
  </si>
  <si>
    <t>SREV.O,mstag:costOfSalesWithDepreciation,2008Q4,,CY</t>
  </si>
  <si>
    <t>MKTG.O,mscalc:generalAndAdministrativeExpensesCalc,2013Q3,,CY</t>
  </si>
  <si>
    <t>FISV.O,mscalc:epsForConsensusForThomsonFeed,2011FY,,CY</t>
  </si>
  <si>
    <t>MSFT.O,mscalc:generalAndAdministrativeExpensesCalc,2009Q1,,CY</t>
  </si>
  <si>
    <t>AKAM.O,mscalc:epsForConsensusForThomsonFeed,2009Q3,,CY</t>
  </si>
  <si>
    <t>ORCL.O,mstag:revenueNet,2010Q4,,CY</t>
  </si>
  <si>
    <t>QLIK.O,mstag:researchAndDevelopment,2008Q2,,CY</t>
  </si>
  <si>
    <t>VRSN.O,mscalc:epsForConsensusForThomsonFeed,2008FY,,CY</t>
  </si>
  <si>
    <t>RHT.N,mstag:revenueNet,2009Q4,,CY</t>
  </si>
  <si>
    <t>INFA.O,mscalc:operatingRevenueForConsensus,2011FY,,CY</t>
  </si>
  <si>
    <t>SREV.O,mstag:marketingAndDistributionCosts,2008Q4,,CY</t>
  </si>
  <si>
    <t xml:space="preserve">Cloud 360 </t>
  </si>
  <si>
    <t>Attrition</t>
  </si>
  <si>
    <t>Billings DSO</t>
  </si>
  <si>
    <t>= Cash received</t>
  </si>
  <si>
    <t>- Total expenses</t>
  </si>
  <si>
    <t>- interest</t>
  </si>
  <si>
    <t>- cash taxes</t>
  </si>
  <si>
    <t>= cash from ops</t>
  </si>
  <si>
    <t>-capex</t>
  </si>
  <si>
    <t>cash tax rate</t>
  </si>
  <si>
    <t>capex growth Y/Y</t>
  </si>
  <si>
    <t>FCF/share</t>
  </si>
  <si>
    <t>- Change in AR, Net</t>
  </si>
  <si>
    <t>EV/FCF/G multiple</t>
  </si>
  <si>
    <t>EV/FCF implied</t>
  </si>
  <si>
    <t>Implied NTM PT</t>
  </si>
  <si>
    <t>Net Cash</t>
  </si>
  <si>
    <t>1/14</t>
  </si>
  <si>
    <t>2014</t>
  </si>
  <si>
    <t>1c16</t>
  </si>
  <si>
    <t>2c16</t>
  </si>
  <si>
    <t>3c16</t>
  </si>
  <si>
    <t>4c16</t>
  </si>
  <si>
    <t>_fy17</t>
  </si>
  <si>
    <t>4/14</t>
  </si>
  <si>
    <t>Cumulative Subs</t>
  </si>
  <si>
    <t>Subscribers</t>
  </si>
  <si>
    <t>7/14</t>
  </si>
  <si>
    <t>YoY Growth</t>
  </si>
  <si>
    <t>Other working capital</t>
  </si>
  <si>
    <t>10/14</t>
  </si>
  <si>
    <t>Organic subs</t>
  </si>
  <si>
    <t>EBA dollars</t>
  </si>
  <si>
    <t>_fy18</t>
  </si>
  <si>
    <t>1c17</t>
  </si>
  <si>
    <t>2c17</t>
  </si>
  <si>
    <t>3c17</t>
  </si>
  <si>
    <t>4c17</t>
  </si>
  <si>
    <t>1/15</t>
  </si>
  <si>
    <t>2015</t>
  </si>
  <si>
    <t>Inorganic</t>
  </si>
  <si>
    <t>Adjusted FCF</t>
  </si>
  <si>
    <t>YoY Adjusted FCF Growth</t>
  </si>
  <si>
    <t>Subscriber Stats</t>
  </si>
  <si>
    <t>4/15</t>
  </si>
  <si>
    <t xml:space="preserve">   Remaining authorization (in M shares)</t>
  </si>
  <si>
    <t>Billings CC</t>
  </si>
  <si>
    <t>Revenues CC</t>
  </si>
  <si>
    <t>I</t>
  </si>
  <si>
    <t xml:space="preserve">                 Stand-Alone</t>
  </si>
  <si>
    <t xml:space="preserve">                 LT </t>
  </si>
  <si>
    <t xml:space="preserve">      Cloud 360</t>
  </si>
  <si>
    <t xml:space="preserve">      EBA</t>
  </si>
  <si>
    <t>% of base</t>
  </si>
  <si>
    <t>Desktop Sub</t>
  </si>
  <si>
    <t>EBA</t>
  </si>
  <si>
    <t>% of Perpetual License Seats</t>
  </si>
  <si>
    <t>Perpetual License Billings</t>
  </si>
  <si>
    <t xml:space="preserve">             % attach of maintenance</t>
  </si>
  <si>
    <t xml:space="preserve">            Maintenance Subscriptions</t>
  </si>
  <si>
    <t xml:space="preserve">                      % of Maintenance Subscriptions</t>
  </si>
  <si>
    <t>% of Desktop Seats</t>
  </si>
  <si>
    <t xml:space="preserve">                      % of Desktop Subscriptions</t>
  </si>
  <si>
    <t>% of Cloud360 Seats</t>
  </si>
  <si>
    <t xml:space="preserve">    Cloud 360</t>
  </si>
  <si>
    <t>% EBA's</t>
  </si>
  <si>
    <t xml:space="preserve">    EBA</t>
  </si>
  <si>
    <t>Renewal Rate Assumptions</t>
  </si>
  <si>
    <t>Blended Renewal Rate</t>
  </si>
  <si>
    <t>Maintenance Attrition</t>
  </si>
  <si>
    <t>Cloud Attrition</t>
  </si>
  <si>
    <t>EBA Attrition</t>
  </si>
  <si>
    <t>II</t>
  </si>
  <si>
    <t>Perpetual Licenses</t>
  </si>
  <si>
    <t>Desktop Suite</t>
  </si>
  <si>
    <t>Desktop Stand Alone</t>
  </si>
  <si>
    <t>Desktop LT Seat</t>
  </si>
  <si>
    <t>Cloud 360 Seat</t>
  </si>
  <si>
    <t>EBA Seat</t>
  </si>
  <si>
    <t xml:space="preserve">    Maintenance</t>
  </si>
  <si>
    <t xml:space="preserve">    Desktop</t>
  </si>
  <si>
    <t>III</t>
  </si>
  <si>
    <t>70% 1-year</t>
  </si>
  <si>
    <t>30% 3-year</t>
  </si>
  <si>
    <t>Desktop Revenue</t>
  </si>
  <si>
    <t>EBA Revenue</t>
  </si>
  <si>
    <t>Recurring as a % of Total</t>
  </si>
  <si>
    <t>Interest Expense</t>
  </si>
  <si>
    <t>Taxes Paid</t>
  </si>
  <si>
    <t>Share Count</t>
  </si>
  <si>
    <t>IV</t>
  </si>
  <si>
    <t>Perpetual License</t>
  </si>
  <si>
    <t>Cloud 360 Revenue</t>
  </si>
  <si>
    <t>Professional Services Revenue</t>
  </si>
  <si>
    <t>7/15</t>
  </si>
  <si>
    <t xml:space="preserve">      Maintenance Subs</t>
  </si>
  <si>
    <t xml:space="preserve">       Emerging Model Subs</t>
  </si>
  <si>
    <t>ARR</t>
  </si>
  <si>
    <t>New Model</t>
  </si>
  <si>
    <t>ARPS</t>
  </si>
  <si>
    <t>Total ARR</t>
  </si>
  <si>
    <t>Cloud</t>
  </si>
  <si>
    <t xml:space="preserve">%Subscription Seasonality </t>
  </si>
  <si>
    <t>Susbsciption Seasonality</t>
  </si>
  <si>
    <t xml:space="preserve">Maintenance Renewal Rate </t>
  </si>
  <si>
    <t>New Model Renewal Rate</t>
  </si>
  <si>
    <t>Gross Adds (YoY)</t>
  </si>
  <si>
    <t>Expense Growth  (YoY)</t>
  </si>
  <si>
    <t xml:space="preserve">Subscription Seasonality </t>
  </si>
  <si>
    <t>Subscription ARPS</t>
  </si>
  <si>
    <t>+ depreciation</t>
  </si>
  <si>
    <t xml:space="preserve">LT </t>
  </si>
  <si>
    <t>Stand-Alone</t>
  </si>
  <si>
    <t>New Model Attrition</t>
  </si>
  <si>
    <t>Maintenance Renewal Rate</t>
  </si>
  <si>
    <t xml:space="preserve">    depreciation % billings</t>
  </si>
  <si>
    <t>Gross Additions (subscriptions in K)</t>
  </si>
  <si>
    <t>FY20 CAGR</t>
  </si>
  <si>
    <t>Subscription Base</t>
  </si>
  <si>
    <t xml:space="preserve">      Maintenance Subscription Base</t>
  </si>
  <si>
    <t xml:space="preserve">      Desktop Subscription Base</t>
  </si>
  <si>
    <t>Net Subscription Adds</t>
  </si>
  <si>
    <t>ADSK Subscription Base Model</t>
  </si>
  <si>
    <t>ARPS YoY Growth</t>
  </si>
  <si>
    <t>ARR YoY Growth</t>
  </si>
  <si>
    <t>10/15</t>
  </si>
  <si>
    <t>Maintenance ARR</t>
  </si>
  <si>
    <t>QoQ Growth</t>
  </si>
  <si>
    <t>Constant Currency ARR</t>
  </si>
  <si>
    <t>Cumulative maintenance</t>
  </si>
  <si>
    <t>1c18</t>
  </si>
  <si>
    <t>2c18</t>
  </si>
  <si>
    <t>3c18</t>
  </si>
  <si>
    <t>4c18</t>
  </si>
  <si>
    <t>_fy19</t>
  </si>
  <si>
    <t>2019e</t>
  </si>
  <si>
    <t>4/18e</t>
  </si>
  <si>
    <t>7/18e</t>
  </si>
  <si>
    <t>10/18e</t>
  </si>
  <si>
    <t>1/19e</t>
  </si>
  <si>
    <t>1/16</t>
  </si>
  <si>
    <t>2016</t>
  </si>
  <si>
    <t>Cloud Renewal</t>
  </si>
  <si>
    <t>EBA Renewal</t>
  </si>
  <si>
    <t>Company Reported Adjusted EBITDA</t>
  </si>
  <si>
    <t>Ebitda for consensus</t>
  </si>
  <si>
    <t>Ebitda Delta</t>
  </si>
  <si>
    <t>Toggle (0/1)</t>
  </si>
  <si>
    <t>4/16</t>
  </si>
  <si>
    <t>Total ARPS</t>
  </si>
  <si>
    <t>Maintenance ARPS</t>
  </si>
  <si>
    <t>7/16</t>
  </si>
  <si>
    <t>Net Subscriptions Added</t>
  </si>
  <si>
    <t>10/16</t>
  </si>
  <si>
    <t>License &amp; Other Rev from New Subscriptions</t>
  </si>
  <si>
    <t>Less: Other Adjustments</t>
  </si>
  <si>
    <t>Total Recurring Revenue</t>
  </si>
  <si>
    <t>% of Subs Rev</t>
  </si>
  <si>
    <t>% of  Total Rev</t>
  </si>
  <si>
    <t>AutoCAD and AutoCAD LT</t>
  </si>
  <si>
    <t>Other Platform &amp; Emerging</t>
  </si>
  <si>
    <t xml:space="preserve">% of Cash Available Used for Share Buyback  </t>
  </si>
  <si>
    <t>% of Offshore Cash used per year</t>
  </si>
  <si>
    <t>% of FCF used for repurchase</t>
  </si>
  <si>
    <t>Cash Used For Share Repo ($M)</t>
  </si>
  <si>
    <t>Offshore Cash Available for Repurchase ($M)</t>
  </si>
  <si>
    <t>Avg. Price</t>
  </si>
  <si>
    <t>Shares Repurchased (M)</t>
  </si>
  <si>
    <t>Minus Avg. Annual Dilution</t>
  </si>
  <si>
    <t>Beginning Avg. Share Count (M)</t>
  </si>
  <si>
    <t>Ending Avg. Share Count (M)</t>
  </si>
  <si>
    <t>FY23 CAGR</t>
  </si>
  <si>
    <t>% of ARR</t>
  </si>
  <si>
    <t>FY17</t>
  </si>
  <si>
    <t>FY18</t>
  </si>
  <si>
    <t>Maintenance Conversions to Subscription</t>
  </si>
  <si>
    <t xml:space="preserve">             % Converted to Desktop Subs</t>
  </si>
  <si>
    <t>Converted Desktop Subscriptions</t>
  </si>
  <si>
    <t xml:space="preserve">                      % of Converted Desktop Subs</t>
  </si>
  <si>
    <t xml:space="preserve">   New Desktop Subscriptions</t>
  </si>
  <si>
    <t xml:space="preserve">     New Perpetual License Seats</t>
  </si>
  <si>
    <t>FCF CAGR through FY23</t>
  </si>
  <si>
    <t>1-year billings %</t>
  </si>
  <si>
    <t>3-year billling %</t>
  </si>
  <si>
    <t xml:space="preserve">    EBA annual billings</t>
  </si>
  <si>
    <t>EBA billings w/prepays ($M)</t>
  </si>
  <si>
    <t>Product Subscriptions/Maintenance</t>
  </si>
  <si>
    <t>Cloud Subscriptions</t>
  </si>
  <si>
    <t>ARPS by Category</t>
  </si>
  <si>
    <t>Enterprise Subscriptions</t>
  </si>
  <si>
    <t>Maintenance Migration Loyalty Rates</t>
  </si>
  <si>
    <t>Desktop Suite Loyalty</t>
  </si>
  <si>
    <t>Desktop Stand Alone Loyalty</t>
  </si>
  <si>
    <t>Desktop LT Seat Loyalty</t>
  </si>
  <si>
    <t xml:space="preserve">                 Suites/Collections</t>
  </si>
  <si>
    <t>Suites/Collections</t>
  </si>
  <si>
    <t>How much does the base pay you?</t>
  </si>
  <si>
    <t>Adding to the Base</t>
  </si>
  <si>
    <t>Maintenance Suite (Legacy)</t>
  </si>
  <si>
    <t>Maintenance Stand Alone Seat (Legacy)</t>
  </si>
  <si>
    <t>Maintenance LT Seat (Legacy)</t>
  </si>
  <si>
    <t xml:space="preserve">                 Suites/Collections - New</t>
  </si>
  <si>
    <t xml:space="preserve">                 Stand-Alone - New</t>
  </si>
  <si>
    <t xml:space="preserve">                 LT - New</t>
  </si>
  <si>
    <t xml:space="preserve">                 Suites/Collections - Loyalty</t>
  </si>
  <si>
    <t xml:space="preserve">                 Stand-Alone - Loyalty</t>
  </si>
  <si>
    <t xml:space="preserve">                 LT - Loyalty</t>
  </si>
  <si>
    <t>Renewing the Base</t>
  </si>
  <si>
    <t>Shifting Amongst the Customer Base</t>
  </si>
  <si>
    <t>1/17</t>
  </si>
  <si>
    <t>2017</t>
  </si>
  <si>
    <t>LT Deferred Maintenance Revenue</t>
  </si>
  <si>
    <t xml:space="preserve">  Total Loyalty Base</t>
  </si>
  <si>
    <t>2020e</t>
  </si>
  <si>
    <t>4/19e</t>
  </si>
  <si>
    <t>7/19e</t>
  </si>
  <si>
    <t>10/19e</t>
  </si>
  <si>
    <t>1/20e</t>
  </si>
  <si>
    <t>Existing/Loyalty Base</t>
  </si>
  <si>
    <t xml:space="preserve">   % of base</t>
  </si>
  <si>
    <t>ex-Cloud 360</t>
  </si>
  <si>
    <t>Δ in Deferred Revenue</t>
  </si>
  <si>
    <t>% of Billings</t>
  </si>
  <si>
    <t>Deferred taxes</t>
  </si>
  <si>
    <t>Net New Subscriber Types</t>
  </si>
  <si>
    <t>% of Revenue as Direct Sales</t>
  </si>
  <si>
    <t>Share Count (M)</t>
  </si>
  <si>
    <t>Subscription Base (M)</t>
  </si>
  <si>
    <t>Gross Subscription Adds (M)</t>
  </si>
  <si>
    <t>Billings (M)</t>
  </si>
  <si>
    <t>Total Expense (M)</t>
  </si>
  <si>
    <t>Bull Case Price Target: $141</t>
  </si>
  <si>
    <t>Base Case Price Target: $115</t>
  </si>
  <si>
    <t>Bear Case Price Target: $64</t>
  </si>
  <si>
    <t>1c19</t>
  </si>
  <si>
    <t>2c19</t>
  </si>
  <si>
    <t>3c19</t>
  </si>
  <si>
    <t>4c19</t>
  </si>
  <si>
    <t>_fy20</t>
  </si>
  <si>
    <t>Old Subscription (incl maintenance)</t>
  </si>
  <si>
    <t>OLD Reporting Method</t>
  </si>
  <si>
    <t xml:space="preserve">Non-Recurring License &amp; Other </t>
  </si>
  <si>
    <t xml:space="preserve">Subscription </t>
  </si>
  <si>
    <t xml:space="preserve">Maintenance </t>
  </si>
  <si>
    <t>Subscription Plan (New Model)</t>
  </si>
  <si>
    <t>Subscription Plan ARR</t>
  </si>
  <si>
    <t>Incremental Subscription ARR</t>
  </si>
  <si>
    <t>Incremental Subscription ARPS</t>
  </si>
  <si>
    <t>Cumulative subscription plan</t>
  </si>
  <si>
    <t>4/17</t>
  </si>
  <si>
    <t>Old License &amp; Other Revenues</t>
  </si>
  <si>
    <t>Old License Margin</t>
  </si>
  <si>
    <t>Old Subscription</t>
  </si>
  <si>
    <t>Old Subscription Margin</t>
  </si>
  <si>
    <t>Subscription &amp; Maintenance</t>
  </si>
  <si>
    <t>Subscription &amp; Maintenance Margin</t>
  </si>
  <si>
    <t xml:space="preserve">Total Maintenance &amp; Subscription </t>
  </si>
  <si>
    <t>Recurring Rev as % of total</t>
  </si>
  <si>
    <t>Old License &amp; Other (incl 60% of New Desktop Subs)</t>
  </si>
  <si>
    <t xml:space="preserve">License &amp; Other Revenue </t>
  </si>
  <si>
    <t>Maint Attrition Seasonality</t>
  </si>
  <si>
    <t>Other exceptionals</t>
  </si>
  <si>
    <t>Professional Services &amp; Other</t>
  </si>
  <si>
    <t xml:space="preserve">  Qtrly Seasonality</t>
  </si>
  <si>
    <t>Subscription &amp; Maintenance Revenue</t>
  </si>
  <si>
    <t>New Reporting Method</t>
  </si>
  <si>
    <t xml:space="preserve">Recurring Rev as % of Total </t>
  </si>
  <si>
    <t xml:space="preserve">Revenue by Segment </t>
  </si>
  <si>
    <t>Maintenance &amp; Subscription Revenue</t>
  </si>
  <si>
    <t>Billings Analysis</t>
  </si>
  <si>
    <t>7/17</t>
  </si>
  <si>
    <t>10/17</t>
  </si>
  <si>
    <t>Converted Maintenance Subs</t>
  </si>
  <si>
    <t>Net Subs Seasonality</t>
  </si>
  <si>
    <t>Gross Subs Seasonality</t>
  </si>
  <si>
    <t>FY24e</t>
  </si>
  <si>
    <t>2018</t>
  </si>
  <si>
    <t>1/18</t>
  </si>
  <si>
    <t>2021e</t>
  </si>
  <si>
    <t>4/20e</t>
  </si>
  <si>
    <t>7/20e</t>
  </si>
  <si>
    <t>10/20e</t>
  </si>
  <si>
    <t>1/21e</t>
  </si>
  <si>
    <t>1c20</t>
  </si>
  <si>
    <t>2c20</t>
  </si>
  <si>
    <t>3c20</t>
  </si>
  <si>
    <t>4c20</t>
  </si>
  <si>
    <t>_fy21</t>
  </si>
  <si>
    <t>adjustment factor</t>
  </si>
  <si>
    <t>150</t>
  </si>
  <si>
    <t>Research</t>
  </si>
  <si>
    <t>MSA11763</t>
  </si>
  <si>
    <t>nm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</si>
  <si>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</si>
  <si>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</si>
  <si>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</si>
  <si>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</si>
  <si>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</si>
  <si>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</si>
  <si>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Keith Weiss</t>
  </si>
  <si>
    <t>Date: 07 Mar 2018</t>
  </si>
  <si>
    <t>Ticker: ADSK.O</t>
  </si>
  <si>
    <t>Stock Rating: Overweight</t>
  </si>
  <si>
    <t>Industry: Software</t>
  </si>
  <si>
    <t>Industry View: Attractive</t>
  </si>
  <si>
    <t>Price as of 07 Mar 2018: 119.68</t>
  </si>
  <si>
    <t>Target Price: 150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</si>
  <si>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</si>
  <si>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</si>
  <si>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</si>
  <si>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</si>
  <si>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Autodesk.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</si>
  <si>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</si>
  <si>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</si>
  <si>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</si>
  <si>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</si>
  <si>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</si>
  <si>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</si>
  <si>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</si>
  <si>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</si>
  <si>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</si>
  <si>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</si>
  <si>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</si>
  <si>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</si>
  <si>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</si>
  <si>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</si>
  <si>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</si>
  <si>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</si>
  <si>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</si>
  <si>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</si>
  <si>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</si>
  <si>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</si>
  <si>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</si>
  <si>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</si>
  <si>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</si>
  <si>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</si>
  <si>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</si>
  <si>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</si>
  <si>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</si>
  <si>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</si>
  <si>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</si>
  <si>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</si>
  <si>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</si>
  <si>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</si>
  <si>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</si>
  <si>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</si>
  <si>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</si>
  <si>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</si>
  <si>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</si>
  <si>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</si>
  <si>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</si>
  <si>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</si>
  <si>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</si>
  <si>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</si>
  <si>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</si>
  <si>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</si>
  <si>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</si>
  <si>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</si>
  <si>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</si>
  <si>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</si>
  <si>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</si>
  <si>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</si>
  <si>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</si>
  <si>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</si>
  <si>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</si>
  <si>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</si>
  <si>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</si>
  <si>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</si>
  <si>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</si>
  <si>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</si>
  <si>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</si>
  <si>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</si>
  <si>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</si>
  <si>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</si>
  <si>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</si>
  <si>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</si>
  <si>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</si>
  <si>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</si>
  <si>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</si>
  <si>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</si>
  <si>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</si>
  <si>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</si>
  <si>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</si>
  <si>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</si>
  <si>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</si>
  <si>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</si>
  <si>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</si>
  <si>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</si>
  <si>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</si>
  <si>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</si>
  <si>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</si>
  <si>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</si>
  <si>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</si>
  <si>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</si>
  <si>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</si>
  <si>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</si>
  <si>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</si>
  <si>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</si>
  <si>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</si>
  <si>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</si>
  <si>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</si>
  <si>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</si>
  <si>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</si>
  <si>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</si>
  <si>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</si>
  <si>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</si>
  <si>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</si>
  <si>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</si>
  <si>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</si>
  <si>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</si>
  <si>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</si>
  <si>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</si>
  <si>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</si>
  <si>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</si>
  <si>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</si>
  <si>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</si>
  <si>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</si>
  <si>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</si>
  <si>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</si>
  <si>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</si>
  <si>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</si>
  <si>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</si>
  <si>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</si>
  <si>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</si>
  <si>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</si>
  <si>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</si>
  <si>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</si>
  <si>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</si>
  <si>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</si>
  <si>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</si>
  <si>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</si>
  <si>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</si>
  <si>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</si>
  <si>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</si>
  <si>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</si>
  <si>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</si>
  <si>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</si>
  <si>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</si>
  <si>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</si>
  <si>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</si>
  <si>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</si>
  <si>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</si>
  <si>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</si>
  <si>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</si>
  <si>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</si>
  <si>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</si>
  <si>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</si>
  <si>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</si>
  <si>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</si>
  <si>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</si>
  <si>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</si>
  <si>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</si>
  <si>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</si>
  <si>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</si>
  <si>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</si>
  <si>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</si>
  <si>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</si>
  <si>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</si>
  <si>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</si>
  <si>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</si>
  <si>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</si>
  <si>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</si>
  <si>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</si>
  <si>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</si>
  <si>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</si>
  <si>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</si>
  <si>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</si>
  <si>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</si>
  <si>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</si>
  <si>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</si>
  <si>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</si>
  <si>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</si>
  <si>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</si>
  <si>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</si>
  <si>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</si>
  <si>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</si>
  <si>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</si>
  <si>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</si>
  <si>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</si>
  <si>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</si>
  <si>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</si>
  <si>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</si>
  <si>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</si>
  <si>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</si>
  <si>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</si>
  <si>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</si>
  <si>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Autodesk.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</si>
  <si>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</si>
  <si>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</si>
  <si>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</si>
  <si>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</si>
  <si>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</si>
  <si>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</si>
  <si>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</si>
  <si>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</si>
  <si>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</si>
  <si>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</si>
  <si>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</si>
  <si>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</si>
  <si>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</si>
  <si>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</si>
  <si>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</si>
  <si>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</si>
  <si>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</si>
  <si>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</si>
  <si>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</si>
  <si>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</si>
  <si>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</si>
  <si>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</si>
  <si>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</si>
  <si>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</si>
  <si>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</si>
  <si>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</si>
  <si>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</si>
  <si>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</si>
  <si>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</si>
  <si>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</si>
  <si>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</si>
  <si>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</si>
  <si>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</si>
  <si>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</si>
  <si>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</si>
  <si>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</si>
  <si>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</si>
  <si>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</si>
  <si>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</si>
  <si>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</si>
  <si>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</si>
  <si>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</si>
  <si>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</si>
  <si>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</si>
  <si>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</si>
  <si>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</si>
  <si>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</si>
  <si>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</si>
  <si>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</si>
  <si>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</si>
  <si>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</si>
  <si>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</si>
  <si>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</si>
  <si>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</si>
  <si>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</si>
  <si>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</si>
  <si>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</si>
  <si>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</si>
  <si>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</si>
  <si>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</si>
  <si>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</si>
  <si>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</si>
  <si>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</si>
  <si>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</si>
  <si>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</si>
  <si>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</si>
  <si>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</si>
  <si>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</si>
  <si>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Autodesk.</t>
  </si>
  <si>
    <t>Within the last 12 months, Morgan Stanley has provided or is providing investment banking services to,</t>
  </si>
  <si>
    <t>or has an investment banking client relationship with, the following company: Autodesk.</t>
  </si>
  <si>
    <t>Within the last 12 months, Morgan Stanley has received compensation for products and services other than</t>
  </si>
  <si>
    <t>investment banking services from Autodesk.</t>
  </si>
  <si>
    <t>In the next 3 months, Morgan Stanley expects to receive or intends to seek compensation for investment</t>
  </si>
  <si>
    <t>banking services from Autodesk.</t>
  </si>
  <si>
    <t>Within the last 12 months, Morgan Stanley has received compensation for investment banking services from</t>
  </si>
  <si>
    <t>Autodesk.</t>
  </si>
  <si>
    <t>Within the last 12 months, Morgan Stanley managed or co-managed a public offering (or 144A offering) of</t>
  </si>
  <si>
    <t>securities of Autodesk.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</si>
  <si>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</si>
  <si>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</si>
  <si>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</si>
  <si>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</si>
  <si>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</si>
  <si>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Keith Weiss,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</si>
  <si>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</si>
  <si>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</si>
  <si>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</si>
  <si>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</si>
  <si>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</si>
  <si>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</si>
  <si>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</si>
  <si>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</si>
  <si>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</si>
  <si>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</si>
  <si>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</si>
  <si>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</si>
  <si>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</si>
  <si>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</si>
  <si>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</si>
  <si>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</si>
  <si>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</si>
  <si>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</si>
  <si>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</si>
  <si>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</si>
  <si>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</si>
  <si>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</si>
  <si>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</si>
  <si>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</si>
  <si>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</si>
  <si>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</si>
  <si>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</si>
  <si>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</si>
  <si>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</si>
  <si>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</si>
  <si>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</si>
  <si>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</si>
  <si>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</si>
  <si>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</si>
  <si>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</si>
  <si>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</si>
  <si>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</si>
  <si>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</si>
  <si>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</si>
  <si>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</si>
  <si>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</si>
  <si>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</si>
  <si>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</si>
  <si>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</si>
  <si>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</si>
  <si>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</si>
  <si>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</si>
  <si>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</si>
  <si>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</si>
  <si>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</si>
  <si>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</si>
  <si>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</si>
  <si>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</si>
  <si>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</si>
  <si>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</si>
  <si>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</si>
  <si>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</si>
  <si>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</si>
  <si>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</si>
  <si>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</si>
  <si>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</si>
  <si>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</si>
  <si>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</si>
  <si>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</si>
  <si>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</si>
  <si>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</si>
  <si>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</si>
  <si>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Attractive</t>
  </si>
  <si>
    <t>Quarterly Update</t>
  </si>
  <si>
    <t>NorthAmerica</t>
  </si>
  <si>
    <t>hamzaf</t>
  </si>
  <si>
    <t>L:\ER43\ESWModels\ADSK.xlsm</t>
  </si>
  <si>
    <t>please publish after latest ADSK note is reposted with alerts OFF</t>
  </si>
  <si>
    <t>[BRO MSA]</t>
  </si>
  <si>
    <t>[PRODUCT MODEL]</t>
  </si>
  <si>
    <t>[EMAIL_ALERT YES]</t>
  </si>
  <si>
    <t>[DISCIPLINE Company]</t>
  </si>
  <si>
    <t>[SUPPRESSED NO]</t>
  </si>
  <si>
    <t>[DOCDAT 2018-03-07]</t>
  </si>
  <si>
    <t>[DOCTIME 12:12]</t>
  </si>
  <si>
    <t>[PSYM ADSK.O(S&amp;P) (None)]</t>
  </si>
  <si>
    <t>[COU 1]</t>
  </si>
  <si>
    <t>[ANA ]</t>
  </si>
  <si>
    <t>[HL ADSK.O Model]</t>
  </si>
  <si>
    <t>[IND TECHNO COMPUT DATAPR]</t>
  </si>
  <si>
    <t>[PANA MSA11763]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</si>
</sst>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m/yy"/>
    <numFmt numFmtId="166" formatCode="#,##0.0"/>
    <numFmt numFmtId="167" formatCode="0.000"/>
    <numFmt numFmtId="168" formatCode="0.0%"/>
    <numFmt numFmtId="170" formatCode="_(* #,##0.0_);_(* \(#,##0.0\);_(* &quot;-&quot;??_);_(@_)"/>
    <numFmt numFmtId="171" formatCode="&quot;$&quot;#,##0.00"/>
    <numFmt numFmtId="172" formatCode="&quot;$&quot;#,##0"/>
    <numFmt numFmtId="173" formatCode="&quot;$&quot;#,##0.0"/>
    <numFmt numFmtId="174" formatCode="0.0\x"/>
    <numFmt numFmtId="176" formatCode="0_);\(0\)"/>
    <numFmt numFmtId="178" formatCode="_(* #,##0_);_(* \(#,##0\);_(* &quot;-&quot;??_);_(@_)"/>
    <numFmt numFmtId="179" formatCode="#,##0.000"/>
    <numFmt numFmtId="180" formatCode="0.00;[Red]\(0.00\)"/>
    <numFmt numFmtId="183" formatCode="0.00000000000000"/>
    <numFmt numFmtId="184" formatCode="0.000000%"/>
    <numFmt numFmtId="186" formatCode="_(&quot;$&quot;* #,##0_);_(&quot;$&quot;* \(#,##0\);_(&quot;$&quot;* &quot;-&quot;??_);_(@_)"/>
    <numFmt numFmtId="187" formatCode="#,##0.0_);[Red]\(#,##0.0\)"/>
    <numFmt numFmtId="188" formatCode="&quot;$&quot;#,##0.000_);[Red]\(&quot;$&quot;#,##0.000\)"/>
    <numFmt numFmtId="193" formatCode="_(* #,##0.000_);_(* \(#,##0.000\);_(* &quot;-&quot;??_);_(@_)"/>
    <numFmt numFmtId="194" formatCode="0.0000"/>
    <numFmt numFmtId="199" formatCode="_(* #,##0.0000_);_(* \(#,##0.0000\);_(* &quot;-&quot;??_);_(@_)"/>
    <numFmt numFmtId="201" formatCode="&quot;$&quot;#,##0.0_);\(&quot;$&quot;#,##0.0\)"/>
    <numFmt numFmtId="203" formatCode="&quot;$&quot;#,##0.0_);[Red]\(&quot;$&quot;#,##0.0\)"/>
    <numFmt numFmtId="205" formatCode="_(&quot;$&quot;* #,##0.000_);_(&quot;$&quot;* \(#,##0.000\);_(&quot;$&quot;* &quot;-&quot;??_);_(@_)"/>
    <numFmt numFmtId="212" formatCode="mm/dd/yy\ hh:mm"/>
  </numFmts>
  <fonts count="112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1"/>
      <color indexed="9"/>
      <name val="GillSans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1"/>
      <name val="GillSans"/>
    </font>
    <font>
      <sz val="10"/>
      <name val="GillSans Light"/>
    </font>
    <font>
      <b/>
      <sz val="9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9"/>
      <color indexed="12"/>
      <name val="Arial"/>
      <family val="2"/>
    </font>
    <font>
      <i/>
      <sz val="9"/>
      <color indexed="10"/>
      <name val="Arial"/>
      <family val="2"/>
    </font>
    <font>
      <i/>
      <sz val="9"/>
      <color indexed="9"/>
      <name val="Arial"/>
      <family val="2"/>
    </font>
    <font>
      <b/>
      <sz val="9"/>
      <color indexed="12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b/>
      <i/>
      <sz val="9"/>
      <color indexed="10"/>
      <name val="Arial"/>
      <family val="2"/>
    </font>
    <font>
      <b/>
      <sz val="9"/>
      <color indexed="9"/>
      <name val="Arial"/>
      <family val="2"/>
    </font>
    <font>
      <b/>
      <i/>
      <sz val="9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sz val="8"/>
      <color indexed="12"/>
      <name val="Arial"/>
      <family val="2"/>
    </font>
    <font>
      <i/>
      <sz val="9"/>
      <color indexed="12"/>
      <name val="Arial"/>
      <family val="2"/>
    </font>
    <font>
      <i/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i/>
      <sz val="9"/>
      <color indexed="22"/>
      <name val="Arial"/>
      <family val="2"/>
    </font>
    <font>
      <sz val="9"/>
      <color indexed="22"/>
      <name val="Arial"/>
      <family val="2"/>
    </font>
    <font>
      <b/>
      <i/>
      <sz val="16"/>
      <color indexed="9"/>
      <name val="Arial"/>
      <family val="2"/>
    </font>
    <font>
      <u/>
      <sz val="8"/>
      <name val="Arial"/>
      <family val="2"/>
    </font>
    <font>
      <u/>
      <sz val="9"/>
      <name val="Arial"/>
      <family val="2"/>
    </font>
    <font>
      <b/>
      <u/>
      <sz val="9"/>
      <name val="Arial"/>
      <family val="2"/>
    </font>
    <font>
      <sz val="9"/>
      <color indexed="53"/>
      <name val="Arial"/>
      <family val="2"/>
    </font>
    <font>
      <sz val="9"/>
      <name val="Times New Roman"/>
      <family val="1"/>
    </font>
    <font>
      <sz val="9"/>
      <name val="Times New Roman"/>
      <family val="1"/>
    </font>
    <font>
      <i/>
      <sz val="9"/>
      <color indexed="61"/>
      <name val="Arial"/>
      <family val="2"/>
    </font>
    <font>
      <sz val="9"/>
      <color indexed="61"/>
      <name val="Arial"/>
      <family val="2"/>
    </font>
    <font>
      <i/>
      <sz val="9"/>
      <color indexed="20"/>
      <name val="Arial"/>
      <family val="2"/>
    </font>
    <font>
      <sz val="9"/>
      <color indexed="21"/>
      <name val="Arial"/>
      <family val="2"/>
    </font>
    <font>
      <sz val="10"/>
      <color indexed="9"/>
      <name val="Arial"/>
      <family val="2"/>
    </font>
    <font>
      <sz val="9"/>
      <color indexed="17"/>
      <name val="Arial"/>
      <family val="2"/>
    </font>
    <font>
      <sz val="10"/>
      <name val="Arial"/>
      <family val="2"/>
    </font>
    <font>
      <i/>
      <sz val="9"/>
      <color indexed="23"/>
      <name val="Arial"/>
      <family val="2"/>
    </font>
    <font>
      <sz val="11"/>
      <name val="??"/>
      <family val="3"/>
      <charset val="129"/>
    </font>
    <font>
      <sz val="6"/>
      <color indexed="12"/>
      <name val="Tms Rmn"/>
    </font>
    <font>
      <sz val="10"/>
      <name val="MS Sans Serif"/>
      <family val="2"/>
    </font>
    <font>
      <b/>
      <sz val="8"/>
      <name val="Times New Roman"/>
      <family val="1"/>
    </font>
    <font>
      <b/>
      <sz val="10"/>
      <color indexed="16"/>
      <name val="Times New Roman"/>
      <family val="1"/>
    </font>
    <font>
      <b/>
      <sz val="9"/>
      <name val="Times New Roman"/>
      <family val="1"/>
    </font>
    <font>
      <b/>
      <i/>
      <sz val="9"/>
      <name val="Times New Roman"/>
      <family val="1"/>
    </font>
    <font>
      <b/>
      <i/>
      <sz val="10"/>
      <color indexed="9"/>
      <name val="Arial"/>
      <family val="2"/>
    </font>
    <font>
      <b/>
      <i/>
      <sz val="11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0"/>
      <color indexed="8"/>
      <name val="Arial"/>
      <family val="2"/>
    </font>
    <font>
      <sz val="11"/>
      <name val="Arial"/>
      <family val="2"/>
    </font>
    <font>
      <b/>
      <i/>
      <sz val="9"/>
      <color indexed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8"/>
      <color indexed="18"/>
      <name val="Arial"/>
      <family val="2"/>
    </font>
    <font>
      <b/>
      <i/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i/>
      <sz val="8"/>
      <color indexed="12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i/>
      <sz val="9"/>
      <color theme="1"/>
      <name val="Arial"/>
      <family val="2"/>
    </font>
    <font>
      <b/>
      <sz val="9"/>
      <color rgb="FF0000FF"/>
      <name val="Arial"/>
      <family val="2"/>
    </font>
    <font>
      <sz val="9"/>
      <color rgb="FF0000FF"/>
      <name val="Arial"/>
      <family val="2"/>
    </font>
    <font>
      <sz val="9"/>
      <color rgb="FF0000E1"/>
      <name val="Arial"/>
      <family val="2"/>
    </font>
    <font>
      <sz val="9"/>
      <color theme="3"/>
      <name val="Arial"/>
      <family val="2"/>
    </font>
    <font>
      <b/>
      <sz val="9"/>
      <color rgb="FF0000E1"/>
      <name val="Arial"/>
      <family val="2"/>
    </font>
    <font>
      <i/>
      <sz val="9"/>
      <color rgb="FF0000E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i/>
      <sz val="10"/>
      <color rgb="FF0000E1"/>
      <name val="Arial"/>
      <family val="2"/>
    </font>
    <font>
      <i/>
      <sz val="9"/>
      <color theme="3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9"/>
      <color theme="4"/>
      <name val="Arial"/>
      <family val="2"/>
    </font>
    <font>
      <sz val="10"/>
      <color rgb="FF00B050"/>
      <name val="Arial"/>
      <family val="2"/>
    </font>
    <font>
      <i/>
      <sz val="9"/>
      <color theme="4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69">
    <xf numFmtId="0" fontId="0" fillId="0" borderId="0"/>
    <xf numFmtId="44" fontId="2" fillId="0" borderId="0" applyFont="0" applyFill="0" applyBorder="0" applyAlignment="0" applyProtection="0"/>
    <xf numFmtId="0" fontId="54" fillId="0" borderId="0"/>
    <xf numFmtId="0" fontId="29" fillId="0" borderId="0"/>
    <xf numFmtId="0" fontId="2" fillId="17" borderId="0" applyNumberFormat="0" applyFont="0" applyBorder="0" applyAlignment="0" applyProtection="0"/>
    <xf numFmtId="0" fontId="2" fillId="0" borderId="0"/>
    <xf numFmtId="0" fontId="58" fillId="0" borderId="0"/>
    <xf numFmtId="0" fontId="58" fillId="0" borderId="0"/>
    <xf numFmtId="0" fontId="71" fillId="2" borderId="0" applyNumberFormat="0" applyBorder="0" applyAlignment="0" applyProtection="0"/>
    <xf numFmtId="0" fontId="71" fillId="3" borderId="0" applyNumberFormat="0" applyBorder="0" applyAlignment="0" applyProtection="0"/>
    <xf numFmtId="0" fontId="71" fillId="4" borderId="0" applyNumberFormat="0" applyBorder="0" applyAlignment="0" applyProtection="0"/>
    <xf numFmtId="0" fontId="71" fillId="2" borderId="0" applyNumberFormat="0" applyBorder="0" applyAlignment="0" applyProtection="0"/>
    <xf numFmtId="0" fontId="71" fillId="5" borderId="0" applyNumberFormat="0" applyBorder="0" applyAlignment="0" applyProtection="0"/>
    <xf numFmtId="0" fontId="71" fillId="4" borderId="0" applyNumberFormat="0" applyBorder="0" applyAlignment="0" applyProtection="0"/>
    <xf numFmtId="0" fontId="71" fillId="6" borderId="0" applyNumberFormat="0" applyBorder="0" applyAlignment="0" applyProtection="0"/>
    <xf numFmtId="0" fontId="71" fillId="3" borderId="0" applyNumberFormat="0" applyBorder="0" applyAlignment="0" applyProtection="0"/>
    <xf numFmtId="0" fontId="71" fillId="4" borderId="0" applyNumberFormat="0" applyBorder="0" applyAlignment="0" applyProtection="0"/>
    <xf numFmtId="0" fontId="71" fillId="6" borderId="0" applyNumberFormat="0" applyBorder="0" applyAlignment="0" applyProtection="0"/>
    <xf numFmtId="0" fontId="71" fillId="7" borderId="0" applyNumberFormat="0" applyBorder="0" applyAlignment="0" applyProtection="0"/>
    <xf numFmtId="0" fontId="71" fillId="4" borderId="0" applyNumberFormat="0" applyBorder="0" applyAlignment="0" applyProtection="0"/>
    <xf numFmtId="0" fontId="72" fillId="8" borderId="0" applyNumberFormat="0" applyBorder="0" applyAlignment="0" applyProtection="0"/>
    <xf numFmtId="0" fontId="72" fillId="3" borderId="0" applyNumberFormat="0" applyBorder="0" applyAlignment="0" applyProtection="0"/>
    <xf numFmtId="0" fontId="72" fillId="9" borderId="0" applyNumberFormat="0" applyBorder="0" applyAlignment="0" applyProtection="0"/>
    <xf numFmtId="0" fontId="72" fillId="6" borderId="0" applyNumberFormat="0" applyBorder="0" applyAlignment="0" applyProtection="0"/>
    <xf numFmtId="0" fontId="72" fillId="8" borderId="0" applyNumberFormat="0" applyBorder="0" applyAlignment="0" applyProtection="0"/>
    <xf numFmtId="0" fontId="72" fillId="4" borderId="0" applyNumberFormat="0" applyBorder="0" applyAlignment="0" applyProtection="0"/>
    <xf numFmtId="0" fontId="72" fillId="8" borderId="0" applyNumberFormat="0" applyBorder="0" applyAlignment="0" applyProtection="0"/>
    <xf numFmtId="0" fontId="72" fillId="3" borderId="0" applyNumberFormat="0" applyBorder="0" applyAlignment="0" applyProtection="0"/>
    <xf numFmtId="0" fontId="72" fillId="9" borderId="0" applyNumberFormat="0" applyBorder="0" applyAlignment="0" applyProtection="0"/>
    <xf numFmtId="0" fontId="72" fillId="10" borderId="0" applyNumberFormat="0" applyBorder="0" applyAlignment="0" applyProtection="0"/>
    <xf numFmtId="0" fontId="72" fillId="8" borderId="0" applyNumberFormat="0" applyBorder="0" applyAlignment="0" applyProtection="0"/>
    <xf numFmtId="0" fontId="72" fillId="3" borderId="0" applyNumberFormat="0" applyBorder="0" applyAlignment="0" applyProtection="0"/>
    <xf numFmtId="0" fontId="73" fillId="11" borderId="0" applyNumberFormat="0" applyBorder="0" applyAlignment="0" applyProtection="0"/>
    <xf numFmtId="0" fontId="65" fillId="0" borderId="0"/>
    <xf numFmtId="0" fontId="74" fillId="12" borderId="5" applyNumberFormat="0" applyAlignment="0" applyProtection="0"/>
    <xf numFmtId="0" fontId="75" fillId="13" borderId="6" applyNumberFormat="0" applyAlignment="0" applyProtection="0"/>
    <xf numFmtId="43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4" borderId="0" applyNumberFormat="0" applyBorder="0" applyAlignment="0" applyProtection="0"/>
    <xf numFmtId="187" fontId="60" fillId="0" borderId="0"/>
    <xf numFmtId="187" fontId="61" fillId="0" borderId="0"/>
    <xf numFmtId="0" fontId="78" fillId="0" borderId="12" applyNumberFormat="0" applyFill="0" applyAlignment="0" applyProtection="0"/>
    <xf numFmtId="0" fontId="78" fillId="0" borderId="0" applyNumberFormat="0" applyFill="0" applyBorder="0" applyAlignment="0" applyProtection="0"/>
    <xf numFmtId="37" fontId="57" fillId="0" borderId="0" applyFill="0" applyBorder="0" applyAlignment="0" applyProtection="0"/>
    <xf numFmtId="0" fontId="11" fillId="0" borderId="0" applyNumberFormat="0" applyFill="0" applyBorder="0" applyProtection="0">
      <alignment horizontal="left" vertical="center"/>
    </xf>
    <xf numFmtId="0" fontId="79" fillId="0" borderId="13" applyNumberFormat="0" applyFill="0" applyAlignment="0" applyProtection="0"/>
    <xf numFmtId="0" fontId="80" fillId="4" borderId="0" applyNumberFormat="0" applyBorder="0" applyAlignment="0" applyProtection="0"/>
    <xf numFmtId="0" fontId="2" fillId="4" borderId="14" applyNumberFormat="0" applyFont="0" applyAlignment="0" applyProtection="0"/>
    <xf numFmtId="0" fontId="81" fillId="12" borderId="15" applyNumberFormat="0" applyAlignment="0" applyProtection="0"/>
    <xf numFmtId="0" fontId="46" fillId="0" borderId="0">
      <alignment vertical="center"/>
    </xf>
    <xf numFmtId="9" fontId="2" fillId="0" borderId="0" applyFont="0" applyFill="0" applyBorder="0" applyAlignment="0" applyProtection="0"/>
    <xf numFmtId="0" fontId="11" fillId="0" borderId="0" applyNumberFormat="0" applyFill="0" applyBorder="0" applyProtection="0">
      <alignment horizontal="right" vertical="center"/>
    </xf>
    <xf numFmtId="0" fontId="66" fillId="0" borderId="0"/>
    <xf numFmtId="0" fontId="66" fillId="0" borderId="17">
      <alignment horizontal="centerContinuous"/>
    </xf>
    <xf numFmtId="0" fontId="67" fillId="0" borderId="17"/>
    <xf numFmtId="0" fontId="2" fillId="0" borderId="0">
      <alignment vertical="top"/>
    </xf>
    <xf numFmtId="187" fontId="59" fillId="0" borderId="0" applyBorder="0"/>
    <xf numFmtId="0" fontId="5" fillId="18" borderId="0" applyNumberFormat="0" applyBorder="0" applyProtection="0">
      <alignment horizontal="left" vertical="center"/>
    </xf>
    <xf numFmtId="0" fontId="10" fillId="1" borderId="0" applyNumberFormat="0" applyBorder="0" applyProtection="0">
      <alignment horizontal="left" vertical="center"/>
    </xf>
    <xf numFmtId="0" fontId="56" fillId="0" borderId="18">
      <protection locked="0"/>
    </xf>
    <xf numFmtId="0" fontId="82" fillId="0" borderId="0" applyNumberFormat="0" applyFill="0" applyBorder="0" applyAlignment="0" applyProtection="0"/>
    <xf numFmtId="0" fontId="2" fillId="0" borderId="0"/>
    <xf numFmtId="0" fontId="2" fillId="17" borderId="0" applyNumberFormat="0" applyFont="0" applyBorder="0" applyAlignment="0" applyProtection="0"/>
    <xf numFmtId="0" fontId="1" fillId="0" borderId="0"/>
    <xf numFmtId="9" fontId="71" fillId="0" borderId="0" applyFont="0" applyFill="0" applyBorder="0" applyAlignment="0" applyProtection="0"/>
    <xf numFmtId="0" fontId="2" fillId="0" borderId="0"/>
    <xf numFmtId="43" fontId="71" fillId="0" borderId="0" applyFont="0" applyFill="0" applyBorder="0" applyAlignment="0" applyProtection="0"/>
    <xf numFmtId="0" fontId="109" fillId="0" borderId="0"/>
  </cellStyleXfs>
  <cellXfs count="2337">
    <xf numFmtId="0" fontId="0" fillId="0" borderId="0" xfId="0"/>
    <xf numFmtId="2" fontId="4" fillId="0" borderId="4" xfId="58" applyNumberFormat="1" applyFont="1" applyFill="1" applyBorder="1">
      <alignment horizontal="left" vertical="center"/>
    </xf>
    <xf numFmtId="0" fontId="7" fillId="0" borderId="4" xfId="58" applyFont="1" applyFill="1" applyBorder="1">
      <alignment horizontal="left" vertical="center"/>
    </xf>
    <xf numFmtId="0" fontId="6" fillId="0" borderId="4" xfId="58" applyFont="1" applyFill="1" applyBorder="1">
      <alignment horizontal="left" vertical="center"/>
    </xf>
    <xf numFmtId="0" fontId="6" fillId="0" borderId="0" xfId="58" applyFont="1" applyFill="1" applyBorder="1">
      <alignment horizontal="left" vertical="center"/>
    </xf>
    <xf numFmtId="2" fontId="4" fillId="0" borderId="2" xfId="58" applyNumberFormat="1" applyFont="1" applyFill="1" applyBorder="1">
      <alignment horizontal="left" vertical="center"/>
    </xf>
    <xf numFmtId="0" fontId="7" fillId="0" borderId="2" xfId="58" applyFont="1" applyFill="1" applyBorder="1">
      <alignment horizontal="left" vertical="center"/>
    </xf>
    <xf numFmtId="0" fontId="6" fillId="0" borderId="2" xfId="58" applyFont="1" applyFill="1" applyBorder="1">
      <alignment horizontal="left" vertical="center"/>
    </xf>
    <xf numFmtId="0" fontId="8" fillId="0" borderId="2" xfId="58" applyFont="1" applyFill="1" applyBorder="1">
      <alignment horizontal="left" vertical="center"/>
    </xf>
    <xf numFmtId="2" fontId="8" fillId="0" borderId="0" xfId="58" applyNumberFormat="1" applyFont="1" applyFill="1" applyBorder="1">
      <alignment horizontal="left" vertical="center"/>
    </xf>
    <xf numFmtId="0" fontId="7" fillId="0" borderId="0" xfId="58" applyFont="1" applyFill="1" applyBorder="1">
      <alignment horizontal="left" vertical="center"/>
    </xf>
    <xf numFmtId="0" fontId="9" fillId="19" borderId="0" xfId="59" quotePrefix="1" applyFont="1" applyFill="1">
      <alignment horizontal="left" vertical="center"/>
    </xf>
    <xf numFmtId="0" fontId="8" fillId="0" borderId="0" xfId="59" applyFont="1" applyFill="1" applyBorder="1">
      <alignment horizontal="left" vertical="center"/>
    </xf>
    <xf numFmtId="0" fontId="8" fillId="0" borderId="0" xfId="59" applyFont="1" applyFill="1">
      <alignment horizontal="left" vertical="center"/>
    </xf>
    <xf numFmtId="0" fontId="12" fillId="0" borderId="0" xfId="45" applyFont="1">
      <alignment horizontal="left" vertical="center"/>
    </xf>
    <xf numFmtId="0" fontId="12" fillId="0" borderId="2" xfId="52" applyNumberFormat="1" applyFont="1" applyFill="1" applyBorder="1" applyAlignment="1">
      <alignment horizontal="centerContinuous" vertical="center"/>
    </xf>
    <xf numFmtId="164" fontId="12" fillId="0" borderId="2" xfId="52" applyNumberFormat="1" applyFont="1" applyFill="1" applyBorder="1" applyAlignment="1">
      <alignment horizontal="centerContinuous" vertical="center"/>
    </xf>
    <xf numFmtId="164" fontId="12" fillId="0" borderId="2" xfId="52" quotePrefix="1" applyNumberFormat="1" applyFont="1" applyFill="1" applyBorder="1" applyAlignment="1">
      <alignment horizontal="centerContinuous" vertical="center"/>
    </xf>
    <xf numFmtId="164" fontId="12" fillId="0" borderId="0" xfId="52" applyNumberFormat="1" applyFont="1" applyFill="1" applyBorder="1">
      <alignment horizontal="right" vertical="center"/>
    </xf>
    <xf numFmtId="0" fontId="12" fillId="0" borderId="0" xfId="52" applyFont="1" applyFill="1" applyBorder="1">
      <alignment horizontal="right" vertical="center"/>
    </xf>
    <xf numFmtId="164" fontId="12" fillId="0" borderId="0" xfId="52" quotePrefix="1" applyNumberFormat="1" applyFont="1" applyFill="1" applyBorder="1" applyAlignment="1">
      <alignment horizontal="right" vertical="center"/>
    </xf>
    <xf numFmtId="165" fontId="12" fillId="0" borderId="0" xfId="52" applyNumberFormat="1" applyFont="1" applyFill="1" applyBorder="1">
      <alignment horizontal="right" vertical="center"/>
    </xf>
    <xf numFmtId="2" fontId="13" fillId="0" borderId="0" xfId="58" applyNumberFormat="1" applyFont="1" applyFill="1" applyBorder="1">
      <alignment horizontal="left" vertical="center"/>
    </xf>
    <xf numFmtId="0" fontId="14" fillId="0" borderId="0" xfId="58" applyFont="1" applyFill="1" applyBorder="1">
      <alignment horizontal="left" vertical="center"/>
    </xf>
    <xf numFmtId="0" fontId="15" fillId="0" borderId="0" xfId="58" applyFont="1" applyFill="1" applyBorder="1">
      <alignment horizontal="left" vertical="center"/>
    </xf>
    <xf numFmtId="164" fontId="13" fillId="0" borderId="0" xfId="45" applyNumberFormat="1" applyFont="1" applyFill="1">
      <alignment horizontal="left" vertical="center"/>
    </xf>
    <xf numFmtId="0" fontId="13" fillId="0" borderId="0" xfId="2" applyFont="1"/>
    <xf numFmtId="164" fontId="13" fillId="0" borderId="0" xfId="52" applyNumberFormat="1" applyFont="1" applyFill="1" applyBorder="1">
      <alignment horizontal="right" vertical="center"/>
    </xf>
    <xf numFmtId="164" fontId="16" fillId="0" borderId="0" xfId="45" applyNumberFormat="1" applyFont="1" applyFill="1">
      <alignment horizontal="left" vertical="center"/>
    </xf>
    <xf numFmtId="164" fontId="12" fillId="0" borderId="0" xfId="45" applyNumberFormat="1" applyFont="1" applyFill="1">
      <alignment horizontal="left" vertical="center"/>
    </xf>
    <xf numFmtId="0" fontId="12" fillId="0" borderId="0" xfId="2" applyFont="1"/>
    <xf numFmtId="164" fontId="17" fillId="0" borderId="0" xfId="45" applyNumberFormat="1" applyFont="1" applyFill="1">
      <alignment horizontal="left" vertical="center"/>
    </xf>
    <xf numFmtId="0" fontId="13" fillId="20" borderId="0" xfId="2" applyFont="1" applyFill="1"/>
    <xf numFmtId="0" fontId="12" fillId="20" borderId="0" xfId="2" applyFont="1" applyFill="1"/>
    <xf numFmtId="0" fontId="8" fillId="20" borderId="0" xfId="59" applyFont="1" applyFill="1" applyBorder="1">
      <alignment horizontal="left" vertical="center"/>
    </xf>
    <xf numFmtId="166" fontId="13" fillId="0" borderId="0" xfId="2" applyNumberFormat="1" applyFont="1"/>
    <xf numFmtId="2" fontId="13" fillId="0" borderId="0" xfId="2" applyNumberFormat="1" applyFont="1"/>
    <xf numFmtId="2" fontId="13" fillId="0" borderId="0" xfId="45" applyNumberFormat="1" applyFont="1" applyFill="1">
      <alignment horizontal="left" vertical="center"/>
    </xf>
    <xf numFmtId="9" fontId="13" fillId="0" borderId="0" xfId="51" applyFont="1"/>
    <xf numFmtId="164" fontId="17" fillId="0" borderId="0" xfId="52" applyNumberFormat="1" applyFont="1" applyFill="1" applyBorder="1">
      <alignment horizontal="right" vertical="center"/>
    </xf>
    <xf numFmtId="166" fontId="13" fillId="0" borderId="0" xfId="2" applyNumberFormat="1" applyFont="1" applyAlignment="1">
      <alignment horizontal="right"/>
    </xf>
    <xf numFmtId="1" fontId="13" fillId="0" borderId="0" xfId="45" applyNumberFormat="1" applyFont="1" applyFill="1">
      <alignment horizontal="left" vertical="center"/>
    </xf>
    <xf numFmtId="1" fontId="13" fillId="20" borderId="0" xfId="2" applyNumberFormat="1" applyFont="1" applyFill="1"/>
    <xf numFmtId="1" fontId="13" fillId="0" borderId="0" xfId="2" applyNumberFormat="1" applyFont="1" applyAlignment="1">
      <alignment horizontal="right"/>
    </xf>
    <xf numFmtId="1" fontId="13" fillId="0" borderId="0" xfId="2" applyNumberFormat="1" applyFont="1"/>
    <xf numFmtId="1" fontId="13" fillId="0" borderId="0" xfId="52" applyNumberFormat="1" applyFont="1" applyFill="1" applyBorder="1">
      <alignment horizontal="right" vertical="center"/>
    </xf>
    <xf numFmtId="164" fontId="16" fillId="0" borderId="0" xfId="52" applyNumberFormat="1" applyFont="1" applyFill="1" applyBorder="1">
      <alignment horizontal="right" vertical="center"/>
    </xf>
    <xf numFmtId="2" fontId="16" fillId="0" borderId="0" xfId="58" applyNumberFormat="1" applyFont="1" applyFill="1" applyBorder="1">
      <alignment horizontal="left" vertical="center"/>
    </xf>
    <xf numFmtId="0" fontId="19" fillId="0" borderId="0" xfId="58" applyFont="1" applyFill="1" applyBorder="1">
      <alignment horizontal="left" vertical="center"/>
    </xf>
    <xf numFmtId="0" fontId="20" fillId="0" borderId="0" xfId="58" applyFont="1" applyFill="1" applyBorder="1">
      <alignment horizontal="left" vertical="center"/>
    </xf>
    <xf numFmtId="1" fontId="12" fillId="20" borderId="0" xfId="45" applyNumberFormat="1" applyFont="1" applyFill="1">
      <alignment horizontal="left" vertical="center"/>
    </xf>
    <xf numFmtId="1" fontId="12" fillId="20" borderId="0" xfId="2" applyNumberFormat="1" applyFont="1" applyFill="1"/>
    <xf numFmtId="0" fontId="12" fillId="0" borderId="0" xfId="2" applyFont="1" applyFill="1"/>
    <xf numFmtId="164" fontId="15" fillId="0" borderId="0" xfId="52" applyNumberFormat="1" applyFont="1" applyFill="1" applyBorder="1">
      <alignment horizontal="right" vertical="center"/>
    </xf>
    <xf numFmtId="164" fontId="13" fillId="0" borderId="23" xfId="45" applyNumberFormat="1" applyFont="1" applyFill="1" applyBorder="1">
      <alignment horizontal="left" vertical="center"/>
    </xf>
    <xf numFmtId="164" fontId="13" fillId="0" borderId="25" xfId="45" applyNumberFormat="1" applyFont="1" applyFill="1" applyBorder="1">
      <alignment horizontal="left" vertical="center"/>
    </xf>
    <xf numFmtId="0" fontId="17" fillId="0" borderId="0" xfId="2" applyFont="1" applyFill="1"/>
    <xf numFmtId="0" fontId="12" fillId="0" borderId="0" xfId="2" applyFont="1" applyBorder="1"/>
    <xf numFmtId="9" fontId="13" fillId="0" borderId="0" xfId="2" applyNumberFormat="1" applyFont="1"/>
    <xf numFmtId="9" fontId="13" fillId="0" borderId="0" xfId="51" applyFont="1" applyBorder="1"/>
    <xf numFmtId="1" fontId="17" fillId="0" borderId="0" xfId="45" applyNumberFormat="1" applyFont="1" applyFill="1">
      <alignment horizontal="left" vertical="center"/>
    </xf>
    <xf numFmtId="1" fontId="13" fillId="0" borderId="0" xfId="2" applyNumberFormat="1" applyFont="1" applyFill="1"/>
    <xf numFmtId="1" fontId="13" fillId="0" borderId="0" xfId="2" applyNumberFormat="1" applyFont="1" applyFill="1" applyAlignment="1">
      <alignment horizontal="right"/>
    </xf>
    <xf numFmtId="1" fontId="18" fillId="0" borderId="0" xfId="2" applyNumberFormat="1" applyFont="1" applyFill="1"/>
    <xf numFmtId="1" fontId="12" fillId="0" borderId="0" xfId="2" applyNumberFormat="1" applyFont="1" applyFill="1"/>
    <xf numFmtId="1" fontId="17" fillId="0" borderId="0" xfId="2" applyNumberFormat="1" applyFont="1" applyFill="1"/>
    <xf numFmtId="9" fontId="17" fillId="0" borderId="0" xfId="51" applyFont="1" applyFill="1" applyAlignment="1">
      <alignment horizontal="right"/>
    </xf>
    <xf numFmtId="166" fontId="17" fillId="0" borderId="0" xfId="2" applyNumberFormat="1" applyFont="1" applyFill="1"/>
    <xf numFmtId="9" fontId="26" fillId="0" borderId="0" xfId="51" applyFont="1" applyFill="1" applyAlignment="1">
      <alignment horizontal="right"/>
    </xf>
    <xf numFmtId="0" fontId="16" fillId="0" borderId="0" xfId="2" applyFont="1" applyFill="1"/>
    <xf numFmtId="166" fontId="16" fillId="0" borderId="0" xfId="2" applyNumberFormat="1" applyFont="1" applyFill="1" applyAlignment="1">
      <alignment horizontal="right"/>
    </xf>
    <xf numFmtId="166" fontId="16" fillId="0" borderId="0" xfId="2" applyNumberFormat="1" applyFont="1" applyFill="1"/>
    <xf numFmtId="9" fontId="16" fillId="0" borderId="0" xfId="51" applyFont="1" applyFill="1"/>
    <xf numFmtId="1" fontId="17" fillId="0" borderId="0" xfId="2" applyNumberFormat="1" applyFont="1"/>
    <xf numFmtId="1" fontId="17" fillId="0" borderId="0" xfId="52" applyNumberFormat="1" applyFont="1" applyFill="1" applyBorder="1">
      <alignment horizontal="right" vertical="center"/>
    </xf>
    <xf numFmtId="1" fontId="13" fillId="0" borderId="0" xfId="58" applyNumberFormat="1" applyFont="1" applyFill="1" applyBorder="1">
      <alignment horizontal="left" vertical="center"/>
    </xf>
    <xf numFmtId="1" fontId="14" fillId="0" borderId="0" xfId="58" applyNumberFormat="1" applyFont="1" applyFill="1" applyBorder="1">
      <alignment horizontal="left" vertical="center"/>
    </xf>
    <xf numFmtId="1" fontId="15" fillId="0" borderId="0" xfId="58" applyNumberFormat="1" applyFont="1" applyFill="1" applyBorder="1">
      <alignment horizontal="left" vertical="center"/>
    </xf>
    <xf numFmtId="1" fontId="12" fillId="0" borderId="0" xfId="45" applyNumberFormat="1" applyFont="1" applyFill="1">
      <alignment horizontal="left" vertical="center"/>
    </xf>
    <xf numFmtId="1" fontId="12" fillId="0" borderId="0" xfId="2" applyNumberFormat="1" applyFont="1" applyAlignment="1">
      <alignment horizontal="right"/>
    </xf>
    <xf numFmtId="1" fontId="12" fillId="0" borderId="0" xfId="2" applyNumberFormat="1" applyFont="1"/>
    <xf numFmtId="1" fontId="12" fillId="0" borderId="0" xfId="52" applyNumberFormat="1" applyFont="1" applyFill="1" applyBorder="1">
      <alignment horizontal="right" vertical="center"/>
    </xf>
    <xf numFmtId="1" fontId="16" fillId="0" borderId="0" xfId="45" applyNumberFormat="1" applyFont="1" applyFill="1">
      <alignment horizontal="left" vertical="center"/>
    </xf>
    <xf numFmtId="0" fontId="13" fillId="0" borderId="0" xfId="2" applyFont="1" applyAlignment="1">
      <alignment horizontal="right"/>
    </xf>
    <xf numFmtId="9" fontId="13" fillId="0" borderId="0" xfId="51" applyFont="1" applyAlignment="1">
      <alignment horizontal="right"/>
    </xf>
    <xf numFmtId="164" fontId="13" fillId="0" borderId="0" xfId="2" applyNumberFormat="1" applyFont="1" applyAlignment="1">
      <alignment horizontal="right"/>
    </xf>
    <xf numFmtId="1" fontId="6" fillId="0" borderId="4" xfId="58" applyNumberFormat="1" applyFont="1" applyFill="1" applyBorder="1">
      <alignment horizontal="left" vertical="center"/>
    </xf>
    <xf numFmtId="1" fontId="7" fillId="0" borderId="2" xfId="58" applyNumberFormat="1" applyFont="1" applyFill="1" applyBorder="1">
      <alignment horizontal="left" vertical="center"/>
    </xf>
    <xf numFmtId="1" fontId="6" fillId="0" borderId="0" xfId="58" applyNumberFormat="1" applyFont="1" applyFill="1" applyBorder="1">
      <alignment horizontal="left" vertical="center"/>
    </xf>
    <xf numFmtId="1" fontId="8" fillId="0" borderId="0" xfId="59" applyNumberFormat="1" applyFont="1" applyFill="1" applyBorder="1">
      <alignment horizontal="left" vertical="center"/>
    </xf>
    <xf numFmtId="0" fontId="13" fillId="0" borderId="0" xfId="2" applyFont="1" applyFill="1"/>
    <xf numFmtId="1" fontId="13" fillId="0" borderId="0" xfId="2" applyNumberFormat="1" applyFont="1" applyBorder="1"/>
    <xf numFmtId="1" fontId="13" fillId="0" borderId="0" xfId="2" applyNumberFormat="1" applyFont="1" applyBorder="1" applyAlignment="1">
      <alignment horizontal="right"/>
    </xf>
    <xf numFmtId="1" fontId="13" fillId="15" borderId="0" xfId="2" applyNumberFormat="1" applyFont="1" applyFill="1"/>
    <xf numFmtId="1" fontId="13" fillId="15" borderId="0" xfId="2" applyNumberFormat="1" applyFont="1" applyFill="1" applyAlignment="1">
      <alignment horizontal="right"/>
    </xf>
    <xf numFmtId="1" fontId="13" fillId="15" borderId="0" xfId="2" applyNumberFormat="1" applyFont="1" applyFill="1" applyBorder="1" applyAlignment="1">
      <alignment horizontal="right"/>
    </xf>
    <xf numFmtId="1" fontId="17" fillId="0" borderId="0" xfId="2" applyNumberFormat="1" applyFont="1" applyAlignment="1">
      <alignment horizontal="right"/>
    </xf>
    <xf numFmtId="0" fontId="13" fillId="15" borderId="0" xfId="2" applyFont="1" applyFill="1"/>
    <xf numFmtId="0" fontId="12" fillId="15" borderId="0" xfId="2" applyFont="1" applyFill="1" applyBorder="1"/>
    <xf numFmtId="0" fontId="13" fillId="15" borderId="0" xfId="2" applyFont="1" applyFill="1" applyBorder="1"/>
    <xf numFmtId="2" fontId="13" fillId="15" borderId="0" xfId="58" applyNumberFormat="1" applyFont="1" applyFill="1" applyBorder="1">
      <alignment horizontal="left" vertical="center"/>
    </xf>
    <xf numFmtId="0" fontId="14" fillId="15" borderId="0" xfId="58" applyFont="1" applyFill="1" applyBorder="1">
      <alignment horizontal="left" vertical="center"/>
    </xf>
    <xf numFmtId="0" fontId="15" fillId="15" borderId="0" xfId="58" applyFont="1" applyFill="1" applyBorder="1">
      <alignment horizontal="left" vertical="center"/>
    </xf>
    <xf numFmtId="0" fontId="13" fillId="15" borderId="0" xfId="2" applyFont="1" applyFill="1" applyAlignment="1">
      <alignment horizontal="right"/>
    </xf>
    <xf numFmtId="0" fontId="13" fillId="0" borderId="0" xfId="2" applyFont="1" applyFill="1" applyAlignment="1">
      <alignment horizontal="right"/>
    </xf>
    <xf numFmtId="0" fontId="12" fillId="15" borderId="0" xfId="2" applyFont="1" applyFill="1"/>
    <xf numFmtId="9" fontId="13" fillId="15" borderId="0" xfId="51" applyFont="1" applyFill="1" applyAlignment="1">
      <alignment horizontal="right"/>
    </xf>
    <xf numFmtId="0" fontId="22" fillId="0" borderId="0" xfId="59" applyFont="1" applyFill="1" applyBorder="1" applyAlignment="1">
      <alignment horizontal="right" vertical="center"/>
    </xf>
    <xf numFmtId="2" fontId="13" fillId="0" borderId="0" xfId="2" applyNumberFormat="1" applyFont="1" applyFill="1"/>
    <xf numFmtId="2" fontId="13" fillId="0" borderId="0" xfId="2" applyNumberFormat="1" applyFont="1" applyFill="1" applyAlignment="1">
      <alignment horizontal="right"/>
    </xf>
    <xf numFmtId="3" fontId="13" fillId="0" borderId="0" xfId="2" applyNumberFormat="1" applyFont="1" applyFill="1"/>
    <xf numFmtId="0" fontId="13" fillId="0" borderId="2" xfId="2" applyFont="1" applyFill="1" applyBorder="1"/>
    <xf numFmtId="166" fontId="13" fillId="0" borderId="0" xfId="2" applyNumberFormat="1" applyFont="1" applyFill="1"/>
    <xf numFmtId="0" fontId="13" fillId="0" borderId="0" xfId="2" applyFont="1" applyFill="1" applyBorder="1"/>
    <xf numFmtId="0" fontId="12" fillId="0" borderId="0" xfId="2" applyFont="1" applyFill="1" applyBorder="1"/>
    <xf numFmtId="9" fontId="16" fillId="0" borderId="0" xfId="51" applyNumberFormat="1" applyFont="1" applyFill="1"/>
    <xf numFmtId="9" fontId="13" fillId="0" borderId="0" xfId="51" applyFont="1" applyFill="1" applyAlignment="1">
      <alignment horizontal="right"/>
    </xf>
    <xf numFmtId="1" fontId="12" fillId="0" borderId="0" xfId="2" applyNumberFormat="1" applyFont="1" applyFill="1" applyBorder="1"/>
    <xf numFmtId="1" fontId="12" fillId="15" borderId="0" xfId="2" applyNumberFormat="1" applyFont="1" applyFill="1"/>
    <xf numFmtId="1" fontId="12" fillId="15" borderId="0" xfId="2" applyNumberFormat="1" applyFont="1" applyFill="1" applyAlignment="1">
      <alignment horizontal="right"/>
    </xf>
    <xf numFmtId="2" fontId="7" fillId="0" borderId="2" xfId="58" applyNumberFormat="1" applyFont="1" applyFill="1" applyBorder="1">
      <alignment horizontal="left" vertical="center"/>
    </xf>
    <xf numFmtId="1" fontId="16" fillId="0" borderId="0" xfId="2" applyNumberFormat="1" applyFont="1" applyFill="1"/>
    <xf numFmtId="1" fontId="6" fillId="0" borderId="2" xfId="58" applyNumberFormat="1" applyFont="1" applyFill="1" applyBorder="1">
      <alignment horizontal="left" vertical="center"/>
    </xf>
    <xf numFmtId="1" fontId="20" fillId="0" borderId="0" xfId="58" applyNumberFormat="1" applyFont="1" applyFill="1" applyBorder="1">
      <alignment horizontal="left" vertical="center"/>
    </xf>
    <xf numFmtId="168" fontId="13" fillId="0" borderId="0" xfId="51" applyNumberFormat="1" applyFont="1"/>
    <xf numFmtId="0" fontId="16" fillId="0" borderId="0" xfId="58" applyFont="1" applyFill="1" applyBorder="1" applyAlignment="1">
      <alignment horizontal="right" vertical="center"/>
    </xf>
    <xf numFmtId="0" fontId="16" fillId="0" borderId="0" xfId="58" applyFont="1" applyFill="1" applyBorder="1">
      <alignment horizontal="left" vertical="center"/>
    </xf>
    <xf numFmtId="1" fontId="16" fillId="0" borderId="0" xfId="58" applyNumberFormat="1" applyFont="1" applyFill="1" applyBorder="1">
      <alignment horizontal="left" vertical="center"/>
    </xf>
    <xf numFmtId="164" fontId="13" fillId="0" borderId="0" xfId="2" applyNumberFormat="1" applyFont="1"/>
    <xf numFmtId="164" fontId="16" fillId="0" borderId="0" xfId="58" applyNumberFormat="1" applyFont="1" applyFill="1" applyBorder="1" applyAlignment="1">
      <alignment horizontal="right" vertical="center"/>
    </xf>
    <xf numFmtId="1" fontId="16" fillId="0" borderId="0" xfId="58" applyNumberFormat="1" applyFont="1" applyFill="1" applyBorder="1" applyAlignment="1">
      <alignment horizontal="right" vertical="center"/>
    </xf>
    <xf numFmtId="2" fontId="12" fillId="15" borderId="0" xfId="58" applyNumberFormat="1" applyFont="1" applyFill="1" applyBorder="1">
      <alignment horizontal="left" vertical="center"/>
    </xf>
    <xf numFmtId="0" fontId="35" fillId="0" borderId="0" xfId="58" applyFont="1" applyFill="1" applyBorder="1">
      <alignment horizontal="left" vertical="center"/>
    </xf>
    <xf numFmtId="1" fontId="35" fillId="0" borderId="0" xfId="58" applyNumberFormat="1" applyFont="1" applyFill="1" applyBorder="1" applyAlignment="1">
      <alignment horizontal="right" vertical="center"/>
    </xf>
    <xf numFmtId="1" fontId="12" fillId="0" borderId="20" xfId="45" applyNumberFormat="1" applyFont="1" applyFill="1" applyBorder="1">
      <alignment horizontal="left" vertical="center"/>
    </xf>
    <xf numFmtId="1" fontId="12" fillId="0" borderId="28" xfId="45" applyNumberFormat="1" applyFont="1" applyFill="1" applyBorder="1">
      <alignment horizontal="left" vertical="center"/>
    </xf>
    <xf numFmtId="1" fontId="12" fillId="0" borderId="11" xfId="2" applyNumberFormat="1" applyFont="1" applyBorder="1"/>
    <xf numFmtId="1" fontId="22" fillId="0" borderId="0" xfId="2" applyNumberFormat="1" applyFont="1"/>
    <xf numFmtId="0" fontId="13" fillId="0" borderId="0" xfId="2" applyFont="1" applyBorder="1"/>
    <xf numFmtId="0" fontId="13" fillId="0" borderId="2" xfId="2" applyFont="1" applyBorder="1"/>
    <xf numFmtId="9" fontId="13" fillId="0" borderId="0" xfId="51" applyFont="1" applyBorder="1" applyAlignment="1">
      <alignment horizontal="right"/>
    </xf>
    <xf numFmtId="0" fontId="13" fillId="0" borderId="0" xfId="58" applyFont="1" applyFill="1" applyBorder="1" applyAlignment="1">
      <alignment horizontal="right" vertical="center"/>
    </xf>
    <xf numFmtId="1" fontId="13" fillId="0" borderId="0" xfId="58" applyNumberFormat="1" applyFont="1" applyFill="1" applyBorder="1" applyAlignment="1">
      <alignment horizontal="right" vertical="center"/>
    </xf>
    <xf numFmtId="2" fontId="16" fillId="15" borderId="0" xfId="58" applyNumberFormat="1" applyFont="1" applyFill="1" applyBorder="1">
      <alignment horizontal="left" vertical="center"/>
    </xf>
    <xf numFmtId="9" fontId="35" fillId="0" borderId="0" xfId="51" applyFont="1" applyFill="1" applyBorder="1" applyAlignment="1">
      <alignment horizontal="right" vertical="center"/>
    </xf>
    <xf numFmtId="7" fontId="35" fillId="0" borderId="0" xfId="37" applyFont="1" applyFill="1" applyBorder="1" applyAlignment="1">
      <alignment horizontal="right" vertical="center"/>
    </xf>
    <xf numFmtId="2" fontId="13" fillId="15" borderId="19" xfId="58" applyNumberFormat="1" applyFont="1" applyFill="1" applyBorder="1">
      <alignment horizontal="left" vertical="center"/>
    </xf>
    <xf numFmtId="0" fontId="13" fillId="0" borderId="0" xfId="58" applyFont="1" applyFill="1" applyBorder="1">
      <alignment horizontal="left" vertical="center"/>
    </xf>
    <xf numFmtId="0" fontId="13" fillId="15" borderId="0" xfId="2" applyFont="1" applyFill="1" applyBorder="1" applyAlignment="1">
      <alignment horizontal="right"/>
    </xf>
    <xf numFmtId="9" fontId="12" fillId="15" borderId="0" xfId="51" applyFont="1" applyFill="1" applyBorder="1"/>
    <xf numFmtId="2" fontId="13" fillId="0" borderId="0" xfId="2" applyNumberFormat="1" applyFont="1" applyBorder="1"/>
    <xf numFmtId="167" fontId="12" fillId="0" borderId="0" xfId="2" applyNumberFormat="1" applyFont="1"/>
    <xf numFmtId="167" fontId="22" fillId="0" borderId="0" xfId="2" applyNumberFormat="1" applyFont="1"/>
    <xf numFmtId="2" fontId="12" fillId="0" borderId="0" xfId="58" applyNumberFormat="1" applyFont="1" applyFill="1" applyBorder="1" applyAlignment="1">
      <alignment horizontal="left" vertical="center"/>
    </xf>
    <xf numFmtId="1" fontId="35" fillId="0" borderId="0" xfId="58" applyNumberFormat="1" applyFont="1" applyFill="1" applyBorder="1">
      <alignment horizontal="left" vertical="center"/>
    </xf>
    <xf numFmtId="168" fontId="39" fillId="0" borderId="0" xfId="51" applyNumberFormat="1" applyFont="1" applyFill="1" applyBorder="1" applyAlignment="1">
      <alignment horizontal="right" vertical="center"/>
    </xf>
    <xf numFmtId="0" fontId="39" fillId="0" borderId="0" xfId="58" applyFont="1" applyFill="1" applyBorder="1">
      <alignment horizontal="left" vertical="center"/>
    </xf>
    <xf numFmtId="164" fontId="12" fillId="20" borderId="0" xfId="2" applyNumberFormat="1" applyFont="1" applyFill="1"/>
    <xf numFmtId="1" fontId="22" fillId="0" borderId="0" xfId="2" applyNumberFormat="1" applyFont="1" applyFill="1"/>
    <xf numFmtId="9" fontId="13" fillId="0" borderId="0" xfId="51" applyFont="1" applyFill="1"/>
    <xf numFmtId="164" fontId="16" fillId="0" borderId="0" xfId="58" applyNumberFormat="1" applyFont="1" applyFill="1" applyBorder="1">
      <alignment horizontal="left" vertical="center"/>
    </xf>
    <xf numFmtId="0" fontId="6" fillId="0" borderId="4" xfId="58" applyFont="1" applyFill="1" applyBorder="1" applyAlignment="1">
      <alignment horizontal="right" vertical="center"/>
    </xf>
    <xf numFmtId="0" fontId="7" fillId="0" borderId="2" xfId="58" applyFont="1" applyFill="1" applyBorder="1" applyAlignment="1">
      <alignment horizontal="right" vertical="center"/>
    </xf>
    <xf numFmtId="0" fontId="8" fillId="0" borderId="0" xfId="59" applyFont="1" applyFill="1" applyAlignment="1">
      <alignment horizontal="right" vertical="center"/>
    </xf>
    <xf numFmtId="0" fontId="15" fillId="0" borderId="0" xfId="58" applyFont="1" applyFill="1" applyBorder="1" applyAlignment="1">
      <alignment horizontal="right" vertical="center"/>
    </xf>
    <xf numFmtId="167" fontId="12" fillId="0" borderId="0" xfId="2" applyNumberFormat="1" applyFont="1" applyAlignment="1">
      <alignment horizontal="right"/>
    </xf>
    <xf numFmtId="2" fontId="7" fillId="0" borderId="2" xfId="58" applyNumberFormat="1" applyFont="1" applyFill="1" applyBorder="1" applyAlignment="1">
      <alignment horizontal="right" vertical="center"/>
    </xf>
    <xf numFmtId="0" fontId="20" fillId="0" borderId="0" xfId="58" applyFont="1" applyFill="1" applyBorder="1" applyAlignment="1">
      <alignment horizontal="right" vertical="center"/>
    </xf>
    <xf numFmtId="164" fontId="13" fillId="0" borderId="0" xfId="2" applyNumberFormat="1" applyFont="1" applyFill="1"/>
    <xf numFmtId="164" fontId="15" fillId="0" borderId="0" xfId="58" applyNumberFormat="1" applyFont="1" applyFill="1" applyBorder="1">
      <alignment horizontal="left" vertical="center"/>
    </xf>
    <xf numFmtId="0" fontId="40" fillId="0" borderId="0" xfId="58" applyFont="1" applyFill="1" applyBorder="1" applyAlignment="1">
      <alignment horizontal="center" vertical="center"/>
    </xf>
    <xf numFmtId="2" fontId="4" fillId="0" borderId="0" xfId="58" applyNumberFormat="1" applyFont="1" applyFill="1" applyBorder="1">
      <alignment horizontal="left" vertical="center"/>
    </xf>
    <xf numFmtId="1" fontId="7" fillId="0" borderId="0" xfId="58" applyNumberFormat="1" applyFont="1" applyFill="1" applyBorder="1">
      <alignment horizontal="left" vertical="center"/>
    </xf>
    <xf numFmtId="2" fontId="7" fillId="0" borderId="0" xfId="58" applyNumberFormat="1" applyFont="1" applyFill="1" applyBorder="1">
      <alignment horizontal="left" vertical="center"/>
    </xf>
    <xf numFmtId="2" fontId="7" fillId="0" borderId="0" xfId="58" applyNumberFormat="1" applyFont="1" applyFill="1" applyBorder="1" applyAlignment="1">
      <alignment horizontal="right" vertical="center"/>
    </xf>
    <xf numFmtId="164" fontId="13" fillId="0" borderId="0" xfId="58" applyNumberFormat="1" applyFont="1" applyFill="1" applyBorder="1" applyAlignment="1">
      <alignment horizontal="right" vertical="center"/>
    </xf>
    <xf numFmtId="0" fontId="13" fillId="21" borderId="0" xfId="2" applyFont="1" applyFill="1"/>
    <xf numFmtId="9" fontId="35" fillId="0" borderId="0" xfId="51" applyFont="1" applyFill="1"/>
    <xf numFmtId="1" fontId="41" fillId="22" borderId="0" xfId="45" applyNumberFormat="1" applyFont="1" applyFill="1">
      <alignment horizontal="left" vertical="center"/>
    </xf>
    <xf numFmtId="0" fontId="13" fillId="0" borderId="0" xfId="2" quotePrefix="1" applyFont="1" applyFill="1"/>
    <xf numFmtId="0" fontId="16" fillId="0" borderId="0" xfId="2" quotePrefix="1" applyFont="1" applyFill="1"/>
    <xf numFmtId="9" fontId="16" fillId="0" borderId="0" xfId="51" applyFont="1" applyAlignment="1">
      <alignment horizontal="right"/>
    </xf>
    <xf numFmtId="171" fontId="13" fillId="0" borderId="0" xfId="2" applyNumberFormat="1" applyFont="1"/>
    <xf numFmtId="0" fontId="13" fillId="0" borderId="1" xfId="2" applyFont="1" applyFill="1" applyBorder="1"/>
    <xf numFmtId="0" fontId="12" fillId="21" borderId="0" xfId="2" applyFont="1" applyFill="1" applyAlignment="1">
      <alignment vertical="top" wrapText="1"/>
    </xf>
    <xf numFmtId="0" fontId="13" fillId="0" borderId="0" xfId="2" applyFont="1" applyAlignment="1">
      <alignment vertical="top" wrapText="1"/>
    </xf>
    <xf numFmtId="0" fontId="13" fillId="21" borderId="0" xfId="2" applyFont="1" applyFill="1" applyAlignment="1">
      <alignment vertical="top" wrapText="1"/>
    </xf>
    <xf numFmtId="10" fontId="13" fillId="0" borderId="0" xfId="2" applyNumberFormat="1" applyFont="1"/>
    <xf numFmtId="10" fontId="13" fillId="0" borderId="0" xfId="2" applyNumberFormat="1" applyFont="1" applyAlignment="1">
      <alignment horizontal="right"/>
    </xf>
    <xf numFmtId="0" fontId="12" fillId="0" borderId="8" xfId="2" applyFont="1" applyBorder="1" applyAlignment="1">
      <alignment vertical="top"/>
    </xf>
    <xf numFmtId="0" fontId="13" fillId="0" borderId="4" xfId="2" applyFont="1" applyFill="1" applyBorder="1"/>
    <xf numFmtId="0" fontId="13" fillId="0" borderId="29" xfId="2" applyFont="1" applyBorder="1" applyAlignment="1">
      <alignment vertical="top"/>
    </xf>
    <xf numFmtId="0" fontId="13" fillId="0" borderId="0" xfId="2" applyFont="1" applyBorder="1" applyAlignment="1">
      <alignment vertical="top"/>
    </xf>
    <xf numFmtId="0" fontId="12" fillId="0" borderId="0" xfId="2" applyFont="1" applyAlignment="1">
      <alignment vertical="top" wrapText="1"/>
    </xf>
    <xf numFmtId="164" fontId="12" fillId="0" borderId="0" xfId="2" applyNumberFormat="1" applyFont="1" applyFill="1"/>
    <xf numFmtId="0" fontId="9" fillId="19" borderId="0" xfId="59" quotePrefix="1" applyFont="1" applyFill="1" applyAlignment="1">
      <alignment vertical="center"/>
    </xf>
    <xf numFmtId="0" fontId="12" fillId="0" borderId="0" xfId="45" applyFont="1" applyAlignment="1">
      <alignment vertical="center"/>
    </xf>
    <xf numFmtId="2" fontId="13" fillId="0" borderId="0" xfId="58" applyNumberFormat="1" applyFont="1" applyFill="1" applyBorder="1" applyAlignment="1">
      <alignment vertical="center"/>
    </xf>
    <xf numFmtId="0" fontId="12" fillId="20" borderId="0" xfId="2" applyFont="1" applyFill="1" applyAlignment="1"/>
    <xf numFmtId="0" fontId="13" fillId="0" borderId="0" xfId="2" applyFont="1" applyFill="1" applyAlignment="1"/>
    <xf numFmtId="0" fontId="12" fillId="15" borderId="0" xfId="2" applyFont="1" applyFill="1" applyAlignment="1"/>
    <xf numFmtId="0" fontId="13" fillId="15" borderId="0" xfId="2" applyFont="1" applyFill="1" applyAlignment="1"/>
    <xf numFmtId="0" fontId="13" fillId="0" borderId="0" xfId="2" applyFont="1" applyAlignment="1"/>
    <xf numFmtId="0" fontId="12" fillId="0" borderId="0" xfId="2" applyFont="1" applyAlignment="1"/>
    <xf numFmtId="0" fontId="43" fillId="0" borderId="0" xfId="2" applyFont="1" applyAlignment="1"/>
    <xf numFmtId="0" fontId="44" fillId="0" borderId="0" xfId="2" applyFont="1" applyAlignment="1"/>
    <xf numFmtId="1" fontId="7" fillId="0" borderId="2" xfId="58" applyNumberFormat="1" applyFont="1" applyFill="1" applyBorder="1" applyAlignment="1">
      <alignment horizontal="right" vertical="center"/>
    </xf>
    <xf numFmtId="1" fontId="7" fillId="0" borderId="0" xfId="58" applyNumberFormat="1" applyFont="1" applyFill="1" applyBorder="1" applyAlignment="1">
      <alignment horizontal="right" vertical="center"/>
    </xf>
    <xf numFmtId="164" fontId="13" fillId="0" borderId="0" xfId="2" applyNumberFormat="1" applyFont="1" applyFill="1" applyAlignment="1">
      <alignment horizontal="right"/>
    </xf>
    <xf numFmtId="0" fontId="8" fillId="0" borderId="0" xfId="2" applyFont="1" applyFill="1" applyBorder="1"/>
    <xf numFmtId="0" fontId="8" fillId="0" borderId="0" xfId="2" quotePrefix="1" applyFont="1" applyFill="1" applyBorder="1"/>
    <xf numFmtId="0" fontId="42" fillId="0" borderId="0" xfId="2" applyFont="1" applyFill="1" applyBorder="1"/>
    <xf numFmtId="180" fontId="16" fillId="21" borderId="0" xfId="45" applyNumberFormat="1" applyFont="1" applyFill="1" applyAlignment="1">
      <alignment horizontal="left" vertical="center"/>
    </xf>
    <xf numFmtId="0" fontId="6" fillId="21" borderId="4" xfId="58" applyFont="1" applyFill="1" applyBorder="1">
      <alignment horizontal="left" vertical="center"/>
    </xf>
    <xf numFmtId="0" fontId="8" fillId="21" borderId="2" xfId="58" applyFont="1" applyFill="1" applyBorder="1">
      <alignment horizontal="left" vertical="center"/>
    </xf>
    <xf numFmtId="0" fontId="6" fillId="21" borderId="2" xfId="58" applyFont="1" applyFill="1" applyBorder="1">
      <alignment horizontal="left" vertical="center"/>
    </xf>
    <xf numFmtId="0" fontId="7" fillId="21" borderId="2" xfId="58" applyFont="1" applyFill="1" applyBorder="1">
      <alignment horizontal="left" vertical="center"/>
    </xf>
    <xf numFmtId="0" fontId="6" fillId="21" borderId="0" xfId="58" applyFont="1" applyFill="1" applyBorder="1">
      <alignment horizontal="left" vertical="center"/>
    </xf>
    <xf numFmtId="0" fontId="8" fillId="21" borderId="0" xfId="59" applyFont="1" applyFill="1" applyBorder="1">
      <alignment horizontal="left" vertical="center"/>
    </xf>
    <xf numFmtId="0" fontId="8" fillId="21" borderId="0" xfId="59" applyFont="1" applyFill="1">
      <alignment horizontal="left" vertical="center"/>
    </xf>
    <xf numFmtId="0" fontId="15" fillId="21" borderId="0" xfId="58" applyFont="1" applyFill="1" applyBorder="1">
      <alignment horizontal="left" vertical="center"/>
    </xf>
    <xf numFmtId="164" fontId="15" fillId="21" borderId="0" xfId="58" applyNumberFormat="1" applyFont="1" applyFill="1" applyBorder="1">
      <alignment horizontal="left" vertical="center"/>
    </xf>
    <xf numFmtId="0" fontId="7" fillId="21" borderId="4" xfId="58" applyFont="1" applyFill="1" applyBorder="1">
      <alignment horizontal="left" vertical="center"/>
    </xf>
    <xf numFmtId="164" fontId="13" fillId="21" borderId="0" xfId="2" applyNumberFormat="1" applyFont="1" applyFill="1"/>
    <xf numFmtId="0" fontId="22" fillId="0" borderId="0" xfId="58" applyFont="1" applyFill="1" applyBorder="1">
      <alignment horizontal="left" vertical="center"/>
    </xf>
    <xf numFmtId="0" fontId="22" fillId="0" borderId="0" xfId="2" applyFont="1" applyFill="1"/>
    <xf numFmtId="0" fontId="13" fillId="0" borderId="0" xfId="2" applyFont="1" applyFill="1" applyBorder="1" applyAlignment="1">
      <alignment horizontal="right"/>
    </xf>
    <xf numFmtId="164" fontId="16" fillId="0" borderId="0" xfId="51" applyNumberFormat="1" applyFont="1" applyFill="1"/>
    <xf numFmtId="9" fontId="16" fillId="0" borderId="0" xfId="51" quotePrefix="1" applyFont="1" applyFill="1" applyAlignment="1">
      <alignment horizontal="left"/>
    </xf>
    <xf numFmtId="0" fontId="13" fillId="23" borderId="0" xfId="2" applyFont="1" applyFill="1"/>
    <xf numFmtId="1" fontId="38" fillId="0" borderId="0" xfId="2" applyNumberFormat="1" applyFont="1" applyFill="1"/>
    <xf numFmtId="168" fontId="16" fillId="0" borderId="0" xfId="51" applyNumberFormat="1" applyFont="1" applyFill="1"/>
    <xf numFmtId="1" fontId="13" fillId="0" borderId="0" xfId="45" applyNumberFormat="1" applyFont="1" applyFill="1" applyAlignment="1">
      <alignment horizontal="left" vertical="center" indent="1"/>
    </xf>
    <xf numFmtId="0" fontId="23" fillId="0" borderId="0" xfId="59" applyFont="1" applyFill="1" applyBorder="1">
      <alignment horizontal="left" vertical="center"/>
    </xf>
    <xf numFmtId="0" fontId="22" fillId="0" borderId="0" xfId="59" quotePrefix="1" applyFont="1" applyFill="1" applyAlignment="1">
      <alignment horizontal="right" vertical="center"/>
    </xf>
    <xf numFmtId="0" fontId="22" fillId="0" borderId="0" xfId="59" applyFont="1" applyFill="1" applyAlignment="1">
      <alignment horizontal="right" vertical="center"/>
    </xf>
    <xf numFmtId="0" fontId="12" fillId="0" borderId="0" xfId="45" applyFont="1" applyFill="1">
      <alignment horizontal="left" vertical="center"/>
    </xf>
    <xf numFmtId="165" fontId="12" fillId="0" borderId="0" xfId="45" applyNumberFormat="1" applyFont="1" applyFill="1" applyBorder="1">
      <alignment horizontal="left" vertical="center"/>
    </xf>
    <xf numFmtId="164" fontId="16" fillId="0" borderId="0" xfId="2" applyNumberFormat="1" applyFont="1" applyFill="1"/>
    <xf numFmtId="167" fontId="13" fillId="0" borderId="0" xfId="2" applyNumberFormat="1" applyFont="1" applyFill="1"/>
    <xf numFmtId="3" fontId="13" fillId="0" borderId="0" xfId="51" applyNumberFormat="1" applyFont="1" applyFill="1"/>
    <xf numFmtId="1" fontId="13" fillId="0" borderId="0" xfId="58" applyNumberFormat="1" applyFont="1" applyFill="1" applyBorder="1" applyAlignment="1">
      <alignment horizontal="left" vertical="center"/>
    </xf>
    <xf numFmtId="164" fontId="13" fillId="16" borderId="0" xfId="2" applyNumberFormat="1" applyFont="1" applyFill="1"/>
    <xf numFmtId="9" fontId="13" fillId="16" borderId="0" xfId="51" applyFont="1" applyFill="1" applyAlignment="1">
      <alignment horizontal="right"/>
    </xf>
    <xf numFmtId="168" fontId="13" fillId="0" borderId="0" xfId="51" applyNumberFormat="1" applyFont="1" applyFill="1" applyAlignment="1">
      <alignment horizontal="right"/>
    </xf>
    <xf numFmtId="168" fontId="13" fillId="0" borderId="0" xfId="51" applyNumberFormat="1" applyFont="1" applyFill="1"/>
    <xf numFmtId="166" fontId="13" fillId="0" borderId="0" xfId="2" applyNumberFormat="1" applyFont="1" applyFill="1" applyAlignment="1">
      <alignment horizontal="right"/>
    </xf>
    <xf numFmtId="0" fontId="14" fillId="0" borderId="0" xfId="58" applyFont="1" applyFill="1" applyBorder="1" applyAlignment="1">
      <alignment horizontal="right" vertical="center"/>
    </xf>
    <xf numFmtId="171" fontId="13" fillId="0" borderId="0" xfId="2" applyNumberFormat="1" applyFont="1" applyFill="1" applyAlignment="1">
      <alignment horizontal="right"/>
    </xf>
    <xf numFmtId="3" fontId="16" fillId="0" borderId="0" xfId="45" applyNumberFormat="1" applyFont="1" applyFill="1">
      <alignment horizontal="left" vertical="center"/>
    </xf>
    <xf numFmtId="1" fontId="12" fillId="0" borderId="11" xfId="45" applyNumberFormat="1" applyFont="1" applyFill="1" applyBorder="1">
      <alignment horizontal="left" vertical="center"/>
    </xf>
    <xf numFmtId="1" fontId="12" fillId="0" borderId="11" xfId="2" applyNumberFormat="1" applyFont="1" applyBorder="1" applyAlignment="1">
      <alignment horizontal="right"/>
    </xf>
    <xf numFmtId="1" fontId="12" fillId="0" borderId="11" xfId="52" applyNumberFormat="1" applyFont="1" applyFill="1" applyBorder="1">
      <alignment horizontal="right" vertical="center"/>
    </xf>
    <xf numFmtId="164" fontId="17" fillId="0" borderId="0" xfId="2" applyNumberFormat="1" applyFont="1" applyFill="1"/>
    <xf numFmtId="164" fontId="13" fillId="16" borderId="0" xfId="51" applyNumberFormat="1" applyFont="1" applyFill="1" applyAlignment="1">
      <alignment horizontal="right"/>
    </xf>
    <xf numFmtId="9" fontId="16" fillId="0" borderId="0" xfId="51" applyFont="1" applyFill="1" applyAlignment="1">
      <alignment horizontal="right"/>
    </xf>
    <xf numFmtId="171" fontId="13" fillId="16" borderId="0" xfId="51" applyNumberFormat="1" applyFont="1" applyFill="1" applyAlignment="1">
      <alignment horizontal="right"/>
    </xf>
    <xf numFmtId="9" fontId="16" fillId="16" borderId="0" xfId="51" applyFont="1" applyFill="1" applyAlignment="1">
      <alignment horizontal="right"/>
    </xf>
    <xf numFmtId="171" fontId="13" fillId="16" borderId="0" xfId="2" applyNumberFormat="1" applyFont="1" applyFill="1" applyAlignment="1">
      <alignment horizontal="right"/>
    </xf>
    <xf numFmtId="166" fontId="13" fillId="0" borderId="0" xfId="2" applyNumberFormat="1" applyFont="1" applyFill="1" applyBorder="1"/>
    <xf numFmtId="179" fontId="13" fillId="0" borderId="0" xfId="2" applyNumberFormat="1" applyFont="1" applyFill="1"/>
    <xf numFmtId="10" fontId="13" fillId="0" borderId="0" xfId="2" applyNumberFormat="1" applyFont="1" applyFill="1"/>
    <xf numFmtId="9" fontId="13" fillId="0" borderId="0" xfId="2" applyNumberFormat="1" applyFont="1" applyFill="1"/>
    <xf numFmtId="9" fontId="16" fillId="0" borderId="0" xfId="51" applyFont="1" applyFill="1" applyBorder="1" applyAlignment="1">
      <alignment horizontal="right" vertical="center"/>
    </xf>
    <xf numFmtId="167" fontId="35" fillId="0" borderId="0" xfId="58" applyNumberFormat="1" applyFont="1" applyFill="1" applyBorder="1" applyAlignment="1">
      <alignment horizontal="right" vertical="center"/>
    </xf>
    <xf numFmtId="1" fontId="13" fillId="0" borderId="0" xfId="45" applyNumberFormat="1" applyFont="1" applyFill="1" applyAlignment="1">
      <alignment horizontal="left" vertical="center"/>
    </xf>
    <xf numFmtId="180" fontId="16" fillId="0" borderId="0" xfId="45" applyNumberFormat="1" applyFont="1" applyFill="1" applyAlignment="1">
      <alignment horizontal="left" vertical="center"/>
    </xf>
    <xf numFmtId="180" fontId="13" fillId="0" borderId="0" xfId="45" applyNumberFormat="1" applyFont="1" applyFill="1" applyAlignment="1">
      <alignment horizontal="left" vertical="center" indent="1"/>
    </xf>
    <xf numFmtId="0" fontId="8" fillId="0" borderId="0" xfId="58" applyFont="1" applyFill="1" applyBorder="1">
      <alignment horizontal="left" vertical="center"/>
    </xf>
    <xf numFmtId="180" fontId="12" fillId="21" borderId="0" xfId="45" applyNumberFormat="1" applyFont="1" applyFill="1" applyBorder="1" applyAlignment="1">
      <alignment horizontal="left" vertical="center"/>
    </xf>
    <xf numFmtId="1" fontId="13" fillId="0" borderId="0" xfId="2" applyNumberFormat="1" applyFont="1" applyFill="1" applyBorder="1"/>
    <xf numFmtId="0" fontId="31" fillId="0" borderId="0" xfId="2" applyFont="1" applyFill="1"/>
    <xf numFmtId="0" fontId="12" fillId="0" borderId="0" xfId="2" applyFont="1" applyAlignment="1">
      <alignment horizontal="right"/>
    </xf>
    <xf numFmtId="0" fontId="12" fillId="0" borderId="0" xfId="2" applyFont="1" applyFill="1" applyBorder="1" applyAlignment="1">
      <alignment horizontal="right"/>
    </xf>
    <xf numFmtId="2" fontId="13" fillId="0" borderId="0" xfId="2" applyNumberFormat="1" applyFont="1" applyAlignment="1">
      <alignment horizontal="right"/>
    </xf>
    <xf numFmtId="164" fontId="12" fillId="0" borderId="0" xfId="2" applyNumberFormat="1" applyFont="1" applyAlignment="1">
      <alignment horizontal="right"/>
    </xf>
    <xf numFmtId="164" fontId="13" fillId="0" borderId="0" xfId="51" applyNumberFormat="1" applyFont="1" applyFill="1" applyAlignment="1">
      <alignment horizontal="right"/>
    </xf>
    <xf numFmtId="171" fontId="13" fillId="0" borderId="0" xfId="51" applyNumberFormat="1" applyFont="1" applyFill="1" applyAlignment="1">
      <alignment horizontal="right"/>
    </xf>
    <xf numFmtId="171" fontId="13" fillId="0" borderId="0" xfId="2" applyNumberFormat="1" applyFont="1" applyFill="1"/>
    <xf numFmtId="179" fontId="13" fillId="0" borderId="0" xfId="2" applyNumberFormat="1" applyFont="1" applyFill="1" applyBorder="1"/>
    <xf numFmtId="0" fontId="13" fillId="0" borderId="0" xfId="58" applyFont="1" applyFill="1" applyBorder="1" applyAlignment="1">
      <alignment vertical="center"/>
    </xf>
    <xf numFmtId="43" fontId="16" fillId="0" borderId="0" xfId="36" applyFont="1" applyFill="1" applyBorder="1" applyAlignment="1">
      <alignment horizontal="right" vertical="center"/>
    </xf>
    <xf numFmtId="164" fontId="35" fillId="0" borderId="0" xfId="51" applyNumberFormat="1" applyFont="1" applyFill="1" applyBorder="1" applyAlignment="1">
      <alignment horizontal="right" vertical="center"/>
    </xf>
    <xf numFmtId="1" fontId="16" fillId="0" borderId="0" xfId="51" applyNumberFormat="1" applyFont="1" applyFill="1"/>
    <xf numFmtId="9" fontId="13" fillId="0" borderId="0" xfId="51" applyNumberFormat="1" applyFont="1" applyFill="1" applyAlignment="1">
      <alignment horizontal="right"/>
    </xf>
    <xf numFmtId="9" fontId="13" fillId="0" borderId="0" xfId="51" applyNumberFormat="1" applyFont="1" applyFill="1"/>
    <xf numFmtId="9" fontId="13" fillId="0" borderId="0" xfId="2" applyNumberFormat="1" applyFont="1" applyFill="1" applyAlignment="1">
      <alignment horizontal="right"/>
    </xf>
    <xf numFmtId="10" fontId="13" fillId="0" borderId="0" xfId="2" applyNumberFormat="1" applyFont="1" applyFill="1" applyAlignment="1">
      <alignment horizontal="right"/>
    </xf>
    <xf numFmtId="168" fontId="13" fillId="0" borderId="0" xfId="2" applyNumberFormat="1" applyFont="1" applyFill="1" applyAlignment="1">
      <alignment horizontal="right"/>
    </xf>
    <xf numFmtId="171" fontId="13" fillId="0" borderId="4" xfId="2" applyNumberFormat="1" applyFont="1" applyFill="1" applyBorder="1" applyAlignment="1">
      <alignment horizontal="right"/>
    </xf>
    <xf numFmtId="166" fontId="13" fillId="0" borderId="2" xfId="2" applyNumberFormat="1" applyFont="1" applyFill="1" applyBorder="1" applyAlignment="1">
      <alignment horizontal="right"/>
    </xf>
    <xf numFmtId="9" fontId="13" fillId="0" borderId="0" xfId="51" applyFont="1" applyFill="1" applyBorder="1" applyAlignment="1">
      <alignment horizontal="right"/>
    </xf>
    <xf numFmtId="166" fontId="13" fillId="15" borderId="0" xfId="58" applyNumberFormat="1" applyFont="1" applyFill="1" applyBorder="1">
      <alignment horizontal="left" vertical="center"/>
    </xf>
    <xf numFmtId="164" fontId="13" fillId="15" borderId="0" xfId="58" applyNumberFormat="1" applyFont="1" applyFill="1" applyBorder="1">
      <alignment horizontal="left" vertical="center"/>
    </xf>
    <xf numFmtId="164" fontId="13" fillId="20" borderId="0" xfId="2" applyNumberFormat="1" applyFont="1" applyFill="1"/>
    <xf numFmtId="167" fontId="35" fillId="0" borderId="0" xfId="58" applyNumberFormat="1" applyFont="1" applyFill="1" applyBorder="1">
      <alignment horizontal="left" vertical="center"/>
    </xf>
    <xf numFmtId="166" fontId="9" fillId="0" borderId="0" xfId="2" applyNumberFormat="1" applyFont="1" applyFill="1" applyAlignment="1">
      <alignment horizontal="right"/>
    </xf>
    <xf numFmtId="164" fontId="14" fillId="0" borderId="0" xfId="58" applyNumberFormat="1" applyFont="1" applyFill="1" applyBorder="1">
      <alignment horizontal="left" vertical="center"/>
    </xf>
    <xf numFmtId="164" fontId="13" fillId="0" borderId="0" xfId="58" applyNumberFormat="1" applyFont="1" applyFill="1" applyBorder="1">
      <alignment horizontal="left" vertical="center"/>
    </xf>
    <xf numFmtId="164" fontId="18" fillId="0" borderId="0" xfId="2" applyNumberFormat="1" applyFont="1"/>
    <xf numFmtId="164" fontId="20" fillId="0" borderId="0" xfId="58" applyNumberFormat="1" applyFont="1" applyFill="1" applyBorder="1">
      <alignment horizontal="left" vertical="center"/>
    </xf>
    <xf numFmtId="164" fontId="7" fillId="0" borderId="4" xfId="58" applyNumberFormat="1" applyFont="1" applyFill="1" applyBorder="1">
      <alignment horizontal="left" vertical="center"/>
    </xf>
    <xf numFmtId="164" fontId="6" fillId="0" borderId="4" xfId="58" applyNumberFormat="1" applyFont="1" applyFill="1" applyBorder="1">
      <alignment horizontal="left" vertical="center"/>
    </xf>
    <xf numFmtId="164" fontId="6" fillId="21" borderId="4" xfId="58" applyNumberFormat="1" applyFont="1" applyFill="1" applyBorder="1">
      <alignment horizontal="left" vertical="center"/>
    </xf>
    <xf numFmtId="164" fontId="7" fillId="0" borderId="2" xfId="58" applyNumberFormat="1" applyFont="1" applyFill="1" applyBorder="1">
      <alignment horizontal="left" vertical="center"/>
    </xf>
    <xf numFmtId="164" fontId="6" fillId="0" borderId="2" xfId="58" applyNumberFormat="1" applyFont="1" applyFill="1" applyBorder="1">
      <alignment horizontal="left" vertical="center"/>
    </xf>
    <xf numFmtId="164" fontId="8" fillId="21" borderId="2" xfId="58" applyNumberFormat="1" applyFont="1" applyFill="1" applyBorder="1">
      <alignment horizontal="left" vertical="center"/>
    </xf>
    <xf numFmtId="164" fontId="6" fillId="21" borderId="2" xfId="58" applyNumberFormat="1" applyFont="1" applyFill="1" applyBorder="1">
      <alignment horizontal="left" vertical="center"/>
    </xf>
    <xf numFmtId="164" fontId="7" fillId="21" borderId="2" xfId="58" applyNumberFormat="1" applyFont="1" applyFill="1" applyBorder="1">
      <alignment horizontal="left" vertical="center"/>
    </xf>
    <xf numFmtId="164" fontId="8" fillId="0" borderId="2" xfId="58" applyNumberFormat="1" applyFont="1" applyFill="1" applyBorder="1">
      <alignment horizontal="left" vertical="center"/>
    </xf>
    <xf numFmtId="164" fontId="7" fillId="0" borderId="0" xfId="58" applyNumberFormat="1" applyFont="1" applyFill="1" applyBorder="1">
      <alignment horizontal="left" vertical="center"/>
    </xf>
    <xf numFmtId="164" fontId="6" fillId="0" borderId="0" xfId="58" applyNumberFormat="1" applyFont="1" applyFill="1" applyBorder="1">
      <alignment horizontal="left" vertical="center"/>
    </xf>
    <xf numFmtId="164" fontId="6" fillId="21" borderId="0" xfId="58" applyNumberFormat="1" applyFont="1" applyFill="1" applyBorder="1">
      <alignment horizontal="left" vertical="center"/>
    </xf>
    <xf numFmtId="164" fontId="8" fillId="0" borderId="0" xfId="59" applyNumberFormat="1" applyFont="1" applyFill="1" applyBorder="1">
      <alignment horizontal="left" vertical="center"/>
    </xf>
    <xf numFmtId="164" fontId="8" fillId="0" borderId="0" xfId="59" applyNumberFormat="1" applyFont="1" applyFill="1">
      <alignment horizontal="left" vertical="center"/>
    </xf>
    <xf numFmtId="164" fontId="8" fillId="21" borderId="0" xfId="59" applyNumberFormat="1" applyFont="1" applyFill="1" applyBorder="1">
      <alignment horizontal="left" vertical="center"/>
    </xf>
    <xf numFmtId="164" fontId="8" fillId="21" borderId="0" xfId="59" applyNumberFormat="1" applyFont="1" applyFill="1">
      <alignment horizontal="left" vertical="center"/>
    </xf>
    <xf numFmtId="164" fontId="8" fillId="20" borderId="0" xfId="59" applyNumberFormat="1" applyFont="1" applyFill="1" applyBorder="1">
      <alignment horizontal="left" vertical="center"/>
    </xf>
    <xf numFmtId="164" fontId="8" fillId="20" borderId="0" xfId="59" applyNumberFormat="1" applyFont="1" applyFill="1">
      <alignment horizontal="left" vertical="center"/>
    </xf>
    <xf numFmtId="164" fontId="12" fillId="0" borderId="0" xfId="2" applyNumberFormat="1" applyFont="1" applyFill="1" applyAlignment="1">
      <alignment horizontal="right"/>
    </xf>
    <xf numFmtId="164" fontId="13" fillId="0" borderId="0" xfId="51" applyNumberFormat="1" applyFont="1" applyFill="1"/>
    <xf numFmtId="166" fontId="19" fillId="0" borderId="0" xfId="51" applyNumberFormat="1" applyFont="1" applyFill="1"/>
    <xf numFmtId="0" fontId="7" fillId="21" borderId="0" xfId="58" applyFont="1" applyFill="1" applyBorder="1">
      <alignment horizontal="left" vertical="center"/>
    </xf>
    <xf numFmtId="164" fontId="12" fillId="15" borderId="0" xfId="58" applyNumberFormat="1" applyFont="1" applyFill="1" applyBorder="1">
      <alignment horizontal="left" vertical="center"/>
    </xf>
    <xf numFmtId="2" fontId="13" fillId="0" borderId="0" xfId="58" applyNumberFormat="1" applyFont="1" applyFill="1" applyBorder="1" applyAlignment="1">
      <alignment horizontal="right" vertical="center"/>
    </xf>
    <xf numFmtId="168" fontId="13" fillId="0" borderId="0" xfId="51" applyNumberFormat="1" applyFont="1" applyAlignment="1">
      <alignment horizontal="right"/>
    </xf>
    <xf numFmtId="0" fontId="16" fillId="0" borderId="0" xfId="2" applyFont="1" applyFill="1" applyAlignment="1">
      <alignment horizontal="left" indent="1"/>
    </xf>
    <xf numFmtId="0" fontId="13" fillId="0" borderId="0" xfId="2" applyFont="1" applyFill="1" applyBorder="1" applyAlignment="1"/>
    <xf numFmtId="0" fontId="13" fillId="0" borderId="0" xfId="2" applyFont="1" applyFill="1" applyBorder="1" applyAlignment="1">
      <alignment horizontal="left" indent="1"/>
    </xf>
    <xf numFmtId="1" fontId="18" fillId="0" borderId="0" xfId="2" applyNumberFormat="1" applyFont="1" applyFill="1" applyBorder="1"/>
    <xf numFmtId="1" fontId="13" fillId="0" borderId="0" xfId="2" applyNumberFormat="1" applyFont="1" applyFill="1" applyAlignment="1"/>
    <xf numFmtId="9" fontId="13" fillId="0" borderId="0" xfId="51" applyFont="1" applyFill="1" applyBorder="1"/>
    <xf numFmtId="43" fontId="13" fillId="0" borderId="0" xfId="36" applyFont="1" applyFill="1" applyBorder="1"/>
    <xf numFmtId="9" fontId="12" fillId="0" borderId="0" xfId="51" applyFont="1" applyFill="1" applyBorder="1"/>
    <xf numFmtId="9" fontId="12" fillId="15" borderId="0" xfId="51" applyFont="1" applyFill="1" applyAlignment="1">
      <alignment horizontal="right"/>
    </xf>
    <xf numFmtId="167" fontId="16" fillId="0" borderId="0" xfId="58" applyNumberFormat="1" applyFont="1" applyFill="1" applyBorder="1">
      <alignment horizontal="left" vertical="center"/>
    </xf>
    <xf numFmtId="167" fontId="16" fillId="0" borderId="0" xfId="58" applyNumberFormat="1" applyFont="1" applyFill="1" applyBorder="1" applyAlignment="1">
      <alignment horizontal="right" vertical="center"/>
    </xf>
    <xf numFmtId="2" fontId="13" fillId="15" borderId="0" xfId="58" applyNumberFormat="1" applyFont="1" applyFill="1" applyBorder="1" applyAlignment="1">
      <alignment horizontal="left" vertical="center" indent="1"/>
    </xf>
    <xf numFmtId="9" fontId="16" fillId="0" borderId="0" xfId="51" applyFont="1" applyFill="1" applyAlignment="1">
      <alignment horizontal="left"/>
    </xf>
    <xf numFmtId="1" fontId="13" fillId="0" borderId="0" xfId="51" applyNumberFormat="1" applyFont="1" applyFill="1"/>
    <xf numFmtId="164" fontId="13" fillId="0" borderId="0" xfId="51" applyNumberFormat="1" applyFont="1" applyFill="1" applyAlignment="1">
      <alignment horizontal="left"/>
    </xf>
    <xf numFmtId="164" fontId="38" fillId="0" borderId="0" xfId="2" applyNumberFormat="1" applyFont="1" applyFill="1"/>
    <xf numFmtId="1" fontId="16" fillId="0" borderId="0" xfId="45" applyNumberFormat="1" applyFont="1" applyFill="1" applyAlignment="1">
      <alignment horizontal="left" vertical="center" indent="1"/>
    </xf>
    <xf numFmtId="2" fontId="16" fillId="0" borderId="0" xfId="58" applyNumberFormat="1" applyFont="1" applyFill="1" applyBorder="1" applyAlignment="1">
      <alignment horizontal="left" vertical="center" indent="1"/>
    </xf>
    <xf numFmtId="168" fontId="16" fillId="0" borderId="0" xfId="51" applyNumberFormat="1" applyFont="1" applyFill="1" applyBorder="1" applyAlignment="1">
      <alignment horizontal="right" vertical="center"/>
    </xf>
    <xf numFmtId="168" fontId="35" fillId="0" borderId="0" xfId="58" applyNumberFormat="1" applyFont="1" applyFill="1" applyBorder="1" applyAlignment="1">
      <alignment vertical="center"/>
    </xf>
    <xf numFmtId="2" fontId="8" fillId="0" borderId="0" xfId="2" applyNumberFormat="1" applyFont="1" applyFill="1" applyBorder="1"/>
    <xf numFmtId="9" fontId="18" fillId="0" borderId="0" xfId="51" applyFont="1" applyFill="1" applyAlignment="1">
      <alignment horizontal="right"/>
    </xf>
    <xf numFmtId="168" fontId="13" fillId="0" borderId="0" xfId="45" applyNumberFormat="1" applyFont="1" applyFill="1">
      <alignment horizontal="left" vertical="center"/>
    </xf>
    <xf numFmtId="168" fontId="15" fillId="0" borderId="0" xfId="58" applyNumberFormat="1" applyFont="1" applyFill="1" applyBorder="1">
      <alignment horizontal="left" vertical="center"/>
    </xf>
    <xf numFmtId="168" fontId="13" fillId="0" borderId="0" xfId="58" applyNumberFormat="1" applyFont="1" applyFill="1" applyBorder="1">
      <alignment horizontal="left" vertical="center"/>
    </xf>
    <xf numFmtId="168" fontId="16" fillId="0" borderId="0" xfId="2" applyNumberFormat="1" applyFont="1" applyFill="1"/>
    <xf numFmtId="168" fontId="16" fillId="0" borderId="0" xfId="52" applyNumberFormat="1" applyFont="1" applyFill="1" applyBorder="1">
      <alignment horizontal="right" vertical="center"/>
    </xf>
    <xf numFmtId="168" fontId="13" fillId="0" borderId="0" xfId="2" applyNumberFormat="1" applyFont="1" applyFill="1"/>
    <xf numFmtId="168" fontId="13" fillId="0" borderId="0" xfId="52" applyNumberFormat="1" applyFont="1" applyFill="1" applyBorder="1">
      <alignment horizontal="right" vertical="center"/>
    </xf>
    <xf numFmtId="0" fontId="6" fillId="0" borderId="2" xfId="58" applyFont="1" applyFill="1" applyBorder="1" applyAlignment="1">
      <alignment horizontal="right" vertical="center"/>
    </xf>
    <xf numFmtId="0" fontId="49" fillId="0" borderId="0" xfId="2" applyFont="1" applyFill="1"/>
    <xf numFmtId="9" fontId="16" fillId="15" borderId="0" xfId="51" applyFont="1" applyFill="1" applyBorder="1" applyAlignment="1">
      <alignment horizontal="left" vertical="center"/>
    </xf>
    <xf numFmtId="9" fontId="16" fillId="0" borderId="0" xfId="51" applyFont="1" applyFill="1" applyBorder="1" applyAlignment="1">
      <alignment horizontal="left" vertical="center"/>
    </xf>
    <xf numFmtId="1" fontId="0" fillId="0" borderId="0" xfId="2" applyNumberFormat="1" applyFont="1"/>
    <xf numFmtId="9" fontId="50" fillId="0" borderId="0" xfId="51" applyFont="1" applyFill="1"/>
    <xf numFmtId="1" fontId="16" fillId="15" borderId="0" xfId="58" applyNumberFormat="1" applyFont="1" applyFill="1" applyBorder="1">
      <alignment horizontal="left" vertical="center"/>
    </xf>
    <xf numFmtId="2" fontId="16" fillId="0" borderId="0" xfId="58" applyNumberFormat="1" applyFont="1" applyFill="1" applyBorder="1" applyAlignment="1">
      <alignment horizontal="right" vertical="center"/>
    </xf>
    <xf numFmtId="1" fontId="12" fillId="0" borderId="0" xfId="2" applyNumberFormat="1" applyFont="1" applyFill="1" applyAlignment="1">
      <alignment horizontal="right"/>
    </xf>
    <xf numFmtId="1" fontId="15" fillId="21" borderId="0" xfId="58" applyNumberFormat="1" applyFont="1" applyFill="1" applyBorder="1">
      <alignment horizontal="left" vertical="center"/>
    </xf>
    <xf numFmtId="1" fontId="0" fillId="0" borderId="0" xfId="2" applyNumberFormat="1" applyFont="1" applyFill="1"/>
    <xf numFmtId="1" fontId="29" fillId="0" borderId="0" xfId="2" applyNumberFormat="1" applyFont="1" applyFill="1"/>
    <xf numFmtId="1" fontId="29" fillId="0" borderId="0" xfId="2" applyNumberFormat="1" applyFont="1"/>
    <xf numFmtId="1" fontId="8" fillId="0" borderId="0" xfId="2" applyNumberFormat="1" applyFont="1" applyFill="1"/>
    <xf numFmtId="1" fontId="12" fillId="0" borderId="10" xfId="2" applyNumberFormat="1" applyFont="1" applyFill="1" applyBorder="1"/>
    <xf numFmtId="1" fontId="12" fillId="0" borderId="11" xfId="2" applyNumberFormat="1" applyFont="1" applyFill="1" applyBorder="1"/>
    <xf numFmtId="1" fontId="17" fillId="0" borderId="0" xfId="58" applyNumberFormat="1" applyFont="1" applyFill="1" applyBorder="1">
      <alignment horizontal="left" vertical="center"/>
    </xf>
    <xf numFmtId="1" fontId="19" fillId="0" borderId="0" xfId="58" applyNumberFormat="1" applyFont="1" applyFill="1" applyBorder="1">
      <alignment horizontal="left" vertical="center"/>
    </xf>
    <xf numFmtId="1" fontId="20" fillId="0" borderId="0" xfId="58" applyNumberFormat="1" applyFont="1" applyFill="1" applyBorder="1" applyAlignment="1">
      <alignment horizontal="right" vertical="center"/>
    </xf>
    <xf numFmtId="1" fontId="18" fillId="0" borderId="0" xfId="36" applyNumberFormat="1" applyFont="1" applyFill="1" applyAlignment="1">
      <alignment horizontal="right"/>
    </xf>
    <xf numFmtId="1" fontId="12" fillId="0" borderId="0" xfId="58" applyNumberFormat="1" applyFont="1" applyFill="1" applyBorder="1">
      <alignment horizontal="left" vertical="center"/>
    </xf>
    <xf numFmtId="167" fontId="13" fillId="0" borderId="0" xfId="58" applyNumberFormat="1" applyFont="1" applyFill="1" applyBorder="1" applyAlignment="1">
      <alignment horizontal="right" vertical="center"/>
    </xf>
    <xf numFmtId="164" fontId="13" fillId="21" borderId="0" xfId="58" applyNumberFormat="1" applyFont="1" applyFill="1" applyBorder="1" applyAlignment="1">
      <alignment horizontal="right" vertical="center"/>
    </xf>
    <xf numFmtId="0" fontId="13" fillId="21" borderId="0" xfId="2" applyFont="1" applyFill="1" applyAlignment="1">
      <alignment horizontal="right"/>
    </xf>
    <xf numFmtId="164" fontId="12" fillId="21" borderId="0" xfId="2" applyNumberFormat="1" applyFont="1" applyFill="1"/>
    <xf numFmtId="9" fontId="13" fillId="21" borderId="0" xfId="51" applyFont="1" applyFill="1" applyAlignment="1">
      <alignment horizontal="right"/>
    </xf>
    <xf numFmtId="0" fontId="12" fillId="21" borderId="0" xfId="2" applyFont="1" applyFill="1"/>
    <xf numFmtId="1" fontId="12" fillId="21" borderId="0" xfId="2" applyNumberFormat="1" applyFont="1" applyFill="1"/>
    <xf numFmtId="9" fontId="13" fillId="15" borderId="0" xfId="51" applyFont="1" applyFill="1"/>
    <xf numFmtId="164" fontId="13" fillId="15" borderId="0" xfId="2" applyNumberFormat="1" applyFont="1" applyFill="1"/>
    <xf numFmtId="1" fontId="18" fillId="15" borderId="0" xfId="2" applyNumberFormat="1" applyFont="1" applyFill="1"/>
    <xf numFmtId="164" fontId="14" fillId="15" borderId="0" xfId="2" applyNumberFormat="1" applyFont="1" applyFill="1"/>
    <xf numFmtId="0" fontId="12" fillId="0" borderId="16" xfId="58" applyFont="1" applyFill="1" applyBorder="1">
      <alignment horizontal="left" vertical="center"/>
    </xf>
    <xf numFmtId="180" fontId="12" fillId="0" borderId="22" xfId="45" applyNumberFormat="1" applyFont="1" applyFill="1" applyBorder="1" applyAlignment="1">
      <alignment horizontal="left" vertical="center"/>
    </xf>
    <xf numFmtId="0" fontId="12" fillId="0" borderId="16" xfId="58" applyFont="1" applyFill="1" applyBorder="1" applyAlignment="1">
      <alignment horizontal="right" vertical="center"/>
    </xf>
    <xf numFmtId="180" fontId="16" fillId="0" borderId="25" xfId="45" applyNumberFormat="1" applyFont="1" applyFill="1" applyBorder="1" applyAlignment="1">
      <alignment horizontal="left" vertical="center"/>
    </xf>
    <xf numFmtId="0" fontId="13" fillId="0" borderId="7" xfId="58" applyFont="1" applyFill="1" applyBorder="1">
      <alignment horizontal="left" vertical="center"/>
    </xf>
    <xf numFmtId="9" fontId="16" fillId="0" borderId="7" xfId="51" applyFont="1" applyFill="1" applyBorder="1" applyAlignment="1">
      <alignment horizontal="right" vertical="center"/>
    </xf>
    <xf numFmtId="180" fontId="16" fillId="0" borderId="23" xfId="45" applyNumberFormat="1" applyFont="1" applyFill="1" applyBorder="1" applyAlignment="1">
      <alignment horizontal="left" vertical="center"/>
    </xf>
    <xf numFmtId="164" fontId="12" fillId="0" borderId="16" xfId="58" applyNumberFormat="1" applyFont="1" applyFill="1" applyBorder="1" applyAlignment="1">
      <alignment horizontal="right" vertical="center"/>
    </xf>
    <xf numFmtId="0" fontId="13" fillId="0" borderId="7" xfId="58" applyFont="1" applyFill="1" applyBorder="1" applyAlignment="1">
      <alignment horizontal="right" vertical="center"/>
    </xf>
    <xf numFmtId="0" fontId="13" fillId="0" borderId="16" xfId="58" applyFont="1" applyFill="1" applyBorder="1" applyAlignment="1">
      <alignment horizontal="right" vertical="center"/>
    </xf>
    <xf numFmtId="1" fontId="12" fillId="0" borderId="16" xfId="58" applyNumberFormat="1" applyFont="1" applyFill="1" applyBorder="1" applyAlignment="1">
      <alignment horizontal="right" vertical="center"/>
    </xf>
    <xf numFmtId="0" fontId="13" fillId="0" borderId="22" xfId="2" applyFont="1" applyFill="1" applyBorder="1"/>
    <xf numFmtId="0" fontId="13" fillId="0" borderId="16" xfId="2" applyFont="1" applyFill="1" applyBorder="1"/>
    <xf numFmtId="0" fontId="13" fillId="0" borderId="16" xfId="2" applyFont="1" applyFill="1" applyBorder="1" applyAlignment="1">
      <alignment horizontal="right"/>
    </xf>
    <xf numFmtId="1" fontId="13" fillId="0" borderId="16" xfId="2" applyNumberFormat="1" applyFont="1" applyFill="1" applyBorder="1"/>
    <xf numFmtId="1" fontId="18" fillId="0" borderId="16" xfId="2" applyNumberFormat="1" applyFont="1" applyFill="1" applyBorder="1"/>
    <xf numFmtId="1" fontId="13" fillId="0" borderId="16" xfId="2" applyNumberFormat="1" applyFont="1" applyBorder="1"/>
    <xf numFmtId="0" fontId="13" fillId="0" borderId="16" xfId="2" applyFont="1" applyBorder="1"/>
    <xf numFmtId="0" fontId="13" fillId="0" borderId="23" xfId="2" applyFont="1" applyFill="1" applyBorder="1" applyAlignment="1"/>
    <xf numFmtId="0" fontId="13" fillId="0" borderId="7" xfId="2" applyFont="1" applyFill="1" applyBorder="1"/>
    <xf numFmtId="0" fontId="13" fillId="0" borderId="7" xfId="2" applyFont="1" applyFill="1" applyBorder="1" applyAlignment="1">
      <alignment horizontal="right"/>
    </xf>
    <xf numFmtId="1" fontId="13" fillId="0" borderId="7" xfId="2" applyNumberFormat="1" applyFont="1" applyFill="1" applyBorder="1"/>
    <xf numFmtId="1" fontId="13" fillId="0" borderId="7" xfId="2" applyNumberFormat="1" applyFont="1" applyBorder="1"/>
    <xf numFmtId="0" fontId="13" fillId="0" borderId="7" xfId="2" applyFont="1" applyBorder="1"/>
    <xf numFmtId="0" fontId="13" fillId="0" borderId="4" xfId="2" applyFont="1" applyFill="1" applyBorder="1" applyAlignment="1"/>
    <xf numFmtId="1" fontId="13" fillId="0" borderId="0" xfId="2" applyNumberFormat="1" applyFont="1" applyFill="1" applyBorder="1" applyAlignment="1">
      <alignment horizontal="right"/>
    </xf>
    <xf numFmtId="1" fontId="13" fillId="0" borderId="4" xfId="2" applyNumberFormat="1" applyFont="1" applyFill="1" applyBorder="1"/>
    <xf numFmtId="0" fontId="17" fillId="0" borderId="2" xfId="2" applyFont="1" applyBorder="1" applyAlignment="1"/>
    <xf numFmtId="164" fontId="13" fillId="0" borderId="0" xfId="2" applyNumberFormat="1" applyFont="1" applyFill="1" applyBorder="1"/>
    <xf numFmtId="0" fontId="13" fillId="0" borderId="0" xfId="2" applyFont="1" applyFill="1" applyBorder="1" applyAlignment="1">
      <alignment horizontal="left"/>
    </xf>
    <xf numFmtId="0" fontId="13" fillId="15" borderId="0" xfId="2" applyFont="1" applyFill="1" applyBorder="1" applyAlignment="1"/>
    <xf numFmtId="9" fontId="13" fillId="15" borderId="0" xfId="51" applyFont="1" applyFill="1" applyBorder="1"/>
    <xf numFmtId="9" fontId="13" fillId="15" borderId="0" xfId="51" applyNumberFormat="1" applyFont="1" applyFill="1" applyBorder="1"/>
    <xf numFmtId="9" fontId="18" fillId="0" borderId="0" xfId="51" applyFont="1" applyFill="1"/>
    <xf numFmtId="37" fontId="46" fillId="0" borderId="0" xfId="2" applyNumberFormat="1" applyFont="1" applyFill="1" applyBorder="1" applyAlignment="1">
      <alignment horizontal="right"/>
    </xf>
    <xf numFmtId="178" fontId="47" fillId="0" borderId="0" xfId="36" applyNumberFormat="1" applyFont="1" applyFill="1" applyAlignment="1">
      <alignment horizontal="center"/>
    </xf>
    <xf numFmtId="1" fontId="13" fillId="0" borderId="0" xfId="51" applyNumberFormat="1" applyFont="1" applyFill="1" applyAlignment="1">
      <alignment horizontal="right"/>
    </xf>
    <xf numFmtId="164" fontId="13" fillId="0" borderId="0" xfId="2" applyNumberFormat="1" applyFont="1" applyFill="1" applyAlignment="1">
      <alignment horizontal="left"/>
    </xf>
    <xf numFmtId="37" fontId="47" fillId="0" borderId="0" xfId="2" applyNumberFormat="1" applyFont="1" applyFill="1" applyBorder="1" applyAlignment="1">
      <alignment horizontal="left"/>
    </xf>
    <xf numFmtId="37" fontId="47" fillId="0" borderId="0" xfId="2" applyNumberFormat="1" applyFont="1" applyFill="1" applyBorder="1" applyAlignment="1">
      <alignment horizontal="center"/>
    </xf>
    <xf numFmtId="1" fontId="13" fillId="21" borderId="0" xfId="45" applyNumberFormat="1" applyFont="1" applyFill="1">
      <alignment horizontal="left" vertical="center"/>
    </xf>
    <xf numFmtId="1" fontId="13" fillId="21" borderId="0" xfId="2" applyNumberFormat="1" applyFont="1" applyFill="1"/>
    <xf numFmtId="1" fontId="13" fillId="21" borderId="0" xfId="52" applyNumberFormat="1" applyFont="1" applyFill="1" applyBorder="1">
      <alignment horizontal="right" vertical="center"/>
    </xf>
    <xf numFmtId="164" fontId="38" fillId="21" borderId="0" xfId="2" applyNumberFormat="1" applyFont="1" applyFill="1"/>
    <xf numFmtId="1" fontId="38" fillId="21" borderId="0" xfId="2" applyNumberFormat="1" applyFont="1" applyFill="1"/>
    <xf numFmtId="1" fontId="16" fillId="21" borderId="0" xfId="45" applyNumberFormat="1" applyFont="1" applyFill="1">
      <alignment horizontal="left" vertical="center"/>
    </xf>
    <xf numFmtId="168" fontId="16" fillId="21" borderId="0" xfId="51" applyNumberFormat="1" applyFont="1" applyFill="1"/>
    <xf numFmtId="1" fontId="13" fillId="21" borderId="0" xfId="45" applyNumberFormat="1" applyFont="1" applyFill="1" applyAlignment="1">
      <alignment horizontal="left" vertical="center" indent="1"/>
    </xf>
    <xf numFmtId="164" fontId="45" fillId="21" borderId="0" xfId="2" applyNumberFormat="1" applyFont="1" applyFill="1"/>
    <xf numFmtId="164" fontId="16" fillId="21" borderId="0" xfId="2" applyNumberFormat="1" applyFont="1" applyFill="1"/>
    <xf numFmtId="1" fontId="16" fillId="21" borderId="0" xfId="2" applyNumberFormat="1" applyFont="1" applyFill="1"/>
    <xf numFmtId="1" fontId="16" fillId="21" borderId="0" xfId="52" applyNumberFormat="1" applyFont="1" applyFill="1" applyBorder="1">
      <alignment horizontal="right" vertical="center"/>
    </xf>
    <xf numFmtId="1" fontId="36" fillId="21" borderId="0" xfId="2" applyNumberFormat="1" applyFont="1" applyFill="1"/>
    <xf numFmtId="164" fontId="36" fillId="21" borderId="0" xfId="2" applyNumberFormat="1" applyFont="1" applyFill="1"/>
    <xf numFmtId="164" fontId="13" fillId="21" borderId="0" xfId="51" applyNumberFormat="1" applyFont="1" applyFill="1"/>
    <xf numFmtId="2" fontId="13" fillId="21" borderId="0" xfId="2" applyNumberFormat="1" applyFont="1" applyFill="1"/>
    <xf numFmtId="1" fontId="13" fillId="15" borderId="0" xfId="45" applyNumberFormat="1" applyFont="1" applyFill="1" applyAlignment="1">
      <alignment horizontal="left" vertical="center" indent="1"/>
    </xf>
    <xf numFmtId="1" fontId="22" fillId="15" borderId="0" xfId="2" applyNumberFormat="1" applyFont="1" applyFill="1"/>
    <xf numFmtId="164" fontId="38" fillId="15" borderId="0" xfId="2" applyNumberFormat="1" applyFont="1" applyFill="1"/>
    <xf numFmtId="2" fontId="12" fillId="21" borderId="0" xfId="2" applyNumberFormat="1" applyFont="1" applyFill="1"/>
    <xf numFmtId="164" fontId="13" fillId="21" borderId="0" xfId="45" applyNumberFormat="1" applyFont="1" applyFill="1">
      <alignment horizontal="left" vertical="center"/>
    </xf>
    <xf numFmtId="9" fontId="13" fillId="21" borderId="0" xfId="51" applyFont="1" applyFill="1"/>
    <xf numFmtId="2" fontId="13" fillId="21" borderId="0" xfId="45" applyNumberFormat="1" applyFont="1" applyFill="1">
      <alignment horizontal="left" vertical="center"/>
    </xf>
    <xf numFmtId="2" fontId="13" fillId="21" borderId="0" xfId="58" applyNumberFormat="1" applyFont="1" applyFill="1" applyBorder="1">
      <alignment horizontal="left" vertical="center"/>
    </xf>
    <xf numFmtId="0" fontId="14" fillId="21" borderId="0" xfId="58" applyFont="1" applyFill="1" applyBorder="1">
      <alignment horizontal="left" vertical="center"/>
    </xf>
    <xf numFmtId="164" fontId="17" fillId="21" borderId="0" xfId="45" applyNumberFormat="1" applyFont="1" applyFill="1">
      <alignment horizontal="left" vertical="center"/>
    </xf>
    <xf numFmtId="164" fontId="16" fillId="21" borderId="0" xfId="45" applyNumberFormat="1" applyFont="1" applyFill="1">
      <alignment horizontal="left" vertical="center"/>
    </xf>
    <xf numFmtId="9" fontId="16" fillId="21" borderId="0" xfId="51" applyFont="1" applyFill="1"/>
    <xf numFmtId="0" fontId="16" fillId="21" borderId="0" xfId="2" applyFont="1" applyFill="1"/>
    <xf numFmtId="9" fontId="16" fillId="21" borderId="0" xfId="51" applyNumberFormat="1" applyFont="1" applyFill="1"/>
    <xf numFmtId="9" fontId="35" fillId="21" borderId="0" xfId="51" applyFont="1" applyFill="1"/>
    <xf numFmtId="164" fontId="12" fillId="21" borderId="0" xfId="45" applyNumberFormat="1" applyFont="1" applyFill="1">
      <alignment horizontal="left" vertical="center"/>
    </xf>
    <xf numFmtId="1" fontId="13" fillId="21" borderId="0" xfId="58" applyNumberFormat="1" applyFont="1" applyFill="1" applyBorder="1" applyAlignment="1">
      <alignment horizontal="left" vertical="center"/>
    </xf>
    <xf numFmtId="2" fontId="13" fillId="21" borderId="0" xfId="58" applyNumberFormat="1" applyFont="1" applyFill="1" applyBorder="1" applyAlignment="1">
      <alignment horizontal="left" vertical="center"/>
    </xf>
    <xf numFmtId="3" fontId="13" fillId="21" borderId="0" xfId="51" applyNumberFormat="1" applyFont="1" applyFill="1"/>
    <xf numFmtId="3" fontId="13" fillId="21" borderId="0" xfId="2" applyNumberFormat="1" applyFont="1" applyFill="1"/>
    <xf numFmtId="166" fontId="13" fillId="21" borderId="0" xfId="51" applyNumberFormat="1" applyFont="1" applyFill="1"/>
    <xf numFmtId="166" fontId="18" fillId="21" borderId="0" xfId="51" applyNumberFormat="1" applyFont="1" applyFill="1"/>
    <xf numFmtId="179" fontId="13" fillId="21" borderId="0" xfId="51" applyNumberFormat="1" applyFont="1" applyFill="1"/>
    <xf numFmtId="4" fontId="13" fillId="21" borderId="0" xfId="51" applyNumberFormat="1" applyFont="1" applyFill="1"/>
    <xf numFmtId="4" fontId="18" fillId="21" borderId="0" xfId="51" applyNumberFormat="1" applyFont="1" applyFill="1"/>
    <xf numFmtId="4" fontId="12" fillId="21" borderId="0" xfId="51" applyNumberFormat="1" applyFont="1" applyFill="1"/>
    <xf numFmtId="4" fontId="21" fillId="21" borderId="0" xfId="51" applyNumberFormat="1" applyFont="1" applyFill="1"/>
    <xf numFmtId="166" fontId="14" fillId="21" borderId="0" xfId="51" applyNumberFormat="1" applyFont="1" applyFill="1"/>
    <xf numFmtId="3" fontId="13" fillId="0" borderId="0" xfId="51" applyNumberFormat="1" applyFont="1" applyFill="1" applyAlignment="1">
      <alignment horizontal="right"/>
    </xf>
    <xf numFmtId="164" fontId="18" fillId="15" borderId="0" xfId="2" applyNumberFormat="1" applyFont="1" applyFill="1"/>
    <xf numFmtId="1" fontId="14" fillId="0" borderId="0" xfId="2" applyNumberFormat="1" applyFont="1" applyFill="1"/>
    <xf numFmtId="10" fontId="35" fillId="0" borderId="0" xfId="58" applyNumberFormat="1" applyFont="1" applyFill="1" applyBorder="1" applyAlignment="1">
      <alignment vertical="center"/>
    </xf>
    <xf numFmtId="10" fontId="13" fillId="0" borderId="0" xfId="51" applyNumberFormat="1" applyFont="1" applyAlignment="1">
      <alignment horizontal="right"/>
    </xf>
    <xf numFmtId="10" fontId="18" fillId="0" borderId="0" xfId="51" applyNumberFormat="1" applyFont="1" applyAlignment="1">
      <alignment horizontal="right"/>
    </xf>
    <xf numFmtId="10" fontId="13" fillId="0" borderId="0" xfId="51" applyNumberFormat="1" applyFont="1"/>
    <xf numFmtId="166" fontId="13" fillId="0" borderId="0" xfId="51" applyNumberFormat="1" applyFont="1" applyAlignment="1">
      <alignment horizontal="right"/>
    </xf>
    <xf numFmtId="164" fontId="21" fillId="0" borderId="0" xfId="2" applyNumberFormat="1" applyFont="1" applyAlignment="1">
      <alignment horizontal="right"/>
    </xf>
    <xf numFmtId="1" fontId="13" fillId="20" borderId="0" xfId="45" applyNumberFormat="1" applyFont="1" applyFill="1">
      <alignment horizontal="left" vertical="center"/>
    </xf>
    <xf numFmtId="1" fontId="18" fillId="0" borderId="0" xfId="2" applyNumberFormat="1" applyFont="1" applyFill="1" applyAlignment="1">
      <alignment horizontal="right"/>
    </xf>
    <xf numFmtId="1" fontId="12" fillId="0" borderId="11" xfId="2" applyNumberFormat="1" applyFont="1" applyFill="1" applyBorder="1" applyAlignment="1">
      <alignment horizontal="right"/>
    </xf>
    <xf numFmtId="164" fontId="21" fillId="0" borderId="0" xfId="2" applyNumberFormat="1" applyFont="1"/>
    <xf numFmtId="164" fontId="18" fillId="0" borderId="0" xfId="2" applyNumberFormat="1" applyFont="1" applyFill="1"/>
    <xf numFmtId="164" fontId="18" fillId="0" borderId="0" xfId="2" applyNumberFormat="1" applyFont="1" applyFill="1" applyAlignment="1">
      <alignment horizontal="right"/>
    </xf>
    <xf numFmtId="168" fontId="18" fillId="0" borderId="0" xfId="51" applyNumberFormat="1" applyFont="1" applyFill="1" applyAlignment="1">
      <alignment horizontal="right"/>
    </xf>
    <xf numFmtId="168" fontId="13" fillId="0" borderId="0" xfId="51" applyNumberFormat="1" applyFont="1" applyFill="1" applyBorder="1" applyAlignment="1">
      <alignment horizontal="right" vertical="center"/>
    </xf>
    <xf numFmtId="164" fontId="14" fillId="0" borderId="0" xfId="2" applyNumberFormat="1" applyFont="1" applyFill="1" applyAlignment="1">
      <alignment horizontal="right"/>
    </xf>
    <xf numFmtId="1" fontId="18" fillId="0" borderId="0" xfId="51" applyNumberFormat="1" applyFont="1" applyFill="1" applyAlignment="1">
      <alignment horizontal="right"/>
    </xf>
    <xf numFmtId="1" fontId="14" fillId="0" borderId="0" xfId="2" applyNumberFormat="1" applyFont="1" applyFill="1" applyAlignment="1">
      <alignment horizontal="right"/>
    </xf>
    <xf numFmtId="164" fontId="36" fillId="0" borderId="0" xfId="58" applyNumberFormat="1" applyFont="1" applyFill="1" applyBorder="1" applyAlignment="1">
      <alignment horizontal="right" vertical="center"/>
    </xf>
    <xf numFmtId="164" fontId="49" fillId="0" borderId="0" xfId="2" applyNumberFormat="1" applyFont="1" applyFill="1"/>
    <xf numFmtId="167" fontId="49" fillId="0" borderId="0" xfId="2" applyNumberFormat="1" applyFont="1" applyFill="1"/>
    <xf numFmtId="164" fontId="13" fillId="0" borderId="0" xfId="2" applyNumberFormat="1" applyFont="1" applyFill="1" applyBorder="1" applyAlignment="1">
      <alignment horizontal="right"/>
    </xf>
    <xf numFmtId="164" fontId="14" fillId="0" borderId="0" xfId="2" applyNumberFormat="1" applyFont="1" applyFill="1" applyBorder="1" applyAlignment="1">
      <alignment horizontal="right"/>
    </xf>
    <xf numFmtId="166" fontId="14" fillId="0" borderId="0" xfId="2" applyNumberFormat="1" applyFont="1" applyFill="1" applyBorder="1"/>
    <xf numFmtId="166" fontId="14" fillId="0" borderId="0" xfId="2" applyNumberFormat="1" applyFont="1" applyFill="1"/>
    <xf numFmtId="167" fontId="13" fillId="0" borderId="0" xfId="2" applyNumberFormat="1" applyFont="1" applyFill="1" applyAlignment="1">
      <alignment horizontal="right"/>
    </xf>
    <xf numFmtId="167" fontId="14" fillId="0" borderId="0" xfId="2" applyNumberFormat="1" applyFont="1" applyFill="1" applyAlignment="1">
      <alignment horizontal="right"/>
    </xf>
    <xf numFmtId="0" fontId="16" fillId="15" borderId="0" xfId="58" applyFont="1" applyFill="1" applyBorder="1">
      <alignment horizontal="left" vertical="center"/>
    </xf>
    <xf numFmtId="1" fontId="13" fillId="15" borderId="0" xfId="58" applyNumberFormat="1" applyFont="1" applyFill="1" applyBorder="1" applyAlignment="1">
      <alignment horizontal="right" vertical="center"/>
    </xf>
    <xf numFmtId="164" fontId="13" fillId="15" borderId="0" xfId="58" applyNumberFormat="1" applyFont="1" applyFill="1" applyBorder="1" applyAlignment="1">
      <alignment horizontal="right" vertical="center"/>
    </xf>
    <xf numFmtId="1" fontId="16" fillId="15" borderId="0" xfId="58" applyNumberFormat="1" applyFont="1" applyFill="1" applyBorder="1" applyAlignment="1">
      <alignment horizontal="right" vertical="center"/>
    </xf>
    <xf numFmtId="164" fontId="14" fillId="15" borderId="0" xfId="58" applyNumberFormat="1" applyFont="1" applyFill="1" applyBorder="1" applyAlignment="1">
      <alignment horizontal="right" vertical="center"/>
    </xf>
    <xf numFmtId="2" fontId="13" fillId="15" borderId="0" xfId="58" applyNumberFormat="1" applyFont="1" applyFill="1" applyBorder="1" applyAlignment="1">
      <alignment horizontal="right" vertical="center"/>
    </xf>
    <xf numFmtId="166" fontId="13" fillId="15" borderId="0" xfId="58" applyNumberFormat="1" applyFont="1" applyFill="1" applyBorder="1" applyAlignment="1">
      <alignment horizontal="right" vertical="center"/>
    </xf>
    <xf numFmtId="171" fontId="16" fillId="15" borderId="0" xfId="58" applyNumberFormat="1" applyFont="1" applyFill="1" applyBorder="1" applyAlignment="1">
      <alignment horizontal="right" vertical="center"/>
    </xf>
    <xf numFmtId="9" fontId="16" fillId="15" borderId="0" xfId="51" applyFont="1" applyFill="1" applyBorder="1" applyAlignment="1">
      <alignment horizontal="right" vertical="center"/>
    </xf>
    <xf numFmtId="1" fontId="48" fillId="15" borderId="0" xfId="58" applyNumberFormat="1" applyFont="1" applyFill="1" applyBorder="1" applyAlignment="1">
      <alignment horizontal="right" vertical="center"/>
    </xf>
    <xf numFmtId="167" fontId="16" fillId="15" borderId="0" xfId="58" applyNumberFormat="1" applyFont="1" applyFill="1" applyBorder="1" applyAlignment="1">
      <alignment horizontal="right" vertical="center"/>
    </xf>
    <xf numFmtId="164" fontId="16" fillId="15" borderId="0" xfId="58" applyNumberFormat="1" applyFont="1" applyFill="1" applyBorder="1">
      <alignment horizontal="left" vertical="center"/>
    </xf>
    <xf numFmtId="164" fontId="48" fillId="15" borderId="0" xfId="58" applyNumberFormat="1" applyFont="1" applyFill="1" applyBorder="1" applyAlignment="1">
      <alignment horizontal="right" vertical="center"/>
    </xf>
    <xf numFmtId="164" fontId="16" fillId="15" borderId="0" xfId="58" applyNumberFormat="1" applyFont="1" applyFill="1" applyBorder="1" applyAlignment="1">
      <alignment horizontal="right" vertical="center"/>
    </xf>
    <xf numFmtId="173" fontId="16" fillId="15" borderId="0" xfId="58" applyNumberFormat="1" applyFont="1" applyFill="1" applyBorder="1">
      <alignment horizontal="left" vertical="center"/>
    </xf>
    <xf numFmtId="173" fontId="14" fillId="15" borderId="0" xfId="58" applyNumberFormat="1" applyFont="1" applyFill="1" applyBorder="1" applyAlignment="1">
      <alignment horizontal="right" vertical="center"/>
    </xf>
    <xf numFmtId="171" fontId="13" fillId="15" borderId="0" xfId="58" applyNumberFormat="1" applyFont="1" applyFill="1" applyBorder="1" applyAlignment="1">
      <alignment horizontal="right" vertical="center"/>
    </xf>
    <xf numFmtId="3" fontId="13" fillId="0" borderId="0" xfId="45" applyNumberFormat="1" applyFont="1" applyFill="1">
      <alignment horizontal="left" vertical="center"/>
    </xf>
    <xf numFmtId="166" fontId="13" fillId="0" borderId="0" xfId="51" applyNumberFormat="1" applyFont="1" applyFill="1"/>
    <xf numFmtId="0" fontId="22" fillId="15" borderId="0" xfId="58" applyFont="1" applyFill="1" applyBorder="1">
      <alignment horizontal="left" vertical="center"/>
    </xf>
    <xf numFmtId="0" fontId="22" fillId="15" borderId="0" xfId="2" applyFont="1" applyFill="1"/>
    <xf numFmtId="0" fontId="24" fillId="15" borderId="0" xfId="2" applyFont="1" applyFill="1"/>
    <xf numFmtId="1" fontId="24" fillId="15" borderId="0" xfId="2" applyNumberFormat="1" applyFont="1" applyFill="1"/>
    <xf numFmtId="2" fontId="22" fillId="15" borderId="0" xfId="2" applyNumberFormat="1" applyFont="1" applyFill="1"/>
    <xf numFmtId="3" fontId="22" fillId="15" borderId="0" xfId="2" applyNumberFormat="1" applyFont="1" applyFill="1"/>
    <xf numFmtId="164" fontId="22" fillId="15" borderId="0" xfId="52" quotePrefix="1" applyNumberFormat="1" applyFont="1" applyFill="1" applyBorder="1" applyAlignment="1">
      <alignment horizontal="right" vertical="center"/>
    </xf>
    <xf numFmtId="0" fontId="14" fillId="15" borderId="0" xfId="2" applyFont="1" applyFill="1"/>
    <xf numFmtId="9" fontId="14" fillId="15" borderId="0" xfId="2" applyNumberFormat="1" applyFont="1" applyFill="1"/>
    <xf numFmtId="166" fontId="14" fillId="15" borderId="0" xfId="2" applyNumberFormat="1" applyFont="1" applyFill="1"/>
    <xf numFmtId="2" fontId="12" fillId="0" borderId="0" xfId="2" applyNumberFormat="1" applyFont="1" applyFill="1"/>
    <xf numFmtId="164" fontId="12" fillId="0" borderId="0" xfId="2" applyNumberFormat="1" applyFont="1" applyFill="1" applyBorder="1"/>
    <xf numFmtId="9" fontId="16" fillId="0" borderId="0" xfId="51" applyFont="1" applyFill="1" applyBorder="1"/>
    <xf numFmtId="9" fontId="13" fillId="0" borderId="0" xfId="51" applyFont="1" applyFill="1" applyBorder="1" applyAlignment="1">
      <alignment horizontal="right" vertical="center"/>
    </xf>
    <xf numFmtId="164" fontId="34" fillId="0" borderId="2" xfId="58" applyNumberFormat="1" applyFont="1" applyFill="1" applyBorder="1">
      <alignment horizontal="left" vertical="center"/>
    </xf>
    <xf numFmtId="164" fontId="13" fillId="0" borderId="0" xfId="51" applyNumberFormat="1" applyFont="1" applyFill="1" applyBorder="1"/>
    <xf numFmtId="1" fontId="13" fillId="0" borderId="0" xfId="51" applyNumberFormat="1" applyFont="1" applyFill="1" applyBorder="1"/>
    <xf numFmtId="1" fontId="14" fillId="0" borderId="0" xfId="2" applyNumberFormat="1" applyFont="1" applyFill="1" applyBorder="1"/>
    <xf numFmtId="178" fontId="14" fillId="0" borderId="0" xfId="36" applyNumberFormat="1" applyFont="1" applyFill="1" applyBorder="1" applyAlignment="1">
      <alignment horizontal="left"/>
    </xf>
    <xf numFmtId="2" fontId="13" fillId="0" borderId="0" xfId="2" applyNumberFormat="1" applyFont="1" applyAlignment="1"/>
    <xf numFmtId="0" fontId="12" fillId="0" borderId="0" xfId="2" applyFont="1" applyFill="1" applyAlignment="1"/>
    <xf numFmtId="1" fontId="13" fillId="0" borderId="0" xfId="2" applyNumberFormat="1" applyFont="1" applyAlignment="1"/>
    <xf numFmtId="1" fontId="16" fillId="0" borderId="0" xfId="2" applyNumberFormat="1" applyFont="1" applyFill="1" applyAlignment="1">
      <alignment horizontal="left" indent="1"/>
    </xf>
    <xf numFmtId="1" fontId="14" fillId="0" borderId="0" xfId="51" applyNumberFormat="1" applyFont="1" applyFill="1"/>
    <xf numFmtId="9" fontId="13" fillId="16" borderId="0" xfId="51" applyFont="1" applyFill="1"/>
    <xf numFmtId="9" fontId="16" fillId="0" borderId="0" xfId="51" applyFont="1" applyFill="1" applyBorder="1" applyAlignment="1">
      <alignment horizontal="right"/>
    </xf>
    <xf numFmtId="164" fontId="16" fillId="0" borderId="0" xfId="45" applyNumberFormat="1" applyFont="1" applyFill="1" applyAlignment="1">
      <alignment horizontal="left" vertical="center" indent="1"/>
    </xf>
    <xf numFmtId="9" fontId="12" fillId="0" borderId="0" xfId="51" applyFont="1" applyFill="1" applyAlignment="1">
      <alignment horizontal="right"/>
    </xf>
    <xf numFmtId="0" fontId="14" fillId="0" borderId="0" xfId="2" applyFont="1" applyFill="1"/>
    <xf numFmtId="167" fontId="8" fillId="0" borderId="0" xfId="2" applyNumberFormat="1" applyFont="1" applyFill="1"/>
    <xf numFmtId="167" fontId="34" fillId="0" borderId="2" xfId="58" applyNumberFormat="1" applyFont="1" applyFill="1" applyBorder="1" applyAlignment="1">
      <alignment horizontal="right" vertical="center"/>
    </xf>
    <xf numFmtId="2" fontId="12" fillId="0" borderId="0" xfId="58" applyNumberFormat="1" applyFont="1" applyFill="1" applyBorder="1">
      <alignment horizontal="left" vertical="center"/>
    </xf>
    <xf numFmtId="164" fontId="35" fillId="0" borderId="0" xfId="58" applyNumberFormat="1" applyFont="1" applyFill="1" applyBorder="1" applyAlignment="1">
      <alignment vertical="center"/>
    </xf>
    <xf numFmtId="164" fontId="16" fillId="0" borderId="0" xfId="58" applyNumberFormat="1" applyFont="1" applyFill="1" applyBorder="1" applyAlignment="1">
      <alignment vertical="center"/>
    </xf>
    <xf numFmtId="167" fontId="18" fillId="0" borderId="0" xfId="2" applyNumberFormat="1" applyFont="1" applyFill="1"/>
    <xf numFmtId="1" fontId="13" fillId="0" borderId="0" xfId="52" applyNumberFormat="1" applyFont="1" applyFill="1" applyBorder="1" applyAlignment="1">
      <alignment horizontal="right" vertical="center"/>
    </xf>
    <xf numFmtId="1" fontId="15" fillId="0" borderId="0" xfId="58" applyNumberFormat="1" applyFont="1" applyFill="1" applyBorder="1" applyAlignment="1">
      <alignment horizontal="right" vertical="center"/>
    </xf>
    <xf numFmtId="1" fontId="16" fillId="0" borderId="0" xfId="45" applyNumberFormat="1" applyFont="1" applyFill="1" applyAlignment="1">
      <alignment horizontal="left" vertical="center"/>
    </xf>
    <xf numFmtId="0" fontId="13" fillId="0" borderId="22" xfId="2" applyFont="1" applyFill="1" applyBorder="1" applyAlignment="1">
      <alignment horizontal="left"/>
    </xf>
    <xf numFmtId="1" fontId="13" fillId="0" borderId="16" xfId="2" applyNumberFormat="1" applyFont="1" applyFill="1" applyBorder="1" applyAlignment="1">
      <alignment horizontal="right"/>
    </xf>
    <xf numFmtId="1" fontId="13" fillId="0" borderId="31" xfId="2" applyNumberFormat="1" applyFont="1" applyFill="1" applyBorder="1" applyAlignment="1">
      <alignment horizontal="right"/>
    </xf>
    <xf numFmtId="0" fontId="13" fillId="0" borderId="23" xfId="2" applyFont="1" applyFill="1" applyBorder="1" applyAlignment="1">
      <alignment horizontal="left"/>
    </xf>
    <xf numFmtId="1" fontId="13" fillId="0" borderId="24" xfId="52" applyNumberFormat="1" applyFont="1" applyFill="1" applyBorder="1" applyAlignment="1">
      <alignment horizontal="right" vertical="center"/>
    </xf>
    <xf numFmtId="0" fontId="13" fillId="0" borderId="23" xfId="2" applyFont="1" applyBorder="1" applyAlignment="1">
      <alignment horizontal="left"/>
    </xf>
    <xf numFmtId="9" fontId="13" fillId="0" borderId="24" xfId="51" applyFont="1" applyFill="1" applyBorder="1" applyAlignment="1">
      <alignment horizontal="right" vertical="center"/>
    </xf>
    <xf numFmtId="1" fontId="16" fillId="17" borderId="23" xfId="45" applyNumberFormat="1" applyFont="1" applyFill="1" applyBorder="1" applyAlignment="1">
      <alignment horizontal="left" vertical="center"/>
    </xf>
    <xf numFmtId="0" fontId="13" fillId="17" borderId="0" xfId="2" applyFont="1" applyFill="1" applyBorder="1" applyAlignment="1">
      <alignment horizontal="right"/>
    </xf>
    <xf numFmtId="1" fontId="13" fillId="17" borderId="0" xfId="2" applyNumberFormat="1" applyFont="1" applyFill="1" applyBorder="1" applyAlignment="1">
      <alignment horizontal="right"/>
    </xf>
    <xf numFmtId="1" fontId="13" fillId="17" borderId="24" xfId="2" applyNumberFormat="1" applyFont="1" applyFill="1" applyBorder="1" applyAlignment="1">
      <alignment horizontal="right"/>
    </xf>
    <xf numFmtId="1" fontId="16" fillId="17" borderId="25" xfId="45" applyNumberFormat="1" applyFont="1" applyFill="1" applyBorder="1" applyAlignment="1">
      <alignment horizontal="left" vertical="center"/>
    </xf>
    <xf numFmtId="0" fontId="13" fillId="17" borderId="7" xfId="2" applyFont="1" applyFill="1" applyBorder="1" applyAlignment="1">
      <alignment horizontal="right"/>
    </xf>
    <xf numFmtId="9" fontId="13" fillId="17" borderId="7" xfId="51" applyFont="1" applyFill="1" applyBorder="1" applyAlignment="1">
      <alignment horizontal="right"/>
    </xf>
    <xf numFmtId="1" fontId="13" fillId="17" borderId="7" xfId="2" applyNumberFormat="1" applyFont="1" applyFill="1" applyBorder="1" applyAlignment="1">
      <alignment horizontal="right"/>
    </xf>
    <xf numFmtId="9" fontId="13" fillId="17" borderId="26" xfId="51" applyFont="1" applyFill="1" applyBorder="1" applyAlignment="1">
      <alignment horizontal="right"/>
    </xf>
    <xf numFmtId="0" fontId="8" fillId="21" borderId="0" xfId="58" applyFont="1" applyFill="1" applyBorder="1">
      <alignment horizontal="left" vertical="center"/>
    </xf>
    <xf numFmtId="164" fontId="34" fillId="0" borderId="0" xfId="58" applyNumberFormat="1" applyFont="1" applyFill="1" applyBorder="1">
      <alignment horizontal="left" vertical="center"/>
    </xf>
    <xf numFmtId="2" fontId="4" fillId="0" borderId="0" xfId="58" applyNumberFormat="1" applyFont="1" applyFill="1" applyBorder="1" applyAlignment="1">
      <alignment vertical="center"/>
    </xf>
    <xf numFmtId="0" fontId="23" fillId="15" borderId="0" xfId="58" applyFont="1" applyFill="1" applyBorder="1">
      <alignment horizontal="left" vertical="center"/>
    </xf>
    <xf numFmtId="2" fontId="16" fillId="0" borderId="0" xfId="58" applyNumberFormat="1" applyFont="1" applyFill="1" applyBorder="1" applyAlignment="1">
      <alignment vertical="center"/>
    </xf>
    <xf numFmtId="1" fontId="15" fillId="0" borderId="0" xfId="58" applyNumberFormat="1" applyFont="1" applyFill="1" applyBorder="1" applyAlignment="1">
      <alignment horizontal="left" vertical="center"/>
    </xf>
    <xf numFmtId="1" fontId="13" fillId="0" borderId="0" xfId="52" applyNumberFormat="1" applyFont="1" applyFill="1" applyBorder="1" applyAlignment="1">
      <alignment horizontal="left" vertical="center"/>
    </xf>
    <xf numFmtId="167" fontId="34" fillId="0" borderId="2" xfId="58" applyNumberFormat="1" applyFont="1" applyFill="1" applyBorder="1">
      <alignment horizontal="left" vertical="center"/>
    </xf>
    <xf numFmtId="180" fontId="13" fillId="0" borderId="23" xfId="45" applyNumberFormat="1" applyFont="1" applyFill="1" applyBorder="1" applyAlignment="1">
      <alignment horizontal="left" vertical="center"/>
    </xf>
    <xf numFmtId="164" fontId="13" fillId="0" borderId="0" xfId="58" applyNumberFormat="1" applyFont="1" applyFill="1" applyBorder="1" applyAlignment="1">
      <alignment vertical="center"/>
    </xf>
    <xf numFmtId="180" fontId="16" fillId="0" borderId="0" xfId="45" applyNumberFormat="1" applyFont="1" applyFill="1" applyBorder="1" applyAlignment="1">
      <alignment horizontal="left" vertical="center"/>
    </xf>
    <xf numFmtId="180" fontId="16" fillId="0" borderId="7" xfId="45" applyNumberFormat="1" applyFont="1" applyFill="1" applyBorder="1" applyAlignment="1">
      <alignment horizontal="left" vertical="center"/>
    </xf>
    <xf numFmtId="164" fontId="13" fillId="0" borderId="0" xfId="51" applyNumberFormat="1" applyFont="1" applyFill="1" applyBorder="1" applyAlignment="1">
      <alignment horizontal="right" vertical="center"/>
    </xf>
    <xf numFmtId="180" fontId="13" fillId="0" borderId="0" xfId="45" applyNumberFormat="1" applyFont="1" applyFill="1" applyBorder="1" applyAlignment="1">
      <alignment horizontal="left" vertical="center"/>
    </xf>
    <xf numFmtId="164" fontId="13" fillId="0" borderId="0" xfId="45" applyNumberFormat="1" applyFont="1" applyFill="1" applyBorder="1" applyAlignment="1">
      <alignment horizontal="left" vertical="center"/>
    </xf>
    <xf numFmtId="180" fontId="12" fillId="0" borderId="23" xfId="45" applyNumberFormat="1" applyFont="1" applyFill="1" applyBorder="1" applyAlignment="1">
      <alignment horizontal="left" vertical="center"/>
    </xf>
    <xf numFmtId="0" fontId="12" fillId="0" borderId="0" xfId="58" applyFont="1" applyFill="1" applyBorder="1">
      <alignment horizontal="left" vertical="center"/>
    </xf>
    <xf numFmtId="164" fontId="12" fillId="0" borderId="0" xfId="51" applyNumberFormat="1" applyFont="1" applyFill="1" applyBorder="1" applyAlignment="1">
      <alignment horizontal="right" vertical="center"/>
    </xf>
    <xf numFmtId="164" fontId="12" fillId="0" borderId="0" xfId="58" applyNumberFormat="1" applyFont="1" applyFill="1" applyBorder="1" applyAlignment="1">
      <alignment horizontal="right" vertical="center"/>
    </xf>
    <xf numFmtId="164" fontId="22" fillId="0" borderId="0" xfId="2" applyNumberFormat="1" applyFont="1"/>
    <xf numFmtId="164" fontId="22" fillId="15" borderId="0" xfId="2" applyNumberFormat="1" applyFont="1" applyFill="1"/>
    <xf numFmtId="167" fontId="17" fillId="0" borderId="0" xfId="2" applyNumberFormat="1" applyFont="1"/>
    <xf numFmtId="2" fontId="16" fillId="15" borderId="0" xfId="58" applyNumberFormat="1" applyFont="1" applyFill="1" applyBorder="1" applyAlignment="1">
      <alignment horizontal="right" vertical="center"/>
    </xf>
    <xf numFmtId="167" fontId="13" fillId="15" borderId="0" xfId="58" applyNumberFormat="1" applyFont="1" applyFill="1" applyBorder="1" applyAlignment="1">
      <alignment horizontal="right" vertical="center"/>
    </xf>
    <xf numFmtId="171" fontId="13" fillId="15" borderId="0" xfId="58" applyNumberFormat="1" applyFont="1" applyFill="1" applyBorder="1" applyAlignment="1">
      <alignment horizontal="left" vertical="center" indent="1"/>
    </xf>
    <xf numFmtId="171" fontId="13" fillId="20" borderId="0" xfId="2" applyNumberFormat="1" applyFont="1" applyFill="1"/>
    <xf numFmtId="171" fontId="16" fillId="15" borderId="0" xfId="58" applyNumberFormat="1" applyFont="1" applyFill="1" applyBorder="1">
      <alignment horizontal="left" vertical="center"/>
    </xf>
    <xf numFmtId="171" fontId="13" fillId="15" borderId="0" xfId="37" applyNumberFormat="1" applyFont="1" applyFill="1" applyBorder="1" applyAlignment="1">
      <alignment horizontal="right" vertical="center"/>
    </xf>
    <xf numFmtId="171" fontId="16" fillId="0" borderId="0" xfId="58" applyNumberFormat="1" applyFont="1" applyFill="1" applyBorder="1">
      <alignment horizontal="left" vertical="center"/>
    </xf>
    <xf numFmtId="171" fontId="13" fillId="0" borderId="0" xfId="58" applyNumberFormat="1" applyFont="1" applyFill="1" applyBorder="1" applyAlignment="1">
      <alignment horizontal="right" vertical="center"/>
    </xf>
    <xf numFmtId="171" fontId="18" fillId="15" borderId="0" xfId="37" applyNumberFormat="1" applyFont="1" applyFill="1" applyBorder="1" applyAlignment="1">
      <alignment horizontal="right" vertical="center"/>
    </xf>
    <xf numFmtId="1" fontId="13" fillId="15" borderId="0" xfId="58" applyNumberFormat="1" applyFont="1" applyFill="1" applyBorder="1">
      <alignment horizontal="left" vertical="center"/>
    </xf>
    <xf numFmtId="1" fontId="13" fillId="15" borderId="0" xfId="58" applyNumberFormat="1" applyFont="1" applyFill="1" applyBorder="1" applyAlignment="1">
      <alignment horizontal="left" vertical="center" indent="1"/>
    </xf>
    <xf numFmtId="164" fontId="13" fillId="15" borderId="0" xfId="58" applyNumberFormat="1" applyFont="1" applyFill="1" applyBorder="1" applyAlignment="1">
      <alignment horizontal="left" vertical="center" indent="1"/>
    </xf>
    <xf numFmtId="2" fontId="13" fillId="0" borderId="0" xfId="2" applyNumberFormat="1" applyFont="1" applyFill="1" applyBorder="1"/>
    <xf numFmtId="1" fontId="13" fillId="0" borderId="0" xfId="58" applyNumberFormat="1" applyFont="1" applyFill="1" applyBorder="1" applyAlignment="1">
      <alignment vertical="center"/>
    </xf>
    <xf numFmtId="1" fontId="18" fillId="0" borderId="0" xfId="58" applyNumberFormat="1" applyFont="1" applyFill="1" applyBorder="1" applyAlignment="1">
      <alignment horizontal="right" vertical="center"/>
    </xf>
    <xf numFmtId="164" fontId="13" fillId="15" borderId="0" xfId="51" applyNumberFormat="1" applyFont="1" applyFill="1" applyBorder="1" applyAlignment="1">
      <alignment horizontal="right" vertical="center"/>
    </xf>
    <xf numFmtId="164" fontId="13" fillId="15" borderId="0" xfId="51" applyNumberFormat="1" applyFont="1" applyFill="1" applyBorder="1" applyAlignment="1">
      <alignment horizontal="left" vertical="center"/>
    </xf>
    <xf numFmtId="164" fontId="13" fillId="0" borderId="0" xfId="51" applyNumberFormat="1" applyFont="1" applyFill="1" applyBorder="1" applyAlignment="1">
      <alignment horizontal="left" vertical="center"/>
    </xf>
    <xf numFmtId="167" fontId="16" fillId="15" borderId="0" xfId="58" applyNumberFormat="1" applyFont="1" applyFill="1" applyBorder="1">
      <alignment horizontal="left" vertical="center"/>
    </xf>
    <xf numFmtId="167" fontId="16" fillId="15" borderId="0" xfId="58" applyNumberFormat="1" applyFont="1" applyFill="1" applyBorder="1" applyAlignment="1">
      <alignment vertical="center"/>
    </xf>
    <xf numFmtId="0" fontId="16" fillId="20" borderId="0" xfId="2" applyFont="1" applyFill="1"/>
    <xf numFmtId="1" fontId="12" fillId="15" borderId="0" xfId="58" applyNumberFormat="1" applyFont="1" applyFill="1" applyBorder="1">
      <alignment horizontal="left" vertical="center"/>
    </xf>
    <xf numFmtId="164" fontId="13" fillId="0" borderId="0" xfId="36" applyNumberFormat="1" applyFont="1" applyFill="1"/>
    <xf numFmtId="164" fontId="16" fillId="0" borderId="0" xfId="36" applyNumberFormat="1" applyFont="1" applyFill="1"/>
    <xf numFmtId="2" fontId="13" fillId="21" borderId="0" xfId="2" applyNumberFormat="1" applyFont="1" applyFill="1" applyAlignment="1">
      <alignment horizontal="right"/>
    </xf>
    <xf numFmtId="164" fontId="24" fillId="15" borderId="0" xfId="2" applyNumberFormat="1" applyFont="1" applyFill="1"/>
    <xf numFmtId="164" fontId="16" fillId="21" borderId="0" xfId="52" applyNumberFormat="1" applyFont="1" applyFill="1" applyBorder="1">
      <alignment horizontal="right" vertical="center"/>
    </xf>
    <xf numFmtId="164" fontId="13" fillId="0" borderId="0" xfId="45" applyNumberFormat="1" applyFont="1" applyFill="1" applyAlignment="1">
      <alignment horizontal="left" vertical="center"/>
    </xf>
    <xf numFmtId="164" fontId="13" fillId="21" borderId="0" xfId="52" applyNumberFormat="1" applyFont="1" applyFill="1" applyBorder="1">
      <alignment horizontal="right" vertical="center"/>
    </xf>
    <xf numFmtId="164" fontId="13" fillId="15" borderId="0" xfId="45" applyNumberFormat="1" applyFont="1" applyFill="1" applyAlignment="1">
      <alignment horizontal="left" vertical="center" indent="1"/>
    </xf>
    <xf numFmtId="164" fontId="13" fillId="0" borderId="0" xfId="45" applyNumberFormat="1" applyFont="1" applyFill="1" applyAlignment="1">
      <alignment horizontal="left" vertical="center" indent="1"/>
    </xf>
    <xf numFmtId="164" fontId="47" fillId="0" borderId="0" xfId="2" applyNumberFormat="1" applyFont="1" applyFill="1" applyBorder="1" applyAlignment="1">
      <alignment horizontal="right"/>
    </xf>
    <xf numFmtId="164" fontId="47" fillId="0" borderId="0" xfId="36" applyNumberFormat="1" applyFont="1" applyFill="1" applyAlignment="1">
      <alignment horizontal="center"/>
    </xf>
    <xf numFmtId="9" fontId="16" fillId="21" borderId="0" xfId="51" applyFont="1" applyFill="1" applyAlignment="1">
      <alignment horizontal="left" vertical="center"/>
    </xf>
    <xf numFmtId="9" fontId="22" fillId="15" borderId="0" xfId="51" applyFont="1" applyFill="1"/>
    <xf numFmtId="9" fontId="13" fillId="21" borderId="0" xfId="51" applyFont="1" applyFill="1" applyBorder="1" applyAlignment="1">
      <alignment horizontal="right" vertical="center"/>
    </xf>
    <xf numFmtId="9" fontId="24" fillId="15" borderId="0" xfId="51" applyFont="1" applyFill="1"/>
    <xf numFmtId="9" fontId="16" fillId="21" borderId="0" xfId="51" applyFont="1" applyFill="1" applyBorder="1" applyAlignment="1">
      <alignment horizontal="right" vertical="center"/>
    </xf>
    <xf numFmtId="1" fontId="17" fillId="15" borderId="0" xfId="58" applyNumberFormat="1" applyFont="1" applyFill="1" applyBorder="1">
      <alignment horizontal="left" vertical="center"/>
    </xf>
    <xf numFmtId="1" fontId="12" fillId="15" borderId="0" xfId="58" applyNumberFormat="1" applyFont="1" applyFill="1" applyBorder="1" applyAlignment="1">
      <alignment horizontal="right" vertical="center"/>
    </xf>
    <xf numFmtId="164" fontId="12" fillId="15" borderId="0" xfId="58" applyNumberFormat="1" applyFont="1" applyFill="1" applyBorder="1" applyAlignment="1">
      <alignment horizontal="right" vertical="center"/>
    </xf>
    <xf numFmtId="1" fontId="12" fillId="0" borderId="0" xfId="58" applyNumberFormat="1" applyFont="1" applyFill="1" applyBorder="1" applyAlignment="1">
      <alignment horizontal="right" vertical="center"/>
    </xf>
    <xf numFmtId="164" fontId="15" fillId="0" borderId="0" xfId="58" applyNumberFormat="1" applyFont="1" applyFill="1" applyBorder="1" applyAlignment="1">
      <alignment horizontal="left" vertical="center"/>
    </xf>
    <xf numFmtId="164" fontId="4" fillId="0" borderId="4" xfId="58" applyNumberFormat="1" applyFont="1" applyFill="1" applyBorder="1">
      <alignment horizontal="left" vertical="center"/>
    </xf>
    <xf numFmtId="164" fontId="4" fillId="0" borderId="2" xfId="58" applyNumberFormat="1" applyFont="1" applyFill="1" applyBorder="1">
      <alignment horizontal="left" vertical="center"/>
    </xf>
    <xf numFmtId="164" fontId="8" fillId="0" borderId="0" xfId="58" applyNumberFormat="1" applyFont="1" applyFill="1" applyBorder="1">
      <alignment horizontal="left" vertical="center"/>
    </xf>
    <xf numFmtId="164" fontId="9" fillId="19" borderId="0" xfId="59" quotePrefix="1" applyNumberFormat="1" applyFont="1" applyFill="1">
      <alignment horizontal="left" vertical="center"/>
    </xf>
    <xf numFmtId="164" fontId="9" fillId="20" borderId="0" xfId="59" quotePrefix="1" applyNumberFormat="1" applyFont="1" applyFill="1">
      <alignment horizontal="left" vertical="center"/>
    </xf>
    <xf numFmtId="164" fontId="12" fillId="0" borderId="0" xfId="45" applyNumberFormat="1" applyFont="1">
      <alignment horizontal="left" vertical="center"/>
    </xf>
    <xf numFmtId="1" fontId="14" fillId="0" borderId="0" xfId="58" applyNumberFormat="1" applyFont="1" applyFill="1" applyBorder="1" applyAlignment="1">
      <alignment horizontal="right" vertical="center"/>
    </xf>
    <xf numFmtId="1" fontId="18" fillId="0" borderId="0" xfId="2" applyNumberFormat="1" applyFont="1"/>
    <xf numFmtId="1" fontId="18" fillId="21" borderId="0" xfId="58" applyNumberFormat="1" applyFont="1" applyFill="1" applyBorder="1" applyAlignment="1">
      <alignment horizontal="right" vertical="center"/>
    </xf>
    <xf numFmtId="1" fontId="51" fillId="0" borderId="0" xfId="58" applyNumberFormat="1" applyFont="1" applyFill="1" applyBorder="1" applyAlignment="1">
      <alignment horizontal="right" vertical="center"/>
    </xf>
    <xf numFmtId="164" fontId="25" fillId="20" borderId="0" xfId="2" applyNumberFormat="1" applyFont="1" applyFill="1"/>
    <xf numFmtId="164" fontId="15" fillId="0" borderId="0" xfId="2" applyNumberFormat="1" applyFont="1" applyFill="1" applyAlignment="1">
      <alignment horizontal="right"/>
    </xf>
    <xf numFmtId="164" fontId="15" fillId="0" borderId="0" xfId="2" applyNumberFormat="1" applyFont="1" applyFill="1"/>
    <xf numFmtId="164" fontId="15" fillId="0" borderId="0" xfId="2" applyNumberFormat="1" applyFont="1" applyAlignment="1">
      <alignment horizontal="right"/>
    </xf>
    <xf numFmtId="164" fontId="15" fillId="0" borderId="0" xfId="2" applyNumberFormat="1" applyFont="1"/>
    <xf numFmtId="1" fontId="52" fillId="0" borderId="0" xfId="2" applyNumberFormat="1" applyFont="1"/>
    <xf numFmtId="1" fontId="52" fillId="0" borderId="0" xfId="2" applyNumberFormat="1" applyFont="1" applyFill="1"/>
    <xf numFmtId="1" fontId="52" fillId="0" borderId="0" xfId="2" applyNumberFormat="1" applyFont="1" applyFill="1" applyAlignment="1">
      <alignment horizontal="right"/>
    </xf>
    <xf numFmtId="167" fontId="52" fillId="0" borderId="0" xfId="2" applyNumberFormat="1" applyFont="1" applyFill="1" applyAlignment="1">
      <alignment horizontal="right"/>
    </xf>
    <xf numFmtId="164" fontId="13" fillId="0" borderId="0" xfId="51" applyNumberFormat="1" applyFont="1" applyAlignment="1">
      <alignment horizontal="right"/>
    </xf>
    <xf numFmtId="1" fontId="13" fillId="0" borderId="0" xfId="45" applyNumberFormat="1" applyFont="1" applyFill="1" applyBorder="1">
      <alignment horizontal="left" vertical="center"/>
    </xf>
    <xf numFmtId="170" fontId="13" fillId="0" borderId="0" xfId="36" applyNumberFormat="1" applyFont="1" applyFill="1" applyBorder="1" applyAlignment="1">
      <alignment horizontal="right"/>
    </xf>
    <xf numFmtId="167" fontId="12" fillId="0" borderId="11" xfId="2" applyNumberFormat="1" applyFont="1" applyFill="1" applyBorder="1" applyAlignment="1">
      <alignment horizontal="right"/>
    </xf>
    <xf numFmtId="0" fontId="13" fillId="0" borderId="0" xfId="58" applyFont="1" applyFill="1" applyBorder="1" applyAlignment="1">
      <alignment horizontal="center" vertical="center"/>
    </xf>
    <xf numFmtId="171" fontId="13" fillId="15" borderId="0" xfId="58" applyNumberFormat="1" applyFont="1" applyFill="1" applyBorder="1">
      <alignment horizontal="left" vertical="center"/>
    </xf>
    <xf numFmtId="171" fontId="14" fillId="15" borderId="0" xfId="58" applyNumberFormat="1" applyFont="1" applyFill="1" applyBorder="1" applyAlignment="1">
      <alignment horizontal="right" vertical="center"/>
    </xf>
    <xf numFmtId="9" fontId="18" fillId="15" borderId="0" xfId="51" applyFont="1" applyFill="1" applyAlignment="1">
      <alignment horizontal="right"/>
    </xf>
    <xf numFmtId="9" fontId="18" fillId="0" borderId="0" xfId="2" applyNumberFormat="1" applyFont="1" applyFill="1" applyAlignment="1">
      <alignment horizontal="right"/>
    </xf>
    <xf numFmtId="178" fontId="13" fillId="15" borderId="0" xfId="36" applyNumberFormat="1" applyFont="1" applyFill="1"/>
    <xf numFmtId="178" fontId="13" fillId="15" borderId="0" xfId="36" applyNumberFormat="1" applyFont="1" applyFill="1" applyAlignment="1">
      <alignment horizontal="right"/>
    </xf>
    <xf numFmtId="9" fontId="18" fillId="15" borderId="0" xfId="2" applyNumberFormat="1" applyFont="1" applyFill="1" applyAlignment="1">
      <alignment horizontal="right"/>
    </xf>
    <xf numFmtId="168" fontId="13" fillId="15" borderId="0" xfId="51" applyNumberFormat="1" applyFont="1" applyFill="1" applyAlignment="1">
      <alignment horizontal="right"/>
    </xf>
    <xf numFmtId="0" fontId="18" fillId="0" borderId="0" xfId="2" applyFont="1" applyFill="1" applyAlignment="1">
      <alignment horizontal="right"/>
    </xf>
    <xf numFmtId="168" fontId="18" fillId="0" borderId="0" xfId="2" applyNumberFormat="1" applyFont="1" applyFill="1" applyAlignment="1">
      <alignment horizontal="right"/>
    </xf>
    <xf numFmtId="10" fontId="18" fillId="0" borderId="0" xfId="2" applyNumberFormat="1" applyFont="1" applyFill="1" applyAlignment="1">
      <alignment horizontal="right"/>
    </xf>
    <xf numFmtId="166" fontId="13" fillId="0" borderId="0" xfId="2" applyNumberFormat="1" applyFont="1" applyFill="1" applyBorder="1" applyAlignment="1">
      <alignment horizontal="right"/>
    </xf>
    <xf numFmtId="173" fontId="13" fillId="0" borderId="0" xfId="51" applyNumberFormat="1" applyFont="1" applyFill="1" applyBorder="1" applyAlignment="1">
      <alignment horizontal="right"/>
    </xf>
    <xf numFmtId="173" fontId="13" fillId="0" borderId="0" xfId="2" applyNumberFormat="1" applyFont="1" applyFill="1" applyAlignment="1">
      <alignment horizontal="right"/>
    </xf>
    <xf numFmtId="173" fontId="13" fillId="0" borderId="0" xfId="2" applyNumberFormat="1" applyFont="1" applyFill="1"/>
    <xf numFmtId="173" fontId="13" fillId="0" borderId="0" xfId="2" applyNumberFormat="1" applyFont="1" applyAlignment="1">
      <alignment vertical="top" wrapText="1"/>
    </xf>
    <xf numFmtId="173" fontId="13" fillId="20" borderId="0" xfId="2" applyNumberFormat="1" applyFont="1" applyFill="1"/>
    <xf numFmtId="173" fontId="13" fillId="0" borderId="0" xfId="2" applyNumberFormat="1" applyFont="1"/>
    <xf numFmtId="0" fontId="13" fillId="0" borderId="0" xfId="2" applyNumberFormat="1" applyFont="1" applyFill="1"/>
    <xf numFmtId="0" fontId="14" fillId="20" borderId="0" xfId="2" applyFont="1" applyFill="1"/>
    <xf numFmtId="173" fontId="14" fillId="0" borderId="0" xfId="2" applyNumberFormat="1" applyFont="1" applyFill="1"/>
    <xf numFmtId="9" fontId="13" fillId="17" borderId="0" xfId="51" applyFont="1" applyFill="1" applyAlignment="1">
      <alignment horizontal="right" vertical="center" indent="2"/>
    </xf>
    <xf numFmtId="9" fontId="22" fillId="15" borderId="0" xfId="51" applyFont="1" applyFill="1" applyAlignment="1">
      <alignment horizontal="right"/>
    </xf>
    <xf numFmtId="9" fontId="38" fillId="17" borderId="0" xfId="51" applyFont="1" applyFill="1" applyAlignment="1">
      <alignment horizontal="right"/>
    </xf>
    <xf numFmtId="9" fontId="13" fillId="17" borderId="0" xfId="51" applyFont="1" applyFill="1" applyAlignment="1">
      <alignment horizontal="right"/>
    </xf>
    <xf numFmtId="9" fontId="13" fillId="17" borderId="0" xfId="51" applyFont="1" applyFill="1"/>
    <xf numFmtId="9" fontId="38" fillId="17" borderId="0" xfId="51" applyFont="1" applyFill="1"/>
    <xf numFmtId="164" fontId="13" fillId="15" borderId="0" xfId="45" applyNumberFormat="1" applyFont="1" applyFill="1">
      <alignment horizontal="left" vertical="center"/>
    </xf>
    <xf numFmtId="166" fontId="12" fillId="0" borderId="0" xfId="2" applyNumberFormat="1" applyFont="1" applyFill="1" applyAlignment="1">
      <alignment horizontal="right"/>
    </xf>
    <xf numFmtId="166" fontId="12" fillId="0" borderId="0" xfId="2" applyNumberFormat="1" applyFont="1" applyFill="1"/>
    <xf numFmtId="166" fontId="12" fillId="0" borderId="0" xfId="51" applyNumberFormat="1" applyFont="1" applyFill="1" applyAlignment="1">
      <alignment horizontal="right"/>
    </xf>
    <xf numFmtId="0" fontId="7" fillId="0" borderId="0" xfId="58" applyFont="1" applyFill="1" applyBorder="1" applyAlignment="1">
      <alignment horizontal="right" vertical="center"/>
    </xf>
    <xf numFmtId="0" fontId="12" fillId="20" borderId="0" xfId="2" applyFont="1" applyFill="1" applyAlignment="1">
      <alignment horizontal="right"/>
    </xf>
    <xf numFmtId="0" fontId="40" fillId="0" borderId="0" xfId="58" applyFont="1" applyFill="1" applyBorder="1" applyAlignment="1">
      <alignment horizontal="right" vertical="center"/>
    </xf>
    <xf numFmtId="0" fontId="13" fillId="0" borderId="2" xfId="2" applyFont="1" applyBorder="1" applyAlignment="1">
      <alignment horizontal="right"/>
    </xf>
    <xf numFmtId="9" fontId="13" fillId="15" borderId="0" xfId="51" applyFont="1" applyFill="1" applyBorder="1" applyAlignment="1">
      <alignment horizontal="right"/>
    </xf>
    <xf numFmtId="1" fontId="13" fillId="0" borderId="4" xfId="2" applyNumberFormat="1" applyFont="1" applyFill="1" applyBorder="1" applyAlignment="1">
      <alignment horizontal="right"/>
    </xf>
    <xf numFmtId="9" fontId="12" fillId="0" borderId="0" xfId="51" applyFont="1" applyFill="1" applyBorder="1" applyAlignment="1">
      <alignment horizontal="right"/>
    </xf>
    <xf numFmtId="2" fontId="12" fillId="0" borderId="0" xfId="2" applyNumberFormat="1" applyFont="1" applyFill="1" applyAlignment="1">
      <alignment horizontal="right"/>
    </xf>
    <xf numFmtId="9" fontId="12" fillId="0" borderId="0" xfId="2" applyNumberFormat="1" applyFont="1" applyAlignment="1">
      <alignment horizontal="right"/>
    </xf>
    <xf numFmtId="0" fontId="6" fillId="0" borderId="0" xfId="58" applyFont="1" applyFill="1" applyBorder="1" applyAlignment="1">
      <alignment horizontal="right" vertical="center"/>
    </xf>
    <xf numFmtId="0" fontId="8" fillId="0" borderId="0" xfId="59" applyFont="1" applyFill="1" applyBorder="1" applyAlignment="1">
      <alignment horizontal="right" vertical="center"/>
    </xf>
    <xf numFmtId="9" fontId="13" fillId="15" borderId="0" xfId="51" applyNumberFormat="1" applyFont="1" applyFill="1" applyBorder="1" applyAlignment="1">
      <alignment horizontal="right"/>
    </xf>
    <xf numFmtId="1" fontId="18" fillId="0" borderId="0" xfId="2" applyNumberFormat="1" applyFont="1" applyFill="1" applyBorder="1" applyAlignment="1">
      <alignment horizontal="right"/>
    </xf>
    <xf numFmtId="1" fontId="13" fillId="0" borderId="16" xfId="2" applyNumberFormat="1" applyFont="1" applyBorder="1" applyAlignment="1">
      <alignment horizontal="right"/>
    </xf>
    <xf numFmtId="1" fontId="13" fillId="0" borderId="7" xfId="2" applyNumberFormat="1" applyFont="1" applyBorder="1" applyAlignment="1">
      <alignment horizontal="right"/>
    </xf>
    <xf numFmtId="164" fontId="13" fillId="0" borderId="0" xfId="2" applyNumberFormat="1" applyFont="1" applyBorder="1" applyAlignment="1">
      <alignment horizontal="right"/>
    </xf>
    <xf numFmtId="0" fontId="14" fillId="0" borderId="0" xfId="2" applyFont="1" applyAlignment="1">
      <alignment vertical="top" wrapText="1"/>
    </xf>
    <xf numFmtId="0" fontId="14" fillId="24" borderId="0" xfId="2" quotePrefix="1" applyFont="1" applyFill="1"/>
    <xf numFmtId="0" fontId="14" fillId="24" borderId="0" xfId="2" applyFont="1" applyFill="1"/>
    <xf numFmtId="1" fontId="14" fillId="24" borderId="0" xfId="2" applyNumberFormat="1" applyFont="1" applyFill="1"/>
    <xf numFmtId="173" fontId="14" fillId="24" borderId="0" xfId="2" applyNumberFormat="1" applyFont="1" applyFill="1"/>
    <xf numFmtId="0" fontId="22" fillId="0" borderId="0" xfId="2" applyFont="1" applyAlignment="1">
      <alignment vertical="top" wrapText="1"/>
    </xf>
    <xf numFmtId="0" fontId="22" fillId="20" borderId="0" xfId="2" applyFont="1" applyFill="1"/>
    <xf numFmtId="173" fontId="22" fillId="0" borderId="0" xfId="2" applyNumberFormat="1" applyFont="1" applyFill="1"/>
    <xf numFmtId="0" fontId="14" fillId="24" borderId="0" xfId="2" applyFont="1" applyFill="1" applyAlignment="1">
      <alignment vertical="top" wrapText="1"/>
    </xf>
    <xf numFmtId="1" fontId="18" fillId="15" borderId="0" xfId="58" applyNumberFormat="1" applyFont="1" applyFill="1" applyBorder="1" applyAlignment="1">
      <alignment horizontal="right" vertical="center"/>
    </xf>
    <xf numFmtId="171" fontId="16" fillId="20" borderId="0" xfId="2" applyNumberFormat="1" applyFont="1" applyFill="1"/>
    <xf numFmtId="171" fontId="16" fillId="0" borderId="0" xfId="2" applyNumberFormat="1" applyFont="1" applyFill="1"/>
    <xf numFmtId="171" fontId="19" fillId="15" borderId="0" xfId="58" applyNumberFormat="1" applyFont="1" applyFill="1" applyBorder="1" applyAlignment="1">
      <alignment horizontal="right" vertical="center"/>
    </xf>
    <xf numFmtId="171" fontId="16" fillId="0" borderId="0" xfId="58" applyNumberFormat="1" applyFont="1" applyFill="1" applyBorder="1" applyAlignment="1">
      <alignment horizontal="right" vertical="center"/>
    </xf>
    <xf numFmtId="171" fontId="16" fillId="15" borderId="0" xfId="58" applyNumberFormat="1" applyFont="1" applyFill="1" applyBorder="1" applyAlignment="1">
      <alignment horizontal="left" vertical="center" indent="2"/>
    </xf>
    <xf numFmtId="0" fontId="53" fillId="0" borderId="0" xfId="2" applyFont="1" applyFill="1"/>
    <xf numFmtId="173" fontId="53" fillId="0" borderId="0" xfId="2" applyNumberFormat="1" applyFont="1" applyFill="1"/>
    <xf numFmtId="173" fontId="53" fillId="0" borderId="0" xfId="2" applyNumberFormat="1" applyFont="1" applyFill="1" applyAlignment="1">
      <alignment horizontal="right"/>
    </xf>
    <xf numFmtId="0" fontId="53" fillId="0" borderId="0" xfId="2" applyFont="1" applyFill="1" applyAlignment="1">
      <alignment horizontal="right"/>
    </xf>
    <xf numFmtId="0" fontId="49" fillId="20" borderId="0" xfId="2" applyFont="1" applyFill="1"/>
    <xf numFmtId="1" fontId="49" fillId="0" borderId="0" xfId="2" applyNumberFormat="1" applyFont="1" applyFill="1"/>
    <xf numFmtId="0" fontId="49" fillId="0" borderId="0" xfId="2" applyFont="1" applyFill="1" applyAlignment="1">
      <alignment horizontal="right"/>
    </xf>
    <xf numFmtId="173" fontId="49" fillId="0" borderId="0" xfId="2" applyNumberFormat="1" applyFont="1" applyFill="1"/>
    <xf numFmtId="173" fontId="49" fillId="0" borderId="0" xfId="2" applyNumberFormat="1" applyFont="1" applyFill="1" applyAlignment="1">
      <alignment horizontal="right"/>
    </xf>
    <xf numFmtId="0" fontId="49" fillId="0" borderId="0" xfId="2" applyFont="1"/>
    <xf numFmtId="0" fontId="49" fillId="0" borderId="0" xfId="2" applyFont="1" applyAlignment="1">
      <alignment vertical="top" wrapText="1"/>
    </xf>
    <xf numFmtId="9" fontId="18" fillId="15" borderId="0" xfId="51" applyFont="1" applyFill="1"/>
    <xf numFmtId="9" fontId="18" fillId="15" borderId="0" xfId="2" applyNumberFormat="1" applyFont="1" applyFill="1"/>
    <xf numFmtId="0" fontId="12" fillId="0" borderId="0" xfId="2" applyFont="1" applyFill="1" applyBorder="1" applyAlignment="1">
      <alignment vertical="top"/>
    </xf>
    <xf numFmtId="173" fontId="12" fillId="0" borderId="0" xfId="51" applyNumberFormat="1" applyFont="1" applyFill="1" applyBorder="1" applyAlignment="1">
      <alignment horizontal="right"/>
    </xf>
    <xf numFmtId="0" fontId="12" fillId="0" borderId="0" xfId="2" applyFont="1" applyBorder="1" applyAlignment="1">
      <alignment vertical="top"/>
    </xf>
    <xf numFmtId="9" fontId="12" fillId="0" borderId="0" xfId="2" applyNumberFormat="1" applyFont="1" applyFill="1" applyAlignment="1">
      <alignment horizontal="right"/>
    </xf>
    <xf numFmtId="164" fontId="12" fillId="0" borderId="0" xfId="51" applyNumberFormat="1" applyFont="1" applyFill="1" applyAlignment="1">
      <alignment horizontal="right"/>
    </xf>
    <xf numFmtId="0" fontId="12" fillId="0" borderId="0" xfId="2" applyFont="1" applyFill="1" applyAlignment="1">
      <alignment horizontal="right"/>
    </xf>
    <xf numFmtId="0" fontId="16" fillId="0" borderId="0" xfId="2" applyFont="1"/>
    <xf numFmtId="0" fontId="16" fillId="0" borderId="0" xfId="2" applyFont="1" applyAlignment="1">
      <alignment horizontal="right"/>
    </xf>
    <xf numFmtId="0" fontId="16" fillId="0" borderId="0" xfId="2" applyFont="1" applyFill="1" applyAlignment="1">
      <alignment horizontal="right"/>
    </xf>
    <xf numFmtId="2" fontId="12" fillId="0" borderId="0" xfId="2" applyNumberFormat="1" applyFont="1" applyFill="1" applyAlignment="1"/>
    <xf numFmtId="1" fontId="12" fillId="0" borderId="0" xfId="2" applyNumberFormat="1" applyFont="1" applyFill="1" applyAlignment="1"/>
    <xf numFmtId="9" fontId="18" fillId="0" borderId="0" xfId="58" applyNumberFormat="1" applyFont="1" applyFill="1" applyBorder="1" applyAlignment="1">
      <alignment horizontal="right" vertical="center"/>
    </xf>
    <xf numFmtId="1" fontId="18" fillId="0" borderId="0" xfId="51" applyNumberFormat="1" applyFont="1" applyFill="1"/>
    <xf numFmtId="0" fontId="22" fillId="21" borderId="0" xfId="2" applyFont="1" applyFill="1" applyAlignment="1">
      <alignment horizontal="right"/>
    </xf>
    <xf numFmtId="0" fontId="22" fillId="0" borderId="0" xfId="2" applyFont="1" applyFill="1" applyAlignment="1">
      <alignment horizontal="right"/>
    </xf>
    <xf numFmtId="0" fontId="19" fillId="21" borderId="0" xfId="2" applyFont="1" applyFill="1"/>
    <xf numFmtId="0" fontId="13" fillId="21" borderId="0" xfId="2" applyFont="1" applyFill="1" applyAlignment="1">
      <alignment horizontal="left" indent="1"/>
    </xf>
    <xf numFmtId="0" fontId="13" fillId="0" borderId="0" xfId="2" applyFont="1" applyFill="1" applyAlignment="1">
      <alignment horizontal="left" indent="1"/>
    </xf>
    <xf numFmtId="0" fontId="24" fillId="0" borderId="0" xfId="2" applyFont="1" applyFill="1"/>
    <xf numFmtId="0" fontId="16" fillId="21" borderId="0" xfId="2" applyFont="1" applyFill="1" applyAlignment="1">
      <alignment horizontal="right"/>
    </xf>
    <xf numFmtId="164" fontId="22" fillId="0" borderId="0" xfId="51" applyNumberFormat="1" applyFont="1" applyFill="1" applyAlignment="1">
      <alignment horizontal="right"/>
    </xf>
    <xf numFmtId="164" fontId="13" fillId="0" borderId="4" xfId="2" applyNumberFormat="1" applyFont="1" applyFill="1" applyBorder="1"/>
    <xf numFmtId="164" fontId="13" fillId="0" borderId="4" xfId="2" applyNumberFormat="1" applyFont="1" applyFill="1" applyBorder="1" applyAlignment="1">
      <alignment horizontal="right"/>
    </xf>
    <xf numFmtId="2" fontId="4" fillId="0" borderId="32" xfId="58" applyNumberFormat="1" applyFont="1" applyFill="1" applyBorder="1">
      <alignment horizontal="left" vertical="center"/>
    </xf>
    <xf numFmtId="0" fontId="23" fillId="0" borderId="32" xfId="58" applyFont="1" applyFill="1" applyBorder="1">
      <alignment horizontal="left" vertical="center"/>
    </xf>
    <xf numFmtId="0" fontId="7" fillId="0" borderId="32" xfId="58" applyFont="1" applyFill="1" applyBorder="1">
      <alignment horizontal="left" vertical="center"/>
    </xf>
    <xf numFmtId="0" fontId="34" fillId="0" borderId="32" xfId="58" applyFont="1" applyFill="1" applyBorder="1">
      <alignment horizontal="left" vertical="center"/>
    </xf>
    <xf numFmtId="0" fontId="6" fillId="0" borderId="32" xfId="58" applyFont="1" applyFill="1" applyBorder="1">
      <alignment horizontal="left" vertical="center"/>
    </xf>
    <xf numFmtId="170" fontId="6" fillId="0" borderId="32" xfId="58" applyNumberFormat="1" applyFont="1" applyFill="1" applyBorder="1">
      <alignment horizontal="left" vertical="center"/>
    </xf>
    <xf numFmtId="0" fontId="8" fillId="0" borderId="32" xfId="58" applyFont="1" applyFill="1" applyBorder="1">
      <alignment horizontal="left" vertical="center"/>
    </xf>
    <xf numFmtId="0" fontId="23" fillId="15" borderId="32" xfId="58" applyFont="1" applyFill="1" applyBorder="1">
      <alignment horizontal="left" vertical="center"/>
    </xf>
    <xf numFmtId="0" fontId="12" fillId="0" borderId="32" xfId="45" applyFont="1" applyFill="1" applyBorder="1">
      <alignment horizontal="left" vertical="center"/>
    </xf>
    <xf numFmtId="0" fontId="22" fillId="15" borderId="33" xfId="52" applyNumberFormat="1" applyFont="1" applyFill="1" applyBorder="1" applyAlignment="1">
      <alignment horizontal="centerContinuous" vertical="center"/>
    </xf>
    <xf numFmtId="0" fontId="12" fillId="0" borderId="33" xfId="52" applyNumberFormat="1" applyFont="1" applyFill="1" applyBorder="1" applyAlignment="1">
      <alignment horizontal="centerContinuous" vertical="center"/>
    </xf>
    <xf numFmtId="164" fontId="12" fillId="0" borderId="33" xfId="52" applyNumberFormat="1" applyFont="1" applyFill="1" applyBorder="1" applyAlignment="1">
      <alignment horizontal="centerContinuous" vertical="center"/>
    </xf>
    <xf numFmtId="164" fontId="12" fillId="0" borderId="33" xfId="52" quotePrefix="1" applyNumberFormat="1" applyFont="1" applyFill="1" applyBorder="1" applyAlignment="1">
      <alignment horizontal="centerContinuous" vertical="center"/>
    </xf>
    <xf numFmtId="164" fontId="12" fillId="0" borderId="32" xfId="52" applyNumberFormat="1" applyFont="1" applyFill="1" applyBorder="1">
      <alignment horizontal="right" vertical="center"/>
    </xf>
    <xf numFmtId="1" fontId="13" fillId="24" borderId="0" xfId="2" applyNumberFormat="1" applyFont="1" applyFill="1" applyAlignment="1">
      <alignment horizontal="right"/>
    </xf>
    <xf numFmtId="2" fontId="4" fillId="0" borderId="32" xfId="58" applyNumberFormat="1" applyFont="1" applyFill="1" applyBorder="1" applyAlignment="1">
      <alignment vertical="center"/>
    </xf>
    <xf numFmtId="0" fontId="6" fillId="0" borderId="32" xfId="58" applyFont="1" applyFill="1" applyBorder="1" applyAlignment="1">
      <alignment horizontal="right" vertical="center"/>
    </xf>
    <xf numFmtId="178" fontId="13" fillId="0" borderId="0" xfId="36" applyNumberFormat="1" applyFont="1" applyFill="1" applyBorder="1" applyAlignment="1">
      <alignment horizontal="right"/>
    </xf>
    <xf numFmtId="164" fontId="40" fillId="0" borderId="0" xfId="2" applyNumberFormat="1" applyFont="1" applyFill="1"/>
    <xf numFmtId="1" fontId="13" fillId="0" borderId="0" xfId="51" applyNumberFormat="1" applyFont="1" applyFill="1" applyBorder="1" applyAlignment="1">
      <alignment horizontal="right"/>
    </xf>
    <xf numFmtId="164" fontId="35" fillId="0" borderId="0" xfId="2" applyNumberFormat="1" applyFont="1" applyFill="1" applyBorder="1"/>
    <xf numFmtId="180" fontId="16" fillId="15" borderId="0" xfId="45" applyNumberFormat="1" applyFont="1" applyFill="1" applyBorder="1" applyAlignment="1">
      <alignment horizontal="left" vertical="center"/>
    </xf>
    <xf numFmtId="0" fontId="13" fillId="15" borderId="0" xfId="58" applyFont="1" applyFill="1" applyBorder="1">
      <alignment horizontal="left" vertical="center"/>
    </xf>
    <xf numFmtId="0" fontId="13" fillId="15" borderId="0" xfId="58" applyFont="1" applyFill="1" applyBorder="1" applyAlignment="1">
      <alignment horizontal="right" vertical="center"/>
    </xf>
    <xf numFmtId="164" fontId="13" fillId="15" borderId="0" xfId="58" applyNumberFormat="1" applyFont="1" applyFill="1" applyBorder="1" applyAlignment="1">
      <alignment vertical="center"/>
    </xf>
    <xf numFmtId="9" fontId="13" fillId="15" borderId="0" xfId="51" applyFont="1" applyFill="1" applyBorder="1" applyAlignment="1">
      <alignment horizontal="right" vertical="center"/>
    </xf>
    <xf numFmtId="173" fontId="13" fillId="15" borderId="0" xfId="58" applyNumberFormat="1" applyFont="1" applyFill="1" applyBorder="1" applyAlignment="1">
      <alignment horizontal="right" vertical="center"/>
    </xf>
    <xf numFmtId="9" fontId="13" fillId="0" borderId="0" xfId="51" applyNumberFormat="1" applyFont="1"/>
    <xf numFmtId="166" fontId="13" fillId="0" borderId="0" xfId="58" applyNumberFormat="1" applyFont="1" applyFill="1" applyBorder="1" applyAlignment="1">
      <alignment horizontal="right" vertical="center"/>
    </xf>
    <xf numFmtId="166" fontId="13" fillId="15" borderId="0" xfId="58" applyNumberFormat="1" applyFont="1" applyFill="1" applyBorder="1" applyAlignment="1">
      <alignment horizontal="left" vertical="center"/>
    </xf>
    <xf numFmtId="166" fontId="13" fillId="15" borderId="0" xfId="2" applyNumberFormat="1" applyFont="1" applyFill="1" applyAlignment="1">
      <alignment horizontal="right"/>
    </xf>
    <xf numFmtId="168" fontId="16" fillId="15" borderId="0" xfId="51" applyNumberFormat="1" applyFont="1" applyFill="1" applyBorder="1" applyAlignment="1">
      <alignment horizontal="right" vertical="center"/>
    </xf>
    <xf numFmtId="168" fontId="13" fillId="15" borderId="0" xfId="51" applyNumberFormat="1" applyFont="1" applyFill="1" applyBorder="1" applyAlignment="1">
      <alignment horizontal="right" vertical="center"/>
    </xf>
    <xf numFmtId="3" fontId="13" fillId="0" borderId="16" xfId="2" applyNumberFormat="1" applyFont="1" applyFill="1" applyBorder="1"/>
    <xf numFmtId="167" fontId="13" fillId="24" borderId="0" xfId="2" applyNumberFormat="1" applyFont="1" applyFill="1" applyAlignment="1">
      <alignment horizontal="right"/>
    </xf>
    <xf numFmtId="3" fontId="13" fillId="0" borderId="22" xfId="45" applyNumberFormat="1" applyFont="1" applyFill="1" applyBorder="1">
      <alignment horizontal="left" vertical="center"/>
    </xf>
    <xf numFmtId="3" fontId="22" fillId="15" borderId="16" xfId="2" applyNumberFormat="1" applyFont="1" applyFill="1" applyBorder="1"/>
    <xf numFmtId="3" fontId="13" fillId="0" borderId="16" xfId="51" applyNumberFormat="1" applyFont="1" applyFill="1" applyBorder="1"/>
    <xf numFmtId="166" fontId="13" fillId="0" borderId="16" xfId="51" applyNumberFormat="1" applyFont="1" applyFill="1" applyBorder="1"/>
    <xf numFmtId="166" fontId="18" fillId="0" borderId="16" xfId="51" applyNumberFormat="1" applyFont="1" applyFill="1" applyBorder="1"/>
    <xf numFmtId="3" fontId="13" fillId="0" borderId="23" xfId="45" applyNumberFormat="1" applyFont="1" applyFill="1" applyBorder="1">
      <alignment horizontal="left" vertical="center"/>
    </xf>
    <xf numFmtId="3" fontId="22" fillId="15" borderId="0" xfId="2" applyNumberFormat="1" applyFont="1" applyFill="1" applyBorder="1"/>
    <xf numFmtId="3" fontId="13" fillId="0" borderId="0" xfId="51" applyNumberFormat="1" applyFont="1" applyFill="1" applyBorder="1"/>
    <xf numFmtId="3" fontId="13" fillId="0" borderId="0" xfId="2" applyNumberFormat="1" applyFont="1" applyFill="1" applyBorder="1"/>
    <xf numFmtId="166" fontId="13" fillId="0" borderId="0" xfId="51" applyNumberFormat="1" applyFont="1" applyFill="1" applyBorder="1"/>
    <xf numFmtId="3" fontId="16" fillId="0" borderId="23" xfId="45" applyNumberFormat="1" applyFont="1" applyFill="1" applyBorder="1">
      <alignment horizontal="left" vertical="center"/>
    </xf>
    <xf numFmtId="0" fontId="12" fillId="21" borderId="23" xfId="2" applyFont="1" applyFill="1" applyBorder="1" applyAlignment="1">
      <alignment vertical="top" wrapText="1"/>
    </xf>
    <xf numFmtId="0" fontId="13" fillId="21" borderId="23" xfId="2" applyFont="1" applyFill="1" applyBorder="1" applyAlignment="1">
      <alignment vertical="top" wrapText="1"/>
    </xf>
    <xf numFmtId="4" fontId="13" fillId="0" borderId="0" xfId="51" applyNumberFormat="1" applyFont="1" applyFill="1" applyBorder="1"/>
    <xf numFmtId="0" fontId="16" fillId="15" borderId="23" xfId="2" applyFont="1" applyFill="1" applyBorder="1" applyAlignment="1">
      <alignment vertical="top" wrapText="1"/>
    </xf>
    <xf numFmtId="3" fontId="13" fillId="15" borderId="0" xfId="51" applyNumberFormat="1" applyFont="1" applyFill="1" applyBorder="1"/>
    <xf numFmtId="3" fontId="13" fillId="15" borderId="0" xfId="2" applyNumberFormat="1" applyFont="1" applyFill="1" applyBorder="1"/>
    <xf numFmtId="4" fontId="13" fillId="15" borderId="0" xfId="51" applyNumberFormat="1" applyFont="1" applyFill="1" applyBorder="1"/>
    <xf numFmtId="4" fontId="13" fillId="15" borderId="0" xfId="2" applyNumberFormat="1" applyFont="1" applyFill="1" applyBorder="1"/>
    <xf numFmtId="0" fontId="13" fillId="0" borderId="23" xfId="2" applyFont="1" applyBorder="1" applyAlignment="1">
      <alignment vertical="top" wrapText="1"/>
    </xf>
    <xf numFmtId="10" fontId="13" fillId="0" borderId="0" xfId="51" applyNumberFormat="1" applyFont="1" applyFill="1" applyBorder="1"/>
    <xf numFmtId="168" fontId="13" fillId="0" borderId="0" xfId="51" applyNumberFormat="1" applyFont="1" applyFill="1" applyBorder="1"/>
    <xf numFmtId="0" fontId="12" fillId="0" borderId="25" xfId="2" applyFont="1" applyBorder="1" applyAlignment="1">
      <alignment vertical="top"/>
    </xf>
    <xf numFmtId="3" fontId="22" fillId="15" borderId="7" xfId="2" applyNumberFormat="1" applyFont="1" applyFill="1" applyBorder="1"/>
    <xf numFmtId="3" fontId="13" fillId="0" borderId="7" xfId="51" applyNumberFormat="1" applyFont="1" applyFill="1" applyBorder="1"/>
    <xf numFmtId="3" fontId="13" fillId="0" borderId="7" xfId="2" applyNumberFormat="1" applyFont="1" applyFill="1" applyBorder="1"/>
    <xf numFmtId="171" fontId="12" fillId="0" borderId="7" xfId="51" applyNumberFormat="1" applyFont="1" applyFill="1" applyBorder="1"/>
    <xf numFmtId="3" fontId="18" fillId="0" borderId="16" xfId="2" applyNumberFormat="1" applyFont="1" applyFill="1" applyBorder="1"/>
    <xf numFmtId="1" fontId="17" fillId="0" borderId="0" xfId="52" applyNumberFormat="1" applyFont="1" applyFill="1" applyBorder="1" applyAlignment="1">
      <alignment horizontal="left" vertical="center"/>
    </xf>
    <xf numFmtId="2" fontId="12" fillId="21" borderId="0" xfId="58" applyNumberFormat="1" applyFont="1" applyFill="1" applyBorder="1">
      <alignment horizontal="left" vertical="center"/>
    </xf>
    <xf numFmtId="2" fontId="16" fillId="21" borderId="0" xfId="58" applyNumberFormat="1" applyFont="1" applyFill="1" applyBorder="1">
      <alignment horizontal="left" vertical="center"/>
    </xf>
    <xf numFmtId="168" fontId="16" fillId="21" borderId="0" xfId="51" applyNumberFormat="1" applyFont="1" applyFill="1" applyBorder="1" applyAlignment="1">
      <alignment horizontal="right" vertical="center"/>
    </xf>
    <xf numFmtId="0" fontId="22" fillId="21" borderId="0" xfId="58" applyFont="1" applyFill="1" applyBorder="1">
      <alignment horizontal="left" vertical="center"/>
    </xf>
    <xf numFmtId="0" fontId="25" fillId="21" borderId="0" xfId="58" applyFont="1" applyFill="1" applyBorder="1">
      <alignment horizontal="left" vertical="center"/>
    </xf>
    <xf numFmtId="2" fontId="12" fillId="21" borderId="0" xfId="58" applyNumberFormat="1" applyFont="1" applyFill="1" applyBorder="1" applyAlignment="1">
      <alignment horizontal="right" vertical="center"/>
    </xf>
    <xf numFmtId="1" fontId="13" fillId="15" borderId="0" xfId="45" applyNumberFormat="1" applyFont="1" applyFill="1" applyAlignment="1">
      <alignment horizontal="left" vertical="center" indent="2"/>
    </xf>
    <xf numFmtId="1" fontId="13" fillId="20" borderId="0" xfId="45" applyNumberFormat="1" applyFont="1" applyFill="1" applyAlignment="1">
      <alignment horizontal="right" vertical="center"/>
    </xf>
    <xf numFmtId="1" fontId="16" fillId="20" borderId="0" xfId="45" applyNumberFormat="1" applyFont="1" applyFill="1" applyAlignment="1">
      <alignment horizontal="right" vertical="center"/>
    </xf>
    <xf numFmtId="167" fontId="13" fillId="25" borderId="0" xfId="2" applyNumberFormat="1" applyFont="1" applyFill="1" applyAlignment="1">
      <alignment horizontal="right"/>
    </xf>
    <xf numFmtId="167" fontId="8" fillId="0" borderId="2" xfId="58" applyNumberFormat="1" applyFont="1" applyFill="1" applyBorder="1">
      <alignment horizontal="left" vertical="center"/>
    </xf>
    <xf numFmtId="184" fontId="34" fillId="0" borderId="2" xfId="51" applyNumberFormat="1" applyFont="1" applyFill="1" applyBorder="1" applyAlignment="1">
      <alignment horizontal="right" vertical="center"/>
    </xf>
    <xf numFmtId="1" fontId="18" fillId="15" borderId="0" xfId="2" applyNumberFormat="1" applyFont="1" applyFill="1" applyAlignment="1">
      <alignment horizontal="right"/>
    </xf>
    <xf numFmtId="2" fontId="12" fillId="0" borderId="0" xfId="2" applyNumberFormat="1" applyFont="1" applyAlignment="1">
      <alignment horizontal="right"/>
    </xf>
    <xf numFmtId="9" fontId="13" fillId="0" borderId="0" xfId="2" applyNumberFormat="1" applyFont="1" applyAlignment="1">
      <alignment horizontal="right"/>
    </xf>
    <xf numFmtId="172" fontId="13" fillId="15" borderId="0" xfId="58" applyNumberFormat="1" applyFont="1" applyFill="1" applyBorder="1" applyAlignment="1">
      <alignment horizontal="right" vertical="center"/>
    </xf>
    <xf numFmtId="0" fontId="34" fillId="0" borderId="32" xfId="58" applyFont="1" applyFill="1" applyBorder="1" applyAlignment="1">
      <alignment horizontal="right" vertical="center"/>
    </xf>
    <xf numFmtId="164" fontId="12" fillId="0" borderId="0" xfId="52" applyNumberFormat="1" applyFont="1" applyFill="1" applyBorder="1" applyAlignment="1">
      <alignment horizontal="centerContinuous" vertical="center"/>
    </xf>
    <xf numFmtId="164" fontId="12" fillId="0" borderId="11" xfId="52" quotePrefix="1" applyNumberFormat="1" applyFont="1" applyFill="1" applyBorder="1" applyAlignment="1">
      <alignment horizontal="right" vertical="center"/>
    </xf>
    <xf numFmtId="0" fontId="13" fillId="26" borderId="0" xfId="58" applyFont="1" applyFill="1" applyBorder="1">
      <alignment horizontal="left" vertical="center"/>
    </xf>
    <xf numFmtId="164" fontId="13" fillId="26" borderId="0" xfId="58" applyNumberFormat="1" applyFont="1" applyFill="1" applyBorder="1" applyAlignment="1">
      <alignment horizontal="right" vertical="center"/>
    </xf>
    <xf numFmtId="9" fontId="13" fillId="26" borderId="0" xfId="51" applyFont="1" applyFill="1" applyBorder="1" applyAlignment="1">
      <alignment horizontal="right" vertical="center"/>
    </xf>
    <xf numFmtId="164" fontId="13" fillId="26" borderId="0" xfId="51" applyNumberFormat="1" applyFont="1" applyFill="1" applyBorder="1" applyAlignment="1">
      <alignment horizontal="right" vertical="center"/>
    </xf>
    <xf numFmtId="180" fontId="16" fillId="26" borderId="0" xfId="45" applyNumberFormat="1" applyFont="1" applyFill="1" applyBorder="1" applyAlignment="1">
      <alignment horizontal="left" vertical="center"/>
    </xf>
    <xf numFmtId="9" fontId="16" fillId="26" borderId="0" xfId="51" applyFont="1" applyFill="1" applyBorder="1" applyAlignment="1">
      <alignment horizontal="right" vertical="center"/>
    </xf>
    <xf numFmtId="0" fontId="13" fillId="26" borderId="0" xfId="58" applyFont="1" applyFill="1" applyBorder="1" applyAlignment="1">
      <alignment horizontal="right" vertical="center"/>
    </xf>
    <xf numFmtId="2" fontId="24" fillId="0" borderId="0" xfId="58" applyNumberFormat="1" applyFont="1" applyFill="1" applyBorder="1">
      <alignment horizontal="left" vertical="center"/>
    </xf>
    <xf numFmtId="166" fontId="53" fillId="0" borderId="0" xfId="51" applyNumberFormat="1" applyFont="1" applyFill="1"/>
    <xf numFmtId="167" fontId="13" fillId="0" borderId="0" xfId="2" applyNumberFormat="1" applyFont="1"/>
    <xf numFmtId="180" fontId="16" fillId="20" borderId="0" xfId="45" applyNumberFormat="1" applyFont="1" applyFill="1" applyBorder="1" applyAlignment="1">
      <alignment horizontal="left" vertical="center"/>
    </xf>
    <xf numFmtId="0" fontId="13" fillId="20" borderId="0" xfId="58" applyFont="1" applyFill="1" applyBorder="1">
      <alignment horizontal="left" vertical="center"/>
    </xf>
    <xf numFmtId="9" fontId="16" fillId="20" borderId="0" xfId="51" applyFont="1" applyFill="1" applyBorder="1" applyAlignment="1">
      <alignment horizontal="right" vertical="center"/>
    </xf>
    <xf numFmtId="0" fontId="13" fillId="20" borderId="0" xfId="58" applyFont="1" applyFill="1" applyBorder="1" applyAlignment="1">
      <alignment horizontal="right" vertical="center"/>
    </xf>
    <xf numFmtId="1" fontId="13" fillId="20" borderId="0" xfId="51" applyNumberFormat="1" applyFont="1" applyFill="1" applyBorder="1" applyAlignment="1">
      <alignment horizontal="right" vertical="center"/>
    </xf>
    <xf numFmtId="9" fontId="16" fillId="0" borderId="0" xfId="2" applyNumberFormat="1" applyFont="1" applyFill="1"/>
    <xf numFmtId="0" fontId="16" fillId="26" borderId="0" xfId="2" applyFont="1" applyFill="1" applyBorder="1"/>
    <xf numFmtId="9" fontId="16" fillId="0" borderId="0" xfId="51" applyFont="1" applyFill="1" applyBorder="1" applyAlignment="1"/>
    <xf numFmtId="0" fontId="12" fillId="15" borderId="22" xfId="2" applyFont="1" applyFill="1" applyBorder="1"/>
    <xf numFmtId="0" fontId="12" fillId="15" borderId="16" xfId="58" applyFont="1" applyFill="1" applyBorder="1">
      <alignment horizontal="left" vertical="center"/>
    </xf>
    <xf numFmtId="0" fontId="12" fillId="15" borderId="16" xfId="58" applyFont="1" applyFill="1" applyBorder="1" applyAlignment="1">
      <alignment vertical="center"/>
    </xf>
    <xf numFmtId="0" fontId="12" fillId="15" borderId="16" xfId="58" applyFont="1" applyFill="1" applyBorder="1" applyAlignment="1">
      <alignment horizontal="right" vertical="center"/>
    </xf>
    <xf numFmtId="164" fontId="12" fillId="15" borderId="16" xfId="58" applyNumberFormat="1" applyFont="1" applyFill="1" applyBorder="1" applyAlignment="1">
      <alignment horizontal="right" vertical="center"/>
    </xf>
    <xf numFmtId="180" fontId="16" fillId="15" borderId="23" xfId="45" applyNumberFormat="1" applyFont="1" applyFill="1" applyBorder="1" applyAlignment="1">
      <alignment horizontal="left" vertical="center"/>
    </xf>
    <xf numFmtId="0" fontId="13" fillId="15" borderId="0" xfId="58" applyFont="1" applyFill="1" applyBorder="1" applyAlignment="1">
      <alignment vertical="center"/>
    </xf>
    <xf numFmtId="180" fontId="16" fillId="15" borderId="25" xfId="45" applyNumberFormat="1" applyFont="1" applyFill="1" applyBorder="1" applyAlignment="1">
      <alignment horizontal="left" vertical="center"/>
    </xf>
    <xf numFmtId="0" fontId="13" fillId="15" borderId="7" xfId="58" applyFont="1" applyFill="1" applyBorder="1">
      <alignment horizontal="left" vertical="center"/>
    </xf>
    <xf numFmtId="9" fontId="16" fillId="15" borderId="7" xfId="51" applyFont="1" applyFill="1" applyBorder="1" applyAlignment="1">
      <alignment horizontal="right" vertical="center"/>
    </xf>
    <xf numFmtId="0" fontId="13" fillId="15" borderId="7" xfId="58" applyFont="1" applyFill="1" applyBorder="1" applyAlignment="1">
      <alignment horizontal="right" vertical="center"/>
    </xf>
    <xf numFmtId="0" fontId="13" fillId="15" borderId="7" xfId="58" applyFont="1" applyFill="1" applyBorder="1" applyAlignment="1">
      <alignment vertical="center"/>
    </xf>
    <xf numFmtId="180" fontId="13" fillId="15" borderId="0" xfId="45" applyNumberFormat="1" applyFont="1" applyFill="1" applyAlignment="1">
      <alignment horizontal="left" vertical="center" indent="1"/>
    </xf>
    <xf numFmtId="180" fontId="16" fillId="15" borderId="0" xfId="45" applyNumberFormat="1" applyFont="1" applyFill="1" applyAlignment="1">
      <alignment horizontal="left" vertical="center"/>
    </xf>
    <xf numFmtId="0" fontId="13" fillId="21" borderId="0" xfId="58" applyFont="1" applyFill="1" applyBorder="1">
      <alignment horizontal="left" vertical="center"/>
    </xf>
    <xf numFmtId="1" fontId="37" fillId="0" borderId="0" xfId="2" applyNumberFormat="1" applyFont="1" applyFill="1"/>
    <xf numFmtId="1" fontId="13" fillId="15" borderId="0" xfId="58" applyNumberFormat="1" applyFont="1" applyFill="1" applyBorder="1" applyAlignment="1">
      <alignment vertical="center"/>
    </xf>
    <xf numFmtId="1" fontId="13" fillId="26" borderId="0" xfId="51" applyNumberFormat="1" applyFont="1" applyFill="1" applyBorder="1" applyAlignment="1">
      <alignment horizontal="right" vertical="center"/>
    </xf>
    <xf numFmtId="1" fontId="13" fillId="26" borderId="0" xfId="58" applyNumberFormat="1" applyFont="1" applyFill="1" applyBorder="1" applyAlignment="1">
      <alignment horizontal="right" vertical="center"/>
    </xf>
    <xf numFmtId="1" fontId="13" fillId="26" borderId="0" xfId="58" applyNumberFormat="1" applyFont="1" applyFill="1" applyBorder="1">
      <alignment horizontal="left" vertical="center"/>
    </xf>
    <xf numFmtId="172" fontId="13" fillId="15" borderId="0" xfId="2" applyNumberFormat="1" applyFont="1" applyFill="1" applyAlignment="1">
      <alignment horizontal="right"/>
    </xf>
    <xf numFmtId="1" fontId="35" fillId="0" borderId="0" xfId="51" applyNumberFormat="1" applyFont="1" applyFill="1"/>
    <xf numFmtId="1" fontId="13" fillId="17" borderId="0" xfId="51" applyNumberFormat="1" applyFont="1" applyFill="1" applyAlignment="1">
      <alignment horizontal="right"/>
    </xf>
    <xf numFmtId="1" fontId="13" fillId="17" borderId="0" xfId="51" applyNumberFormat="1" applyFont="1" applyFill="1"/>
    <xf numFmtId="1" fontId="38" fillId="15" borderId="0" xfId="2" applyNumberFormat="1" applyFont="1" applyFill="1"/>
    <xf numFmtId="1" fontId="2" fillId="0" borderId="0" xfId="2" applyNumberFormat="1" applyFont="1"/>
    <xf numFmtId="1" fontId="2" fillId="0" borderId="0" xfId="2" applyNumberFormat="1" applyFont="1" applyFill="1"/>
    <xf numFmtId="2" fontId="38" fillId="0" borderId="0" xfId="2" applyNumberFormat="1" applyFont="1" applyFill="1"/>
    <xf numFmtId="9" fontId="7" fillId="0" borderId="4" xfId="51" applyFont="1" applyFill="1" applyBorder="1" applyAlignment="1">
      <alignment horizontal="left" vertical="center"/>
    </xf>
    <xf numFmtId="9" fontId="14" fillId="0" borderId="0" xfId="51" applyFont="1" applyFill="1" applyBorder="1" applyAlignment="1">
      <alignment horizontal="right" vertical="center"/>
    </xf>
    <xf numFmtId="0" fontId="18" fillId="0" borderId="0" xfId="2" applyFont="1" applyAlignment="1">
      <alignment horizontal="right"/>
    </xf>
    <xf numFmtId="10" fontId="18" fillId="0" borderId="0" xfId="51" applyNumberFormat="1" applyFont="1"/>
    <xf numFmtId="1" fontId="13" fillId="21" borderId="0" xfId="58" applyNumberFormat="1" applyFont="1" applyFill="1" applyBorder="1" applyAlignment="1">
      <alignment horizontal="right" vertical="center"/>
    </xf>
    <xf numFmtId="164" fontId="14" fillId="0" borderId="0" xfId="58" applyNumberFormat="1" applyFont="1" applyFill="1" applyBorder="1" applyAlignment="1">
      <alignment horizontal="right" vertical="center"/>
    </xf>
    <xf numFmtId="0" fontId="16" fillId="0" borderId="0" xfId="2" applyFont="1" applyBorder="1" applyAlignment="1">
      <alignment horizontal="right"/>
    </xf>
    <xf numFmtId="2" fontId="12" fillId="0" borderId="0" xfId="2" applyNumberFormat="1" applyFont="1"/>
    <xf numFmtId="168" fontId="13" fillId="0" borderId="0" xfId="2" applyNumberFormat="1" applyFont="1"/>
    <xf numFmtId="168" fontId="13" fillId="0" borderId="0" xfId="2" applyNumberFormat="1" applyFont="1" applyAlignment="1">
      <alignment horizontal="right"/>
    </xf>
    <xf numFmtId="168" fontId="12" fillId="0" borderId="0" xfId="2" applyNumberFormat="1" applyFont="1"/>
    <xf numFmtId="168" fontId="12" fillId="0" borderId="0" xfId="2" applyNumberFormat="1" applyFont="1" applyAlignment="1">
      <alignment horizontal="right"/>
    </xf>
    <xf numFmtId="0" fontId="16" fillId="17" borderId="0" xfId="2" applyFont="1" applyFill="1" applyAlignment="1"/>
    <xf numFmtId="0" fontId="13" fillId="17" borderId="0" xfId="2" applyFont="1" applyFill="1"/>
    <xf numFmtId="9" fontId="13" fillId="17" borderId="0" xfId="51" applyNumberFormat="1" applyFont="1" applyFill="1"/>
    <xf numFmtId="9" fontId="13" fillId="17" borderId="0" xfId="2" applyNumberFormat="1" applyFont="1" applyFill="1" applyAlignment="1">
      <alignment horizontal="right"/>
    </xf>
    <xf numFmtId="0" fontId="13" fillId="17" borderId="0" xfId="2" applyFont="1" applyFill="1" applyBorder="1"/>
    <xf numFmtId="0" fontId="13" fillId="17" borderId="0" xfId="2" applyFont="1" applyFill="1" applyAlignment="1">
      <alignment horizontal="right"/>
    </xf>
    <xf numFmtId="1" fontId="13" fillId="17" borderId="0" xfId="2" applyNumberFormat="1" applyFont="1" applyFill="1" applyAlignment="1"/>
    <xf numFmtId="1" fontId="12" fillId="17" borderId="0" xfId="2" applyNumberFormat="1" applyFont="1" applyFill="1" applyAlignment="1"/>
    <xf numFmtId="1" fontId="12" fillId="17" borderId="0" xfId="2" applyNumberFormat="1" applyFont="1" applyFill="1"/>
    <xf numFmtId="2" fontId="12" fillId="17" borderId="0" xfId="2" applyNumberFormat="1" applyFont="1" applyFill="1"/>
    <xf numFmtId="2" fontId="13" fillId="17" borderId="0" xfId="2" applyNumberFormat="1" applyFont="1" applyFill="1"/>
    <xf numFmtId="0" fontId="13" fillId="0" borderId="4" xfId="2" applyFont="1" applyFill="1" applyBorder="1" applyAlignment="1">
      <alignment horizontal="right"/>
    </xf>
    <xf numFmtId="0" fontId="13" fillId="0" borderId="2" xfId="2" applyFont="1" applyFill="1" applyBorder="1" applyAlignment="1">
      <alignment horizontal="right"/>
    </xf>
    <xf numFmtId="1" fontId="13" fillId="0" borderId="2" xfId="2" applyNumberFormat="1" applyFont="1" applyFill="1" applyBorder="1" applyAlignment="1">
      <alignment horizontal="right"/>
    </xf>
    <xf numFmtId="9" fontId="13" fillId="0" borderId="2" xfId="51" applyFont="1" applyFill="1" applyBorder="1" applyAlignment="1">
      <alignment horizontal="right"/>
    </xf>
    <xf numFmtId="168" fontId="38" fillId="17" borderId="0" xfId="51" applyNumberFormat="1" applyFont="1" applyFill="1" applyAlignment="1">
      <alignment horizontal="right"/>
    </xf>
    <xf numFmtId="168" fontId="18" fillId="17" borderId="0" xfId="51" applyNumberFormat="1" applyFont="1" applyFill="1" applyAlignment="1">
      <alignment horizontal="right"/>
    </xf>
    <xf numFmtId="0" fontId="63" fillId="27" borderId="0" xfId="2" applyFont="1" applyFill="1"/>
    <xf numFmtId="0" fontId="15" fillId="27" borderId="0" xfId="58" applyFont="1" applyFill="1" applyBorder="1">
      <alignment horizontal="left" vertical="center"/>
    </xf>
    <xf numFmtId="0" fontId="15" fillId="27" borderId="0" xfId="58" applyFont="1" applyFill="1" applyBorder="1" applyAlignment="1">
      <alignment vertical="center"/>
    </xf>
    <xf numFmtId="0" fontId="20" fillId="27" borderId="0" xfId="58" applyFont="1" applyFill="1" applyBorder="1" applyAlignment="1">
      <alignment horizontal="right" vertical="center"/>
    </xf>
    <xf numFmtId="0" fontId="15" fillId="27" borderId="0" xfId="58" applyFont="1" applyFill="1" applyBorder="1" applyAlignment="1">
      <alignment horizontal="right" vertical="center"/>
    </xf>
    <xf numFmtId="0" fontId="63" fillId="27" borderId="7" xfId="2" applyFont="1" applyFill="1" applyBorder="1"/>
    <xf numFmtId="0" fontId="15" fillId="27" borderId="7" xfId="58" applyFont="1" applyFill="1" applyBorder="1">
      <alignment horizontal="left" vertical="center"/>
    </xf>
    <xf numFmtId="0" fontId="15" fillId="27" borderId="7" xfId="58" applyFont="1" applyFill="1" applyBorder="1" applyAlignment="1">
      <alignment vertical="center"/>
    </xf>
    <xf numFmtId="0" fontId="20" fillId="27" borderId="7" xfId="58" applyFont="1" applyFill="1" applyBorder="1" applyAlignment="1">
      <alignment horizontal="right" vertical="center"/>
    </xf>
    <xf numFmtId="0" fontId="15" fillId="27" borderId="7" xfId="58" applyFont="1" applyFill="1" applyBorder="1" applyAlignment="1">
      <alignment horizontal="right" vertical="center"/>
    </xf>
    <xf numFmtId="0" fontId="17" fillId="15" borderId="16" xfId="58" applyFont="1" applyFill="1" applyBorder="1" applyAlignment="1">
      <alignment horizontal="left" vertical="center"/>
    </xf>
    <xf numFmtId="9" fontId="13" fillId="0" borderId="0" xfId="58" applyNumberFormat="1" applyFont="1" applyFill="1" applyBorder="1" applyAlignment="1">
      <alignment horizontal="right" vertical="center"/>
    </xf>
    <xf numFmtId="0" fontId="13" fillId="21" borderId="0" xfId="2" applyFont="1" applyFill="1" applyBorder="1"/>
    <xf numFmtId="1" fontId="13" fillId="21" borderId="0" xfId="2" applyNumberFormat="1" applyFont="1" applyFill="1" applyBorder="1"/>
    <xf numFmtId="1" fontId="13" fillId="0" borderId="4" xfId="51" applyNumberFormat="1" applyFont="1" applyFill="1" applyBorder="1"/>
    <xf numFmtId="1" fontId="13" fillId="0" borderId="4" xfId="51" applyNumberFormat="1" applyFont="1" applyFill="1" applyBorder="1" applyAlignment="1">
      <alignment horizontal="right"/>
    </xf>
    <xf numFmtId="1" fontId="16" fillId="0" borderId="1" xfId="2" applyNumberFormat="1" applyFont="1" applyFill="1" applyBorder="1" applyAlignment="1">
      <alignment horizontal="left" indent="1"/>
    </xf>
    <xf numFmtId="1" fontId="16" fillId="0" borderId="29" xfId="2" applyNumberFormat="1" applyFont="1" applyFill="1" applyBorder="1" applyAlignment="1">
      <alignment horizontal="left" indent="1"/>
    </xf>
    <xf numFmtId="1" fontId="13" fillId="0" borderId="2" xfId="2" applyNumberFormat="1" applyFont="1" applyFill="1" applyBorder="1"/>
    <xf numFmtId="1" fontId="13" fillId="0" borderId="2" xfId="51" applyNumberFormat="1" applyFont="1" applyFill="1" applyBorder="1"/>
    <xf numFmtId="1" fontId="13" fillId="0" borderId="2" xfId="51" applyNumberFormat="1" applyFont="1" applyFill="1" applyBorder="1" applyAlignment="1">
      <alignment horizontal="right"/>
    </xf>
    <xf numFmtId="1" fontId="12" fillId="0" borderId="8" xfId="2" applyNumberFormat="1" applyFont="1" applyFill="1" applyBorder="1" applyAlignment="1"/>
    <xf numFmtId="1" fontId="12" fillId="0" borderId="4" xfId="2" applyNumberFormat="1" applyFont="1" applyFill="1" applyBorder="1"/>
    <xf numFmtId="0" fontId="13" fillId="0" borderId="8" xfId="2" applyFont="1" applyFill="1" applyBorder="1" applyAlignment="1">
      <alignment horizontal="left"/>
    </xf>
    <xf numFmtId="0" fontId="12" fillId="0" borderId="1" xfId="2" applyFont="1" applyFill="1" applyBorder="1" applyAlignment="1"/>
    <xf numFmtId="0" fontId="13" fillId="0" borderId="29" xfId="2" applyFont="1" applyFill="1" applyBorder="1" applyAlignment="1">
      <alignment horizontal="left"/>
    </xf>
    <xf numFmtId="3" fontId="12" fillId="0" borderId="4" xfId="2" applyNumberFormat="1" applyFont="1" applyFill="1" applyBorder="1" applyAlignment="1">
      <alignment horizontal="right"/>
    </xf>
    <xf numFmtId="3" fontId="12" fillId="0" borderId="4" xfId="2" applyNumberFormat="1" applyFont="1" applyFill="1" applyBorder="1"/>
    <xf numFmtId="3" fontId="12" fillId="0" borderId="4" xfId="51" applyNumberFormat="1" applyFont="1" applyFill="1" applyBorder="1"/>
    <xf numFmtId="3" fontId="12" fillId="0" borderId="4" xfId="51" applyNumberFormat="1" applyFont="1" applyFill="1" applyBorder="1" applyAlignment="1">
      <alignment horizontal="right"/>
    </xf>
    <xf numFmtId="172" fontId="13" fillId="0" borderId="4" xfId="2" applyNumberFormat="1" applyFont="1" applyFill="1" applyBorder="1"/>
    <xf numFmtId="172" fontId="13" fillId="0" borderId="4" xfId="2" applyNumberFormat="1" applyFont="1" applyFill="1" applyBorder="1" applyAlignment="1">
      <alignment horizontal="right"/>
    </xf>
    <xf numFmtId="180" fontId="64" fillId="21" borderId="0" xfId="45" applyNumberFormat="1" applyFont="1" applyFill="1" applyBorder="1" applyAlignment="1">
      <alignment horizontal="left" vertical="center"/>
    </xf>
    <xf numFmtId="180" fontId="12" fillId="0" borderId="0" xfId="45" applyNumberFormat="1" applyFont="1" applyFill="1" applyBorder="1" applyAlignment="1">
      <alignment horizontal="left" vertical="center"/>
    </xf>
    <xf numFmtId="0" fontId="12" fillId="0" borderId="0" xfId="58" applyFont="1" applyFill="1" applyBorder="1" applyAlignment="1">
      <alignment vertical="center"/>
    </xf>
    <xf numFmtId="180" fontId="12" fillId="21" borderId="8" xfId="45" applyNumberFormat="1" applyFont="1" applyFill="1" applyBorder="1" applyAlignment="1">
      <alignment horizontal="left" vertical="center"/>
    </xf>
    <xf numFmtId="0" fontId="12" fillId="21" borderId="4" xfId="58" applyFont="1" applyFill="1" applyBorder="1">
      <alignment horizontal="left" vertical="center"/>
    </xf>
    <xf numFmtId="0" fontId="12" fillId="21" borderId="4" xfId="58" applyFont="1" applyFill="1" applyBorder="1" applyAlignment="1">
      <alignment vertical="center"/>
    </xf>
    <xf numFmtId="1" fontId="12" fillId="21" borderId="4" xfId="58" applyNumberFormat="1" applyFont="1" applyFill="1" applyBorder="1" applyAlignment="1">
      <alignment vertical="center"/>
    </xf>
    <xf numFmtId="1" fontId="12" fillId="21" borderId="4" xfId="58" applyNumberFormat="1" applyFont="1" applyFill="1" applyBorder="1">
      <alignment horizontal="left" vertical="center"/>
    </xf>
    <xf numFmtId="1" fontId="12" fillId="21" borderId="4" xfId="58" applyNumberFormat="1" applyFont="1" applyFill="1" applyBorder="1" applyAlignment="1">
      <alignment horizontal="right" vertical="center"/>
    </xf>
    <xf numFmtId="1" fontId="21" fillId="21" borderId="4" xfId="58" applyNumberFormat="1" applyFont="1" applyFill="1" applyBorder="1" applyAlignment="1">
      <alignment horizontal="right" vertical="center"/>
    </xf>
    <xf numFmtId="180" fontId="16" fillId="21" borderId="1" xfId="45" applyNumberFormat="1" applyFont="1" applyFill="1" applyBorder="1" applyAlignment="1">
      <alignment horizontal="left" vertical="center"/>
    </xf>
    <xf numFmtId="0" fontId="12" fillId="0" borderId="4" xfId="58" applyFont="1" applyFill="1" applyBorder="1">
      <alignment horizontal="left" vertical="center"/>
    </xf>
    <xf numFmtId="180" fontId="16" fillId="0" borderId="1" xfId="45" applyNumberFormat="1" applyFont="1" applyFill="1" applyBorder="1" applyAlignment="1">
      <alignment horizontal="left" vertical="center"/>
    </xf>
    <xf numFmtId="180" fontId="16" fillId="0" borderId="29" xfId="45" applyNumberFormat="1" applyFont="1" applyFill="1" applyBorder="1" applyAlignment="1">
      <alignment horizontal="left" vertical="center"/>
    </xf>
    <xf numFmtId="0" fontId="13" fillId="0" borderId="2" xfId="58" applyFont="1" applyFill="1" applyBorder="1">
      <alignment horizontal="left" vertical="center"/>
    </xf>
    <xf numFmtId="9" fontId="16" fillId="0" borderId="2" xfId="51" applyFont="1" applyFill="1" applyBorder="1" applyAlignment="1">
      <alignment horizontal="right" vertical="center"/>
    </xf>
    <xf numFmtId="0" fontId="13" fillId="0" borderId="2" xfId="58" applyFont="1" applyFill="1" applyBorder="1" applyAlignment="1">
      <alignment horizontal="right" vertical="center"/>
    </xf>
    <xf numFmtId="0" fontId="13" fillId="0" borderId="2" xfId="58" applyFont="1" applyFill="1" applyBorder="1" applyAlignment="1">
      <alignment vertical="center"/>
    </xf>
    <xf numFmtId="180" fontId="12" fillId="23" borderId="22" xfId="45" applyNumberFormat="1" applyFont="1" applyFill="1" applyBorder="1" applyAlignment="1">
      <alignment horizontal="left" vertical="center"/>
    </xf>
    <xf numFmtId="0" fontId="13" fillId="23" borderId="16" xfId="58" applyFont="1" applyFill="1" applyBorder="1">
      <alignment horizontal="left" vertical="center"/>
    </xf>
    <xf numFmtId="0" fontId="12" fillId="23" borderId="16" xfId="58" applyFont="1" applyFill="1" applyBorder="1">
      <alignment horizontal="left" vertical="center"/>
    </xf>
    <xf numFmtId="0" fontId="12" fillId="23" borderId="16" xfId="58" applyFont="1" applyFill="1" applyBorder="1" applyAlignment="1">
      <alignment vertical="center"/>
    </xf>
    <xf numFmtId="1" fontId="12" fillId="23" borderId="16" xfId="58" applyNumberFormat="1" applyFont="1" applyFill="1" applyBorder="1" applyAlignment="1">
      <alignment vertical="center"/>
    </xf>
    <xf numFmtId="1" fontId="12" fillId="23" borderId="16" xfId="58" applyNumberFormat="1" applyFont="1" applyFill="1" applyBorder="1">
      <alignment horizontal="left" vertical="center"/>
    </xf>
    <xf numFmtId="1" fontId="12" fillId="23" borderId="16" xfId="58" applyNumberFormat="1" applyFont="1" applyFill="1" applyBorder="1" applyAlignment="1">
      <alignment horizontal="right" vertical="center"/>
    </xf>
    <xf numFmtId="1" fontId="13" fillId="23" borderId="16" xfId="58" applyNumberFormat="1" applyFont="1" applyFill="1" applyBorder="1">
      <alignment horizontal="left" vertical="center"/>
    </xf>
    <xf numFmtId="180" fontId="16" fillId="23" borderId="23" xfId="45" applyNumberFormat="1" applyFont="1" applyFill="1" applyBorder="1" applyAlignment="1">
      <alignment horizontal="left" vertical="center"/>
    </xf>
    <xf numFmtId="0" fontId="13" fillId="23" borderId="0" xfId="58" applyFont="1" applyFill="1" applyBorder="1">
      <alignment horizontal="left" vertical="center"/>
    </xf>
    <xf numFmtId="9" fontId="16" fillId="23" borderId="0" xfId="51" applyFont="1" applyFill="1" applyBorder="1" applyAlignment="1">
      <alignment horizontal="right" vertical="center"/>
    </xf>
    <xf numFmtId="0" fontId="13" fillId="23" borderId="7" xfId="58" applyFont="1" applyFill="1" applyBorder="1">
      <alignment horizontal="left" vertical="center"/>
    </xf>
    <xf numFmtId="0" fontId="13" fillId="21" borderId="0" xfId="58" applyFont="1" applyFill="1" applyBorder="1" applyAlignment="1">
      <alignment horizontal="right" vertical="center"/>
    </xf>
    <xf numFmtId="0" fontId="12" fillId="0" borderId="0" xfId="58" applyFont="1" applyFill="1" applyBorder="1" applyAlignment="1">
      <alignment horizontal="right" vertical="center"/>
    </xf>
    <xf numFmtId="172" fontId="13" fillId="0" borderId="0" xfId="2" applyNumberFormat="1" applyFont="1" applyFill="1" applyBorder="1"/>
    <xf numFmtId="172" fontId="14" fillId="0" borderId="4" xfId="2" applyNumberFormat="1" applyFont="1" applyFill="1" applyBorder="1"/>
    <xf numFmtId="1" fontId="14" fillId="0" borderId="2" xfId="2" applyNumberFormat="1" applyFont="1" applyFill="1" applyBorder="1"/>
    <xf numFmtId="9" fontId="13" fillId="0" borderId="2" xfId="51" applyFont="1" applyFill="1" applyBorder="1"/>
    <xf numFmtId="172" fontId="13" fillId="0" borderId="0" xfId="51" applyNumberFormat="1" applyFont="1" applyFill="1"/>
    <xf numFmtId="172" fontId="13" fillId="0" borderId="0" xfId="2" applyNumberFormat="1" applyFont="1" applyFill="1"/>
    <xf numFmtId="172" fontId="14" fillId="0" borderId="4" xfId="36" applyNumberFormat="1" applyFont="1" applyFill="1" applyBorder="1" applyAlignment="1">
      <alignment horizontal="right"/>
    </xf>
    <xf numFmtId="164" fontId="16" fillId="15" borderId="0" xfId="45" applyNumberFormat="1" applyFont="1" applyFill="1" applyAlignment="1">
      <alignment horizontal="left" vertical="center" indent="1"/>
    </xf>
    <xf numFmtId="1" fontId="13" fillId="15" borderId="0" xfId="2" applyNumberFormat="1" applyFont="1" applyFill="1" applyBorder="1"/>
    <xf numFmtId="1" fontId="14" fillId="15" borderId="0" xfId="2" applyNumberFormat="1" applyFont="1" applyFill="1" applyBorder="1"/>
    <xf numFmtId="0" fontId="13" fillId="23" borderId="0" xfId="2" applyFont="1" applyFill="1" applyAlignment="1"/>
    <xf numFmtId="1" fontId="13" fillId="23" borderId="0" xfId="2" applyNumberFormat="1" applyFont="1" applyFill="1" applyAlignment="1">
      <alignment horizontal="right"/>
    </xf>
    <xf numFmtId="1" fontId="13" fillId="23" borderId="0" xfId="2" applyNumberFormat="1" applyFont="1" applyFill="1" applyAlignment="1"/>
    <xf numFmtId="9" fontId="13" fillId="23" borderId="0" xfId="51" applyFont="1" applyFill="1"/>
    <xf numFmtId="164" fontId="13" fillId="23" borderId="0" xfId="51" applyNumberFormat="1" applyFont="1" applyFill="1"/>
    <xf numFmtId="164" fontId="13" fillId="23" borderId="0" xfId="2" applyNumberFormat="1" applyFont="1" applyFill="1"/>
    <xf numFmtId="0" fontId="13" fillId="23" borderId="0" xfId="2" applyFont="1" applyFill="1" applyBorder="1"/>
    <xf numFmtId="0" fontId="16" fillId="23" borderId="0" xfId="2" applyFont="1" applyFill="1" applyAlignment="1">
      <alignment horizontal="left" indent="1"/>
    </xf>
    <xf numFmtId="0" fontId="16" fillId="23" borderId="0" xfId="2" applyFont="1" applyFill="1" applyBorder="1"/>
    <xf numFmtId="0" fontId="16" fillId="23" borderId="0" xfId="2" applyFont="1" applyFill="1" applyBorder="1" applyAlignment="1">
      <alignment horizontal="right"/>
    </xf>
    <xf numFmtId="1" fontId="16" fillId="23" borderId="0" xfId="2" applyNumberFormat="1" applyFont="1" applyFill="1" applyBorder="1"/>
    <xf numFmtId="164" fontId="16" fillId="23" borderId="0" xfId="2" applyNumberFormat="1" applyFont="1" applyFill="1"/>
    <xf numFmtId="164" fontId="16" fillId="23" borderId="0" xfId="2" applyNumberFormat="1" applyFont="1" applyFill="1" applyBorder="1"/>
    <xf numFmtId="164" fontId="35" fillId="23" borderId="0" xfId="2" applyNumberFormat="1" applyFont="1" applyFill="1" applyBorder="1"/>
    <xf numFmtId="164" fontId="35" fillId="23" borderId="0" xfId="2" applyNumberFormat="1" applyFont="1" applyFill="1" applyBorder="1" applyAlignment="1">
      <alignment horizontal="right"/>
    </xf>
    <xf numFmtId="164" fontId="16" fillId="23" borderId="0" xfId="2" applyNumberFormat="1" applyFont="1" applyFill="1" applyBorder="1" applyAlignment="1">
      <alignment horizontal="right"/>
    </xf>
    <xf numFmtId="164" fontId="19" fillId="23" borderId="0" xfId="2" applyNumberFormat="1" applyFont="1" applyFill="1" applyBorder="1" applyAlignment="1">
      <alignment horizontal="right"/>
    </xf>
    <xf numFmtId="1" fontId="35" fillId="23" borderId="0" xfId="2" applyNumberFormat="1" applyFont="1" applyFill="1" applyBorder="1"/>
    <xf numFmtId="9" fontId="35" fillId="23" borderId="0" xfId="51" applyFont="1" applyFill="1" applyBorder="1"/>
    <xf numFmtId="9" fontId="16" fillId="23" borderId="0" xfId="51" applyFont="1" applyFill="1" applyBorder="1"/>
    <xf numFmtId="9" fontId="16" fillId="23" borderId="0" xfId="51" applyFont="1" applyFill="1" applyBorder="1" applyAlignment="1">
      <alignment horizontal="right"/>
    </xf>
    <xf numFmtId="9" fontId="35" fillId="23" borderId="0" xfId="51" applyFont="1" applyFill="1"/>
    <xf numFmtId="164" fontId="35" fillId="23" borderId="0" xfId="51" applyNumberFormat="1" applyFont="1" applyFill="1"/>
    <xf numFmtId="164" fontId="35" fillId="23" borderId="0" xfId="2" applyNumberFormat="1" applyFont="1" applyFill="1"/>
    <xf numFmtId="9" fontId="16" fillId="23" borderId="0" xfId="51" applyFont="1" applyFill="1" applyAlignment="1">
      <alignment horizontal="right"/>
    </xf>
    <xf numFmtId="164" fontId="17" fillId="23" borderId="0" xfId="51" applyNumberFormat="1" applyFont="1" applyFill="1" applyAlignment="1">
      <alignment horizontal="right"/>
    </xf>
    <xf numFmtId="1" fontId="16" fillId="23" borderId="0" xfId="2" applyNumberFormat="1" applyFont="1" applyFill="1" applyBorder="1" applyAlignment="1">
      <alignment horizontal="right"/>
    </xf>
    <xf numFmtId="0" fontId="13" fillId="23" borderId="0" xfId="2" applyFont="1" applyFill="1" applyBorder="1" applyAlignment="1">
      <alignment horizontal="right"/>
    </xf>
    <xf numFmtId="1" fontId="13" fillId="23" borderId="0" xfId="2" applyNumberFormat="1" applyFont="1" applyFill="1" applyBorder="1"/>
    <xf numFmtId="164" fontId="13" fillId="23" borderId="0" xfId="2" applyNumberFormat="1" applyFont="1" applyFill="1" applyBorder="1"/>
    <xf numFmtId="164" fontId="18" fillId="23" borderId="0" xfId="2" applyNumberFormat="1" applyFont="1" applyFill="1" applyBorder="1"/>
    <xf numFmtId="164" fontId="13" fillId="23" borderId="0" xfId="2" applyNumberFormat="1" applyFont="1" applyFill="1" applyBorder="1" applyAlignment="1">
      <alignment horizontal="right"/>
    </xf>
    <xf numFmtId="164" fontId="18" fillId="23" borderId="0" xfId="2" applyNumberFormat="1" applyFont="1" applyFill="1" applyBorder="1" applyAlignment="1">
      <alignment horizontal="right"/>
    </xf>
    <xf numFmtId="1" fontId="14" fillId="23" borderId="0" xfId="2" applyNumberFormat="1" applyFont="1" applyFill="1" applyBorder="1" applyAlignment="1">
      <alignment horizontal="right"/>
    </xf>
    <xf numFmtId="1" fontId="13" fillId="23" borderId="0" xfId="2" applyNumberFormat="1" applyFont="1" applyFill="1" applyBorder="1" applyAlignment="1">
      <alignment horizontal="right"/>
    </xf>
    <xf numFmtId="164" fontId="14" fillId="23" borderId="0" xfId="2" applyNumberFormat="1" applyFont="1" applyFill="1" applyBorder="1" applyAlignment="1">
      <alignment horizontal="right"/>
    </xf>
    <xf numFmtId="0" fontId="13" fillId="0" borderId="8" xfId="2" applyFont="1" applyFill="1" applyBorder="1" applyAlignment="1"/>
    <xf numFmtId="1" fontId="13" fillId="0" borderId="4" xfId="2" applyNumberFormat="1" applyFont="1" applyFill="1" applyBorder="1" applyAlignment="1"/>
    <xf numFmtId="9" fontId="13" fillId="0" borderId="4" xfId="51" applyFont="1" applyFill="1" applyBorder="1"/>
    <xf numFmtId="164" fontId="13" fillId="0" borderId="4" xfId="51" applyNumberFormat="1" applyFont="1" applyFill="1" applyBorder="1"/>
    <xf numFmtId="0" fontId="16" fillId="0" borderId="1" xfId="2" applyFont="1" applyFill="1" applyBorder="1" applyAlignment="1">
      <alignment horizontal="left" indent="1"/>
    </xf>
    <xf numFmtId="1" fontId="13" fillId="0" borderId="0" xfId="2" applyNumberFormat="1" applyFont="1" applyFill="1" applyBorder="1" applyAlignment="1"/>
    <xf numFmtId="164" fontId="35" fillId="0" borderId="0" xfId="51" applyNumberFormat="1" applyFont="1" applyFill="1" applyBorder="1"/>
    <xf numFmtId="164" fontId="16" fillId="0" borderId="0" xfId="51" applyNumberFormat="1" applyFont="1" applyFill="1" applyBorder="1" applyAlignment="1">
      <alignment horizontal="right"/>
    </xf>
    <xf numFmtId="1" fontId="16" fillId="0" borderId="0" xfId="51" applyNumberFormat="1" applyFont="1" applyFill="1" applyBorder="1" applyAlignment="1">
      <alignment horizontal="right"/>
    </xf>
    <xf numFmtId="0" fontId="16" fillId="0" borderId="29" xfId="2" applyFont="1" applyFill="1" applyBorder="1" applyAlignment="1">
      <alignment horizontal="left" indent="1"/>
    </xf>
    <xf numFmtId="1" fontId="13" fillId="0" borderId="2" xfId="2" applyNumberFormat="1" applyFont="1" applyFill="1" applyBorder="1" applyAlignment="1"/>
    <xf numFmtId="0" fontId="13" fillId="0" borderId="2" xfId="2" applyFont="1" applyFill="1" applyBorder="1" applyAlignment="1"/>
    <xf numFmtId="164" fontId="13" fillId="0" borderId="2" xfId="51" applyNumberFormat="1" applyFont="1" applyFill="1" applyBorder="1"/>
    <xf numFmtId="164" fontId="13" fillId="0" borderId="2" xfId="2" applyNumberFormat="1" applyFont="1" applyFill="1" applyBorder="1"/>
    <xf numFmtId="9" fontId="35" fillId="0" borderId="2" xfId="51" applyFont="1" applyFill="1" applyBorder="1"/>
    <xf numFmtId="164" fontId="35" fillId="0" borderId="2" xfId="51" applyNumberFormat="1" applyFont="1" applyFill="1" applyBorder="1"/>
    <xf numFmtId="164" fontId="35" fillId="0" borderId="2" xfId="2" applyNumberFormat="1" applyFont="1" applyFill="1" applyBorder="1"/>
    <xf numFmtId="9" fontId="16" fillId="0" borderId="2" xfId="51" applyFont="1" applyFill="1" applyBorder="1" applyAlignment="1">
      <alignment horizontal="right"/>
    </xf>
    <xf numFmtId="164" fontId="17" fillId="0" borderId="2" xfId="51" applyNumberFormat="1" applyFont="1" applyFill="1" applyBorder="1" applyAlignment="1">
      <alignment horizontal="right"/>
    </xf>
    <xf numFmtId="180" fontId="13" fillId="21" borderId="0" xfId="45" applyNumberFormat="1" applyFont="1" applyFill="1" applyBorder="1" applyAlignment="1">
      <alignment horizontal="left" vertical="center"/>
    </xf>
    <xf numFmtId="1" fontId="22" fillId="0" borderId="4" xfId="51" applyNumberFormat="1" applyFont="1" applyFill="1" applyBorder="1"/>
    <xf numFmtId="1" fontId="13" fillId="0" borderId="4" xfId="51" quotePrefix="1" applyNumberFormat="1" applyFont="1" applyFill="1" applyBorder="1"/>
    <xf numFmtId="1" fontId="18" fillId="23" borderId="0" xfId="2" applyNumberFormat="1" applyFont="1" applyFill="1" applyBorder="1"/>
    <xf numFmtId="1" fontId="14" fillId="23" borderId="0" xfId="51" applyNumberFormat="1" applyFont="1" applyFill="1" applyAlignment="1">
      <alignment horizontal="right"/>
    </xf>
    <xf numFmtId="1" fontId="13" fillId="23" borderId="0" xfId="51" applyNumberFormat="1" applyFont="1" applyFill="1" applyAlignment="1">
      <alignment horizontal="right"/>
    </xf>
    <xf numFmtId="1" fontId="18" fillId="23" borderId="0" xfId="51" applyNumberFormat="1" applyFont="1" applyFill="1"/>
    <xf numFmtId="1" fontId="13" fillId="23" borderId="0" xfId="51" applyNumberFormat="1" applyFont="1" applyFill="1"/>
    <xf numFmtId="1" fontId="13" fillId="23" borderId="0" xfId="2" applyNumberFormat="1" applyFont="1" applyFill="1"/>
    <xf numFmtId="180" fontId="13" fillId="15" borderId="0" xfId="45" applyNumberFormat="1" applyFont="1" applyFill="1" applyBorder="1" applyAlignment="1">
      <alignment horizontal="left" vertical="center"/>
    </xf>
    <xf numFmtId="180" fontId="12" fillId="15" borderId="0" xfId="45" applyNumberFormat="1" applyFont="1" applyFill="1" applyBorder="1" applyAlignment="1">
      <alignment horizontal="left" vertical="center"/>
    </xf>
    <xf numFmtId="9" fontId="16" fillId="15" borderId="0" xfId="51" applyFont="1" applyFill="1" applyBorder="1"/>
    <xf numFmtId="9" fontId="13" fillId="0" borderId="0" xfId="58" quotePrefix="1" applyNumberFormat="1" applyFont="1" applyFill="1" applyBorder="1" applyAlignment="1">
      <alignment horizontal="right" vertical="center"/>
    </xf>
    <xf numFmtId="172" fontId="13" fillId="0" borderId="0" xfId="51" applyNumberFormat="1" applyFont="1" applyFill="1" applyBorder="1"/>
    <xf numFmtId="9" fontId="16" fillId="0" borderId="4" xfId="51" applyFont="1" applyFill="1" applyBorder="1"/>
    <xf numFmtId="9" fontId="13" fillId="0" borderId="4" xfId="51" applyFont="1" applyFill="1" applyBorder="1" applyAlignment="1">
      <alignment horizontal="right"/>
    </xf>
    <xf numFmtId="164" fontId="16" fillId="0" borderId="1" xfId="45" applyNumberFormat="1" applyFont="1" applyFill="1" applyBorder="1" applyAlignment="1">
      <alignment horizontal="left" vertical="center" indent="1"/>
    </xf>
    <xf numFmtId="164" fontId="13" fillId="0" borderId="1" xfId="45" applyNumberFormat="1" applyFont="1" applyFill="1" applyBorder="1" applyAlignment="1">
      <alignment horizontal="left" vertical="center"/>
    </xf>
    <xf numFmtId="164" fontId="16" fillId="0" borderId="29" xfId="45" applyNumberFormat="1" applyFont="1" applyFill="1" applyBorder="1" applyAlignment="1">
      <alignment horizontal="left" vertical="center" indent="1"/>
    </xf>
    <xf numFmtId="9" fontId="16" fillId="0" borderId="2" xfId="51" applyFont="1" applyFill="1" applyBorder="1"/>
    <xf numFmtId="172" fontId="13" fillId="0" borderId="2" xfId="51" applyNumberFormat="1" applyFont="1" applyFill="1" applyBorder="1"/>
    <xf numFmtId="3" fontId="13" fillId="0" borderId="4" xfId="2" applyNumberFormat="1" applyFont="1" applyFill="1" applyBorder="1" applyAlignment="1">
      <alignment horizontal="right"/>
    </xf>
    <xf numFmtId="3" fontId="13" fillId="0" borderId="4" xfId="2" applyNumberFormat="1" applyFont="1" applyFill="1" applyBorder="1"/>
    <xf numFmtId="3" fontId="13" fillId="0" borderId="4" xfId="2" applyNumberFormat="1" applyFont="1" applyFill="1" applyBorder="1" applyAlignment="1"/>
    <xf numFmtId="3" fontId="13" fillId="0" borderId="4" xfId="51" applyNumberFormat="1" applyFont="1" applyFill="1" applyBorder="1"/>
    <xf numFmtId="3" fontId="13" fillId="0" borderId="4" xfId="51" applyNumberFormat="1" applyFont="1" applyFill="1" applyBorder="1" applyAlignment="1">
      <alignment horizontal="right"/>
    </xf>
    <xf numFmtId="3" fontId="13" fillId="0" borderId="2" xfId="2" applyNumberFormat="1" applyFont="1" applyFill="1" applyBorder="1" applyAlignment="1">
      <alignment horizontal="right"/>
    </xf>
    <xf numFmtId="3" fontId="13" fillId="0" borderId="2" xfId="2" applyNumberFormat="1" applyFont="1" applyFill="1" applyBorder="1"/>
    <xf numFmtId="3" fontId="13" fillId="0" borderId="2" xfId="2" applyNumberFormat="1" applyFont="1" applyFill="1" applyBorder="1" applyAlignment="1"/>
    <xf numFmtId="3" fontId="13" fillId="0" borderId="2" xfId="51" applyNumberFormat="1" applyFont="1" applyFill="1" applyBorder="1"/>
    <xf numFmtId="3" fontId="13" fillId="0" borderId="2" xfId="51" applyNumberFormat="1" applyFont="1" applyFill="1" applyBorder="1" applyAlignment="1">
      <alignment horizontal="right"/>
    </xf>
    <xf numFmtId="3" fontId="16" fillId="0" borderId="2" xfId="51" applyNumberFormat="1" applyFont="1" applyFill="1" applyBorder="1" applyAlignment="1">
      <alignment horizontal="right"/>
    </xf>
    <xf numFmtId="3" fontId="16" fillId="0" borderId="2" xfId="2" applyNumberFormat="1" applyFont="1" applyFill="1" applyBorder="1"/>
    <xf numFmtId="3" fontId="16" fillId="0" borderId="2" xfId="51" applyNumberFormat="1" applyFont="1" applyFill="1" applyBorder="1"/>
    <xf numFmtId="9" fontId="35" fillId="0" borderId="0" xfId="51" applyFont="1" applyFill="1" applyBorder="1"/>
    <xf numFmtId="164" fontId="17" fillId="0" borderId="0" xfId="51" applyNumberFormat="1" applyFont="1" applyFill="1" applyBorder="1" applyAlignment="1">
      <alignment horizontal="right"/>
    </xf>
    <xf numFmtId="3" fontId="13" fillId="0" borderId="0" xfId="2" applyNumberFormat="1" applyFont="1" applyFill="1" applyBorder="1" applyAlignment="1">
      <alignment horizontal="right"/>
    </xf>
    <xf numFmtId="3" fontId="13" fillId="0" borderId="0" xfId="2" applyNumberFormat="1" applyFont="1" applyFill="1" applyBorder="1" applyAlignment="1"/>
    <xf numFmtId="3" fontId="13" fillId="0" borderId="0" xfId="51" applyNumberFormat="1" applyFont="1" applyFill="1" applyBorder="1" applyAlignment="1">
      <alignment horizontal="right"/>
    </xf>
    <xf numFmtId="3" fontId="16" fillId="0" borderId="0" xfId="51" applyNumberFormat="1" applyFont="1" applyFill="1" applyBorder="1" applyAlignment="1">
      <alignment horizontal="right"/>
    </xf>
    <xf numFmtId="3" fontId="16" fillId="0" borderId="0" xfId="2" applyNumberFormat="1" applyFont="1" applyFill="1" applyBorder="1"/>
    <xf numFmtId="3" fontId="16" fillId="0" borderId="0" xfId="51" applyNumberFormat="1" applyFont="1" applyFill="1" applyBorder="1"/>
    <xf numFmtId="3" fontId="18" fillId="0" borderId="4" xfId="51" applyNumberFormat="1" applyFont="1" applyFill="1" applyBorder="1"/>
    <xf numFmtId="0" fontId="13" fillId="21" borderId="2" xfId="2" applyFont="1" applyFill="1" applyBorder="1"/>
    <xf numFmtId="1" fontId="13" fillId="21" borderId="2" xfId="2" applyNumberFormat="1" applyFont="1" applyFill="1" applyBorder="1"/>
    <xf numFmtId="9" fontId="13" fillId="23" borderId="0" xfId="51" applyFont="1" applyFill="1" applyBorder="1"/>
    <xf numFmtId="9" fontId="13" fillId="21" borderId="0" xfId="51" applyFont="1" applyFill="1" applyBorder="1"/>
    <xf numFmtId="172" fontId="13" fillId="0" borderId="0" xfId="58" applyNumberFormat="1" applyFont="1" applyFill="1" applyBorder="1" applyAlignment="1">
      <alignment horizontal="right" vertical="center"/>
    </xf>
    <xf numFmtId="164" fontId="12" fillId="0" borderId="36" xfId="52" quotePrefix="1" applyNumberFormat="1" applyFont="1" applyFill="1" applyBorder="1" applyAlignment="1">
      <alignment horizontal="right" vertical="center"/>
    </xf>
    <xf numFmtId="0" fontId="13" fillId="0" borderId="30" xfId="58" applyFont="1" applyFill="1" applyBorder="1">
      <alignment horizontal="left" vertical="center"/>
    </xf>
    <xf numFmtId="0" fontId="12" fillId="20" borderId="30" xfId="2" applyFont="1" applyFill="1" applyBorder="1"/>
    <xf numFmtId="9" fontId="13" fillId="0" borderId="30" xfId="51" applyFont="1" applyBorder="1"/>
    <xf numFmtId="1" fontId="12" fillId="15" borderId="30" xfId="2" applyNumberFormat="1" applyFont="1" applyFill="1" applyBorder="1"/>
    <xf numFmtId="1" fontId="13" fillId="15" borderId="30" xfId="2" applyNumberFormat="1" applyFont="1" applyFill="1" applyBorder="1" applyAlignment="1">
      <alignment horizontal="right"/>
    </xf>
    <xf numFmtId="1" fontId="13" fillId="15" borderId="30" xfId="2" applyNumberFormat="1" applyFont="1" applyFill="1" applyBorder="1"/>
    <xf numFmtId="9" fontId="12" fillId="15" borderId="30" xfId="51" applyFont="1" applyFill="1" applyBorder="1" applyAlignment="1">
      <alignment horizontal="right"/>
    </xf>
    <xf numFmtId="0" fontId="15" fillId="27" borderId="30" xfId="58" applyFont="1" applyFill="1" applyBorder="1">
      <alignment horizontal="left" vertical="center"/>
    </xf>
    <xf numFmtId="9" fontId="16" fillId="0" borderId="30" xfId="51" applyFont="1" applyFill="1" applyBorder="1" applyAlignment="1">
      <alignment horizontal="right" vertical="center"/>
    </xf>
    <xf numFmtId="0" fontId="13" fillId="0" borderId="30" xfId="58" applyFont="1" applyFill="1" applyBorder="1" applyAlignment="1">
      <alignment horizontal="right" vertical="center"/>
    </xf>
    <xf numFmtId="9" fontId="16" fillId="0" borderId="37" xfId="51" applyFont="1" applyFill="1" applyBorder="1" applyAlignment="1">
      <alignment horizontal="right" vertical="center"/>
    </xf>
    <xf numFmtId="1" fontId="13" fillId="0" borderId="30" xfId="58" applyNumberFormat="1" applyFont="1" applyFill="1" applyBorder="1" applyAlignment="1">
      <alignment horizontal="right" vertical="center"/>
    </xf>
    <xf numFmtId="0" fontId="12" fillId="15" borderId="38" xfId="58" applyFont="1" applyFill="1" applyBorder="1" applyAlignment="1">
      <alignment horizontal="right" vertical="center"/>
    </xf>
    <xf numFmtId="9" fontId="16" fillId="15" borderId="30" xfId="51" applyFont="1" applyFill="1" applyBorder="1" applyAlignment="1">
      <alignment horizontal="right" vertical="center"/>
    </xf>
    <xf numFmtId="0" fontId="13" fillId="15" borderId="39" xfId="58" applyFont="1" applyFill="1" applyBorder="1" applyAlignment="1">
      <alignment horizontal="right" vertical="center"/>
    </xf>
    <xf numFmtId="0" fontId="13" fillId="15" borderId="30" xfId="58" applyFont="1" applyFill="1" applyBorder="1" applyAlignment="1">
      <alignment horizontal="right" vertical="center"/>
    </xf>
    <xf numFmtId="164" fontId="13" fillId="15" borderId="30" xfId="58" applyNumberFormat="1" applyFont="1" applyFill="1" applyBorder="1" applyAlignment="1">
      <alignment horizontal="right" vertical="center"/>
    </xf>
    <xf numFmtId="43" fontId="16" fillId="0" borderId="30" xfId="36" applyFont="1" applyFill="1" applyBorder="1" applyAlignment="1">
      <alignment horizontal="right" vertical="center"/>
    </xf>
    <xf numFmtId="1" fontId="12" fillId="21" borderId="36" xfId="58" applyNumberFormat="1" applyFont="1" applyFill="1" applyBorder="1" applyAlignment="1">
      <alignment horizontal="right" vertical="center"/>
    </xf>
    <xf numFmtId="9" fontId="16" fillId="21" borderId="30" xfId="51" applyFont="1" applyFill="1" applyBorder="1" applyAlignment="1">
      <alignment horizontal="right" vertical="center"/>
    </xf>
    <xf numFmtId="0" fontId="13" fillId="21" borderId="30" xfId="58" applyFont="1" applyFill="1" applyBorder="1" applyAlignment="1">
      <alignment horizontal="right" vertical="center"/>
    </xf>
    <xf numFmtId="1" fontId="12" fillId="0" borderId="30" xfId="58" applyNumberFormat="1" applyFont="1" applyFill="1" applyBorder="1" applyAlignment="1">
      <alignment horizontal="right" vertical="center"/>
    </xf>
    <xf numFmtId="0" fontId="13" fillId="0" borderId="37" xfId="58" applyFont="1" applyFill="1" applyBorder="1" applyAlignment="1">
      <alignment horizontal="right" vertical="center"/>
    </xf>
    <xf numFmtId="1" fontId="12" fillId="23" borderId="38" xfId="58" applyNumberFormat="1" applyFont="1" applyFill="1" applyBorder="1" applyAlignment="1">
      <alignment horizontal="right" vertical="center"/>
    </xf>
    <xf numFmtId="9" fontId="16" fillId="23" borderId="30" xfId="51" applyFont="1" applyFill="1" applyBorder="1" applyAlignment="1">
      <alignment horizontal="right" vertical="center"/>
    </xf>
    <xf numFmtId="9" fontId="13" fillId="0" borderId="30" xfId="51" applyFont="1" applyFill="1" applyBorder="1" applyAlignment="1">
      <alignment horizontal="right" vertical="center"/>
    </xf>
    <xf numFmtId="1" fontId="13" fillId="0" borderId="30" xfId="2" applyNumberFormat="1" applyFont="1" applyBorder="1"/>
    <xf numFmtId="1" fontId="13" fillId="0" borderId="38" xfId="2" applyNumberFormat="1" applyFont="1" applyBorder="1"/>
    <xf numFmtId="1" fontId="13" fillId="0" borderId="39" xfId="2" applyNumberFormat="1" applyFont="1" applyBorder="1"/>
    <xf numFmtId="1" fontId="13" fillId="0" borderId="30" xfId="2" applyNumberFormat="1" applyFont="1" applyFill="1" applyBorder="1"/>
    <xf numFmtId="0" fontId="12" fillId="0" borderId="38" xfId="58" applyFont="1" applyFill="1" applyBorder="1">
      <alignment horizontal="left" vertical="center"/>
    </xf>
    <xf numFmtId="0" fontId="13" fillId="0" borderId="39" xfId="58" applyFont="1" applyFill="1" applyBorder="1">
      <alignment horizontal="left" vertical="center"/>
    </xf>
    <xf numFmtId="1" fontId="13" fillId="0" borderId="30" xfId="51" applyNumberFormat="1" applyFont="1" applyFill="1" applyBorder="1" applyAlignment="1">
      <alignment horizontal="right"/>
    </xf>
    <xf numFmtId="172" fontId="13" fillId="0" borderId="36" xfId="2" applyNumberFormat="1" applyFont="1" applyFill="1" applyBorder="1" applyAlignment="1">
      <alignment horizontal="right"/>
    </xf>
    <xf numFmtId="9" fontId="12" fillId="0" borderId="30" xfId="51" applyFont="1" applyFill="1" applyBorder="1" applyAlignment="1">
      <alignment horizontal="right"/>
    </xf>
    <xf numFmtId="9" fontId="13" fillId="0" borderId="37" xfId="51" applyFont="1" applyFill="1" applyBorder="1" applyAlignment="1">
      <alignment horizontal="right"/>
    </xf>
    <xf numFmtId="9" fontId="13" fillId="0" borderId="30" xfId="51" applyFont="1" applyFill="1" applyBorder="1" applyAlignment="1">
      <alignment horizontal="right"/>
    </xf>
    <xf numFmtId="3" fontId="12" fillId="0" borderId="36" xfId="51" applyNumberFormat="1" applyFont="1" applyFill="1" applyBorder="1" applyAlignment="1">
      <alignment horizontal="right"/>
    </xf>
    <xf numFmtId="1" fontId="13" fillId="0" borderId="30" xfId="51" applyNumberFormat="1" applyFont="1" applyFill="1" applyBorder="1"/>
    <xf numFmtId="172" fontId="13" fillId="0" borderId="30" xfId="51" applyNumberFormat="1" applyFont="1" applyFill="1" applyBorder="1"/>
    <xf numFmtId="9" fontId="13" fillId="0" borderId="30" xfId="51" applyFont="1" applyFill="1" applyBorder="1"/>
    <xf numFmtId="0" fontId="13" fillId="0" borderId="30" xfId="2" applyFont="1" applyBorder="1"/>
    <xf numFmtId="172" fontId="13" fillId="15" borderId="30" xfId="2" applyNumberFormat="1" applyFont="1" applyFill="1" applyBorder="1" applyAlignment="1">
      <alignment horizontal="right"/>
    </xf>
    <xf numFmtId="9" fontId="13" fillId="15" borderId="30" xfId="51" applyFont="1" applyFill="1" applyBorder="1" applyAlignment="1">
      <alignment horizontal="right"/>
    </xf>
    <xf numFmtId="1" fontId="13" fillId="0" borderId="36" xfId="2" applyNumberFormat="1" applyFont="1" applyFill="1" applyBorder="1"/>
    <xf numFmtId="172" fontId="13" fillId="0" borderId="37" xfId="51" applyNumberFormat="1" applyFont="1" applyFill="1" applyBorder="1"/>
    <xf numFmtId="3" fontId="13" fillId="15" borderId="30" xfId="2" applyNumberFormat="1" applyFont="1" applyFill="1" applyBorder="1"/>
    <xf numFmtId="1" fontId="13" fillId="0" borderId="36" xfId="51" applyNumberFormat="1" applyFont="1" applyFill="1" applyBorder="1" applyAlignment="1">
      <alignment horizontal="right"/>
    </xf>
    <xf numFmtId="164" fontId="16" fillId="0" borderId="30" xfId="51" applyNumberFormat="1" applyFont="1" applyFill="1" applyBorder="1" applyAlignment="1">
      <alignment horizontal="right"/>
    </xf>
    <xf numFmtId="0" fontId="13" fillId="0" borderId="37" xfId="2" applyFont="1" applyBorder="1"/>
    <xf numFmtId="1" fontId="13" fillId="23" borderId="30" xfId="51" applyNumberFormat="1" applyFont="1" applyFill="1" applyBorder="1" applyAlignment="1">
      <alignment horizontal="right"/>
    </xf>
    <xf numFmtId="164" fontId="16" fillId="23" borderId="30" xfId="2" applyNumberFormat="1" applyFont="1" applyFill="1" applyBorder="1" applyAlignment="1">
      <alignment horizontal="right"/>
    </xf>
    <xf numFmtId="1" fontId="16" fillId="23" borderId="30" xfId="2" applyNumberFormat="1" applyFont="1" applyFill="1" applyBorder="1"/>
    <xf numFmtId="1" fontId="13" fillId="23" borderId="30" xfId="2" applyNumberFormat="1" applyFont="1" applyFill="1" applyBorder="1"/>
    <xf numFmtId="3" fontId="13" fillId="0" borderId="36" xfId="51" applyNumberFormat="1" applyFont="1" applyFill="1" applyBorder="1"/>
    <xf numFmtId="3" fontId="16" fillId="0" borderId="30" xfId="51" applyNumberFormat="1" applyFont="1" applyFill="1" applyBorder="1"/>
    <xf numFmtId="1" fontId="13" fillId="15" borderId="30" xfId="58" applyNumberFormat="1" applyFont="1" applyFill="1" applyBorder="1" applyAlignment="1">
      <alignment horizontal="right" vertical="center"/>
    </xf>
    <xf numFmtId="0" fontId="15" fillId="27" borderId="39" xfId="58" applyFont="1" applyFill="1" applyBorder="1">
      <alignment horizontal="left" vertical="center"/>
    </xf>
    <xf numFmtId="9" fontId="13" fillId="15" borderId="30" xfId="51" applyFont="1" applyFill="1" applyBorder="1" applyAlignment="1">
      <alignment horizontal="right" vertical="center"/>
    </xf>
    <xf numFmtId="1" fontId="13" fillId="20" borderId="30" xfId="51" applyNumberFormat="1" applyFont="1" applyFill="1" applyBorder="1" applyAlignment="1">
      <alignment horizontal="right" vertical="center"/>
    </xf>
    <xf numFmtId="9" fontId="16" fillId="20" borderId="30" xfId="51" applyFont="1" applyFill="1" applyBorder="1" applyAlignment="1">
      <alignment horizontal="right" vertical="center"/>
    </xf>
    <xf numFmtId="0" fontId="13" fillId="20" borderId="30" xfId="58" applyFont="1" applyFill="1" applyBorder="1" applyAlignment="1">
      <alignment horizontal="right" vertical="center"/>
    </xf>
    <xf numFmtId="1" fontId="13" fillId="26" borderId="30" xfId="58" applyNumberFormat="1" applyFont="1" applyFill="1" applyBorder="1" applyAlignment="1">
      <alignment horizontal="right" vertical="center"/>
    </xf>
    <xf numFmtId="9" fontId="13" fillId="26" borderId="30" xfId="51" applyFont="1" applyFill="1" applyBorder="1" applyAlignment="1">
      <alignment horizontal="right" vertical="center"/>
    </xf>
    <xf numFmtId="0" fontId="13" fillId="26" borderId="30" xfId="58" applyFont="1" applyFill="1" applyBorder="1" applyAlignment="1">
      <alignment horizontal="right" vertical="center"/>
    </xf>
    <xf numFmtId="9" fontId="16" fillId="0" borderId="30" xfId="51" applyFont="1" applyFill="1" applyBorder="1"/>
    <xf numFmtId="164" fontId="12" fillId="0" borderId="30" xfId="58" applyNumberFormat="1" applyFont="1" applyFill="1" applyBorder="1" applyAlignment="1">
      <alignment horizontal="right" vertical="center"/>
    </xf>
    <xf numFmtId="9" fontId="13" fillId="0" borderId="30" xfId="58" applyNumberFormat="1" applyFont="1" applyFill="1" applyBorder="1" applyAlignment="1">
      <alignment horizontal="right" vertical="center"/>
    </xf>
    <xf numFmtId="164" fontId="13" fillId="0" borderId="30" xfId="58" applyNumberFormat="1" applyFont="1" applyFill="1" applyBorder="1" applyAlignment="1">
      <alignment horizontal="right" vertical="center"/>
    </xf>
    <xf numFmtId="0" fontId="13" fillId="0" borderId="39" xfId="58" applyFont="1" applyFill="1" applyBorder="1" applyAlignment="1">
      <alignment horizontal="right" vertical="center"/>
    </xf>
    <xf numFmtId="1" fontId="13" fillId="0" borderId="30" xfId="2" applyNumberFormat="1" applyFont="1" applyFill="1" applyBorder="1" applyAlignment="1">
      <alignment horizontal="right"/>
    </xf>
    <xf numFmtId="9" fontId="13" fillId="0" borderId="30" xfId="51" applyNumberFormat="1" applyFont="1" applyFill="1" applyBorder="1" applyAlignment="1">
      <alignment horizontal="right"/>
    </xf>
    <xf numFmtId="164" fontId="13" fillId="0" borderId="36" xfId="2" applyNumberFormat="1" applyFont="1" applyFill="1" applyBorder="1" applyAlignment="1">
      <alignment horizontal="right"/>
    </xf>
    <xf numFmtId="164" fontId="13" fillId="0" borderId="30" xfId="2" applyNumberFormat="1" applyFont="1" applyFill="1" applyBorder="1" applyAlignment="1">
      <alignment horizontal="right"/>
    </xf>
    <xf numFmtId="164" fontId="13" fillId="0" borderId="30" xfId="2" applyNumberFormat="1" applyFont="1" applyFill="1" applyBorder="1"/>
    <xf numFmtId="168" fontId="13" fillId="0" borderId="30" xfId="51" applyNumberFormat="1" applyFont="1" applyFill="1" applyBorder="1"/>
    <xf numFmtId="9" fontId="13" fillId="0" borderId="37" xfId="51" applyFont="1" applyFill="1" applyBorder="1"/>
    <xf numFmtId="168" fontId="13" fillId="0" borderId="30" xfId="51" applyNumberFormat="1" applyFont="1" applyFill="1" applyBorder="1" applyAlignment="1">
      <alignment horizontal="right"/>
    </xf>
    <xf numFmtId="0" fontId="12" fillId="0" borderId="36" xfId="58" applyFont="1" applyFill="1" applyBorder="1">
      <alignment horizontal="left" vertical="center"/>
    </xf>
    <xf numFmtId="0" fontId="13" fillId="0" borderId="37" xfId="58" applyFont="1" applyFill="1" applyBorder="1">
      <alignment horizontal="left" vertical="center"/>
    </xf>
    <xf numFmtId="0" fontId="12" fillId="15" borderId="38" xfId="58" applyFont="1" applyFill="1" applyBorder="1">
      <alignment horizontal="left" vertical="center"/>
    </xf>
    <xf numFmtId="0" fontId="13" fillId="15" borderId="30" xfId="58" applyFont="1" applyFill="1" applyBorder="1">
      <alignment horizontal="left" vertical="center"/>
    </xf>
    <xf numFmtId="0" fontId="13" fillId="15" borderId="39" xfId="58" applyFont="1" applyFill="1" applyBorder="1">
      <alignment horizontal="left" vertical="center"/>
    </xf>
    <xf numFmtId="0" fontId="12" fillId="21" borderId="36" xfId="58" applyFont="1" applyFill="1" applyBorder="1">
      <alignment horizontal="left" vertical="center"/>
    </xf>
    <xf numFmtId="0" fontId="13" fillId="21" borderId="30" xfId="58" applyFont="1" applyFill="1" applyBorder="1">
      <alignment horizontal="left" vertical="center"/>
    </xf>
    <xf numFmtId="0" fontId="12" fillId="0" borderId="30" xfId="58" applyFont="1" applyFill="1" applyBorder="1">
      <alignment horizontal="left" vertical="center"/>
    </xf>
    <xf numFmtId="0" fontId="13" fillId="23" borderId="38" xfId="58" applyFont="1" applyFill="1" applyBorder="1">
      <alignment horizontal="left" vertical="center"/>
    </xf>
    <xf numFmtId="0" fontId="13" fillId="23" borderId="30" xfId="58" applyFont="1" applyFill="1" applyBorder="1">
      <alignment horizontal="left" vertical="center"/>
    </xf>
    <xf numFmtId="0" fontId="13" fillId="23" borderId="39" xfId="58" applyFont="1" applyFill="1" applyBorder="1">
      <alignment horizontal="left" vertical="center"/>
    </xf>
    <xf numFmtId="1" fontId="13" fillId="0" borderId="37" xfId="2" applyNumberFormat="1" applyFont="1" applyFill="1" applyBorder="1"/>
    <xf numFmtId="1" fontId="13" fillId="0" borderId="36" xfId="51" applyNumberFormat="1" applyFont="1" applyFill="1" applyBorder="1"/>
    <xf numFmtId="1" fontId="13" fillId="0" borderId="37" xfId="51" applyNumberFormat="1" applyFont="1" applyFill="1" applyBorder="1"/>
    <xf numFmtId="9" fontId="13" fillId="0" borderId="36" xfId="51" applyFont="1" applyFill="1" applyBorder="1"/>
    <xf numFmtId="9" fontId="13" fillId="23" borderId="30" xfId="51" applyFont="1" applyFill="1" applyBorder="1"/>
    <xf numFmtId="3" fontId="13" fillId="0" borderId="30" xfId="51" applyNumberFormat="1" applyFont="1" applyFill="1" applyBorder="1"/>
    <xf numFmtId="3" fontId="13" fillId="0" borderId="37" xfId="51" applyNumberFormat="1" applyFont="1" applyFill="1" applyBorder="1"/>
    <xf numFmtId="1" fontId="13" fillId="21" borderId="30" xfId="2" applyNumberFormat="1" applyFont="1" applyFill="1" applyBorder="1"/>
    <xf numFmtId="43" fontId="7" fillId="0" borderId="4" xfId="36" applyFont="1" applyFill="1" applyBorder="1" applyAlignment="1">
      <alignment horizontal="left" vertical="center"/>
    </xf>
    <xf numFmtId="0" fontId="18" fillId="15" borderId="0" xfId="2" applyFont="1" applyFill="1" applyBorder="1"/>
    <xf numFmtId="164" fontId="8" fillId="0" borderId="4" xfId="58" applyNumberFormat="1" applyFont="1" applyFill="1" applyBorder="1">
      <alignment horizontal="left" vertical="center"/>
    </xf>
    <xf numFmtId="2" fontId="15" fillId="0" borderId="0" xfId="2" applyNumberFormat="1" applyFont="1" applyAlignment="1">
      <alignment horizontal="right"/>
    </xf>
    <xf numFmtId="164" fontId="13" fillId="21" borderId="8" xfId="45" applyNumberFormat="1" applyFont="1" applyFill="1" applyBorder="1">
      <alignment horizontal="left" vertical="center"/>
    </xf>
    <xf numFmtId="164" fontId="22" fillId="15" borderId="4" xfId="2" applyNumberFormat="1" applyFont="1" applyFill="1" applyBorder="1"/>
    <xf numFmtId="164" fontId="13" fillId="21" borderId="4" xfId="2" applyNumberFormat="1" applyFont="1" applyFill="1" applyBorder="1"/>
    <xf numFmtId="1" fontId="13" fillId="21" borderId="4" xfId="2" applyNumberFormat="1" applyFont="1" applyFill="1" applyBorder="1"/>
    <xf numFmtId="9" fontId="16" fillId="21" borderId="29" xfId="51" applyFont="1" applyFill="1" applyBorder="1" applyAlignment="1">
      <alignment horizontal="left" vertical="center"/>
    </xf>
    <xf numFmtId="9" fontId="22" fillId="15" borderId="2" xfId="51" applyFont="1" applyFill="1" applyBorder="1"/>
    <xf numFmtId="9" fontId="16" fillId="21" borderId="2" xfId="51" applyFont="1" applyFill="1" applyBorder="1"/>
    <xf numFmtId="9" fontId="13" fillId="21" borderId="2" xfId="51" applyFont="1" applyFill="1" applyBorder="1"/>
    <xf numFmtId="9" fontId="16" fillId="21" borderId="2" xfId="51" applyNumberFormat="1" applyFont="1" applyFill="1" applyBorder="1"/>
    <xf numFmtId="168" fontId="16" fillId="21" borderId="2" xfId="51" applyNumberFormat="1" applyFont="1" applyFill="1" applyBorder="1"/>
    <xf numFmtId="9" fontId="13" fillId="21" borderId="2" xfId="51" applyNumberFormat="1" applyFont="1" applyFill="1" applyBorder="1"/>
    <xf numFmtId="168" fontId="13" fillId="21" borderId="2" xfId="51" applyNumberFormat="1" applyFont="1" applyFill="1" applyBorder="1"/>
    <xf numFmtId="0" fontId="22" fillId="15" borderId="0" xfId="2" applyFont="1" applyFill="1" applyBorder="1"/>
    <xf numFmtId="9" fontId="13" fillId="0" borderId="0" xfId="51" applyNumberFormat="1" applyFont="1" applyFill="1" applyBorder="1"/>
    <xf numFmtId="164" fontId="12" fillId="0" borderId="8" xfId="2" applyNumberFormat="1" applyFont="1" applyFill="1" applyBorder="1"/>
    <xf numFmtId="164" fontId="12" fillId="0" borderId="4" xfId="36" applyNumberFormat="1" applyFont="1" applyFill="1" applyBorder="1"/>
    <xf numFmtId="164" fontId="12" fillId="0" borderId="4" xfId="2" applyNumberFormat="1" applyFont="1" applyFill="1" applyBorder="1"/>
    <xf numFmtId="1" fontId="12" fillId="0" borderId="4" xfId="36" applyNumberFormat="1" applyFont="1" applyFill="1" applyBorder="1"/>
    <xf numFmtId="9" fontId="16" fillId="0" borderId="29" xfId="51" quotePrefix="1" applyFont="1" applyFill="1" applyBorder="1" applyAlignment="1">
      <alignment horizontal="left"/>
    </xf>
    <xf numFmtId="0" fontId="24" fillId="15" borderId="2" xfId="2" applyFont="1" applyFill="1" applyBorder="1"/>
    <xf numFmtId="168" fontId="16" fillId="0" borderId="2" xfId="51" applyNumberFormat="1" applyFont="1" applyFill="1" applyBorder="1"/>
    <xf numFmtId="0" fontId="16" fillId="0" borderId="2" xfId="2" applyFont="1" applyFill="1" applyBorder="1"/>
    <xf numFmtId="9" fontId="16" fillId="0" borderId="2" xfId="51" applyNumberFormat="1" applyFont="1" applyFill="1" applyBorder="1"/>
    <xf numFmtId="9" fontId="16" fillId="0" borderId="2" xfId="2" applyNumberFormat="1" applyFont="1" applyFill="1" applyBorder="1"/>
    <xf numFmtId="9" fontId="38" fillId="15" borderId="0" xfId="51" applyFont="1" applyFill="1" applyAlignment="1">
      <alignment horizontal="right"/>
    </xf>
    <xf numFmtId="164" fontId="55" fillId="15" borderId="0" xfId="51" applyNumberFormat="1" applyFont="1" applyFill="1" applyAlignment="1">
      <alignment horizontal="right"/>
    </xf>
    <xf numFmtId="1" fontId="55" fillId="15" borderId="0" xfId="51" applyNumberFormat="1" applyFont="1" applyFill="1" applyAlignment="1">
      <alignment horizontal="right"/>
    </xf>
    <xf numFmtId="1" fontId="13" fillId="15" borderId="0" xfId="51" applyNumberFormat="1" applyFont="1" applyFill="1" applyAlignment="1">
      <alignment horizontal="right"/>
    </xf>
    <xf numFmtId="9" fontId="13" fillId="15" borderId="0" xfId="51" applyFont="1" applyFill="1" applyAlignment="1">
      <alignment horizontal="left" vertical="center" indent="2"/>
    </xf>
    <xf numFmtId="9" fontId="38" fillId="15" borderId="0" xfId="51" applyFont="1" applyFill="1"/>
    <xf numFmtId="2" fontId="12" fillId="26" borderId="22" xfId="45" applyNumberFormat="1" applyFont="1" applyFill="1" applyBorder="1">
      <alignment horizontal="left" vertical="center"/>
    </xf>
    <xf numFmtId="0" fontId="22" fillId="26" borderId="16" xfId="58" applyFont="1" applyFill="1" applyBorder="1">
      <alignment horizontal="left" vertical="center"/>
    </xf>
    <xf numFmtId="2" fontId="12" fillId="26" borderId="16" xfId="2" applyNumberFormat="1" applyFont="1" applyFill="1" applyBorder="1"/>
    <xf numFmtId="164" fontId="13" fillId="21" borderId="25" xfId="45" applyNumberFormat="1" applyFont="1" applyFill="1" applyBorder="1">
      <alignment horizontal="left" vertical="center"/>
    </xf>
    <xf numFmtId="0" fontId="22" fillId="15" borderId="7" xfId="2" applyFont="1" applyFill="1" applyBorder="1"/>
    <xf numFmtId="9" fontId="13" fillId="21" borderId="7" xfId="51" applyFont="1" applyFill="1" applyBorder="1" applyAlignment="1">
      <alignment horizontal="right"/>
    </xf>
    <xf numFmtId="0" fontId="13" fillId="21" borderId="7" xfId="2" applyFont="1" applyFill="1" applyBorder="1"/>
    <xf numFmtId="9" fontId="13" fillId="21" borderId="7" xfId="51" applyFont="1" applyFill="1" applyBorder="1"/>
    <xf numFmtId="164" fontId="12" fillId="26" borderId="22" xfId="45" applyNumberFormat="1" applyFont="1" applyFill="1" applyBorder="1">
      <alignment horizontal="left" vertical="center"/>
    </xf>
    <xf numFmtId="164" fontId="22" fillId="15" borderId="16" xfId="2" applyNumberFormat="1" applyFont="1" applyFill="1" applyBorder="1"/>
    <xf numFmtId="164" fontId="12" fillId="26" borderId="16" xfId="2" applyNumberFormat="1" applyFont="1" applyFill="1" applyBorder="1"/>
    <xf numFmtId="1" fontId="12" fillId="26" borderId="16" xfId="2" applyNumberFormat="1" applyFont="1" applyFill="1" applyBorder="1"/>
    <xf numFmtId="9" fontId="13" fillId="0" borderId="7" xfId="51" applyFont="1" applyFill="1" applyBorder="1"/>
    <xf numFmtId="1" fontId="13" fillId="0" borderId="7" xfId="51" applyNumberFormat="1" applyFont="1" applyFill="1" applyBorder="1" applyAlignment="1">
      <alignment horizontal="right"/>
    </xf>
    <xf numFmtId="9" fontId="13" fillId="0" borderId="7" xfId="51" applyFont="1" applyFill="1" applyBorder="1" applyAlignment="1">
      <alignment horizontal="right"/>
    </xf>
    <xf numFmtId="9" fontId="13" fillId="0" borderId="7" xfId="51" applyNumberFormat="1" applyFont="1" applyFill="1" applyBorder="1" applyAlignment="1">
      <alignment horizontal="right"/>
    </xf>
    <xf numFmtId="0" fontId="22" fillId="0" borderId="0" xfId="52" applyNumberFormat="1" applyFont="1" applyFill="1" applyBorder="1" applyAlignment="1">
      <alignment horizontal="centerContinuous" vertical="center"/>
    </xf>
    <xf numFmtId="0" fontId="12" fillId="0" borderId="0" xfId="52" applyNumberFormat="1" applyFont="1" applyFill="1" applyBorder="1" applyAlignment="1">
      <alignment horizontal="centerContinuous" vertical="center"/>
    </xf>
    <xf numFmtId="164" fontId="12" fillId="0" borderId="0" xfId="52" quotePrefix="1" applyNumberFormat="1" applyFont="1" applyFill="1" applyBorder="1" applyAlignment="1">
      <alignment horizontal="centerContinuous" vertical="center"/>
    </xf>
    <xf numFmtId="1" fontId="12" fillId="0" borderId="0" xfId="52" applyNumberFormat="1" applyFont="1" applyFill="1" applyBorder="1" applyAlignment="1">
      <alignment horizontal="centerContinuous" vertical="center"/>
    </xf>
    <xf numFmtId="165" fontId="12" fillId="0" borderId="11" xfId="45" applyNumberFormat="1" applyFont="1" applyFill="1" applyBorder="1">
      <alignment horizontal="left" vertical="center"/>
    </xf>
    <xf numFmtId="164" fontId="22" fillId="0" borderId="11" xfId="52" quotePrefix="1" applyNumberFormat="1" applyFont="1" applyFill="1" applyBorder="1" applyAlignment="1">
      <alignment horizontal="right" vertical="center"/>
    </xf>
    <xf numFmtId="164" fontId="12" fillId="0" borderId="9" xfId="52" quotePrefix="1" applyNumberFormat="1" applyFont="1" applyFill="1" applyBorder="1" applyAlignment="1">
      <alignment horizontal="right" vertical="center"/>
    </xf>
    <xf numFmtId="0" fontId="15" fillId="0" borderId="30" xfId="58" applyFont="1" applyFill="1" applyBorder="1">
      <alignment horizontal="left" vertical="center"/>
    </xf>
    <xf numFmtId="1" fontId="12" fillId="0" borderId="30" xfId="2" applyNumberFormat="1" applyFont="1" applyFill="1" applyBorder="1"/>
    <xf numFmtId="1" fontId="12" fillId="26" borderId="38" xfId="2" applyNumberFormat="1" applyFont="1" applyFill="1" applyBorder="1"/>
    <xf numFmtId="0" fontId="13" fillId="0" borderId="30" xfId="2" applyFont="1" applyFill="1" applyBorder="1" applyAlignment="1">
      <alignment horizontal="right"/>
    </xf>
    <xf numFmtId="1" fontId="16" fillId="0" borderId="30" xfId="51" applyNumberFormat="1" applyFont="1" applyFill="1" applyBorder="1"/>
    <xf numFmtId="1" fontId="12" fillId="0" borderId="36" xfId="2" applyNumberFormat="1" applyFont="1" applyFill="1" applyBorder="1"/>
    <xf numFmtId="9" fontId="16" fillId="0" borderId="37" xfId="51" applyNumberFormat="1" applyFont="1" applyFill="1" applyBorder="1"/>
    <xf numFmtId="9" fontId="13" fillId="17" borderId="30" xfId="51" applyFont="1" applyFill="1" applyBorder="1" applyAlignment="1">
      <alignment horizontal="right"/>
    </xf>
    <xf numFmtId="9" fontId="38" fillId="17" borderId="30" xfId="51" applyFont="1" applyFill="1" applyBorder="1" applyAlignment="1">
      <alignment horizontal="right"/>
    </xf>
    <xf numFmtId="9" fontId="38" fillId="17" borderId="30" xfId="51" applyFont="1" applyFill="1" applyBorder="1"/>
    <xf numFmtId="1" fontId="55" fillId="15" borderId="30" xfId="51" applyNumberFormat="1" applyFont="1" applyFill="1" applyBorder="1" applyAlignment="1">
      <alignment horizontal="right"/>
    </xf>
    <xf numFmtId="164" fontId="13" fillId="15" borderId="30" xfId="2" applyNumberFormat="1" applyFont="1" applyFill="1" applyBorder="1"/>
    <xf numFmtId="9" fontId="13" fillId="21" borderId="30" xfId="51" applyFont="1" applyFill="1" applyBorder="1"/>
    <xf numFmtId="1" fontId="13" fillId="21" borderId="36" xfId="2" applyNumberFormat="1" applyFont="1" applyFill="1" applyBorder="1"/>
    <xf numFmtId="9" fontId="16" fillId="21" borderId="37" xfId="51" applyNumberFormat="1" applyFont="1" applyFill="1" applyBorder="1"/>
    <xf numFmtId="9" fontId="16" fillId="21" borderId="30" xfId="51" applyFont="1" applyFill="1" applyBorder="1"/>
    <xf numFmtId="1" fontId="16" fillId="21" borderId="30" xfId="2" applyNumberFormat="1" applyFont="1" applyFill="1" applyBorder="1"/>
    <xf numFmtId="164" fontId="36" fillId="21" borderId="30" xfId="2" applyNumberFormat="1" applyFont="1" applyFill="1" applyBorder="1"/>
    <xf numFmtId="9" fontId="50" fillId="0" borderId="30" xfId="51" applyFont="1" applyFill="1" applyBorder="1"/>
    <xf numFmtId="2" fontId="12" fillId="26" borderId="38" xfId="2" applyNumberFormat="1" applyFont="1" applyFill="1" applyBorder="1"/>
    <xf numFmtId="9" fontId="13" fillId="21" borderId="39" xfId="51" applyFont="1" applyFill="1" applyBorder="1"/>
    <xf numFmtId="2" fontId="13" fillId="21" borderId="30" xfId="2" applyNumberFormat="1" applyFont="1" applyFill="1" applyBorder="1"/>
    <xf numFmtId="0" fontId="15" fillId="21" borderId="30" xfId="58" applyFont="1" applyFill="1" applyBorder="1">
      <alignment horizontal="left" vertical="center"/>
    </xf>
    <xf numFmtId="164" fontId="13" fillId="21" borderId="30" xfId="58" applyNumberFormat="1" applyFont="1" applyFill="1" applyBorder="1" applyAlignment="1">
      <alignment horizontal="right" vertical="center"/>
    </xf>
    <xf numFmtId="168" fontId="16" fillId="21" borderId="30" xfId="51" applyNumberFormat="1" applyFont="1" applyFill="1" applyBorder="1" applyAlignment="1">
      <alignment horizontal="right" vertical="center"/>
    </xf>
    <xf numFmtId="2" fontId="12" fillId="21" borderId="30" xfId="58" applyNumberFormat="1" applyFont="1" applyFill="1" applyBorder="1" applyAlignment="1">
      <alignment horizontal="right" vertical="center"/>
    </xf>
    <xf numFmtId="9" fontId="13" fillId="21" borderId="30" xfId="51" applyFont="1" applyFill="1" applyBorder="1" applyAlignment="1">
      <alignment horizontal="right" vertical="center"/>
    </xf>
    <xf numFmtId="0" fontId="13" fillId="21" borderId="30" xfId="2" applyFont="1" applyFill="1" applyBorder="1"/>
    <xf numFmtId="164" fontId="13" fillId="21" borderId="30" xfId="2" applyNumberFormat="1" applyFont="1" applyFill="1" applyBorder="1"/>
    <xf numFmtId="168" fontId="16" fillId="21" borderId="30" xfId="51" applyNumberFormat="1" applyFont="1" applyFill="1" applyBorder="1"/>
    <xf numFmtId="164" fontId="16" fillId="0" borderId="30" xfId="36" applyNumberFormat="1" applyFont="1" applyFill="1" applyBorder="1"/>
    <xf numFmtId="1" fontId="12" fillId="21" borderId="30" xfId="2" applyNumberFormat="1" applyFont="1" applyFill="1" applyBorder="1"/>
    <xf numFmtId="2" fontId="12" fillId="21" borderId="30" xfId="2" applyNumberFormat="1" applyFont="1" applyFill="1" applyBorder="1"/>
    <xf numFmtId="166" fontId="13" fillId="0" borderId="30" xfId="51" applyNumberFormat="1" applyFont="1" applyFill="1" applyBorder="1"/>
    <xf numFmtId="3" fontId="13" fillId="21" borderId="30" xfId="51" applyNumberFormat="1" applyFont="1" applyFill="1" applyBorder="1"/>
    <xf numFmtId="4" fontId="12" fillId="21" borderId="30" xfId="51" applyNumberFormat="1" applyFont="1" applyFill="1" applyBorder="1"/>
    <xf numFmtId="166" fontId="13" fillId="0" borderId="38" xfId="51" applyNumberFormat="1" applyFont="1" applyFill="1" applyBorder="1"/>
    <xf numFmtId="3" fontId="18" fillId="0" borderId="30" xfId="51" applyNumberFormat="1" applyFont="1" applyFill="1" applyBorder="1"/>
    <xf numFmtId="9" fontId="18" fillId="0" borderId="30" xfId="51" applyFont="1" applyFill="1" applyBorder="1"/>
    <xf numFmtId="4" fontId="13" fillId="15" borderId="30" xfId="51" applyNumberFormat="1" applyFont="1" applyFill="1" applyBorder="1"/>
    <xf numFmtId="10" fontId="18" fillId="0" borderId="30" xfId="51" applyNumberFormat="1" applyFont="1" applyFill="1" applyBorder="1"/>
    <xf numFmtId="171" fontId="12" fillId="0" borderId="39" xfId="51" applyNumberFormat="1" applyFont="1" applyFill="1" applyBorder="1"/>
    <xf numFmtId="0" fontId="15" fillId="0" borderId="37" xfId="58" applyFont="1" applyFill="1" applyBorder="1">
      <alignment horizontal="left" vertical="center"/>
    </xf>
    <xf numFmtId="9" fontId="14" fillId="0" borderId="30" xfId="51" applyFont="1" applyFill="1" applyBorder="1" applyAlignment="1">
      <alignment horizontal="right" vertical="center"/>
    </xf>
    <xf numFmtId="168" fontId="13" fillId="17" borderId="30" xfId="51" applyNumberFormat="1" applyFont="1" applyFill="1" applyBorder="1" applyAlignment="1">
      <alignment horizontal="right"/>
    </xf>
    <xf numFmtId="1" fontId="38" fillId="15" borderId="30" xfId="2" applyNumberFormat="1" applyFont="1" applyFill="1" applyBorder="1"/>
    <xf numFmtId="9" fontId="38" fillId="15" borderId="30" xfId="51" applyFont="1" applyFill="1" applyBorder="1"/>
    <xf numFmtId="168" fontId="16" fillId="21" borderId="37" xfId="51" applyNumberFormat="1" applyFont="1" applyFill="1" applyBorder="1"/>
    <xf numFmtId="4" fontId="13" fillId="21" borderId="30" xfId="51" applyNumberFormat="1" applyFont="1" applyFill="1" applyBorder="1"/>
    <xf numFmtId="4" fontId="18" fillId="15" borderId="30" xfId="51" applyNumberFormat="1" applyFont="1" applyFill="1" applyBorder="1"/>
    <xf numFmtId="164" fontId="12" fillId="21" borderId="30" xfId="2" applyNumberFormat="1" applyFont="1" applyFill="1" applyBorder="1"/>
    <xf numFmtId="3" fontId="18" fillId="0" borderId="38" xfId="51" applyNumberFormat="1" applyFont="1" applyFill="1" applyBorder="1"/>
    <xf numFmtId="164" fontId="12" fillId="0" borderId="36" xfId="2" applyNumberFormat="1" applyFont="1" applyFill="1" applyBorder="1"/>
    <xf numFmtId="164" fontId="13" fillId="21" borderId="36" xfId="2" applyNumberFormat="1" applyFont="1" applyFill="1" applyBorder="1"/>
    <xf numFmtId="164" fontId="12" fillId="0" borderId="0" xfId="52" applyNumberFormat="1" applyFont="1" applyFill="1" applyBorder="1" applyAlignment="1">
      <alignment horizontal="right" vertical="center"/>
    </xf>
    <xf numFmtId="0" fontId="15" fillId="0" borderId="2" xfId="58" applyFont="1" applyFill="1" applyBorder="1">
      <alignment horizontal="left" vertical="center"/>
    </xf>
    <xf numFmtId="1" fontId="17" fillId="0" borderId="30" xfId="2" applyNumberFormat="1" applyFont="1" applyBorder="1"/>
    <xf numFmtId="1" fontId="12" fillId="20" borderId="30" xfId="2" applyNumberFormat="1" applyFont="1" applyFill="1" applyBorder="1"/>
    <xf numFmtId="1" fontId="15" fillId="0" borderId="30" xfId="58" applyNumberFormat="1" applyFont="1" applyFill="1" applyBorder="1">
      <alignment horizontal="left" vertical="center"/>
    </xf>
    <xf numFmtId="1" fontId="12" fillId="0" borderId="40" xfId="2" applyNumberFormat="1" applyFont="1" applyFill="1" applyBorder="1"/>
    <xf numFmtId="1" fontId="13" fillId="20" borderId="30" xfId="2" applyNumberFormat="1" applyFont="1" applyFill="1" applyBorder="1"/>
    <xf numFmtId="1" fontId="12" fillId="0" borderId="9" xfId="2" applyNumberFormat="1" applyFont="1" applyFill="1" applyBorder="1"/>
    <xf numFmtId="1" fontId="12" fillId="0" borderId="9" xfId="2" applyNumberFormat="1" applyFont="1" applyBorder="1"/>
    <xf numFmtId="1" fontId="12" fillId="0" borderId="9" xfId="2" applyNumberFormat="1" applyFont="1" applyBorder="1" applyAlignment="1">
      <alignment horizontal="right"/>
    </xf>
    <xf numFmtId="0" fontId="13" fillId="20" borderId="10" xfId="2" applyFont="1" applyFill="1" applyBorder="1"/>
    <xf numFmtId="1" fontId="13" fillId="0" borderId="10" xfId="2" applyNumberFormat="1" applyFont="1" applyFill="1" applyBorder="1"/>
    <xf numFmtId="1" fontId="12" fillId="0" borderId="41" xfId="2" applyNumberFormat="1" applyFont="1" applyFill="1" applyBorder="1"/>
    <xf numFmtId="0" fontId="12" fillId="21" borderId="0" xfId="52" applyNumberFormat="1" applyFont="1" applyFill="1" applyBorder="1" applyAlignment="1">
      <alignment horizontal="centerContinuous" vertical="center"/>
    </xf>
    <xf numFmtId="164" fontId="12" fillId="21" borderId="0" xfId="52" applyNumberFormat="1" applyFont="1" applyFill="1" applyBorder="1" applyAlignment="1">
      <alignment horizontal="centerContinuous" vertical="center"/>
    </xf>
    <xf numFmtId="164" fontId="12" fillId="21" borderId="0" xfId="52" quotePrefix="1" applyNumberFormat="1" applyFont="1" applyFill="1" applyBorder="1" applyAlignment="1">
      <alignment horizontal="centerContinuous" vertical="center"/>
    </xf>
    <xf numFmtId="165" fontId="12" fillId="0" borderId="28" xfId="45" applyNumberFormat="1" applyFont="1" applyBorder="1">
      <alignment horizontal="left" vertical="center"/>
    </xf>
    <xf numFmtId="0" fontId="13" fillId="20" borderId="11" xfId="2" applyFont="1" applyFill="1" applyBorder="1"/>
    <xf numFmtId="164" fontId="12" fillId="21" borderId="11" xfId="52" quotePrefix="1" applyNumberFormat="1" applyFont="1" applyFill="1" applyBorder="1" applyAlignment="1">
      <alignment horizontal="right" vertical="center"/>
    </xf>
    <xf numFmtId="164" fontId="13" fillId="0" borderId="30" xfId="2" applyNumberFormat="1" applyFont="1" applyBorder="1"/>
    <xf numFmtId="1" fontId="16" fillId="20" borderId="30" xfId="45" applyNumberFormat="1" applyFont="1" applyFill="1" applyBorder="1" applyAlignment="1">
      <alignment horizontal="right" vertical="center"/>
    </xf>
    <xf numFmtId="9" fontId="18" fillId="0" borderId="30" xfId="51" applyFont="1" applyFill="1" applyBorder="1" applyAlignment="1">
      <alignment horizontal="right" vertical="center"/>
    </xf>
    <xf numFmtId="1" fontId="13" fillId="0" borderId="30" xfId="2" applyNumberFormat="1" applyFont="1" applyBorder="1" applyAlignment="1">
      <alignment horizontal="right"/>
    </xf>
    <xf numFmtId="1" fontId="12" fillId="20" borderId="20" xfId="45" applyNumberFormat="1" applyFont="1" applyFill="1" applyBorder="1">
      <alignment horizontal="left" vertical="center"/>
    </xf>
    <xf numFmtId="1" fontId="12" fillId="20" borderId="10" xfId="45" applyNumberFormat="1" applyFont="1" applyFill="1" applyBorder="1" applyAlignment="1">
      <alignment horizontal="right" vertical="center"/>
    </xf>
    <xf numFmtId="1" fontId="12" fillId="20" borderId="40" xfId="45" applyNumberFormat="1" applyFont="1" applyFill="1" applyBorder="1" applyAlignment="1">
      <alignment horizontal="right" vertical="center"/>
    </xf>
    <xf numFmtId="1" fontId="12" fillId="20" borderId="41" xfId="45" applyNumberFormat="1" applyFont="1" applyFill="1" applyBorder="1" applyAlignment="1">
      <alignment horizontal="right" vertical="center"/>
    </xf>
    <xf numFmtId="1" fontId="12" fillId="20" borderId="10" xfId="2" applyNumberFormat="1" applyFont="1" applyFill="1" applyBorder="1"/>
    <xf numFmtId="164" fontId="12" fillId="0" borderId="28" xfId="45" applyNumberFormat="1" applyFont="1" applyBorder="1">
      <alignment horizontal="left" vertical="center"/>
    </xf>
    <xf numFmtId="164" fontId="13" fillId="20" borderId="11" xfId="2" applyNumberFormat="1" applyFont="1" applyFill="1" applyBorder="1"/>
    <xf numFmtId="1" fontId="12" fillId="21" borderId="0" xfId="45" applyNumberFormat="1" applyFont="1" applyFill="1">
      <alignment horizontal="left" vertical="center"/>
    </xf>
    <xf numFmtId="1" fontId="12" fillId="21" borderId="0" xfId="2" applyNumberFormat="1" applyFont="1" applyFill="1" applyAlignment="1">
      <alignment horizontal="right"/>
    </xf>
    <xf numFmtId="164" fontId="15" fillId="0" borderId="30" xfId="58" applyNumberFormat="1" applyFont="1" applyFill="1" applyBorder="1">
      <alignment horizontal="left" vertical="center"/>
    </xf>
    <xf numFmtId="1" fontId="14" fillId="0" borderId="30" xfId="58" applyNumberFormat="1" applyFont="1" applyFill="1" applyBorder="1">
      <alignment horizontal="left" vertical="center"/>
    </xf>
    <xf numFmtId="1" fontId="13" fillId="0" borderId="30" xfId="58" applyNumberFormat="1" applyFont="1" applyFill="1" applyBorder="1">
      <alignment horizontal="left" vertical="center"/>
    </xf>
    <xf numFmtId="1" fontId="12" fillId="0" borderId="30" xfId="2" applyNumberFormat="1" applyFont="1" applyBorder="1" applyAlignment="1">
      <alignment horizontal="right"/>
    </xf>
    <xf numFmtId="1" fontId="12" fillId="21" borderId="37" xfId="2" applyNumberFormat="1" applyFont="1" applyFill="1" applyBorder="1"/>
    <xf numFmtId="1" fontId="13" fillId="20" borderId="10" xfId="2" applyNumberFormat="1" applyFont="1" applyFill="1" applyBorder="1"/>
    <xf numFmtId="1" fontId="12" fillId="20" borderId="40" xfId="2" applyNumberFormat="1" applyFont="1" applyFill="1" applyBorder="1"/>
    <xf numFmtId="1" fontId="12" fillId="20" borderId="41" xfId="2" applyNumberFormat="1" applyFont="1" applyFill="1" applyBorder="1"/>
    <xf numFmtId="1" fontId="12" fillId="20" borderId="20" xfId="2" applyNumberFormat="1" applyFont="1" applyFill="1" applyBorder="1"/>
    <xf numFmtId="164" fontId="13" fillId="15" borderId="0" xfId="45" applyNumberFormat="1" applyFont="1" applyFill="1" applyBorder="1" applyAlignment="1">
      <alignment horizontal="left" vertical="center"/>
    </xf>
    <xf numFmtId="9" fontId="13" fillId="15" borderId="0" xfId="58" applyNumberFormat="1" applyFont="1" applyFill="1" applyBorder="1" applyAlignment="1">
      <alignment horizontal="right" vertical="center"/>
    </xf>
    <xf numFmtId="9" fontId="13" fillId="15" borderId="30" xfId="58" applyNumberFormat="1" applyFont="1" applyFill="1" applyBorder="1" applyAlignment="1">
      <alignment horizontal="right" vertical="center"/>
    </xf>
    <xf numFmtId="1" fontId="13" fillId="21" borderId="30" xfId="58" applyNumberFormat="1" applyFont="1" applyFill="1" applyBorder="1" applyAlignment="1">
      <alignment horizontal="right" vertical="center"/>
    </xf>
    <xf numFmtId="0" fontId="23" fillId="0" borderId="0" xfId="58" applyFont="1" applyFill="1" applyBorder="1">
      <alignment horizontal="left" vertical="center"/>
    </xf>
    <xf numFmtId="183" fontId="7" fillId="0" borderId="0" xfId="58" applyNumberFormat="1" applyFont="1" applyFill="1" applyBorder="1">
      <alignment horizontal="left" vertical="center"/>
    </xf>
    <xf numFmtId="0" fontId="9" fillId="0" borderId="0" xfId="59" quotePrefix="1" applyFont="1" applyFill="1" applyBorder="1">
      <alignment horizontal="left" vertical="center"/>
    </xf>
    <xf numFmtId="9" fontId="13" fillId="21" borderId="0" xfId="51" applyNumberFormat="1" applyFont="1" applyFill="1" applyBorder="1"/>
    <xf numFmtId="168" fontId="12" fillId="15" borderId="30" xfId="51" applyNumberFormat="1" applyFont="1" applyFill="1" applyBorder="1" applyAlignment="1">
      <alignment horizontal="right"/>
    </xf>
    <xf numFmtId="1" fontId="14" fillId="0" borderId="0" xfId="51" applyNumberFormat="1" applyFont="1" applyFill="1" applyBorder="1"/>
    <xf numFmtId="1" fontId="14" fillId="0" borderId="2" xfId="51" applyNumberFormat="1" applyFont="1" applyFill="1" applyBorder="1"/>
    <xf numFmtId="1" fontId="14" fillId="0" borderId="4" xfId="51" applyNumberFormat="1" applyFont="1" applyFill="1" applyBorder="1"/>
    <xf numFmtId="0" fontId="25" fillId="15" borderId="0" xfId="58" applyFont="1" applyFill="1" applyBorder="1">
      <alignment horizontal="left" vertical="center"/>
    </xf>
    <xf numFmtId="2" fontId="12" fillId="15" borderId="0" xfId="58" applyNumberFormat="1" applyFont="1" applyFill="1" applyBorder="1" applyAlignment="1">
      <alignment horizontal="right" vertical="center"/>
    </xf>
    <xf numFmtId="2" fontId="12" fillId="15" borderId="30" xfId="58" applyNumberFormat="1" applyFont="1" applyFill="1" applyBorder="1" applyAlignment="1">
      <alignment horizontal="right" vertical="center"/>
    </xf>
    <xf numFmtId="1" fontId="7" fillId="0" borderId="4" xfId="51" applyNumberFormat="1" applyFont="1" applyFill="1" applyBorder="1" applyAlignment="1">
      <alignment horizontal="right" vertical="center"/>
    </xf>
    <xf numFmtId="9" fontId="13" fillId="0" borderId="30" xfId="51" applyNumberFormat="1" applyFont="1" applyBorder="1"/>
    <xf numFmtId="164" fontId="12" fillId="0" borderId="33" xfId="52" quotePrefix="1" applyNumberFormat="1" applyFont="1" applyFill="1" applyBorder="1" applyAlignment="1">
      <alignment horizontal="right" vertical="center"/>
    </xf>
    <xf numFmtId="2" fontId="8" fillId="0" borderId="0" xfId="2" applyNumberFormat="1" applyFont="1" applyFill="1"/>
    <xf numFmtId="9" fontId="13" fillId="23" borderId="0" xfId="51" applyFont="1" applyFill="1" applyAlignment="1">
      <alignment horizontal="right"/>
    </xf>
    <xf numFmtId="168" fontId="13" fillId="0" borderId="7" xfId="51" applyNumberFormat="1" applyFont="1" applyFill="1" applyBorder="1" applyAlignment="1">
      <alignment horizontal="right"/>
    </xf>
    <xf numFmtId="2" fontId="18" fillId="0" borderId="0" xfId="2" applyNumberFormat="1" applyFont="1"/>
    <xf numFmtId="1" fontId="12" fillId="20" borderId="20" xfId="45" applyNumberFormat="1" applyFont="1" applyFill="1" applyBorder="1" applyAlignment="1">
      <alignment horizontal="left" vertical="center"/>
    </xf>
    <xf numFmtId="1" fontId="12" fillId="0" borderId="0" xfId="52" applyNumberFormat="1" applyFont="1" applyFill="1" applyBorder="1" applyAlignment="1">
      <alignment horizontal="right" vertical="center"/>
    </xf>
    <xf numFmtId="1" fontId="16" fillId="20" borderId="0" xfId="45" applyNumberFormat="1" applyFont="1" applyFill="1" applyAlignment="1">
      <alignment horizontal="left" vertical="center"/>
    </xf>
    <xf numFmtId="1" fontId="13" fillId="20" borderId="0" xfId="2" applyNumberFormat="1" applyFont="1" applyFill="1" applyAlignment="1">
      <alignment vertical="center"/>
    </xf>
    <xf numFmtId="1" fontId="14" fillId="0" borderId="0" xfId="58" applyNumberFormat="1" applyFont="1" applyFill="1" applyBorder="1" applyAlignment="1">
      <alignment horizontal="left" vertical="center"/>
    </xf>
    <xf numFmtId="1" fontId="15" fillId="21" borderId="0" xfId="58" applyNumberFormat="1" applyFont="1" applyFill="1" applyBorder="1" applyAlignment="1">
      <alignment horizontal="left" vertical="center"/>
    </xf>
    <xf numFmtId="1" fontId="17" fillId="0" borderId="0" xfId="45" applyNumberFormat="1" applyFont="1" applyFill="1" applyAlignment="1">
      <alignment horizontal="left" vertical="center"/>
    </xf>
    <xf numFmtId="1" fontId="13" fillId="0" borderId="0" xfId="2" applyNumberFormat="1" applyFont="1" applyFill="1" applyAlignment="1">
      <alignment horizontal="right" vertical="center"/>
    </xf>
    <xf numFmtId="1" fontId="13" fillId="0" borderId="0" xfId="2" applyNumberFormat="1" applyFont="1" applyFill="1" applyAlignment="1">
      <alignment vertical="center"/>
    </xf>
    <xf numFmtId="1" fontId="13" fillId="0" borderId="0" xfId="2" applyNumberFormat="1" applyFont="1" applyAlignment="1">
      <alignment horizontal="right" vertical="center"/>
    </xf>
    <xf numFmtId="1" fontId="13" fillId="21" borderId="0" xfId="2" applyNumberFormat="1" applyFont="1" applyFill="1" applyAlignment="1">
      <alignment vertical="center"/>
    </xf>
    <xf numFmtId="1" fontId="18" fillId="0" borderId="0" xfId="2" applyNumberFormat="1" applyFont="1" applyAlignment="1">
      <alignment vertical="center"/>
    </xf>
    <xf numFmtId="1" fontId="13" fillId="21" borderId="0" xfId="2" applyNumberFormat="1" applyFont="1" applyFill="1" applyAlignment="1">
      <alignment horizontal="right" vertical="center"/>
    </xf>
    <xf numFmtId="1" fontId="13" fillId="0" borderId="0" xfId="2" applyNumberFormat="1" applyFont="1" applyAlignment="1">
      <alignment vertical="center"/>
    </xf>
    <xf numFmtId="1" fontId="13" fillId="0" borderId="30" xfId="2" applyNumberFormat="1" applyFont="1" applyBorder="1" applyAlignment="1">
      <alignment horizontal="right" vertical="center"/>
    </xf>
    <xf numFmtId="1" fontId="13" fillId="0" borderId="30" xfId="2" applyNumberFormat="1" applyFont="1" applyFill="1" applyBorder="1" applyAlignment="1">
      <alignment horizontal="right" vertical="center"/>
    </xf>
    <xf numFmtId="1" fontId="18" fillId="0" borderId="0" xfId="2" applyNumberFormat="1" applyFont="1" applyFill="1" applyAlignment="1">
      <alignment vertical="center"/>
    </xf>
    <xf numFmtId="1" fontId="12" fillId="20" borderId="10" xfId="2" applyNumberFormat="1" applyFont="1" applyFill="1" applyBorder="1" applyAlignment="1">
      <alignment vertical="center"/>
    </xf>
    <xf numFmtId="1" fontId="12" fillId="20" borderId="10" xfId="2" applyNumberFormat="1" applyFont="1" applyFill="1" applyBorder="1" applyAlignment="1">
      <alignment horizontal="right" vertical="center"/>
    </xf>
    <xf numFmtId="1" fontId="12" fillId="20" borderId="40" xfId="2" applyNumberFormat="1" applyFont="1" applyFill="1" applyBorder="1" applyAlignment="1">
      <alignment horizontal="right" vertical="center"/>
    </xf>
    <xf numFmtId="1" fontId="12" fillId="20" borderId="41" xfId="2" applyNumberFormat="1" applyFont="1" applyFill="1" applyBorder="1" applyAlignment="1">
      <alignment horizontal="right" vertical="center"/>
    </xf>
    <xf numFmtId="1" fontId="15" fillId="0" borderId="30" xfId="58" applyNumberFormat="1" applyFont="1" applyFill="1" applyBorder="1" applyAlignment="1">
      <alignment horizontal="left" vertical="center"/>
    </xf>
    <xf numFmtId="1" fontId="18" fillId="0" borderId="30" xfId="2" applyNumberFormat="1" applyFont="1" applyBorder="1" applyAlignment="1">
      <alignment horizontal="right" vertical="center"/>
    </xf>
    <xf numFmtId="1" fontId="14" fillId="21" borderId="0" xfId="58" applyNumberFormat="1" applyFont="1" applyFill="1" applyBorder="1" applyAlignment="1">
      <alignment horizontal="left" vertical="center"/>
    </xf>
    <xf numFmtId="1" fontId="12" fillId="0" borderId="0" xfId="45" applyNumberFormat="1" applyFont="1" applyFill="1" applyAlignment="1">
      <alignment horizontal="left" vertical="center"/>
    </xf>
    <xf numFmtId="1" fontId="12" fillId="20" borderId="0" xfId="2" applyNumberFormat="1" applyFont="1" applyFill="1" applyAlignment="1">
      <alignment vertical="center"/>
    </xf>
    <xf numFmtId="1" fontId="12" fillId="0" borderId="0" xfId="2" applyNumberFormat="1" applyFont="1" applyFill="1" applyAlignment="1">
      <alignment vertical="center"/>
    </xf>
    <xf numFmtId="1" fontId="12" fillId="0" borderId="0" xfId="2" applyNumberFormat="1" applyFont="1" applyFill="1" applyAlignment="1">
      <alignment horizontal="right" vertical="center"/>
    </xf>
    <xf numFmtId="1" fontId="12" fillId="0" borderId="30" xfId="2" applyNumberFormat="1" applyFont="1" applyFill="1" applyBorder="1" applyAlignment="1">
      <alignment horizontal="right" vertical="center"/>
    </xf>
    <xf numFmtId="164" fontId="13" fillId="0" borderId="0" xfId="2" applyNumberFormat="1" applyFont="1" applyAlignment="1">
      <alignment vertical="center"/>
    </xf>
    <xf numFmtId="164" fontId="12" fillId="20" borderId="0" xfId="2" applyNumberFormat="1" applyFont="1" applyFill="1" applyAlignment="1">
      <alignment vertical="center"/>
    </xf>
    <xf numFmtId="164" fontId="15" fillId="0" borderId="37" xfId="58" applyNumberFormat="1" applyFont="1" applyFill="1" applyBorder="1" applyAlignment="1">
      <alignment horizontal="left" vertical="center"/>
    </xf>
    <xf numFmtId="164" fontId="13" fillId="0" borderId="0" xfId="58" applyNumberFormat="1" applyFont="1" applyFill="1" applyBorder="1" applyAlignment="1">
      <alignment horizontal="left" vertical="center"/>
    </xf>
    <xf numFmtId="164" fontId="13" fillId="17" borderId="0" xfId="2" applyNumberFormat="1" applyFont="1" applyFill="1"/>
    <xf numFmtId="164" fontId="13" fillId="17" borderId="0" xfId="2" applyNumberFormat="1" applyFont="1" applyFill="1" applyAlignment="1">
      <alignment horizontal="right"/>
    </xf>
    <xf numFmtId="164" fontId="13" fillId="17" borderId="0" xfId="2" applyNumberFormat="1" applyFont="1" applyFill="1" applyBorder="1" applyAlignment="1">
      <alignment horizontal="right"/>
    </xf>
    <xf numFmtId="166" fontId="13" fillId="17" borderId="0" xfId="2" applyNumberFormat="1" applyFont="1" applyFill="1"/>
    <xf numFmtId="4" fontId="14" fillId="15" borderId="30" xfId="51" applyNumberFormat="1" applyFont="1" applyFill="1" applyBorder="1"/>
    <xf numFmtId="0" fontId="13" fillId="0" borderId="23" xfId="2" applyFont="1" applyFill="1" applyBorder="1"/>
    <xf numFmtId="0" fontId="13" fillId="23" borderId="0" xfId="58" applyFont="1" applyFill="1" applyBorder="1" applyAlignment="1">
      <alignment horizontal="right" vertical="center"/>
    </xf>
    <xf numFmtId="164" fontId="7" fillId="0" borderId="4" xfId="51" applyNumberFormat="1" applyFont="1" applyFill="1" applyBorder="1" applyAlignment="1">
      <alignment horizontal="right" vertical="center"/>
    </xf>
    <xf numFmtId="49" fontId="0" fillId="0" borderId="0" xfId="2" applyNumberFormat="1" applyFont="1"/>
    <xf numFmtId="1" fontId="12" fillId="21" borderId="0" xfId="2" applyNumberFormat="1" applyFont="1" applyFill="1" applyBorder="1"/>
    <xf numFmtId="9" fontId="12" fillId="21" borderId="0" xfId="51" applyFont="1" applyFill="1" applyBorder="1"/>
    <xf numFmtId="164" fontId="13" fillId="15" borderId="0" xfId="45" applyNumberFormat="1" applyFont="1" applyFill="1" applyBorder="1">
      <alignment horizontal="left" vertical="center"/>
    </xf>
    <xf numFmtId="168" fontId="36" fillId="15" borderId="0" xfId="51" applyNumberFormat="1" applyFont="1" applyFill="1"/>
    <xf numFmtId="168" fontId="16" fillId="15" borderId="30" xfId="51" applyNumberFormat="1" applyFont="1" applyFill="1" applyBorder="1"/>
    <xf numFmtId="168" fontId="13" fillId="21" borderId="0" xfId="51" applyNumberFormat="1" applyFont="1" applyFill="1" applyBorder="1" applyAlignment="1">
      <alignment horizontal="right" vertical="center"/>
    </xf>
    <xf numFmtId="1" fontId="14" fillId="21" borderId="30" xfId="58" applyNumberFormat="1" applyFont="1" applyFill="1" applyBorder="1">
      <alignment horizontal="left" vertical="center"/>
    </xf>
    <xf numFmtId="1" fontId="13" fillId="21" borderId="30" xfId="2" applyNumberFormat="1" applyFont="1" applyFill="1" applyBorder="1" applyAlignment="1">
      <alignment horizontal="right"/>
    </xf>
    <xf numFmtId="2" fontId="22" fillId="15" borderId="4" xfId="2" applyNumberFormat="1" applyFont="1" applyFill="1" applyBorder="1"/>
    <xf numFmtId="2" fontId="13" fillId="21" borderId="4" xfId="2" applyNumberFormat="1" applyFont="1" applyFill="1" applyBorder="1" applyAlignment="1">
      <alignment horizontal="right"/>
    </xf>
    <xf numFmtId="2" fontId="13" fillId="21" borderId="4" xfId="2" applyNumberFormat="1" applyFont="1" applyFill="1" applyBorder="1"/>
    <xf numFmtId="2" fontId="13" fillId="21" borderId="36" xfId="2" applyNumberFormat="1" applyFont="1" applyFill="1" applyBorder="1"/>
    <xf numFmtId="2" fontId="13" fillId="21" borderId="0" xfId="45" applyNumberFormat="1" applyFont="1" applyFill="1" applyBorder="1">
      <alignment horizontal="left" vertical="center"/>
    </xf>
    <xf numFmtId="2" fontId="22" fillId="15" borderId="0" xfId="2" applyNumberFormat="1" applyFont="1" applyFill="1" applyBorder="1"/>
    <xf numFmtId="2" fontId="13" fillId="21" borderId="0" xfId="2" applyNumberFormat="1" applyFont="1" applyFill="1" applyBorder="1" applyAlignment="1">
      <alignment horizontal="right"/>
    </xf>
    <xf numFmtId="2" fontId="13" fillId="21" borderId="0" xfId="2" applyNumberFormat="1" applyFont="1" applyFill="1" applyBorder="1"/>
    <xf numFmtId="2" fontId="13" fillId="21" borderId="2" xfId="45" applyNumberFormat="1" applyFont="1" applyFill="1" applyBorder="1">
      <alignment horizontal="left" vertical="center"/>
    </xf>
    <xf numFmtId="2" fontId="22" fillId="15" borderId="2" xfId="2" applyNumberFormat="1" applyFont="1" applyFill="1" applyBorder="1"/>
    <xf numFmtId="2" fontId="13" fillId="21" borderId="2" xfId="2" applyNumberFormat="1" applyFont="1" applyFill="1" applyBorder="1" applyAlignment="1">
      <alignment horizontal="right"/>
    </xf>
    <xf numFmtId="2" fontId="13" fillId="21" borderId="2" xfId="2" applyNumberFormat="1" applyFont="1" applyFill="1" applyBorder="1"/>
    <xf numFmtId="2" fontId="13" fillId="21" borderId="37" xfId="2" applyNumberFormat="1" applyFont="1" applyFill="1" applyBorder="1"/>
    <xf numFmtId="2" fontId="12" fillId="21" borderId="4" xfId="45" applyNumberFormat="1" applyFont="1" applyFill="1" applyBorder="1">
      <alignment horizontal="left" vertical="center"/>
    </xf>
    <xf numFmtId="164" fontId="13" fillId="15" borderId="30" xfId="58" applyNumberFormat="1" applyFont="1" applyFill="1" applyBorder="1">
      <alignment horizontal="left" vertical="center"/>
    </xf>
    <xf numFmtId="9" fontId="13" fillId="15" borderId="0" xfId="51" applyFont="1" applyFill="1" applyBorder="1" applyAlignment="1">
      <alignment horizontal="left" vertical="center"/>
    </xf>
    <xf numFmtId="168" fontId="7" fillId="0" borderId="0" xfId="51" applyNumberFormat="1" applyFont="1" applyFill="1" applyBorder="1" applyAlignment="1">
      <alignment horizontal="left" vertical="center"/>
    </xf>
    <xf numFmtId="2" fontId="7" fillId="0" borderId="4" xfId="51" applyNumberFormat="1" applyFont="1" applyFill="1" applyBorder="1" applyAlignment="1">
      <alignment horizontal="right" vertical="center"/>
    </xf>
    <xf numFmtId="1" fontId="13" fillId="0" borderId="0" xfId="58" applyNumberFormat="1" applyFont="1" applyFill="1" applyBorder="1" applyAlignment="1">
      <alignment horizontal="center" vertical="center"/>
    </xf>
    <xf numFmtId="180" fontId="16" fillId="23" borderId="42" xfId="45" applyNumberFormat="1" applyFont="1" applyFill="1" applyBorder="1" applyAlignment="1">
      <alignment horizontal="left" vertical="center"/>
    </xf>
    <xf numFmtId="0" fontId="13" fillId="23" borderId="34" xfId="58" applyFont="1" applyFill="1" applyBorder="1">
      <alignment horizontal="left" vertical="center"/>
    </xf>
    <xf numFmtId="9" fontId="16" fillId="23" borderId="34" xfId="51" applyFont="1" applyFill="1" applyBorder="1" applyAlignment="1">
      <alignment horizontal="right" vertical="center"/>
    </xf>
    <xf numFmtId="0" fontId="13" fillId="23" borderId="34" xfId="58" applyFont="1" applyFill="1" applyBorder="1" applyAlignment="1">
      <alignment horizontal="right" vertical="center"/>
    </xf>
    <xf numFmtId="0" fontId="13" fillId="23" borderId="46" xfId="58" applyFont="1" applyFill="1" applyBorder="1" applyAlignment="1">
      <alignment horizontal="right" vertical="center"/>
    </xf>
    <xf numFmtId="1" fontId="12" fillId="0" borderId="35" xfId="2" applyNumberFormat="1" applyFont="1" applyBorder="1"/>
    <xf numFmtId="1" fontId="12" fillId="0" borderId="47" xfId="2" applyNumberFormat="1" applyFont="1" applyBorder="1"/>
    <xf numFmtId="168" fontId="13" fillId="21" borderId="0" xfId="51" applyNumberFormat="1" applyFont="1" applyFill="1"/>
    <xf numFmtId="9" fontId="7" fillId="0" borderId="0" xfId="51" applyFont="1" applyFill="1" applyBorder="1" applyAlignment="1">
      <alignment horizontal="left" vertical="center"/>
    </xf>
    <xf numFmtId="164" fontId="12" fillId="0" borderId="2" xfId="52" applyNumberFormat="1" applyFont="1" applyFill="1" applyBorder="1">
      <alignment horizontal="right" vertical="center"/>
    </xf>
    <xf numFmtId="173" fontId="12" fillId="28" borderId="0" xfId="51" applyNumberFormat="1" applyFont="1" applyFill="1" applyBorder="1" applyAlignment="1">
      <alignment horizontal="right"/>
    </xf>
    <xf numFmtId="10" fontId="13" fillId="21" borderId="0" xfId="2" applyNumberFormat="1" applyFont="1" applyFill="1" applyAlignment="1">
      <alignment horizontal="right"/>
    </xf>
    <xf numFmtId="10" fontId="13" fillId="21" borderId="0" xfId="2" applyNumberFormat="1" applyFont="1" applyFill="1"/>
    <xf numFmtId="2" fontId="21" fillId="21" borderId="0" xfId="2" applyNumberFormat="1" applyFont="1" applyFill="1"/>
    <xf numFmtId="10" fontId="13" fillId="21" borderId="0" xfId="51" applyNumberFormat="1" applyFont="1" applyFill="1" applyAlignment="1">
      <alignment horizontal="right"/>
    </xf>
    <xf numFmtId="2" fontId="21" fillId="21" borderId="0" xfId="2" applyNumberFormat="1" applyFont="1" applyFill="1" applyAlignment="1">
      <alignment horizontal="right"/>
    </xf>
    <xf numFmtId="9" fontId="18" fillId="21" borderId="0" xfId="58" applyNumberFormat="1" applyFont="1" applyFill="1" applyBorder="1" applyAlignment="1">
      <alignment horizontal="right" vertical="center"/>
    </xf>
    <xf numFmtId="0" fontId="13" fillId="21" borderId="4" xfId="2" applyFont="1" applyFill="1" applyBorder="1"/>
    <xf numFmtId="9" fontId="13" fillId="21" borderId="4" xfId="51" applyFont="1" applyFill="1" applyBorder="1"/>
    <xf numFmtId="166" fontId="14" fillId="0" borderId="0" xfId="51" applyNumberFormat="1" applyFont="1" applyFill="1"/>
    <xf numFmtId="168" fontId="7" fillId="0" borderId="0" xfId="58" applyNumberFormat="1" applyFont="1" applyFill="1" applyBorder="1">
      <alignment horizontal="left" vertical="center"/>
    </xf>
    <xf numFmtId="9" fontId="7" fillId="0" borderId="32" xfId="51" applyFont="1" applyFill="1" applyBorder="1" applyAlignment="1">
      <alignment horizontal="left" vertical="center"/>
    </xf>
    <xf numFmtId="9" fontId="32" fillId="0" borderId="0" xfId="51" applyFont="1"/>
    <xf numFmtId="164" fontId="0" fillId="0" borderId="0" xfId="2" applyNumberFormat="1" applyFont="1"/>
    <xf numFmtId="0" fontId="18" fillId="21" borderId="0" xfId="58" applyFont="1" applyFill="1" applyBorder="1">
      <alignment horizontal="left" vertical="center"/>
    </xf>
    <xf numFmtId="9" fontId="35" fillId="0" borderId="7" xfId="51" applyFont="1" applyFill="1" applyBorder="1" applyAlignment="1">
      <alignment horizontal="right" vertical="center"/>
    </xf>
    <xf numFmtId="173" fontId="13" fillId="15" borderId="0" xfId="37" applyNumberFormat="1" applyFont="1" applyFill="1" applyBorder="1" applyAlignment="1">
      <alignment horizontal="right" vertical="center"/>
    </xf>
    <xf numFmtId="0" fontId="34" fillId="0" borderId="0" xfId="58" applyFont="1" applyFill="1" applyBorder="1" applyAlignment="1">
      <alignment horizontal="right" vertical="center"/>
    </xf>
    <xf numFmtId="0" fontId="7" fillId="0" borderId="32" xfId="58" applyFont="1" applyFill="1" applyBorder="1" applyAlignment="1">
      <alignment horizontal="right" vertical="center"/>
    </xf>
    <xf numFmtId="165" fontId="12" fillId="0" borderId="48" xfId="45" applyNumberFormat="1" applyFont="1" applyBorder="1" applyAlignment="1">
      <alignment vertical="center"/>
    </xf>
    <xf numFmtId="164" fontId="12" fillId="0" borderId="49" xfId="52" quotePrefix="1" applyNumberFormat="1" applyFont="1" applyFill="1" applyBorder="1" applyAlignment="1">
      <alignment horizontal="right" vertical="center"/>
    </xf>
    <xf numFmtId="164" fontId="13" fillId="21" borderId="0" xfId="2" applyNumberFormat="1" applyFont="1" applyFill="1" applyBorder="1"/>
    <xf numFmtId="178" fontId="13" fillId="0" borderId="0" xfId="36" applyNumberFormat="1" applyFont="1" applyFill="1"/>
    <xf numFmtId="9" fontId="16" fillId="21" borderId="0" xfId="51" applyFont="1" applyFill="1" applyBorder="1" applyAlignment="1">
      <alignment horizontal="left" vertical="center"/>
    </xf>
    <xf numFmtId="9" fontId="22" fillId="15" borderId="0" xfId="51" applyFont="1" applyFill="1" applyBorder="1"/>
    <xf numFmtId="9" fontId="16" fillId="21" borderId="0" xfId="51" applyFont="1" applyFill="1" applyBorder="1"/>
    <xf numFmtId="168" fontId="16" fillId="21" borderId="0" xfId="51" applyNumberFormat="1" applyFont="1" applyFill="1" applyBorder="1"/>
    <xf numFmtId="168" fontId="13" fillId="21" borderId="0" xfId="51" applyNumberFormat="1" applyFont="1" applyFill="1" applyBorder="1"/>
    <xf numFmtId="0" fontId="15" fillId="21" borderId="1" xfId="58" applyFont="1" applyFill="1" applyBorder="1">
      <alignment horizontal="left" vertical="center"/>
    </xf>
    <xf numFmtId="9" fontId="14" fillId="21" borderId="0" xfId="51" applyFont="1" applyFill="1" applyBorder="1" applyAlignment="1">
      <alignment horizontal="left" vertical="center"/>
    </xf>
    <xf numFmtId="1" fontId="12" fillId="20" borderId="50" xfId="45" applyNumberFormat="1" applyFont="1" applyFill="1" applyBorder="1">
      <alignment horizontal="left" vertical="center"/>
    </xf>
    <xf numFmtId="1" fontId="13" fillId="20" borderId="35" xfId="2" applyNumberFormat="1" applyFont="1" applyFill="1" applyBorder="1"/>
    <xf numFmtId="1" fontId="12" fillId="20" borderId="35" xfId="2" applyNumberFormat="1" applyFont="1" applyFill="1" applyBorder="1" applyAlignment="1">
      <alignment horizontal="right"/>
    </xf>
    <xf numFmtId="1" fontId="12" fillId="20" borderId="35" xfId="2" applyNumberFormat="1" applyFont="1" applyFill="1" applyBorder="1"/>
    <xf numFmtId="1" fontId="12" fillId="20" borderId="51" xfId="2" applyNumberFormat="1" applyFont="1" applyFill="1" applyBorder="1"/>
    <xf numFmtId="1" fontId="12" fillId="20" borderId="47" xfId="2" applyNumberFormat="1" applyFont="1" applyFill="1" applyBorder="1"/>
    <xf numFmtId="168" fontId="13" fillId="21" borderId="36" xfId="51" applyNumberFormat="1" applyFont="1" applyFill="1" applyBorder="1"/>
    <xf numFmtId="3" fontId="13" fillId="21" borderId="4" xfId="51" applyNumberFormat="1" applyFont="1" applyFill="1" applyBorder="1"/>
    <xf numFmtId="3" fontId="13" fillId="21" borderId="0" xfId="51" applyNumberFormat="1" applyFont="1" applyFill="1" applyBorder="1"/>
    <xf numFmtId="168" fontId="16" fillId="21" borderId="4" xfId="51" applyNumberFormat="1" applyFont="1" applyFill="1" applyBorder="1"/>
    <xf numFmtId="168" fontId="16" fillId="21" borderId="45" xfId="51" applyNumberFormat="1" applyFont="1" applyFill="1" applyBorder="1"/>
    <xf numFmtId="9" fontId="16" fillId="0" borderId="1" xfId="51" applyFont="1" applyFill="1" applyBorder="1"/>
    <xf numFmtId="1" fontId="18" fillId="21" borderId="0" xfId="2" applyNumberFormat="1" applyFont="1" applyFill="1" applyAlignment="1">
      <alignment horizontal="right"/>
    </xf>
    <xf numFmtId="164" fontId="18" fillId="21" borderId="0" xfId="2" applyNumberFormat="1" applyFont="1" applyFill="1" applyAlignment="1">
      <alignment horizontal="right"/>
    </xf>
    <xf numFmtId="164" fontId="16" fillId="21" borderId="0" xfId="58" applyNumberFormat="1" applyFont="1" applyFill="1" applyBorder="1" applyAlignment="1">
      <alignment vertical="center"/>
    </xf>
    <xf numFmtId="0" fontId="15" fillId="27" borderId="3" xfId="58" applyFont="1" applyFill="1" applyBorder="1">
      <alignment horizontal="left" vertical="center"/>
    </xf>
    <xf numFmtId="0" fontId="12" fillId="0" borderId="52" xfId="2" applyFont="1" applyFill="1" applyBorder="1"/>
    <xf numFmtId="0" fontId="12" fillId="0" borderId="32" xfId="58" applyFont="1" applyFill="1" applyBorder="1">
      <alignment horizontal="left" vertical="center"/>
    </xf>
    <xf numFmtId="0" fontId="12" fillId="0" borderId="32" xfId="58" applyFont="1" applyFill="1" applyBorder="1" applyAlignment="1">
      <alignment vertical="center"/>
    </xf>
    <xf numFmtId="1" fontId="12" fillId="0" borderId="32" xfId="58" applyNumberFormat="1" applyFont="1" applyFill="1" applyBorder="1" applyAlignment="1">
      <alignment horizontal="right" vertical="center"/>
    </xf>
    <xf numFmtId="1" fontId="12" fillId="0" borderId="32" xfId="58" applyNumberFormat="1" applyFont="1" applyFill="1" applyBorder="1">
      <alignment horizontal="left" vertical="center"/>
    </xf>
    <xf numFmtId="1" fontId="12" fillId="0" borderId="53" xfId="58" applyNumberFormat="1" applyFont="1" applyFill="1" applyBorder="1" applyAlignment="1">
      <alignment horizontal="right" vertical="center"/>
    </xf>
    <xf numFmtId="0" fontId="12" fillId="0" borderId="32" xfId="58" applyFont="1" applyFill="1" applyBorder="1" applyAlignment="1">
      <alignment horizontal="right" vertical="center"/>
    </xf>
    <xf numFmtId="0" fontId="12" fillId="0" borderId="54" xfId="58" applyFont="1" applyFill="1" applyBorder="1" applyAlignment="1">
      <alignment horizontal="right" vertical="center"/>
    </xf>
    <xf numFmtId="9" fontId="16" fillId="0" borderId="55" xfId="51" applyFont="1" applyFill="1" applyBorder="1" applyAlignment="1">
      <alignment horizontal="right" vertical="center"/>
    </xf>
    <xf numFmtId="9" fontId="16" fillId="0" borderId="56" xfId="51" applyFont="1" applyFill="1" applyBorder="1" applyAlignment="1">
      <alignment horizontal="right" vertical="center"/>
    </xf>
    <xf numFmtId="0" fontId="13" fillId="21" borderId="55" xfId="58" applyFont="1" applyFill="1" applyBorder="1" applyAlignment="1">
      <alignment horizontal="right" vertical="center"/>
    </xf>
    <xf numFmtId="9" fontId="16" fillId="21" borderId="55" xfId="51" applyFont="1" applyFill="1" applyBorder="1" applyAlignment="1">
      <alignment horizontal="right" vertical="center"/>
    </xf>
    <xf numFmtId="0" fontId="13" fillId="0" borderId="55" xfId="58" applyFont="1" applyFill="1" applyBorder="1" applyAlignment="1">
      <alignment horizontal="right" vertical="center"/>
    </xf>
    <xf numFmtId="0" fontId="17" fillId="15" borderId="57" xfId="58" applyFont="1" applyFill="1" applyBorder="1" applyAlignment="1">
      <alignment horizontal="left" vertical="center"/>
    </xf>
    <xf numFmtId="9" fontId="16" fillId="15" borderId="55" xfId="51" applyFont="1" applyFill="1" applyBorder="1" applyAlignment="1">
      <alignment horizontal="right" vertical="center"/>
    </xf>
    <xf numFmtId="9" fontId="16" fillId="15" borderId="58" xfId="51" applyFont="1" applyFill="1" applyBorder="1" applyAlignment="1">
      <alignment horizontal="right" vertical="center"/>
    </xf>
    <xf numFmtId="0" fontId="13" fillId="15" borderId="55" xfId="58" applyFont="1" applyFill="1" applyBorder="1" applyAlignment="1">
      <alignment horizontal="right" vertical="center"/>
    </xf>
    <xf numFmtId="43" fontId="16" fillId="0" borderId="55" xfId="36" applyFont="1" applyFill="1" applyBorder="1" applyAlignment="1">
      <alignment horizontal="right" vertical="center"/>
    </xf>
    <xf numFmtId="1" fontId="12" fillId="21" borderId="59" xfId="58" applyNumberFormat="1" applyFont="1" applyFill="1" applyBorder="1" applyAlignment="1">
      <alignment horizontal="right" vertical="center"/>
    </xf>
    <xf numFmtId="180" fontId="16" fillId="0" borderId="60" xfId="45" applyNumberFormat="1" applyFont="1" applyFill="1" applyBorder="1" applyAlignment="1">
      <alignment horizontal="left" vertical="center"/>
    </xf>
    <xf numFmtId="0" fontId="13" fillId="0" borderId="17" xfId="58" applyFont="1" applyFill="1" applyBorder="1">
      <alignment horizontal="left" vertical="center"/>
    </xf>
    <xf numFmtId="9" fontId="16" fillId="0" borderId="17" xfId="51" applyFont="1" applyFill="1" applyBorder="1" applyAlignment="1">
      <alignment horizontal="right" vertical="center"/>
    </xf>
    <xf numFmtId="0" fontId="13" fillId="0" borderId="17" xfId="58" applyFont="1" applyFill="1" applyBorder="1" applyAlignment="1">
      <alignment horizontal="right" vertical="center"/>
    </xf>
    <xf numFmtId="0" fontId="13" fillId="0" borderId="17" xfId="58" applyFont="1" applyFill="1" applyBorder="1" applyAlignment="1">
      <alignment vertical="center"/>
    </xf>
    <xf numFmtId="9" fontId="16" fillId="0" borderId="61" xfId="51" applyFont="1" applyFill="1" applyBorder="1" applyAlignment="1">
      <alignment horizontal="right" vertical="center"/>
    </xf>
    <xf numFmtId="1" fontId="12" fillId="0" borderId="62" xfId="58" applyNumberFormat="1" applyFont="1" applyFill="1" applyBorder="1" applyAlignment="1">
      <alignment horizontal="right" vertical="center"/>
    </xf>
    <xf numFmtId="9" fontId="16" fillId="0" borderId="63" xfId="51" applyFont="1" applyFill="1" applyBorder="1" applyAlignment="1">
      <alignment horizontal="right" vertical="center"/>
    </xf>
    <xf numFmtId="0" fontId="13" fillId="0" borderId="63" xfId="58" applyFont="1" applyFill="1" applyBorder="1" applyAlignment="1">
      <alignment horizontal="right" vertical="center"/>
    </xf>
    <xf numFmtId="9" fontId="16" fillId="0" borderId="64" xfId="51" applyFont="1" applyFill="1" applyBorder="1" applyAlignment="1">
      <alignment horizontal="right" vertical="center"/>
    </xf>
    <xf numFmtId="0" fontId="13" fillId="21" borderId="63" xfId="58" applyFont="1" applyFill="1" applyBorder="1" applyAlignment="1">
      <alignment horizontal="right" vertical="center"/>
    </xf>
    <xf numFmtId="9" fontId="16" fillId="21" borderId="63" xfId="51" applyFont="1" applyFill="1" applyBorder="1" applyAlignment="1">
      <alignment horizontal="right" vertical="center"/>
    </xf>
    <xf numFmtId="1" fontId="13" fillId="0" borderId="63" xfId="58" applyNumberFormat="1" applyFont="1" applyFill="1" applyBorder="1" applyAlignment="1">
      <alignment horizontal="right" vertical="center"/>
    </xf>
    <xf numFmtId="0" fontId="12" fillId="15" borderId="65" xfId="58" applyFont="1" applyFill="1" applyBorder="1" applyAlignment="1">
      <alignment horizontal="right" vertical="center"/>
    </xf>
    <xf numFmtId="9" fontId="16" fillId="15" borderId="63" xfId="51" applyFont="1" applyFill="1" applyBorder="1" applyAlignment="1">
      <alignment horizontal="right" vertical="center"/>
    </xf>
    <xf numFmtId="0" fontId="13" fillId="15" borderId="66" xfId="58" applyFont="1" applyFill="1" applyBorder="1" applyAlignment="1">
      <alignment horizontal="right" vertical="center"/>
    </xf>
    <xf numFmtId="0" fontId="13" fillId="15" borderId="63" xfId="58" applyFont="1" applyFill="1" applyBorder="1" applyAlignment="1">
      <alignment horizontal="right" vertical="center"/>
    </xf>
    <xf numFmtId="164" fontId="13" fillId="15" borderId="63" xfId="58" applyNumberFormat="1" applyFont="1" applyFill="1" applyBorder="1" applyAlignment="1">
      <alignment horizontal="right" vertical="center"/>
    </xf>
    <xf numFmtId="43" fontId="16" fillId="0" borderId="63" xfId="36" applyFont="1" applyFill="1" applyBorder="1" applyAlignment="1">
      <alignment horizontal="right" vertical="center"/>
    </xf>
    <xf numFmtId="1" fontId="12" fillId="21" borderId="67" xfId="58" applyNumberFormat="1" applyFont="1" applyFill="1" applyBorder="1" applyAlignment="1">
      <alignment horizontal="right" vertical="center"/>
    </xf>
    <xf numFmtId="9" fontId="16" fillId="0" borderId="68" xfId="51" applyFont="1" applyFill="1" applyBorder="1" applyAlignment="1">
      <alignment horizontal="right" vertical="center"/>
    </xf>
    <xf numFmtId="164" fontId="12" fillId="0" borderId="69" xfId="52" quotePrefix="1" applyNumberFormat="1" applyFont="1" applyFill="1" applyBorder="1" applyAlignment="1">
      <alignment horizontal="right" vertical="center"/>
    </xf>
    <xf numFmtId="0" fontId="13" fillId="0" borderId="70" xfId="58" applyFont="1" applyFill="1" applyBorder="1">
      <alignment horizontal="left" vertical="center"/>
    </xf>
    <xf numFmtId="0" fontId="12" fillId="20" borderId="70" xfId="2" applyFont="1" applyFill="1" applyBorder="1"/>
    <xf numFmtId="9" fontId="13" fillId="0" borderId="70" xfId="51" applyFont="1" applyBorder="1"/>
    <xf numFmtId="1" fontId="12" fillId="15" borderId="70" xfId="2" applyNumberFormat="1" applyFont="1" applyFill="1" applyBorder="1"/>
    <xf numFmtId="1" fontId="13" fillId="15" borderId="70" xfId="2" applyNumberFormat="1" applyFont="1" applyFill="1" applyBorder="1" applyAlignment="1">
      <alignment horizontal="right"/>
    </xf>
    <xf numFmtId="1" fontId="13" fillId="15" borderId="70" xfId="2" applyNumberFormat="1" applyFont="1" applyFill="1" applyBorder="1"/>
    <xf numFmtId="168" fontId="12" fillId="15" borderId="70" xfId="51" applyNumberFormat="1" applyFont="1" applyFill="1" applyBorder="1" applyAlignment="1">
      <alignment horizontal="right"/>
    </xf>
    <xf numFmtId="9" fontId="13" fillId="0" borderId="70" xfId="51" applyNumberFormat="1" applyFont="1" applyBorder="1"/>
    <xf numFmtId="0" fontId="15" fillId="27" borderId="71" xfId="58" applyFont="1" applyFill="1" applyBorder="1">
      <alignment horizontal="left" vertical="center"/>
    </xf>
    <xf numFmtId="164" fontId="12" fillId="0" borderId="17" xfId="52" applyNumberFormat="1" applyFont="1" applyFill="1" applyBorder="1" applyAlignment="1">
      <alignment horizontal="centerContinuous" vertical="center"/>
    </xf>
    <xf numFmtId="168" fontId="13" fillId="0" borderId="2" xfId="51" applyNumberFormat="1" applyFont="1" applyBorder="1"/>
    <xf numFmtId="3" fontId="13" fillId="0" borderId="30" xfId="58" applyNumberFormat="1" applyFont="1" applyFill="1" applyBorder="1">
      <alignment horizontal="left" vertical="center"/>
    </xf>
    <xf numFmtId="43" fontId="16" fillId="0" borderId="30" xfId="36" applyFont="1" applyFill="1" applyBorder="1"/>
    <xf numFmtId="10" fontId="16" fillId="0" borderId="30" xfId="51" applyNumberFormat="1" applyFont="1" applyFill="1" applyBorder="1"/>
    <xf numFmtId="10" fontId="13" fillId="0" borderId="2" xfId="51" applyNumberFormat="1" applyFont="1" applyBorder="1"/>
    <xf numFmtId="178" fontId="13" fillId="0" borderId="0" xfId="36" applyNumberFormat="1" applyFont="1" applyFill="1" applyBorder="1" applyAlignment="1">
      <alignment horizontal="left" vertical="center"/>
    </xf>
    <xf numFmtId="0" fontId="13" fillId="21" borderId="0" xfId="58" applyFont="1" applyFill="1" applyBorder="1" applyAlignment="1">
      <alignment vertical="center"/>
    </xf>
    <xf numFmtId="164" fontId="13" fillId="21" borderId="63" xfId="58" applyNumberFormat="1" applyFont="1" applyFill="1" applyBorder="1" applyAlignment="1">
      <alignment horizontal="right" vertical="center"/>
    </xf>
    <xf numFmtId="164" fontId="16" fillId="21" borderId="63" xfId="51" applyNumberFormat="1" applyFont="1" applyFill="1" applyBorder="1" applyAlignment="1">
      <alignment horizontal="right" vertical="center"/>
    </xf>
    <xf numFmtId="164" fontId="13" fillId="0" borderId="63" xfId="58" applyNumberFormat="1" applyFont="1" applyFill="1" applyBorder="1" applyAlignment="1">
      <alignment horizontal="right" vertical="center"/>
    </xf>
    <xf numFmtId="164" fontId="16" fillId="0" borderId="63" xfId="51" applyNumberFormat="1" applyFont="1" applyFill="1" applyBorder="1" applyAlignment="1">
      <alignment horizontal="right" vertical="center"/>
    </xf>
    <xf numFmtId="164" fontId="16" fillId="0" borderId="63" xfId="36" applyNumberFormat="1" applyFont="1" applyFill="1" applyBorder="1" applyAlignment="1">
      <alignment horizontal="right" vertical="center"/>
    </xf>
    <xf numFmtId="164" fontId="12" fillId="21" borderId="67" xfId="58" applyNumberFormat="1" applyFont="1" applyFill="1" applyBorder="1" applyAlignment="1">
      <alignment horizontal="right" vertical="center"/>
    </xf>
    <xf numFmtId="164" fontId="12" fillId="0" borderId="62" xfId="58" applyNumberFormat="1" applyFont="1" applyFill="1" applyBorder="1" applyAlignment="1">
      <alignment horizontal="right" vertical="center"/>
    </xf>
    <xf numFmtId="167" fontId="12" fillId="23" borderId="16" xfId="58" applyNumberFormat="1" applyFont="1" applyFill="1" applyBorder="1" applyAlignment="1">
      <alignment horizontal="right" vertical="center"/>
    </xf>
    <xf numFmtId="43" fontId="13" fillId="0" borderId="0" xfId="36" applyFont="1" applyFill="1" applyAlignment="1">
      <alignment horizontal="right"/>
    </xf>
    <xf numFmtId="164" fontId="16" fillId="29" borderId="0" xfId="45" applyNumberFormat="1" applyFont="1" applyFill="1">
      <alignment horizontal="left" vertical="center"/>
    </xf>
    <xf numFmtId="0" fontId="12" fillId="29" borderId="0" xfId="2" applyFont="1" applyFill="1"/>
    <xf numFmtId="9" fontId="16" fillId="29" borderId="0" xfId="51" applyFont="1" applyFill="1"/>
    <xf numFmtId="0" fontId="13" fillId="29" borderId="0" xfId="2" applyFont="1" applyFill="1"/>
    <xf numFmtId="164" fontId="13" fillId="29" borderId="0" xfId="2" applyNumberFormat="1" applyFont="1" applyFill="1"/>
    <xf numFmtId="164" fontId="13" fillId="29" borderId="30" xfId="2" applyNumberFormat="1" applyFont="1" applyFill="1" applyBorder="1"/>
    <xf numFmtId="9" fontId="16" fillId="29" borderId="30" xfId="51" applyFont="1" applyFill="1" applyBorder="1"/>
    <xf numFmtId="9" fontId="13" fillId="29" borderId="0" xfId="51" applyFont="1" applyFill="1"/>
    <xf numFmtId="9" fontId="13" fillId="29" borderId="30" xfId="51" applyFont="1" applyFill="1" applyBorder="1"/>
    <xf numFmtId="10" fontId="13" fillId="0" borderId="0" xfId="51" applyNumberFormat="1" applyFont="1" applyFill="1" applyAlignment="1">
      <alignment horizontal="right"/>
    </xf>
    <xf numFmtId="10" fontId="18" fillId="0" borderId="0" xfId="51" applyNumberFormat="1" applyFont="1" applyFill="1" applyAlignment="1">
      <alignment horizontal="right"/>
    </xf>
    <xf numFmtId="164" fontId="18" fillId="0" borderId="0" xfId="51" applyNumberFormat="1" applyFont="1" applyFill="1" applyAlignment="1">
      <alignment horizontal="right"/>
    </xf>
    <xf numFmtId="0" fontId="18" fillId="0" borderId="0" xfId="58" applyFont="1" applyFill="1" applyBorder="1" applyAlignment="1">
      <alignment horizontal="right" vertical="center"/>
    </xf>
    <xf numFmtId="1" fontId="13" fillId="24" borderId="0" xfId="2" applyNumberFormat="1" applyFont="1" applyFill="1"/>
    <xf numFmtId="1" fontId="18" fillId="24" borderId="0" xfId="2" applyNumberFormat="1" applyFont="1" applyFill="1" applyAlignment="1">
      <alignment horizontal="right"/>
    </xf>
    <xf numFmtId="164" fontId="13" fillId="24" borderId="0" xfId="2" applyNumberFormat="1" applyFont="1" applyFill="1"/>
    <xf numFmtId="164" fontId="18" fillId="24" borderId="0" xfId="2" applyNumberFormat="1" applyFont="1" applyFill="1" applyAlignment="1">
      <alignment horizontal="right"/>
    </xf>
    <xf numFmtId="9" fontId="12" fillId="0" borderId="30" xfId="51" applyFont="1" applyFill="1" applyBorder="1"/>
    <xf numFmtId="164" fontId="12" fillId="23" borderId="38" xfId="58" applyNumberFormat="1" applyFont="1" applyFill="1" applyBorder="1" applyAlignment="1">
      <alignment horizontal="right" vertical="center"/>
    </xf>
    <xf numFmtId="9" fontId="0" fillId="0" borderId="0" xfId="51" applyFont="1"/>
    <xf numFmtId="168" fontId="0" fillId="0" borderId="0" xfId="51" applyNumberFormat="1" applyFont="1"/>
    <xf numFmtId="0" fontId="68" fillId="0" borderId="0" xfId="2" applyFont="1"/>
    <xf numFmtId="0" fontId="13" fillId="21" borderId="2" xfId="58" applyFont="1" applyFill="1" applyBorder="1">
      <alignment horizontal="left" vertical="center"/>
    </xf>
    <xf numFmtId="9" fontId="16" fillId="21" borderId="2" xfId="51" applyFont="1" applyFill="1" applyBorder="1" applyAlignment="1">
      <alignment horizontal="right" vertical="center"/>
    </xf>
    <xf numFmtId="0" fontId="13" fillId="21" borderId="2" xfId="58" applyFont="1" applyFill="1" applyBorder="1" applyAlignment="1">
      <alignment horizontal="right" vertical="center"/>
    </xf>
    <xf numFmtId="0" fontId="13" fillId="21" borderId="2" xfId="58" applyFont="1" applyFill="1" applyBorder="1" applyAlignment="1">
      <alignment vertical="center"/>
    </xf>
    <xf numFmtId="9" fontId="16" fillId="21" borderId="37" xfId="51" applyFont="1" applyFill="1" applyBorder="1" applyAlignment="1">
      <alignment horizontal="right" vertical="center"/>
    </xf>
    <xf numFmtId="43" fontId="13" fillId="21" borderId="30" xfId="36" applyFont="1" applyFill="1" applyBorder="1"/>
    <xf numFmtId="164" fontId="12" fillId="0" borderId="2" xfId="52" quotePrefix="1" applyNumberFormat="1" applyFont="1" applyFill="1" applyBorder="1" applyAlignment="1">
      <alignment horizontal="right" vertical="center"/>
    </xf>
    <xf numFmtId="1" fontId="14" fillId="0" borderId="0" xfId="51" applyNumberFormat="1" applyFont="1" applyFill="1" applyBorder="1" applyAlignment="1">
      <alignment horizontal="right" vertical="center"/>
    </xf>
    <xf numFmtId="178" fontId="14" fillId="0" borderId="0" xfId="36" applyNumberFormat="1" applyFont="1" applyFill="1" applyBorder="1" applyAlignment="1">
      <alignment horizontal="right" vertical="center"/>
    </xf>
    <xf numFmtId="178" fontId="14" fillId="0" borderId="30" xfId="51" applyNumberFormat="1" applyFont="1" applyFill="1" applyBorder="1" applyAlignment="1">
      <alignment horizontal="right" vertical="center"/>
    </xf>
    <xf numFmtId="178" fontId="13" fillId="0" borderId="0" xfId="36" applyNumberFormat="1" applyFont="1"/>
    <xf numFmtId="1" fontId="12" fillId="0" borderId="16" xfId="2" applyNumberFormat="1" applyFont="1" applyBorder="1"/>
    <xf numFmtId="10" fontId="13" fillId="0" borderId="30" xfId="51" applyNumberFormat="1" applyFont="1" applyFill="1" applyBorder="1" applyAlignment="1">
      <alignment horizontal="left" vertical="center"/>
    </xf>
    <xf numFmtId="2" fontId="13" fillId="0" borderId="37" xfId="2" applyNumberFormat="1" applyFont="1" applyFill="1" applyBorder="1"/>
    <xf numFmtId="9" fontId="38" fillId="0" borderId="0" xfId="51" applyFont="1" applyFill="1"/>
    <xf numFmtId="199" fontId="13" fillId="21" borderId="30" xfId="36" applyNumberFormat="1" applyFont="1" applyFill="1" applyBorder="1"/>
    <xf numFmtId="180" fontId="16" fillId="17" borderId="0" xfId="45" applyNumberFormat="1" applyFont="1" applyFill="1" applyBorder="1" applyAlignment="1">
      <alignment horizontal="left" vertical="center"/>
    </xf>
    <xf numFmtId="9" fontId="16" fillId="17" borderId="0" xfId="51" applyFont="1" applyFill="1" applyBorder="1"/>
    <xf numFmtId="9" fontId="16" fillId="17" borderId="0" xfId="51" applyFont="1" applyFill="1" applyBorder="1" applyAlignment="1">
      <alignment horizontal="right"/>
    </xf>
    <xf numFmtId="9" fontId="16" fillId="17" borderId="30" xfId="51" applyFont="1" applyFill="1" applyBorder="1"/>
    <xf numFmtId="164" fontId="13" fillId="17" borderId="0" xfId="51" applyNumberFormat="1" applyFont="1" applyFill="1" applyBorder="1"/>
    <xf numFmtId="9" fontId="16" fillId="0" borderId="0" xfId="51" applyNumberFormat="1" applyFont="1" applyFill="1" applyBorder="1"/>
    <xf numFmtId="164" fontId="13" fillId="0" borderId="30" xfId="51" applyNumberFormat="1" applyFont="1" applyFill="1" applyBorder="1"/>
    <xf numFmtId="9" fontId="16" fillId="0" borderId="30" xfId="36" applyNumberFormat="1" applyFont="1" applyFill="1" applyBorder="1"/>
    <xf numFmtId="178" fontId="16" fillId="0" borderId="0" xfId="36" applyNumberFormat="1" applyFont="1" applyFill="1" applyBorder="1"/>
    <xf numFmtId="164" fontId="13" fillId="17" borderId="30" xfId="51" applyNumberFormat="1" applyFont="1" applyFill="1" applyBorder="1"/>
    <xf numFmtId="0" fontId="2" fillId="0" borderId="30" xfId="2" applyFont="1" applyBorder="1"/>
    <xf numFmtId="193" fontId="14" fillId="21" borderId="0" xfId="36" applyNumberFormat="1" applyFont="1" applyFill="1" applyBorder="1" applyAlignment="1">
      <alignment horizontal="left" vertical="center"/>
    </xf>
    <xf numFmtId="199" fontId="14" fillId="21" borderId="0" xfId="51" applyNumberFormat="1" applyFont="1" applyFill="1" applyBorder="1" applyAlignment="1">
      <alignment horizontal="left" vertical="center"/>
    </xf>
    <xf numFmtId="43" fontId="38" fillId="0" borderId="0" xfId="36" applyFont="1" applyFill="1"/>
    <xf numFmtId="170" fontId="38" fillId="0" borderId="0" xfId="36" applyNumberFormat="1" applyFont="1" applyFill="1"/>
    <xf numFmtId="168" fontId="13" fillId="21" borderId="4" xfId="51" applyNumberFormat="1" applyFont="1" applyFill="1" applyBorder="1"/>
    <xf numFmtId="167" fontId="13" fillId="21" borderId="36" xfId="2" applyNumberFormat="1" applyFont="1" applyFill="1" applyBorder="1"/>
    <xf numFmtId="0" fontId="12" fillId="21" borderId="4" xfId="58" applyFont="1" applyFill="1" applyBorder="1" applyAlignment="1">
      <alignment horizontal="right" vertical="center"/>
    </xf>
    <xf numFmtId="0" fontId="12" fillId="0" borderId="4" xfId="58" applyFont="1" applyFill="1" applyBorder="1" applyAlignment="1">
      <alignment horizontal="right" vertical="center"/>
    </xf>
    <xf numFmtId="0" fontId="13" fillId="23" borderId="7" xfId="58" applyFont="1" applyFill="1" applyBorder="1" applyAlignment="1">
      <alignment horizontal="right" vertical="center"/>
    </xf>
    <xf numFmtId="172" fontId="13" fillId="0" borderId="0" xfId="51" applyNumberFormat="1" applyFont="1" applyFill="1" applyAlignment="1">
      <alignment horizontal="right"/>
    </xf>
    <xf numFmtId="167" fontId="13" fillId="0" borderId="0" xfId="2" applyNumberFormat="1" applyFont="1" applyAlignment="1">
      <alignment horizontal="right"/>
    </xf>
    <xf numFmtId="0" fontId="0" fillId="0" borderId="0" xfId="2" applyFont="1" applyAlignment="1">
      <alignment horizontal="right"/>
    </xf>
    <xf numFmtId="180" fontId="12" fillId="0" borderId="4" xfId="45" applyNumberFormat="1" applyFont="1" applyFill="1" applyBorder="1" applyAlignment="1">
      <alignment horizontal="left" vertical="center" indent="1"/>
    </xf>
    <xf numFmtId="0" fontId="13" fillId="21" borderId="4" xfId="58" applyFont="1" applyFill="1" applyBorder="1">
      <alignment horizontal="left" vertical="center"/>
    </xf>
    <xf numFmtId="0" fontId="13" fillId="21" borderId="4" xfId="58" applyFont="1" applyFill="1" applyBorder="1" applyAlignment="1">
      <alignment vertical="center"/>
    </xf>
    <xf numFmtId="0" fontId="13" fillId="21" borderId="4" xfId="58" applyFont="1" applyFill="1" applyBorder="1" applyAlignment="1">
      <alignment horizontal="right" vertical="center"/>
    </xf>
    <xf numFmtId="1" fontId="13" fillId="21" borderId="4" xfId="58" applyNumberFormat="1" applyFont="1" applyFill="1" applyBorder="1" applyAlignment="1">
      <alignment horizontal="right" vertical="center"/>
    </xf>
    <xf numFmtId="0" fontId="13" fillId="21" borderId="36" xfId="58" applyFont="1" applyFill="1" applyBorder="1" applyAlignment="1">
      <alignment horizontal="right" vertical="center"/>
    </xf>
    <xf numFmtId="0" fontId="13" fillId="0" borderId="4" xfId="58" applyFont="1" applyFill="1" applyBorder="1">
      <alignment horizontal="left" vertical="center"/>
    </xf>
    <xf numFmtId="1" fontId="13" fillId="0" borderId="67" xfId="58" applyNumberFormat="1" applyFont="1" applyFill="1" applyBorder="1" applyAlignment="1">
      <alignment horizontal="right" vertical="center"/>
    </xf>
    <xf numFmtId="0" fontId="13" fillId="0" borderId="36" xfId="58" applyFont="1" applyFill="1" applyBorder="1">
      <alignment horizontal="left" vertical="center"/>
    </xf>
    <xf numFmtId="180" fontId="12" fillId="0" borderId="0" xfId="45" applyNumberFormat="1" applyFont="1" applyFill="1" applyBorder="1" applyAlignment="1">
      <alignment horizontal="left" vertical="center" indent="1"/>
    </xf>
    <xf numFmtId="180" fontId="16" fillId="0" borderId="2" xfId="45" applyNumberFormat="1" applyFont="1" applyFill="1" applyBorder="1" applyAlignment="1">
      <alignment horizontal="left" vertical="center"/>
    </xf>
    <xf numFmtId="167" fontId="13" fillId="21" borderId="0" xfId="2" applyNumberFormat="1" applyFont="1" applyFill="1"/>
    <xf numFmtId="10" fontId="14" fillId="21" borderId="30" xfId="51" applyNumberFormat="1" applyFont="1" applyFill="1" applyBorder="1"/>
    <xf numFmtId="0" fontId="70" fillId="27" borderId="0" xfId="2" applyFont="1" applyFill="1"/>
    <xf numFmtId="0" fontId="7" fillId="0" borderId="0" xfId="59" applyFont="1" applyFill="1" applyBorder="1">
      <alignment horizontal="left" vertical="center"/>
    </xf>
    <xf numFmtId="9" fontId="8" fillId="0" borderId="32" xfId="51" applyFont="1" applyFill="1" applyBorder="1" applyAlignment="1">
      <alignment horizontal="left" vertical="center"/>
    </xf>
    <xf numFmtId="193" fontId="14" fillId="21" borderId="3" xfId="36" applyNumberFormat="1" applyFont="1" applyFill="1" applyBorder="1" applyAlignment="1">
      <alignment horizontal="left" vertical="center"/>
    </xf>
    <xf numFmtId="199" fontId="14" fillId="21" borderId="30" xfId="51" applyNumberFormat="1" applyFont="1" applyFill="1" applyBorder="1" applyAlignment="1">
      <alignment horizontal="left" vertical="center"/>
    </xf>
    <xf numFmtId="0" fontId="13" fillId="0" borderId="4" xfId="58" applyFont="1" applyFill="1" applyBorder="1" applyAlignment="1">
      <alignment horizontal="right" vertical="center"/>
    </xf>
    <xf numFmtId="1" fontId="13" fillId="0" borderId="4" xfId="58" applyNumberFormat="1" applyFont="1" applyFill="1" applyBorder="1" applyAlignment="1">
      <alignment horizontal="right" vertical="center"/>
    </xf>
    <xf numFmtId="0" fontId="13" fillId="0" borderId="59" xfId="58" applyFont="1" applyFill="1" applyBorder="1" applyAlignment="1">
      <alignment horizontal="right" vertical="center"/>
    </xf>
    <xf numFmtId="9" fontId="16" fillId="0" borderId="43" xfId="51" applyFont="1" applyFill="1" applyBorder="1" applyAlignment="1">
      <alignment horizontal="right" vertical="center"/>
    </xf>
    <xf numFmtId="9" fontId="16" fillId="0" borderId="72" xfId="51" applyFont="1" applyFill="1" applyBorder="1" applyAlignment="1">
      <alignment horizontal="right" vertical="center"/>
    </xf>
    <xf numFmtId="9" fontId="13" fillId="15" borderId="30" xfId="58" applyNumberFormat="1" applyFont="1" applyFill="1" applyBorder="1">
      <alignment horizontal="left" vertical="center"/>
    </xf>
    <xf numFmtId="9" fontId="13" fillId="0" borderId="30" xfId="58" applyNumberFormat="1" applyFont="1" applyFill="1" applyBorder="1" applyAlignment="1">
      <alignment vertical="center"/>
    </xf>
    <xf numFmtId="9" fontId="16" fillId="23" borderId="30" xfId="51" applyFont="1" applyFill="1" applyBorder="1"/>
    <xf numFmtId="168" fontId="6" fillId="0" borderId="2" xfId="58" applyNumberFormat="1" applyFont="1" applyFill="1" applyBorder="1">
      <alignment horizontal="left" vertical="center"/>
    </xf>
    <xf numFmtId="168" fontId="14" fillId="21" borderId="30" xfId="51" applyNumberFormat="1" applyFont="1" applyFill="1" applyBorder="1" applyAlignment="1">
      <alignment horizontal="left" vertical="center"/>
    </xf>
    <xf numFmtId="10" fontId="14" fillId="21" borderId="30" xfId="58" applyNumberFormat="1" applyFont="1" applyFill="1" applyBorder="1">
      <alignment horizontal="left" vertical="center"/>
    </xf>
    <xf numFmtId="164" fontId="12" fillId="0" borderId="10" xfId="2" applyNumberFormat="1" applyFont="1" applyFill="1" applyBorder="1"/>
    <xf numFmtId="168" fontId="12" fillId="0" borderId="30" xfId="51" applyNumberFormat="1" applyFont="1" applyBorder="1" applyAlignment="1">
      <alignment horizontal="right"/>
    </xf>
    <xf numFmtId="9" fontId="18" fillId="0" borderId="37" xfId="51" applyFont="1" applyFill="1" applyBorder="1"/>
    <xf numFmtId="178" fontId="7" fillId="0" borderId="0" xfId="36" applyNumberFormat="1" applyFont="1" applyFill="1" applyBorder="1" applyAlignment="1">
      <alignment horizontal="left" vertical="center"/>
    </xf>
    <xf numFmtId="164" fontId="12" fillId="0" borderId="0" xfId="52" applyNumberFormat="1" applyFont="1" applyFill="1" applyBorder="1" applyAlignment="1">
      <alignment vertical="center"/>
    </xf>
    <xf numFmtId="164" fontId="18" fillId="0" borderId="0" xfId="58" applyNumberFormat="1" applyFont="1" applyFill="1" applyBorder="1" applyAlignment="1">
      <alignment horizontal="right" vertical="center"/>
    </xf>
    <xf numFmtId="194" fontId="8" fillId="0" borderId="2" xfId="58" applyNumberFormat="1" applyFont="1" applyFill="1" applyBorder="1">
      <alignment horizontal="left" vertical="center"/>
    </xf>
    <xf numFmtId="4" fontId="13" fillId="0" borderId="0" xfId="51" applyNumberFormat="1" applyFont="1" applyFill="1"/>
    <xf numFmtId="9" fontId="13" fillId="0" borderId="30" xfId="51" applyFont="1" applyFill="1" applyBorder="1" applyAlignment="1">
      <alignment horizontal="left" vertical="center"/>
    </xf>
    <xf numFmtId="9" fontId="13" fillId="0" borderId="0" xfId="51" applyFont="1" applyFill="1" applyBorder="1" applyAlignment="1">
      <alignment horizontal="left" vertical="center"/>
    </xf>
    <xf numFmtId="9" fontId="13" fillId="0" borderId="73" xfId="51" applyFont="1" applyBorder="1" applyAlignment="1">
      <alignment horizontal="right"/>
    </xf>
    <xf numFmtId="2" fontId="13" fillId="29" borderId="0" xfId="58" applyNumberFormat="1" applyFont="1" applyFill="1" applyBorder="1">
      <alignment horizontal="left" vertical="center"/>
    </xf>
    <xf numFmtId="0" fontId="22" fillId="29" borderId="0" xfId="58" applyFont="1" applyFill="1" applyBorder="1">
      <alignment horizontal="left" vertical="center"/>
    </xf>
    <xf numFmtId="0" fontId="14" fillId="29" borderId="0" xfId="58" applyFont="1" applyFill="1" applyBorder="1">
      <alignment horizontal="left" vertical="center"/>
    </xf>
    <xf numFmtId="0" fontId="15" fillId="29" borderId="0" xfId="58" applyFont="1" applyFill="1" applyBorder="1">
      <alignment horizontal="left" vertical="center"/>
    </xf>
    <xf numFmtId="0" fontId="15" fillId="29" borderId="30" xfId="58" applyFont="1" applyFill="1" applyBorder="1">
      <alignment horizontal="left" vertical="center"/>
    </xf>
    <xf numFmtId="164" fontId="13" fillId="29" borderId="0" xfId="2" applyNumberFormat="1" applyFont="1" applyFill="1" applyBorder="1"/>
    <xf numFmtId="9" fontId="14" fillId="29" borderId="0" xfId="51" applyFont="1" applyFill="1" applyBorder="1" applyAlignment="1">
      <alignment horizontal="left" vertical="center"/>
    </xf>
    <xf numFmtId="10" fontId="13" fillId="29" borderId="30" xfId="51" applyNumberFormat="1" applyFont="1" applyFill="1" applyBorder="1" applyAlignment="1">
      <alignment horizontal="left" vertical="center"/>
    </xf>
    <xf numFmtId="0" fontId="13" fillId="29" borderId="0" xfId="58" applyFont="1" applyFill="1" applyBorder="1">
      <alignment horizontal="left" vertical="center"/>
    </xf>
    <xf numFmtId="0" fontId="18" fillId="29" borderId="0" xfId="58" applyFont="1" applyFill="1" applyBorder="1">
      <alignment horizontal="left" vertical="center"/>
    </xf>
    <xf numFmtId="0" fontId="13" fillId="29" borderId="30" xfId="58" applyFont="1" applyFill="1" applyBorder="1">
      <alignment horizontal="left" vertical="center"/>
    </xf>
    <xf numFmtId="43" fontId="14" fillId="29" borderId="0" xfId="36" applyFont="1" applyFill="1" applyBorder="1" applyAlignment="1">
      <alignment horizontal="left" vertical="center"/>
    </xf>
    <xf numFmtId="43" fontId="14" fillId="29" borderId="0" xfId="36" applyFont="1" applyFill="1" applyBorder="1" applyAlignment="1">
      <alignment horizontal="right" vertical="center"/>
    </xf>
    <xf numFmtId="2" fontId="17" fillId="29" borderId="0" xfId="58" applyNumberFormat="1" applyFont="1" applyFill="1" applyBorder="1">
      <alignment horizontal="left" vertical="center"/>
    </xf>
    <xf numFmtId="168" fontId="13" fillId="29" borderId="0" xfId="51" applyNumberFormat="1" applyFont="1" applyFill="1" applyBorder="1" applyAlignment="1">
      <alignment horizontal="center" vertical="center"/>
    </xf>
    <xf numFmtId="168" fontId="13" fillId="29" borderId="30" xfId="51" applyNumberFormat="1" applyFont="1" applyFill="1" applyBorder="1" applyAlignment="1">
      <alignment horizontal="center" vertical="center"/>
    </xf>
    <xf numFmtId="168" fontId="13" fillId="29" borderId="30" xfId="51" applyNumberFormat="1" applyFont="1" applyFill="1" applyBorder="1" applyAlignment="1">
      <alignment horizontal="right" vertical="center"/>
    </xf>
    <xf numFmtId="168" fontId="13" fillId="29" borderId="0" xfId="51" applyNumberFormat="1" applyFont="1" applyFill="1" applyBorder="1" applyAlignment="1">
      <alignment horizontal="right" vertical="center"/>
    </xf>
    <xf numFmtId="9" fontId="13" fillId="29" borderId="0" xfId="51" applyFont="1" applyFill="1" applyBorder="1" applyAlignment="1">
      <alignment horizontal="right" vertical="center"/>
    </xf>
    <xf numFmtId="10" fontId="13" fillId="20" borderId="30" xfId="58" applyNumberFormat="1" applyFont="1" applyFill="1" applyBorder="1" applyAlignment="1">
      <alignment horizontal="right" vertical="center"/>
    </xf>
    <xf numFmtId="178" fontId="13" fillId="0" borderId="30" xfId="36" applyNumberFormat="1" applyFont="1" applyFill="1" applyBorder="1" applyAlignment="1">
      <alignment horizontal="right" vertical="center"/>
    </xf>
    <xf numFmtId="9" fontId="13" fillId="0" borderId="30" xfId="51" applyFont="1" applyBorder="1" applyAlignment="1">
      <alignment horizontal="right" vertical="center"/>
    </xf>
    <xf numFmtId="168" fontId="13" fillId="21" borderId="30" xfId="51" applyNumberFormat="1" applyFont="1" applyFill="1" applyBorder="1"/>
    <xf numFmtId="1" fontId="7" fillId="0" borderId="32" xfId="58" applyNumberFormat="1" applyFont="1" applyFill="1" applyBorder="1">
      <alignment horizontal="left" vertical="center"/>
    </xf>
    <xf numFmtId="168" fontId="7" fillId="0" borderId="2" xfId="51" applyNumberFormat="1" applyFont="1" applyFill="1" applyBorder="1" applyAlignment="1">
      <alignment horizontal="left" vertical="center"/>
    </xf>
    <xf numFmtId="0" fontId="38" fillId="20" borderId="16" xfId="2" applyFont="1" applyFill="1" applyBorder="1"/>
    <xf numFmtId="167" fontId="37" fillId="0" borderId="16" xfId="2" applyNumberFormat="1" applyFont="1" applyFill="1" applyBorder="1"/>
    <xf numFmtId="1" fontId="12" fillId="0" borderId="16" xfId="2" applyNumberFormat="1" applyFont="1" applyFill="1" applyBorder="1"/>
    <xf numFmtId="167" fontId="12" fillId="0" borderId="16" xfId="2" applyNumberFormat="1" applyFont="1" applyFill="1" applyBorder="1"/>
    <xf numFmtId="1" fontId="12" fillId="0" borderId="38" xfId="2" applyNumberFormat="1" applyFont="1" applyBorder="1"/>
    <xf numFmtId="2" fontId="13" fillId="0" borderId="0" xfId="58" applyNumberFormat="1" applyFont="1" applyFill="1" applyBorder="1" applyAlignment="1">
      <alignment horizontal="center" vertical="center"/>
    </xf>
    <xf numFmtId="170" fontId="13" fillId="21" borderId="30" xfId="36" applyNumberFormat="1" applyFont="1" applyFill="1" applyBorder="1"/>
    <xf numFmtId="0" fontId="15" fillId="21" borderId="0" xfId="58" applyFont="1" applyFill="1" applyBorder="1" applyAlignment="1">
      <alignment horizontal="center" vertical="center"/>
    </xf>
    <xf numFmtId="3" fontId="13" fillId="0" borderId="38" xfId="51" applyNumberFormat="1" applyFont="1" applyFill="1" applyBorder="1"/>
    <xf numFmtId="1" fontId="12" fillId="0" borderId="40" xfId="2" applyNumberFormat="1" applyFont="1" applyBorder="1"/>
    <xf numFmtId="1" fontId="12" fillId="0" borderId="10" xfId="2" applyNumberFormat="1" applyFont="1" applyBorder="1"/>
    <xf numFmtId="1" fontId="12" fillId="0" borderId="41" xfId="2" applyNumberFormat="1" applyFont="1" applyBorder="1"/>
    <xf numFmtId="164" fontId="12" fillId="0" borderId="10" xfId="2" applyNumberFormat="1" applyFont="1" applyBorder="1"/>
    <xf numFmtId="10" fontId="38" fillId="21" borderId="0" xfId="51" applyNumberFormat="1" applyFont="1" applyFill="1"/>
    <xf numFmtId="10" fontId="13" fillId="0" borderId="30" xfId="51" applyNumberFormat="1" applyFont="1" applyFill="1" applyBorder="1"/>
    <xf numFmtId="168" fontId="13" fillId="21" borderId="30" xfId="51" applyNumberFormat="1" applyFont="1" applyFill="1" applyBorder="1" applyAlignment="1">
      <alignment horizontal="center" vertical="center"/>
    </xf>
    <xf numFmtId="168" fontId="13" fillId="0" borderId="0" xfId="2" applyNumberFormat="1" applyFont="1" applyFill="1" applyBorder="1"/>
    <xf numFmtId="168" fontId="13" fillId="0" borderId="39" xfId="51" applyNumberFormat="1" applyFont="1" applyFill="1" applyBorder="1" applyAlignment="1">
      <alignment horizontal="right"/>
    </xf>
    <xf numFmtId="168" fontId="13" fillId="0" borderId="7" xfId="2" applyNumberFormat="1" applyFont="1" applyFill="1" applyBorder="1"/>
    <xf numFmtId="9" fontId="18" fillId="0" borderId="0" xfId="51" applyFont="1"/>
    <xf numFmtId="9" fontId="12" fillId="21" borderId="0" xfId="51" applyNumberFormat="1" applyFont="1" applyFill="1" applyBorder="1"/>
    <xf numFmtId="1" fontId="13" fillId="0" borderId="62" xfId="58" applyNumberFormat="1" applyFont="1" applyFill="1" applyBorder="1" applyAlignment="1">
      <alignment horizontal="right" vertical="center"/>
    </xf>
    <xf numFmtId="168" fontId="30" fillId="0" borderId="74" xfId="2" applyNumberFormat="1" applyFont="1" applyFill="1" applyBorder="1" applyAlignment="1">
      <alignment horizontal="center"/>
    </xf>
    <xf numFmtId="168" fontId="30" fillId="0" borderId="75" xfId="2" applyNumberFormat="1" applyFont="1" applyFill="1" applyBorder="1" applyAlignment="1">
      <alignment horizontal="center"/>
    </xf>
    <xf numFmtId="164" fontId="12" fillId="20" borderId="10" xfId="2" applyNumberFormat="1" applyFont="1" applyFill="1" applyBorder="1" applyAlignment="1">
      <alignment horizontal="right" vertical="center"/>
    </xf>
    <xf numFmtId="164" fontId="12" fillId="0" borderId="0" xfId="2" applyNumberFormat="1" applyFont="1" applyFill="1" applyAlignment="1">
      <alignment vertical="center"/>
    </xf>
    <xf numFmtId="164" fontId="13" fillId="0" borderId="4" xfId="58" applyNumberFormat="1" applyFont="1" applyFill="1" applyBorder="1" applyAlignment="1">
      <alignment horizontal="right" vertical="center"/>
    </xf>
    <xf numFmtId="0" fontId="83" fillId="0" borderId="4" xfId="58" applyFont="1" applyFill="1" applyBorder="1">
      <alignment horizontal="left" vertical="center"/>
    </xf>
    <xf numFmtId="170" fontId="13" fillId="0" borderId="0" xfId="36" applyNumberFormat="1" applyFont="1" applyAlignment="1">
      <alignment horizontal="right"/>
    </xf>
    <xf numFmtId="164" fontId="14" fillId="21" borderId="0" xfId="2" applyNumberFormat="1" applyFont="1" applyFill="1" applyAlignment="1">
      <alignment horizontal="right"/>
    </xf>
    <xf numFmtId="0" fontId="13" fillId="21" borderId="0" xfId="58" applyFont="1" applyFill="1" applyBorder="1" applyAlignment="1">
      <alignment horizontal="center" vertical="center"/>
    </xf>
    <xf numFmtId="168" fontId="13" fillId="0" borderId="30" xfId="51" applyNumberFormat="1" applyFont="1" applyFill="1" applyBorder="1" applyAlignment="1">
      <alignment horizontal="right" vertical="center"/>
    </xf>
    <xf numFmtId="168" fontId="16" fillId="21" borderId="0" xfId="51" applyNumberFormat="1" applyFont="1" applyFill="1" applyBorder="1" applyAlignment="1">
      <alignment horizontal="right"/>
    </xf>
    <xf numFmtId="0" fontId="17" fillId="29" borderId="0" xfId="2" applyFont="1" applyFill="1" applyBorder="1" applyAlignment="1">
      <alignment horizontal="right"/>
    </xf>
    <xf numFmtId="0" fontId="17" fillId="29" borderId="0" xfId="2" applyFont="1" applyFill="1" applyAlignment="1">
      <alignment horizontal="right"/>
    </xf>
    <xf numFmtId="9" fontId="17" fillId="29" borderId="0" xfId="51" applyFont="1" applyFill="1"/>
    <xf numFmtId="0" fontId="17" fillId="29" borderId="0" xfId="2" applyFont="1" applyFill="1"/>
    <xf numFmtId="37" fontId="62" fillId="29" borderId="0" xfId="2" applyNumberFormat="1" applyFont="1" applyFill="1" applyBorder="1" applyAlignment="1">
      <alignment horizontal="right"/>
    </xf>
    <xf numFmtId="178" fontId="84" fillId="29" borderId="0" xfId="36" applyNumberFormat="1" applyFont="1" applyFill="1" applyAlignment="1">
      <alignment horizontal="center"/>
    </xf>
    <xf numFmtId="9" fontId="17" fillId="29" borderId="0" xfId="51" applyFont="1" applyFill="1" applyAlignment="1">
      <alignment horizontal="right"/>
    </xf>
    <xf numFmtId="168" fontId="17" fillId="29" borderId="30" xfId="51" applyNumberFormat="1" applyFont="1" applyFill="1" applyBorder="1" applyAlignment="1">
      <alignment horizontal="right"/>
    </xf>
    <xf numFmtId="168" fontId="17" fillId="29" borderId="0" xfId="2" applyNumberFormat="1" applyFont="1" applyFill="1"/>
    <xf numFmtId="168" fontId="17" fillId="29" borderId="0" xfId="51" applyNumberFormat="1" applyFont="1" applyFill="1" applyAlignment="1">
      <alignment horizontal="right"/>
    </xf>
    <xf numFmtId="168" fontId="24" fillId="29" borderId="0" xfId="51" applyNumberFormat="1" applyFont="1" applyFill="1" applyAlignment="1">
      <alignment horizontal="right"/>
    </xf>
    <xf numFmtId="168" fontId="24" fillId="29" borderId="30" xfId="51" applyNumberFormat="1" applyFont="1" applyFill="1" applyBorder="1" applyAlignment="1">
      <alignment horizontal="right"/>
    </xf>
    <xf numFmtId="168" fontId="24" fillId="29" borderId="0" xfId="2" applyNumberFormat="1" applyFont="1" applyFill="1"/>
    <xf numFmtId="7" fontId="0" fillId="0" borderId="0" xfId="37" applyFont="1"/>
    <xf numFmtId="167" fontId="13" fillId="0" borderId="0" xfId="58" applyNumberFormat="1" applyFont="1" applyFill="1" applyBorder="1" applyAlignment="1">
      <alignment horizontal="center" vertical="center"/>
    </xf>
    <xf numFmtId="170" fontId="7" fillId="0" borderId="0" xfId="36" applyNumberFormat="1" applyFont="1" applyFill="1" applyBorder="1" applyAlignment="1">
      <alignment horizontal="left" vertical="center"/>
    </xf>
    <xf numFmtId="170" fontId="7" fillId="0" borderId="0" xfId="51" applyNumberFormat="1" applyFont="1" applyFill="1" applyBorder="1" applyAlignment="1">
      <alignment horizontal="left" vertical="center"/>
    </xf>
    <xf numFmtId="43" fontId="13" fillId="0" borderId="0" xfId="36" applyNumberFormat="1" applyFont="1" applyAlignment="1"/>
    <xf numFmtId="43" fontId="13" fillId="0" borderId="0" xfId="36" applyNumberFormat="1" applyFont="1" applyFill="1"/>
    <xf numFmtId="43" fontId="13" fillId="0" borderId="0" xfId="36" applyNumberFormat="1" applyFont="1"/>
    <xf numFmtId="43" fontId="13" fillId="0" borderId="0" xfId="36" applyNumberFormat="1" applyFont="1" applyFill="1" applyAlignment="1">
      <alignment horizontal="right"/>
    </xf>
    <xf numFmtId="43" fontId="13" fillId="0" borderId="0" xfId="36" applyNumberFormat="1" applyFont="1" applyBorder="1"/>
    <xf numFmtId="43" fontId="13" fillId="0" borderId="0" xfId="36" applyNumberFormat="1" applyFont="1" applyAlignment="1">
      <alignment horizontal="right"/>
    </xf>
    <xf numFmtId="43" fontId="0" fillId="0" borderId="0" xfId="36" applyNumberFormat="1" applyFont="1"/>
    <xf numFmtId="168" fontId="14" fillId="0" borderId="0" xfId="51" applyNumberFormat="1" applyFont="1" applyFill="1" applyBorder="1" applyAlignment="1">
      <alignment horizontal="right" vertical="center"/>
    </xf>
    <xf numFmtId="9" fontId="13" fillId="17" borderId="0" xfId="51" applyFont="1" applyFill="1" applyBorder="1"/>
    <xf numFmtId="168" fontId="7" fillId="0" borderId="2" xfId="58" applyNumberFormat="1" applyFont="1" applyFill="1" applyBorder="1">
      <alignment horizontal="left" vertical="center"/>
    </xf>
    <xf numFmtId="1" fontId="8" fillId="0" borderId="0" xfId="59" applyNumberFormat="1" applyFont="1" applyFill="1">
      <alignment horizontal="left" vertical="center"/>
    </xf>
    <xf numFmtId="1" fontId="8" fillId="0" borderId="0" xfId="58" applyNumberFormat="1" applyFont="1" applyFill="1" applyBorder="1">
      <alignment horizontal="left" vertical="center"/>
    </xf>
    <xf numFmtId="1" fontId="8" fillId="0" borderId="2" xfId="58" applyNumberFormat="1" applyFont="1" applyFill="1" applyBorder="1">
      <alignment horizontal="left" vertical="center"/>
    </xf>
    <xf numFmtId="9" fontId="13" fillId="0" borderId="0" xfId="51" applyFont="1" applyFill="1" applyAlignment="1">
      <alignment horizontal="left" vertical="center"/>
    </xf>
    <xf numFmtId="9" fontId="29" fillId="0" borderId="0" xfId="51" applyFont="1"/>
    <xf numFmtId="9" fontId="13" fillId="21" borderId="30" xfId="51" applyNumberFormat="1" applyFont="1" applyFill="1" applyBorder="1"/>
    <xf numFmtId="0" fontId="0" fillId="21" borderId="0" xfId="0" applyFill="1"/>
    <xf numFmtId="2" fontId="8" fillId="0" borderId="2" xfId="58" applyNumberFormat="1" applyFont="1" applyFill="1" applyBorder="1">
      <alignment horizontal="left" vertical="center"/>
    </xf>
    <xf numFmtId="7" fontId="7" fillId="0" borderId="0" xfId="37" applyFont="1" applyFill="1" applyBorder="1" applyAlignment="1">
      <alignment horizontal="left" vertical="center"/>
    </xf>
    <xf numFmtId="186" fontId="7" fillId="0" borderId="0" xfId="37" applyNumberFormat="1" applyFont="1" applyFill="1" applyBorder="1" applyAlignment="1">
      <alignment horizontal="left" vertical="center"/>
    </xf>
    <xf numFmtId="1" fontId="3" fillId="0" borderId="0" xfId="58" applyNumberFormat="1" applyFont="1" applyFill="1" applyBorder="1">
      <alignment horizontal="left" vertical="center"/>
    </xf>
    <xf numFmtId="0" fontId="3" fillId="0" borderId="2" xfId="58" applyFont="1" applyFill="1" applyBorder="1">
      <alignment horizontal="left" vertical="center"/>
    </xf>
    <xf numFmtId="0" fontId="3" fillId="0" borderId="0" xfId="58" applyFont="1" applyFill="1" applyBorder="1">
      <alignment horizontal="left" vertical="center"/>
    </xf>
    <xf numFmtId="1" fontId="3" fillId="0" borderId="2" xfId="58" applyNumberFormat="1" applyFont="1" applyFill="1" applyBorder="1">
      <alignment horizontal="left" vertical="center"/>
    </xf>
    <xf numFmtId="9" fontId="3" fillId="0" borderId="0" xfId="51" applyFont="1" applyFill="1" applyBorder="1" applyAlignment="1">
      <alignment horizontal="left" vertical="center"/>
    </xf>
    <xf numFmtId="168" fontId="8" fillId="0" borderId="0" xfId="51" applyNumberFormat="1" applyFont="1" applyFill="1" applyBorder="1" applyAlignment="1">
      <alignment horizontal="left" vertical="center"/>
    </xf>
    <xf numFmtId="178" fontId="12" fillId="0" borderId="0" xfId="36" applyNumberFormat="1" applyFont="1" applyFill="1" applyBorder="1" applyAlignment="1">
      <alignment horizontal="left" vertical="center"/>
    </xf>
    <xf numFmtId="178" fontId="13" fillId="21" borderId="0" xfId="36" applyNumberFormat="1" applyFont="1" applyFill="1" applyBorder="1" applyAlignment="1">
      <alignment horizontal="left" vertical="center"/>
    </xf>
    <xf numFmtId="178" fontId="16" fillId="21" borderId="0" xfId="36" applyNumberFormat="1" applyFont="1" applyFill="1" applyBorder="1" applyAlignment="1">
      <alignment horizontal="right" vertical="center"/>
    </xf>
    <xf numFmtId="178" fontId="13" fillId="21" borderId="0" xfId="36" applyNumberFormat="1" applyFont="1" applyFill="1" applyBorder="1" applyAlignment="1">
      <alignment horizontal="right" vertical="center"/>
    </xf>
    <xf numFmtId="178" fontId="13" fillId="21" borderId="0" xfId="36" applyNumberFormat="1" applyFont="1" applyFill="1" applyBorder="1" applyAlignment="1">
      <alignment vertical="center"/>
    </xf>
    <xf numFmtId="178" fontId="13" fillId="21" borderId="30" xfId="36" applyNumberFormat="1" applyFont="1" applyFill="1" applyBorder="1" applyAlignment="1">
      <alignment horizontal="right" vertical="center"/>
    </xf>
    <xf numFmtId="178" fontId="16" fillId="0" borderId="0" xfId="36" applyNumberFormat="1" applyFont="1" applyFill="1" applyBorder="1" applyAlignment="1">
      <alignment horizontal="right" vertical="center"/>
    </xf>
    <xf numFmtId="178" fontId="16" fillId="0" borderId="55" xfId="36" applyNumberFormat="1" applyFont="1" applyFill="1" applyBorder="1" applyAlignment="1">
      <alignment horizontal="right" vertical="center"/>
    </xf>
    <xf numFmtId="178" fontId="13" fillId="0" borderId="63" xfId="36" applyNumberFormat="1" applyFont="1" applyFill="1" applyBorder="1" applyAlignment="1">
      <alignment horizontal="right" vertical="center"/>
    </xf>
    <xf numFmtId="178" fontId="13" fillId="0" borderId="30" xfId="36" applyNumberFormat="1" applyFont="1" applyFill="1" applyBorder="1" applyAlignment="1">
      <alignment horizontal="left" vertical="center"/>
    </xf>
    <xf numFmtId="178" fontId="0" fillId="0" borderId="0" xfId="36" applyNumberFormat="1" applyFont="1"/>
    <xf numFmtId="0" fontId="12" fillId="20" borderId="0" xfId="2" applyFont="1" applyFill="1" applyBorder="1"/>
    <xf numFmtId="1" fontId="12" fillId="15" borderId="0" xfId="2" applyNumberFormat="1" applyFont="1" applyFill="1" applyBorder="1"/>
    <xf numFmtId="9" fontId="12" fillId="15" borderId="0" xfId="51" applyFont="1" applyFill="1" applyBorder="1" applyAlignment="1">
      <alignment horizontal="right"/>
    </xf>
    <xf numFmtId="164" fontId="12" fillId="23" borderId="16" xfId="58" applyNumberFormat="1" applyFont="1" applyFill="1" applyBorder="1" applyAlignment="1">
      <alignment horizontal="right" vertical="center"/>
    </xf>
    <xf numFmtId="178" fontId="13" fillId="0" borderId="0" xfId="36" applyNumberFormat="1" applyFont="1" applyFill="1" applyBorder="1" applyAlignment="1">
      <alignment horizontal="right" vertical="center"/>
    </xf>
    <xf numFmtId="9" fontId="0" fillId="0" borderId="0" xfId="0" applyNumberFormat="1"/>
    <xf numFmtId="168" fontId="13" fillId="0" borderId="30" xfId="51" applyNumberFormat="1" applyFont="1" applyFill="1" applyBorder="1" applyAlignment="1">
      <alignment horizontal="left" vertical="center"/>
    </xf>
    <xf numFmtId="168" fontId="16" fillId="0" borderId="30" xfId="51" applyNumberFormat="1" applyFont="1" applyFill="1" applyBorder="1" applyAlignment="1">
      <alignment horizontal="right" vertical="center"/>
    </xf>
    <xf numFmtId="180" fontId="16" fillId="0" borderId="0" xfId="45" applyNumberFormat="1" applyFont="1" applyFill="1" applyBorder="1" applyAlignment="1">
      <alignment horizontal="left" vertical="center" indent="2"/>
    </xf>
    <xf numFmtId="0" fontId="3" fillId="0" borderId="0" xfId="0" applyFont="1"/>
    <xf numFmtId="0" fontId="0" fillId="0" borderId="0" xfId="0"/>
    <xf numFmtId="180" fontId="13" fillId="21" borderId="0" xfId="45" applyNumberFormat="1" applyFont="1" applyFill="1" applyBorder="1" applyAlignment="1">
      <alignment horizontal="left" vertical="center" indent="1"/>
    </xf>
    <xf numFmtId="180" fontId="13" fillId="21" borderId="0" xfId="45" applyNumberFormat="1" applyFont="1" applyFill="1" applyBorder="1" applyAlignment="1">
      <alignment horizontal="left" vertical="center" indent="2"/>
    </xf>
    <xf numFmtId="178" fontId="13" fillId="0" borderId="30" xfId="58" applyNumberFormat="1" applyFont="1" applyFill="1" applyBorder="1">
      <alignment horizontal="left" vertical="center"/>
    </xf>
    <xf numFmtId="164" fontId="0" fillId="0" borderId="0" xfId="0" applyNumberFormat="1"/>
    <xf numFmtId="0" fontId="0" fillId="0" borderId="0" xfId="0"/>
    <xf numFmtId="0" fontId="2" fillId="0" borderId="0" xfId="0" applyFont="1"/>
    <xf numFmtId="0" fontId="0" fillId="0" borderId="0" xfId="0" applyFill="1"/>
    <xf numFmtId="0" fontId="32" fillId="0" borderId="0" xfId="0" applyFont="1"/>
    <xf numFmtId="1" fontId="2" fillId="0" borderId="0" xfId="0" applyNumberFormat="1" applyFont="1"/>
    <xf numFmtId="0" fontId="0" fillId="0" borderId="0" xfId="0"/>
    <xf numFmtId="0" fontId="0" fillId="0" borderId="0" xfId="0"/>
    <xf numFmtId="168" fontId="89" fillId="0" borderId="0" xfId="51" applyNumberFormat="1" applyFont="1" applyFill="1" applyBorder="1" applyAlignment="1">
      <alignment horizontal="left" vertical="center"/>
    </xf>
    <xf numFmtId="180" fontId="13" fillId="21" borderId="0" xfId="45" applyNumberFormat="1" applyFont="1" applyFill="1" applyBorder="1" applyAlignment="1">
      <alignment horizontal="left" vertical="center" indent="3"/>
    </xf>
    <xf numFmtId="164" fontId="3" fillId="0" borderId="0" xfId="58" applyNumberFormat="1" applyFont="1" applyFill="1" applyBorder="1">
      <alignment horizontal="left" vertical="center"/>
    </xf>
    <xf numFmtId="9" fontId="16" fillId="0" borderId="1" xfId="51" applyFont="1" applyFill="1" applyBorder="1" applyAlignment="1">
      <alignment horizontal="right" vertical="center"/>
    </xf>
    <xf numFmtId="0" fontId="15" fillId="27" borderId="0" xfId="58" applyFont="1" applyFill="1" applyBorder="1" applyAlignment="1">
      <alignment horizontal="center" vertical="center"/>
    </xf>
    <xf numFmtId="0" fontId="15" fillId="27" borderId="30" xfId="58" applyFont="1" applyFill="1" applyBorder="1" applyAlignment="1">
      <alignment horizontal="center" vertical="center"/>
    </xf>
    <xf numFmtId="0" fontId="0" fillId="0" borderId="0" xfId="0"/>
    <xf numFmtId="0" fontId="13" fillId="30" borderId="0" xfId="2" applyFont="1" applyFill="1"/>
    <xf numFmtId="2" fontId="3" fillId="0" borderId="2" xfId="58" applyNumberFormat="1" applyFont="1" applyFill="1" applyBorder="1">
      <alignment horizontal="left" vertical="center"/>
    </xf>
    <xf numFmtId="1" fontId="0" fillId="0" borderId="0" xfId="0" applyNumberFormat="1"/>
    <xf numFmtId="0" fontId="0" fillId="0" borderId="0" xfId="0"/>
    <xf numFmtId="0" fontId="0" fillId="0" borderId="0" xfId="0"/>
    <xf numFmtId="164" fontId="3" fillId="0" borderId="2" xfId="58" applyNumberFormat="1" applyFont="1" applyFill="1" applyBorder="1">
      <alignment horizontal="left" vertical="center"/>
    </xf>
    <xf numFmtId="168" fontId="3" fillId="0" borderId="2" xfId="51" applyNumberFormat="1" applyFont="1" applyFill="1" applyBorder="1" applyAlignment="1">
      <alignment horizontal="left" vertical="center"/>
    </xf>
    <xf numFmtId="9" fontId="16" fillId="0" borderId="0" xfId="51" applyNumberFormat="1" applyFont="1" applyFill="1" applyBorder="1" applyAlignment="1">
      <alignment horizontal="right" vertical="center"/>
    </xf>
    <xf numFmtId="0" fontId="12" fillId="30" borderId="32" xfId="58" applyFont="1" applyFill="1" applyBorder="1" applyAlignment="1">
      <alignment horizontal="right" vertical="center"/>
    </xf>
    <xf numFmtId="9" fontId="16" fillId="30" borderId="0" xfId="51" applyFont="1" applyFill="1" applyBorder="1" applyAlignment="1">
      <alignment horizontal="right" vertical="center"/>
    </xf>
    <xf numFmtId="9" fontId="16" fillId="30" borderId="2" xfId="51" applyFont="1" applyFill="1" applyBorder="1" applyAlignment="1">
      <alignment horizontal="right" vertical="center"/>
    </xf>
    <xf numFmtId="0" fontId="13" fillId="30" borderId="0" xfId="58" applyFont="1" applyFill="1" applyBorder="1" applyAlignment="1">
      <alignment horizontal="right" vertical="center"/>
    </xf>
    <xf numFmtId="0" fontId="13" fillId="30" borderId="0" xfId="58" applyFont="1" applyFill="1" applyBorder="1">
      <alignment horizontal="left" vertical="center"/>
    </xf>
    <xf numFmtId="1" fontId="12" fillId="30" borderId="4" xfId="58" applyNumberFormat="1" applyFont="1" applyFill="1" applyBorder="1" applyAlignment="1">
      <alignment horizontal="right" vertical="center"/>
    </xf>
    <xf numFmtId="0" fontId="2" fillId="0" borderId="0" xfId="62"/>
    <xf numFmtId="9" fontId="13" fillId="21" borderId="0" xfId="51" applyNumberFormat="1" applyFont="1" applyFill="1"/>
    <xf numFmtId="0" fontId="0" fillId="0" borderId="0" xfId="0"/>
    <xf numFmtId="0" fontId="3" fillId="0" borderId="0" xfId="59" applyFont="1" applyFill="1" applyBorder="1">
      <alignment horizontal="left" vertical="center"/>
    </xf>
    <xf numFmtId="2" fontId="91" fillId="0" borderId="0" xfId="64" applyNumberFormat="1" applyFont="1" applyFill="1" applyBorder="1"/>
    <xf numFmtId="2" fontId="92" fillId="0" borderId="0" xfId="64" applyNumberFormat="1" applyFont="1" applyFill="1" applyBorder="1"/>
    <xf numFmtId="0" fontId="92" fillId="0" borderId="0" xfId="64" applyFont="1" applyFill="1" applyBorder="1"/>
    <xf numFmtId="9" fontId="92" fillId="0" borderId="0" xfId="65" applyFont="1" applyFill="1" applyBorder="1"/>
    <xf numFmtId="0" fontId="12" fillId="0" borderId="0" xfId="66" applyFont="1" applyFill="1" applyBorder="1" applyAlignment="1">
      <alignment horizontal="center"/>
    </xf>
    <xf numFmtId="0" fontId="91" fillId="0" borderId="0" xfId="64" applyFont="1" applyFill="1" applyBorder="1"/>
    <xf numFmtId="0" fontId="37" fillId="0" borderId="20" xfId="64" applyFont="1" applyFill="1" applyBorder="1"/>
    <xf numFmtId="0" fontId="92" fillId="0" borderId="10" xfId="64" applyFont="1" applyFill="1" applyBorder="1"/>
    <xf numFmtId="178" fontId="12" fillId="0" borderId="10" xfId="66" applyNumberFormat="1" applyFont="1" applyFill="1" applyBorder="1"/>
    <xf numFmtId="168" fontId="92" fillId="0" borderId="0" xfId="65" applyNumberFormat="1" applyFont="1" applyFill="1" applyBorder="1"/>
    <xf numFmtId="0" fontId="37" fillId="0" borderId="0" xfId="64" applyFont="1" applyFill="1" applyBorder="1"/>
    <xf numFmtId="178" fontId="12" fillId="0" borderId="0" xfId="66" applyNumberFormat="1" applyFont="1" applyFill="1" applyBorder="1"/>
    <xf numFmtId="0" fontId="38" fillId="0" borderId="0" xfId="64" applyFont="1" applyFill="1" applyBorder="1"/>
    <xf numFmtId="178" fontId="13" fillId="0" borderId="0" xfId="66" applyNumberFormat="1" applyFont="1" applyFill="1" applyBorder="1"/>
    <xf numFmtId="0" fontId="36" fillId="31" borderId="0" xfId="64" applyFont="1" applyFill="1" applyBorder="1"/>
    <xf numFmtId="0" fontId="93" fillId="31" borderId="0" xfId="64" applyFont="1" applyFill="1" applyBorder="1"/>
    <xf numFmtId="178" fontId="16" fillId="31" borderId="0" xfId="66" applyNumberFormat="1" applyFont="1" applyFill="1" applyBorder="1"/>
    <xf numFmtId="178" fontId="17" fillId="31" borderId="0" xfId="66" applyNumberFormat="1" applyFont="1" applyFill="1" applyBorder="1"/>
    <xf numFmtId="9" fontId="16" fillId="31" borderId="0" xfId="65" applyFont="1" applyFill="1" applyBorder="1"/>
    <xf numFmtId="0" fontId="13" fillId="33" borderId="0" xfId="64" applyFont="1" applyFill="1" applyBorder="1"/>
    <xf numFmtId="178" fontId="12" fillId="33" borderId="0" xfId="66" applyNumberFormat="1" applyFont="1" applyFill="1" applyBorder="1"/>
    <xf numFmtId="0" fontId="17" fillId="33" borderId="0" xfId="64" applyFont="1" applyFill="1" applyBorder="1" applyAlignment="1">
      <alignment horizontal="left" indent="2"/>
    </xf>
    <xf numFmtId="9" fontId="94" fillId="0" borderId="0" xfId="65" applyFont="1" applyFill="1" applyBorder="1"/>
    <xf numFmtId="1" fontId="92" fillId="0" borderId="0" xfId="64" applyNumberFormat="1" applyFont="1" applyFill="1" applyBorder="1"/>
    <xf numFmtId="9" fontId="95" fillId="0" borderId="0" xfId="65" applyFont="1" applyFill="1" applyBorder="1"/>
    <xf numFmtId="1" fontId="91" fillId="0" borderId="0" xfId="64" applyNumberFormat="1" applyFont="1" applyFill="1" applyBorder="1"/>
    <xf numFmtId="0" fontId="37" fillId="34" borderId="0" xfId="64" applyFont="1" applyFill="1" applyBorder="1"/>
    <xf numFmtId="0" fontId="92" fillId="34" borderId="0" xfId="64" applyFont="1" applyFill="1" applyBorder="1"/>
    <xf numFmtId="178" fontId="13" fillId="34" borderId="0" xfId="66" applyNumberFormat="1" applyFont="1" applyFill="1" applyBorder="1"/>
    <xf numFmtId="0" fontId="38" fillId="34" borderId="0" xfId="64" applyFont="1" applyFill="1" applyBorder="1"/>
    <xf numFmtId="9" fontId="95" fillId="34" borderId="0" xfId="65" applyFont="1" applyFill="1" applyBorder="1"/>
    <xf numFmtId="178" fontId="12" fillId="34" borderId="0" xfId="66" applyNumberFormat="1" applyFont="1" applyFill="1" applyBorder="1"/>
    <xf numFmtId="0" fontId="12" fillId="0" borderId="0" xfId="64" applyFont="1" applyFill="1" applyBorder="1"/>
    <xf numFmtId="9" fontId="12" fillId="0" borderId="0" xfId="65" applyFont="1" applyFill="1" applyBorder="1"/>
    <xf numFmtId="9" fontId="95" fillId="34" borderId="0" xfId="65" applyNumberFormat="1" applyFont="1" applyFill="1" applyBorder="1"/>
    <xf numFmtId="0" fontId="37" fillId="0" borderId="28" xfId="64" applyFont="1" applyFill="1" applyBorder="1"/>
    <xf numFmtId="0" fontId="92" fillId="0" borderId="11" xfId="64" applyFont="1" applyFill="1" applyBorder="1"/>
    <xf numFmtId="178" fontId="12" fillId="0" borderId="11" xfId="66" applyNumberFormat="1" applyFont="1" applyFill="1" applyBorder="1"/>
    <xf numFmtId="178" fontId="12" fillId="0" borderId="11" xfId="67" applyNumberFormat="1" applyFont="1" applyFill="1" applyBorder="1"/>
    <xf numFmtId="178" fontId="12" fillId="0" borderId="27" xfId="67" applyNumberFormat="1" applyFont="1" applyFill="1" applyBorder="1"/>
    <xf numFmtId="6" fontId="91" fillId="0" borderId="10" xfId="64" applyNumberFormat="1" applyFont="1" applyFill="1" applyBorder="1"/>
    <xf numFmtId="6" fontId="91" fillId="0" borderId="21" xfId="64" applyNumberFormat="1" applyFont="1" applyFill="1" applyBorder="1"/>
    <xf numFmtId="0" fontId="13" fillId="0" borderId="0" xfId="66" applyFont="1" applyFill="1" applyAlignment="1">
      <alignment horizontal="left" indent="1"/>
    </xf>
    <xf numFmtId="6" fontId="92" fillId="0" borderId="0" xfId="64" applyNumberFormat="1" applyFont="1" applyFill="1" applyBorder="1"/>
    <xf numFmtId="0" fontId="13" fillId="0" borderId="0" xfId="64" applyFont="1" applyFill="1" applyBorder="1"/>
    <xf numFmtId="0" fontId="12" fillId="0" borderId="0" xfId="66" applyFont="1" applyFill="1" applyAlignment="1">
      <alignment horizontal="left" indent="1"/>
    </xf>
    <xf numFmtId="6" fontId="91" fillId="0" borderId="0" xfId="64" applyNumberFormat="1" applyFont="1" applyFill="1" applyBorder="1"/>
    <xf numFmtId="1" fontId="13" fillId="0" borderId="0" xfId="66" applyNumberFormat="1" applyFont="1" applyFill="1" applyBorder="1"/>
    <xf numFmtId="6" fontId="92" fillId="34" borderId="0" xfId="64" applyNumberFormat="1" applyFont="1" applyFill="1" applyBorder="1"/>
    <xf numFmtId="8" fontId="92" fillId="0" borderId="0" xfId="64" applyNumberFormat="1" applyFont="1" applyFill="1" applyBorder="1"/>
    <xf numFmtId="0" fontId="12" fillId="0" borderId="20" xfId="66" applyFont="1" applyFill="1" applyBorder="1"/>
    <xf numFmtId="0" fontId="91" fillId="0" borderId="20" xfId="64" applyFont="1" applyFill="1" applyBorder="1"/>
    <xf numFmtId="9" fontId="93" fillId="0" borderId="0" xfId="65" applyFont="1" applyFill="1" applyBorder="1"/>
    <xf numFmtId="6" fontId="93" fillId="0" borderId="0" xfId="65" applyNumberFormat="1" applyFont="1" applyFill="1" applyBorder="1"/>
    <xf numFmtId="0" fontId="92" fillId="0" borderId="0" xfId="64" applyFont="1" applyBorder="1"/>
    <xf numFmtId="6" fontId="92" fillId="0" borderId="0" xfId="64" applyNumberFormat="1" applyFont="1" applyBorder="1"/>
    <xf numFmtId="0" fontId="92" fillId="0" borderId="0" xfId="64" applyFont="1" applyBorder="1" applyAlignment="1">
      <alignment horizontal="left" indent="2"/>
    </xf>
    <xf numFmtId="9" fontId="92" fillId="0" borderId="0" xfId="65" applyFont="1" applyBorder="1"/>
    <xf numFmtId="0" fontId="92" fillId="0" borderId="0" xfId="64" applyFont="1" applyBorder="1" applyAlignment="1">
      <alignment horizontal="left" indent="1"/>
    </xf>
    <xf numFmtId="0" fontId="92" fillId="34" borderId="4" xfId="64" applyFont="1" applyFill="1" applyBorder="1" applyAlignment="1">
      <alignment horizontal="left" indent="2"/>
    </xf>
    <xf numFmtId="0" fontId="92" fillId="34" borderId="4" xfId="64" applyFont="1" applyFill="1" applyBorder="1"/>
    <xf numFmtId="6" fontId="92" fillId="34" borderId="4" xfId="64" applyNumberFormat="1" applyFont="1" applyFill="1" applyBorder="1"/>
    <xf numFmtId="0" fontId="92" fillId="34" borderId="0" xfId="64" applyFont="1" applyFill="1" applyBorder="1" applyAlignment="1">
      <alignment horizontal="left" indent="2"/>
    </xf>
    <xf numFmtId="8" fontId="92" fillId="0" borderId="0" xfId="64" applyNumberFormat="1" applyFont="1" applyBorder="1"/>
    <xf numFmtId="0" fontId="92" fillId="34" borderId="4" xfId="64" applyFont="1" applyFill="1" applyBorder="1" applyAlignment="1">
      <alignment horizontal="left" indent="1"/>
    </xf>
    <xf numFmtId="0" fontId="92" fillId="34" borderId="0" xfId="64" applyFont="1" applyFill="1" applyBorder="1" applyAlignment="1">
      <alignment horizontal="left" indent="1"/>
    </xf>
    <xf numFmtId="6" fontId="91" fillId="0" borderId="0" xfId="64" applyNumberFormat="1" applyFont="1" applyBorder="1"/>
    <xf numFmtId="168" fontId="92" fillId="0" borderId="0" xfId="65" applyNumberFormat="1" applyFont="1" applyBorder="1"/>
    <xf numFmtId="1" fontId="92" fillId="0" borderId="0" xfId="65" applyNumberFormat="1" applyFont="1" applyFill="1" applyBorder="1"/>
    <xf numFmtId="6" fontId="92" fillId="0" borderId="0" xfId="65" applyNumberFormat="1" applyFont="1" applyFill="1" applyBorder="1"/>
    <xf numFmtId="8" fontId="92" fillId="0" borderId="0" xfId="65" applyNumberFormat="1" applyFont="1" applyFill="1" applyBorder="1"/>
    <xf numFmtId="9" fontId="92" fillId="0" borderId="0" xfId="65" applyNumberFormat="1" applyFont="1" applyFill="1" applyBorder="1"/>
    <xf numFmtId="0" fontId="91" fillId="0" borderId="10" xfId="64" applyFont="1" applyFill="1" applyBorder="1"/>
    <xf numFmtId="6" fontId="91" fillId="0" borderId="10" xfId="65" applyNumberFormat="1" applyFont="1" applyFill="1" applyBorder="1"/>
    <xf numFmtId="178" fontId="92" fillId="0" borderId="0" xfId="67" applyNumberFormat="1" applyFont="1" applyFill="1" applyBorder="1"/>
    <xf numFmtId="174" fontId="92" fillId="0" borderId="0" xfId="65" applyNumberFormat="1" applyFont="1" applyFill="1" applyBorder="1"/>
    <xf numFmtId="178" fontId="97" fillId="0" borderId="0" xfId="36" applyNumberFormat="1" applyFont="1" applyFill="1" applyBorder="1" applyAlignment="1">
      <alignment horizontal="left" vertical="center"/>
    </xf>
    <xf numFmtId="178" fontId="97" fillId="0" borderId="30" xfId="36" applyNumberFormat="1" applyFont="1" applyFill="1" applyBorder="1" applyAlignment="1">
      <alignment horizontal="left" vertical="center"/>
    </xf>
    <xf numFmtId="0" fontId="97" fillId="0" borderId="0" xfId="58" applyFont="1" applyFill="1" applyBorder="1">
      <alignment horizontal="left" vertical="center"/>
    </xf>
    <xf numFmtId="0" fontId="97" fillId="0" borderId="30" xfId="58" applyFont="1" applyFill="1" applyBorder="1">
      <alignment horizontal="left" vertical="center"/>
    </xf>
    <xf numFmtId="178" fontId="97" fillId="0" borderId="0" xfId="58" applyNumberFormat="1" applyFont="1" applyFill="1" applyBorder="1">
      <alignment horizontal="left" vertical="center"/>
    </xf>
    <xf numFmtId="6" fontId="92" fillId="0" borderId="0" xfId="36" applyNumberFormat="1" applyFont="1" applyBorder="1"/>
    <xf numFmtId="0" fontId="0" fillId="0" borderId="0" xfId="0"/>
    <xf numFmtId="168" fontId="92" fillId="0" borderId="0" xfId="51" applyNumberFormat="1" applyFont="1" applyFill="1" applyBorder="1"/>
    <xf numFmtId="9" fontId="92" fillId="0" borderId="0" xfId="51" applyFont="1" applyFill="1" applyBorder="1"/>
    <xf numFmtId="0" fontId="38" fillId="34" borderId="0" xfId="64" applyFont="1" applyFill="1" applyBorder="1" applyAlignment="1">
      <alignment horizontal="left" indent="4"/>
    </xf>
    <xf numFmtId="9" fontId="17" fillId="31" borderId="0" xfId="51" applyFont="1" applyFill="1" applyBorder="1"/>
    <xf numFmtId="168" fontId="98" fillId="0" borderId="0" xfId="51" applyNumberFormat="1" applyFont="1" applyFill="1" applyBorder="1" applyAlignment="1">
      <alignment horizontal="center" vertical="center"/>
    </xf>
    <xf numFmtId="0" fontId="96" fillId="0" borderId="0" xfId="64" applyFont="1" applyFill="1" applyBorder="1"/>
    <xf numFmtId="0" fontId="16" fillId="0" borderId="0" xfId="66" applyFont="1" applyFill="1" applyAlignment="1">
      <alignment horizontal="left" indent="2"/>
    </xf>
    <xf numFmtId="0" fontId="16" fillId="0" borderId="0" xfId="64" applyFont="1" applyFill="1" applyBorder="1"/>
    <xf numFmtId="9" fontId="16" fillId="0" borderId="0" xfId="64" applyNumberFormat="1" applyFont="1" applyFill="1" applyBorder="1"/>
    <xf numFmtId="0" fontId="9" fillId="0" borderId="0" xfId="64" applyFont="1" applyFill="1" applyBorder="1"/>
    <xf numFmtId="6" fontId="12" fillId="30" borderId="10" xfId="64" applyNumberFormat="1" applyFont="1" applyFill="1" applyBorder="1"/>
    <xf numFmtId="9" fontId="99" fillId="0" borderId="0" xfId="64" applyNumberFormat="1" applyFont="1" applyFill="1" applyBorder="1"/>
    <xf numFmtId="8" fontId="91" fillId="0" borderId="44" xfId="65" applyNumberFormat="1" applyFont="1" applyFill="1" applyBorder="1"/>
    <xf numFmtId="168" fontId="93" fillId="0" borderId="0" xfId="65" applyNumberFormat="1" applyFont="1" applyFill="1" applyBorder="1"/>
    <xf numFmtId="9" fontId="92" fillId="34" borderId="4" xfId="51" applyFont="1" applyFill="1" applyBorder="1"/>
    <xf numFmtId="0" fontId="92" fillId="0" borderId="0" xfId="64" applyFont="1" applyFill="1" applyBorder="1" applyAlignment="1">
      <alignment horizontal="left" indent="3"/>
    </xf>
    <xf numFmtId="6" fontId="91" fillId="0" borderId="0" xfId="36" applyNumberFormat="1" applyFont="1" applyFill="1" applyBorder="1"/>
    <xf numFmtId="9" fontId="95" fillId="34" borderId="0" xfId="51" applyFont="1" applyFill="1" applyBorder="1"/>
    <xf numFmtId="0" fontId="100" fillId="36" borderId="0" xfId="64" applyFont="1" applyFill="1" applyBorder="1"/>
    <xf numFmtId="6" fontId="100" fillId="36" borderId="0" xfId="64" applyNumberFormat="1" applyFont="1" applyFill="1" applyBorder="1"/>
    <xf numFmtId="9" fontId="100" fillId="36" borderId="0" xfId="51" applyFont="1" applyFill="1" applyBorder="1"/>
    <xf numFmtId="0" fontId="100" fillId="37" borderId="0" xfId="64" applyFont="1" applyFill="1" applyBorder="1"/>
    <xf numFmtId="6" fontId="100" fillId="37" borderId="0" xfId="64" applyNumberFormat="1" applyFont="1" applyFill="1" applyBorder="1"/>
    <xf numFmtId="9" fontId="100" fillId="37" borderId="0" xfId="51" applyFont="1" applyFill="1" applyBorder="1"/>
    <xf numFmtId="0" fontId="100" fillId="35" borderId="0" xfId="64" applyFont="1" applyFill="1" applyBorder="1"/>
    <xf numFmtId="6" fontId="100" fillId="35" borderId="0" xfId="64" applyNumberFormat="1" applyFont="1" applyFill="1" applyBorder="1"/>
    <xf numFmtId="9" fontId="100" fillId="35" borderId="0" xfId="51" applyFont="1" applyFill="1" applyBorder="1"/>
    <xf numFmtId="0" fontId="101" fillId="35" borderId="0" xfId="64" applyFont="1" applyFill="1" applyBorder="1"/>
    <xf numFmtId="178" fontId="12" fillId="0" borderId="21" xfId="66" applyNumberFormat="1" applyFont="1" applyFill="1" applyBorder="1"/>
    <xf numFmtId="6" fontId="92" fillId="0" borderId="0" xfId="64" applyNumberFormat="1" applyFont="1" applyBorder="1" applyAlignment="1">
      <alignment horizontal="left" indent="1"/>
    </xf>
    <xf numFmtId="6" fontId="91" fillId="0" borderId="21" xfId="65" applyNumberFormat="1" applyFont="1" applyFill="1" applyBorder="1"/>
    <xf numFmtId="0" fontId="91" fillId="0" borderId="28" xfId="64" applyFont="1" applyBorder="1" applyAlignment="1">
      <alignment horizontal="left"/>
    </xf>
    <xf numFmtId="0" fontId="91" fillId="0" borderId="11" xfId="64" applyFont="1" applyBorder="1"/>
    <xf numFmtId="6" fontId="91" fillId="0" borderId="11" xfId="64" applyNumberFormat="1" applyFont="1" applyBorder="1"/>
    <xf numFmtId="6" fontId="91" fillId="0" borderId="27" xfId="64" applyNumberFormat="1" applyFont="1" applyBorder="1"/>
    <xf numFmtId="9" fontId="96" fillId="30" borderId="0" xfId="64" applyNumberFormat="1" applyFont="1" applyFill="1" applyBorder="1"/>
    <xf numFmtId="6" fontId="92" fillId="0" borderId="0" xfId="65" applyNumberFormat="1" applyFont="1" applyBorder="1"/>
    <xf numFmtId="9" fontId="92" fillId="0" borderId="0" xfId="65" applyNumberFormat="1" applyFont="1" applyBorder="1"/>
    <xf numFmtId="0" fontId="92" fillId="0" borderId="0" xfId="64" applyFont="1" applyBorder="1" applyAlignment="1">
      <alignment horizontal="left" indent="3"/>
    </xf>
    <xf numFmtId="5" fontId="92" fillId="0" borderId="0" xfId="65" applyNumberFormat="1" applyFont="1" applyBorder="1"/>
    <xf numFmtId="6" fontId="92" fillId="0" borderId="0" xfId="67" applyNumberFormat="1" applyFont="1" applyBorder="1"/>
    <xf numFmtId="1" fontId="92" fillId="0" borderId="0" xfId="65" applyNumberFormat="1" applyFont="1" applyBorder="1"/>
    <xf numFmtId="0" fontId="92" fillId="0" borderId="0" xfId="66" quotePrefix="1" applyFont="1" applyFill="1" applyBorder="1"/>
    <xf numFmtId="5" fontId="92" fillId="0" borderId="0" xfId="65" applyNumberFormat="1" applyFont="1" applyFill="1" applyBorder="1"/>
    <xf numFmtId="0" fontId="92" fillId="0" borderId="0" xfId="66" quotePrefix="1" applyFont="1" applyFill="1" applyBorder="1" applyAlignment="1">
      <alignment horizontal="left" indent="1"/>
    </xf>
    <xf numFmtId="0" fontId="91" fillId="0" borderId="20" xfId="66" quotePrefix="1" applyFont="1" applyFill="1" applyBorder="1"/>
    <xf numFmtId="0" fontId="91" fillId="0" borderId="0" xfId="66" applyFont="1" applyFill="1"/>
    <xf numFmtId="0" fontId="92" fillId="0" borderId="0" xfId="66" applyFont="1" applyFill="1"/>
    <xf numFmtId="0" fontId="92" fillId="0" borderId="0" xfId="0" applyFont="1" applyFill="1"/>
    <xf numFmtId="0" fontId="92" fillId="0" borderId="0" xfId="64" applyFont="1" applyFill="1" applyBorder="1" applyAlignment="1">
      <alignment horizontal="left" indent="2"/>
    </xf>
    <xf numFmtId="9" fontId="96" fillId="0" borderId="0" xfId="51" applyFont="1" applyFill="1" applyBorder="1"/>
    <xf numFmtId="0" fontId="93" fillId="0" borderId="0" xfId="64" applyFont="1" applyFill="1" applyBorder="1" applyAlignment="1">
      <alignment horizontal="left" indent="2"/>
    </xf>
    <xf numFmtId="0" fontId="93" fillId="0" borderId="0" xfId="64" applyFont="1" applyFill="1" applyBorder="1"/>
    <xf numFmtId="168" fontId="93" fillId="0" borderId="0" xfId="51" applyNumberFormat="1" applyFont="1" applyFill="1" applyBorder="1"/>
    <xf numFmtId="6" fontId="91" fillId="30" borderId="11" xfId="64" applyNumberFormat="1" applyFont="1" applyFill="1" applyBorder="1"/>
    <xf numFmtId="0" fontId="37" fillId="0" borderId="0" xfId="64" applyFont="1" applyFill="1" applyBorder="1" applyAlignment="1">
      <alignment horizontal="left" indent="1"/>
    </xf>
    <xf numFmtId="0" fontId="38" fillId="34" borderId="0" xfId="64" applyFont="1" applyFill="1" applyBorder="1" applyAlignment="1">
      <alignment horizontal="left" indent="2"/>
    </xf>
    <xf numFmtId="0" fontId="12" fillId="0" borderId="20" xfId="66" applyFont="1" applyFill="1" applyBorder="1" applyAlignment="1">
      <alignment horizontal="left" indent="1"/>
    </xf>
    <xf numFmtId="6" fontId="91" fillId="30" borderId="10" xfId="64" applyNumberFormat="1" applyFont="1" applyFill="1" applyBorder="1"/>
    <xf numFmtId="6" fontId="92" fillId="0" borderId="0" xfId="36" applyNumberFormat="1" applyFont="1" applyFill="1" applyBorder="1"/>
    <xf numFmtId="6" fontId="92" fillId="38" borderId="0" xfId="65" applyNumberFormat="1" applyFont="1" applyFill="1" applyBorder="1"/>
    <xf numFmtId="6" fontId="13" fillId="0" borderId="0" xfId="64" applyNumberFormat="1" applyFont="1" applyFill="1" applyBorder="1"/>
    <xf numFmtId="186" fontId="0" fillId="0" borderId="0" xfId="37" applyNumberFormat="1" applyFont="1"/>
    <xf numFmtId="9" fontId="98" fillId="0" borderId="0" xfId="51" applyNumberFormat="1" applyFont="1" applyFill="1" applyBorder="1" applyAlignment="1">
      <alignment horizontal="center" vertical="center"/>
    </xf>
    <xf numFmtId="0" fontId="0" fillId="0" borderId="0" xfId="0"/>
    <xf numFmtId="168" fontId="100" fillId="35" borderId="0" xfId="51" applyNumberFormat="1" applyFont="1" applyFill="1" applyBorder="1"/>
    <xf numFmtId="168" fontId="100" fillId="36" borderId="0" xfId="51" applyNumberFormat="1" applyFont="1" applyFill="1" applyBorder="1"/>
    <xf numFmtId="168" fontId="100" fillId="37" borderId="0" xfId="51" applyNumberFormat="1" applyFont="1" applyFill="1" applyBorder="1"/>
    <xf numFmtId="9" fontId="92" fillId="0" borderId="0" xfId="64" applyNumberFormat="1" applyFont="1" applyFill="1" applyBorder="1"/>
    <xf numFmtId="178" fontId="92" fillId="0" borderId="0" xfId="64" applyNumberFormat="1" applyFont="1" applyFill="1" applyBorder="1"/>
    <xf numFmtId="203" fontId="0" fillId="0" borderId="0" xfId="0" applyNumberFormat="1"/>
    <xf numFmtId="0" fontId="92" fillId="0" borderId="20" xfId="64" applyFont="1" applyFill="1" applyBorder="1"/>
    <xf numFmtId="6" fontId="92" fillId="0" borderId="10" xfId="64" applyNumberFormat="1" applyFont="1" applyFill="1" applyBorder="1"/>
    <xf numFmtId="178" fontId="92" fillId="0" borderId="10" xfId="64" applyNumberFormat="1" applyFont="1" applyFill="1" applyBorder="1"/>
    <xf numFmtId="178" fontId="92" fillId="0" borderId="21" xfId="64" applyNumberFormat="1" applyFont="1" applyFill="1" applyBorder="1"/>
    <xf numFmtId="0" fontId="99" fillId="0" borderId="0" xfId="64" applyFont="1" applyFill="1" applyBorder="1"/>
    <xf numFmtId="6" fontId="99" fillId="0" borderId="0" xfId="64" applyNumberFormat="1" applyFont="1" applyFill="1" applyBorder="1"/>
    <xf numFmtId="9" fontId="99" fillId="0" borderId="0" xfId="51" applyFont="1" applyFill="1" applyBorder="1"/>
    <xf numFmtId="0" fontId="102" fillId="0" borderId="0" xfId="0" applyFont="1"/>
    <xf numFmtId="168" fontId="99" fillId="0" borderId="0" xfId="51" applyNumberFormat="1" applyFont="1" applyFill="1" applyBorder="1"/>
    <xf numFmtId="0" fontId="30" fillId="0" borderId="10" xfId="0" applyFont="1" applyBorder="1"/>
    <xf numFmtId="8" fontId="30" fillId="0" borderId="10" xfId="0" applyNumberFormat="1" applyFont="1" applyBorder="1"/>
    <xf numFmtId="8" fontId="30" fillId="0" borderId="21" xfId="0" applyNumberFormat="1" applyFont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168" fontId="92" fillId="0" borderId="0" xfId="64" applyNumberFormat="1" applyFont="1" applyFill="1" applyBorder="1"/>
    <xf numFmtId="8" fontId="7" fillId="0" borderId="0" xfId="58" applyNumberFormat="1" applyFont="1" applyFill="1" applyBorder="1">
      <alignment horizontal="left" vertical="center"/>
    </xf>
    <xf numFmtId="43" fontId="92" fillId="0" borderId="0" xfId="64" applyNumberFormat="1" applyFont="1" applyFill="1" applyBorder="1"/>
    <xf numFmtId="0" fontId="0" fillId="0" borderId="0" xfId="0"/>
    <xf numFmtId="1" fontId="13" fillId="0" borderId="0" xfId="66" applyNumberFormat="1" applyFont="1" applyFill="1" applyAlignment="1">
      <alignment horizontal="right"/>
    </xf>
    <xf numFmtId="0" fontId="0" fillId="0" borderId="0" xfId="0"/>
    <xf numFmtId="0" fontId="0" fillId="0" borderId="0" xfId="0"/>
    <xf numFmtId="10" fontId="13" fillId="20" borderId="0" xfId="58" applyNumberFormat="1" applyFont="1" applyFill="1" applyBorder="1" applyAlignment="1">
      <alignment horizontal="right" vertical="center"/>
    </xf>
    <xf numFmtId="178" fontId="13" fillId="0" borderId="0" xfId="36" applyNumberFormat="1" applyFont="1" applyFill="1" applyBorder="1" applyAlignment="1">
      <alignment vertical="center"/>
    </xf>
    <xf numFmtId="178" fontId="0" fillId="0" borderId="0" xfId="36" applyNumberFormat="1" applyFont="1" applyFill="1"/>
    <xf numFmtId="180" fontId="16" fillId="21" borderId="0" xfId="45" applyNumberFormat="1" applyFont="1" applyFill="1" applyBorder="1" applyAlignment="1">
      <alignment horizontal="left" vertical="center" indent="1"/>
    </xf>
    <xf numFmtId="0" fontId="16" fillId="0" borderId="30" xfId="58" applyFont="1" applyFill="1" applyBorder="1">
      <alignment horizontal="left" vertical="center"/>
    </xf>
    <xf numFmtId="178" fontId="16" fillId="0" borderId="30" xfId="58" applyNumberFormat="1" applyFont="1" applyFill="1" applyBorder="1">
      <alignment horizontal="left" vertical="center"/>
    </xf>
    <xf numFmtId="178" fontId="16" fillId="0" borderId="0" xfId="36" applyNumberFormat="1" applyFont="1" applyFill="1" applyBorder="1" applyAlignment="1">
      <alignment horizontal="left" vertical="center"/>
    </xf>
    <xf numFmtId="178" fontId="16" fillId="0" borderId="30" xfId="36" applyNumberFormat="1" applyFont="1" applyFill="1" applyBorder="1" applyAlignment="1">
      <alignment horizontal="left" vertical="center"/>
    </xf>
    <xf numFmtId="9" fontId="16" fillId="0" borderId="0" xfId="36" applyNumberFormat="1" applyFont="1" applyFill="1" applyBorder="1" applyAlignment="1">
      <alignment horizontal="center" vertical="center"/>
    </xf>
    <xf numFmtId="168" fontId="16" fillId="0" borderId="0" xfId="51" applyNumberFormat="1" applyFont="1" applyFill="1" applyBorder="1" applyAlignment="1">
      <alignment horizontal="left" vertical="center"/>
    </xf>
    <xf numFmtId="9" fontId="16" fillId="0" borderId="0" xfId="58" applyNumberFormat="1" applyFont="1" applyFill="1" applyBorder="1">
      <alignment horizontal="left" vertical="center"/>
    </xf>
    <xf numFmtId="178" fontId="2" fillId="0" borderId="0" xfId="36" applyNumberFormat="1" applyFont="1"/>
    <xf numFmtId="1" fontId="13" fillId="0" borderId="0" xfId="66" applyNumberFormat="1" applyFont="1" applyFill="1"/>
    <xf numFmtId="1" fontId="13" fillId="20" borderId="0" xfId="66" applyNumberFormat="1" applyFont="1" applyFill="1"/>
    <xf numFmtId="0" fontId="0" fillId="0" borderId="0" xfId="0"/>
    <xf numFmtId="9" fontId="35" fillId="21" borderId="0" xfId="51" applyNumberFormat="1" applyFont="1" applyFill="1"/>
    <xf numFmtId="171" fontId="9" fillId="15" borderId="0" xfId="58" applyNumberFormat="1" applyFont="1" applyFill="1" applyBorder="1">
      <alignment horizontal="left" vertical="center"/>
    </xf>
    <xf numFmtId="171" fontId="3" fillId="20" borderId="0" xfId="2" applyNumberFormat="1" applyFont="1" applyFill="1"/>
    <xf numFmtId="171" fontId="3" fillId="0" borderId="0" xfId="2" applyNumberFormat="1" applyFont="1" applyFill="1"/>
    <xf numFmtId="1" fontId="3" fillId="0" borderId="0" xfId="2" applyNumberFormat="1" applyFont="1" applyFill="1"/>
    <xf numFmtId="171" fontId="9" fillId="15" borderId="0" xfId="37" applyNumberFormat="1" applyFont="1" applyFill="1" applyBorder="1" applyAlignment="1">
      <alignment horizontal="right" vertical="center"/>
    </xf>
    <xf numFmtId="171" fontId="9" fillId="15" borderId="0" xfId="58" applyNumberFormat="1" applyFont="1" applyFill="1" applyBorder="1" applyAlignment="1">
      <alignment horizontal="right" vertical="center"/>
    </xf>
    <xf numFmtId="171" fontId="9" fillId="0" borderId="0" xfId="37" applyNumberFormat="1" applyFont="1" applyFill="1" applyBorder="1" applyAlignment="1">
      <alignment horizontal="right" vertical="center"/>
    </xf>
    <xf numFmtId="171" fontId="88" fillId="0" borderId="0" xfId="37" applyNumberFormat="1" applyFont="1" applyFill="1" applyBorder="1" applyAlignment="1">
      <alignment horizontal="right" vertical="center"/>
    </xf>
    <xf numFmtId="171" fontId="9" fillId="0" borderId="0" xfId="58" applyNumberFormat="1" applyFont="1" applyFill="1" applyBorder="1">
      <alignment horizontal="left" vertical="center"/>
    </xf>
    <xf numFmtId="9" fontId="16" fillId="0" borderId="37" xfId="51" applyFont="1" applyFill="1" applyBorder="1"/>
    <xf numFmtId="0" fontId="12" fillId="0" borderId="2" xfId="52" applyFont="1" applyFill="1" applyBorder="1" applyAlignment="1">
      <alignment horizontal="centerContinuous" vertical="center"/>
    </xf>
    <xf numFmtId="0" fontId="0" fillId="0" borderId="0" xfId="0"/>
    <xf numFmtId="170" fontId="0" fillId="0" borderId="0" xfId="36" applyNumberFormat="1" applyFont="1"/>
    <xf numFmtId="43" fontId="92" fillId="0" borderId="0" xfId="36" applyFont="1" applyFill="1" applyBorder="1"/>
    <xf numFmtId="0" fontId="0" fillId="0" borderId="0" xfId="0"/>
    <xf numFmtId="0" fontId="0" fillId="0" borderId="0" xfId="0"/>
    <xf numFmtId="178" fontId="16" fillId="0" borderId="0" xfId="36" applyNumberFormat="1" applyFont="1" applyFill="1" applyBorder="1" applyAlignment="1">
      <alignment horizontal="center" vertical="center"/>
    </xf>
    <xf numFmtId="9" fontId="16" fillId="0" borderId="0" xfId="36" applyNumberFormat="1" applyFont="1" applyFill="1" applyBorder="1" applyAlignment="1">
      <alignment horizontal="right" vertical="center"/>
    </xf>
    <xf numFmtId="9" fontId="13" fillId="0" borderId="0" xfId="36" applyNumberFormat="1" applyFont="1" applyFill="1" applyBorder="1" applyAlignment="1">
      <alignment horizontal="left" vertical="center"/>
    </xf>
    <xf numFmtId="43" fontId="13" fillId="0" borderId="30" xfId="36" applyNumberFormat="1" applyFont="1" applyFill="1" applyBorder="1" applyAlignment="1">
      <alignment horizontal="left" vertical="center"/>
    </xf>
    <xf numFmtId="9" fontId="35" fillId="0" borderId="0" xfId="51" applyNumberFormat="1" applyFont="1" applyFill="1"/>
    <xf numFmtId="0" fontId="0" fillId="0" borderId="0" xfId="0"/>
    <xf numFmtId="0" fontId="0" fillId="0" borderId="0" xfId="0"/>
    <xf numFmtId="1" fontId="13" fillId="30" borderId="0" xfId="2" applyNumberFormat="1" applyFont="1" applyFill="1"/>
    <xf numFmtId="8" fontId="0" fillId="0" borderId="0" xfId="0" applyNumberFormat="1"/>
    <xf numFmtId="6" fontId="0" fillId="0" borderId="0" xfId="0" applyNumberFormat="1"/>
    <xf numFmtId="168" fontId="12" fillId="0" borderId="11" xfId="51" applyNumberFormat="1" applyFont="1" applyFill="1" applyBorder="1"/>
    <xf numFmtId="168" fontId="12" fillId="0" borderId="27" xfId="51" applyNumberFormat="1" applyFont="1" applyFill="1" applyBorder="1"/>
    <xf numFmtId="0" fontId="0" fillId="0" borderId="0" xfId="0"/>
    <xf numFmtId="0" fontId="0" fillId="0" borderId="0" xfId="0"/>
    <xf numFmtId="6" fontId="96" fillId="0" borderId="0" xfId="65" applyNumberFormat="1" applyFont="1" applyFill="1" applyBorder="1"/>
    <xf numFmtId="6" fontId="13" fillId="0" borderId="0" xfId="36" applyNumberFormat="1" applyFont="1" applyFill="1" applyBorder="1"/>
    <xf numFmtId="6" fontId="12" fillId="0" borderId="10" xfId="65" applyNumberFormat="1" applyFont="1" applyFill="1" applyBorder="1"/>
    <xf numFmtId="8" fontId="13" fillId="21" borderId="0" xfId="45" applyNumberFormat="1" applyFont="1" applyFill="1" applyBorder="1" applyAlignment="1">
      <alignment horizontal="left" vertical="center" indent="1"/>
    </xf>
    <xf numFmtId="8" fontId="13" fillId="0" borderId="0" xfId="58" applyNumberFormat="1" applyFont="1" applyFill="1" applyBorder="1">
      <alignment horizontal="left" vertical="center"/>
    </xf>
    <xf numFmtId="8" fontId="13" fillId="0" borderId="0" xfId="2" applyNumberFormat="1" applyFont="1" applyAlignment="1">
      <alignment horizontal="right"/>
    </xf>
    <xf numFmtId="8" fontId="13" fillId="0" borderId="0" xfId="58" applyNumberFormat="1" applyFont="1" applyFill="1" applyBorder="1" applyAlignment="1">
      <alignment horizontal="right" vertical="center"/>
    </xf>
    <xf numFmtId="8" fontId="13" fillId="0" borderId="30" xfId="58" applyNumberFormat="1" applyFont="1" applyFill="1" applyBorder="1">
      <alignment horizontal="left" vertical="center"/>
    </xf>
    <xf numFmtId="8" fontId="2" fillId="0" borderId="0" xfId="0" applyNumberFormat="1" applyFont="1"/>
    <xf numFmtId="8" fontId="13" fillId="0" borderId="0" xfId="36" applyNumberFormat="1" applyFont="1" applyFill="1" applyBorder="1" applyAlignment="1">
      <alignment horizontal="left" vertical="center"/>
    </xf>
    <xf numFmtId="8" fontId="13" fillId="0" borderId="30" xfId="36" applyNumberFormat="1" applyFont="1" applyFill="1" applyBorder="1" applyAlignment="1">
      <alignment horizontal="left" vertical="center"/>
    </xf>
    <xf numFmtId="8" fontId="13" fillId="0" borderId="0" xfId="36" applyNumberFormat="1" applyFont="1" applyFill="1" applyBorder="1" applyAlignment="1">
      <alignment horizontal="center" vertical="center"/>
    </xf>
    <xf numFmtId="188" fontId="13" fillId="0" borderId="0" xfId="36" applyNumberFormat="1" applyFont="1" applyFill="1" applyBorder="1" applyAlignment="1">
      <alignment horizontal="center" vertical="center"/>
    </xf>
    <xf numFmtId="188" fontId="13" fillId="0" borderId="30" xfId="36" applyNumberFormat="1" applyFont="1" applyFill="1" applyBorder="1" applyAlignment="1">
      <alignment horizontal="left" vertical="center"/>
    </xf>
    <xf numFmtId="188" fontId="13" fillId="0" borderId="0" xfId="58" applyNumberFormat="1" applyFont="1" applyFill="1" applyBorder="1">
      <alignment horizontal="left" vertical="center"/>
    </xf>
    <xf numFmtId="188" fontId="13" fillId="0" borderId="30" xfId="58" applyNumberFormat="1" applyFont="1" applyFill="1" applyBorder="1">
      <alignment horizontal="left" vertical="center"/>
    </xf>
    <xf numFmtId="188" fontId="13" fillId="0" borderId="0" xfId="36" applyNumberFormat="1" applyFont="1" applyFill="1" applyBorder="1" applyAlignment="1">
      <alignment horizontal="left" vertical="center"/>
    </xf>
    <xf numFmtId="203" fontId="7" fillId="0" borderId="0" xfId="58" applyNumberFormat="1" applyFont="1" applyFill="1" applyBorder="1">
      <alignment horizontal="left" vertical="center"/>
    </xf>
    <xf numFmtId="9" fontId="8" fillId="0" borderId="0" xfId="51" applyFont="1" applyFill="1" applyBorder="1" applyAlignment="1">
      <alignment horizontal="left" vertical="center"/>
    </xf>
    <xf numFmtId="7" fontId="38" fillId="0" borderId="0" xfId="37" applyFont="1" applyFill="1"/>
    <xf numFmtId="0" fontId="3" fillId="0" borderId="0" xfId="59" applyFont="1" applyFill="1">
      <alignment horizontal="left" vertical="center"/>
    </xf>
    <xf numFmtId="164" fontId="3" fillId="0" borderId="4" xfId="58" applyNumberFormat="1" applyFont="1" applyFill="1" applyBorder="1">
      <alignment horizontal="left" vertical="center"/>
    </xf>
    <xf numFmtId="164" fontId="3" fillId="0" borderId="0" xfId="59" applyNumberFormat="1" applyFont="1" applyFill="1">
      <alignment horizontal="left" vertical="center"/>
    </xf>
    <xf numFmtId="164" fontId="3" fillId="20" borderId="0" xfId="59" applyNumberFormat="1" applyFont="1" applyFill="1">
      <alignment horizontal="left" vertical="center"/>
    </xf>
    <xf numFmtId="1" fontId="2" fillId="0" borderId="0" xfId="2" applyNumberFormat="1" applyFont="1" applyFill="1" applyAlignment="1">
      <alignment horizontal="right"/>
    </xf>
    <xf numFmtId="186" fontId="2" fillId="0" borderId="0" xfId="37" applyNumberFormat="1" applyFont="1"/>
    <xf numFmtId="172" fontId="13" fillId="0" borderId="30" xfId="58" applyNumberFormat="1" applyFont="1" applyFill="1" applyBorder="1">
      <alignment horizontal="left" vertical="center"/>
    </xf>
    <xf numFmtId="1" fontId="13" fillId="0" borderId="0" xfId="37" applyNumberFormat="1" applyFont="1" applyFill="1" applyBorder="1" applyAlignment="1">
      <alignment horizontal="right" vertical="center"/>
    </xf>
    <xf numFmtId="6" fontId="13" fillId="0" borderId="30" xfId="58" applyNumberFormat="1" applyFont="1" applyFill="1" applyBorder="1" applyAlignment="1">
      <alignment horizontal="right" vertical="center"/>
    </xf>
    <xf numFmtId="0" fontId="16" fillId="0" borderId="30" xfId="58" applyFont="1" applyFill="1" applyBorder="1" applyAlignment="1">
      <alignment horizontal="right" vertical="center"/>
    </xf>
    <xf numFmtId="178" fontId="96" fillId="0" borderId="0" xfId="36" applyNumberFormat="1" applyFont="1" applyFill="1" applyBorder="1" applyAlignment="1">
      <alignment horizontal="left" vertical="center"/>
    </xf>
    <xf numFmtId="178" fontId="12" fillId="0" borderId="0" xfId="36" applyNumberFormat="1" applyFont="1" applyFill="1" applyBorder="1" applyAlignment="1">
      <alignment vertical="center"/>
    </xf>
    <xf numFmtId="0" fontId="0" fillId="0" borderId="0" xfId="0"/>
    <xf numFmtId="0" fontId="103" fillId="0" borderId="30" xfId="58" applyFont="1" applyFill="1" applyBorder="1">
      <alignment horizontal="left" vertical="center"/>
    </xf>
    <xf numFmtId="0" fontId="103" fillId="0" borderId="0" xfId="58" applyFont="1" applyFill="1" applyBorder="1">
      <alignment horizontal="left" vertical="center"/>
    </xf>
    <xf numFmtId="0" fontId="0" fillId="0" borderId="0" xfId="0"/>
    <xf numFmtId="9" fontId="100" fillId="0" borderId="0" xfId="51" applyFont="1" applyFill="1" applyBorder="1" applyAlignment="1">
      <alignment horizontal="right" vertical="center"/>
    </xf>
    <xf numFmtId="164" fontId="100" fillId="0" borderId="0" xfId="2" applyNumberFormat="1" applyFont="1" applyAlignment="1">
      <alignment horizontal="right"/>
    </xf>
    <xf numFmtId="1" fontId="87" fillId="0" borderId="0" xfId="2" applyNumberFormat="1" applyFont="1" applyFill="1" applyAlignment="1">
      <alignment horizontal="right"/>
    </xf>
    <xf numFmtId="176" fontId="13" fillId="0" borderId="0" xfId="58" applyNumberFormat="1" applyFont="1" applyFill="1" applyBorder="1" applyAlignment="1">
      <alignment vertical="center"/>
    </xf>
    <xf numFmtId="9" fontId="16" fillId="0" borderId="0" xfId="58" applyNumberFormat="1" applyFont="1" applyFill="1" applyBorder="1" applyAlignment="1">
      <alignment horizontal="right" vertical="center"/>
    </xf>
    <xf numFmtId="1" fontId="12" fillId="0" borderId="4" xfId="58" applyNumberFormat="1" applyFont="1" applyFill="1" applyBorder="1" applyAlignment="1">
      <alignment horizontal="right" vertical="center"/>
    </xf>
    <xf numFmtId="9" fontId="0" fillId="0" borderId="0" xfId="0" applyNumberFormat="1" applyFill="1"/>
    <xf numFmtId="43" fontId="13" fillId="0" borderId="0" xfId="36" applyNumberFormat="1" applyFont="1" applyFill="1" applyBorder="1" applyAlignment="1">
      <alignment horizontal="left" vertical="center"/>
    </xf>
    <xf numFmtId="9" fontId="16" fillId="21" borderId="30" xfId="51" applyNumberFormat="1" applyFont="1" applyFill="1" applyBorder="1"/>
    <xf numFmtId="0" fontId="15" fillId="0" borderId="3" xfId="58" applyFont="1" applyFill="1" applyBorder="1">
      <alignment horizontal="left" vertical="center"/>
    </xf>
    <xf numFmtId="0" fontId="0" fillId="0" borderId="0" xfId="0"/>
    <xf numFmtId="0" fontId="0" fillId="0" borderId="0" xfId="0"/>
    <xf numFmtId="168" fontId="35" fillId="0" borderId="0" xfId="51" applyNumberFormat="1" applyFont="1" applyFill="1" applyBorder="1" applyAlignment="1">
      <alignment vertical="center"/>
    </xf>
    <xf numFmtId="203" fontId="92" fillId="0" borderId="0" xfId="65" applyNumberFormat="1" applyFont="1" applyFill="1" applyBorder="1"/>
    <xf numFmtId="0" fontId="92" fillId="0" borderId="0" xfId="64" applyFont="1" applyFill="1" applyBorder="1" applyAlignment="1">
      <alignment horizontal="left" indent="1"/>
    </xf>
    <xf numFmtId="9" fontId="100" fillId="35" borderId="0" xfId="51" applyNumberFormat="1" applyFont="1" applyFill="1" applyBorder="1"/>
    <xf numFmtId="0" fontId="92" fillId="0" borderId="0" xfId="64" applyFont="1" applyBorder="1" applyAlignment="1">
      <alignment horizontal="left"/>
    </xf>
    <xf numFmtId="170" fontId="92" fillId="0" borderId="0" xfId="36" applyNumberFormat="1" applyFont="1" applyFill="1" applyBorder="1"/>
    <xf numFmtId="170" fontId="92" fillId="0" borderId="0" xfId="64" applyNumberFormat="1" applyFont="1" applyFill="1" applyBorder="1"/>
    <xf numFmtId="6" fontId="92" fillId="0" borderId="0" xfId="51" applyNumberFormat="1" applyFont="1" applyFill="1" applyBorder="1"/>
    <xf numFmtId="0" fontId="0" fillId="0" borderId="0" xfId="0"/>
    <xf numFmtId="0" fontId="0" fillId="0" borderId="0" xfId="0"/>
    <xf numFmtId="0" fontId="37" fillId="0" borderId="0" xfId="64" applyFont="1" applyFill="1" applyBorder="1" applyAlignment="1">
      <alignment horizontal="left"/>
    </xf>
    <xf numFmtId="43" fontId="93" fillId="0" borderId="0" xfId="36" applyFont="1" applyFill="1" applyBorder="1"/>
    <xf numFmtId="9" fontId="94" fillId="0" borderId="0" xfId="65" applyNumberFormat="1" applyFont="1" applyFill="1" applyBorder="1"/>
    <xf numFmtId="178" fontId="0" fillId="0" borderId="0" xfId="0" applyNumberFormat="1"/>
    <xf numFmtId="9" fontId="100" fillId="37" borderId="0" xfId="51" applyNumberFormat="1" applyFont="1" applyFill="1" applyBorder="1"/>
    <xf numFmtId="43" fontId="92" fillId="0" borderId="0" xfId="36" applyFont="1" applyBorder="1"/>
    <xf numFmtId="43" fontId="91" fillId="0" borderId="0" xfId="36" applyFont="1" applyBorder="1"/>
    <xf numFmtId="0" fontId="0" fillId="0" borderId="0" xfId="0"/>
    <xf numFmtId="0" fontId="12" fillId="0" borderId="0" xfId="66" applyFont="1" applyFill="1" applyAlignment="1">
      <alignment horizontal="left" indent="2"/>
    </xf>
    <xf numFmtId="0" fontId="12" fillId="0" borderId="0" xfId="66" applyFont="1" applyFill="1" applyAlignment="1">
      <alignment horizontal="left" indent="3"/>
    </xf>
    <xf numFmtId="0" fontId="36" fillId="34" borderId="0" xfId="64" applyFont="1" applyFill="1" applyBorder="1" applyAlignment="1">
      <alignment horizontal="left" indent="2"/>
    </xf>
    <xf numFmtId="0" fontId="0" fillId="0" borderId="0" xfId="0"/>
    <xf numFmtId="0" fontId="0" fillId="0" borderId="0" xfId="0"/>
    <xf numFmtId="0" fontId="36" fillId="30" borderId="0" xfId="64" applyFont="1" applyFill="1" applyBorder="1" applyAlignment="1">
      <alignment horizontal="left" indent="2"/>
    </xf>
    <xf numFmtId="0" fontId="92" fillId="30" borderId="0" xfId="64" applyFont="1" applyFill="1" applyBorder="1"/>
    <xf numFmtId="6" fontId="92" fillId="30" borderId="0" xfId="64" applyNumberFormat="1" applyFont="1" applyFill="1" applyBorder="1"/>
    <xf numFmtId="0" fontId="0" fillId="0" borderId="0" xfId="0"/>
    <xf numFmtId="0" fontId="0" fillId="0" borderId="0" xfId="0"/>
    <xf numFmtId="178" fontId="12" fillId="0" borderId="0" xfId="67" applyNumberFormat="1" applyFont="1" applyFill="1" applyBorder="1"/>
    <xf numFmtId="0" fontId="0" fillId="0" borderId="0" xfId="0"/>
    <xf numFmtId="173" fontId="106" fillId="15" borderId="0" xfId="58" applyNumberFormat="1" applyFont="1" applyFill="1" applyBorder="1" applyAlignment="1">
      <alignment horizontal="right" vertical="center"/>
    </xf>
    <xf numFmtId="0" fontId="8" fillId="0" borderId="30" xfId="59" applyFont="1" applyFill="1" applyBorder="1">
      <alignment horizontal="left" vertical="center"/>
    </xf>
    <xf numFmtId="164" fontId="12" fillId="0" borderId="37" xfId="52" applyNumberFormat="1" applyFont="1" applyFill="1" applyBorder="1" applyAlignment="1">
      <alignment horizontal="centerContinuous" vertical="center"/>
    </xf>
    <xf numFmtId="164" fontId="12" fillId="0" borderId="43" xfId="52" applyNumberFormat="1" applyFont="1" applyFill="1" applyBorder="1" applyAlignment="1">
      <alignment horizontal="centerContinuous" vertical="center"/>
    </xf>
    <xf numFmtId="164" fontId="12" fillId="0" borderId="3" xfId="52" quotePrefix="1" applyNumberFormat="1" applyFont="1" applyFill="1" applyBorder="1" applyAlignment="1">
      <alignment horizontal="right" vertical="center"/>
    </xf>
    <xf numFmtId="178" fontId="13" fillId="0" borderId="30" xfId="58" applyNumberFormat="1" applyFont="1" applyFill="1" applyBorder="1" applyAlignment="1">
      <alignment horizontal="right" vertical="center"/>
    </xf>
    <xf numFmtId="1" fontId="12" fillId="0" borderId="28" xfId="52" applyNumberFormat="1" applyFont="1" applyFill="1" applyBorder="1">
      <alignment horizontal="right" vertical="center"/>
    </xf>
    <xf numFmtId="1" fontId="12" fillId="0" borderId="20" xfId="52" applyNumberFormat="1" applyFont="1" applyFill="1" applyBorder="1">
      <alignment horizontal="right" vertical="center"/>
    </xf>
    <xf numFmtId="0" fontId="8" fillId="0" borderId="4" xfId="59" applyFont="1" applyFill="1" applyBorder="1">
      <alignment horizontal="left" vertical="center"/>
    </xf>
    <xf numFmtId="1" fontId="17" fillId="0" borderId="0" xfId="2" applyNumberFormat="1" applyFont="1" applyBorder="1"/>
    <xf numFmtId="0" fontId="0" fillId="0" borderId="30" xfId="0" applyBorder="1"/>
    <xf numFmtId="0" fontId="43" fillId="0" borderId="8" xfId="66" applyFont="1" applyFill="1" applyBorder="1" applyAlignment="1">
      <alignment horizontal="left" indent="1"/>
    </xf>
    <xf numFmtId="0" fontId="16" fillId="0" borderId="4" xfId="66" applyFont="1" applyFill="1" applyBorder="1" applyAlignment="1">
      <alignment horizontal="left" indent="2"/>
    </xf>
    <xf numFmtId="9" fontId="16" fillId="0" borderId="4" xfId="64" applyNumberFormat="1" applyFont="1" applyFill="1" applyBorder="1"/>
    <xf numFmtId="9" fontId="99" fillId="0" borderId="4" xfId="64" applyNumberFormat="1" applyFont="1" applyFill="1" applyBorder="1"/>
    <xf numFmtId="9" fontId="99" fillId="0" borderId="45" xfId="64" applyNumberFormat="1" applyFont="1" applyFill="1" applyBorder="1"/>
    <xf numFmtId="0" fontId="13" fillId="0" borderId="1" xfId="66" applyFont="1" applyFill="1" applyBorder="1" applyAlignment="1">
      <alignment horizontal="left" indent="2"/>
    </xf>
    <xf numFmtId="0" fontId="16" fillId="0" borderId="0" xfId="66" applyFont="1" applyFill="1" applyBorder="1" applyAlignment="1">
      <alignment horizontal="left" indent="2"/>
    </xf>
    <xf numFmtId="9" fontId="99" fillId="0" borderId="3" xfId="64" applyNumberFormat="1" applyFont="1" applyFill="1" applyBorder="1"/>
    <xf numFmtId="0" fontId="16" fillId="0" borderId="1" xfId="66" applyFont="1" applyFill="1" applyBorder="1" applyAlignment="1">
      <alignment horizontal="left" indent="3"/>
    </xf>
    <xf numFmtId="0" fontId="16" fillId="0" borderId="29" xfId="66" applyFont="1" applyFill="1" applyBorder="1" applyAlignment="1">
      <alignment horizontal="left" indent="3"/>
    </xf>
    <xf numFmtId="0" fontId="16" fillId="0" borderId="2" xfId="66" applyFont="1" applyFill="1" applyBorder="1" applyAlignment="1">
      <alignment horizontal="left" indent="2"/>
    </xf>
    <xf numFmtId="9" fontId="16" fillId="0" borderId="2" xfId="64" applyNumberFormat="1" applyFont="1" applyFill="1" applyBorder="1"/>
    <xf numFmtId="9" fontId="99" fillId="0" borderId="2" xfId="64" applyNumberFormat="1" applyFont="1" applyFill="1" applyBorder="1"/>
    <xf numFmtId="9" fontId="99" fillId="0" borderId="43" xfId="64" applyNumberFormat="1" applyFont="1" applyFill="1" applyBorder="1"/>
    <xf numFmtId="6" fontId="13" fillId="0" borderId="0" xfId="0" applyNumberFormat="1" applyFont="1" applyBorder="1"/>
    <xf numFmtId="9" fontId="96" fillId="0" borderId="0" xfId="51" applyNumberFormat="1" applyFont="1" applyFill="1" applyBorder="1"/>
    <xf numFmtId="0" fontId="38" fillId="31" borderId="0" xfId="64" applyFont="1" applyFill="1" applyBorder="1"/>
    <xf numFmtId="43" fontId="0" fillId="0" borderId="0" xfId="36" applyFont="1"/>
    <xf numFmtId="10" fontId="0" fillId="0" borderId="0" xfId="51" applyNumberFormat="1" applyFont="1"/>
    <xf numFmtId="9" fontId="92" fillId="0" borderId="0" xfId="51" applyNumberFormat="1" applyFont="1" applyFill="1" applyBorder="1"/>
    <xf numFmtId="0" fontId="37" fillId="0" borderId="0" xfId="64" applyFont="1" applyFill="1" applyBorder="1" applyAlignment="1">
      <alignment horizontal="left" indent="4"/>
    </xf>
    <xf numFmtId="6" fontId="13" fillId="0" borderId="3" xfId="0" applyNumberFormat="1" applyFont="1" applyBorder="1"/>
    <xf numFmtId="0" fontId="91" fillId="0" borderId="28" xfId="64" applyFont="1" applyFill="1" applyBorder="1" applyAlignment="1">
      <alignment horizontal="left"/>
    </xf>
    <xf numFmtId="8" fontId="91" fillId="0" borderId="11" xfId="65" applyNumberFormat="1" applyFont="1" applyFill="1" applyBorder="1"/>
    <xf numFmtId="8" fontId="91" fillId="0" borderId="27" xfId="65" applyNumberFormat="1" applyFont="1" applyFill="1" applyBorder="1"/>
    <xf numFmtId="9" fontId="12" fillId="0" borderId="0" xfId="2" applyNumberFormat="1" applyFont="1" applyFill="1"/>
    <xf numFmtId="0" fontId="13" fillId="0" borderId="0" xfId="64" applyFont="1" applyFill="1" applyBorder="1" applyAlignment="1">
      <alignment horizontal="right"/>
    </xf>
    <xf numFmtId="172" fontId="13" fillId="0" borderId="0" xfId="51" applyNumberFormat="1" applyFont="1" applyFill="1" applyBorder="1" applyAlignment="1"/>
    <xf numFmtId="0" fontId="93" fillId="0" borderId="0" xfId="64" applyFont="1" applyFill="1" applyBorder="1" applyAlignment="1">
      <alignment horizontal="right"/>
    </xf>
    <xf numFmtId="9" fontId="96" fillId="0" borderId="0" xfId="64" applyNumberFormat="1" applyFont="1" applyFill="1" applyBorder="1"/>
    <xf numFmtId="0" fontId="92" fillId="0" borderId="0" xfId="64" applyFont="1" applyFill="1" applyBorder="1" applyAlignment="1">
      <alignment horizontal="right"/>
    </xf>
    <xf numFmtId="203" fontId="92" fillId="0" borderId="0" xfId="64" applyNumberFormat="1" applyFont="1" applyFill="1" applyBorder="1"/>
    <xf numFmtId="7" fontId="13" fillId="0" borderId="0" xfId="37" applyFont="1" applyFill="1" applyBorder="1" applyAlignment="1">
      <alignment horizontal="right" vertical="center"/>
    </xf>
    <xf numFmtId="0" fontId="0" fillId="0" borderId="0" xfId="0"/>
    <xf numFmtId="0" fontId="37" fillId="0" borderId="8" xfId="64" applyFont="1" applyFill="1" applyBorder="1"/>
    <xf numFmtId="0" fontId="92" fillId="0" borderId="4" xfId="64" applyFont="1" applyFill="1" applyBorder="1"/>
    <xf numFmtId="178" fontId="12" fillId="0" borderId="4" xfId="66" applyNumberFormat="1" applyFont="1" applyFill="1" applyBorder="1"/>
    <xf numFmtId="178" fontId="12" fillId="0" borderId="45" xfId="66" applyNumberFormat="1" applyFont="1" applyFill="1" applyBorder="1"/>
    <xf numFmtId="0" fontId="37" fillId="0" borderId="1" xfId="64" applyFont="1" applyFill="1" applyBorder="1"/>
    <xf numFmtId="178" fontId="12" fillId="0" borderId="3" xfId="66" applyNumberFormat="1" applyFont="1" applyFill="1" applyBorder="1"/>
    <xf numFmtId="0" fontId="37" fillId="0" borderId="29" xfId="64" applyFont="1" applyFill="1" applyBorder="1"/>
    <xf numFmtId="0" fontId="92" fillId="0" borderId="2" xfId="64" applyFont="1" applyFill="1" applyBorder="1"/>
    <xf numFmtId="178" fontId="12" fillId="0" borderId="2" xfId="66" applyNumberFormat="1" applyFont="1" applyFill="1" applyBorder="1"/>
    <xf numFmtId="9" fontId="12" fillId="0" borderId="2" xfId="51" applyFont="1" applyFill="1" applyBorder="1"/>
    <xf numFmtId="9" fontId="12" fillId="0" borderId="43" xfId="51" applyFont="1" applyFill="1" applyBorder="1"/>
    <xf numFmtId="0" fontId="12" fillId="33" borderId="22" xfId="64" applyFont="1" applyFill="1" applyBorder="1"/>
    <xf numFmtId="0" fontId="13" fillId="33" borderId="16" xfId="64" applyFont="1" applyFill="1" applyBorder="1"/>
    <xf numFmtId="178" fontId="12" fillId="33" borderId="16" xfId="66" applyNumberFormat="1" applyFont="1" applyFill="1" applyBorder="1"/>
    <xf numFmtId="178" fontId="12" fillId="33" borderId="31" xfId="66" applyNumberFormat="1" applyFont="1" applyFill="1" applyBorder="1"/>
    <xf numFmtId="0" fontId="17" fillId="33" borderId="25" xfId="64" applyFont="1" applyFill="1" applyBorder="1" applyAlignment="1">
      <alignment horizontal="left" indent="2"/>
    </xf>
    <xf numFmtId="0" fontId="13" fillId="33" borderId="7" xfId="64" applyFont="1" applyFill="1" applyBorder="1"/>
    <xf numFmtId="178" fontId="12" fillId="33" borderId="7" xfId="66" applyNumberFormat="1" applyFont="1" applyFill="1" applyBorder="1"/>
    <xf numFmtId="9" fontId="98" fillId="33" borderId="7" xfId="51" applyFont="1" applyFill="1" applyBorder="1"/>
    <xf numFmtId="9" fontId="98" fillId="33" borderId="26" xfId="51" applyFont="1" applyFill="1" applyBorder="1"/>
    <xf numFmtId="178" fontId="16" fillId="33" borderId="0" xfId="51" applyNumberFormat="1" applyFont="1" applyFill="1" applyBorder="1"/>
    <xf numFmtId="0" fontId="0" fillId="0" borderId="0" xfId="0"/>
    <xf numFmtId="9" fontId="91" fillId="0" borderId="0" xfId="51" applyFont="1" applyFill="1" applyBorder="1"/>
    <xf numFmtId="173" fontId="92" fillId="0" borderId="0" xfId="36" applyNumberFormat="1" applyFont="1" applyBorder="1"/>
    <xf numFmtId="205" fontId="7" fillId="0" borderId="0" xfId="37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/>
    <xf numFmtId="9" fontId="0" fillId="0" borderId="0" xfId="51" applyFont="1" applyFill="1"/>
    <xf numFmtId="0" fontId="2" fillId="0" borderId="0" xfId="0" applyFont="1" applyFill="1"/>
    <xf numFmtId="9" fontId="2" fillId="0" borderId="0" xfId="51" applyFont="1" applyFill="1"/>
    <xf numFmtId="203" fontId="0" fillId="0" borderId="0" xfId="0" applyNumberFormat="1" applyFill="1"/>
    <xf numFmtId="6" fontId="0" fillId="0" borderId="0" xfId="0" applyNumberFormat="1" applyFill="1"/>
    <xf numFmtId="6" fontId="0" fillId="0" borderId="0" xfId="51" applyNumberFormat="1" applyFont="1" applyFill="1"/>
    <xf numFmtId="8" fontId="0" fillId="0" borderId="0" xfId="0" applyNumberFormat="1" applyFill="1"/>
    <xf numFmtId="0" fontId="92" fillId="0" borderId="0" xfId="64" applyFont="1" applyFill="1" applyBorder="1" applyAlignment="1">
      <alignment horizontal="left"/>
    </xf>
    <xf numFmtId="172" fontId="92" fillId="0" borderId="0" xfId="36" applyNumberFormat="1" applyFont="1" applyFill="1" applyBorder="1"/>
    <xf numFmtId="9" fontId="12" fillId="0" borderId="0" xfId="65" applyNumberFormat="1" applyFont="1" applyFill="1" applyBorder="1"/>
    <xf numFmtId="0" fontId="0" fillId="0" borderId="0" xfId="0"/>
    <xf numFmtId="0" fontId="105" fillId="0" borderId="0" xfId="64" applyFont="1" applyFill="1" applyBorder="1"/>
    <xf numFmtId="9" fontId="16" fillId="31" borderId="0" xfId="65" applyNumberFormat="1" applyFont="1" applyFill="1" applyBorder="1"/>
    <xf numFmtId="0" fontId="0" fillId="0" borderId="0" xfId="0"/>
    <xf numFmtId="170" fontId="93" fillId="0" borderId="0" xfId="36" applyNumberFormat="1" applyFont="1" applyFill="1" applyBorder="1"/>
    <xf numFmtId="168" fontId="92" fillId="0" borderId="0" xfId="51" applyNumberFormat="1" applyFont="1" applyBorder="1"/>
    <xf numFmtId="9" fontId="94" fillId="0" borderId="0" xfId="51" applyNumberFormat="1" applyFont="1" applyFill="1" applyBorder="1"/>
    <xf numFmtId="0" fontId="90" fillId="0" borderId="0" xfId="0" applyFont="1"/>
    <xf numFmtId="9" fontId="107" fillId="0" borderId="0" xfId="51" applyFont="1"/>
    <xf numFmtId="0" fontId="36" fillId="0" borderId="0" xfId="64" applyFont="1" applyFill="1" applyBorder="1"/>
    <xf numFmtId="178" fontId="96" fillId="0" borderId="0" xfId="36" applyNumberFormat="1" applyFont="1" applyFill="1" applyBorder="1"/>
    <xf numFmtId="0" fontId="0" fillId="0" borderId="0" xfId="0"/>
    <xf numFmtId="203" fontId="92" fillId="34" borderId="4" xfId="64" applyNumberFormat="1" applyFont="1" applyFill="1" applyBorder="1"/>
    <xf numFmtId="0" fontId="0" fillId="0" borderId="0" xfId="0"/>
    <xf numFmtId="0" fontId="13" fillId="0" borderId="0" xfId="0" applyFont="1"/>
    <xf numFmtId="0" fontId="105" fillId="0" borderId="20" xfId="64" applyFont="1" applyFill="1" applyBorder="1"/>
    <xf numFmtId="178" fontId="13" fillId="0" borderId="0" xfId="0" applyNumberFormat="1" applyFont="1"/>
    <xf numFmtId="168" fontId="13" fillId="17" borderId="0" xfId="51" applyNumberFormat="1" applyFont="1" applyFill="1" applyAlignment="1">
      <alignment horizontal="right"/>
    </xf>
    <xf numFmtId="172" fontId="3" fillId="0" borderId="0" xfId="58" applyNumberFormat="1" applyFont="1" applyFill="1" applyBorder="1">
      <alignment horizontal="left" vertical="center"/>
    </xf>
    <xf numFmtId="6" fontId="3" fillId="0" borderId="0" xfId="58" applyNumberFormat="1" applyFont="1" applyFill="1" applyBorder="1">
      <alignment horizontal="left" vertical="center"/>
    </xf>
    <xf numFmtId="8" fontId="30" fillId="0" borderId="0" xfId="0" applyNumberFormat="1" applyFont="1" applyBorder="1"/>
    <xf numFmtId="172" fontId="13" fillId="0" borderId="0" xfId="37" applyNumberFormat="1" applyFont="1" applyFill="1" applyBorder="1" applyAlignment="1">
      <alignment horizontal="left" vertical="center"/>
    </xf>
    <xf numFmtId="9" fontId="103" fillId="0" borderId="0" xfId="36" applyNumberFormat="1" applyFont="1" applyFill="1" applyBorder="1" applyAlignment="1">
      <alignment horizontal="center" vertical="center"/>
    </xf>
    <xf numFmtId="9" fontId="103" fillId="0" borderId="0" xfId="58" applyNumberFormat="1" applyFont="1" applyFill="1" applyBorder="1">
      <alignment horizontal="left" vertical="center"/>
    </xf>
    <xf numFmtId="1" fontId="13" fillId="0" borderId="0" xfId="0" applyNumberFormat="1" applyFont="1"/>
    <xf numFmtId="1" fontId="13" fillId="0" borderId="30" xfId="0" applyNumberFormat="1" applyFont="1" applyBorder="1"/>
    <xf numFmtId="178" fontId="3" fillId="0" borderId="0" xfId="36" applyNumberFormat="1" applyFont="1" applyFill="1" applyBorder="1" applyAlignment="1">
      <alignment horizontal="left" vertical="center"/>
    </xf>
    <xf numFmtId="178" fontId="3" fillId="0" borderId="0" xfId="58" applyNumberFormat="1" applyFont="1" applyFill="1" applyBorder="1">
      <alignment horizontal="left" vertical="center"/>
    </xf>
    <xf numFmtId="164" fontId="18" fillId="21" borderId="0" xfId="66" applyNumberFormat="1" applyFont="1" applyFill="1"/>
    <xf numFmtId="164" fontId="13" fillId="0" borderId="0" xfId="66" applyNumberFormat="1" applyFont="1" applyFill="1" applyAlignment="1">
      <alignment horizontal="right"/>
    </xf>
    <xf numFmtId="0" fontId="0" fillId="0" borderId="0" xfId="0"/>
    <xf numFmtId="2" fontId="12" fillId="32" borderId="0" xfId="58" applyNumberFormat="1" applyFont="1" applyFill="1" applyBorder="1">
      <alignment horizontal="left" vertical="center"/>
    </xf>
    <xf numFmtId="178" fontId="97" fillId="0" borderId="0" xfId="36" applyNumberFormat="1" applyFont="1" applyFill="1" applyBorder="1" applyAlignment="1">
      <alignment horizontal="right" vertical="center"/>
    </xf>
    <xf numFmtId="9" fontId="97" fillId="0" borderId="0" xfId="51" applyFont="1" applyFill="1" applyBorder="1" applyAlignment="1">
      <alignment horizontal="right" vertical="center"/>
    </xf>
    <xf numFmtId="178" fontId="97" fillId="0" borderId="30" xfId="58" applyNumberFormat="1" applyFont="1" applyFill="1" applyBorder="1" applyAlignment="1">
      <alignment horizontal="right" vertical="center"/>
    </xf>
    <xf numFmtId="178" fontId="97" fillId="0" borderId="0" xfId="58" applyNumberFormat="1" applyFont="1" applyFill="1" applyBorder="1" applyAlignment="1">
      <alignment horizontal="right" vertical="center"/>
    </xf>
    <xf numFmtId="0" fontId="97" fillId="0" borderId="30" xfId="58" applyFont="1" applyFill="1" applyBorder="1" applyAlignment="1">
      <alignment horizontal="right" vertical="center"/>
    </xf>
    <xf numFmtId="0" fontId="97" fillId="0" borderId="0" xfId="58" applyFont="1" applyFill="1" applyBorder="1" applyAlignment="1">
      <alignment horizontal="right" vertical="center"/>
    </xf>
    <xf numFmtId="5" fontId="0" fillId="0" borderId="0" xfId="37" applyNumberFormat="1" applyFont="1"/>
    <xf numFmtId="164" fontId="12" fillId="0" borderId="0" xfId="2" applyNumberFormat="1" applyFont="1" applyFill="1" applyAlignment="1">
      <alignment horizontal="left"/>
    </xf>
    <xf numFmtId="9" fontId="93" fillId="0" borderId="0" xfId="51" applyFont="1" applyFill="1" applyBorder="1"/>
    <xf numFmtId="6" fontId="13" fillId="0" borderId="30" xfId="58" applyNumberFormat="1" applyFont="1" applyFill="1" applyBorder="1" applyAlignment="1">
      <alignment horizontal="left" vertical="center" indent="1"/>
    </xf>
    <xf numFmtId="178" fontId="7" fillId="0" borderId="0" xfId="51" applyNumberFormat="1" applyFont="1" applyFill="1" applyBorder="1" applyAlignment="1">
      <alignment horizontal="left" vertical="center"/>
    </xf>
    <xf numFmtId="43" fontId="3" fillId="0" borderId="0" xfId="59" applyNumberFormat="1" applyFont="1" applyFill="1" applyBorder="1">
      <alignment horizontal="left" vertical="center"/>
    </xf>
    <xf numFmtId="43" fontId="0" fillId="0" borderId="0" xfId="0" applyNumberFormat="1"/>
    <xf numFmtId="9" fontId="108" fillId="0" borderId="0" xfId="51" applyNumberFormat="1" applyFont="1" applyFill="1"/>
    <xf numFmtId="168" fontId="16" fillId="0" borderId="30" xfId="51" applyNumberFormat="1" applyFont="1" applyFill="1" applyBorder="1" applyAlignment="1">
      <alignment horizontal="left" vertical="center"/>
    </xf>
    <xf numFmtId="203" fontId="12" fillId="30" borderId="10" xfId="64" applyNumberFormat="1" applyFont="1" applyFill="1" applyBorder="1"/>
    <xf numFmtId="203" fontId="93" fillId="0" borderId="0" xfId="36" applyNumberFormat="1" applyFont="1" applyFill="1" applyBorder="1"/>
    <xf numFmtId="203" fontId="12" fillId="30" borderId="21" xfId="64" applyNumberFormat="1" applyFont="1" applyFill="1" applyBorder="1"/>
    <xf numFmtId="2" fontId="0" fillId="0" borderId="0" xfId="0" applyNumberFormat="1"/>
    <xf numFmtId="0" fontId="0" fillId="0" borderId="0" xfId="0"/>
    <xf numFmtId="0" fontId="12" fillId="0" borderId="2" xfId="52" applyNumberFormat="1" applyFont="1" applyFill="1" applyBorder="1" applyAlignment="1">
      <alignment horizontal="left" vertical="center" indent="7"/>
    </xf>
    <xf numFmtId="0" fontId="0" fillId="0" borderId="0" xfId="0"/>
    <xf numFmtId="9" fontId="106" fillId="0" borderId="0" xfId="58" applyNumberFormat="1" applyFont="1" applyFill="1" applyBorder="1" applyAlignment="1">
      <alignment horizontal="right" vertical="center"/>
    </xf>
    <xf numFmtId="168" fontId="108" fillId="0" borderId="0" xfId="51" applyNumberFormat="1" applyFont="1" applyFill="1" applyBorder="1" applyAlignment="1">
      <alignment horizontal="right" vertical="center"/>
    </xf>
    <xf numFmtId="9" fontId="108" fillId="0" borderId="0" xfId="51" applyNumberFormat="1" applyFont="1" applyFill="1" applyBorder="1" applyAlignment="1">
      <alignment horizontal="right" vertical="center"/>
    </xf>
    <xf numFmtId="2" fontId="12" fillId="39" borderId="0" xfId="58" applyNumberFormat="1" applyFont="1" applyFill="1" applyBorder="1">
      <alignment horizontal="left" vertical="center"/>
    </xf>
    <xf numFmtId="0" fontId="13" fillId="39" borderId="0" xfId="58" applyFont="1" applyFill="1" applyBorder="1">
      <alignment horizontal="left" vertical="center"/>
    </xf>
    <xf numFmtId="9" fontId="16" fillId="39" borderId="0" xfId="51" applyFont="1" applyFill="1" applyBorder="1" applyAlignment="1">
      <alignment horizontal="right" vertical="center"/>
    </xf>
    <xf numFmtId="0" fontId="13" fillId="39" borderId="0" xfId="58" applyFont="1" applyFill="1" applyBorder="1" applyAlignment="1">
      <alignment horizontal="right" vertical="center"/>
    </xf>
    <xf numFmtId="0" fontId="13" fillId="39" borderId="30" xfId="58" applyFont="1" applyFill="1" applyBorder="1" applyAlignment="1">
      <alignment horizontal="right" vertical="center"/>
    </xf>
    <xf numFmtId="1" fontId="13" fillId="39" borderId="0" xfId="58" applyNumberFormat="1" applyFont="1" applyFill="1" applyBorder="1" applyAlignment="1">
      <alignment vertical="center"/>
    </xf>
    <xf numFmtId="0" fontId="15" fillId="27" borderId="76" xfId="58" applyFont="1" applyFill="1" applyBorder="1">
      <alignment horizontal="left" vertical="center"/>
    </xf>
    <xf numFmtId="1" fontId="12" fillId="0" borderId="0" xfId="58" applyNumberFormat="1" applyFont="1" applyFill="1" applyBorder="1" applyAlignment="1">
      <alignment vertical="center"/>
    </xf>
    <xf numFmtId="168" fontId="16" fillId="0" borderId="0" xfId="51" applyNumberFormat="1" applyFont="1" applyFill="1" applyAlignment="1"/>
    <xf numFmtId="168" fontId="16" fillId="0" borderId="0" xfId="51" applyNumberFormat="1" applyFont="1" applyFill="1" applyAlignment="1">
      <alignment horizontal="right"/>
    </xf>
    <xf numFmtId="168" fontId="108" fillId="0" borderId="0" xfId="51" applyNumberFormat="1" applyFont="1" applyFill="1" applyAlignment="1"/>
    <xf numFmtId="0" fontId="106" fillId="0" borderId="30" xfId="58" applyFont="1" applyFill="1" applyBorder="1" applyAlignment="1">
      <alignment horizontal="right" vertical="center"/>
    </xf>
    <xf numFmtId="0" fontId="106" fillId="0" borderId="0" xfId="58" applyFont="1" applyFill="1" applyBorder="1" applyAlignment="1">
      <alignment horizontal="right" vertical="center"/>
    </xf>
    <xf numFmtId="168" fontId="18" fillId="0" borderId="0" xfId="51" applyNumberFormat="1" applyFont="1" applyFill="1"/>
    <xf numFmtId="168" fontId="24" fillId="0" borderId="0" xfId="2" applyNumberFormat="1" applyFont="1" applyFill="1"/>
    <xf numFmtId="168" fontId="24" fillId="0" borderId="0" xfId="51" applyNumberFormat="1" applyFont="1" applyFill="1" applyAlignment="1">
      <alignment horizontal="right"/>
    </xf>
    <xf numFmtId="168" fontId="17" fillId="0" borderId="30" xfId="51" applyNumberFormat="1" applyFont="1" applyFill="1" applyBorder="1" applyAlignment="1">
      <alignment horizontal="right"/>
    </xf>
    <xf numFmtId="168" fontId="97" fillId="0" borderId="0" xfId="51" applyNumberFormat="1" applyFont="1" applyFill="1" applyBorder="1" applyAlignment="1">
      <alignment horizontal="left" vertical="center"/>
    </xf>
    <xf numFmtId="168" fontId="3" fillId="0" borderId="0" xfId="51" applyNumberFormat="1" applyFont="1" applyFill="1" applyBorder="1" applyAlignment="1">
      <alignment horizontal="left" vertical="center"/>
    </xf>
    <xf numFmtId="201" fontId="13" fillId="15" borderId="0" xfId="37" applyNumberFormat="1" applyFont="1" applyFill="1" applyBorder="1" applyAlignment="1">
      <alignment horizontal="right" vertical="center"/>
    </xf>
    <xf numFmtId="168" fontId="0" fillId="0" borderId="0" xfId="0" applyNumberFormat="1"/>
    <xf numFmtId="170" fontId="0" fillId="0" borderId="0" xfId="0" applyNumberFormat="1"/>
    <xf numFmtId="172" fontId="0" fillId="0" borderId="0" xfId="0" applyNumberFormat="1"/>
    <xf numFmtId="0" fontId="0" fillId="0" borderId="0" xfId="0"/>
    <xf numFmtId="203" fontId="91" fillId="0" borderId="10" xfId="64" applyNumberFormat="1" applyFont="1" applyFill="1" applyBorder="1"/>
    <xf numFmtId="203" fontId="91" fillId="0" borderId="21" xfId="64" applyNumberFormat="1" applyFont="1" applyFill="1" applyBorder="1"/>
    <xf numFmtId="164" fontId="92" fillId="0" borderId="0" xfId="64" applyNumberFormat="1" applyFont="1" applyFill="1" applyBorder="1"/>
    <xf numFmtId="0" fontId="0" fillId="0" borderId="0" xfId="0"/>
    <xf numFmtId="0" fontId="0" fillId="0" borderId="0" xfId="0"/>
    <xf numFmtId="0" fontId="13" fillId="20" borderId="0" xfId="2" applyFont="1" applyFill="1" applyBorder="1"/>
    <xf numFmtId="1" fontId="12" fillId="0" borderId="11" xfId="52" quotePrefix="1" applyNumberFormat="1" applyFont="1" applyFill="1" applyBorder="1" applyAlignment="1">
      <alignment horizontal="right" vertical="center"/>
    </xf>
    <xf numFmtId="164" fontId="12" fillId="0" borderId="27" xfId="52" quotePrefix="1" applyNumberFormat="1" applyFont="1" applyFill="1" applyBorder="1" applyAlignment="1">
      <alignment horizontal="right" vertical="center"/>
    </xf>
    <xf numFmtId="165" fontId="12" fillId="0" borderId="28" xfId="52" applyNumberFormat="1" applyFont="1" applyFill="1" applyBorder="1">
      <alignment horizontal="right" vertical="center"/>
    </xf>
    <xf numFmtId="2" fontId="13" fillId="0" borderId="4" xfId="58" applyNumberFormat="1" applyFont="1" applyFill="1" applyBorder="1">
      <alignment horizontal="left" vertical="center"/>
    </xf>
    <xf numFmtId="0" fontId="0" fillId="0" borderId="0" xfId="0"/>
    <xf numFmtId="9" fontId="97" fillId="0" borderId="0" xfId="51" applyFont="1" applyFill="1" applyBorder="1" applyAlignment="1">
      <alignment horizontal="left" vertical="center"/>
    </xf>
    <xf numFmtId="43" fontId="97" fillId="0" borderId="0" xfId="36" applyNumberFormat="1" applyFont="1" applyFill="1" applyBorder="1" applyAlignment="1">
      <alignment horizontal="left" vertical="center"/>
    </xf>
    <xf numFmtId="43" fontId="96" fillId="0" borderId="0" xfId="36" applyNumberFormat="1" applyFont="1" applyFill="1" applyBorder="1" applyAlignment="1">
      <alignment horizontal="left" vertical="center"/>
    </xf>
    <xf numFmtId="168" fontId="32" fillId="0" borderId="0" xfId="51" applyNumberFormat="1" applyFont="1"/>
    <xf numFmtId="193" fontId="93" fillId="0" borderId="0" xfId="36" applyNumberFormat="1" applyFont="1" applyFill="1" applyBorder="1"/>
    <xf numFmtId="180" fontId="17" fillId="0" borderId="0" xfId="45" applyNumberFormat="1" applyFont="1" applyFill="1" applyBorder="1" applyAlignment="1">
      <alignment horizontal="left" vertical="center"/>
    </xf>
    <xf numFmtId="9" fontId="17" fillId="0" borderId="0" xfId="51" applyFont="1" applyFill="1" applyBorder="1" applyAlignment="1">
      <alignment horizontal="right" vertical="center"/>
    </xf>
    <xf numFmtId="8" fontId="91" fillId="0" borderId="10" xfId="64" applyNumberFormat="1" applyFont="1" applyFill="1" applyBorder="1"/>
    <xf numFmtId="8" fontId="93" fillId="0" borderId="0" xfId="36" applyNumberFormat="1" applyFont="1" applyFill="1" applyBorder="1"/>
    <xf numFmtId="188" fontId="92" fillId="0" borderId="0" xfId="64" applyNumberFormat="1" applyFont="1" applyFill="1" applyBorder="1"/>
    <xf numFmtId="168" fontId="92" fillId="0" borderId="0" xfId="36" applyNumberFormat="1" applyFont="1" applyFill="1" applyBorder="1"/>
    <xf numFmtId="0" fontId="104" fillId="0" borderId="0" xfId="64" applyFont="1" applyFill="1" applyBorder="1" applyAlignment="1">
      <alignment horizontal="center" vertical="center" textRotation="90" wrapText="1"/>
    </xf>
    <xf numFmtId="0" fontId="105" fillId="0" borderId="0" xfId="64" applyFont="1" applyFill="1" applyBorder="1" applyAlignment="1">
      <alignment horizontal="center" vertical="center" textRotation="90" wrapText="1"/>
    </xf>
    <xf numFmtId="0" fontId="33" fillId="0" borderId="0" xfId="64" applyFont="1" applyFill="1" applyBorder="1" applyAlignment="1">
      <alignment horizontal="center" vertical="center" textRotation="90"/>
    </xf>
    <xf numFmtId="0" fontId="12" fillId="0" borderId="17" xfId="52" applyNumberFormat="1" applyFont="1" applyFill="1" applyBorder="1" applyAlignment="1">
      <alignment horizontal="center" vertical="center"/>
    </xf>
    <xf numFmtId="0" fontId="12" fillId="0" borderId="2" xfId="52" applyNumberFormat="1" applyFont="1" applyFill="1" applyBorder="1" applyAlignment="1">
      <alignment horizontal="center" vertical="center"/>
    </xf>
    <xf numFmtId="164" fontId="12" fillId="0" borderId="2" xfId="52" quotePrefix="1" applyNumberFormat="1" applyFont="1" applyFill="1" applyBorder="1" applyAlignment="1">
      <alignment horizontal="center" vertical="center"/>
    </xf>
    <xf numFmtId="0" fontId="0" fillId="0" borderId="2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19" borderId="0" xfId="68" applyFont="1" applyFill="1" applyAlignment="1">
      <alignment vertical="top"/>
    </xf>
    <xf numFmtId="0" fontId="2" fillId="19" borderId="0" xfId="62" applyFill="1" applyAlignment="1">
      <alignment vertical="top"/>
    </xf>
    <xf numFmtId="0" fontId="2" fillId="19" borderId="0" xfId="62" applyFill="1"/>
    <xf numFmtId="0" fontId="69" fillId="19" borderId="0" xfId="68" applyFont="1" applyFill="1" applyAlignment="1">
      <alignment horizontal="left" vertical="top"/>
    </xf>
    <xf numFmtId="0" fontId="2" fillId="19" borderId="0" xfId="62" applyFont="1" applyFill="1" applyAlignment="1">
      <alignment vertical="top"/>
    </xf>
    <xf numFmtId="0" fontId="32" fillId="19" borderId="0" xfId="68" applyFont="1" applyFill="1" applyAlignment="1">
      <alignment vertical="top"/>
    </xf>
    <xf numFmtId="0" fontId="0" fillId="19" borderId="0" xfId="0" applyFill="1" applyAlignment="1">
      <alignment vertical="top"/>
    </xf>
    <xf numFmtId="0" fontId="110" fillId="19" borderId="0" xfId="0" applyFont="1" applyFill="1" applyAlignment="1">
      <alignment vertical="top"/>
    </xf>
    <xf numFmtId="0" fontId="111" fillId="19" borderId="0" xfId="0" applyFont="1" applyFill="1" applyAlignment="1">
      <alignment vertical="top"/>
    </xf>
    <xf numFmtId="0" fontId="111" fillId="19" borderId="0" xfId="0" applyFont="1" applyFill="1" applyAlignment="1">
      <alignment vertical="top"/>
    </xf>
    <xf numFmtId="0" fontId="110" fillId="19" borderId="0" xfId="0" applyFont="1" applyFill="1" applyAlignment="1">
      <alignment vertical="top"/>
    </xf>
    <xf numFmtId="0" fontId="0" fillId="19" borderId="0" xfId="0" applyFill="1" applyAlignment="1">
      <alignment vertical="top"/>
    </xf>
    <xf numFmtId="0" fontId="0" fillId="19" borderId="81" xfId="0" applyFill="1" applyBorder="1" applyAlignment="1">
      <alignment vertical="top"/>
    </xf>
    <xf numFmtId="0" fontId="110" fillId="19" borderId="77" xfId="0" applyFont="1" applyFill="1" applyBorder="1" applyAlignment="1">
      <alignment vertical="top"/>
    </xf>
    <xf numFmtId="0" fontId="110" fillId="19" borderId="78" xfId="0" applyFont="1" applyFill="1" applyBorder="1" applyAlignment="1">
      <alignment vertical="top"/>
    </xf>
    <xf numFmtId="0" fontId="110" fillId="19" borderId="79" xfId="0" applyFont="1" applyFill="1" applyBorder="1" applyAlignment="1">
      <alignment vertical="top"/>
    </xf>
    <xf numFmtId="0" fontId="110" fillId="19" borderId="80" xfId="0" applyFont="1" applyFill="1" applyBorder="1" applyAlignment="1">
      <alignment vertical="top"/>
    </xf>
    <xf numFmtId="9" fontId="110" fillId="19" borderId="77" xfId="0" applyNumberFormat="1" applyFont="1" applyFill="1" applyBorder="1" applyAlignment="1">
      <alignment vertical="top"/>
    </xf>
    <xf numFmtId="3" fontId="110" fillId="19" borderId="77" xfId="0" applyNumberFormat="1" applyFont="1" applyFill="1" applyBorder="1" applyAlignment="1">
      <alignment vertical="top"/>
    </xf>
    <xf numFmtId="0" fontId="0" fillId="19" borderId="82" xfId="0" applyFill="1" applyBorder="1" applyAlignment="1">
      <alignment vertical="top"/>
    </xf>
    <xf numFmtId="2" fontId="2" fillId="0" borderId="0" xfId="62" applyNumberFormat="1" applyAlignment="1">
      <alignment horizontal="left"/>
    </xf>
    <xf numFmtId="0" fontId="2" fillId="0" borderId="0" xfId="62" applyNumberFormat="1" applyAlignment="1">
      <alignment horizontal="left"/>
    </xf>
    <xf numFmtId="1" fontId="2" fillId="0" borderId="0" xfId="62" applyNumberFormat="1" applyAlignment="1">
      <alignment horizontal="left"/>
    </xf>
    <xf numFmtId="0" fontId="2" fillId="0" borderId="0" xfId="62" applyFont="1"/>
    <xf numFmtId="212" fontId="2" fillId="0" borderId="0" xfId="62" applyNumberFormat="1" applyAlignment="1">
      <alignment horizontal="left"/>
    </xf>
    <xf numFmtId="49" fontId="2" fillId="0" borderId="0" xfId="62" applyNumberFormat="1"/>
  </cellXfs>
  <cellStyles count="69">
    <cellStyle name="_x000d__x000a_JournalTemplate=C:\COMFO\CTALK\JOURSTD.TPL_x000d__x000a_LbStateAddress=3 3 0 251 1 89 2 311_x000d__x000a_LbStateJou" xfId="2"/>
    <cellStyle name="_x000d__x000a_JournalTemplate=C:\COMFO\CTALK\JOURSTD.TPL_x000d__x000a_LbStateAddress=3 3 0 251 1 89 2 311_x000d__x000a_LbStateJou 2" xfId="3"/>
    <cellStyle name="_x000d__x000a_JournalTemplate=C:\COMFO\CTALK\JOURSTD.TPL_x000d__x000a_LbStateAddress=3 3 0 251 1 89 2 311_x000d__x000a_LbStateJou 3" xfId="66"/>
    <cellStyle name="_SUMMARY " xfId="5"/>
    <cellStyle name="0_Capex &amp; Depreciation " xfId="6"/>
    <cellStyle name="0_Valuing BP " xfId="7"/>
    <cellStyle name="20% - Accent1" xfId="8" builtinId="30" customBuiltin="1"/>
    <cellStyle name="20% - Accent2" xfId="9" builtinId="34" customBuiltin="1"/>
    <cellStyle name="20% - Accent3" xfId="10" builtinId="38" customBuiltin="1"/>
    <cellStyle name="20% - Accent4" xfId="11" builtinId="42" customBuiltin="1"/>
    <cellStyle name="20% - Accent5" xfId="12" builtinId="46" customBuiltin="1"/>
    <cellStyle name="20% - Accent6" xfId="13" builtinId="50" customBuiltin="1"/>
    <cellStyle name="40% - Accent1" xfId="14" builtinId="31" customBuiltin="1"/>
    <cellStyle name="40% - Accent2" xfId="15" builtinId="35" customBuiltin="1"/>
    <cellStyle name="40% - Accent3" xfId="16" builtinId="39" customBuiltin="1"/>
    <cellStyle name="40% - Accent4" xfId="17" builtinId="43" customBuiltin="1"/>
    <cellStyle name="40% - Accent5" xfId="18" builtinId="47" customBuiltin="1"/>
    <cellStyle name="40% - Accent6" xfId="19" builtinId="51" customBuiltin="1"/>
    <cellStyle name="60% - Accent1" xfId="20" builtinId="32" customBuiltin="1"/>
    <cellStyle name="60% - Accent2" xfId="21" builtinId="36" customBuiltin="1"/>
    <cellStyle name="60% - Accent3" xfId="22" builtinId="40" customBuiltin="1"/>
    <cellStyle name="60% - Accent4" xfId="23" builtinId="44" customBuiltin="1"/>
    <cellStyle name="60% - Accent5" xfId="24" builtinId="48" customBuiltin="1"/>
    <cellStyle name="60% - Accent6" xfId="25" builtinId="52" customBuiltin="1"/>
    <cellStyle name="Accent1" xfId="26" builtinId="29" customBuiltin="1"/>
    <cellStyle name="Accent2" xfId="27" builtinId="33" customBuiltin="1"/>
    <cellStyle name="Accent3" xfId="28" builtinId="37" customBuiltin="1"/>
    <cellStyle name="Accent4" xfId="29" builtinId="41" customBuiltin="1"/>
    <cellStyle name="Accent5" xfId="30" builtinId="45" customBuiltin="1"/>
    <cellStyle name="Accent6" xfId="31" builtinId="49" customBuiltin="1"/>
    <cellStyle name="Bad" xfId="32" builtinId="27" customBuiltin="1"/>
    <cellStyle name="c_HardInc " xfId="33"/>
    <cellStyle name="Calculation" xfId="34" builtinId="22" customBuiltin="1"/>
    <cellStyle name="Check Cell" xfId="35" builtinId="23" customBuiltin="1"/>
    <cellStyle name="Comma" xfId="36" builtinId="3"/>
    <cellStyle name="Comma 4" xfId="67"/>
    <cellStyle name="Currency" xfId="37" builtinId="4" customBuiltin="1"/>
    <cellStyle name="Currency 2" xfId="1"/>
    <cellStyle name="Explanatory Text" xfId="38" builtinId="53" customBuiltin="1"/>
    <cellStyle name="Good" xfId="39" builtinId="26" customBuiltin="1"/>
    <cellStyle name="Heading 1" xfId="40" builtinId="16" customBuiltin="1"/>
    <cellStyle name="Heading 2" xfId="41" builtinId="17" customBuiltin="1"/>
    <cellStyle name="Heading 3" xfId="42" builtinId="18" customBuiltin="1"/>
    <cellStyle name="Heading 4" xfId="43" builtinId="19" customBuiltin="1"/>
    <cellStyle name="Input" xfId="44" builtinId="20" customBuiltin="1"/>
    <cellStyle name="KP_Normal" xfId="45"/>
    <cellStyle name="Linked Cell" xfId="46" builtinId="24" customBuiltin="1"/>
    <cellStyle name="Neutral" xfId="47" builtinId="28" customBuiltin="1"/>
    <cellStyle name="Normal" xfId="0" builtinId="0"/>
    <cellStyle name="Normal 4" xfId="62"/>
    <cellStyle name="Normal 5" xfId="64"/>
    <cellStyle name="Normal_DisclaimerSheet Samples" xfId="68"/>
    <cellStyle name="Note" xfId="48" builtinId="10" customBuiltin="1"/>
    <cellStyle name="Output" xfId="49" builtinId="21" customBuiltin="1"/>
    <cellStyle name="p " xfId="50"/>
    <cellStyle name="Percent" xfId="51" builtinId="5"/>
    <cellStyle name="Percent 3" xfId="65"/>
    <cellStyle name="Right" xfId="52"/>
    <cellStyle name="RRSInstruction" xfId="4"/>
    <cellStyle name="RRSInstruction 2" xfId="63"/>
    <cellStyle name="s_HardInc " xfId="53"/>
    <cellStyle name="s_Valuation " xfId="54"/>
    <cellStyle name="ssp " xfId="55"/>
    <cellStyle name="Style 1" xfId="56"/>
    <cellStyle name="Title" xfId="57" builtinId="15" customBuiltin="1"/>
    <cellStyle name="title1" xfId="58"/>
    <cellStyle name="title2" xfId="59"/>
    <cellStyle name="Total" xfId="60" builtinId="25" customBuiltin="1"/>
    <cellStyle name="Warning Text" xfId="61" builtinId="11" customBuiltin="1"/>
  </cellStyles>
  <dxfs count="16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FFCC00"/>
      <color rgb="FF0000E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 t="s">
        <v>Manual Calculation</v>
        <stp/>
        <stp>c1962409-fcdc-4a03-acd7-755791fdc957</stp>
        <tr r="DN112" s="1"/>
      </tp>
      <tp>
        <v>2042.8</v>
        <stp/>
        <stp>01e8638e-a565-4f5c-beb1-1ae151fc3884</stp>
        <tr r="EC112" s="1"/>
      </tp>
      <tp t="s">
        <v>Manual Calculation</v>
        <stp/>
        <stp>f77a26b5-8592-4a47-8fd4-3cb413109064</stp>
        <tr r="DN113" s="1"/>
      </tp>
      <tp t="s">
        <v>Manual Calculation</v>
        <stp/>
        <stp>0908b5ce-5895-4bdf-8ae3-21307d99fefc</stp>
        <tr r="DM114" s="1"/>
      </tp>
      <tp t="s">
        <v>Manual Calculation</v>
        <stp/>
        <stp>cb40aa80-4f56-4044-a8d8-61349e6ef89f</stp>
        <tr r="DM113" s="1"/>
      </tp>
      <tp>
        <v>470.4</v>
        <stp/>
        <stp>bf2c87ce-16bf-4f36-a318-2d6957ff68fb</stp>
        <tr r="DY112" s="1"/>
      </tp>
      <tp>
        <v>3.23</v>
        <stp/>
        <stp>fe9f3a77-4408-4441-b36e-598b1a2a7b8b</stp>
        <tr r="EU114" s="1"/>
      </tp>
      <tp t="s">
        <v>Manual Calculation</v>
        <stp/>
        <stp>3f3f536e-bdb0-412a-b1bb-dde558ba6e93</stp>
        <tr r="DT114" s="1"/>
      </tp>
      <tp>
        <v>-0.56000000000000005</v>
        <stp/>
        <stp>43d0863b-a9a2-45d9-9332-fcbce7d754af</stp>
        <tr r="EC114" s="1"/>
      </tp>
      <tp>
        <v>987.4</v>
        <stp/>
        <stp>f8fc878f-86f1-4eb2-abd6-88a882020e3b</stp>
        <tr r="EO113" s="1"/>
      </tp>
      <tp t="s">
        <v>Manual Calculation</v>
        <stp/>
        <stp>43907b62-fe93-4f5d-b0ef-d4e14392c180</stp>
        <tr r="DU113" s="1"/>
      </tp>
      <tp>
        <v>3295.2</v>
        <stp/>
        <stp>19665b59-9051-41d0-96d1-8ddfef0004c6</stp>
        <tr r="EO112" s="1"/>
      </tp>
      <tp t="s">
        <v>Manual Calculation</v>
        <stp/>
        <stp>077ebd79-5a0d-4c4d-a3e8-d1469cf0048b</stp>
        <tr r="DU114" s="1"/>
      </tp>
      <tp>
        <v>987.4</v>
        <stp/>
        <stp>cbce9b5d-18e4-40bf-9db5-0c884e808198</stp>
        <tr r="EU113" s="1"/>
      </tp>
      <tp t="s">
        <v>Manual Calculation</v>
        <stp/>
        <stp>1e192cc6-c9f2-4fbe-b51f-ebbe8222ebfb</stp>
        <tr r="DO113" s="1"/>
      </tp>
      <tp t="s">
        <v>Manual Calculation</v>
        <stp/>
        <stp>645094a5-1c83-4ccc-8e36-376a64744d2e</stp>
        <tr r="DP114" s="1"/>
      </tp>
      <tp t="s">
        <v>Manual Calculation</v>
        <stp/>
        <stp>e4cd2af9-a97d-480a-a23f-d26953b1ba80</stp>
        <tr r="DO114" s="1"/>
      </tp>
      <tp t="s">
        <v>Manual Calculation</v>
        <stp/>
        <stp>4452580e-79c1-43b2-8978-3803ee23bdcb</stp>
        <tr r="DS113" s="1"/>
      </tp>
      <tp t="s">
        <v>Manual Calculation</v>
        <stp/>
        <stp>a2134117-fbb8-40db-bd2a-9cba4c8e6218</stp>
        <tr r="DP112" s="1"/>
      </tp>
      <tp t="s">
        <v>Manual Calculation</v>
        <stp/>
        <stp>bdcc7789-6a99-4419-8653-49783a6906df</stp>
        <tr r="DV112" s="1"/>
      </tp>
      <tp>
        <v>370.3</v>
        <stp/>
        <stp>d899edcd-f182-4efc-948c-2859c77756e6</stp>
        <tr r="EI113" s="1"/>
      </tp>
      <tp t="s">
        <v>Manual Calculation</v>
        <stp/>
        <stp>86e5c01b-8477-4ba2-8af2-6f221ba0467e</stp>
        <tr r="DN114" s="1"/>
      </tp>
      <tp t="s">
        <v>Manual Calculation</v>
        <stp/>
        <stp>bd80c9a6-0f3e-4a40-ab17-139ce762e15f</stp>
        <tr r="DV114" s="1"/>
      </tp>
      <tp>
        <v>-130.19999999999999</v>
        <stp/>
        <stp>2f625e8e-cfa2-4abf-97a9-58f7c643f251</stp>
        <tr r="EC113" s="1"/>
      </tp>
      <tp>
        <v>2025.7</v>
        <stp/>
        <stp>af255080-827e-4041-a0dc-89d558c40aed</stp>
        <tr r="DW112" s="1"/>
      </tp>
      <tp>
        <v>3.23</v>
        <stp/>
        <stp>e304b683-3d18-4bec-9b32-a26960d6c86a</stp>
        <tr r="EO114" s="1"/>
      </tp>
      <tp t="s">
        <v>Manual Calculation</v>
        <stp/>
        <stp>7602d8f4-a8b6-4a2e-853c-6698a0a34b53</stp>
        <tr r="DT112" s="1"/>
      </tp>
      <tp t="s">
        <v>Manual Calculation</v>
        <stp/>
        <stp>38631690-b524-4ccf-93d8-a0969399c37b</stp>
        <tr r="DM112" s="1"/>
      </tp>
      <tp t="s">
        <v>Manual Calculation</v>
        <stp/>
        <stp>41f6b4a8-63a9-41e6-8a08-2b1fc874311e</stp>
        <tr r="DP113" s="1"/>
      </tp>
      <tp>
        <v>-0.56000000000000005</v>
        <stp/>
        <stp>e327e8f5-a0c9-4575-b5c7-b1fb1e72e688</stp>
        <tr r="DW114" s="1"/>
      </tp>
      <tp t="s">
        <v>Manual Calculation</v>
        <stp/>
        <stp>0baffa67-89b1-4f9b-82e5-0cf2b29fe2e5</stp>
        <tr r="DV113" s="1"/>
      </tp>
      <tp t="s">
        <v>Manual Calculation</v>
        <stp/>
        <stp>95e26f1e-0630-46b6-8034-2caba0504e1c</stp>
        <tr r="DT113" s="1"/>
      </tp>
      <tp>
        <v>2550.9</v>
        <stp/>
        <stp>1b69e248-b4a7-425b-adcc-6a58329a90b9</stp>
        <tr r="EI112" s="1"/>
      </tp>
      <tp>
        <v>3295.2</v>
        <stp/>
        <stp>82c7f1fd-f222-4ece-b0eb-494f54516956</stp>
        <tr r="EU112" s="1"/>
      </tp>
      <tp t="s">
        <v>Manual Calculation</v>
        <stp/>
        <stp>90932e58-6439-472b-a8ee-2d75778f5fb2</stp>
        <tr r="DS112" s="1"/>
      </tp>
      <tp>
        <v>-136.19999999999999</v>
        <stp/>
        <stp>c6fdbbe4-29e9-455c-b6ae-953c04935671</stp>
        <tr r="DW113" s="1"/>
      </tp>
      <tp t="s">
        <v>Manual Calculation</v>
        <stp/>
        <stp>5917f677-15b3-48dd-8b45-c916055481bc</stp>
        <tr r="DU112" s="1"/>
      </tp>
      <tp t="s">
        <v>Manual Calculation</v>
        <stp/>
        <stp>d11ddedb-a735-4897-924b-5ed81ad25f29</stp>
        <tr r="DO112" s="1"/>
      </tp>
      <tp>
        <v>1.18</v>
        <stp/>
        <stp>6529e34a-e1bc-4626-a098-88adfa7f4ae5</stp>
        <tr r="EI114" s="1"/>
      </tp>
      <tp t="s">
        <v>Manual Calculation</v>
        <stp/>
        <stp>64bbdfe8-165f-4431-b9d6-04fd737a5d8b</stp>
        <tr r="DS114" s="1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theme/theme1.xml" Type="http://schemas.openxmlformats.org/officeDocument/2006/relationships/theme"/>
<Relationship Id="rId12" Target="styles.xml" Type="http://schemas.openxmlformats.org/officeDocument/2006/relationships/styles"/>
<Relationship Id="rId13" Target="sharedStrings.xml" Type="http://schemas.openxmlformats.org/officeDocument/2006/relationships/sharedStrings"/>
<Relationship Id="rId14" Target="calcChain.xml" Type="http://schemas.openxmlformats.org/officeDocument/2006/relationships/calcChain"/>
<Relationship Id="rId15" Target="../customXml/item1.xml" Type="http://schemas.openxmlformats.org/officeDocument/2006/relationships/customXml"/>
<Relationship Id="rId16" Target="../customXml/item2.xml" Type="http://schemas.openxmlformats.org/officeDocument/2006/relationships/customXml"/>
<Relationship Id="rId17" Target="volatileDependencies.xml" Type="http://schemas.openxmlformats.org/officeDocument/2006/relationships/volatileDependencies"/>
<Relationship Id="rId18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55059457" name="Picture 1" descr="C:\Users\hamzaf\AppData\Local\Temp\MercuryPriceRatingHistoryChart\ADSK.O_2018_03_06_18_34_07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6.vml" Type="http://schemas.openxmlformats.org/officeDocument/2006/relationships/vmlDrawing"/>
<Relationship Id="rId3" Target="../comments6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2.75"/>
  <sheetData>
    <row r="1" spans="1:2">
      <c r="A1" s="1580"/>
      <c r="B1" t="s">
        <v>5171</v>
      </c>
    </row>
  </sheetData>
  <phoneticPr fontId="3" type="noConversion"/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7"/>
  <sheetViews>
    <sheetView showGridLines="0" tabSelected="1" workbookViewId="0">
      <selection activeCell="Z1" sqref="Z1"/>
    </sheetView>
  </sheetViews>
  <sheetFormatPr defaultRowHeight="12.75"/>
  <cols>
    <col min="1" max="1" width="25.7109375" style="2313" customWidth="1"/>
    <col min="2" max="5" width="9.140625" style="2313"/>
    <col min="6" max="6" width="18.7109375" style="2313" customWidth="1"/>
    <col min="7" max="256" width="9.140625" style="2313"/>
    <col min="257" max="257" width="100.7109375" style="2313" customWidth="1"/>
    <col min="258" max="512" width="9.140625" style="2313"/>
    <col min="513" max="513" width="100.7109375" style="2313" customWidth="1"/>
    <col min="514" max="768" width="9.140625" style="2313"/>
    <col min="769" max="769" width="100.7109375" style="2313" customWidth="1"/>
    <col min="770" max="1024" width="9.140625" style="2313"/>
    <col min="1025" max="1025" width="100.7109375" style="2313" customWidth="1"/>
    <col min="1026" max="1280" width="9.140625" style="2313"/>
    <col min="1281" max="1281" width="100.7109375" style="2313" customWidth="1"/>
    <col min="1282" max="1536" width="9.140625" style="2313"/>
    <col min="1537" max="1537" width="100.7109375" style="2313" customWidth="1"/>
    <col min="1538" max="1792" width="9.140625" style="2313"/>
    <col min="1793" max="1793" width="100.7109375" style="2313" customWidth="1"/>
    <col min="1794" max="2048" width="9.140625" style="2313"/>
    <col min="2049" max="2049" width="100.7109375" style="2313" customWidth="1"/>
    <col min="2050" max="2304" width="9.140625" style="2313"/>
    <col min="2305" max="2305" width="100.7109375" style="2313" customWidth="1"/>
    <col min="2306" max="2560" width="9.140625" style="2313"/>
    <col min="2561" max="2561" width="100.7109375" style="2313" customWidth="1"/>
    <col min="2562" max="2816" width="9.140625" style="2313"/>
    <col min="2817" max="2817" width="100.7109375" style="2313" customWidth="1"/>
    <col min="2818" max="3072" width="9.140625" style="2313"/>
    <col min="3073" max="3073" width="100.7109375" style="2313" customWidth="1"/>
    <col min="3074" max="3328" width="9.140625" style="2313"/>
    <col min="3329" max="3329" width="100.7109375" style="2313" customWidth="1"/>
    <col min="3330" max="3584" width="9.140625" style="2313"/>
    <col min="3585" max="3585" width="100.7109375" style="2313" customWidth="1"/>
    <col min="3586" max="3840" width="9.140625" style="2313"/>
    <col min="3841" max="3841" width="100.7109375" style="2313" customWidth="1"/>
    <col min="3842" max="4096" width="9.140625" style="2313"/>
    <col min="4097" max="4097" width="100.7109375" style="2313" customWidth="1"/>
    <col min="4098" max="4352" width="9.140625" style="2313"/>
    <col min="4353" max="4353" width="100.7109375" style="2313" customWidth="1"/>
    <col min="4354" max="4608" width="9.140625" style="2313"/>
    <col min="4609" max="4609" width="100.7109375" style="2313" customWidth="1"/>
    <col min="4610" max="4864" width="9.140625" style="2313"/>
    <col min="4865" max="4865" width="100.7109375" style="2313" customWidth="1"/>
    <col min="4866" max="5120" width="9.140625" style="2313"/>
    <col min="5121" max="5121" width="100.7109375" style="2313" customWidth="1"/>
    <col min="5122" max="5376" width="9.140625" style="2313"/>
    <col min="5377" max="5377" width="100.7109375" style="2313" customWidth="1"/>
    <col min="5378" max="5632" width="9.140625" style="2313"/>
    <col min="5633" max="5633" width="100.7109375" style="2313" customWidth="1"/>
    <col min="5634" max="5888" width="9.140625" style="2313"/>
    <col min="5889" max="5889" width="100.7109375" style="2313" customWidth="1"/>
    <col min="5890" max="6144" width="9.140625" style="2313"/>
    <col min="6145" max="6145" width="100.7109375" style="2313" customWidth="1"/>
    <col min="6146" max="6400" width="9.140625" style="2313"/>
    <col min="6401" max="6401" width="100.7109375" style="2313" customWidth="1"/>
    <col min="6402" max="6656" width="9.140625" style="2313"/>
    <col min="6657" max="6657" width="100.7109375" style="2313" customWidth="1"/>
    <col min="6658" max="6912" width="9.140625" style="2313"/>
    <col min="6913" max="6913" width="100.7109375" style="2313" customWidth="1"/>
    <col min="6914" max="7168" width="9.140625" style="2313"/>
    <col min="7169" max="7169" width="100.7109375" style="2313" customWidth="1"/>
    <col min="7170" max="7424" width="9.140625" style="2313"/>
    <col min="7425" max="7425" width="100.7109375" style="2313" customWidth="1"/>
    <col min="7426" max="7680" width="9.140625" style="2313"/>
    <col min="7681" max="7681" width="100.7109375" style="2313" customWidth="1"/>
    <col min="7682" max="7936" width="9.140625" style="2313"/>
    <col min="7937" max="7937" width="100.7109375" style="2313" customWidth="1"/>
    <col min="7938" max="8192" width="9.140625" style="2313"/>
    <col min="8193" max="8193" width="100.7109375" style="2313" customWidth="1"/>
    <col min="8194" max="8448" width="9.140625" style="2313"/>
    <col min="8449" max="8449" width="100.7109375" style="2313" customWidth="1"/>
    <col min="8450" max="8704" width="9.140625" style="2313"/>
    <col min="8705" max="8705" width="100.7109375" style="2313" customWidth="1"/>
    <col min="8706" max="8960" width="9.140625" style="2313"/>
    <col min="8961" max="8961" width="100.7109375" style="2313" customWidth="1"/>
    <col min="8962" max="9216" width="9.140625" style="2313"/>
    <col min="9217" max="9217" width="100.7109375" style="2313" customWidth="1"/>
    <col min="9218" max="9472" width="9.140625" style="2313"/>
    <col min="9473" max="9473" width="100.7109375" style="2313" customWidth="1"/>
    <col min="9474" max="9728" width="9.140625" style="2313"/>
    <col min="9729" max="9729" width="100.7109375" style="2313" customWidth="1"/>
    <col min="9730" max="9984" width="9.140625" style="2313"/>
    <col min="9985" max="9985" width="100.7109375" style="2313" customWidth="1"/>
    <col min="9986" max="10240" width="9.140625" style="2313"/>
    <col min="10241" max="10241" width="100.7109375" style="2313" customWidth="1"/>
    <col min="10242" max="10496" width="9.140625" style="2313"/>
    <col min="10497" max="10497" width="100.7109375" style="2313" customWidth="1"/>
    <col min="10498" max="10752" width="9.140625" style="2313"/>
    <col min="10753" max="10753" width="100.7109375" style="2313" customWidth="1"/>
    <col min="10754" max="11008" width="9.140625" style="2313"/>
    <col min="11009" max="11009" width="100.7109375" style="2313" customWidth="1"/>
    <col min="11010" max="11264" width="9.140625" style="2313"/>
    <col min="11265" max="11265" width="100.7109375" style="2313" customWidth="1"/>
    <col min="11266" max="11520" width="9.140625" style="2313"/>
    <col min="11521" max="11521" width="100.7109375" style="2313" customWidth="1"/>
    <col min="11522" max="11776" width="9.140625" style="2313"/>
    <col min="11777" max="11777" width="100.7109375" style="2313" customWidth="1"/>
    <col min="11778" max="12032" width="9.140625" style="2313"/>
    <col min="12033" max="12033" width="100.7109375" style="2313" customWidth="1"/>
    <col min="12034" max="12288" width="9.140625" style="2313"/>
    <col min="12289" max="12289" width="100.7109375" style="2313" customWidth="1"/>
    <col min="12290" max="12544" width="9.140625" style="2313"/>
    <col min="12545" max="12545" width="100.7109375" style="2313" customWidth="1"/>
    <col min="12546" max="12800" width="9.140625" style="2313"/>
    <col min="12801" max="12801" width="100.7109375" style="2313" customWidth="1"/>
    <col min="12802" max="13056" width="9.140625" style="2313"/>
    <col min="13057" max="13057" width="100.7109375" style="2313" customWidth="1"/>
    <col min="13058" max="13312" width="9.140625" style="2313"/>
    <col min="13313" max="13313" width="100.7109375" style="2313" customWidth="1"/>
    <col min="13314" max="13568" width="9.140625" style="2313"/>
    <col min="13569" max="13569" width="100.7109375" style="2313" customWidth="1"/>
    <col min="13570" max="13824" width="9.140625" style="2313"/>
    <col min="13825" max="13825" width="100.7109375" style="2313" customWidth="1"/>
    <col min="13826" max="14080" width="9.140625" style="2313"/>
    <col min="14081" max="14081" width="100.7109375" style="2313" customWidth="1"/>
    <col min="14082" max="14336" width="9.140625" style="2313"/>
    <col min="14337" max="14337" width="100.7109375" style="2313" customWidth="1"/>
    <col min="14338" max="14592" width="9.140625" style="2313"/>
    <col min="14593" max="14593" width="100.7109375" style="2313" customWidth="1"/>
    <col min="14594" max="14848" width="9.140625" style="2313"/>
    <col min="14849" max="14849" width="100.7109375" style="2313" customWidth="1"/>
    <col min="14850" max="15104" width="9.140625" style="2313"/>
    <col min="15105" max="15105" width="100.7109375" style="2313" customWidth="1"/>
    <col min="15106" max="15360" width="9.140625" style="2313"/>
    <col min="15361" max="15361" width="100.7109375" style="2313" customWidth="1"/>
    <col min="15362" max="15616" width="9.140625" style="2313"/>
    <col min="15617" max="15617" width="100.7109375" style="2313" customWidth="1"/>
    <col min="15618" max="15872" width="9.140625" style="2313"/>
    <col min="15873" max="15873" width="100.7109375" style="2313" customWidth="1"/>
    <col min="15874" max="16128" width="9.140625" style="2313"/>
    <col min="16129" max="16129" width="100.7109375" style="2313" customWidth="1"/>
    <col min="16130" max="16384" width="9.140625" style="2313"/>
  </cols>
  <sheetData>
    <row r="1" spans="1:8" ht="30" customHeight="1">
      <c r="A1" s="2311"/>
      <c r="B1" s="2312"/>
      <c r="C1" s="2312"/>
      <c r="D1" s="2312"/>
      <c r="E1" s="2312"/>
      <c r="F1" s="2312"/>
      <c r="G1" s="2312"/>
      <c r="H1" s="2312"/>
    </row>
    <row r="2" spans="1:8" ht="14.25">
      <c r="A2" s="2314" t="s">
        <v>7253</v>
      </c>
      <c r="B2" s="2312"/>
      <c r="C2" s="2312"/>
      <c r="D2" s="2312"/>
      <c r="E2" s="2312"/>
      <c r="F2" s="2312"/>
      <c r="G2" s="2312"/>
      <c r="H2" s="2312"/>
    </row>
    <row r="3" spans="1:8" ht="14.25">
      <c r="A3" s="2314" t="s">
        <v>7254</v>
      </c>
      <c r="B3" s="2312"/>
      <c r="C3" s="2312"/>
      <c r="D3" s="2312"/>
      <c r="E3" s="2312"/>
      <c r="F3" s="2312"/>
      <c r="G3" s="2312"/>
      <c r="H3" s="2312"/>
    </row>
    <row r="4" spans="1:8" ht="14.25">
      <c r="A4" s="2314" t="s">
        <v>5546</v>
      </c>
      <c r="B4" s="2312"/>
      <c r="C4" s="2312"/>
      <c r="D4" s="2312"/>
      <c r="E4" s="2312"/>
      <c r="F4" s="2312"/>
      <c r="G4" s="2312"/>
      <c r="H4" s="2312"/>
    </row>
    <row r="5" spans="1:8" ht="14.25">
      <c r="A5" s="2314" t="s">
        <v>7255</v>
      </c>
      <c r="B5" s="2312"/>
      <c r="C5" s="2312"/>
      <c r="D5" s="2312"/>
      <c r="E5" s="2312"/>
      <c r="F5" s="2312"/>
      <c r="G5" s="2312"/>
      <c r="H5" s="2312"/>
    </row>
    <row r="6" spans="1:8" ht="14.25">
      <c r="A6" s="2314"/>
      <c r="B6" s="2312"/>
      <c r="C6" s="2312"/>
      <c r="D6" s="2312"/>
      <c r="E6" s="2312"/>
      <c r="F6" s="2312"/>
      <c r="G6" s="2312"/>
      <c r="H6" s="2312"/>
    </row>
    <row r="7" spans="1:8">
      <c r="A7" s="2311" t="s">
        <v>7256</v>
      </c>
      <c r="B7" s="2312"/>
      <c r="C7" s="2312"/>
      <c r="D7" s="2312"/>
      <c r="E7" s="2312"/>
      <c r="F7" s="2312"/>
      <c r="G7" s="2312"/>
      <c r="H7" s="2312"/>
    </row>
    <row r="8" spans="1:8">
      <c r="A8" s="2311" t="s">
        <v>7257</v>
      </c>
      <c r="B8" s="2312"/>
      <c r="C8" s="2312"/>
      <c r="D8" s="2312"/>
      <c r="E8" s="2312"/>
      <c r="F8" s="2312"/>
      <c r="G8" s="2312"/>
      <c r="H8" s="2312"/>
    </row>
    <row r="9" spans="1:8">
      <c r="A9" s="2311"/>
      <c r="B9" s="2312"/>
      <c r="C9" s="2312"/>
      <c r="D9" s="2312"/>
      <c r="E9" s="2312"/>
      <c r="F9" s="2312"/>
      <c r="G9" s="2312"/>
      <c r="H9" s="2312"/>
    </row>
    <row r="10" spans="1:8">
      <c r="A10" s="2315" t="s">
        <v>7258</v>
      </c>
      <c r="B10" s="2312"/>
      <c r="C10" s="2312"/>
      <c r="D10" s="2312"/>
      <c r="E10" s="2312"/>
      <c r="F10" s="2312"/>
      <c r="G10" s="2312"/>
      <c r="H10" s="2312"/>
    </row>
    <row r="11" spans="1:8">
      <c r="A11" s="2315" t="s">
        <v>7259</v>
      </c>
      <c r="B11" s="2312"/>
      <c r="C11" s="2312"/>
      <c r="D11" s="2312"/>
      <c r="E11" s="2312"/>
      <c r="F11" s="2312"/>
      <c r="G11" s="2312"/>
      <c r="H11" s="2312"/>
    </row>
    <row r="12" spans="1:8">
      <c r="A12" s="2315" t="s">
        <v>7260</v>
      </c>
      <c r="B12" s="2312"/>
      <c r="C12" s="2312"/>
      <c r="D12" s="2312"/>
      <c r="E12" s="2312"/>
      <c r="F12" s="2312"/>
      <c r="G12" s="2312"/>
      <c r="H12" s="2312"/>
    </row>
    <row r="13" spans="1:8">
      <c r="A13" s="2315" t="s">
        <v>7261</v>
      </c>
      <c r="B13" s="2312"/>
      <c r="C13" s="2312"/>
      <c r="D13" s="2312"/>
      <c r="E13" s="2312"/>
      <c r="F13" s="2312"/>
      <c r="G13" s="2312"/>
      <c r="H13" s="2312"/>
    </row>
    <row r="14" spans="1:8">
      <c r="A14" s="2315" t="s">
        <v>7262</v>
      </c>
      <c r="B14" s="2312"/>
      <c r="C14" s="2312"/>
      <c r="D14" s="2312"/>
      <c r="E14" s="2312"/>
      <c r="F14" s="2312"/>
      <c r="G14" s="2312"/>
      <c r="H14" s="2312"/>
    </row>
    <row r="15" spans="1:8">
      <c r="A15" s="2315" t="s">
        <v>7263</v>
      </c>
      <c r="B15" s="2312"/>
      <c r="C15" s="2312"/>
      <c r="D15" s="2312"/>
      <c r="E15" s="2312"/>
      <c r="F15" s="2312"/>
      <c r="G15" s="2312"/>
      <c r="H15" s="2312"/>
    </row>
    <row r="16" spans="1:8">
      <c r="A16" s="2315"/>
      <c r="B16" s="2312"/>
      <c r="C16" s="2312"/>
      <c r="D16" s="2312"/>
      <c r="E16" s="2312"/>
      <c r="F16" s="2312"/>
      <c r="G16" s="2312"/>
      <c r="H16" s="2312"/>
    </row>
    <row r="17" spans="1:8">
      <c r="A17" s="2315" t="s">
        <v>7250</v>
      </c>
      <c r="B17" s="2312"/>
      <c r="C17" s="2312"/>
      <c r="D17" s="2312"/>
      <c r="E17" s="2312"/>
      <c r="F17" s="2312"/>
      <c r="G17" s="2312"/>
      <c r="H17" s="2312"/>
    </row>
    <row r="18" spans="1:8">
      <c r="A18" s="2315"/>
      <c r="B18" s="2312"/>
      <c r="C18" s="2312"/>
      <c r="D18" s="2312"/>
      <c r="E18" s="2312"/>
      <c r="F18" s="2312"/>
      <c r="G18" s="2312"/>
      <c r="H18" s="2312"/>
    </row>
    <row r="19" spans="1:8">
      <c r="A19" s="2315" t="s">
        <v>7251</v>
      </c>
      <c r="B19" s="2312"/>
      <c r="C19" s="2312"/>
      <c r="D19" s="2312"/>
      <c r="E19" s="2312"/>
      <c r="F19" s="2312"/>
      <c r="G19" s="2312"/>
      <c r="H19" s="2312"/>
    </row>
    <row r="20" spans="1:8">
      <c r="A20" s="2311"/>
      <c r="B20" s="2312"/>
      <c r="C20" s="2312"/>
      <c r="D20" s="2312"/>
      <c r="E20" s="2312"/>
      <c r="F20" s="2312"/>
      <c r="G20" s="2312"/>
      <c r="H20" s="2312"/>
    </row>
    <row r="21" spans="1:8">
      <c r="A21" s="2316" t="s">
        <v>7252</v>
      </c>
      <c r="B21" s="2312"/>
      <c r="C21" s="2312"/>
      <c r="D21" s="2312"/>
      <c r="E21" s="2312"/>
      <c r="F21" s="2312"/>
      <c r="G21" s="2312"/>
      <c r="H21" s="2312"/>
    </row>
    <row r="22" spans="1:8">
      <c r="A22" s="2317"/>
      <c r="B22" s="2317"/>
      <c r="C22" s="2317"/>
      <c r="D22" s="2317"/>
      <c r="E22" s="2317"/>
      <c r="F22" s="2317"/>
      <c r="G22" s="2317"/>
      <c r="H22" s="2317"/>
    </row>
    <row r="23" spans="1:8">
      <c r="A23" s="2318" t="s">
        <v>7544</v>
      </c>
      <c r="B23" s="2317"/>
      <c r="C23" s="2317"/>
      <c r="D23" s="2317"/>
      <c r="E23" s="2317"/>
      <c r="F23" s="2317"/>
      <c r="G23" s="2317"/>
      <c r="H23" s="2317"/>
    </row>
    <row r="24" spans="1:8">
      <c r="A24" s="2318" t="s">
        <v>7545</v>
      </c>
      <c r="B24" s="2317"/>
      <c r="C24" s="2317"/>
      <c r="D24" s="2317"/>
      <c r="E24" s="2317"/>
      <c r="F24" s="2317"/>
      <c r="G24" s="2317"/>
      <c r="H24" s="2317"/>
    </row>
    <row r="25" spans="1:8">
      <c r="A25" s="2318" t="s">
        <v>7546</v>
      </c>
      <c r="B25" s="2317"/>
      <c r="C25" s="2317"/>
      <c r="D25" s="2317"/>
      <c r="E25" s="2317"/>
      <c r="F25" s="2317"/>
      <c r="G25" s="2317"/>
      <c r="H25" s="2317"/>
    </row>
    <row r="26" spans="1:8">
      <c r="A26" s="2318" t="s">
        <v>7547</v>
      </c>
      <c r="B26" s="2317"/>
      <c r="C26" s="2317"/>
      <c r="D26" s="2317"/>
      <c r="E26" s="2317"/>
      <c r="F26" s="2317"/>
      <c r="G26" s="2317"/>
      <c r="H26" s="2317"/>
    </row>
    <row r="27" spans="1:8">
      <c r="A27" s="2317"/>
      <c r="B27" s="2317"/>
      <c r="C27" s="2317"/>
      <c r="D27" s="2317"/>
      <c r="E27" s="2317"/>
      <c r="F27" s="2317"/>
      <c r="G27" s="2317"/>
      <c r="H27" s="2317"/>
    </row>
    <row r="28" spans="1:8">
      <c r="A28" s="2317"/>
      <c r="B28" s="2317"/>
      <c r="C28" s="2317"/>
      <c r="D28" s="2317"/>
      <c r="E28" s="2317"/>
      <c r="F28" s="2317"/>
      <c r="G28" s="2317"/>
      <c r="H28" s="2317"/>
    </row>
    <row r="29" spans="1:8">
      <c r="A29" s="2318" t="s">
        <v>7539</v>
      </c>
      <c r="B29" s="2317"/>
      <c r="C29" s="2317"/>
      <c r="D29" s="2317"/>
      <c r="E29" s="2317"/>
      <c r="F29" s="2317"/>
      <c r="G29" s="2317"/>
      <c r="H29" s="2317"/>
    </row>
    <row r="30" spans="1:8">
      <c r="A30" s="2318" t="s">
        <v>7540</v>
      </c>
      <c r="B30" s="2317"/>
      <c r="C30" s="2317"/>
      <c r="D30" s="2317"/>
      <c r="E30" s="2317"/>
      <c r="F30" s="2317"/>
      <c r="G30" s="2317"/>
      <c r="H30" s="2317"/>
    </row>
    <row r="31" spans="1:8">
      <c r="A31" s="2318" t="s">
        <v>7541</v>
      </c>
      <c r="B31" s="2317"/>
      <c r="C31" s="2317"/>
      <c r="D31" s="2317"/>
      <c r="E31" s="2317"/>
      <c r="F31" s="2317"/>
      <c r="G31" s="2317"/>
      <c r="H31" s="2317"/>
    </row>
    <row r="32" spans="1:8">
      <c r="A32" s="2318" t="s">
        <v>7542</v>
      </c>
      <c r="B32" s="2317"/>
      <c r="C32" s="2317"/>
      <c r="D32" s="2317"/>
      <c r="E32" s="2317"/>
      <c r="F32" s="2317"/>
      <c r="G32" s="2317"/>
      <c r="H32" s="2317"/>
    </row>
    <row r="33" spans="1:8">
      <c r="A33" s="2318" t="s">
        <v>7543</v>
      </c>
      <c r="B33" s="2317"/>
      <c r="C33" s="2317"/>
      <c r="D33" s="2317"/>
      <c r="E33" s="2317"/>
      <c r="F33" s="2317"/>
      <c r="G33" s="2317"/>
      <c r="H33" s="2317"/>
    </row>
    <row r="34" spans="1:8">
      <c r="A34" s="2317"/>
      <c r="B34" s="2317"/>
      <c r="C34" s="2317"/>
      <c r="D34" s="2317"/>
      <c r="E34" s="2317"/>
      <c r="F34" s="2317"/>
      <c r="G34" s="2317"/>
      <c r="H34" s="2317"/>
    </row>
    <row r="35" spans="1:8">
      <c r="A35" s="2318" t="s">
        <v>7535</v>
      </c>
      <c r="B35" s="2317"/>
      <c r="C35" s="2317"/>
      <c r="D35" s="2317"/>
      <c r="E35" s="2317"/>
      <c r="F35" s="2317"/>
      <c r="G35" s="2317"/>
      <c r="H35" s="2317"/>
    </row>
    <row r="36" spans="1:8">
      <c r="A36" s="2318" t="s">
        <v>7536</v>
      </c>
      <c r="B36" s="2317"/>
      <c r="C36" s="2317"/>
      <c r="D36" s="2317"/>
      <c r="E36" s="2317"/>
      <c r="F36" s="2317"/>
      <c r="G36" s="2317"/>
      <c r="H36" s="2317"/>
    </row>
    <row r="37" spans="1:8">
      <c r="A37" s="2318" t="s">
        <v>7537</v>
      </c>
      <c r="B37" s="2317"/>
      <c r="C37" s="2317"/>
      <c r="D37" s="2317"/>
      <c r="E37" s="2317"/>
      <c r="F37" s="2317"/>
      <c r="G37" s="2317"/>
      <c r="H37" s="2317"/>
    </row>
    <row r="38" spans="1:8">
      <c r="A38" s="2318" t="s">
        <v>7538</v>
      </c>
      <c r="B38" s="2317"/>
      <c r="C38" s="2317"/>
      <c r="D38" s="2317"/>
      <c r="E38" s="2317"/>
      <c r="F38" s="2317"/>
      <c r="G38" s="2317"/>
      <c r="H38" s="2317"/>
    </row>
    <row r="39" spans="1:8">
      <c r="A39" s="2317"/>
      <c r="B39" s="2317"/>
      <c r="C39" s="2317"/>
      <c r="D39" s="2317"/>
      <c r="E39" s="2317"/>
      <c r="F39" s="2317"/>
      <c r="G39" s="2317"/>
      <c r="H39" s="2317"/>
    </row>
    <row r="40" spans="1:8">
      <c r="A40" s="2318" t="s">
        <v>7529</v>
      </c>
      <c r="B40" s="2317"/>
      <c r="C40" s="2317"/>
      <c r="D40" s="2317"/>
      <c r="E40" s="2317"/>
      <c r="F40" s="2317"/>
      <c r="G40" s="2317"/>
      <c r="H40" s="2317"/>
    </row>
    <row r="41" spans="1:8">
      <c r="A41" s="2318" t="s">
        <v>7530</v>
      </c>
      <c r="B41" s="2317"/>
      <c r="C41" s="2317"/>
      <c r="D41" s="2317"/>
      <c r="E41" s="2317"/>
      <c r="F41" s="2317"/>
      <c r="G41" s="2317"/>
      <c r="H41" s="2317"/>
    </row>
    <row r="42" spans="1:8">
      <c r="A42" s="2318" t="s">
        <v>7531</v>
      </c>
      <c r="B42" s="2317"/>
      <c r="C42" s="2317"/>
      <c r="D42" s="2317"/>
      <c r="E42" s="2317"/>
      <c r="F42" s="2317"/>
      <c r="G42" s="2317"/>
      <c r="H42" s="2317"/>
    </row>
    <row r="43" spans="1:8">
      <c r="A43" s="2318" t="s">
        <v>7532</v>
      </c>
      <c r="B43" s="2317"/>
      <c r="C43" s="2317"/>
      <c r="D43" s="2317"/>
      <c r="E43" s="2317"/>
      <c r="F43" s="2317"/>
      <c r="G43" s="2317"/>
      <c r="H43" s="2317"/>
    </row>
    <row r="44" spans="1:8">
      <c r="A44" s="2318" t="s">
        <v>7533</v>
      </c>
      <c r="B44" s="2317"/>
      <c r="C44" s="2317"/>
      <c r="D44" s="2317"/>
      <c r="E44" s="2317"/>
      <c r="F44" s="2317"/>
      <c r="G44" s="2317"/>
      <c r="H44" s="2317"/>
    </row>
    <row r="45" spans="1:8">
      <c r="A45" s="2318" t="s">
        <v>7534</v>
      </c>
      <c r="B45" s="2317"/>
      <c r="C45" s="2317"/>
      <c r="D45" s="2317"/>
      <c r="E45" s="2317"/>
      <c r="F45" s="2317"/>
      <c r="G45" s="2317"/>
      <c r="H45" s="2317"/>
    </row>
    <row r="46" spans="1:8">
      <c r="A46" s="2317"/>
      <c r="B46" s="2317"/>
      <c r="C46" s="2317"/>
      <c r="D46" s="2317"/>
      <c r="E46" s="2317"/>
      <c r="F46" s="2317"/>
      <c r="G46" s="2317"/>
      <c r="H46" s="2317"/>
    </row>
    <row r="47" spans="1:8" ht="15.75">
      <c r="A47" s="2319" t="s">
        <v>7264</v>
      </c>
      <c r="B47" s="2317"/>
      <c r="C47" s="2317"/>
      <c r="D47" s="2317"/>
      <c r="E47" s="2317"/>
      <c r="F47" s="2317"/>
      <c r="G47" s="2317"/>
      <c r="H47" s="2317"/>
    </row>
    <row r="48" spans="1:8">
      <c r="A48" s="2317"/>
      <c r="B48" s="2317"/>
      <c r="C48" s="2317"/>
      <c r="D48" s="2317"/>
      <c r="E48" s="2317"/>
      <c r="F48" s="2317"/>
      <c r="G48" s="2317"/>
      <c r="H48" s="2317"/>
    </row>
    <row r="49" spans="1:8">
      <c r="A49" s="2318" t="s">
        <v>7525</v>
      </c>
      <c r="B49" s="2317"/>
      <c r="C49" s="2317"/>
      <c r="D49" s="2317"/>
      <c r="E49" s="2317"/>
      <c r="F49" s="2317"/>
      <c r="G49" s="2317"/>
      <c r="H49" s="2317"/>
    </row>
    <row r="50" spans="1:8">
      <c r="A50" s="2318" t="s">
        <v>7526</v>
      </c>
      <c r="B50" s="2317"/>
      <c r="C50" s="2317"/>
      <c r="D50" s="2317"/>
      <c r="E50" s="2317"/>
      <c r="F50" s="2317"/>
      <c r="G50" s="2317"/>
      <c r="H50" s="2317"/>
    </row>
    <row r="51" spans="1:8">
      <c r="A51" s="2318" t="s">
        <v>7527</v>
      </c>
      <c r="B51" s="2317"/>
      <c r="C51" s="2317"/>
      <c r="D51" s="2317"/>
      <c r="E51" s="2317"/>
      <c r="F51" s="2317"/>
      <c r="G51" s="2317"/>
      <c r="H51" s="2317"/>
    </row>
    <row r="52" spans="1:8">
      <c r="A52" s="2318" t="s">
        <v>7528</v>
      </c>
      <c r="B52" s="2317"/>
      <c r="C52" s="2317"/>
      <c r="D52" s="2317"/>
      <c r="E52" s="2317"/>
      <c r="F52" s="2317"/>
      <c r="G52" s="2317"/>
      <c r="H52" s="2317"/>
    </row>
    <row r="53" spans="1:8">
      <c r="A53" s="2317"/>
      <c r="B53" s="2317"/>
      <c r="C53" s="2317"/>
      <c r="D53" s="2317"/>
      <c r="E53" s="2317"/>
      <c r="F53" s="2317"/>
      <c r="G53" s="2317"/>
      <c r="H53" s="2317"/>
    </row>
    <row r="54" spans="1:8">
      <c r="A54" s="2318" t="s">
        <v>7265</v>
      </c>
      <c r="B54" s="2317"/>
      <c r="C54" s="2317"/>
      <c r="D54" s="2317"/>
      <c r="E54" s="2317"/>
      <c r="F54" s="2317"/>
      <c r="G54" s="2317"/>
      <c r="H54" s="2317"/>
    </row>
    <row r="55" spans="1:8">
      <c r="A55" s="2317"/>
      <c r="B55" s="2317"/>
      <c r="C55" s="2317"/>
      <c r="D55" s="2317"/>
      <c r="E55" s="2317"/>
      <c r="F55" s="2317"/>
      <c r="G55" s="2317"/>
      <c r="H55" s="2317"/>
    </row>
    <row r="56" spans="1:8" ht="15.75">
      <c r="A56" s="2319" t="s">
        <v>7266</v>
      </c>
      <c r="B56" s="2317"/>
      <c r="C56" s="2317"/>
      <c r="D56" s="2317"/>
      <c r="E56" s="2317"/>
      <c r="F56" s="2317"/>
      <c r="G56" s="2317"/>
      <c r="H56" s="2317"/>
    </row>
    <row r="57" spans="1:8">
      <c r="A57" s="2317"/>
      <c r="B57" s="2317"/>
      <c r="C57" s="2317"/>
      <c r="D57" s="2317"/>
      <c r="E57" s="2317"/>
      <c r="F57" s="2317"/>
      <c r="G57" s="2317"/>
      <c r="H57" s="2317"/>
    </row>
    <row r="58" spans="1:8">
      <c r="A58" s="2318" t="s">
        <v>7523</v>
      </c>
      <c r="B58" s="2317"/>
      <c r="C58" s="2317"/>
      <c r="D58" s="2317"/>
      <c r="E58" s="2317"/>
      <c r="F58" s="2317"/>
      <c r="G58" s="2317"/>
      <c r="H58" s="2317"/>
    </row>
    <row r="59" spans="1:8">
      <c r="A59" s="2318" t="s">
        <v>7524</v>
      </c>
      <c r="B59" s="2317"/>
      <c r="C59" s="2317"/>
      <c r="D59" s="2317"/>
      <c r="E59" s="2317"/>
      <c r="F59" s="2317"/>
      <c r="G59" s="2317"/>
      <c r="H59" s="2317"/>
    </row>
    <row r="60" spans="1:8">
      <c r="A60" s="2317"/>
      <c r="B60" s="2317"/>
      <c r="C60" s="2317"/>
      <c r="D60" s="2317"/>
      <c r="E60" s="2317"/>
      <c r="F60" s="2317"/>
      <c r="G60" s="2317"/>
      <c r="H60" s="2317"/>
    </row>
    <row r="61" spans="1:8" ht="15.75">
      <c r="A61" s="2319" t="s">
        <v>7267</v>
      </c>
      <c r="B61" s="2317"/>
      <c r="C61" s="2317"/>
      <c r="D61" s="2317"/>
      <c r="E61" s="2317"/>
      <c r="F61" s="2317"/>
      <c r="G61" s="2317"/>
      <c r="H61" s="2317"/>
    </row>
    <row r="62" spans="1:8">
      <c r="A62" s="2317"/>
      <c r="B62" s="2317"/>
      <c r="C62" s="2317"/>
      <c r="D62" s="2317"/>
      <c r="E62" s="2317"/>
      <c r="F62" s="2317"/>
      <c r="G62" s="2317"/>
      <c r="H62" s="2317"/>
    </row>
    <row r="63" spans="1:8">
      <c r="A63" s="2318" t="s">
        <v>7521</v>
      </c>
      <c r="B63" s="2317"/>
      <c r="C63" s="2317"/>
      <c r="D63" s="2317"/>
      <c r="E63" s="2317"/>
      <c r="F63" s="2317"/>
      <c r="G63" s="2317"/>
      <c r="H63" s="2317"/>
    </row>
    <row r="64" spans="1:8">
      <c r="A64" s="2318" t="s">
        <v>7522</v>
      </c>
      <c r="B64" s="2317"/>
      <c r="C64" s="2317"/>
      <c r="D64" s="2317"/>
      <c r="E64" s="2317"/>
      <c r="F64" s="2317"/>
      <c r="G64" s="2317"/>
      <c r="H64" s="2317"/>
    </row>
    <row r="65" spans="1:8">
      <c r="A65" s="2317"/>
      <c r="B65" s="2317"/>
      <c r="C65" s="2317"/>
      <c r="D65" s="2317"/>
      <c r="E65" s="2317"/>
      <c r="F65" s="2317"/>
      <c r="G65" s="2317"/>
      <c r="H65" s="2317"/>
    </row>
    <row r="66" spans="1:8">
      <c r="A66" s="2318" t="s">
        <v>7519</v>
      </c>
      <c r="B66" s="2317"/>
      <c r="C66" s="2317"/>
      <c r="D66" s="2317"/>
      <c r="E66" s="2317"/>
      <c r="F66" s="2317"/>
      <c r="G66" s="2317"/>
      <c r="H66" s="2317"/>
    </row>
    <row r="67" spans="1:8">
      <c r="A67" s="2318" t="s">
        <v>7520</v>
      </c>
      <c r="B67" s="2317"/>
      <c r="C67" s="2317"/>
      <c r="D67" s="2317"/>
      <c r="E67" s="2317"/>
      <c r="F67" s="2317"/>
      <c r="G67" s="2317"/>
      <c r="H67" s="2317"/>
    </row>
    <row r="68" spans="1:8">
      <c r="A68" s="2317"/>
      <c r="B68" s="2317"/>
      <c r="C68" s="2317"/>
      <c r="D68" s="2317"/>
      <c r="E68" s="2317"/>
      <c r="F68" s="2317"/>
      <c r="G68" s="2317"/>
      <c r="H68" s="2317"/>
    </row>
    <row r="69" spans="1:8">
      <c r="A69" s="2318" t="s">
        <v>7517</v>
      </c>
      <c r="B69" s="2317"/>
      <c r="C69" s="2317"/>
      <c r="D69" s="2317"/>
      <c r="E69" s="2317"/>
      <c r="F69" s="2317"/>
      <c r="G69" s="2317"/>
      <c r="H69" s="2317"/>
    </row>
    <row r="70" spans="1:8">
      <c r="A70" s="2318" t="s">
        <v>7518</v>
      </c>
      <c r="B70" s="2317"/>
      <c r="C70" s="2317"/>
      <c r="D70" s="2317"/>
      <c r="E70" s="2317"/>
      <c r="F70" s="2317"/>
      <c r="G70" s="2317"/>
      <c r="H70" s="2317"/>
    </row>
    <row r="71" spans="1:8">
      <c r="A71" s="2317"/>
      <c r="B71" s="2317"/>
      <c r="C71" s="2317"/>
      <c r="D71" s="2317"/>
      <c r="E71" s="2317"/>
      <c r="F71" s="2317"/>
      <c r="G71" s="2317"/>
      <c r="H71" s="2317"/>
    </row>
    <row r="72" spans="1:8">
      <c r="A72" s="2318" t="s">
        <v>7515</v>
      </c>
      <c r="B72" s="2317"/>
      <c r="C72" s="2317"/>
      <c r="D72" s="2317"/>
      <c r="E72" s="2317"/>
      <c r="F72" s="2317"/>
      <c r="G72" s="2317"/>
      <c r="H72" s="2317"/>
    </row>
    <row r="73" spans="1:8">
      <c r="A73" s="2318" t="s">
        <v>7516</v>
      </c>
      <c r="B73" s="2317"/>
      <c r="C73" s="2317"/>
      <c r="D73" s="2317"/>
      <c r="E73" s="2317"/>
      <c r="F73" s="2317"/>
      <c r="G73" s="2317"/>
      <c r="H73" s="2317"/>
    </row>
    <row r="74" spans="1:8">
      <c r="A74" s="2317"/>
      <c r="B74" s="2317"/>
      <c r="C74" s="2317"/>
      <c r="D74" s="2317"/>
      <c r="E74" s="2317"/>
      <c r="F74" s="2317"/>
      <c r="G74" s="2317"/>
      <c r="H74" s="2317"/>
    </row>
    <row r="75" spans="1:8">
      <c r="A75" s="2318" t="s">
        <v>7513</v>
      </c>
      <c r="B75" s="2317"/>
      <c r="C75" s="2317"/>
      <c r="D75" s="2317"/>
      <c r="E75" s="2317"/>
      <c r="F75" s="2317"/>
      <c r="G75" s="2317"/>
      <c r="H75" s="2317"/>
    </row>
    <row r="76" spans="1:8">
      <c r="A76" s="2318" t="s">
        <v>7514</v>
      </c>
      <c r="B76" s="2317"/>
      <c r="C76" s="2317"/>
      <c r="D76" s="2317"/>
      <c r="E76" s="2317"/>
      <c r="F76" s="2317"/>
      <c r="G76" s="2317"/>
      <c r="H76" s="2317"/>
    </row>
    <row r="77" spans="1:8">
      <c r="A77" s="2317"/>
      <c r="B77" s="2317"/>
      <c r="C77" s="2317"/>
      <c r="D77" s="2317"/>
      <c r="E77" s="2317"/>
      <c r="F77" s="2317"/>
      <c r="G77" s="2317"/>
      <c r="H77" s="2317"/>
    </row>
    <row r="78" spans="1:8">
      <c r="A78" s="2318" t="s">
        <v>7510</v>
      </c>
      <c r="B78" s="2317"/>
      <c r="C78" s="2317"/>
      <c r="D78" s="2317"/>
      <c r="E78" s="2317"/>
      <c r="F78" s="2317"/>
      <c r="G78" s="2317"/>
      <c r="H78" s="2317"/>
    </row>
    <row r="79" spans="1:8">
      <c r="A79" s="2318" t="s">
        <v>7511</v>
      </c>
      <c r="B79" s="2317"/>
      <c r="C79" s="2317"/>
      <c r="D79" s="2317"/>
      <c r="E79" s="2317"/>
      <c r="F79" s="2317"/>
      <c r="G79" s="2317"/>
      <c r="H79" s="2317"/>
    </row>
    <row r="80" spans="1:8">
      <c r="A80" s="2318" t="s">
        <v>7512</v>
      </c>
      <c r="B80" s="2317"/>
      <c r="C80" s="2317"/>
      <c r="D80" s="2317"/>
      <c r="E80" s="2317"/>
      <c r="F80" s="2317"/>
      <c r="G80" s="2317"/>
      <c r="H80" s="2317"/>
    </row>
    <row r="81" spans="1:8">
      <c r="A81" s="2317"/>
      <c r="B81" s="2317"/>
      <c r="C81" s="2317"/>
      <c r="D81" s="2317"/>
      <c r="E81" s="2317"/>
      <c r="F81" s="2317"/>
      <c r="G81" s="2317"/>
      <c r="H81" s="2317"/>
    </row>
    <row r="82" spans="1:8">
      <c r="A82" s="2318" t="s">
        <v>7268</v>
      </c>
      <c r="B82" s="2317"/>
      <c r="C82" s="2317"/>
      <c r="D82" s="2317"/>
      <c r="E82" s="2317"/>
      <c r="F82" s="2317"/>
      <c r="G82" s="2317"/>
      <c r="H82" s="2317"/>
    </row>
    <row r="83" spans="1:8">
      <c r="A83" s="2317"/>
      <c r="B83" s="2317"/>
      <c r="C83" s="2317"/>
      <c r="D83" s="2317"/>
      <c r="E83" s="2317"/>
      <c r="F83" s="2317"/>
      <c r="G83" s="2317"/>
      <c r="H83" s="2317"/>
    </row>
    <row r="84" spans="1:8">
      <c r="A84" s="2318" t="s">
        <v>7505</v>
      </c>
      <c r="B84" s="2317"/>
      <c r="C84" s="2317"/>
      <c r="D84" s="2317"/>
      <c r="E84" s="2317"/>
      <c r="F84" s="2317"/>
      <c r="G84" s="2317"/>
      <c r="H84" s="2317"/>
    </row>
    <row r="85" spans="1:8">
      <c r="A85" s="2318" t="s">
        <v>7506</v>
      </c>
      <c r="B85" s="2317"/>
      <c r="C85" s="2317"/>
      <c r="D85" s="2317"/>
      <c r="E85" s="2317"/>
      <c r="F85" s="2317"/>
      <c r="G85" s="2317"/>
      <c r="H85" s="2317"/>
    </row>
    <row r="86" spans="1:8">
      <c r="A86" s="2318" t="s">
        <v>7507</v>
      </c>
      <c r="B86" s="2317"/>
      <c r="C86" s="2317"/>
      <c r="D86" s="2317"/>
      <c r="E86" s="2317"/>
      <c r="F86" s="2317"/>
      <c r="G86" s="2317"/>
      <c r="H86" s="2317"/>
    </row>
    <row r="87" spans="1:8">
      <c r="A87" s="2318" t="s">
        <v>7508</v>
      </c>
      <c r="B87" s="2317"/>
      <c r="C87" s="2317"/>
      <c r="D87" s="2317"/>
      <c r="E87" s="2317"/>
      <c r="F87" s="2317"/>
      <c r="G87" s="2317"/>
      <c r="H87" s="2317"/>
    </row>
    <row r="88" spans="1:8">
      <c r="A88" s="2318" t="s">
        <v>7509</v>
      </c>
      <c r="B88" s="2317"/>
      <c r="C88" s="2317"/>
      <c r="D88" s="2317"/>
      <c r="E88" s="2317"/>
      <c r="F88" s="2317"/>
      <c r="G88" s="2317"/>
      <c r="H88" s="2317"/>
    </row>
    <row r="89" spans="1:8">
      <c r="A89" s="2318" t="s">
        <v>7392</v>
      </c>
      <c r="B89" s="2317"/>
      <c r="C89" s="2317"/>
      <c r="D89" s="2317"/>
      <c r="E89" s="2317"/>
      <c r="F89" s="2317"/>
      <c r="G89" s="2317"/>
      <c r="H89" s="2317"/>
    </row>
    <row r="90" spans="1:8">
      <c r="A90" s="2317"/>
      <c r="B90" s="2317"/>
      <c r="C90" s="2317"/>
      <c r="D90" s="2317"/>
      <c r="E90" s="2317"/>
      <c r="F90" s="2317"/>
      <c r="G90" s="2317"/>
      <c r="H90" s="2317"/>
    </row>
    <row r="91" spans="1:8">
      <c r="A91" s="2318" t="s">
        <v>7498</v>
      </c>
      <c r="B91" s="2317"/>
      <c r="C91" s="2317"/>
      <c r="D91" s="2317"/>
      <c r="E91" s="2317"/>
      <c r="F91" s="2317"/>
      <c r="G91" s="2317"/>
      <c r="H91" s="2317"/>
    </row>
    <row r="92" spans="1:8">
      <c r="A92" s="2318" t="s">
        <v>7499</v>
      </c>
      <c r="B92" s="2317"/>
      <c r="C92" s="2317"/>
      <c r="D92" s="2317"/>
      <c r="E92" s="2317"/>
      <c r="F92" s="2317"/>
      <c r="G92" s="2317"/>
      <c r="H92" s="2317"/>
    </row>
    <row r="93" spans="1:8">
      <c r="A93" s="2318" t="s">
        <v>7500</v>
      </c>
      <c r="B93" s="2317"/>
      <c r="C93" s="2317"/>
      <c r="D93" s="2317"/>
      <c r="E93" s="2317"/>
      <c r="F93" s="2317"/>
      <c r="G93" s="2317"/>
      <c r="H93" s="2317"/>
    </row>
    <row r="94" spans="1:8">
      <c r="A94" s="2318" t="s">
        <v>7501</v>
      </c>
      <c r="B94" s="2317"/>
      <c r="C94" s="2317"/>
      <c r="D94" s="2317"/>
      <c r="E94" s="2317"/>
      <c r="F94" s="2317"/>
      <c r="G94" s="2317"/>
      <c r="H94" s="2317"/>
    </row>
    <row r="95" spans="1:8">
      <c r="A95" s="2318" t="s">
        <v>7502</v>
      </c>
      <c r="B95" s="2317"/>
      <c r="C95" s="2317"/>
      <c r="D95" s="2317"/>
      <c r="E95" s="2317"/>
      <c r="F95" s="2317"/>
      <c r="G95" s="2317"/>
      <c r="H95" s="2317"/>
    </row>
    <row r="96" spans="1:8">
      <c r="A96" s="2318" t="s">
        <v>7503</v>
      </c>
      <c r="B96" s="2317"/>
      <c r="C96" s="2317"/>
      <c r="D96" s="2317"/>
      <c r="E96" s="2317"/>
      <c r="F96" s="2317"/>
      <c r="G96" s="2317"/>
      <c r="H96" s="2317"/>
    </row>
    <row r="97" spans="1:8">
      <c r="A97" s="2318" t="s">
        <v>7504</v>
      </c>
      <c r="B97" s="2317"/>
      <c r="C97" s="2317"/>
      <c r="D97" s="2317"/>
      <c r="E97" s="2317"/>
      <c r="F97" s="2317"/>
      <c r="G97" s="2317"/>
      <c r="H97" s="2317"/>
    </row>
    <row r="98" spans="1:8">
      <c r="A98" s="2317"/>
      <c r="B98" s="2317"/>
      <c r="C98" s="2317"/>
      <c r="D98" s="2317"/>
      <c r="E98" s="2317"/>
      <c r="F98" s="2317"/>
      <c r="G98" s="2317"/>
      <c r="H98" s="2317"/>
    </row>
    <row r="99" spans="1:8">
      <c r="A99" s="2318" t="s">
        <v>7496</v>
      </c>
      <c r="B99" s="2317"/>
      <c r="C99" s="2317"/>
      <c r="D99" s="2317"/>
      <c r="E99" s="2317"/>
      <c r="F99" s="2317"/>
      <c r="G99" s="2317"/>
      <c r="H99" s="2317"/>
    </row>
    <row r="100" spans="1:8">
      <c r="A100" s="2318" t="s">
        <v>7497</v>
      </c>
      <c r="B100" s="2317"/>
      <c r="C100" s="2317"/>
      <c r="D100" s="2317"/>
      <c r="E100" s="2317"/>
      <c r="F100" s="2317"/>
      <c r="G100" s="2317"/>
      <c r="H100" s="2317"/>
    </row>
    <row r="101" spans="1:8">
      <c r="A101" s="2317"/>
      <c r="B101" s="2317"/>
      <c r="C101" s="2317"/>
      <c r="D101" s="2317"/>
      <c r="E101" s="2317"/>
      <c r="F101" s="2317"/>
      <c r="G101" s="2317"/>
      <c r="H101" s="2317"/>
    </row>
    <row r="102" spans="1:8" ht="15.75">
      <c r="A102" s="2319" t="s">
        <v>7269</v>
      </c>
      <c r="B102" s="2317"/>
      <c r="C102" s="2317"/>
      <c r="D102" s="2317"/>
      <c r="E102" s="2317"/>
      <c r="F102" s="2317"/>
      <c r="G102" s="2317"/>
      <c r="H102" s="2317"/>
    </row>
    <row r="103" spans="1:8">
      <c r="A103" s="2317"/>
      <c r="B103" s="2317"/>
      <c r="C103" s="2317"/>
      <c r="D103" s="2317"/>
      <c r="E103" s="2317"/>
      <c r="F103" s="2317"/>
      <c r="G103" s="2317"/>
      <c r="H103" s="2317"/>
    </row>
    <row r="104" spans="1:8">
      <c r="A104" s="2318" t="s">
        <v>7487</v>
      </c>
      <c r="B104" s="2317"/>
      <c r="C104" s="2317"/>
      <c r="D104" s="2317"/>
      <c r="E104" s="2317"/>
      <c r="F104" s="2317"/>
      <c r="G104" s="2317"/>
      <c r="H104" s="2317"/>
    </row>
    <row r="105" spans="1:8">
      <c r="A105" s="2318" t="s">
        <v>7488</v>
      </c>
      <c r="B105" s="2317"/>
      <c r="C105" s="2317"/>
      <c r="D105" s="2317"/>
      <c r="E105" s="2317"/>
      <c r="F105" s="2317"/>
      <c r="G105" s="2317"/>
      <c r="H105" s="2317"/>
    </row>
    <row r="106" spans="1:8">
      <c r="A106" s="2318" t="s">
        <v>7489</v>
      </c>
      <c r="B106" s="2317"/>
      <c r="C106" s="2317"/>
      <c r="D106" s="2317"/>
      <c r="E106" s="2317"/>
      <c r="F106" s="2317"/>
      <c r="G106" s="2317"/>
      <c r="H106" s="2317"/>
    </row>
    <row r="107" spans="1:8">
      <c r="A107" s="2318" t="s">
        <v>7490</v>
      </c>
      <c r="B107" s="2317"/>
      <c r="C107" s="2317"/>
      <c r="D107" s="2317"/>
      <c r="E107" s="2317"/>
      <c r="F107" s="2317"/>
      <c r="G107" s="2317"/>
      <c r="H107" s="2317"/>
    </row>
    <row r="108" spans="1:8">
      <c r="A108" s="2318" t="s">
        <v>7491</v>
      </c>
      <c r="B108" s="2317"/>
      <c r="C108" s="2317"/>
      <c r="D108" s="2317"/>
      <c r="E108" s="2317"/>
      <c r="F108" s="2317"/>
      <c r="G108" s="2317"/>
      <c r="H108" s="2317"/>
    </row>
    <row r="109" spans="1:8">
      <c r="A109" s="2318" t="s">
        <v>7492</v>
      </c>
      <c r="B109" s="2317"/>
      <c r="C109" s="2317"/>
      <c r="D109" s="2317"/>
      <c r="E109" s="2317"/>
      <c r="F109" s="2317"/>
      <c r="G109" s="2317"/>
      <c r="H109" s="2317"/>
    </row>
    <row r="110" spans="1:8">
      <c r="A110" s="2318" t="s">
        <v>7493</v>
      </c>
      <c r="B110" s="2317"/>
      <c r="C110" s="2317"/>
      <c r="D110" s="2317"/>
      <c r="E110" s="2317"/>
      <c r="F110" s="2317"/>
      <c r="G110" s="2317"/>
      <c r="H110" s="2317"/>
    </row>
    <row r="111" spans="1:8">
      <c r="A111" s="2318" t="s">
        <v>7494</v>
      </c>
      <c r="B111" s="2317"/>
      <c r="C111" s="2317"/>
      <c r="D111" s="2317"/>
      <c r="E111" s="2317"/>
      <c r="F111" s="2317"/>
      <c r="G111" s="2317"/>
      <c r="H111" s="2317"/>
    </row>
    <row r="112" spans="1:8">
      <c r="A112" s="2318" t="s">
        <v>7495</v>
      </c>
      <c r="B112" s="2317"/>
      <c r="C112" s="2317"/>
      <c r="D112" s="2317"/>
      <c r="E112" s="2317"/>
      <c r="F112" s="2317"/>
      <c r="G112" s="2317"/>
      <c r="H112" s="2317"/>
    </row>
    <row r="113" spans="1:8">
      <c r="A113" s="2317"/>
      <c r="B113" s="2317"/>
      <c r="C113" s="2317"/>
      <c r="D113" s="2317"/>
      <c r="E113" s="2317"/>
      <c r="F113" s="2317"/>
      <c r="G113" s="2317"/>
      <c r="H113" s="2317"/>
    </row>
    <row r="114" spans="1:8" ht="15.75">
      <c r="A114" s="2320" t="s">
        <v>7270</v>
      </c>
      <c r="B114" s="2320"/>
      <c r="C114" s="2320"/>
      <c r="D114" s="2320"/>
      <c r="E114" s="2320"/>
      <c r="F114" s="2320"/>
      <c r="G114" s="2320"/>
      <c r="H114" s="2320"/>
    </row>
    <row r="115" spans="1:8">
      <c r="A115" s="2321" t="s">
        <v>7271</v>
      </c>
      <c r="B115" s="2321"/>
      <c r="C115" s="2321"/>
      <c r="D115" s="2321"/>
      <c r="E115" s="2321"/>
      <c r="F115" s="2321"/>
      <c r="G115" s="2321"/>
      <c r="H115" s="2321"/>
    </row>
    <row r="116" spans="1:8">
      <c r="A116" s="2322"/>
      <c r="B116" s="2322"/>
      <c r="C116" s="2322"/>
      <c r="D116" s="2322"/>
      <c r="E116" s="2322"/>
      <c r="F116" s="2322"/>
      <c r="G116" s="2322"/>
      <c r="H116" s="2322"/>
    </row>
    <row r="117" spans="1:8">
      <c r="A117" s="2321" t="s">
        <v>7485</v>
      </c>
      <c r="B117" s="2321"/>
      <c r="C117" s="2321"/>
      <c r="D117" s="2321"/>
      <c r="E117" s="2321"/>
      <c r="F117" s="2321"/>
      <c r="G117" s="2321"/>
      <c r="H117" s="2321"/>
    </row>
    <row r="118" spans="1:8">
      <c r="A118" s="2318" t="s">
        <v>7486</v>
      </c>
      <c r="B118" s="2318"/>
      <c r="C118" s="2318"/>
      <c r="D118" s="2318"/>
      <c r="E118" s="2318"/>
      <c r="F118" s="2318"/>
      <c r="G118" s="2318"/>
      <c r="H118" s="2318"/>
    </row>
    <row r="119" spans="1:8">
      <c r="A119" s="2322"/>
      <c r="B119" s="2322"/>
      <c r="C119" s="2322"/>
      <c r="D119" s="2322"/>
      <c r="E119" s="2322"/>
      <c r="F119" s="2322"/>
      <c r="G119" s="2322"/>
      <c r="H119" s="2322"/>
    </row>
    <row r="120" spans="1:8">
      <c r="A120" s="2321" t="s">
        <v>7478</v>
      </c>
      <c r="B120" s="2321"/>
      <c r="C120" s="2321"/>
      <c r="D120" s="2321"/>
      <c r="E120" s="2321"/>
      <c r="F120" s="2321"/>
      <c r="G120" s="2321"/>
      <c r="H120" s="2321"/>
    </row>
    <row r="121" spans="1:8">
      <c r="A121" s="2318" t="s">
        <v>7479</v>
      </c>
      <c r="B121" s="2318"/>
      <c r="C121" s="2318"/>
      <c r="D121" s="2318"/>
      <c r="E121" s="2318"/>
      <c r="F121" s="2318"/>
      <c r="G121" s="2318"/>
      <c r="H121" s="2318"/>
    </row>
    <row r="122" spans="1:8">
      <c r="A122" s="2318" t="s">
        <v>7480</v>
      </c>
      <c r="B122" s="2318"/>
      <c r="C122" s="2318"/>
      <c r="D122" s="2318"/>
      <c r="E122" s="2318"/>
      <c r="F122" s="2318"/>
      <c r="G122" s="2318"/>
      <c r="H122" s="2318"/>
    </row>
    <row r="123" spans="1:8">
      <c r="A123" s="2318" t="s">
        <v>7481</v>
      </c>
      <c r="B123" s="2318"/>
      <c r="C123" s="2318"/>
      <c r="D123" s="2318"/>
      <c r="E123" s="2318"/>
      <c r="F123" s="2318"/>
      <c r="G123" s="2318"/>
      <c r="H123" s="2318"/>
    </row>
    <row r="124" spans="1:8">
      <c r="A124" s="2318" t="s">
        <v>7482</v>
      </c>
      <c r="B124" s="2318"/>
      <c r="C124" s="2318"/>
      <c r="D124" s="2318"/>
      <c r="E124" s="2318"/>
      <c r="F124" s="2318"/>
      <c r="G124" s="2318"/>
      <c r="H124" s="2318"/>
    </row>
    <row r="125" spans="1:8">
      <c r="A125" s="2318" t="s">
        <v>7483</v>
      </c>
      <c r="B125" s="2318"/>
      <c r="C125" s="2318"/>
      <c r="D125" s="2318"/>
      <c r="E125" s="2318"/>
      <c r="F125" s="2318"/>
      <c r="G125" s="2318"/>
      <c r="H125" s="2318"/>
    </row>
    <row r="126" spans="1:8">
      <c r="A126" s="2318" t="s">
        <v>7484</v>
      </c>
      <c r="B126" s="2318"/>
      <c r="C126" s="2318"/>
      <c r="D126" s="2318"/>
      <c r="E126" s="2318"/>
      <c r="F126" s="2318"/>
      <c r="G126" s="2318"/>
      <c r="H126" s="2318"/>
    </row>
    <row r="127" spans="1:8">
      <c r="A127" s="2323"/>
      <c r="B127" s="2323"/>
      <c r="C127" s="2323"/>
      <c r="D127" s="2323"/>
      <c r="E127" s="2323"/>
      <c r="F127" s="2323"/>
      <c r="G127" s="2323"/>
      <c r="H127" s="2323"/>
    </row>
    <row r="128" spans="1:8">
      <c r="A128" s="2324"/>
      <c r="B128" s="2325" t="s">
        <v>7272</v>
      </c>
      <c r="C128" s="2326"/>
      <c r="D128" s="2325" t="s">
        <v>7273</v>
      </c>
      <c r="E128" s="2327"/>
      <c r="F128" s="2326"/>
      <c r="G128" s="2325" t="s">
        <v>7274</v>
      </c>
      <c r="H128" s="2326"/>
    </row>
    <row r="129" spans="1:8">
      <c r="A129" s="2324" t="s">
        <v>7275</v>
      </c>
      <c r="B129" s="2324" t="s">
        <v>3813</v>
      </c>
      <c r="C129" s="2324" t="s">
        <v>4678</v>
      </c>
      <c r="D129" s="2324" t="s">
        <v>3813</v>
      </c>
      <c r="E129" s="2324" t="s">
        <v>7276</v>
      </c>
      <c r="F129" s="2324" t="s">
        <v>7277</v>
      </c>
      <c r="G129" s="2324" t="s">
        <v>3813</v>
      </c>
      <c r="H129" s="2324" t="s">
        <v>7278</v>
      </c>
    </row>
    <row r="130" spans="1:8">
      <c r="A130" s="2324" t="s">
        <v>7279</v>
      </c>
      <c r="B130" s="2324">
        <v>1175</v>
      </c>
      <c r="C130" s="2328">
        <v>0.37</v>
      </c>
      <c r="D130" s="2324">
        <v>315</v>
      </c>
      <c r="E130" s="2328">
        <v>0.41</v>
      </c>
      <c r="F130" s="2328">
        <v>0.27</v>
      </c>
      <c r="G130" s="2324">
        <v>555</v>
      </c>
      <c r="H130" s="2328">
        <v>0.39</v>
      </c>
    </row>
    <row r="131" spans="1:8">
      <c r="A131" s="2324" t="s">
        <v>7280</v>
      </c>
      <c r="B131" s="2324">
        <v>1369</v>
      </c>
      <c r="C131" s="2328">
        <v>0.43</v>
      </c>
      <c r="D131" s="2324">
        <v>357</v>
      </c>
      <c r="E131" s="2328">
        <v>0.47</v>
      </c>
      <c r="F131" s="2328">
        <v>0.26</v>
      </c>
      <c r="G131" s="2324">
        <v>643</v>
      </c>
      <c r="H131" s="2328">
        <v>0.45</v>
      </c>
    </row>
    <row r="132" spans="1:8">
      <c r="A132" s="2324" t="s">
        <v>7281</v>
      </c>
      <c r="B132" s="2324">
        <v>53</v>
      </c>
      <c r="C132" s="2328">
        <v>0.02</v>
      </c>
      <c r="D132" s="2324">
        <v>5</v>
      </c>
      <c r="E132" s="2328">
        <v>0.01</v>
      </c>
      <c r="F132" s="2328">
        <v>0.09</v>
      </c>
      <c r="G132" s="2324">
        <v>7</v>
      </c>
      <c r="H132" s="2328">
        <v>0</v>
      </c>
    </row>
    <row r="133" spans="1:8">
      <c r="A133" s="2324" t="s">
        <v>7282</v>
      </c>
      <c r="B133" s="2324">
        <v>552</v>
      </c>
      <c r="C133" s="2328">
        <v>0.18</v>
      </c>
      <c r="D133" s="2324">
        <v>87</v>
      </c>
      <c r="E133" s="2328">
        <v>0.11</v>
      </c>
      <c r="F133" s="2328">
        <v>0.16</v>
      </c>
      <c r="G133" s="2324">
        <v>222</v>
      </c>
      <c r="H133" s="2328">
        <v>0.16</v>
      </c>
    </row>
    <row r="134" spans="1:8">
      <c r="A134" s="2324" t="s">
        <v>5982</v>
      </c>
      <c r="B134" s="2329">
        <v>3149</v>
      </c>
      <c r="C134" s="2324"/>
      <c r="D134" s="2324">
        <v>764</v>
      </c>
      <c r="E134" s="2324"/>
      <c r="F134" s="2324"/>
      <c r="G134" s="2324">
        <v>1427</v>
      </c>
      <c r="H134" s="2324"/>
    </row>
    <row r="135" spans="1:8">
      <c r="A135" s="2330"/>
      <c r="B135" s="2330"/>
      <c r="C135" s="2330"/>
      <c r="D135" s="2330"/>
      <c r="E135" s="2330"/>
      <c r="F135" s="2330"/>
      <c r="G135" s="2330"/>
      <c r="H135" s="2330"/>
    </row>
    <row r="136" spans="1:8">
      <c r="A136" s="2321" t="s">
        <v>7474</v>
      </c>
      <c r="B136" s="2321"/>
      <c r="C136" s="2321"/>
      <c r="D136" s="2321"/>
      <c r="E136" s="2321"/>
      <c r="F136" s="2321"/>
      <c r="G136" s="2321"/>
      <c r="H136" s="2321"/>
    </row>
    <row r="137" spans="1:8">
      <c r="A137" s="2318" t="s">
        <v>7475</v>
      </c>
      <c r="B137" s="2318"/>
      <c r="C137" s="2318"/>
      <c r="D137" s="2318"/>
      <c r="E137" s="2318"/>
      <c r="F137" s="2318"/>
      <c r="G137" s="2318"/>
      <c r="H137" s="2318"/>
    </row>
    <row r="138" spans="1:8">
      <c r="A138" s="2318" t="s">
        <v>7476</v>
      </c>
      <c r="B138" s="2318"/>
      <c r="C138" s="2318"/>
      <c r="D138" s="2318"/>
      <c r="E138" s="2318"/>
      <c r="F138" s="2318"/>
      <c r="G138" s="2318"/>
      <c r="H138" s="2318"/>
    </row>
    <row r="139" spans="1:8">
      <c r="A139" s="2318" t="s">
        <v>7477</v>
      </c>
      <c r="B139" s="2318"/>
      <c r="C139" s="2318"/>
      <c r="D139" s="2318"/>
      <c r="E139" s="2318"/>
      <c r="F139" s="2318"/>
      <c r="G139" s="2318"/>
      <c r="H139" s="2318"/>
    </row>
    <row r="140" spans="1:8">
      <c r="A140" s="2317"/>
      <c r="B140" s="2317"/>
      <c r="C140" s="2317"/>
      <c r="D140" s="2317"/>
      <c r="E140" s="2317"/>
      <c r="F140" s="2317"/>
      <c r="G140" s="2317"/>
      <c r="H140" s="2317"/>
    </row>
    <row r="141" spans="1:8" ht="15.75">
      <c r="A141" s="2319" t="s">
        <v>7283</v>
      </c>
      <c r="B141" s="2317"/>
      <c r="C141" s="2317"/>
      <c r="D141" s="2317"/>
      <c r="E141" s="2317"/>
      <c r="F141" s="2317"/>
      <c r="G141" s="2317"/>
      <c r="H141" s="2317"/>
    </row>
    <row r="142" spans="1:8">
      <c r="A142" s="2317"/>
      <c r="B142" s="2317"/>
      <c r="C142" s="2317"/>
      <c r="D142" s="2317"/>
      <c r="E142" s="2317"/>
      <c r="F142" s="2317"/>
      <c r="G142" s="2317"/>
      <c r="H142" s="2317"/>
    </row>
    <row r="143" spans="1:8">
      <c r="A143" s="2318" t="s">
        <v>7472</v>
      </c>
      <c r="B143" s="2317"/>
      <c r="C143" s="2317"/>
      <c r="D143" s="2317"/>
      <c r="E143" s="2317"/>
      <c r="F143" s="2317"/>
      <c r="G143" s="2317"/>
      <c r="H143" s="2317"/>
    </row>
    <row r="144" spans="1:8">
      <c r="A144" s="2318" t="s">
        <v>7473</v>
      </c>
      <c r="B144" s="2317"/>
      <c r="C144" s="2317"/>
      <c r="D144" s="2317"/>
      <c r="E144" s="2317"/>
      <c r="F144" s="2317"/>
      <c r="G144" s="2317"/>
      <c r="H144" s="2317"/>
    </row>
    <row r="145" spans="1:8">
      <c r="A145" s="2317"/>
      <c r="B145" s="2317"/>
      <c r="C145" s="2317"/>
      <c r="D145" s="2317"/>
      <c r="E145" s="2317"/>
      <c r="F145" s="2317"/>
      <c r="G145" s="2317"/>
      <c r="H145" s="2317"/>
    </row>
    <row r="146" spans="1:8">
      <c r="A146" s="2318" t="s">
        <v>7469</v>
      </c>
      <c r="B146" s="2317"/>
      <c r="C146" s="2317"/>
      <c r="D146" s="2317"/>
      <c r="E146" s="2317"/>
      <c r="F146" s="2317"/>
      <c r="G146" s="2317"/>
      <c r="H146" s="2317"/>
    </row>
    <row r="147" spans="1:8">
      <c r="A147" s="2318" t="s">
        <v>7470</v>
      </c>
      <c r="B147" s="2317"/>
      <c r="C147" s="2317"/>
      <c r="D147" s="2317"/>
      <c r="E147" s="2317"/>
      <c r="F147" s="2317"/>
      <c r="G147" s="2317"/>
      <c r="H147" s="2317"/>
    </row>
    <row r="148" spans="1:8">
      <c r="A148" s="2318" t="s">
        <v>7471</v>
      </c>
      <c r="B148" s="2317"/>
      <c r="C148" s="2317"/>
      <c r="D148" s="2317"/>
      <c r="E148" s="2317"/>
      <c r="F148" s="2317"/>
      <c r="G148" s="2317"/>
      <c r="H148" s="2317"/>
    </row>
    <row r="149" spans="1:8">
      <c r="A149" s="2317"/>
      <c r="B149" s="2317"/>
      <c r="C149" s="2317"/>
      <c r="D149" s="2317"/>
      <c r="E149" s="2317"/>
      <c r="F149" s="2317"/>
      <c r="G149" s="2317"/>
      <c r="H149" s="2317"/>
    </row>
    <row r="150" spans="1:8">
      <c r="A150" s="2318" t="s">
        <v>7466</v>
      </c>
      <c r="B150" s="2317"/>
      <c r="C150" s="2317"/>
      <c r="D150" s="2317"/>
      <c r="E150" s="2317"/>
      <c r="F150" s="2317"/>
      <c r="G150" s="2317"/>
      <c r="H150" s="2317"/>
    </row>
    <row r="151" spans="1:8">
      <c r="A151" s="2318" t="s">
        <v>7467</v>
      </c>
      <c r="B151" s="2317"/>
      <c r="C151" s="2317"/>
      <c r="D151" s="2317"/>
      <c r="E151" s="2317"/>
      <c r="F151" s="2317"/>
      <c r="G151" s="2317"/>
      <c r="H151" s="2317"/>
    </row>
    <row r="152" spans="1:8">
      <c r="A152" s="2318" t="s">
        <v>7468</v>
      </c>
      <c r="B152" s="2317"/>
      <c r="C152" s="2317"/>
      <c r="D152" s="2317"/>
      <c r="E152" s="2317"/>
      <c r="F152" s="2317"/>
      <c r="G152" s="2317"/>
      <c r="H152" s="2317"/>
    </row>
    <row r="153" spans="1:8">
      <c r="A153" s="2317"/>
      <c r="B153" s="2317"/>
      <c r="C153" s="2317"/>
      <c r="D153" s="2317"/>
      <c r="E153" s="2317"/>
      <c r="F153" s="2317"/>
      <c r="G153" s="2317"/>
      <c r="H153" s="2317"/>
    </row>
    <row r="154" spans="1:8">
      <c r="A154" s="2318" t="s">
        <v>7463</v>
      </c>
      <c r="B154" s="2317"/>
      <c r="C154" s="2317"/>
      <c r="D154" s="2317"/>
      <c r="E154" s="2317"/>
      <c r="F154" s="2317"/>
      <c r="G154" s="2317"/>
      <c r="H154" s="2317"/>
    </row>
    <row r="155" spans="1:8">
      <c r="A155" s="2318" t="s">
        <v>7464</v>
      </c>
      <c r="B155" s="2317"/>
      <c r="C155" s="2317"/>
      <c r="D155" s="2317"/>
      <c r="E155" s="2317"/>
      <c r="F155" s="2317"/>
      <c r="G155" s="2317"/>
      <c r="H155" s="2317"/>
    </row>
    <row r="156" spans="1:8">
      <c r="A156" s="2318" t="s">
        <v>7465</v>
      </c>
      <c r="B156" s="2317"/>
      <c r="C156" s="2317"/>
      <c r="D156" s="2317"/>
      <c r="E156" s="2317"/>
      <c r="F156" s="2317"/>
      <c r="G156" s="2317"/>
      <c r="H156" s="2317"/>
    </row>
    <row r="157" spans="1:8">
      <c r="A157" s="2317"/>
      <c r="B157" s="2317"/>
      <c r="C157" s="2317"/>
      <c r="D157" s="2317"/>
      <c r="E157" s="2317"/>
      <c r="F157" s="2317"/>
      <c r="G157" s="2317"/>
      <c r="H157" s="2317"/>
    </row>
    <row r="158" spans="1:8">
      <c r="A158" s="2318" t="s">
        <v>7461</v>
      </c>
      <c r="B158" s="2317"/>
      <c r="C158" s="2317"/>
      <c r="D158" s="2317"/>
      <c r="E158" s="2317"/>
      <c r="F158" s="2317"/>
      <c r="G158" s="2317"/>
      <c r="H158" s="2317"/>
    </row>
    <row r="159" spans="1:8">
      <c r="A159" s="2318" t="s">
        <v>7462</v>
      </c>
      <c r="B159" s="2317"/>
      <c r="C159" s="2317"/>
      <c r="D159" s="2317"/>
      <c r="E159" s="2317"/>
      <c r="F159" s="2317"/>
      <c r="G159" s="2317"/>
      <c r="H159" s="2317"/>
    </row>
    <row r="160" spans="1:8">
      <c r="A160" s="2317"/>
      <c r="B160" s="2317"/>
      <c r="C160" s="2317"/>
      <c r="D160" s="2317"/>
      <c r="E160" s="2317"/>
      <c r="F160" s="2317"/>
      <c r="G160" s="2317"/>
      <c r="H160" s="2317"/>
    </row>
    <row r="161" spans="1:8" ht="15.75">
      <c r="A161" s="2319" t="s">
        <v>7284</v>
      </c>
      <c r="B161" s="2317"/>
      <c r="C161" s="2317"/>
      <c r="D161" s="2317"/>
      <c r="E161" s="2317"/>
      <c r="F161" s="2317"/>
      <c r="G161" s="2317"/>
      <c r="H161" s="2317"/>
    </row>
    <row r="162" spans="1:8">
      <c r="A162" s="2317"/>
      <c r="B162" s="2317"/>
      <c r="C162" s="2317"/>
      <c r="D162" s="2317"/>
      <c r="E162" s="2317"/>
      <c r="F162" s="2317"/>
      <c r="G162" s="2317"/>
      <c r="H162" s="2317"/>
    </row>
    <row r="163" spans="1:8">
      <c r="A163" s="2318" t="s">
        <v>7459</v>
      </c>
      <c r="B163" s="2317"/>
      <c r="C163" s="2317"/>
      <c r="D163" s="2317"/>
      <c r="E163" s="2317"/>
      <c r="F163" s="2317"/>
      <c r="G163" s="2317"/>
      <c r="H163" s="2317"/>
    </row>
    <row r="164" spans="1:8">
      <c r="A164" s="2318" t="s">
        <v>7460</v>
      </c>
      <c r="B164" s="2317"/>
      <c r="C164" s="2317"/>
      <c r="D164" s="2317"/>
      <c r="E164" s="2317"/>
      <c r="F164" s="2317"/>
      <c r="G164" s="2317"/>
      <c r="H164" s="2317"/>
    </row>
    <row r="165" spans="1:8">
      <c r="A165" s="2317"/>
      <c r="B165" s="2317"/>
      <c r="C165" s="2317"/>
      <c r="D165" s="2317"/>
      <c r="E165" s="2317"/>
      <c r="F165" s="2317"/>
      <c r="G165" s="2317"/>
      <c r="H165" s="2317"/>
    </row>
    <row r="166" spans="1:8">
      <c r="A166" s="2318" t="s">
        <v>7457</v>
      </c>
      <c r="B166" s="2317"/>
      <c r="C166" s="2317"/>
      <c r="D166" s="2317"/>
      <c r="E166" s="2317"/>
      <c r="F166" s="2317"/>
      <c r="G166" s="2317"/>
      <c r="H166" s="2317"/>
    </row>
    <row r="167" spans="1:8">
      <c r="A167" s="2318" t="s">
        <v>7458</v>
      </c>
      <c r="B167" s="2317"/>
      <c r="C167" s="2317"/>
      <c r="D167" s="2317"/>
      <c r="E167" s="2317"/>
      <c r="F167" s="2317"/>
      <c r="G167" s="2317"/>
      <c r="H167" s="2317"/>
    </row>
    <row r="168" spans="1:8">
      <c r="A168" s="2317"/>
      <c r="B168" s="2317"/>
      <c r="C168" s="2317"/>
      <c r="D168" s="2317"/>
      <c r="E168" s="2317"/>
      <c r="F168" s="2317"/>
      <c r="G168" s="2317"/>
      <c r="H168" s="2317"/>
    </row>
    <row r="169" spans="1:8">
      <c r="A169" s="2318" t="s">
        <v>7455</v>
      </c>
      <c r="B169" s="2317"/>
      <c r="C169" s="2317"/>
      <c r="D169" s="2317"/>
      <c r="E169" s="2317"/>
      <c r="F169" s="2317"/>
      <c r="G169" s="2317"/>
      <c r="H169" s="2317"/>
    </row>
    <row r="170" spans="1:8">
      <c r="A170" s="2318" t="s">
        <v>7456</v>
      </c>
      <c r="B170" s="2317"/>
      <c r="C170" s="2317"/>
      <c r="D170" s="2317"/>
      <c r="E170" s="2317"/>
      <c r="F170" s="2317"/>
      <c r="G170" s="2317"/>
      <c r="H170" s="2317"/>
    </row>
    <row r="171" spans="1:8">
      <c r="A171" s="2317"/>
      <c r="B171" s="2317"/>
      <c r="C171" s="2317"/>
      <c r="D171" s="2317"/>
      <c r="E171" s="2317"/>
      <c r="F171" s="2317"/>
      <c r="G171" s="2317"/>
      <c r="H171" s="2317"/>
    </row>
    <row r="172" spans="1:8">
      <c r="A172" s="2318" t="s">
        <v>7452</v>
      </c>
      <c r="B172" s="2317"/>
      <c r="C172" s="2317"/>
      <c r="D172" s="2317"/>
      <c r="E172" s="2317"/>
      <c r="F172" s="2317"/>
      <c r="G172" s="2317"/>
      <c r="H172" s="2317"/>
    </row>
    <row r="173" spans="1:8">
      <c r="A173" s="2318" t="s">
        <v>7453</v>
      </c>
      <c r="B173" s="2317"/>
      <c r="C173" s="2317"/>
      <c r="D173" s="2317"/>
      <c r="E173" s="2317"/>
      <c r="F173" s="2317"/>
      <c r="G173" s="2317"/>
      <c r="H173" s="2317"/>
    </row>
    <row r="174" spans="1:8">
      <c r="A174" s="2318" t="s">
        <v>7454</v>
      </c>
      <c r="B174" s="2317"/>
      <c r="C174" s="2317"/>
      <c r="D174" s="2317"/>
      <c r="E174" s="2317"/>
      <c r="F174" s="2317"/>
      <c r="G174" s="2317"/>
      <c r="H174" s="2317"/>
    </row>
    <row r="175" spans="1:8">
      <c r="A175" s="2317"/>
      <c r="B175" s="2317"/>
      <c r="C175" s="2317"/>
      <c r="D175" s="2317"/>
      <c r="E175" s="2317"/>
      <c r="F175" s="2317"/>
      <c r="G175" s="2317"/>
      <c r="H175" s="2317"/>
    </row>
    <row r="176" spans="1:8">
      <c r="A176" s="2317"/>
      <c r="B176" s="2317"/>
      <c r="C176" s="2317"/>
      <c r="D176" s="2317"/>
      <c r="E176" s="2317"/>
      <c r="F176" s="2317"/>
      <c r="G176" s="2317"/>
      <c r="H176" s="2317"/>
    </row>
    <row r="177" spans="1:8">
      <c r="A177" s="2318" t="s">
        <v>6025</v>
      </c>
      <c r="B177" s="2317"/>
      <c r="C177" s="2317"/>
      <c r="D177" s="2317"/>
      <c r="E177" s="2317"/>
      <c r="F177" s="2317"/>
      <c r="G177" s="2317"/>
      <c r="H177" s="2317"/>
    </row>
    <row r="178" spans="1:8">
      <c r="A178" s="2317"/>
      <c r="B178" s="2317"/>
      <c r="C178" s="2317"/>
      <c r="D178" s="2317"/>
      <c r="E178" s="2317"/>
      <c r="F178" s="2317"/>
      <c r="G178" s="2317"/>
      <c r="H178" s="2317"/>
    </row>
    <row r="179" spans="1:8" ht="15.75">
      <c r="A179" s="2319" t="s">
        <v>7285</v>
      </c>
      <c r="B179" s="2317"/>
      <c r="C179" s="2317"/>
      <c r="D179" s="2317"/>
      <c r="E179" s="2317"/>
      <c r="F179" s="2317"/>
      <c r="G179" s="2317"/>
      <c r="H179" s="2317"/>
    </row>
    <row r="180" spans="1:8">
      <c r="A180" s="2317"/>
      <c r="B180" s="2317"/>
      <c r="C180" s="2317"/>
      <c r="D180" s="2317"/>
      <c r="E180" s="2317"/>
      <c r="F180" s="2317"/>
      <c r="G180" s="2317"/>
      <c r="H180" s="2317"/>
    </row>
    <row r="181" spans="1:8">
      <c r="A181" s="2317"/>
      <c r="B181" s="2317"/>
      <c r="C181" s="2317"/>
      <c r="D181" s="2317"/>
      <c r="E181" s="2317"/>
      <c r="F181" s="2317"/>
      <c r="G181" s="2317"/>
      <c r="H181" s="2317"/>
    </row>
    <row r="182" spans="1:8">
      <c r="A182" s="2317"/>
      <c r="B182" s="2317"/>
      <c r="C182" s="2317"/>
      <c r="D182" s="2317"/>
      <c r="E182" s="2317"/>
      <c r="F182" s="2317"/>
      <c r="G182" s="2317"/>
      <c r="H182" s="2317"/>
    </row>
    <row r="183" spans="1:8">
      <c r="A183" s="2317"/>
      <c r="B183" s="2317"/>
      <c r="C183" s="2317"/>
      <c r="D183" s="2317"/>
      <c r="E183" s="2317"/>
      <c r="F183" s="2317"/>
      <c r="G183" s="2317"/>
      <c r="H183" s="2317"/>
    </row>
    <row r="184" spans="1:8">
      <c r="A184" s="2317"/>
      <c r="B184" s="2317"/>
      <c r="C184" s="2317"/>
      <c r="D184" s="2317"/>
      <c r="E184" s="2317"/>
      <c r="F184" s="2317"/>
      <c r="G184" s="2317"/>
      <c r="H184" s="2317"/>
    </row>
    <row r="185" spans="1:8">
      <c r="A185" s="2317"/>
      <c r="B185" s="2317"/>
      <c r="C185" s="2317"/>
      <c r="D185" s="2317"/>
      <c r="E185" s="2317"/>
      <c r="F185" s="2317"/>
      <c r="G185" s="2317"/>
      <c r="H185" s="2317"/>
    </row>
    <row r="186" spans="1:8">
      <c r="A186" s="2317"/>
      <c r="B186" s="2317"/>
      <c r="C186" s="2317"/>
      <c r="D186" s="2317"/>
      <c r="E186" s="2317"/>
      <c r="F186" s="2317"/>
      <c r="G186" s="2317"/>
      <c r="H186" s="2317"/>
    </row>
    <row r="187" spans="1:8">
      <c r="A187" s="2317"/>
      <c r="B187" s="2317"/>
      <c r="C187" s="2317"/>
      <c r="D187" s="2317"/>
      <c r="E187" s="2317"/>
      <c r="F187" s="2317"/>
      <c r="G187" s="2317"/>
      <c r="H187" s="2317"/>
    </row>
    <row r="188" spans="1:8">
      <c r="A188" s="2317"/>
      <c r="B188" s="2317"/>
      <c r="C188" s="2317"/>
      <c r="D188" s="2317"/>
      <c r="E188" s="2317"/>
      <c r="F188" s="2317"/>
      <c r="G188" s="2317"/>
      <c r="H188" s="2317"/>
    </row>
    <row r="189" spans="1:8">
      <c r="A189" s="2317"/>
      <c r="B189" s="2317"/>
      <c r="C189" s="2317"/>
      <c r="D189" s="2317"/>
      <c r="E189" s="2317"/>
      <c r="F189" s="2317"/>
      <c r="G189" s="2317"/>
      <c r="H189" s="2317"/>
    </row>
    <row r="190" spans="1:8">
      <c r="A190" s="2317"/>
      <c r="B190" s="2317"/>
      <c r="C190" s="2317"/>
      <c r="D190" s="2317"/>
      <c r="E190" s="2317"/>
      <c r="F190" s="2317"/>
      <c r="G190" s="2317"/>
      <c r="H190" s="2317"/>
    </row>
    <row r="191" spans="1:8">
      <c r="A191" s="2317"/>
      <c r="B191" s="2317"/>
      <c r="C191" s="2317"/>
      <c r="D191" s="2317"/>
      <c r="E191" s="2317"/>
      <c r="F191" s="2317"/>
      <c r="G191" s="2317"/>
      <c r="H191" s="2317"/>
    </row>
    <row r="192" spans="1:8">
      <c r="A192" s="2317"/>
      <c r="B192" s="2317"/>
      <c r="C192" s="2317"/>
      <c r="D192" s="2317"/>
      <c r="E192" s="2317"/>
      <c r="F192" s="2317"/>
      <c r="G192" s="2317"/>
      <c r="H192" s="2317"/>
    </row>
    <row r="193" spans="1:8">
      <c r="A193" s="2317"/>
      <c r="B193" s="2317"/>
      <c r="C193" s="2317"/>
      <c r="D193" s="2317"/>
      <c r="E193" s="2317"/>
      <c r="F193" s="2317"/>
      <c r="G193" s="2317"/>
      <c r="H193" s="2317"/>
    </row>
    <row r="194" spans="1:8">
      <c r="A194" s="2317"/>
      <c r="B194" s="2317"/>
      <c r="C194" s="2317"/>
      <c r="D194" s="2317"/>
      <c r="E194" s="2317"/>
      <c r="F194" s="2317"/>
      <c r="G194" s="2317"/>
      <c r="H194" s="2317"/>
    </row>
    <row r="195" spans="1:8">
      <c r="A195" s="2317"/>
      <c r="B195" s="2317"/>
      <c r="C195" s="2317"/>
      <c r="D195" s="2317"/>
      <c r="E195" s="2317"/>
      <c r="F195" s="2317"/>
      <c r="G195" s="2317"/>
      <c r="H195" s="2317"/>
    </row>
    <row r="196" spans="1:8">
      <c r="A196" s="2317"/>
      <c r="B196" s="2317"/>
      <c r="C196" s="2317"/>
      <c r="D196" s="2317"/>
      <c r="E196" s="2317"/>
      <c r="F196" s="2317"/>
      <c r="G196" s="2317"/>
      <c r="H196" s="2317"/>
    </row>
    <row r="197" spans="1:8">
      <c r="A197" s="2317"/>
      <c r="B197" s="2317"/>
      <c r="C197" s="2317"/>
      <c r="D197" s="2317"/>
      <c r="E197" s="2317"/>
      <c r="F197" s="2317"/>
      <c r="G197" s="2317"/>
      <c r="H197" s="2317"/>
    </row>
    <row r="198" spans="1:8">
      <c r="A198" s="2317"/>
      <c r="B198" s="2317"/>
      <c r="C198" s="2317"/>
      <c r="D198" s="2317"/>
      <c r="E198" s="2317"/>
      <c r="F198" s="2317"/>
      <c r="G198" s="2317"/>
      <c r="H198" s="2317"/>
    </row>
    <row r="199" spans="1:8">
      <c r="A199" s="2317"/>
      <c r="B199" s="2317"/>
      <c r="C199" s="2317"/>
      <c r="D199" s="2317"/>
      <c r="E199" s="2317"/>
      <c r="F199" s="2317"/>
      <c r="G199" s="2317"/>
      <c r="H199" s="2317"/>
    </row>
    <row r="200" spans="1:8">
      <c r="A200" s="2317"/>
      <c r="B200" s="2317"/>
      <c r="C200" s="2317"/>
      <c r="D200" s="2317"/>
      <c r="E200" s="2317"/>
      <c r="F200" s="2317"/>
      <c r="G200" s="2317"/>
      <c r="H200" s="2317"/>
    </row>
    <row r="201" spans="1:8">
      <c r="A201" s="2317"/>
      <c r="B201" s="2317"/>
      <c r="C201" s="2317"/>
      <c r="D201" s="2317"/>
      <c r="E201" s="2317"/>
      <c r="F201" s="2317"/>
      <c r="G201" s="2317"/>
      <c r="H201" s="2317"/>
    </row>
    <row r="202" spans="1:8">
      <c r="A202" s="2317"/>
      <c r="B202" s="2317"/>
      <c r="C202" s="2317"/>
      <c r="D202" s="2317"/>
      <c r="E202" s="2317"/>
      <c r="F202" s="2317"/>
      <c r="G202" s="2317"/>
      <c r="H202" s="2317"/>
    </row>
    <row r="203" spans="1:8">
      <c r="A203" s="2317"/>
      <c r="B203" s="2317"/>
      <c r="C203" s="2317"/>
      <c r="D203" s="2317"/>
      <c r="E203" s="2317"/>
      <c r="F203" s="2317"/>
      <c r="G203" s="2317"/>
      <c r="H203" s="2317"/>
    </row>
    <row r="204" spans="1:8">
      <c r="A204" s="2317"/>
      <c r="B204" s="2317"/>
      <c r="C204" s="2317"/>
      <c r="D204" s="2317"/>
      <c r="E204" s="2317"/>
      <c r="F204" s="2317"/>
      <c r="G204" s="2317"/>
      <c r="H204" s="2317"/>
    </row>
    <row r="205" spans="1:8">
      <c r="A205" s="2317"/>
      <c r="B205" s="2317"/>
      <c r="C205" s="2317"/>
      <c r="D205" s="2317"/>
      <c r="E205" s="2317"/>
      <c r="F205" s="2317"/>
      <c r="G205" s="2317"/>
      <c r="H205" s="2317"/>
    </row>
    <row r="206" spans="1:8" ht="15.75">
      <c r="A206" s="2319" t="s">
        <v>7286</v>
      </c>
      <c r="B206" s="2317"/>
      <c r="C206" s="2317"/>
      <c r="D206" s="2317"/>
      <c r="E206" s="2317"/>
      <c r="F206" s="2317"/>
      <c r="G206" s="2317"/>
      <c r="H206" s="2317"/>
    </row>
    <row r="207" spans="1:8">
      <c r="A207" s="2317"/>
      <c r="B207" s="2317"/>
      <c r="C207" s="2317"/>
      <c r="D207" s="2317"/>
      <c r="E207" s="2317"/>
      <c r="F207" s="2317"/>
      <c r="G207" s="2317"/>
      <c r="H207" s="2317"/>
    </row>
    <row r="208" spans="1:8">
      <c r="A208" s="2318" t="s">
        <v>7447</v>
      </c>
      <c r="B208" s="2317"/>
      <c r="C208" s="2317"/>
      <c r="D208" s="2317"/>
      <c r="E208" s="2317"/>
      <c r="F208" s="2317"/>
      <c r="G208" s="2317"/>
      <c r="H208" s="2317"/>
    </row>
    <row r="209" spans="1:8">
      <c r="A209" s="2318" t="s">
        <v>7448</v>
      </c>
      <c r="B209" s="2317"/>
      <c r="C209" s="2317"/>
      <c r="D209" s="2317"/>
      <c r="E209" s="2317"/>
      <c r="F209" s="2317"/>
      <c r="G209" s="2317"/>
      <c r="H209" s="2317"/>
    </row>
    <row r="210" spans="1:8">
      <c r="A210" s="2318" t="s">
        <v>7449</v>
      </c>
      <c r="B210" s="2317"/>
      <c r="C210" s="2317"/>
      <c r="D210" s="2317"/>
      <c r="E210" s="2317"/>
      <c r="F210" s="2317"/>
      <c r="G210" s="2317"/>
      <c r="H210" s="2317"/>
    </row>
    <row r="211" spans="1:8">
      <c r="A211" s="2318" t="s">
        <v>7450</v>
      </c>
      <c r="B211" s="2317"/>
      <c r="C211" s="2317"/>
      <c r="D211" s="2317"/>
      <c r="E211" s="2317"/>
      <c r="F211" s="2317"/>
      <c r="G211" s="2317"/>
      <c r="H211" s="2317"/>
    </row>
    <row r="212" spans="1:8">
      <c r="A212" s="2318" t="s">
        <v>7451</v>
      </c>
      <c r="B212" s="2317"/>
      <c r="C212" s="2317"/>
      <c r="D212" s="2317"/>
      <c r="E212" s="2317"/>
      <c r="F212" s="2317"/>
      <c r="G212" s="2317"/>
      <c r="H212" s="2317"/>
    </row>
    <row r="213" spans="1:8">
      <c r="A213" s="2317"/>
      <c r="B213" s="2317"/>
      <c r="C213" s="2317"/>
      <c r="D213" s="2317"/>
      <c r="E213" s="2317"/>
      <c r="F213" s="2317"/>
      <c r="G213" s="2317"/>
      <c r="H213" s="2317"/>
    </row>
    <row r="214" spans="1:8">
      <c r="A214" s="2318" t="s">
        <v>7444</v>
      </c>
      <c r="B214" s="2317"/>
      <c r="C214" s="2317"/>
      <c r="D214" s="2317"/>
      <c r="E214" s="2317"/>
      <c r="F214" s="2317"/>
      <c r="G214" s="2317"/>
      <c r="H214" s="2317"/>
    </row>
    <row r="215" spans="1:8">
      <c r="A215" s="2318" t="s">
        <v>7445</v>
      </c>
      <c r="B215" s="2317"/>
      <c r="C215" s="2317"/>
      <c r="D215" s="2317"/>
      <c r="E215" s="2317"/>
      <c r="F215" s="2317"/>
      <c r="G215" s="2317"/>
      <c r="H215" s="2317"/>
    </row>
    <row r="216" spans="1:8">
      <c r="A216" s="2318" t="s">
        <v>7446</v>
      </c>
      <c r="B216" s="2317"/>
      <c r="C216" s="2317"/>
      <c r="D216" s="2317"/>
      <c r="E216" s="2317"/>
      <c r="F216" s="2317"/>
      <c r="G216" s="2317"/>
      <c r="H216" s="2317"/>
    </row>
    <row r="217" spans="1:8" ht="15.75">
      <c r="A217" s="2319" t="s">
        <v>7287</v>
      </c>
      <c r="B217" s="2317"/>
      <c r="C217" s="2317"/>
      <c r="D217" s="2317"/>
      <c r="E217" s="2317"/>
      <c r="F217" s="2317"/>
      <c r="G217" s="2317"/>
      <c r="H217" s="2317"/>
    </row>
    <row r="218" spans="1:8">
      <c r="A218" s="2317"/>
      <c r="B218" s="2317"/>
      <c r="C218" s="2317"/>
      <c r="D218" s="2317"/>
      <c r="E218" s="2317"/>
      <c r="F218" s="2317"/>
      <c r="G218" s="2317"/>
      <c r="H218" s="2317"/>
    </row>
    <row r="219" spans="1:8">
      <c r="A219" s="2318" t="s">
        <v>7442</v>
      </c>
      <c r="B219" s="2317"/>
      <c r="C219" s="2317"/>
      <c r="D219" s="2317"/>
      <c r="E219" s="2317"/>
      <c r="F219" s="2317"/>
      <c r="G219" s="2317"/>
      <c r="H219" s="2317"/>
    </row>
    <row r="220" spans="1:8">
      <c r="A220" s="2318" t="s">
        <v>7443</v>
      </c>
      <c r="B220" s="2317"/>
      <c r="C220" s="2317"/>
      <c r="D220" s="2317"/>
      <c r="E220" s="2317"/>
      <c r="F220" s="2317"/>
      <c r="G220" s="2317"/>
      <c r="H220" s="2317"/>
    </row>
    <row r="221" spans="1:8">
      <c r="A221" s="2317"/>
      <c r="B221" s="2317"/>
      <c r="C221" s="2317"/>
      <c r="D221" s="2317"/>
      <c r="E221" s="2317"/>
      <c r="F221" s="2317"/>
      <c r="G221" s="2317"/>
      <c r="H221" s="2317"/>
    </row>
    <row r="222" spans="1:8">
      <c r="A222" s="2318" t="s">
        <v>7435</v>
      </c>
      <c r="B222" s="2317"/>
      <c r="C222" s="2317"/>
      <c r="D222" s="2317"/>
      <c r="E222" s="2317"/>
      <c r="F222" s="2317"/>
      <c r="G222" s="2317"/>
      <c r="H222" s="2317"/>
    </row>
    <row r="223" spans="1:8">
      <c r="A223" s="2318" t="s">
        <v>7436</v>
      </c>
      <c r="B223" s="2317"/>
      <c r="C223" s="2317"/>
      <c r="D223" s="2317"/>
      <c r="E223" s="2317"/>
      <c r="F223" s="2317"/>
      <c r="G223" s="2317"/>
      <c r="H223" s="2317"/>
    </row>
    <row r="224" spans="1:8">
      <c r="A224" s="2318" t="s">
        <v>7437</v>
      </c>
      <c r="B224" s="2317"/>
      <c r="C224" s="2317"/>
      <c r="D224" s="2317"/>
      <c r="E224" s="2317"/>
      <c r="F224" s="2317"/>
      <c r="G224" s="2317"/>
      <c r="H224" s="2317"/>
    </row>
    <row r="225" spans="1:8">
      <c r="A225" s="2318" t="s">
        <v>7438</v>
      </c>
      <c r="B225" s="2317"/>
      <c r="C225" s="2317"/>
      <c r="D225" s="2317"/>
      <c r="E225" s="2317"/>
      <c r="F225" s="2317"/>
      <c r="G225" s="2317"/>
      <c r="H225" s="2317"/>
    </row>
    <row r="226" spans="1:8">
      <c r="A226" s="2318" t="s">
        <v>7439</v>
      </c>
      <c r="B226" s="2317"/>
      <c r="C226" s="2317"/>
      <c r="D226" s="2317"/>
      <c r="E226" s="2317"/>
      <c r="F226" s="2317"/>
      <c r="G226" s="2317"/>
      <c r="H226" s="2317"/>
    </row>
    <row r="227" spans="1:8">
      <c r="A227" s="2318" t="s">
        <v>7440</v>
      </c>
      <c r="B227" s="2317"/>
      <c r="C227" s="2317"/>
      <c r="D227" s="2317"/>
      <c r="E227" s="2317"/>
      <c r="F227" s="2317"/>
      <c r="G227" s="2317"/>
      <c r="H227" s="2317"/>
    </row>
    <row r="228" spans="1:8">
      <c r="A228" s="2318" t="s">
        <v>7441</v>
      </c>
      <c r="B228" s="2317"/>
      <c r="C228" s="2317"/>
      <c r="D228" s="2317"/>
      <c r="E228" s="2317"/>
      <c r="F228" s="2317"/>
      <c r="G228" s="2317"/>
      <c r="H228" s="2317"/>
    </row>
    <row r="229" spans="1:8">
      <c r="A229" s="2317"/>
      <c r="B229" s="2317"/>
      <c r="C229" s="2317"/>
      <c r="D229" s="2317"/>
      <c r="E229" s="2317"/>
      <c r="F229" s="2317"/>
      <c r="G229" s="2317"/>
      <c r="H229" s="2317"/>
    </row>
    <row r="230" spans="1:8">
      <c r="A230" s="2318" t="s">
        <v>7432</v>
      </c>
      <c r="B230" s="2317"/>
      <c r="C230" s="2317"/>
      <c r="D230" s="2317"/>
      <c r="E230" s="2317"/>
      <c r="F230" s="2317"/>
      <c r="G230" s="2317"/>
      <c r="H230" s="2317"/>
    </row>
    <row r="231" spans="1:8">
      <c r="A231" s="2318" t="s">
        <v>7433</v>
      </c>
      <c r="B231" s="2317"/>
      <c r="C231" s="2317"/>
      <c r="D231" s="2317"/>
      <c r="E231" s="2317"/>
      <c r="F231" s="2317"/>
      <c r="G231" s="2317"/>
      <c r="H231" s="2317"/>
    </row>
    <row r="232" spans="1:8">
      <c r="A232" s="2318" t="s">
        <v>7434</v>
      </c>
      <c r="B232" s="2317"/>
      <c r="C232" s="2317"/>
      <c r="D232" s="2317"/>
      <c r="E232" s="2317"/>
      <c r="F232" s="2317"/>
      <c r="G232" s="2317"/>
      <c r="H232" s="2317"/>
    </row>
    <row r="233" spans="1:8">
      <c r="A233" s="2317"/>
      <c r="B233" s="2317"/>
      <c r="C233" s="2317"/>
      <c r="D233" s="2317"/>
      <c r="E233" s="2317"/>
      <c r="F233" s="2317"/>
      <c r="G233" s="2317"/>
      <c r="H233" s="2317"/>
    </row>
    <row r="234" spans="1:8">
      <c r="A234" s="2318" t="s">
        <v>7427</v>
      </c>
      <c r="B234" s="2317"/>
      <c r="C234" s="2317"/>
      <c r="D234" s="2317"/>
      <c r="E234" s="2317"/>
      <c r="F234" s="2317"/>
      <c r="G234" s="2317"/>
      <c r="H234" s="2317"/>
    </row>
    <row r="235" spans="1:8">
      <c r="A235" s="2318" t="s">
        <v>7428</v>
      </c>
      <c r="B235" s="2317"/>
      <c r="C235" s="2317"/>
      <c r="D235" s="2317"/>
      <c r="E235" s="2317"/>
      <c r="F235" s="2317"/>
      <c r="G235" s="2317"/>
      <c r="H235" s="2317"/>
    </row>
    <row r="236" spans="1:8">
      <c r="A236" s="2318" t="s">
        <v>7429</v>
      </c>
      <c r="B236" s="2317"/>
      <c r="C236" s="2317"/>
      <c r="D236" s="2317"/>
      <c r="E236" s="2317"/>
      <c r="F236" s="2317"/>
      <c r="G236" s="2317"/>
      <c r="H236" s="2317"/>
    </row>
    <row r="237" spans="1:8">
      <c r="A237" s="2318" t="s">
        <v>7430</v>
      </c>
      <c r="B237" s="2317"/>
      <c r="C237" s="2317"/>
      <c r="D237" s="2317"/>
      <c r="E237" s="2317"/>
      <c r="F237" s="2317"/>
      <c r="G237" s="2317"/>
      <c r="H237" s="2317"/>
    </row>
    <row r="238" spans="1:8">
      <c r="A238" s="2318" t="s">
        <v>7431</v>
      </c>
      <c r="B238" s="2317"/>
      <c r="C238" s="2317"/>
      <c r="D238" s="2317"/>
      <c r="E238" s="2317"/>
      <c r="F238" s="2317"/>
      <c r="G238" s="2317"/>
      <c r="H238" s="2317"/>
    </row>
    <row r="239" spans="1:8">
      <c r="A239" s="2317"/>
      <c r="B239" s="2317"/>
      <c r="C239" s="2317"/>
      <c r="D239" s="2317"/>
      <c r="E239" s="2317"/>
      <c r="F239" s="2317"/>
      <c r="G239" s="2317"/>
      <c r="H239" s="2317"/>
    </row>
    <row r="240" spans="1:8">
      <c r="A240" s="2318" t="s">
        <v>7421</v>
      </c>
      <c r="B240" s="2317"/>
      <c r="C240" s="2317"/>
      <c r="D240" s="2317"/>
      <c r="E240" s="2317"/>
      <c r="F240" s="2317"/>
      <c r="G240" s="2317"/>
      <c r="H240" s="2317"/>
    </row>
    <row r="241" spans="1:8">
      <c r="A241" s="2318" t="s">
        <v>7422</v>
      </c>
      <c r="B241" s="2317"/>
      <c r="C241" s="2317"/>
      <c r="D241" s="2317"/>
      <c r="E241" s="2317"/>
      <c r="F241" s="2317"/>
      <c r="G241" s="2317"/>
      <c r="H241" s="2317"/>
    </row>
    <row r="242" spans="1:8">
      <c r="A242" s="2318" t="s">
        <v>7423</v>
      </c>
      <c r="B242" s="2317"/>
      <c r="C242" s="2317"/>
      <c r="D242" s="2317"/>
      <c r="E242" s="2317"/>
      <c r="F242" s="2317"/>
      <c r="G242" s="2317"/>
      <c r="H242" s="2317"/>
    </row>
    <row r="243" spans="1:8">
      <c r="A243" s="2318" t="s">
        <v>7424</v>
      </c>
      <c r="B243" s="2317"/>
      <c r="C243" s="2317"/>
      <c r="D243" s="2317"/>
      <c r="E243" s="2317"/>
      <c r="F243" s="2317"/>
      <c r="G243" s="2317"/>
      <c r="H243" s="2317"/>
    </row>
    <row r="244" spans="1:8">
      <c r="A244" s="2318" t="s">
        <v>7425</v>
      </c>
      <c r="B244" s="2317"/>
      <c r="C244" s="2317"/>
      <c r="D244" s="2317"/>
      <c r="E244" s="2317"/>
      <c r="F244" s="2317"/>
      <c r="G244" s="2317"/>
      <c r="H244" s="2317"/>
    </row>
    <row r="245" spans="1:8">
      <c r="A245" s="2318" t="s">
        <v>7426</v>
      </c>
      <c r="B245" s="2317"/>
      <c r="C245" s="2317"/>
      <c r="D245" s="2317"/>
      <c r="E245" s="2317"/>
      <c r="F245" s="2317"/>
      <c r="G245" s="2317"/>
      <c r="H245" s="2317"/>
    </row>
    <row r="246" spans="1:8">
      <c r="A246" s="2317"/>
      <c r="B246" s="2317"/>
      <c r="C246" s="2317"/>
      <c r="D246" s="2317"/>
      <c r="E246" s="2317"/>
      <c r="F246" s="2317"/>
      <c r="G246" s="2317"/>
      <c r="H246" s="2317"/>
    </row>
    <row r="247" spans="1:8">
      <c r="A247" s="2318" t="s">
        <v>7411</v>
      </c>
      <c r="B247" s="2317"/>
      <c r="C247" s="2317"/>
      <c r="D247" s="2317"/>
      <c r="E247" s="2317"/>
      <c r="F247" s="2317"/>
      <c r="G247" s="2317"/>
      <c r="H247" s="2317"/>
    </row>
    <row r="248" spans="1:8">
      <c r="A248" s="2318" t="s">
        <v>7412</v>
      </c>
      <c r="B248" s="2317"/>
      <c r="C248" s="2317"/>
      <c r="D248" s="2317"/>
      <c r="E248" s="2317"/>
      <c r="F248" s="2317"/>
      <c r="G248" s="2317"/>
      <c r="H248" s="2317"/>
    </row>
    <row r="249" spans="1:8">
      <c r="A249" s="2318" t="s">
        <v>7413</v>
      </c>
      <c r="B249" s="2317"/>
      <c r="C249" s="2317"/>
      <c r="D249" s="2317"/>
      <c r="E249" s="2317"/>
      <c r="F249" s="2317"/>
      <c r="G249" s="2317"/>
      <c r="H249" s="2317"/>
    </row>
    <row r="250" spans="1:8">
      <c r="A250" s="2318" t="s">
        <v>7414</v>
      </c>
      <c r="B250" s="2317"/>
      <c r="C250" s="2317"/>
      <c r="D250" s="2317"/>
      <c r="E250" s="2317"/>
      <c r="F250" s="2317"/>
      <c r="G250" s="2317"/>
      <c r="H250" s="2317"/>
    </row>
    <row r="251" spans="1:8">
      <c r="A251" s="2318" t="s">
        <v>7415</v>
      </c>
      <c r="B251" s="2317"/>
      <c r="C251" s="2317"/>
      <c r="D251" s="2317"/>
      <c r="E251" s="2317"/>
      <c r="F251" s="2317"/>
      <c r="G251" s="2317"/>
      <c r="H251" s="2317"/>
    </row>
    <row r="252" spans="1:8">
      <c r="A252" s="2318" t="s">
        <v>7416</v>
      </c>
      <c r="B252" s="2317"/>
      <c r="C252" s="2317"/>
      <c r="D252" s="2317"/>
      <c r="E252" s="2317"/>
      <c r="F252" s="2317"/>
      <c r="G252" s="2317"/>
      <c r="H252" s="2317"/>
    </row>
    <row r="253" spans="1:8">
      <c r="A253" s="2318" t="s">
        <v>7417</v>
      </c>
      <c r="B253" s="2317"/>
      <c r="C253" s="2317"/>
      <c r="D253" s="2317"/>
      <c r="E253" s="2317"/>
      <c r="F253" s="2317"/>
      <c r="G253" s="2317"/>
      <c r="H253" s="2317"/>
    </row>
    <row r="254" spans="1:8">
      <c r="A254" s="2318" t="s">
        <v>7418</v>
      </c>
      <c r="B254" s="2317"/>
      <c r="C254" s="2317"/>
      <c r="D254" s="2317"/>
      <c r="E254" s="2317"/>
      <c r="F254" s="2317"/>
      <c r="G254" s="2317"/>
      <c r="H254" s="2317"/>
    </row>
    <row r="255" spans="1:8">
      <c r="A255" s="2318" t="s">
        <v>7419</v>
      </c>
      <c r="B255" s="2317"/>
      <c r="C255" s="2317"/>
      <c r="D255" s="2317"/>
      <c r="E255" s="2317"/>
      <c r="F255" s="2317"/>
      <c r="G255" s="2317"/>
      <c r="H255" s="2317"/>
    </row>
    <row r="256" spans="1:8">
      <c r="A256" s="2318" t="s">
        <v>7420</v>
      </c>
      <c r="B256" s="2317"/>
      <c r="C256" s="2317"/>
      <c r="D256" s="2317"/>
      <c r="E256" s="2317"/>
      <c r="F256" s="2317"/>
      <c r="G256" s="2317"/>
      <c r="H256" s="2317"/>
    </row>
    <row r="257" spans="1:8">
      <c r="A257" s="2317"/>
      <c r="B257" s="2317"/>
      <c r="C257" s="2317"/>
      <c r="D257" s="2317"/>
      <c r="E257" s="2317"/>
      <c r="F257" s="2317"/>
      <c r="G257" s="2317"/>
      <c r="H257" s="2317"/>
    </row>
    <row r="258" spans="1:8">
      <c r="A258" s="2318" t="s">
        <v>7409</v>
      </c>
      <c r="B258" s="2317"/>
      <c r="C258" s="2317"/>
      <c r="D258" s="2317"/>
      <c r="E258" s="2317"/>
      <c r="F258" s="2317"/>
      <c r="G258" s="2317"/>
      <c r="H258" s="2317"/>
    </row>
    <row r="259" spans="1:8">
      <c r="A259" s="2318" t="s">
        <v>7410</v>
      </c>
      <c r="B259" s="2317"/>
      <c r="C259" s="2317"/>
      <c r="D259" s="2317"/>
      <c r="E259" s="2317"/>
      <c r="F259" s="2317"/>
      <c r="G259" s="2317"/>
      <c r="H259" s="2317"/>
    </row>
    <row r="260" spans="1:8">
      <c r="A260" s="2317"/>
      <c r="B260" s="2317"/>
      <c r="C260" s="2317"/>
      <c r="D260" s="2317"/>
      <c r="E260" s="2317"/>
      <c r="F260" s="2317"/>
      <c r="G260" s="2317"/>
      <c r="H260" s="2317"/>
    </row>
    <row r="261" spans="1:8">
      <c r="A261" s="2318" t="s">
        <v>7393</v>
      </c>
      <c r="B261" s="2317"/>
      <c r="C261" s="2317"/>
      <c r="D261" s="2317"/>
      <c r="E261" s="2317"/>
      <c r="F261" s="2317"/>
      <c r="G261" s="2317"/>
      <c r="H261" s="2317"/>
    </row>
    <row r="262" spans="1:8">
      <c r="A262" s="2318" t="s">
        <v>7394</v>
      </c>
      <c r="B262" s="2317"/>
      <c r="C262" s="2317"/>
      <c r="D262" s="2317"/>
      <c r="E262" s="2317"/>
      <c r="F262" s="2317"/>
      <c r="G262" s="2317"/>
      <c r="H262" s="2317"/>
    </row>
    <row r="263" spans="1:8">
      <c r="A263" s="2318" t="s">
        <v>7395</v>
      </c>
      <c r="B263" s="2317"/>
      <c r="C263" s="2317"/>
      <c r="D263" s="2317"/>
      <c r="E263" s="2317"/>
      <c r="F263" s="2317"/>
      <c r="G263" s="2317"/>
      <c r="H263" s="2317"/>
    </row>
    <row r="264" spans="1:8">
      <c r="A264" s="2318" t="s">
        <v>7396</v>
      </c>
      <c r="B264" s="2317"/>
      <c r="C264" s="2317"/>
      <c r="D264" s="2317"/>
      <c r="E264" s="2317"/>
      <c r="F264" s="2317"/>
      <c r="G264" s="2317"/>
      <c r="H264" s="2317"/>
    </row>
    <row r="265" spans="1:8">
      <c r="A265" s="2318" t="s">
        <v>7397</v>
      </c>
      <c r="B265" s="2317"/>
      <c r="C265" s="2317"/>
      <c r="D265" s="2317"/>
      <c r="E265" s="2317"/>
      <c r="F265" s="2317"/>
      <c r="G265" s="2317"/>
      <c r="H265" s="2317"/>
    </row>
    <row r="266" spans="1:8">
      <c r="A266" s="2318" t="s">
        <v>7398</v>
      </c>
      <c r="B266" s="2317"/>
      <c r="C266" s="2317"/>
      <c r="D266" s="2317"/>
      <c r="E266" s="2317"/>
      <c r="F266" s="2317"/>
      <c r="G266" s="2317"/>
      <c r="H266" s="2317"/>
    </row>
    <row r="267" spans="1:8">
      <c r="A267" s="2318" t="s">
        <v>7399</v>
      </c>
      <c r="B267" s="2317"/>
      <c r="C267" s="2317"/>
      <c r="D267" s="2317"/>
      <c r="E267" s="2317"/>
      <c r="F267" s="2317"/>
      <c r="G267" s="2317"/>
      <c r="H267" s="2317"/>
    </row>
    <row r="268" spans="1:8">
      <c r="A268" s="2318" t="s">
        <v>7400</v>
      </c>
      <c r="B268" s="2317"/>
      <c r="C268" s="2317"/>
      <c r="D268" s="2317"/>
      <c r="E268" s="2317"/>
      <c r="F268" s="2317"/>
      <c r="G268" s="2317"/>
      <c r="H268" s="2317"/>
    </row>
    <row r="269" spans="1:8">
      <c r="A269" s="2318" t="s">
        <v>7401</v>
      </c>
      <c r="B269" s="2317"/>
      <c r="C269" s="2317"/>
      <c r="D269" s="2317"/>
      <c r="E269" s="2317"/>
      <c r="F269" s="2317"/>
      <c r="G269" s="2317"/>
      <c r="H269" s="2317"/>
    </row>
    <row r="270" spans="1:8">
      <c r="A270" s="2318" t="s">
        <v>7402</v>
      </c>
      <c r="B270" s="2317"/>
      <c r="C270" s="2317"/>
      <c r="D270" s="2317"/>
      <c r="E270" s="2317"/>
      <c r="F270" s="2317"/>
      <c r="G270" s="2317"/>
      <c r="H270" s="2317"/>
    </row>
    <row r="271" spans="1:8">
      <c r="A271" s="2318" t="s">
        <v>7403</v>
      </c>
      <c r="B271" s="2317"/>
      <c r="C271" s="2317"/>
      <c r="D271" s="2317"/>
      <c r="E271" s="2317"/>
      <c r="F271" s="2317"/>
      <c r="G271" s="2317"/>
      <c r="H271" s="2317"/>
    </row>
    <row r="272" spans="1:8">
      <c r="A272" s="2318" t="s">
        <v>7404</v>
      </c>
      <c r="B272" s="2317"/>
      <c r="C272" s="2317"/>
      <c r="D272" s="2317"/>
      <c r="E272" s="2317"/>
      <c r="F272" s="2317"/>
      <c r="G272" s="2317"/>
      <c r="H272" s="2317"/>
    </row>
    <row r="273" spans="1:8">
      <c r="A273" s="2318" t="s">
        <v>7405</v>
      </c>
      <c r="B273" s="2317"/>
      <c r="C273" s="2317"/>
      <c r="D273" s="2317"/>
      <c r="E273" s="2317"/>
      <c r="F273" s="2317"/>
      <c r="G273" s="2317"/>
      <c r="H273" s="2317"/>
    </row>
    <row r="274" spans="1:8">
      <c r="A274" s="2318" t="s">
        <v>7406</v>
      </c>
      <c r="B274" s="2317"/>
      <c r="C274" s="2317"/>
      <c r="D274" s="2317"/>
      <c r="E274" s="2317"/>
      <c r="F274" s="2317"/>
      <c r="G274" s="2317"/>
      <c r="H274" s="2317"/>
    </row>
    <row r="275" spans="1:8">
      <c r="A275" s="2318" t="s">
        <v>7407</v>
      </c>
      <c r="B275" s="2317"/>
      <c r="C275" s="2317"/>
      <c r="D275" s="2317"/>
      <c r="E275" s="2317"/>
      <c r="F275" s="2317"/>
      <c r="G275" s="2317"/>
      <c r="H275" s="2317"/>
    </row>
    <row r="276" spans="1:8">
      <c r="A276" s="2318" t="s">
        <v>7408</v>
      </c>
      <c r="B276" s="2317"/>
      <c r="C276" s="2317"/>
      <c r="D276" s="2317"/>
      <c r="E276" s="2317"/>
      <c r="F276" s="2317"/>
      <c r="G276" s="2317"/>
      <c r="H276" s="2317"/>
    </row>
    <row r="277" spans="1:8">
      <c r="A277" s="2317"/>
      <c r="B277" s="2317"/>
      <c r="C277" s="2317"/>
      <c r="D277" s="2317"/>
      <c r="E277" s="2317"/>
      <c r="F277" s="2317"/>
      <c r="G277" s="2317"/>
      <c r="H277" s="2317"/>
    </row>
    <row r="278" spans="1:8">
      <c r="A278" s="2318" t="s">
        <v>7386</v>
      </c>
      <c r="B278" s="2317"/>
      <c r="C278" s="2317"/>
      <c r="D278" s="2317"/>
      <c r="E278" s="2317"/>
      <c r="F278" s="2317"/>
      <c r="G278" s="2317"/>
      <c r="H278" s="2317"/>
    </row>
    <row r="279" spans="1:8">
      <c r="A279" s="2318" t="s">
        <v>7387</v>
      </c>
      <c r="B279" s="2317"/>
      <c r="C279" s="2317"/>
      <c r="D279" s="2317"/>
      <c r="E279" s="2317"/>
      <c r="F279" s="2317"/>
      <c r="G279" s="2317"/>
      <c r="H279" s="2317"/>
    </row>
    <row r="280" spans="1:8">
      <c r="A280" s="2318" t="s">
        <v>7388</v>
      </c>
      <c r="B280" s="2317"/>
      <c r="C280" s="2317"/>
      <c r="D280" s="2317"/>
      <c r="E280" s="2317"/>
      <c r="F280" s="2317"/>
      <c r="G280" s="2317"/>
      <c r="H280" s="2317"/>
    </row>
    <row r="281" spans="1:8">
      <c r="A281" s="2318" t="s">
        <v>7389</v>
      </c>
      <c r="B281" s="2317"/>
      <c r="C281" s="2317"/>
      <c r="D281" s="2317"/>
      <c r="E281" s="2317"/>
      <c r="F281" s="2317"/>
      <c r="G281" s="2317"/>
      <c r="H281" s="2317"/>
    </row>
    <row r="282" spans="1:8">
      <c r="A282" s="2318" t="s">
        <v>7390</v>
      </c>
      <c r="B282" s="2317"/>
      <c r="C282" s="2317"/>
      <c r="D282" s="2317"/>
      <c r="E282" s="2317"/>
      <c r="F282" s="2317"/>
      <c r="G282" s="2317"/>
      <c r="H282" s="2317"/>
    </row>
    <row r="283" spans="1:8">
      <c r="A283" s="2318" t="s">
        <v>7391</v>
      </c>
      <c r="B283" s="2317"/>
      <c r="C283" s="2317"/>
      <c r="D283" s="2317"/>
      <c r="E283" s="2317"/>
      <c r="F283" s="2317"/>
      <c r="G283" s="2317"/>
      <c r="H283" s="2317"/>
    </row>
    <row r="284" spans="1:8">
      <c r="A284" s="2318" t="s">
        <v>7392</v>
      </c>
      <c r="B284" s="2317"/>
      <c r="C284" s="2317"/>
      <c r="D284" s="2317"/>
      <c r="E284" s="2317"/>
      <c r="F284" s="2317"/>
      <c r="G284" s="2317"/>
      <c r="H284" s="2317"/>
    </row>
    <row r="285" spans="1:8">
      <c r="A285" s="2317"/>
      <c r="B285" s="2317"/>
      <c r="C285" s="2317"/>
      <c r="D285" s="2317"/>
      <c r="E285" s="2317"/>
      <c r="F285" s="2317"/>
      <c r="G285" s="2317"/>
      <c r="H285" s="2317"/>
    </row>
    <row r="286" spans="1:8">
      <c r="A286" s="2318" t="s">
        <v>7377</v>
      </c>
      <c r="B286" s="2317"/>
      <c r="C286" s="2317"/>
      <c r="D286" s="2317"/>
      <c r="E286" s="2317"/>
      <c r="F286" s="2317"/>
      <c r="G286" s="2317"/>
      <c r="H286" s="2317"/>
    </row>
    <row r="287" spans="1:8">
      <c r="A287" s="2318" t="s">
        <v>7378</v>
      </c>
      <c r="B287" s="2317"/>
      <c r="C287" s="2317"/>
      <c r="D287" s="2317"/>
      <c r="E287" s="2317"/>
      <c r="F287" s="2317"/>
      <c r="G287" s="2317"/>
      <c r="H287" s="2317"/>
    </row>
    <row r="288" spans="1:8">
      <c r="A288" s="2318" t="s">
        <v>7379</v>
      </c>
      <c r="B288" s="2317"/>
      <c r="C288" s="2317"/>
      <c r="D288" s="2317"/>
      <c r="E288" s="2317"/>
      <c r="F288" s="2317"/>
      <c r="G288" s="2317"/>
      <c r="H288" s="2317"/>
    </row>
    <row r="289" spans="1:8">
      <c r="A289" s="2318" t="s">
        <v>7380</v>
      </c>
      <c r="B289" s="2317"/>
      <c r="C289" s="2317"/>
      <c r="D289" s="2317"/>
      <c r="E289" s="2317"/>
      <c r="F289" s="2317"/>
      <c r="G289" s="2317"/>
      <c r="H289" s="2317"/>
    </row>
    <row r="290" spans="1:8">
      <c r="A290" s="2318" t="s">
        <v>7381</v>
      </c>
      <c r="B290" s="2317"/>
      <c r="C290" s="2317"/>
      <c r="D290" s="2317"/>
      <c r="E290" s="2317"/>
      <c r="F290" s="2317"/>
      <c r="G290" s="2317"/>
      <c r="H290" s="2317"/>
    </row>
    <row r="291" spans="1:8">
      <c r="A291" s="2318" t="s">
        <v>7382</v>
      </c>
      <c r="B291" s="2317"/>
      <c r="C291" s="2317"/>
      <c r="D291" s="2317"/>
      <c r="E291" s="2317"/>
      <c r="F291" s="2317"/>
      <c r="G291" s="2317"/>
      <c r="H291" s="2317"/>
    </row>
    <row r="292" spans="1:8">
      <c r="A292" s="2318" t="s">
        <v>7383</v>
      </c>
      <c r="B292" s="2317"/>
      <c r="C292" s="2317"/>
      <c r="D292" s="2317"/>
      <c r="E292" s="2317"/>
      <c r="F292" s="2317"/>
      <c r="G292" s="2317"/>
      <c r="H292" s="2317"/>
    </row>
    <row r="293" spans="1:8">
      <c r="A293" s="2318" t="s">
        <v>7384</v>
      </c>
      <c r="B293" s="2317"/>
      <c r="C293" s="2317"/>
      <c r="D293" s="2317"/>
      <c r="E293" s="2317"/>
      <c r="F293" s="2317"/>
      <c r="G293" s="2317"/>
      <c r="H293" s="2317"/>
    </row>
    <row r="294" spans="1:8">
      <c r="A294" s="2318" t="s">
        <v>7385</v>
      </c>
      <c r="B294" s="2317"/>
      <c r="C294" s="2317"/>
      <c r="D294" s="2317"/>
      <c r="E294" s="2317"/>
      <c r="F294" s="2317"/>
      <c r="G294" s="2317"/>
      <c r="H294" s="2317"/>
    </row>
    <row r="295" spans="1:8">
      <c r="A295" s="2317"/>
      <c r="B295" s="2317"/>
      <c r="C295" s="2317"/>
      <c r="D295" s="2317"/>
      <c r="E295" s="2317"/>
      <c r="F295" s="2317"/>
      <c r="G295" s="2317"/>
      <c r="H295" s="2317"/>
    </row>
    <row r="296" spans="1:8">
      <c r="A296" s="2318" t="s">
        <v>7370</v>
      </c>
      <c r="B296" s="2317"/>
      <c r="C296" s="2317"/>
      <c r="D296" s="2317"/>
      <c r="E296" s="2317"/>
      <c r="F296" s="2317"/>
      <c r="G296" s="2317"/>
      <c r="H296" s="2317"/>
    </row>
    <row r="297" spans="1:8">
      <c r="A297" s="2318" t="s">
        <v>7371</v>
      </c>
      <c r="B297" s="2317"/>
      <c r="C297" s="2317"/>
      <c r="D297" s="2317"/>
      <c r="E297" s="2317"/>
      <c r="F297" s="2317"/>
      <c r="G297" s="2317"/>
      <c r="H297" s="2317"/>
    </row>
    <row r="298" spans="1:8">
      <c r="A298" s="2318" t="s">
        <v>7372</v>
      </c>
      <c r="B298" s="2317"/>
      <c r="C298" s="2317"/>
      <c r="D298" s="2317"/>
      <c r="E298" s="2317"/>
      <c r="F298" s="2317"/>
      <c r="G298" s="2317"/>
      <c r="H298" s="2317"/>
    </row>
    <row r="299" spans="1:8">
      <c r="A299" s="2318" t="s">
        <v>7373</v>
      </c>
      <c r="B299" s="2317"/>
      <c r="C299" s="2317"/>
      <c r="D299" s="2317"/>
      <c r="E299" s="2317"/>
      <c r="F299" s="2317"/>
      <c r="G299" s="2317"/>
      <c r="H299" s="2317"/>
    </row>
    <row r="300" spans="1:8">
      <c r="A300" s="2318" t="s">
        <v>7374</v>
      </c>
      <c r="B300" s="2317"/>
      <c r="C300" s="2317"/>
      <c r="D300" s="2317"/>
      <c r="E300" s="2317"/>
      <c r="F300" s="2317"/>
      <c r="G300" s="2317"/>
      <c r="H300" s="2317"/>
    </row>
    <row r="301" spans="1:8">
      <c r="A301" s="2318" t="s">
        <v>7375</v>
      </c>
      <c r="B301" s="2317"/>
      <c r="C301" s="2317"/>
      <c r="D301" s="2317"/>
      <c r="E301" s="2317"/>
      <c r="F301" s="2317"/>
      <c r="G301" s="2317"/>
      <c r="H301" s="2317"/>
    </row>
    <row r="302" spans="1:8">
      <c r="A302" s="2318" t="s">
        <v>7376</v>
      </c>
      <c r="B302" s="2317"/>
      <c r="C302" s="2317"/>
      <c r="D302" s="2317"/>
      <c r="E302" s="2317"/>
      <c r="F302" s="2317"/>
      <c r="G302" s="2317"/>
      <c r="H302" s="2317"/>
    </row>
    <row r="303" spans="1:8">
      <c r="A303" s="2317"/>
      <c r="B303" s="2317"/>
      <c r="C303" s="2317"/>
      <c r="D303" s="2317"/>
      <c r="E303" s="2317"/>
      <c r="F303" s="2317"/>
      <c r="G303" s="2317"/>
      <c r="H303" s="2317"/>
    </row>
    <row r="304" spans="1:8">
      <c r="A304" s="2318" t="s">
        <v>7367</v>
      </c>
      <c r="B304" s="2317"/>
      <c r="C304" s="2317"/>
      <c r="D304" s="2317"/>
      <c r="E304" s="2317"/>
      <c r="F304" s="2317"/>
      <c r="G304" s="2317"/>
      <c r="H304" s="2317"/>
    </row>
    <row r="305" spans="1:8">
      <c r="A305" s="2318" t="s">
        <v>7368</v>
      </c>
      <c r="B305" s="2317"/>
      <c r="C305" s="2317"/>
      <c r="D305" s="2317"/>
      <c r="E305" s="2317"/>
      <c r="F305" s="2317"/>
      <c r="G305" s="2317"/>
      <c r="H305" s="2317"/>
    </row>
    <row r="306" spans="1:8">
      <c r="A306" s="2318" t="s">
        <v>7369</v>
      </c>
      <c r="B306" s="2317"/>
      <c r="C306" s="2317"/>
      <c r="D306" s="2317"/>
      <c r="E306" s="2317"/>
      <c r="F306" s="2317"/>
      <c r="G306" s="2317"/>
      <c r="H306" s="2317"/>
    </row>
    <row r="307" spans="1:8">
      <c r="A307" s="2317"/>
      <c r="B307" s="2317"/>
      <c r="C307" s="2317"/>
      <c r="D307" s="2317"/>
      <c r="E307" s="2317"/>
      <c r="F307" s="2317"/>
      <c r="G307" s="2317"/>
      <c r="H307" s="2317"/>
    </row>
    <row r="308" spans="1:8">
      <c r="A308" s="2318" t="s">
        <v>7365</v>
      </c>
      <c r="B308" s="2317"/>
      <c r="C308" s="2317"/>
      <c r="D308" s="2317"/>
      <c r="E308" s="2317"/>
      <c r="F308" s="2317"/>
      <c r="G308" s="2317"/>
      <c r="H308" s="2317"/>
    </row>
    <row r="309" spans="1:8">
      <c r="A309" s="2318" t="s">
        <v>7366</v>
      </c>
      <c r="B309" s="2317"/>
      <c r="C309" s="2317"/>
      <c r="D309" s="2317"/>
      <c r="E309" s="2317"/>
      <c r="F309" s="2317"/>
      <c r="G309" s="2317"/>
      <c r="H309" s="2317"/>
    </row>
    <row r="310" spans="1:8">
      <c r="A310" s="2317"/>
      <c r="B310" s="2317"/>
      <c r="C310" s="2317"/>
      <c r="D310" s="2317"/>
      <c r="E310" s="2317"/>
      <c r="F310" s="2317"/>
      <c r="G310" s="2317"/>
      <c r="H310" s="2317"/>
    </row>
    <row r="311" spans="1:8">
      <c r="A311" s="2318" t="s">
        <v>7352</v>
      </c>
      <c r="B311" s="2317"/>
      <c r="C311" s="2317"/>
      <c r="D311" s="2317"/>
      <c r="E311" s="2317"/>
      <c r="F311" s="2317"/>
      <c r="G311" s="2317"/>
      <c r="H311" s="2317"/>
    </row>
    <row r="312" spans="1:8">
      <c r="A312" s="2318" t="s">
        <v>7353</v>
      </c>
      <c r="B312" s="2317"/>
      <c r="C312" s="2317"/>
      <c r="D312" s="2317"/>
      <c r="E312" s="2317"/>
      <c r="F312" s="2317"/>
      <c r="G312" s="2317"/>
      <c r="H312" s="2317"/>
    </row>
    <row r="313" spans="1:8">
      <c r="A313" s="2318" t="s">
        <v>7354</v>
      </c>
      <c r="B313" s="2317"/>
      <c r="C313" s="2317"/>
      <c r="D313" s="2317"/>
      <c r="E313" s="2317"/>
      <c r="F313" s="2317"/>
      <c r="G313" s="2317"/>
      <c r="H313" s="2317"/>
    </row>
    <row r="314" spans="1:8">
      <c r="A314" s="2318" t="s">
        <v>7355</v>
      </c>
      <c r="B314" s="2317"/>
      <c r="C314" s="2317"/>
      <c r="D314" s="2317"/>
      <c r="E314" s="2317"/>
      <c r="F314" s="2317"/>
      <c r="G314" s="2317"/>
      <c r="H314" s="2317"/>
    </row>
    <row r="315" spans="1:8">
      <c r="A315" s="2318" t="s">
        <v>7356</v>
      </c>
      <c r="B315" s="2317"/>
      <c r="C315" s="2317"/>
      <c r="D315" s="2317"/>
      <c r="E315" s="2317"/>
      <c r="F315" s="2317"/>
      <c r="G315" s="2317"/>
      <c r="H315" s="2317"/>
    </row>
    <row r="316" spans="1:8">
      <c r="A316" s="2318" t="s">
        <v>7357</v>
      </c>
      <c r="B316" s="2317"/>
      <c r="C316" s="2317"/>
      <c r="D316" s="2317"/>
      <c r="E316" s="2317"/>
      <c r="F316" s="2317"/>
      <c r="G316" s="2317"/>
      <c r="H316" s="2317"/>
    </row>
    <row r="317" spans="1:8">
      <c r="A317" s="2318" t="s">
        <v>7358</v>
      </c>
      <c r="B317" s="2317"/>
      <c r="C317" s="2317"/>
      <c r="D317" s="2317"/>
      <c r="E317" s="2317"/>
      <c r="F317" s="2317"/>
      <c r="G317" s="2317"/>
      <c r="H317" s="2317"/>
    </row>
    <row r="318" spans="1:8">
      <c r="A318" s="2318" t="s">
        <v>7359</v>
      </c>
      <c r="B318" s="2317"/>
      <c r="C318" s="2317"/>
      <c r="D318" s="2317"/>
      <c r="E318" s="2317"/>
      <c r="F318" s="2317"/>
      <c r="G318" s="2317"/>
      <c r="H318" s="2317"/>
    </row>
    <row r="319" spans="1:8">
      <c r="A319" s="2318" t="s">
        <v>7360</v>
      </c>
      <c r="B319" s="2317"/>
      <c r="C319" s="2317"/>
      <c r="D319" s="2317"/>
      <c r="E319" s="2317"/>
      <c r="F319" s="2317"/>
      <c r="G319" s="2317"/>
      <c r="H319" s="2317"/>
    </row>
    <row r="320" spans="1:8">
      <c r="A320" s="2318" t="s">
        <v>7361</v>
      </c>
      <c r="B320" s="2317"/>
      <c r="C320" s="2317"/>
      <c r="D320" s="2317"/>
      <c r="E320" s="2317"/>
      <c r="F320" s="2317"/>
      <c r="G320" s="2317"/>
      <c r="H320" s="2317"/>
    </row>
    <row r="321" spans="1:8">
      <c r="A321" s="2318" t="s">
        <v>7362</v>
      </c>
      <c r="B321" s="2317"/>
      <c r="C321" s="2317"/>
      <c r="D321" s="2317"/>
      <c r="E321" s="2317"/>
      <c r="F321" s="2317"/>
      <c r="G321" s="2317"/>
      <c r="H321" s="2317"/>
    </row>
    <row r="322" spans="1:8">
      <c r="A322" s="2318" t="s">
        <v>7363</v>
      </c>
      <c r="B322" s="2317"/>
      <c r="C322" s="2317"/>
      <c r="D322" s="2317"/>
      <c r="E322" s="2317"/>
      <c r="F322" s="2317"/>
      <c r="G322" s="2317"/>
      <c r="H322" s="2317"/>
    </row>
    <row r="323" spans="1:8">
      <c r="A323" s="2318" t="s">
        <v>7364</v>
      </c>
      <c r="B323" s="2317"/>
      <c r="C323" s="2317"/>
      <c r="D323" s="2317"/>
      <c r="E323" s="2317"/>
      <c r="F323" s="2317"/>
      <c r="G323" s="2317"/>
      <c r="H323" s="2317"/>
    </row>
    <row r="324" spans="1:8">
      <c r="A324" s="2317"/>
      <c r="B324" s="2317"/>
      <c r="C324" s="2317"/>
      <c r="D324" s="2317"/>
      <c r="E324" s="2317"/>
      <c r="F324" s="2317"/>
      <c r="G324" s="2317"/>
      <c r="H324" s="2317"/>
    </row>
    <row r="325" spans="1:8">
      <c r="A325" s="2318" t="s">
        <v>7344</v>
      </c>
      <c r="B325" s="2317"/>
      <c r="C325" s="2317"/>
      <c r="D325" s="2317"/>
      <c r="E325" s="2317"/>
      <c r="F325" s="2317"/>
      <c r="G325" s="2317"/>
      <c r="H325" s="2317"/>
    </row>
    <row r="326" spans="1:8">
      <c r="A326" s="2318" t="s">
        <v>7345</v>
      </c>
      <c r="B326" s="2317"/>
      <c r="C326" s="2317"/>
      <c r="D326" s="2317"/>
      <c r="E326" s="2317"/>
      <c r="F326" s="2317"/>
      <c r="G326" s="2317"/>
      <c r="H326" s="2317"/>
    </row>
    <row r="327" spans="1:8">
      <c r="A327" s="2318" t="s">
        <v>7346</v>
      </c>
      <c r="B327" s="2317"/>
      <c r="C327" s="2317"/>
      <c r="D327" s="2317"/>
      <c r="E327" s="2317"/>
      <c r="F327" s="2317"/>
      <c r="G327" s="2317"/>
      <c r="H327" s="2317"/>
    </row>
    <row r="328" spans="1:8">
      <c r="A328" s="2318" t="s">
        <v>7347</v>
      </c>
      <c r="B328" s="2317"/>
      <c r="C328" s="2317"/>
      <c r="D328" s="2317"/>
      <c r="E328" s="2317"/>
      <c r="F328" s="2317"/>
      <c r="G328" s="2317"/>
      <c r="H328" s="2317"/>
    </row>
    <row r="329" spans="1:8">
      <c r="A329" s="2318" t="s">
        <v>7348</v>
      </c>
      <c r="B329" s="2317"/>
      <c r="C329" s="2317"/>
      <c r="D329" s="2317"/>
      <c r="E329" s="2317"/>
      <c r="F329" s="2317"/>
      <c r="G329" s="2317"/>
      <c r="H329" s="2317"/>
    </row>
    <row r="330" spans="1:8">
      <c r="A330" s="2318" t="s">
        <v>7349</v>
      </c>
      <c r="B330" s="2317"/>
      <c r="C330" s="2317"/>
      <c r="D330" s="2317"/>
      <c r="E330" s="2317"/>
      <c r="F330" s="2317"/>
      <c r="G330" s="2317"/>
      <c r="H330" s="2317"/>
    </row>
    <row r="331" spans="1:8">
      <c r="A331" s="2318" t="s">
        <v>7350</v>
      </c>
      <c r="B331" s="2317"/>
      <c r="C331" s="2317"/>
      <c r="D331" s="2317"/>
      <c r="E331" s="2317"/>
      <c r="F331" s="2317"/>
      <c r="G331" s="2317"/>
      <c r="H331" s="2317"/>
    </row>
    <row r="332" spans="1:8">
      <c r="A332" s="2318" t="s">
        <v>7351</v>
      </c>
      <c r="B332" s="2317"/>
      <c r="C332" s="2317"/>
      <c r="D332" s="2317"/>
      <c r="E332" s="2317"/>
      <c r="F332" s="2317"/>
      <c r="G332" s="2317"/>
      <c r="H332" s="2317"/>
    </row>
    <row r="333" spans="1:8">
      <c r="A333" s="2317"/>
      <c r="B333" s="2317"/>
      <c r="C333" s="2317"/>
      <c r="D333" s="2317"/>
      <c r="E333" s="2317"/>
      <c r="F333" s="2317"/>
      <c r="G333" s="2317"/>
      <c r="H333" s="2317"/>
    </row>
    <row r="334" spans="1:8">
      <c r="A334" s="2318" t="s">
        <v>7309</v>
      </c>
      <c r="B334" s="2317"/>
      <c r="C334" s="2317"/>
      <c r="D334" s="2317"/>
      <c r="E334" s="2317"/>
      <c r="F334" s="2317"/>
      <c r="G334" s="2317"/>
      <c r="H334" s="2317"/>
    </row>
    <row r="335" spans="1:8">
      <c r="A335" s="2318" t="s">
        <v>7310</v>
      </c>
      <c r="B335" s="2317"/>
      <c r="C335" s="2317"/>
      <c r="D335" s="2317"/>
      <c r="E335" s="2317"/>
      <c r="F335" s="2317"/>
      <c r="G335" s="2317"/>
      <c r="H335" s="2317"/>
    </row>
    <row r="336" spans="1:8">
      <c r="A336" s="2318" t="s">
        <v>7311</v>
      </c>
      <c r="B336" s="2317"/>
      <c r="C336" s="2317"/>
      <c r="D336" s="2317"/>
      <c r="E336" s="2317"/>
      <c r="F336" s="2317"/>
      <c r="G336" s="2317"/>
      <c r="H336" s="2317"/>
    </row>
    <row r="337" spans="1:8">
      <c r="A337" s="2318" t="s">
        <v>7312</v>
      </c>
      <c r="B337" s="2317"/>
      <c r="C337" s="2317"/>
      <c r="D337" s="2317"/>
      <c r="E337" s="2317"/>
      <c r="F337" s="2317"/>
      <c r="G337" s="2317"/>
      <c r="H337" s="2317"/>
    </row>
    <row r="338" spans="1:8">
      <c r="A338" s="2318" t="s">
        <v>7313</v>
      </c>
      <c r="B338" s="2317"/>
      <c r="C338" s="2317"/>
      <c r="D338" s="2317"/>
      <c r="E338" s="2317"/>
      <c r="F338" s="2317"/>
      <c r="G338" s="2317"/>
      <c r="H338" s="2317"/>
    </row>
    <row r="339" spans="1:8">
      <c r="A339" s="2318" t="s">
        <v>7314</v>
      </c>
      <c r="B339" s="2317"/>
      <c r="C339" s="2317"/>
      <c r="D339" s="2317"/>
      <c r="E339" s="2317"/>
      <c r="F339" s="2317"/>
      <c r="G339" s="2317"/>
      <c r="H339" s="2317"/>
    </row>
    <row r="340" spans="1:8">
      <c r="A340" s="2318" t="s">
        <v>7315</v>
      </c>
      <c r="B340" s="2317"/>
      <c r="C340" s="2317"/>
      <c r="D340" s="2317"/>
      <c r="E340" s="2317"/>
      <c r="F340" s="2317"/>
      <c r="G340" s="2317"/>
      <c r="H340" s="2317"/>
    </row>
    <row r="341" spans="1:8">
      <c r="A341" s="2318" t="s">
        <v>7316</v>
      </c>
      <c r="B341" s="2317"/>
      <c r="C341" s="2317"/>
      <c r="D341" s="2317"/>
      <c r="E341" s="2317"/>
      <c r="F341" s="2317"/>
      <c r="G341" s="2317"/>
      <c r="H341" s="2317"/>
    </row>
    <row r="342" spans="1:8">
      <c r="A342" s="2318" t="s">
        <v>7317</v>
      </c>
      <c r="B342" s="2317"/>
      <c r="C342" s="2317"/>
      <c r="D342" s="2317"/>
      <c r="E342" s="2317"/>
      <c r="F342" s="2317"/>
      <c r="G342" s="2317"/>
      <c r="H342" s="2317"/>
    </row>
    <row r="343" spans="1:8">
      <c r="A343" s="2318" t="s">
        <v>7318</v>
      </c>
      <c r="B343" s="2317"/>
      <c r="C343" s="2317"/>
      <c r="D343" s="2317"/>
      <c r="E343" s="2317"/>
      <c r="F343" s="2317"/>
      <c r="G343" s="2317"/>
      <c r="H343" s="2317"/>
    </row>
    <row r="344" spans="1:8">
      <c r="A344" s="2318" t="s">
        <v>7319</v>
      </c>
      <c r="B344" s="2317"/>
      <c r="C344" s="2317"/>
      <c r="D344" s="2317"/>
      <c r="E344" s="2317"/>
      <c r="F344" s="2317"/>
      <c r="G344" s="2317"/>
      <c r="H344" s="2317"/>
    </row>
    <row r="345" spans="1:8">
      <c r="A345" s="2318" t="s">
        <v>7320</v>
      </c>
      <c r="B345" s="2317"/>
      <c r="C345" s="2317"/>
      <c r="D345" s="2317"/>
      <c r="E345" s="2317"/>
      <c r="F345" s="2317"/>
      <c r="G345" s="2317"/>
      <c r="H345" s="2317"/>
    </row>
    <row r="346" spans="1:8">
      <c r="A346" s="2318" t="s">
        <v>7321</v>
      </c>
      <c r="B346" s="2317"/>
      <c r="C346" s="2317"/>
      <c r="D346" s="2317"/>
      <c r="E346" s="2317"/>
      <c r="F346" s="2317"/>
      <c r="G346" s="2317"/>
      <c r="H346" s="2317"/>
    </row>
    <row r="347" spans="1:8">
      <c r="A347" s="2318" t="s">
        <v>7322</v>
      </c>
      <c r="B347" s="2317"/>
      <c r="C347" s="2317"/>
      <c r="D347" s="2317"/>
      <c r="E347" s="2317"/>
      <c r="F347" s="2317"/>
      <c r="G347" s="2317"/>
      <c r="H347" s="2317"/>
    </row>
    <row r="348" spans="1:8">
      <c r="A348" s="2318" t="s">
        <v>7323</v>
      </c>
      <c r="B348" s="2317"/>
      <c r="C348" s="2317"/>
      <c r="D348" s="2317"/>
      <c r="E348" s="2317"/>
      <c r="F348" s="2317"/>
      <c r="G348" s="2317"/>
      <c r="H348" s="2317"/>
    </row>
    <row r="349" spans="1:8">
      <c r="A349" s="2318" t="s">
        <v>7324</v>
      </c>
      <c r="B349" s="2317"/>
      <c r="C349" s="2317"/>
      <c r="D349" s="2317"/>
      <c r="E349" s="2317"/>
      <c r="F349" s="2317"/>
      <c r="G349" s="2317"/>
      <c r="H349" s="2317"/>
    </row>
    <row r="350" spans="1:8">
      <c r="A350" s="2318" t="s">
        <v>7325</v>
      </c>
      <c r="B350" s="2317"/>
      <c r="C350" s="2317"/>
      <c r="D350" s="2317"/>
      <c r="E350" s="2317"/>
      <c r="F350" s="2317"/>
      <c r="G350" s="2317"/>
      <c r="H350" s="2317"/>
    </row>
    <row r="351" spans="1:8">
      <c r="A351" s="2318" t="s">
        <v>7326</v>
      </c>
      <c r="B351" s="2317"/>
      <c r="C351" s="2317"/>
      <c r="D351" s="2317"/>
      <c r="E351" s="2317"/>
      <c r="F351" s="2317"/>
      <c r="G351" s="2317"/>
      <c r="H351" s="2317"/>
    </row>
    <row r="352" spans="1:8">
      <c r="A352" s="2318" t="s">
        <v>7327</v>
      </c>
      <c r="B352" s="2317"/>
      <c r="C352" s="2317"/>
      <c r="D352" s="2317"/>
      <c r="E352" s="2317"/>
      <c r="F352" s="2317"/>
      <c r="G352" s="2317"/>
      <c r="H352" s="2317"/>
    </row>
    <row r="353" spans="1:8">
      <c r="A353" s="2318" t="s">
        <v>7328</v>
      </c>
      <c r="B353" s="2317"/>
      <c r="C353" s="2317"/>
      <c r="D353" s="2317"/>
      <c r="E353" s="2317"/>
      <c r="F353" s="2317"/>
      <c r="G353" s="2317"/>
      <c r="H353" s="2317"/>
    </row>
    <row r="354" spans="1:8">
      <c r="A354" s="2318" t="s">
        <v>7329</v>
      </c>
      <c r="B354" s="2317"/>
      <c r="C354" s="2317"/>
      <c r="D354" s="2317"/>
      <c r="E354" s="2317"/>
      <c r="F354" s="2317"/>
      <c r="G354" s="2317"/>
      <c r="H354" s="2317"/>
    </row>
    <row r="355" spans="1:8">
      <c r="A355" s="2318" t="s">
        <v>7330</v>
      </c>
      <c r="B355" s="2317"/>
      <c r="C355" s="2317"/>
      <c r="D355" s="2317"/>
      <c r="E355" s="2317"/>
      <c r="F355" s="2317"/>
      <c r="G355" s="2317"/>
      <c r="H355" s="2317"/>
    </row>
    <row r="356" spans="1:8">
      <c r="A356" s="2318" t="s">
        <v>7331</v>
      </c>
      <c r="B356" s="2317"/>
      <c r="C356" s="2317"/>
      <c r="D356" s="2317"/>
      <c r="E356" s="2317"/>
      <c r="F356" s="2317"/>
      <c r="G356" s="2317"/>
      <c r="H356" s="2317"/>
    </row>
    <row r="357" spans="1:8">
      <c r="A357" s="2318" t="s">
        <v>7332</v>
      </c>
      <c r="B357" s="2317"/>
      <c r="C357" s="2317"/>
      <c r="D357" s="2317"/>
      <c r="E357" s="2317"/>
      <c r="F357" s="2317"/>
      <c r="G357" s="2317"/>
      <c r="H357" s="2317"/>
    </row>
    <row r="358" spans="1:8">
      <c r="A358" s="2318" t="s">
        <v>7333</v>
      </c>
      <c r="B358" s="2317"/>
      <c r="C358" s="2317"/>
      <c r="D358" s="2317"/>
      <c r="E358" s="2317"/>
      <c r="F358" s="2317"/>
      <c r="G358" s="2317"/>
      <c r="H358" s="2317"/>
    </row>
    <row r="359" spans="1:8">
      <c r="A359" s="2318" t="s">
        <v>7334</v>
      </c>
      <c r="B359" s="2317"/>
      <c r="C359" s="2317"/>
      <c r="D359" s="2317"/>
      <c r="E359" s="2317"/>
      <c r="F359" s="2317"/>
      <c r="G359" s="2317"/>
      <c r="H359" s="2317"/>
    </row>
    <row r="360" spans="1:8">
      <c r="A360" s="2318" t="s">
        <v>7335</v>
      </c>
      <c r="B360" s="2317"/>
      <c r="C360" s="2317"/>
      <c r="D360" s="2317"/>
      <c r="E360" s="2317"/>
      <c r="F360" s="2317"/>
      <c r="G360" s="2317"/>
      <c r="H360" s="2317"/>
    </row>
    <row r="361" spans="1:8">
      <c r="A361" s="2318" t="s">
        <v>7336</v>
      </c>
      <c r="B361" s="2317"/>
      <c r="C361" s="2317"/>
      <c r="D361" s="2317"/>
      <c r="E361" s="2317"/>
      <c r="F361" s="2317"/>
      <c r="G361" s="2317"/>
      <c r="H361" s="2317"/>
    </row>
    <row r="362" spans="1:8">
      <c r="A362" s="2318" t="s">
        <v>7337</v>
      </c>
      <c r="B362" s="2317"/>
      <c r="C362" s="2317"/>
      <c r="D362" s="2317"/>
      <c r="E362" s="2317"/>
      <c r="F362" s="2317"/>
      <c r="G362" s="2317"/>
      <c r="H362" s="2317"/>
    </row>
    <row r="363" spans="1:8">
      <c r="A363" s="2318" t="s">
        <v>7338</v>
      </c>
      <c r="B363" s="2317"/>
      <c r="C363" s="2317"/>
      <c r="D363" s="2317"/>
      <c r="E363" s="2317"/>
      <c r="F363" s="2317"/>
      <c r="G363" s="2317"/>
      <c r="H363" s="2317"/>
    </row>
    <row r="364" spans="1:8">
      <c r="A364" s="2318" t="s">
        <v>7339</v>
      </c>
      <c r="B364" s="2317"/>
      <c r="C364" s="2317"/>
      <c r="D364" s="2317"/>
      <c r="E364" s="2317"/>
      <c r="F364" s="2317"/>
      <c r="G364" s="2317"/>
      <c r="H364" s="2317"/>
    </row>
    <row r="365" spans="1:8">
      <c r="A365" s="2318" t="s">
        <v>7340</v>
      </c>
      <c r="B365" s="2317"/>
      <c r="C365" s="2317"/>
      <c r="D365" s="2317"/>
      <c r="E365" s="2317"/>
      <c r="F365" s="2317"/>
      <c r="G365" s="2317"/>
      <c r="H365" s="2317"/>
    </row>
    <row r="366" spans="1:8">
      <c r="A366" s="2318" t="s">
        <v>7341</v>
      </c>
      <c r="B366" s="2317"/>
      <c r="C366" s="2317"/>
      <c r="D366" s="2317"/>
      <c r="E366" s="2317"/>
      <c r="F366" s="2317"/>
      <c r="G366" s="2317"/>
      <c r="H366" s="2317"/>
    </row>
    <row r="367" spans="1:8">
      <c r="A367" s="2318" t="s">
        <v>7342</v>
      </c>
      <c r="B367" s="2317"/>
      <c r="C367" s="2317"/>
      <c r="D367" s="2317"/>
      <c r="E367" s="2317"/>
      <c r="F367" s="2317"/>
      <c r="G367" s="2317"/>
      <c r="H367" s="2317"/>
    </row>
    <row r="368" spans="1:8">
      <c r="A368" s="2318" t="s">
        <v>7343</v>
      </c>
      <c r="B368" s="2317"/>
      <c r="C368" s="2317"/>
      <c r="D368" s="2317"/>
      <c r="E368" s="2317"/>
      <c r="F368" s="2317"/>
      <c r="G368" s="2317"/>
      <c r="H368" s="2317"/>
    </row>
    <row r="369" spans="1:8">
      <c r="A369" s="2317"/>
      <c r="B369" s="2317"/>
      <c r="C369" s="2317"/>
      <c r="D369" s="2317"/>
      <c r="E369" s="2317"/>
      <c r="F369" s="2317"/>
      <c r="G369" s="2317"/>
      <c r="H369" s="2317"/>
    </row>
    <row r="370" spans="1:8">
      <c r="A370" s="2318" t="s">
        <v>7301</v>
      </c>
      <c r="B370" s="2317"/>
      <c r="C370" s="2317"/>
      <c r="D370" s="2317"/>
      <c r="E370" s="2317"/>
      <c r="F370" s="2317"/>
      <c r="G370" s="2317"/>
      <c r="H370" s="2317"/>
    </row>
    <row r="371" spans="1:8">
      <c r="A371" s="2318" t="s">
        <v>7305</v>
      </c>
      <c r="B371" s="2317"/>
      <c r="C371" s="2317"/>
      <c r="D371" s="2317"/>
      <c r="E371" s="2317"/>
      <c r="F371" s="2317"/>
      <c r="G371" s="2317"/>
      <c r="H371" s="2317"/>
    </row>
    <row r="372" spans="1:8">
      <c r="A372" s="2318" t="s">
        <v>7306</v>
      </c>
      <c r="B372" s="2317"/>
      <c r="C372" s="2317"/>
      <c r="D372" s="2317"/>
      <c r="E372" s="2317"/>
      <c r="F372" s="2317"/>
      <c r="G372" s="2317"/>
      <c r="H372" s="2317"/>
    </row>
    <row r="373" spans="1:8">
      <c r="A373" s="2318" t="s">
        <v>7307</v>
      </c>
      <c r="B373" s="2317"/>
      <c r="C373" s="2317"/>
      <c r="D373" s="2317"/>
      <c r="E373" s="2317"/>
      <c r="F373" s="2317"/>
      <c r="G373" s="2317"/>
      <c r="H373" s="2317"/>
    </row>
    <row r="374" spans="1:8">
      <c r="A374" s="2318" t="s">
        <v>7308</v>
      </c>
      <c r="B374" s="2317"/>
      <c r="C374" s="2317"/>
      <c r="D374" s="2317"/>
      <c r="E374" s="2317"/>
      <c r="F374" s="2317"/>
      <c r="G374" s="2317"/>
      <c r="H374" s="2317"/>
    </row>
    <row r="375" spans="1:8">
      <c r="A375" s="2317"/>
      <c r="B375" s="2317"/>
      <c r="C375" s="2317"/>
      <c r="D375" s="2317"/>
      <c r="E375" s="2317"/>
      <c r="F375" s="2317"/>
      <c r="G375" s="2317"/>
      <c r="H375" s="2317"/>
    </row>
    <row r="376" spans="1:8">
      <c r="A376" s="2318" t="s">
        <v>7301</v>
      </c>
      <c r="B376" s="2317"/>
      <c r="C376" s="2317"/>
      <c r="D376" s="2317"/>
      <c r="E376" s="2317"/>
      <c r="F376" s="2317"/>
      <c r="G376" s="2317"/>
      <c r="H376" s="2317"/>
    </row>
    <row r="377" spans="1:8">
      <c r="A377" s="2318" t="s">
        <v>7302</v>
      </c>
      <c r="B377" s="2317"/>
      <c r="C377" s="2317"/>
      <c r="D377" s="2317"/>
      <c r="E377" s="2317"/>
      <c r="F377" s="2317"/>
      <c r="G377" s="2317"/>
      <c r="H377" s="2317"/>
    </row>
    <row r="378" spans="1:8">
      <c r="A378" s="2318" t="s">
        <v>7303</v>
      </c>
      <c r="B378" s="2317"/>
      <c r="C378" s="2317"/>
      <c r="D378" s="2317"/>
      <c r="E378" s="2317"/>
      <c r="F378" s="2317"/>
      <c r="G378" s="2317"/>
      <c r="H378" s="2317"/>
    </row>
    <row r="379" spans="1:8">
      <c r="A379" s="2318" t="s">
        <v>7304</v>
      </c>
      <c r="B379" s="2317"/>
      <c r="C379" s="2317"/>
      <c r="D379" s="2317"/>
      <c r="E379" s="2317"/>
      <c r="F379" s="2317"/>
      <c r="G379" s="2317"/>
      <c r="H379" s="2317"/>
    </row>
    <row r="380" spans="1:8">
      <c r="A380" s="2317"/>
      <c r="B380" s="2317"/>
      <c r="C380" s="2317"/>
      <c r="D380" s="2317"/>
      <c r="E380" s="2317"/>
      <c r="F380" s="2317"/>
      <c r="G380" s="2317"/>
      <c r="H380" s="2317"/>
    </row>
    <row r="381" spans="1:8">
      <c r="A381" s="2318" t="s">
        <v>7295</v>
      </c>
      <c r="B381" s="2317"/>
      <c r="C381" s="2317"/>
      <c r="D381" s="2317"/>
      <c r="E381" s="2317"/>
      <c r="F381" s="2317"/>
      <c r="G381" s="2317"/>
      <c r="H381" s="2317"/>
    </row>
    <row r="382" spans="1:8">
      <c r="A382" s="2318" t="s">
        <v>7296</v>
      </c>
      <c r="B382" s="2317"/>
      <c r="C382" s="2317"/>
      <c r="D382" s="2317"/>
      <c r="E382" s="2317"/>
      <c r="F382" s="2317"/>
      <c r="G382" s="2317"/>
      <c r="H382" s="2317"/>
    </row>
    <row r="383" spans="1:8">
      <c r="A383" s="2318" t="s">
        <v>7297</v>
      </c>
      <c r="B383" s="2317"/>
      <c r="C383" s="2317"/>
      <c r="D383" s="2317"/>
      <c r="E383" s="2317"/>
      <c r="F383" s="2317"/>
      <c r="G383" s="2317"/>
      <c r="H383" s="2317"/>
    </row>
    <row r="384" spans="1:8">
      <c r="A384" s="2318" t="s">
        <v>7298</v>
      </c>
      <c r="B384" s="2317"/>
      <c r="C384" s="2317"/>
      <c r="D384" s="2317"/>
      <c r="E384" s="2317"/>
      <c r="F384" s="2317"/>
      <c r="G384" s="2317"/>
      <c r="H384" s="2317"/>
    </row>
    <row r="385" spans="1:8">
      <c r="A385" s="2318" t="s">
        <v>7299</v>
      </c>
      <c r="B385" s="2317"/>
      <c r="C385" s="2317"/>
      <c r="D385" s="2317"/>
      <c r="E385" s="2317"/>
      <c r="F385" s="2317"/>
      <c r="G385" s="2317"/>
      <c r="H385" s="2317"/>
    </row>
    <row r="386" spans="1:8">
      <c r="A386" s="2318" t="s">
        <v>7300</v>
      </c>
      <c r="B386" s="2317"/>
      <c r="C386" s="2317"/>
      <c r="D386" s="2317"/>
      <c r="E386" s="2317"/>
      <c r="F386" s="2317"/>
      <c r="G386" s="2317"/>
      <c r="H386" s="2317"/>
    </row>
    <row r="387" spans="1:8">
      <c r="A387" s="2317"/>
      <c r="B387" s="2317"/>
      <c r="C387" s="2317"/>
      <c r="D387" s="2317"/>
      <c r="E387" s="2317"/>
      <c r="F387" s="2317"/>
      <c r="G387" s="2317"/>
      <c r="H387" s="2317"/>
    </row>
    <row r="388" spans="1:8">
      <c r="A388" s="2318" t="s">
        <v>7290</v>
      </c>
      <c r="B388" s="2317"/>
      <c r="C388" s="2317"/>
      <c r="D388" s="2317"/>
      <c r="E388" s="2317"/>
      <c r="F388" s="2317"/>
      <c r="G388" s="2317"/>
      <c r="H388" s="2317"/>
    </row>
    <row r="389" spans="1:8">
      <c r="A389" s="2318" t="s">
        <v>7291</v>
      </c>
      <c r="B389" s="2317"/>
      <c r="C389" s="2317"/>
      <c r="D389" s="2317"/>
      <c r="E389" s="2317"/>
      <c r="F389" s="2317"/>
      <c r="G389" s="2317"/>
      <c r="H389" s="2317"/>
    </row>
    <row r="390" spans="1:8">
      <c r="A390" s="2318" t="s">
        <v>7292</v>
      </c>
      <c r="B390" s="2317"/>
      <c r="C390" s="2317"/>
      <c r="D390" s="2317"/>
      <c r="E390" s="2317"/>
      <c r="F390" s="2317"/>
      <c r="G390" s="2317"/>
      <c r="H390" s="2317"/>
    </row>
    <row r="391" spans="1:8">
      <c r="A391" s="2318" t="s">
        <v>7293</v>
      </c>
      <c r="B391" s="2317"/>
      <c r="C391" s="2317"/>
      <c r="D391" s="2317"/>
      <c r="E391" s="2317"/>
      <c r="F391" s="2317"/>
      <c r="G391" s="2317"/>
      <c r="H391" s="2317"/>
    </row>
    <row r="392" spans="1:8">
      <c r="A392" s="2318" t="s">
        <v>7294</v>
      </c>
      <c r="B392" s="2317"/>
      <c r="C392" s="2317"/>
      <c r="D392" s="2317"/>
      <c r="E392" s="2317"/>
      <c r="F392" s="2317"/>
      <c r="G392" s="2317"/>
      <c r="H392" s="2317"/>
    </row>
    <row r="393" spans="1:8">
      <c r="A393" s="2317"/>
      <c r="B393" s="2317"/>
      <c r="C393" s="2317"/>
      <c r="D393" s="2317"/>
      <c r="E393" s="2317"/>
      <c r="F393" s="2317"/>
      <c r="G393" s="2317"/>
      <c r="H393" s="2317"/>
    </row>
    <row r="394" spans="1:8">
      <c r="A394" s="2318" t="s">
        <v>7288</v>
      </c>
      <c r="B394" s="2317"/>
      <c r="C394" s="2317"/>
      <c r="D394" s="2317"/>
      <c r="E394" s="2317"/>
      <c r="F394" s="2317"/>
      <c r="G394" s="2317"/>
      <c r="H394" s="2317"/>
    </row>
    <row r="395" spans="1:8">
      <c r="A395" s="2318" t="s">
        <v>7289</v>
      </c>
      <c r="B395" s="2317"/>
      <c r="C395" s="2317"/>
      <c r="D395" s="2317"/>
      <c r="E395" s="2317"/>
      <c r="F395" s="2317"/>
      <c r="G395" s="2317"/>
      <c r="H395" s="2317"/>
    </row>
    <row r="397" spans="1:8">
      <c r="A397" s="2313" t="s">
        <v>7548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  <pageSetUpPr fitToPage="1"/>
  </sheetPr>
  <dimension ref="A1:AC412"/>
  <sheetViews>
    <sheetView showGridLines="0" zoomScale="90" zoomScaleNormal="90" workbookViewId="0">
      <pane xSplit="7" ySplit="3" topLeftCell="H251" activePane="bottomRight" state="frozen"/>
      <selection pane="topRight" activeCell="H1" sqref="H1"/>
      <selection pane="bottomLeft" activeCell="A4" sqref="A4"/>
      <selection pane="bottomRight" activeCell="V270" sqref="V270"/>
    </sheetView>
  </sheetViews>
  <sheetFormatPr defaultRowHeight="12.75" outlineLevelRow="1" outlineLevelCol="1"/>
  <cols>
    <col min="2" max="2" width="36.42578125" bestFit="1" customWidth="1"/>
    <col min="3" max="7" width="9.140625" hidden="1" customWidth="1" outlineLevel="1"/>
    <col min="8" max="8" width="9.140625" customWidth="1" collapsed="1"/>
    <col min="9" max="10" width="9.140625" customWidth="1"/>
    <col min="11" max="11" width="9.7109375" bestFit="1" customWidth="1"/>
    <col min="12" max="12" width="8.85546875" customWidth="1"/>
    <col min="13" max="13" width="9.7109375" bestFit="1" customWidth="1"/>
    <col min="14" max="14" width="9.7109375" customWidth="1"/>
    <col min="15" max="15" width="9.7109375" bestFit="1" customWidth="1"/>
    <col min="16" max="16" width="9.7109375" style="2024" bestFit="1" customWidth="1"/>
    <col min="17" max="17" width="9.140625" style="2024" customWidth="1"/>
    <col min="18" max="18" width="9.140625" style="2284" customWidth="1"/>
    <col min="24" max="24" width="12.140625" bestFit="1" customWidth="1"/>
    <col min="25" max="25" width="10.42578125" bestFit="1" customWidth="1"/>
  </cols>
  <sheetData>
    <row r="1" spans="1:27">
      <c r="A1" s="1821"/>
      <c r="B1" s="1929" t="s">
        <v>2240</v>
      </c>
      <c r="C1" s="1821"/>
      <c r="D1" s="1821"/>
      <c r="E1" s="1821"/>
      <c r="F1" s="1821"/>
      <c r="G1" s="1862"/>
      <c r="H1" s="1820"/>
      <c r="I1" s="1902"/>
      <c r="J1" s="2023"/>
      <c r="K1" s="2023"/>
      <c r="L1" s="2023"/>
      <c r="M1" s="1902"/>
      <c r="N1" s="2023"/>
      <c r="O1" s="2023"/>
      <c r="P1" s="2023"/>
      <c r="Q1" s="2023"/>
      <c r="R1" s="2023"/>
      <c r="S1" s="1862"/>
    </row>
    <row r="2" spans="1:27">
      <c r="A2" s="1819" t="s">
        <v>7079</v>
      </c>
      <c r="B2" s="1820"/>
      <c r="C2" s="1820"/>
      <c r="D2" s="1820"/>
      <c r="E2" s="1820"/>
      <c r="F2" s="1820"/>
      <c r="G2" s="1820"/>
      <c r="H2" s="1820"/>
      <c r="I2" s="1820"/>
      <c r="J2" s="1820"/>
      <c r="K2" s="1820"/>
      <c r="L2" s="2023"/>
      <c r="M2" s="2023"/>
      <c r="N2" s="2023"/>
      <c r="O2" s="2023"/>
      <c r="P2" s="2023"/>
      <c r="Q2" s="2023"/>
      <c r="R2" s="2023"/>
      <c r="S2" s="1820"/>
    </row>
    <row r="3" spans="1:27" ht="13.5" thickBot="1">
      <c r="A3" s="1821"/>
      <c r="B3" s="1821"/>
      <c r="C3" s="1823" t="s">
        <v>470</v>
      </c>
      <c r="D3" s="1823" t="s">
        <v>471</v>
      </c>
      <c r="E3" s="1823" t="s">
        <v>3788</v>
      </c>
      <c r="F3" s="1823" t="s">
        <v>1940</v>
      </c>
      <c r="G3" s="1823" t="s">
        <v>1941</v>
      </c>
      <c r="H3" s="1823" t="s">
        <v>3782</v>
      </c>
      <c r="I3" s="1823" t="s">
        <v>3783</v>
      </c>
      <c r="J3" s="1823" t="s">
        <v>373</v>
      </c>
      <c r="K3" s="1823" t="s">
        <v>7130</v>
      </c>
      <c r="L3" s="1823" t="s">
        <v>7131</v>
      </c>
      <c r="M3" s="1823" t="s">
        <v>367</v>
      </c>
      <c r="N3" s="1823" t="s">
        <v>368</v>
      </c>
      <c r="O3" s="1823" t="s">
        <v>369</v>
      </c>
      <c r="P3" s="1823" t="s">
        <v>370</v>
      </c>
      <c r="Q3" s="1823" t="s">
        <v>371</v>
      </c>
      <c r="R3" s="1823" t="s">
        <v>7232</v>
      </c>
      <c r="S3" s="1824" t="s">
        <v>7074</v>
      </c>
      <c r="T3" s="1823" t="s">
        <v>7128</v>
      </c>
      <c r="U3" s="2208"/>
      <c r="V3" s="1578"/>
      <c r="W3" s="2207"/>
    </row>
    <row r="4" spans="1:27" ht="13.5" thickBot="1">
      <c r="A4" s="1824" t="s">
        <v>7005</v>
      </c>
      <c r="B4" s="1825" t="s">
        <v>7075</v>
      </c>
      <c r="C4" s="1826"/>
      <c r="D4" s="1826"/>
      <c r="E4" s="1826"/>
      <c r="F4" s="1826"/>
      <c r="G4" s="1827">
        <f>+G6+G10+G18</f>
        <v>1740</v>
      </c>
      <c r="H4" s="1827">
        <f t="shared" ref="H4:N4" si="0">+H6+H10+H18+H19</f>
        <v>1854.3715740018588</v>
      </c>
      <c r="I4" s="1827">
        <f t="shared" si="0"/>
        <v>2239.5868067917841</v>
      </c>
      <c r="J4" s="1827">
        <f t="shared" si="0"/>
        <v>2584.180515897413</v>
      </c>
      <c r="K4" s="1827">
        <f t="shared" si="0"/>
        <v>3104.9632138439692</v>
      </c>
      <c r="L4" s="1827">
        <f t="shared" si="0"/>
        <v>3716.4833574969325</v>
      </c>
      <c r="M4" s="1827">
        <f>+M6+M10+M18+M19</f>
        <v>4258.3866285700869</v>
      </c>
      <c r="N4" s="1827">
        <f t="shared" si="0"/>
        <v>4842.7736745882494</v>
      </c>
      <c r="O4" s="1827">
        <f>+O6+O10+O18+O19</f>
        <v>5443.7291057925386</v>
      </c>
      <c r="P4" s="1827">
        <f>+P6+P10+P18+P19</f>
        <v>6001.6502359472561</v>
      </c>
      <c r="Q4" s="1827">
        <f>+Q6+Q10+Q18+Q19</f>
        <v>6515.7497404064052</v>
      </c>
      <c r="R4" s="1930">
        <f>+R6+R10+R18+R19</f>
        <v>6990.6931504486265</v>
      </c>
      <c r="S4" s="1906">
        <f>(N4/J4)^0.25-100%</f>
        <v>0.17001877632072104</v>
      </c>
      <c r="T4" s="1906">
        <f>(Q4/J4)^(1/7)-100%</f>
        <v>0.14124099557357828</v>
      </c>
      <c r="U4" s="1578"/>
      <c r="V4" s="1578"/>
    </row>
    <row r="5" spans="1:27" s="2203" customFormat="1">
      <c r="A5" s="1824"/>
      <c r="B5" s="2209" t="s">
        <v>6985</v>
      </c>
      <c r="C5" s="1821"/>
      <c r="D5" s="1821"/>
      <c r="E5" s="1821"/>
      <c r="F5" s="1821"/>
      <c r="G5" s="1830"/>
      <c r="H5" s="1830"/>
      <c r="I5" s="531">
        <f>I4/H4-1</f>
        <v>0.20773357302851925</v>
      </c>
      <c r="J5" s="531">
        <f t="shared" ref="J5:R5" si="1">J4/I4-1</f>
        <v>0.15386485938415606</v>
      </c>
      <c r="K5" s="531">
        <f t="shared" si="1"/>
        <v>0.20152721326656353</v>
      </c>
      <c r="L5" s="531">
        <f t="shared" si="1"/>
        <v>0.19694923950351617</v>
      </c>
      <c r="M5" s="531">
        <f t="shared" si="1"/>
        <v>0.14581076220347411</v>
      </c>
      <c r="N5" s="531">
        <f t="shared" si="1"/>
        <v>0.13723203104608483</v>
      </c>
      <c r="O5" s="531">
        <f t="shared" si="1"/>
        <v>0.12409323077758416</v>
      </c>
      <c r="P5" s="531">
        <f t="shared" si="1"/>
        <v>0.10248877549050839</v>
      </c>
      <c r="Q5" s="531">
        <f t="shared" si="1"/>
        <v>8.5659690959649426E-2</v>
      </c>
      <c r="R5" s="531">
        <f t="shared" si="1"/>
        <v>7.2891597891940885E-2</v>
      </c>
      <c r="S5" s="1906"/>
      <c r="T5" s="1906"/>
      <c r="U5" s="1578"/>
      <c r="V5" s="1578"/>
    </row>
    <row r="6" spans="1:27">
      <c r="A6" s="1821"/>
      <c r="B6" s="1829" t="s">
        <v>7076</v>
      </c>
      <c r="C6" s="1821"/>
      <c r="D6" s="1821"/>
      <c r="E6" s="1821"/>
      <c r="F6" s="1821"/>
      <c r="G6" s="1830">
        <f t="shared" ref="G6:L6" si="2">SUM(G7:G9)</f>
        <v>1705</v>
      </c>
      <c r="H6" s="1830">
        <f t="shared" si="2"/>
        <v>1772.07125</v>
      </c>
      <c r="I6" s="1830">
        <f t="shared" si="2"/>
        <v>2027.0173457499998</v>
      </c>
      <c r="J6" s="1830">
        <f t="shared" si="2"/>
        <v>2161.5946056172997</v>
      </c>
      <c r="K6" s="1830">
        <f t="shared" si="2"/>
        <v>2018.3610674994147</v>
      </c>
      <c r="L6" s="1830">
        <f t="shared" si="2"/>
        <v>1448.5043854981759</v>
      </c>
      <c r="M6" s="1830">
        <f t="shared" ref="M6:R6" si="3">SUM(M7:M9)</f>
        <v>717.0305547112888</v>
      </c>
      <c r="N6" s="1830">
        <f t="shared" si="3"/>
        <v>52.717342087664406</v>
      </c>
      <c r="O6" s="1830">
        <f t="shared" si="3"/>
        <v>0</v>
      </c>
      <c r="P6" s="1830">
        <f t="shared" si="3"/>
        <v>0</v>
      </c>
      <c r="Q6" s="1830">
        <f t="shared" si="3"/>
        <v>0</v>
      </c>
      <c r="R6" s="1830">
        <f t="shared" si="3"/>
        <v>0</v>
      </c>
      <c r="S6" s="1965">
        <f>(N6/J6)^0.25-100%</f>
        <v>-0.60482012958531794</v>
      </c>
      <c r="T6" s="1906">
        <f>(Q6/J6)^(1/7)-100%</f>
        <v>-1</v>
      </c>
      <c r="U6" s="1578"/>
      <c r="V6" s="1578"/>
    </row>
    <row r="7" spans="1:27">
      <c r="A7" s="1821"/>
      <c r="B7" s="1831" t="s">
        <v>7151</v>
      </c>
      <c r="C7" s="1821"/>
      <c r="D7" s="1821"/>
      <c r="E7" s="1821"/>
      <c r="F7" s="1821"/>
      <c r="G7" s="1832">
        <v>895</v>
      </c>
      <c r="H7" s="1832">
        <f>+G7+H40+H74</f>
        <v>893.86531249999996</v>
      </c>
      <c r="I7" s="1832">
        <f t="shared" ref="I7:R7" si="4">H7+I74+I40</f>
        <v>949.08127047624987</v>
      </c>
      <c r="J7" s="1832">
        <f t="shared" si="4"/>
        <v>928.04365035263731</v>
      </c>
      <c r="K7" s="1832">
        <f t="shared" si="4"/>
        <v>946.46909827801187</v>
      </c>
      <c r="L7" s="1832">
        <f t="shared" si="4"/>
        <v>724.48423596788689</v>
      </c>
      <c r="M7" s="1832">
        <f t="shared" si="4"/>
        <v>391.22148742265892</v>
      </c>
      <c r="N7" s="1832">
        <f t="shared" si="4"/>
        <v>46.946578490719048</v>
      </c>
      <c r="O7" s="1832">
        <f t="shared" si="4"/>
        <v>0</v>
      </c>
      <c r="P7" s="1832">
        <f t="shared" si="4"/>
        <v>0</v>
      </c>
      <c r="Q7" s="1832">
        <f t="shared" si="4"/>
        <v>0</v>
      </c>
      <c r="R7" s="1832">
        <f t="shared" si="4"/>
        <v>0</v>
      </c>
      <c r="S7" s="1821"/>
      <c r="U7" s="1578"/>
      <c r="V7" s="1578"/>
    </row>
    <row r="8" spans="1:27">
      <c r="A8" s="1821"/>
      <c r="B8" s="1831" t="s">
        <v>7006</v>
      </c>
      <c r="C8" s="1821"/>
      <c r="D8" s="1821"/>
      <c r="E8" s="1821"/>
      <c r="F8" s="1821"/>
      <c r="G8" s="1832">
        <v>650</v>
      </c>
      <c r="H8" s="1832">
        <f t="shared" ref="H8:R8" si="5">G8+H75+H42</f>
        <v>652.5101249999999</v>
      </c>
      <c r="I8" s="1832">
        <f t="shared" si="5"/>
        <v>736.12539119249993</v>
      </c>
      <c r="J8" s="1832">
        <f t="shared" si="5"/>
        <v>727.41227714054992</v>
      </c>
      <c r="K8" s="1832">
        <f t="shared" si="5"/>
        <v>632.84868111227843</v>
      </c>
      <c r="L8" s="1832">
        <f t="shared" si="5"/>
        <v>427.46397014409956</v>
      </c>
      <c r="M8" s="1832">
        <f t="shared" si="5"/>
        <v>192.35878656484479</v>
      </c>
      <c r="N8" s="1832">
        <f t="shared" si="5"/>
        <v>5.7707635969453577</v>
      </c>
      <c r="O8" s="1832">
        <f t="shared" si="5"/>
        <v>0</v>
      </c>
      <c r="P8" s="1832">
        <f t="shared" si="5"/>
        <v>0</v>
      </c>
      <c r="Q8" s="1832">
        <f t="shared" si="5"/>
        <v>0</v>
      </c>
      <c r="R8" s="1832">
        <f t="shared" si="5"/>
        <v>0</v>
      </c>
      <c r="S8" s="1821"/>
      <c r="U8" s="1578"/>
      <c r="V8" s="1578"/>
    </row>
    <row r="9" spans="1:27">
      <c r="A9" s="1821"/>
      <c r="B9" s="1831" t="s">
        <v>7007</v>
      </c>
      <c r="C9" s="1821"/>
      <c r="D9" s="1821"/>
      <c r="E9" s="1821"/>
      <c r="F9" s="1821"/>
      <c r="G9" s="1832">
        <v>160</v>
      </c>
      <c r="H9" s="1832">
        <f t="shared" ref="H9:R9" si="6">G9+H76+H44</f>
        <v>225.69581249999999</v>
      </c>
      <c r="I9" s="1832">
        <f t="shared" si="6"/>
        <v>341.81068408124997</v>
      </c>
      <c r="J9" s="1832">
        <f t="shared" si="6"/>
        <v>506.13867812411252</v>
      </c>
      <c r="K9" s="1832">
        <f t="shared" si="6"/>
        <v>439.04328810912449</v>
      </c>
      <c r="L9" s="1832">
        <f t="shared" si="6"/>
        <v>296.55617938618923</v>
      </c>
      <c r="M9" s="1832">
        <f t="shared" si="6"/>
        <v>133.45028072378514</v>
      </c>
      <c r="N9" s="1832">
        <f t="shared" si="6"/>
        <v>0</v>
      </c>
      <c r="O9" s="1832">
        <f t="shared" si="6"/>
        <v>0</v>
      </c>
      <c r="P9" s="1832">
        <f t="shared" si="6"/>
        <v>0</v>
      </c>
      <c r="Q9" s="1832">
        <f t="shared" si="6"/>
        <v>0</v>
      </c>
      <c r="R9" s="1832">
        <f t="shared" si="6"/>
        <v>0</v>
      </c>
      <c r="S9" s="1821"/>
      <c r="U9" s="1578"/>
      <c r="V9" s="1578"/>
    </row>
    <row r="10" spans="1:27">
      <c r="A10" s="1821"/>
      <c r="B10" s="1829" t="s">
        <v>7077</v>
      </c>
      <c r="C10" s="1821"/>
      <c r="D10" s="1821"/>
      <c r="E10" s="1821"/>
      <c r="F10" s="1821"/>
      <c r="G10" s="1830">
        <v>0</v>
      </c>
      <c r="H10" s="1830">
        <f>SUM(H11:H16)</f>
        <v>22</v>
      </c>
      <c r="I10" s="1830">
        <f t="shared" ref="I10:Q10" si="7">SUM(I11:I16)</f>
        <v>126.1309</v>
      </c>
      <c r="J10" s="1830">
        <f t="shared" si="7"/>
        <v>295.04042148000002</v>
      </c>
      <c r="K10" s="1830">
        <f t="shared" si="7"/>
        <v>834.59217856794692</v>
      </c>
      <c r="L10" s="1830">
        <f t="shared" si="7"/>
        <v>1776.6000977607512</v>
      </c>
      <c r="M10" s="1830">
        <f t="shared" si="7"/>
        <v>2774.1842026049139</v>
      </c>
      <c r="N10" s="1830">
        <f t="shared" si="7"/>
        <v>3695.2887738662052</v>
      </c>
      <c r="O10" s="1830">
        <f t="shared" si="7"/>
        <v>4032.8100172348327</v>
      </c>
      <c r="P10" s="1830">
        <f t="shared" si="7"/>
        <v>4290.7119435389104</v>
      </c>
      <c r="Q10" s="1830">
        <f t="shared" si="7"/>
        <v>4520.7943818003514</v>
      </c>
      <c r="R10" s="1830">
        <f t="shared" ref="R10" si="8">SUM(R11:R16)</f>
        <v>4726.9790422737951</v>
      </c>
      <c r="S10" s="1906">
        <f>(N10/J10)^0.25-100%</f>
        <v>0.88122921980449376</v>
      </c>
      <c r="T10" s="1906">
        <f>(Q10/J10)^(1/7)-100%</f>
        <v>0.47683956680497097</v>
      </c>
      <c r="U10" s="1578"/>
      <c r="V10" s="1578"/>
    </row>
    <row r="11" spans="1:27">
      <c r="A11" s="1821"/>
      <c r="B11" s="1831" t="s">
        <v>7158</v>
      </c>
      <c r="C11" s="1821"/>
      <c r="D11" s="1821"/>
      <c r="E11" s="1821"/>
      <c r="F11" s="1821"/>
      <c r="G11" s="1832">
        <v>0</v>
      </c>
      <c r="H11" s="1832">
        <v>7</v>
      </c>
      <c r="I11" s="1832">
        <f t="shared" ref="I11:R11" si="9">H11+I78+I48</f>
        <v>17.323090000000001</v>
      </c>
      <c r="J11" s="1832">
        <f t="shared" si="9"/>
        <v>21.931310829000001</v>
      </c>
      <c r="K11" s="1832">
        <f t="shared" si="9"/>
        <v>47.930937453150008</v>
      </c>
      <c r="L11" s="1832">
        <f t="shared" si="9"/>
        <v>108.58797308871547</v>
      </c>
      <c r="M11" s="1832">
        <f t="shared" si="9"/>
        <v>155.36927683373108</v>
      </c>
      <c r="N11" s="1832">
        <f t="shared" si="9"/>
        <v>193.94782754503328</v>
      </c>
      <c r="O11" s="1832">
        <f t="shared" si="9"/>
        <v>215.76640606381395</v>
      </c>
      <c r="P11" s="1832">
        <f t="shared" si="9"/>
        <v>231.50402708978379</v>
      </c>
      <c r="Q11" s="1832">
        <f t="shared" si="9"/>
        <v>246.72002647774679</v>
      </c>
      <c r="R11" s="1832">
        <f t="shared" si="9"/>
        <v>261.4431379037361</v>
      </c>
      <c r="S11" s="1989"/>
      <c r="U11" s="1578"/>
      <c r="V11" s="1578"/>
    </row>
    <row r="12" spans="1:27">
      <c r="A12" s="1821"/>
      <c r="B12" s="1831" t="s">
        <v>7159</v>
      </c>
      <c r="C12" s="1821"/>
      <c r="D12" s="1821"/>
      <c r="E12" s="1821"/>
      <c r="F12" s="1821"/>
      <c r="G12" s="1832">
        <v>0</v>
      </c>
      <c r="H12" s="1832">
        <v>9</v>
      </c>
      <c r="I12" s="1832">
        <f t="shared" ref="I12:R12" si="10">H12+I79+I50</f>
        <v>20.073707999999996</v>
      </c>
      <c r="J12" s="1832">
        <f t="shared" si="10"/>
        <v>29.105800217999999</v>
      </c>
      <c r="K12" s="1832">
        <f t="shared" si="10"/>
        <v>80.969720531760004</v>
      </c>
      <c r="L12" s="1832">
        <f t="shared" si="10"/>
        <v>244.90723074928121</v>
      </c>
      <c r="M12" s="1832">
        <f t="shared" si="10"/>
        <v>345.49616995517215</v>
      </c>
      <c r="N12" s="1832">
        <f t="shared" si="10"/>
        <v>420.84984203206676</v>
      </c>
      <c r="O12" s="1832">
        <f t="shared" si="10"/>
        <v>481.72976435759847</v>
      </c>
      <c r="P12" s="1832">
        <f t="shared" si="10"/>
        <v>538.68477199396864</v>
      </c>
      <c r="Q12" s="1832">
        <f t="shared" si="10"/>
        <v>592.03831290727896</v>
      </c>
      <c r="R12" s="1832">
        <f t="shared" si="10"/>
        <v>642.08805377425278</v>
      </c>
      <c r="S12" s="1821"/>
      <c r="U12" s="1578"/>
      <c r="V12" s="1578"/>
    </row>
    <row r="13" spans="1:27">
      <c r="A13" s="1821"/>
      <c r="B13" s="1831" t="s">
        <v>7160</v>
      </c>
      <c r="C13" s="1821"/>
      <c r="D13" s="1821"/>
      <c r="E13" s="1821"/>
      <c r="F13" s="1821"/>
      <c r="G13" s="1832">
        <v>0</v>
      </c>
      <c r="H13" s="1832">
        <v>6</v>
      </c>
      <c r="I13" s="1832">
        <f t="shared" ref="I13:R13" si="11">H13+I80+I52</f>
        <v>88.734101999999993</v>
      </c>
      <c r="J13" s="1832">
        <f t="shared" si="11"/>
        <v>244.00331043300002</v>
      </c>
      <c r="K13" s="1832">
        <f t="shared" si="11"/>
        <v>663.15801447459</v>
      </c>
      <c r="L13" s="1832">
        <f t="shared" si="11"/>
        <v>891.6343546572441</v>
      </c>
      <c r="M13" s="1832">
        <f t="shared" si="11"/>
        <v>1077.6699781960074</v>
      </c>
      <c r="N13" s="1832">
        <f t="shared" si="11"/>
        <v>1281.645929606851</v>
      </c>
      <c r="O13" s="1832">
        <f t="shared" si="11"/>
        <v>1488.6013255155665</v>
      </c>
      <c r="P13" s="1832">
        <f t="shared" si="11"/>
        <v>1673.8106231573042</v>
      </c>
      <c r="Q13" s="1832">
        <f t="shared" si="11"/>
        <v>1835.3235211174722</v>
      </c>
      <c r="R13" s="1832">
        <f t="shared" si="11"/>
        <v>1976.7353292979526</v>
      </c>
      <c r="S13" s="1821"/>
      <c r="U13" s="1578"/>
      <c r="V13" s="1578"/>
      <c r="Z13" s="2101"/>
      <c r="AA13" s="2101"/>
    </row>
    <row r="14" spans="1:27" s="2114" customFormat="1">
      <c r="A14" s="1821"/>
      <c r="B14" s="1831" t="s">
        <v>7161</v>
      </c>
      <c r="C14" s="1821"/>
      <c r="D14" s="1821"/>
      <c r="E14" s="1821"/>
      <c r="F14" s="1821"/>
      <c r="G14" s="1832"/>
      <c r="H14" s="1832"/>
      <c r="I14" s="1832">
        <f>I91</f>
        <v>0</v>
      </c>
      <c r="J14" s="1832">
        <f t="shared" ref="J14:R14" si="12">J91+I14</f>
        <v>0</v>
      </c>
      <c r="K14" s="1832">
        <f t="shared" si="12"/>
        <v>19.140077748801154</v>
      </c>
      <c r="L14" s="1832">
        <f t="shared" si="12"/>
        <v>258.71922399576209</v>
      </c>
      <c r="M14" s="1832">
        <f t="shared" si="12"/>
        <v>650.58438462491313</v>
      </c>
      <c r="N14" s="1832">
        <f t="shared" si="12"/>
        <v>1018.5341868328862</v>
      </c>
      <c r="O14" s="1832">
        <f t="shared" si="12"/>
        <v>1047.7332682684018</v>
      </c>
      <c r="P14" s="1832">
        <f t="shared" si="12"/>
        <v>1047.7332682684018</v>
      </c>
      <c r="Q14" s="1832">
        <f t="shared" si="12"/>
        <v>1047.7332682684018</v>
      </c>
      <c r="R14" s="1832">
        <f t="shared" si="12"/>
        <v>1047.7332682684018</v>
      </c>
      <c r="S14" s="1821"/>
      <c r="U14" s="1578"/>
      <c r="V14" s="1578"/>
      <c r="AA14" s="1579"/>
    </row>
    <row r="15" spans="1:27" s="2114" customFormat="1">
      <c r="A15" s="1821"/>
      <c r="B15" s="1831" t="s">
        <v>7162</v>
      </c>
      <c r="C15" s="1821"/>
      <c r="D15" s="1821"/>
      <c r="E15" s="1821"/>
      <c r="F15" s="1821"/>
      <c r="G15" s="1832"/>
      <c r="H15" s="1832"/>
      <c r="I15" s="1832">
        <f>I93</f>
        <v>0</v>
      </c>
      <c r="J15" s="1832">
        <f t="shared" ref="J15:R15" si="13">J93+I15</f>
        <v>0</v>
      </c>
      <c r="K15" s="1832">
        <f t="shared" si="13"/>
        <v>14.886727137956452</v>
      </c>
      <c r="L15" s="1832">
        <f t="shared" si="13"/>
        <v>186.01468874292857</v>
      </c>
      <c r="M15" s="1832">
        <f t="shared" si="13"/>
        <v>418.47707216700121</v>
      </c>
      <c r="N15" s="1832">
        <f t="shared" si="13"/>
        <v>629.59581113878903</v>
      </c>
      <c r="O15" s="1832">
        <f t="shared" si="13"/>
        <v>646.34938245424883</v>
      </c>
      <c r="P15" s="1832">
        <f t="shared" si="13"/>
        <v>646.34938245424883</v>
      </c>
      <c r="Q15" s="1832">
        <f t="shared" si="13"/>
        <v>646.34938245424883</v>
      </c>
      <c r="R15" s="1832">
        <f t="shared" si="13"/>
        <v>646.34938245424883</v>
      </c>
      <c r="S15" s="1821"/>
      <c r="U15" s="1578"/>
      <c r="V15" s="1578"/>
    </row>
    <row r="16" spans="1:27" s="2114" customFormat="1">
      <c r="A16" s="1821"/>
      <c r="B16" s="1831" t="s">
        <v>7163</v>
      </c>
      <c r="C16" s="1821"/>
      <c r="D16" s="1821"/>
      <c r="E16" s="1821"/>
      <c r="F16" s="1821"/>
      <c r="G16" s="1832"/>
      <c r="H16" s="1832"/>
      <c r="I16" s="1832">
        <f>I95</f>
        <v>0</v>
      </c>
      <c r="J16" s="1832">
        <f t="shared" ref="J16:R16" si="14">J95+I16</f>
        <v>0</v>
      </c>
      <c r="K16" s="1832">
        <f t="shared" si="14"/>
        <v>8.5067012216893989</v>
      </c>
      <c r="L16" s="1832">
        <f t="shared" si="14"/>
        <v>86.736626526819521</v>
      </c>
      <c r="M16" s="1832">
        <f t="shared" si="14"/>
        <v>126.58732082808916</v>
      </c>
      <c r="N16" s="1832">
        <f t="shared" si="14"/>
        <v>150.71517671057921</v>
      </c>
      <c r="O16" s="1832">
        <f t="shared" si="14"/>
        <v>152.6298705752032</v>
      </c>
      <c r="P16" s="1832">
        <f t="shared" si="14"/>
        <v>152.6298705752032</v>
      </c>
      <c r="Q16" s="1832">
        <f t="shared" si="14"/>
        <v>152.6298705752032</v>
      </c>
      <c r="R16" s="1832">
        <f t="shared" si="14"/>
        <v>152.6298705752032</v>
      </c>
      <c r="S16" s="1821"/>
      <c r="U16" s="1578"/>
      <c r="V16" s="1578"/>
    </row>
    <row r="17" spans="1:25" s="2115" customFormat="1">
      <c r="A17" s="1821"/>
      <c r="B17" s="2149" t="s">
        <v>7169</v>
      </c>
      <c r="C17" s="1821"/>
      <c r="D17" s="1821"/>
      <c r="E17" s="1821"/>
      <c r="F17" s="1821"/>
      <c r="G17" s="1832"/>
      <c r="H17" s="1832"/>
      <c r="I17" s="1830">
        <f>SUM(I14:I16)</f>
        <v>0</v>
      </c>
      <c r="J17" s="1830">
        <f t="shared" ref="J17:Q17" si="15">SUM(J14:J16)</f>
        <v>0</v>
      </c>
      <c r="K17" s="1830">
        <f t="shared" si="15"/>
        <v>42.533506108447</v>
      </c>
      <c r="L17" s="1830">
        <f t="shared" si="15"/>
        <v>531.47053926551018</v>
      </c>
      <c r="M17" s="1830">
        <f t="shared" si="15"/>
        <v>1195.6487776200033</v>
      </c>
      <c r="N17" s="1830">
        <f t="shared" si="15"/>
        <v>1798.8451746822545</v>
      </c>
      <c r="O17" s="1830">
        <f t="shared" si="15"/>
        <v>1846.712521297854</v>
      </c>
      <c r="P17" s="1830">
        <f t="shared" si="15"/>
        <v>1846.712521297854</v>
      </c>
      <c r="Q17" s="1830">
        <f t="shared" si="15"/>
        <v>1846.712521297854</v>
      </c>
      <c r="R17" s="1830">
        <f t="shared" ref="R17" si="16">SUM(R14:R16)</f>
        <v>1846.712521297854</v>
      </c>
      <c r="S17" s="1821"/>
      <c r="U17" s="1578"/>
      <c r="V17" s="1578"/>
    </row>
    <row r="18" spans="1:25">
      <c r="A18" s="1821"/>
      <c r="B18" s="1829" t="s">
        <v>7008</v>
      </c>
      <c r="C18" s="1821"/>
      <c r="D18" s="1821"/>
      <c r="E18" s="1821"/>
      <c r="F18" s="1821"/>
      <c r="G18" s="1830">
        <v>35</v>
      </c>
      <c r="H18" s="1830">
        <f t="shared" ref="H18:R18" si="17">+H55+G18+H81</f>
        <v>37.499999999999993</v>
      </c>
      <c r="I18" s="1830">
        <f t="shared" si="17"/>
        <v>46.295099999999991</v>
      </c>
      <c r="J18" s="1830">
        <f t="shared" si="17"/>
        <v>55.150547999999993</v>
      </c>
      <c r="K18" s="1830">
        <f t="shared" si="17"/>
        <v>102.322533522</v>
      </c>
      <c r="L18" s="1830">
        <f t="shared" si="17"/>
        <v>289.02931009845969</v>
      </c>
      <c r="M18" s="1830">
        <f t="shared" si="17"/>
        <v>375.49111286532616</v>
      </c>
      <c r="N18" s="1830">
        <f t="shared" si="17"/>
        <v>422.72524690614216</v>
      </c>
      <c r="O18" s="1830">
        <f t="shared" si="17"/>
        <v>494.179976959687</v>
      </c>
      <c r="P18" s="1830">
        <f t="shared" si="17"/>
        <v>577.56892744906054</v>
      </c>
      <c r="Q18" s="1830">
        <f t="shared" si="17"/>
        <v>662.56300217729358</v>
      </c>
      <c r="R18" s="1830">
        <f t="shared" si="17"/>
        <v>739.69299525289728</v>
      </c>
      <c r="S18" s="1906">
        <f>(N18/J18)^0.25-100%</f>
        <v>0.66389948983267599</v>
      </c>
      <c r="T18" s="1906">
        <f>(Q18/J18)^(1/7)-100%</f>
        <v>0.42639438729221379</v>
      </c>
      <c r="U18" s="1578"/>
      <c r="V18" s="1578"/>
      <c r="W18" s="2207"/>
    </row>
    <row r="19" spans="1:25">
      <c r="A19" s="1821"/>
      <c r="B19" s="1829" t="s">
        <v>7009</v>
      </c>
      <c r="C19" s="1821"/>
      <c r="D19" s="1821"/>
      <c r="E19" s="1821"/>
      <c r="F19" s="1821"/>
      <c r="G19" s="1830">
        <v>5</v>
      </c>
      <c r="H19" s="1830">
        <f t="shared" ref="H19:R19" si="18">+H57+G19+H82</f>
        <v>22.800324001858744</v>
      </c>
      <c r="I19" s="1830">
        <f t="shared" si="18"/>
        <v>40.143461041784391</v>
      </c>
      <c r="J19" s="1830">
        <f t="shared" si="18"/>
        <v>72.394940800113019</v>
      </c>
      <c r="K19" s="1830">
        <f t="shared" si="18"/>
        <v>149.68743425460738</v>
      </c>
      <c r="L19" s="1830">
        <f t="shared" si="18"/>
        <v>202.34956413954592</v>
      </c>
      <c r="M19" s="1830">
        <f t="shared" si="18"/>
        <v>391.68075838855765</v>
      </c>
      <c r="N19" s="1830">
        <f t="shared" si="18"/>
        <v>672.04231172823836</v>
      </c>
      <c r="O19" s="1830">
        <f t="shared" si="18"/>
        <v>916.73911159801867</v>
      </c>
      <c r="P19" s="1830">
        <f t="shared" si="18"/>
        <v>1133.3693649592856</v>
      </c>
      <c r="Q19" s="1830">
        <f t="shared" si="18"/>
        <v>1332.3923564287597</v>
      </c>
      <c r="R19" s="1830">
        <f t="shared" si="18"/>
        <v>1524.0211129219344</v>
      </c>
      <c r="S19" s="1906">
        <f>(N19/J19)^0.25-100%</f>
        <v>0.74550903022444248</v>
      </c>
      <c r="T19" s="1906">
        <f>(Q19/J19)^(1/7)-100%</f>
        <v>0.51601471405751664</v>
      </c>
      <c r="U19" s="1578"/>
      <c r="V19" s="1578"/>
      <c r="X19" s="1788"/>
      <c r="Y19" s="1788"/>
    </row>
    <row r="20" spans="1:25">
      <c r="A20" s="1821"/>
      <c r="B20" s="1829"/>
      <c r="C20" s="1821"/>
      <c r="D20" s="1821"/>
      <c r="E20" s="1821"/>
      <c r="F20" s="1821"/>
      <c r="G20" s="1830"/>
      <c r="H20" s="1830"/>
      <c r="I20" s="1830"/>
      <c r="J20" s="1830"/>
      <c r="K20" s="1830"/>
      <c r="L20" s="1830"/>
      <c r="M20" s="1830"/>
      <c r="N20" s="1830"/>
      <c r="O20" s="1830"/>
      <c r="P20" s="1830"/>
      <c r="Q20" s="1830"/>
      <c r="R20" s="1830"/>
      <c r="S20" s="1821"/>
      <c r="U20" s="1578"/>
      <c r="V20" s="1578"/>
      <c r="W20" s="1788"/>
      <c r="X20" s="2022"/>
      <c r="Y20" s="2022"/>
    </row>
    <row r="21" spans="1:25" s="2162" customFormat="1">
      <c r="A21" s="1821"/>
      <c r="B21" s="2163" t="s">
        <v>7175</v>
      </c>
      <c r="C21" s="2164"/>
      <c r="D21" s="2164"/>
      <c r="E21" s="2164"/>
      <c r="F21" s="2164"/>
      <c r="G21" s="2165"/>
      <c r="H21" s="2165">
        <f>SUM(H6,H14:H16)</f>
        <v>1772.07125</v>
      </c>
      <c r="I21" s="2165">
        <f>SUM(I6,I14:I16)</f>
        <v>2027.0173457499998</v>
      </c>
      <c r="J21" s="2165">
        <f>SUM(J6,J14:J16)</f>
        <v>2161.5946056172997</v>
      </c>
      <c r="K21" s="2165">
        <f>SUM(K6,K14:K16)</f>
        <v>2060.8945736078617</v>
      </c>
      <c r="L21" s="2165">
        <f>SUM(L6,L14:L16)</f>
        <v>1979.9749247636862</v>
      </c>
      <c r="M21" s="2165">
        <f t="shared" ref="M21:Q21" si="19">SUM(M6,M14:M16)</f>
        <v>1912.6793323312922</v>
      </c>
      <c r="N21" s="2165">
        <f t="shared" si="19"/>
        <v>1851.5625167699191</v>
      </c>
      <c r="O21" s="2165">
        <f t="shared" si="19"/>
        <v>1846.712521297854</v>
      </c>
      <c r="P21" s="2165">
        <f t="shared" si="19"/>
        <v>1846.712521297854</v>
      </c>
      <c r="Q21" s="2165">
        <f t="shared" si="19"/>
        <v>1846.712521297854</v>
      </c>
      <c r="R21" s="2166">
        <f t="shared" ref="R21" si="20">SUM(R6,R14:R16)</f>
        <v>1846.712521297854</v>
      </c>
      <c r="S21" s="1821"/>
      <c r="U21" s="1578"/>
      <c r="V21" s="1578"/>
      <c r="W21" s="1788"/>
      <c r="X21" s="1578"/>
      <c r="Y21" s="1578"/>
    </row>
    <row r="22" spans="1:25" s="2162" customFormat="1">
      <c r="A22" s="1821"/>
      <c r="B22" s="2167" t="s">
        <v>7181</v>
      </c>
      <c r="C22" s="1821"/>
      <c r="D22" s="1821"/>
      <c r="E22" s="1821"/>
      <c r="F22" s="1821"/>
      <c r="G22" s="1830"/>
      <c r="H22" s="1830">
        <f>SUM(H11:H13,H18,H19)</f>
        <v>82.300324001858741</v>
      </c>
      <c r="I22" s="1830">
        <f>SUM(I11:I13,I18,I19)</f>
        <v>212.56946104178439</v>
      </c>
      <c r="J22" s="1830">
        <f>SUM(J11:J13,J18,J19)</f>
        <v>422.58591028011307</v>
      </c>
      <c r="K22" s="1830">
        <f>SUM(K11:K13,K18,K19)</f>
        <v>1044.0686402361073</v>
      </c>
      <c r="L22" s="1830">
        <f>SUM(L11:L13,L18,L19)</f>
        <v>1736.5084327332465</v>
      </c>
      <c r="M22" s="1830">
        <f t="shared" ref="M22:Q22" si="21">SUM(M11:M13,M18,M19)</f>
        <v>2345.7072962387942</v>
      </c>
      <c r="N22" s="1830">
        <f t="shared" si="21"/>
        <v>2991.2111578183317</v>
      </c>
      <c r="O22" s="1830">
        <f t="shared" si="21"/>
        <v>3597.0165844946841</v>
      </c>
      <c r="P22" s="1830">
        <f t="shared" si="21"/>
        <v>4154.9377146494026</v>
      </c>
      <c r="Q22" s="1830">
        <f t="shared" si="21"/>
        <v>4669.0372191085517</v>
      </c>
      <c r="R22" s="2168">
        <f t="shared" ref="R22" si="22">SUM(R11:R13,R18,R19)</f>
        <v>5143.980629150773</v>
      </c>
      <c r="S22" s="1821"/>
      <c r="U22" s="1578"/>
      <c r="V22" s="1578"/>
    </row>
    <row r="23" spans="1:25" s="2162" customFormat="1">
      <c r="A23" s="1821"/>
      <c r="B23" s="2169" t="s">
        <v>7176</v>
      </c>
      <c r="C23" s="2170"/>
      <c r="D23" s="2170"/>
      <c r="E23" s="2170"/>
      <c r="F23" s="2170"/>
      <c r="G23" s="2171"/>
      <c r="H23" s="2172">
        <f>H22/H4</f>
        <v>4.438178688441017E-2</v>
      </c>
      <c r="I23" s="2172">
        <f>I22/I4</f>
        <v>9.49145888862825E-2</v>
      </c>
      <c r="J23" s="2172">
        <f>J22/J4</f>
        <v>0.16352801504401132</v>
      </c>
      <c r="K23" s="2172">
        <f>K22/K4</f>
        <v>0.33625797419465786</v>
      </c>
      <c r="L23" s="2172">
        <f>L22/L4</f>
        <v>0.46724504476263617</v>
      </c>
      <c r="M23" s="2172">
        <f t="shared" ref="M23:Q23" si="23">M22/M4</f>
        <v>0.55084413437265878</v>
      </c>
      <c r="N23" s="2172">
        <f t="shared" si="23"/>
        <v>0.61766486703978696</v>
      </c>
      <c r="O23" s="2172">
        <f t="shared" si="23"/>
        <v>0.66076333237581331</v>
      </c>
      <c r="P23" s="2172">
        <f t="shared" si="23"/>
        <v>0.69229920960124358</v>
      </c>
      <c r="Q23" s="2172">
        <f t="shared" si="23"/>
        <v>0.7165771254464004</v>
      </c>
      <c r="R23" s="2173">
        <f t="shared" ref="R23" si="24">R22/R4</f>
        <v>0.73583270191463901</v>
      </c>
      <c r="S23" s="1821"/>
      <c r="U23" s="1578"/>
      <c r="V23" s="1578"/>
    </row>
    <row r="24" spans="1:25" s="2162" customFormat="1">
      <c r="A24" s="1821"/>
      <c r="B24" s="1829"/>
      <c r="C24" s="1821"/>
      <c r="D24" s="1821"/>
      <c r="E24" s="1821"/>
      <c r="F24" s="1821"/>
      <c r="G24" s="1830"/>
      <c r="H24" s="1830"/>
      <c r="I24" s="1830"/>
      <c r="J24" s="1830"/>
      <c r="K24" s="1830"/>
      <c r="L24" s="1830"/>
      <c r="M24" s="1830"/>
      <c r="N24" s="1830"/>
      <c r="O24" s="1830"/>
      <c r="P24" s="1830"/>
      <c r="Q24" s="1830"/>
      <c r="R24" s="1830"/>
      <c r="S24" s="1821"/>
      <c r="U24" s="1578"/>
      <c r="V24" s="1578"/>
    </row>
    <row r="25" spans="1:25">
      <c r="A25" s="1821"/>
      <c r="B25" s="1833" t="s">
        <v>7010</v>
      </c>
      <c r="C25" s="1834"/>
      <c r="D25" s="1834"/>
      <c r="E25" s="1834"/>
      <c r="F25" s="1834"/>
      <c r="G25" s="1835"/>
      <c r="H25" s="1834"/>
      <c r="I25" s="1836"/>
      <c r="J25" s="1836"/>
      <c r="K25" s="1836"/>
      <c r="L25" s="1836"/>
      <c r="M25" s="1836"/>
      <c r="N25" s="1905"/>
      <c r="O25" s="1836"/>
      <c r="P25" s="1836"/>
      <c r="Q25" s="1836"/>
      <c r="R25" s="1836"/>
      <c r="S25" s="1821"/>
      <c r="U25" s="1578"/>
      <c r="V25" s="1578"/>
    </row>
    <row r="26" spans="1:25">
      <c r="A26" s="1821"/>
      <c r="B26" s="1833" t="s">
        <v>5979</v>
      </c>
      <c r="C26" s="1834"/>
      <c r="D26" s="1834"/>
      <c r="E26" s="1834"/>
      <c r="F26" s="1834"/>
      <c r="G26" s="1836"/>
      <c r="H26" s="1837">
        <f t="shared" ref="H26:Q26" si="25">H6/H$4</f>
        <v>0.95561821311558981</v>
      </c>
      <c r="I26" s="1837">
        <f t="shared" si="25"/>
        <v>0.90508541111371754</v>
      </c>
      <c r="J26" s="1837">
        <f t="shared" si="25"/>
        <v>0.83647198495598862</v>
      </c>
      <c r="K26" s="1837">
        <f t="shared" si="25"/>
        <v>0.65004347185185085</v>
      </c>
      <c r="L26" s="1837">
        <f t="shared" si="25"/>
        <v>0.38975134452741095</v>
      </c>
      <c r="M26" s="1837">
        <f t="shared" si="25"/>
        <v>0.16838080175732156</v>
      </c>
      <c r="N26" s="1837">
        <f t="shared" si="25"/>
        <v>1.0885774481737808E-2</v>
      </c>
      <c r="O26" s="1837">
        <f t="shared" si="25"/>
        <v>0</v>
      </c>
      <c r="P26" s="1837">
        <f t="shared" si="25"/>
        <v>0</v>
      </c>
      <c r="Q26" s="1837">
        <f t="shared" si="25"/>
        <v>0</v>
      </c>
      <c r="R26" s="1837">
        <f t="shared" ref="R26" si="26">R6/R$4</f>
        <v>0</v>
      </c>
      <c r="S26" s="1821"/>
      <c r="T26" s="1578"/>
      <c r="U26" s="1578"/>
      <c r="V26" s="1578"/>
    </row>
    <row r="27" spans="1:25">
      <c r="A27" s="1821"/>
      <c r="B27" s="1833" t="s">
        <v>7011</v>
      </c>
      <c r="C27" s="1834"/>
      <c r="D27" s="1834"/>
      <c r="E27" s="1834"/>
      <c r="F27" s="1834"/>
      <c r="G27" s="1836"/>
      <c r="H27" s="1837">
        <f t="shared" ref="H27:Q27" si="27">H10/H$4</f>
        <v>1.1863857442833055E-2</v>
      </c>
      <c r="I27" s="1837">
        <f t="shared" si="27"/>
        <v>5.6318826141275119E-2</v>
      </c>
      <c r="J27" s="1837">
        <f t="shared" si="27"/>
        <v>0.11417175373971149</v>
      </c>
      <c r="K27" s="1837">
        <f t="shared" si="27"/>
        <v>0.26879293604728899</v>
      </c>
      <c r="L27" s="1837">
        <f t="shared" si="27"/>
        <v>0.47803257188733894</v>
      </c>
      <c r="M27" s="1837">
        <f t="shared" si="27"/>
        <v>0.65146367499666191</v>
      </c>
      <c r="N27" s="1837">
        <f t="shared" si="27"/>
        <v>0.76305213131406402</v>
      </c>
      <c r="O27" s="2202">
        <f t="shared" si="27"/>
        <v>0.74081754232473074</v>
      </c>
      <c r="P27" s="2202">
        <f t="shared" si="27"/>
        <v>0.71492202558546736</v>
      </c>
      <c r="Q27" s="2202">
        <f t="shared" si="27"/>
        <v>0.69382566272693846</v>
      </c>
      <c r="R27" s="2202">
        <f t="shared" ref="R27" si="28">R10/R$4</f>
        <v>0.6761817377108652</v>
      </c>
      <c r="S27" s="1821"/>
      <c r="T27" s="1578"/>
      <c r="U27" s="1578"/>
      <c r="V27" s="1578"/>
    </row>
    <row r="28" spans="1:25">
      <c r="A28" s="1821"/>
      <c r="B28" s="1833" t="s">
        <v>6957</v>
      </c>
      <c r="C28" s="1834"/>
      <c r="D28" s="1834"/>
      <c r="E28" s="1834"/>
      <c r="F28" s="1834"/>
      <c r="G28" s="1836"/>
      <c r="H28" s="1837">
        <f t="shared" ref="H28:Q28" si="29">H18/H$4</f>
        <v>2.0222484277556341E-2</v>
      </c>
      <c r="I28" s="1837">
        <f t="shared" si="29"/>
        <v>2.0671268405227785E-2</v>
      </c>
      <c r="J28" s="1837">
        <f t="shared" si="29"/>
        <v>2.1341600426411297E-2</v>
      </c>
      <c r="K28" s="1837">
        <f t="shared" si="29"/>
        <v>3.2954507501338118E-2</v>
      </c>
      <c r="L28" s="1837">
        <f t="shared" si="29"/>
        <v>7.7769569320262522E-2</v>
      </c>
      <c r="M28" s="1837">
        <f t="shared" si="29"/>
        <v>8.8176848561872218E-2</v>
      </c>
      <c r="N28" s="1837">
        <f t="shared" si="29"/>
        <v>8.7289903536960936E-2</v>
      </c>
      <c r="O28" s="2202">
        <f t="shared" si="29"/>
        <v>9.0779678296967828E-2</v>
      </c>
      <c r="P28" s="2202">
        <f t="shared" si="29"/>
        <v>9.6235019493417936E-2</v>
      </c>
      <c r="Q28" s="2202">
        <f t="shared" si="29"/>
        <v>0.1016863797067761</v>
      </c>
      <c r="R28" s="2202">
        <f t="shared" ref="R28" si="30">R18/R$4</f>
        <v>0.10581110904652247</v>
      </c>
      <c r="S28" s="1821"/>
      <c r="T28" s="1578"/>
      <c r="U28" s="1578"/>
      <c r="V28" s="1578"/>
    </row>
    <row r="29" spans="1:25" ht="13.5" thickBot="1">
      <c r="A29" s="1821"/>
      <c r="B29" s="1833" t="s">
        <v>7012</v>
      </c>
      <c r="C29" s="1834"/>
      <c r="D29" s="1834"/>
      <c r="E29" s="1834"/>
      <c r="F29" s="1834"/>
      <c r="G29" s="1836"/>
      <c r="H29" s="1837">
        <f t="shared" ref="H29:Q29" si="31">H19/H$4</f>
        <v>1.2295445164020773E-2</v>
      </c>
      <c r="I29" s="1837">
        <f t="shared" si="31"/>
        <v>1.7924494339779596E-2</v>
      </c>
      <c r="J29" s="1837">
        <f t="shared" si="31"/>
        <v>2.8014660877888516E-2</v>
      </c>
      <c r="K29" s="1837">
        <f t="shared" si="31"/>
        <v>4.8209084599521917E-2</v>
      </c>
      <c r="L29" s="1837">
        <f t="shared" si="31"/>
        <v>5.4446514264987644E-2</v>
      </c>
      <c r="M29" s="1837">
        <f t="shared" si="31"/>
        <v>9.197867468414421E-2</v>
      </c>
      <c r="N29" s="2202">
        <f t="shared" si="31"/>
        <v>0.13877219066723739</v>
      </c>
      <c r="O29" s="2202">
        <f t="shared" si="31"/>
        <v>0.16840277937830136</v>
      </c>
      <c r="P29" s="2202">
        <f t="shared" si="31"/>
        <v>0.18884295492111478</v>
      </c>
      <c r="Q29" s="2202">
        <f t="shared" si="31"/>
        <v>0.20448795756628535</v>
      </c>
      <c r="R29" s="2202">
        <f t="shared" ref="R29" si="32">R19/R$4</f>
        <v>0.21800715324261238</v>
      </c>
      <c r="S29" s="1821"/>
      <c r="T29" s="1578"/>
      <c r="U29" s="1578"/>
      <c r="V29" s="1578"/>
    </row>
    <row r="30" spans="1:25">
      <c r="A30" s="1821"/>
      <c r="B30" s="2174" t="s">
        <v>7073</v>
      </c>
      <c r="C30" s="2175"/>
      <c r="D30" s="2175"/>
      <c r="E30" s="2175"/>
      <c r="F30" s="2175"/>
      <c r="G30" s="2176"/>
      <c r="H30" s="2176">
        <v>565</v>
      </c>
      <c r="I30" s="2176">
        <f t="shared" ref="I30:N30" si="33">H30*(1+I31)</f>
        <v>608.505</v>
      </c>
      <c r="J30" s="2176">
        <f>I30*(1+J31)</f>
        <v>651.10035000000005</v>
      </c>
      <c r="K30" s="2176">
        <f t="shared" si="33"/>
        <v>752.67200460000004</v>
      </c>
      <c r="L30" s="2176">
        <f>K30*(1+L31)</f>
        <v>835.36807774540193</v>
      </c>
      <c r="M30" s="2176">
        <f t="shared" si="33"/>
        <v>877.13648163267203</v>
      </c>
      <c r="N30" s="2176">
        <f t="shared" si="33"/>
        <v>903.45057608165223</v>
      </c>
      <c r="O30" s="2176">
        <f>N30*(1+O31)</f>
        <v>921.51958760328534</v>
      </c>
      <c r="P30" s="2176">
        <f>O30*(1+P31)</f>
        <v>930.73478347931825</v>
      </c>
      <c r="Q30" s="2176">
        <f>P30*(1+Q31)</f>
        <v>940.04213131411143</v>
      </c>
      <c r="R30" s="2177">
        <f>Q30*(1+R31)</f>
        <v>949.44255262725255</v>
      </c>
      <c r="S30" s="1821"/>
      <c r="U30" s="1578"/>
      <c r="V30" s="1578"/>
    </row>
    <row r="31" spans="1:25" ht="13.5" thickBot="1">
      <c r="A31" s="1821"/>
      <c r="B31" s="2178" t="s">
        <v>372</v>
      </c>
      <c r="C31" s="2179"/>
      <c r="D31" s="2179"/>
      <c r="E31" s="2179"/>
      <c r="F31" s="2179"/>
      <c r="G31" s="2180"/>
      <c r="H31" s="2181"/>
      <c r="I31" s="2181">
        <f t="shared" ref="I31:R31" si="34">IF($B$1="Bull",I316,IF($B$1="Base",I317,IF($B$1="Bear",I318,"NA")))</f>
        <v>7.6999999999999999E-2</v>
      </c>
      <c r="J31" s="2181">
        <f t="shared" si="34"/>
        <v>7.0000000000000007E-2</v>
      </c>
      <c r="K31" s="2181">
        <f t="shared" si="34"/>
        <v>0.156</v>
      </c>
      <c r="L31" s="2181">
        <f t="shared" si="34"/>
        <v>0.10987</v>
      </c>
      <c r="M31" s="2181">
        <f t="shared" si="34"/>
        <v>0.05</v>
      </c>
      <c r="N31" s="2181">
        <f t="shared" si="34"/>
        <v>0.03</v>
      </c>
      <c r="O31" s="2181">
        <f t="shared" si="34"/>
        <v>0.02</v>
      </c>
      <c r="P31" s="2181">
        <f t="shared" si="34"/>
        <v>0.01</v>
      </c>
      <c r="Q31" s="2181">
        <f t="shared" si="34"/>
        <v>0.01</v>
      </c>
      <c r="R31" s="2182">
        <f t="shared" si="34"/>
        <v>0.01</v>
      </c>
      <c r="S31" s="1821"/>
      <c r="U31" s="1578"/>
      <c r="V31" s="1578"/>
    </row>
    <row r="32" spans="1:25" s="2162" customFormat="1" ht="14.25" customHeight="1">
      <c r="A32" s="1821"/>
      <c r="B32" s="1840" t="s">
        <v>7177</v>
      </c>
      <c r="C32" s="1838"/>
      <c r="D32" s="1838"/>
      <c r="E32" s="1838"/>
      <c r="F32" s="1838"/>
      <c r="G32" s="1839"/>
      <c r="H32" s="2183">
        <f>H30-H55</f>
        <v>559.35</v>
      </c>
      <c r="I32" s="2183">
        <f t="shared" ref="I32:Q32" si="35">I30-I55</f>
        <v>596.33489999999995</v>
      </c>
      <c r="J32" s="2183">
        <f t="shared" si="35"/>
        <v>638.07834300000002</v>
      </c>
      <c r="K32" s="2183">
        <f t="shared" si="35"/>
        <v>699.98496427800001</v>
      </c>
      <c r="L32" s="2183">
        <f t="shared" si="35"/>
        <v>628.19679446454222</v>
      </c>
      <c r="M32" s="2183">
        <f t="shared" si="35"/>
        <v>747.32028235103655</v>
      </c>
      <c r="N32" s="2183">
        <f t="shared" si="35"/>
        <v>814.91241962565027</v>
      </c>
      <c r="O32" s="2183">
        <f t="shared" si="35"/>
        <v>803.56508039006485</v>
      </c>
      <c r="P32" s="2183">
        <f t="shared" si="35"/>
        <v>792.98603552437919</v>
      </c>
      <c r="Q32" s="2183">
        <f t="shared" si="35"/>
        <v>791.51547456648177</v>
      </c>
      <c r="R32" s="2183">
        <f t="shared" ref="R32" si="36">R30-R55</f>
        <v>799.43062931214661</v>
      </c>
      <c r="S32" s="1821"/>
      <c r="U32" s="1578"/>
      <c r="V32" s="1578"/>
      <c r="W32" s="2207"/>
    </row>
    <row r="33" spans="1:25">
      <c r="A33" s="1821"/>
      <c r="B33" s="1829"/>
      <c r="C33" s="1821"/>
      <c r="D33" s="1821"/>
      <c r="E33" s="1821"/>
      <c r="F33" s="1821"/>
      <c r="G33" s="1830"/>
      <c r="H33" s="1830"/>
      <c r="I33" s="1830"/>
      <c r="J33" s="1820"/>
      <c r="K33" s="1830"/>
      <c r="L33" s="1830"/>
      <c r="M33" s="1830"/>
      <c r="N33" s="1830"/>
      <c r="O33" s="1830"/>
      <c r="P33" s="1830"/>
      <c r="Q33" s="1830"/>
      <c r="R33" s="1830"/>
      <c r="S33" s="1821"/>
      <c r="U33" s="1578"/>
      <c r="V33" s="1578"/>
    </row>
    <row r="34" spans="1:25" ht="18.75" hidden="1" customHeight="1" outlineLevel="1">
      <c r="A34" s="2303" t="s">
        <v>7154</v>
      </c>
      <c r="B34" s="1829" t="s">
        <v>7013</v>
      </c>
      <c r="C34" s="1824"/>
      <c r="D34" s="1824"/>
      <c r="E34" s="1824"/>
      <c r="F34" s="1824"/>
      <c r="G34" s="1830"/>
      <c r="H34" s="1841">
        <v>0.95</v>
      </c>
      <c r="I34" s="1841">
        <v>0.77</v>
      </c>
      <c r="J34" s="1841">
        <v>0.63</v>
      </c>
      <c r="K34" s="1841">
        <v>0.10249999999999999</v>
      </c>
      <c r="L34" s="1841">
        <v>0</v>
      </c>
      <c r="M34" s="1841">
        <v>0</v>
      </c>
      <c r="N34" s="1841">
        <v>0</v>
      </c>
      <c r="O34" s="1841">
        <v>0</v>
      </c>
      <c r="P34" s="1841">
        <v>0</v>
      </c>
      <c r="Q34" s="1841">
        <v>0</v>
      </c>
      <c r="R34" s="1841">
        <v>0</v>
      </c>
      <c r="S34" s="1824"/>
      <c r="U34" s="1578"/>
      <c r="V34" s="1578"/>
    </row>
    <row r="35" spans="1:25" ht="12.75" hidden="1" customHeight="1" outlineLevel="1">
      <c r="A35" s="2303"/>
      <c r="B35" s="1829" t="s">
        <v>7137</v>
      </c>
      <c r="C35" s="1821"/>
      <c r="D35" s="1821"/>
      <c r="E35" s="1821"/>
      <c r="F35" s="1821"/>
      <c r="G35" s="1830"/>
      <c r="H35" s="1842">
        <f>H34*H30</f>
        <v>536.75</v>
      </c>
      <c r="I35" s="1842">
        <f>+I34*I30</f>
        <v>468.54885000000002</v>
      </c>
      <c r="J35" s="1842">
        <f t="shared" ref="J35:Q35" si="37">J34*J30</f>
        <v>410.19322050000005</v>
      </c>
      <c r="K35" s="1842">
        <f t="shared" si="37"/>
        <v>77.148880471499993</v>
      </c>
      <c r="L35" s="1842">
        <f t="shared" si="37"/>
        <v>0</v>
      </c>
      <c r="M35" s="1842">
        <f t="shared" si="37"/>
        <v>0</v>
      </c>
      <c r="N35" s="1842">
        <f t="shared" si="37"/>
        <v>0</v>
      </c>
      <c r="O35" s="1842">
        <f t="shared" si="37"/>
        <v>0</v>
      </c>
      <c r="P35" s="1842">
        <f t="shared" si="37"/>
        <v>0</v>
      </c>
      <c r="Q35" s="1842">
        <f t="shared" si="37"/>
        <v>0</v>
      </c>
      <c r="R35" s="1842">
        <f t="shared" ref="R35" si="38">R34*R30</f>
        <v>0</v>
      </c>
      <c r="S35" s="1821"/>
      <c r="U35" s="1578"/>
      <c r="V35" s="1578"/>
    </row>
    <row r="36" spans="1:25" ht="12.75" hidden="1" customHeight="1" outlineLevel="1">
      <c r="A36" s="2303"/>
      <c r="B36" s="1829" t="s">
        <v>7015</v>
      </c>
      <c r="C36" s="1821"/>
      <c r="D36" s="1821"/>
      <c r="E36" s="1821"/>
      <c r="F36" s="1821"/>
      <c r="G36" s="1830"/>
      <c r="H36" s="1843">
        <v>0.42499999999999999</v>
      </c>
      <c r="I36" s="1843">
        <v>0.92</v>
      </c>
      <c r="J36" s="1843">
        <v>0.92</v>
      </c>
      <c r="K36" s="1843">
        <v>0.9</v>
      </c>
      <c r="L36" s="1843"/>
      <c r="M36" s="1843"/>
      <c r="N36" s="1843"/>
      <c r="O36" s="1843"/>
      <c r="P36" s="1843"/>
      <c r="Q36" s="1843"/>
      <c r="R36" s="1843"/>
      <c r="S36" s="1821"/>
      <c r="U36" s="1578"/>
      <c r="V36" s="1578"/>
    </row>
    <row r="37" spans="1:25" ht="12.75" hidden="1" customHeight="1" outlineLevel="1">
      <c r="A37" s="2303"/>
      <c r="B37" s="1829" t="s">
        <v>7016</v>
      </c>
      <c r="C37" s="1824"/>
      <c r="D37" s="1824"/>
      <c r="E37" s="1824"/>
      <c r="F37" s="1824"/>
      <c r="G37" s="1830"/>
      <c r="H37" s="1844">
        <f>H35*H36</f>
        <v>228.11875000000001</v>
      </c>
      <c r="I37" s="1844">
        <f>I35*I36</f>
        <v>431.06494200000003</v>
      </c>
      <c r="J37" s="1844">
        <f>J36*J35</f>
        <v>377.37776286000008</v>
      </c>
      <c r="K37" s="1844">
        <f>K35*K36</f>
        <v>69.433992424349995</v>
      </c>
      <c r="L37" s="1844"/>
      <c r="M37" s="1844"/>
      <c r="N37" s="1844"/>
      <c r="O37" s="1844"/>
      <c r="P37" s="1844"/>
      <c r="Q37" s="1844"/>
      <c r="R37" s="1844"/>
      <c r="S37" s="1824"/>
      <c r="U37" s="1578"/>
      <c r="V37" s="1578"/>
      <c r="X37" s="1788"/>
      <c r="Y37" s="1788"/>
    </row>
    <row r="38" spans="1:25" s="2114" customFormat="1" ht="12.75" hidden="1" customHeight="1" outlineLevel="1">
      <c r="A38" s="2303"/>
      <c r="B38" s="1829"/>
      <c r="C38" s="1824"/>
      <c r="D38" s="1824"/>
      <c r="E38" s="1824"/>
      <c r="F38" s="1824"/>
      <c r="G38" s="1830"/>
      <c r="H38" s="1844"/>
      <c r="I38" s="1844"/>
      <c r="J38" s="1844"/>
      <c r="K38" s="1844"/>
      <c r="L38" s="1844"/>
      <c r="M38" s="1844"/>
      <c r="N38" s="1844"/>
      <c r="O38" s="1844"/>
      <c r="P38" s="1844"/>
      <c r="Q38" s="1844"/>
      <c r="R38" s="1844"/>
      <c r="S38" s="1824"/>
      <c r="U38" s="1578"/>
      <c r="V38" s="1578"/>
      <c r="X38" s="1788"/>
      <c r="Y38" s="1788"/>
    </row>
    <row r="39" spans="1:25" s="2114" customFormat="1" collapsed="1">
      <c r="A39" s="2303"/>
      <c r="B39" s="1829"/>
      <c r="C39" s="1824"/>
      <c r="D39" s="1824"/>
      <c r="E39" s="1824"/>
      <c r="F39" s="1824"/>
      <c r="G39" s="1830"/>
      <c r="H39" s="1844"/>
      <c r="I39" s="1844"/>
      <c r="J39" s="1844"/>
      <c r="K39" s="1844"/>
      <c r="L39" s="1844"/>
      <c r="M39" s="1844"/>
      <c r="N39" s="1844"/>
      <c r="O39" s="1844"/>
      <c r="P39" s="1844"/>
      <c r="Q39" s="1844"/>
      <c r="R39" s="1844"/>
      <c r="S39" s="1824"/>
      <c r="U39" s="1578"/>
      <c r="V39" s="1578"/>
      <c r="X39" s="1788"/>
    </row>
    <row r="40" spans="1:25" hidden="1" outlineLevel="1">
      <c r="A40" s="2303"/>
      <c r="B40" s="1845" t="s">
        <v>7151</v>
      </c>
      <c r="C40" s="1846"/>
      <c r="D40" s="1846"/>
      <c r="E40" s="1846"/>
      <c r="F40" s="1846"/>
      <c r="G40" s="1847"/>
      <c r="H40" s="1847">
        <f>H$37*H41</f>
        <v>34.217812500000001</v>
      </c>
      <c r="I40" s="1847">
        <f>I$37*I41</f>
        <v>90.523637820000005</v>
      </c>
      <c r="J40" s="1847">
        <f>J$37*J41</f>
        <v>26.416443400200009</v>
      </c>
      <c r="K40" s="1847">
        <f>K$37*K41</f>
        <v>55.547193939479996</v>
      </c>
      <c r="L40" s="1847"/>
      <c r="M40" s="1847"/>
      <c r="N40" s="1847"/>
      <c r="O40" s="1847"/>
      <c r="P40" s="1847"/>
      <c r="Q40" s="1847"/>
      <c r="R40" s="1847"/>
      <c r="S40" s="1821"/>
      <c r="U40" s="1578"/>
      <c r="V40" s="1578"/>
    </row>
    <row r="41" spans="1:25" hidden="1" outlineLevel="1">
      <c r="A41" s="2303"/>
      <c r="B41" s="1848" t="s">
        <v>7017</v>
      </c>
      <c r="C41" s="1846"/>
      <c r="D41" s="1846"/>
      <c r="E41" s="1846"/>
      <c r="F41" s="1846"/>
      <c r="G41" s="1847"/>
      <c r="H41" s="1849">
        <v>0.15</v>
      </c>
      <c r="I41" s="1849">
        <v>0.21</v>
      </c>
      <c r="J41" s="1849">
        <v>7.0000000000000007E-2</v>
      </c>
      <c r="K41" s="1849">
        <v>0.8</v>
      </c>
      <c r="L41" s="1849"/>
      <c r="M41" s="1849"/>
      <c r="N41" s="1849"/>
      <c r="O41" s="1849"/>
      <c r="P41" s="1849"/>
      <c r="Q41" s="1849"/>
      <c r="R41" s="1849"/>
      <c r="S41" s="1821"/>
      <c r="U41" s="1578"/>
      <c r="V41" s="1578"/>
      <c r="X41" s="1788"/>
    </row>
    <row r="42" spans="1:25" hidden="1" outlineLevel="1">
      <c r="A42" s="2303"/>
      <c r="B42" s="1845" t="s">
        <v>7006</v>
      </c>
      <c r="C42" s="1846"/>
      <c r="D42" s="1846"/>
      <c r="E42" s="1846"/>
      <c r="F42" s="1846"/>
      <c r="G42" s="1847"/>
      <c r="H42" s="1847">
        <f>H$37*H43</f>
        <v>86.685124999999999</v>
      </c>
      <c r="I42" s="1847">
        <f>I$37*I43</f>
        <v>168.11532738000002</v>
      </c>
      <c r="J42" s="1847">
        <f>J$37*J43</f>
        <v>94.344440715000019</v>
      </c>
      <c r="K42" s="1847">
        <f>K$37*K43</f>
        <v>0</v>
      </c>
      <c r="L42" s="1847"/>
      <c r="M42" s="1847"/>
      <c r="N42" s="1847"/>
      <c r="O42" s="1847"/>
      <c r="P42" s="1847"/>
      <c r="Q42" s="1847"/>
      <c r="R42" s="1847"/>
      <c r="S42" s="1821"/>
      <c r="U42" s="1578"/>
      <c r="V42" s="1578"/>
    </row>
    <row r="43" spans="1:25" hidden="1" outlineLevel="1">
      <c r="A43" s="2303"/>
      <c r="B43" s="1848" t="s">
        <v>7017</v>
      </c>
      <c r="C43" s="1846"/>
      <c r="D43" s="1846"/>
      <c r="E43" s="1846"/>
      <c r="F43" s="1846"/>
      <c r="G43" s="1847"/>
      <c r="H43" s="1849">
        <v>0.38</v>
      </c>
      <c r="I43" s="1849">
        <v>0.39</v>
      </c>
      <c r="J43" s="1849">
        <v>0.25</v>
      </c>
      <c r="K43" s="1849">
        <v>0</v>
      </c>
      <c r="L43" s="1849"/>
      <c r="M43" s="1849"/>
      <c r="N43" s="1849"/>
      <c r="O43" s="1849"/>
      <c r="P43" s="1849"/>
      <c r="Q43" s="1849"/>
      <c r="R43" s="1849"/>
      <c r="S43" s="1821"/>
      <c r="U43" s="1578"/>
      <c r="V43" s="1578"/>
      <c r="X43" s="1788"/>
    </row>
    <row r="44" spans="1:25" hidden="1" outlineLevel="1">
      <c r="A44" s="2303"/>
      <c r="B44" s="1845" t="s">
        <v>7007</v>
      </c>
      <c r="C44" s="1846"/>
      <c r="D44" s="1846"/>
      <c r="E44" s="1846"/>
      <c r="F44" s="1846"/>
      <c r="G44" s="1847"/>
      <c r="H44" s="1847">
        <f>H$37*H45</f>
        <v>107.2158125</v>
      </c>
      <c r="I44" s="1847">
        <f>I$37*I45</f>
        <v>172.42597680000003</v>
      </c>
      <c r="J44" s="1847">
        <f>J$37*J45</f>
        <v>256.61687874480003</v>
      </c>
      <c r="K44" s="1847">
        <f>K$37*K45</f>
        <v>13.886798484869995</v>
      </c>
      <c r="L44" s="1847"/>
      <c r="M44" s="1847"/>
      <c r="N44" s="1847"/>
      <c r="O44" s="1847"/>
      <c r="P44" s="1847"/>
      <c r="Q44" s="1847"/>
      <c r="R44" s="1847"/>
      <c r="S44" s="1821"/>
      <c r="U44" s="1578"/>
      <c r="V44" s="1578"/>
    </row>
    <row r="45" spans="1:25" hidden="1" outlineLevel="1">
      <c r="A45" s="2303"/>
      <c r="B45" s="1848" t="s">
        <v>7017</v>
      </c>
      <c r="C45" s="1846"/>
      <c r="D45" s="1846"/>
      <c r="E45" s="1846"/>
      <c r="F45" s="1846"/>
      <c r="G45" s="1847"/>
      <c r="H45" s="1849">
        <f>1-H41-H43</f>
        <v>0.47</v>
      </c>
      <c r="I45" s="1849">
        <f>1-I41-I43</f>
        <v>0.4</v>
      </c>
      <c r="J45" s="1849">
        <f>1-J41-J43</f>
        <v>0.67999999999999994</v>
      </c>
      <c r="K45" s="1849">
        <f>1-K41-K43</f>
        <v>0.19999999999999996</v>
      </c>
      <c r="L45" s="1849"/>
      <c r="M45" s="1849"/>
      <c r="N45" s="1849"/>
      <c r="O45" s="1849"/>
      <c r="P45" s="1849"/>
      <c r="Q45" s="1849"/>
      <c r="R45" s="1849"/>
      <c r="S45" s="1821"/>
      <c r="U45" s="1578"/>
      <c r="V45" s="1578"/>
    </row>
    <row r="46" spans="1:25" collapsed="1">
      <c r="A46" s="2303"/>
      <c r="B46" s="1829" t="s">
        <v>7018</v>
      </c>
      <c r="C46" s="1824"/>
      <c r="D46" s="1824"/>
      <c r="E46" s="1824"/>
      <c r="F46" s="1824"/>
      <c r="G46" s="1830"/>
      <c r="H46" s="1841">
        <v>8.1410194657367853E-3</v>
      </c>
      <c r="I46" s="1841">
        <v>0.18</v>
      </c>
      <c r="J46" s="1841">
        <v>0.29799999999999999</v>
      </c>
      <c r="K46" s="1841">
        <v>0.72</v>
      </c>
      <c r="L46" s="1841">
        <v>0.68</v>
      </c>
      <c r="M46" s="1841">
        <v>0.62</v>
      </c>
      <c r="N46" s="1841">
        <v>0.56999999999999995</v>
      </c>
      <c r="O46" s="1841">
        <f>N46</f>
        <v>0.56999999999999995</v>
      </c>
      <c r="P46" s="1841">
        <f>O46</f>
        <v>0.56999999999999995</v>
      </c>
      <c r="Q46" s="1841">
        <f>P46</f>
        <v>0.56999999999999995</v>
      </c>
      <c r="R46" s="1841">
        <f>Q46</f>
        <v>0.56999999999999995</v>
      </c>
      <c r="S46" s="1824"/>
      <c r="U46" s="1578"/>
      <c r="V46" s="1578"/>
    </row>
    <row r="47" spans="1:25">
      <c r="A47" s="2303"/>
      <c r="B47" s="1829" t="s">
        <v>7136</v>
      </c>
      <c r="C47" s="1821"/>
      <c r="D47" s="1821"/>
      <c r="E47" s="1821"/>
      <c r="F47" s="1821"/>
      <c r="G47" s="1830"/>
      <c r="H47" s="1830">
        <v>2.2062162752146688</v>
      </c>
      <c r="I47" s="1830">
        <f>I30*I46</f>
        <v>109.53089999999999</v>
      </c>
      <c r="J47" s="1830">
        <f t="shared" ref="J47:Q47" si="39">J46*J30</f>
        <v>194.02790430000002</v>
      </c>
      <c r="K47" s="1830">
        <f>K46*K30</f>
        <v>541.92384331200003</v>
      </c>
      <c r="L47" s="1830">
        <f t="shared" si="39"/>
        <v>568.05029286687341</v>
      </c>
      <c r="M47" s="1830">
        <f t="shared" si="39"/>
        <v>543.8246186122567</v>
      </c>
      <c r="N47" s="1830">
        <f t="shared" si="39"/>
        <v>514.96682836654168</v>
      </c>
      <c r="O47" s="1830">
        <f t="shared" si="39"/>
        <v>525.26616493387257</v>
      </c>
      <c r="P47" s="1830">
        <f t="shared" si="39"/>
        <v>530.51882658321131</v>
      </c>
      <c r="Q47" s="1830">
        <f t="shared" si="39"/>
        <v>535.82401484904346</v>
      </c>
      <c r="R47" s="1830">
        <f t="shared" ref="R47" si="40">R46*R30</f>
        <v>541.18225499753396</v>
      </c>
      <c r="S47" s="1830"/>
      <c r="U47" s="1578"/>
      <c r="V47" s="1578"/>
    </row>
    <row r="48" spans="1:25" hidden="1" outlineLevel="1">
      <c r="A48" s="2303"/>
      <c r="B48" s="1845" t="s">
        <v>7151</v>
      </c>
      <c r="C48" s="1846"/>
      <c r="D48" s="1846"/>
      <c r="E48" s="1846"/>
      <c r="F48" s="1846"/>
      <c r="G48" s="1850"/>
      <c r="H48" s="1847">
        <f t="shared" ref="H48:R48" si="41">H$47*H49</f>
        <v>0.22062162752146688</v>
      </c>
      <c r="I48" s="1847">
        <f t="shared" si="41"/>
        <v>10.95309</v>
      </c>
      <c r="J48" s="1847">
        <f t="shared" si="41"/>
        <v>5.8208371290000001</v>
      </c>
      <c r="K48" s="1847">
        <f t="shared" si="41"/>
        <v>27.096192165600002</v>
      </c>
      <c r="L48" s="1847">
        <f t="shared" si="41"/>
        <v>63.053582508222952</v>
      </c>
      <c r="M48" s="1847">
        <f t="shared" si="41"/>
        <v>54.382461861225671</v>
      </c>
      <c r="N48" s="1847">
        <f t="shared" si="41"/>
        <v>46.347014552988746</v>
      </c>
      <c r="O48" s="1847">
        <f t="shared" si="41"/>
        <v>31.515969896032352</v>
      </c>
      <c r="P48" s="1847">
        <f t="shared" si="41"/>
        <v>26.525941329160567</v>
      </c>
      <c r="Q48" s="1847">
        <f t="shared" si="41"/>
        <v>26.791200742452176</v>
      </c>
      <c r="R48" s="1847">
        <f t="shared" si="41"/>
        <v>27.0591127498767</v>
      </c>
      <c r="S48" s="1821"/>
      <c r="U48" s="1578"/>
      <c r="V48" s="1578"/>
    </row>
    <row r="49" spans="1:22" hidden="1" outlineLevel="1">
      <c r="A49" s="2303"/>
      <c r="B49" s="1848" t="s">
        <v>7019</v>
      </c>
      <c r="C49" s="1846"/>
      <c r="D49" s="1846"/>
      <c r="E49" s="1846"/>
      <c r="F49" s="1846"/>
      <c r="G49" s="1847"/>
      <c r="H49" s="1849">
        <v>0.1</v>
      </c>
      <c r="I49" s="1849">
        <v>0.1</v>
      </c>
      <c r="J49" s="1849">
        <v>0.03</v>
      </c>
      <c r="K49" s="1849">
        <v>0.05</v>
      </c>
      <c r="L49" s="1849">
        <v>0.111</v>
      </c>
      <c r="M49" s="1849">
        <v>0.1</v>
      </c>
      <c r="N49" s="1849">
        <v>0.09</v>
      </c>
      <c r="O49" s="1849">
        <v>0.06</v>
      </c>
      <c r="P49" s="1849">
        <v>0.05</v>
      </c>
      <c r="Q49" s="1849">
        <v>0.05</v>
      </c>
      <c r="R49" s="1849">
        <v>0.05</v>
      </c>
      <c r="S49" s="1821"/>
      <c r="U49" s="1578"/>
      <c r="V49" s="1578"/>
    </row>
    <row r="50" spans="1:22" hidden="1" outlineLevel="1">
      <c r="A50" s="2303"/>
      <c r="B50" s="1845" t="s">
        <v>7006</v>
      </c>
      <c r="C50" s="1846"/>
      <c r="D50" s="1846"/>
      <c r="E50" s="1846"/>
      <c r="F50" s="1846"/>
      <c r="G50" s="1850"/>
      <c r="H50" s="1847">
        <f t="shared" ref="H50:R50" si="42">H$47*H51</f>
        <v>0.22062162752146688</v>
      </c>
      <c r="I50" s="1847">
        <f t="shared" si="42"/>
        <v>13.143707999999998</v>
      </c>
      <c r="J50" s="1847">
        <f t="shared" si="42"/>
        <v>11.641674258</v>
      </c>
      <c r="K50" s="1847">
        <f t="shared" si="42"/>
        <v>54.192384331200003</v>
      </c>
      <c r="L50" s="1847">
        <f t="shared" si="42"/>
        <v>170.41508786006202</v>
      </c>
      <c r="M50" s="1847">
        <f t="shared" si="42"/>
        <v>125.07966228081905</v>
      </c>
      <c r="N50" s="1847">
        <f t="shared" si="42"/>
        <v>102.99336567330835</v>
      </c>
      <c r="O50" s="1847">
        <f t="shared" si="42"/>
        <v>94.547909688097064</v>
      </c>
      <c r="P50" s="1847">
        <f t="shared" si="42"/>
        <v>95.493388784978038</v>
      </c>
      <c r="Q50" s="1847">
        <f t="shared" si="42"/>
        <v>96.448322672827814</v>
      </c>
      <c r="R50" s="1847">
        <f t="shared" si="42"/>
        <v>97.412805899556105</v>
      </c>
      <c r="S50" s="1821"/>
      <c r="U50" s="1578"/>
      <c r="V50" s="1578"/>
    </row>
    <row r="51" spans="1:22" hidden="1" outlineLevel="1">
      <c r="A51" s="2303"/>
      <c r="B51" s="1848" t="s">
        <v>7019</v>
      </c>
      <c r="C51" s="1846"/>
      <c r="D51" s="1846"/>
      <c r="E51" s="1846"/>
      <c r="F51" s="1846"/>
      <c r="G51" s="1847"/>
      <c r="H51" s="1849">
        <v>0.1</v>
      </c>
      <c r="I51" s="1849">
        <v>0.12</v>
      </c>
      <c r="J51" s="1849">
        <v>0.06</v>
      </c>
      <c r="K51" s="1849">
        <v>0.1</v>
      </c>
      <c r="L51" s="1849">
        <v>0.3</v>
      </c>
      <c r="M51" s="1849">
        <v>0.23</v>
      </c>
      <c r="N51" s="1849">
        <v>0.2</v>
      </c>
      <c r="O51" s="1849">
        <v>0.18</v>
      </c>
      <c r="P51" s="1849">
        <v>0.18</v>
      </c>
      <c r="Q51" s="1849">
        <v>0.18</v>
      </c>
      <c r="R51" s="1849">
        <v>0.18</v>
      </c>
      <c r="S51" s="1821"/>
      <c r="U51" s="1578"/>
      <c r="V51" s="1578"/>
    </row>
    <row r="52" spans="1:22" hidden="1" outlineLevel="1">
      <c r="A52" s="2303"/>
      <c r="B52" s="1845" t="s">
        <v>7007</v>
      </c>
      <c r="C52" s="1846"/>
      <c r="D52" s="1846"/>
      <c r="E52" s="1846"/>
      <c r="F52" s="1846"/>
      <c r="G52" s="1850"/>
      <c r="H52" s="1847">
        <f t="shared" ref="H52:R52" si="43">H$47*H53</f>
        <v>1.7649730201717351</v>
      </c>
      <c r="I52" s="1847">
        <f t="shared" si="43"/>
        <v>85.434101999999996</v>
      </c>
      <c r="J52" s="1847">
        <f t="shared" si="43"/>
        <v>176.56539291300001</v>
      </c>
      <c r="K52" s="1847">
        <f t="shared" si="43"/>
        <v>460.6352668152</v>
      </c>
      <c r="L52" s="1847">
        <f t="shared" si="43"/>
        <v>334.58162249858844</v>
      </c>
      <c r="M52" s="1847">
        <f t="shared" si="43"/>
        <v>364.36249447021203</v>
      </c>
      <c r="N52" s="1847">
        <f t="shared" si="43"/>
        <v>365.62644814024458</v>
      </c>
      <c r="O52" s="1847">
        <f t="shared" si="43"/>
        <v>399.20228534974314</v>
      </c>
      <c r="P52" s="1847">
        <f t="shared" si="43"/>
        <v>408.49949646907271</v>
      </c>
      <c r="Q52" s="1847">
        <f t="shared" si="43"/>
        <v>412.5844914337635</v>
      </c>
      <c r="R52" s="1847">
        <f t="shared" si="43"/>
        <v>416.71033634810118</v>
      </c>
      <c r="S52" s="1821"/>
      <c r="U52" s="1578"/>
      <c r="V52" s="1578"/>
    </row>
    <row r="53" spans="1:22" hidden="1" outlineLevel="1">
      <c r="A53" s="2303"/>
      <c r="B53" s="1848" t="s">
        <v>7019</v>
      </c>
      <c r="C53" s="1846"/>
      <c r="D53" s="1846"/>
      <c r="E53" s="1846"/>
      <c r="F53" s="1846"/>
      <c r="G53" s="1847"/>
      <c r="H53" s="1849">
        <f t="shared" ref="H53:Q53" si="44">1-H49-H51</f>
        <v>0.8</v>
      </c>
      <c r="I53" s="1849">
        <f t="shared" si="44"/>
        <v>0.78</v>
      </c>
      <c r="J53" s="1849">
        <f t="shared" si="44"/>
        <v>0.90999999999999992</v>
      </c>
      <c r="K53" s="1849">
        <f t="shared" si="44"/>
        <v>0.85</v>
      </c>
      <c r="L53" s="1849">
        <f t="shared" si="44"/>
        <v>0.58899999999999997</v>
      </c>
      <c r="M53" s="1849">
        <f t="shared" si="44"/>
        <v>0.67</v>
      </c>
      <c r="N53" s="1849">
        <f t="shared" si="44"/>
        <v>0.71</v>
      </c>
      <c r="O53" s="1853">
        <f t="shared" si="44"/>
        <v>0.76</v>
      </c>
      <c r="P53" s="1853">
        <f t="shared" si="44"/>
        <v>0.77</v>
      </c>
      <c r="Q53" s="1853">
        <f t="shared" si="44"/>
        <v>0.77</v>
      </c>
      <c r="R53" s="1853">
        <f t="shared" ref="R53" si="45">1-R49-R51</f>
        <v>0.77</v>
      </c>
      <c r="S53" s="1821"/>
      <c r="U53" s="1578"/>
      <c r="V53" s="1578"/>
    </row>
    <row r="54" spans="1:22" collapsed="1">
      <c r="A54" s="2303"/>
      <c r="B54" s="1829" t="s">
        <v>7020</v>
      </c>
      <c r="C54" s="1824"/>
      <c r="D54" s="1824"/>
      <c r="E54" s="1824"/>
      <c r="F54" s="1824"/>
      <c r="G54" s="1830"/>
      <c r="H54" s="1841">
        <v>0.01</v>
      </c>
      <c r="I54" s="1841">
        <v>0.02</v>
      </c>
      <c r="J54" s="1841">
        <v>0.02</v>
      </c>
      <c r="K54" s="1841">
        <v>7.0000000000000007E-2</v>
      </c>
      <c r="L54" s="1841">
        <v>0.248</v>
      </c>
      <c r="M54" s="1841">
        <f>L54-0.1</f>
        <v>0.14799999999999999</v>
      </c>
      <c r="N54" s="1841">
        <f>M54-0.05</f>
        <v>9.799999999999999E-2</v>
      </c>
      <c r="O54" s="2206">
        <f>N54+3%</f>
        <v>0.128</v>
      </c>
      <c r="P54" s="2206">
        <f>O54+2%</f>
        <v>0.14799999999999999</v>
      </c>
      <c r="Q54" s="2206">
        <f>P54+1%</f>
        <v>0.158</v>
      </c>
      <c r="R54" s="2206">
        <f>Q54</f>
        <v>0.158</v>
      </c>
      <c r="S54" s="1824"/>
      <c r="U54" s="1578"/>
      <c r="V54" s="1578"/>
    </row>
    <row r="55" spans="1:22">
      <c r="A55" s="2303"/>
      <c r="B55" s="1829" t="s">
        <v>7021</v>
      </c>
      <c r="C55" s="1821"/>
      <c r="D55" s="1821"/>
      <c r="E55" s="1821"/>
      <c r="F55" s="1821"/>
      <c r="G55" s="1830"/>
      <c r="H55" s="1830">
        <f t="shared" ref="H55:Q55" si="46">H54*H30</f>
        <v>5.65</v>
      </c>
      <c r="I55" s="1830">
        <f t="shared" si="46"/>
        <v>12.1701</v>
      </c>
      <c r="J55" s="1830">
        <f t="shared" si="46"/>
        <v>13.022007000000002</v>
      </c>
      <c r="K55" s="1830">
        <f t="shared" si="46"/>
        <v>52.687040322000009</v>
      </c>
      <c r="L55" s="1830">
        <f t="shared" si="46"/>
        <v>207.17128328085968</v>
      </c>
      <c r="M55" s="1830">
        <f t="shared" si="46"/>
        <v>129.81619928163545</v>
      </c>
      <c r="N55" s="1830">
        <f t="shared" si="46"/>
        <v>88.538156456001914</v>
      </c>
      <c r="O55" s="1830">
        <f t="shared" si="46"/>
        <v>117.95450721322052</v>
      </c>
      <c r="P55" s="1830">
        <f t="shared" si="46"/>
        <v>137.74874795493909</v>
      </c>
      <c r="Q55" s="1830">
        <f t="shared" si="46"/>
        <v>148.5266567476296</v>
      </c>
      <c r="R55" s="1830">
        <f t="shared" ref="R55" si="47">R54*R30</f>
        <v>150.01192331510592</v>
      </c>
      <c r="S55" s="1821"/>
      <c r="U55" s="2208"/>
      <c r="V55" s="1578"/>
    </row>
    <row r="56" spans="1:22">
      <c r="A56" s="2303"/>
      <c r="B56" s="1851" t="s">
        <v>7022</v>
      </c>
      <c r="C56" s="1821"/>
      <c r="D56" s="1821"/>
      <c r="E56" s="1821"/>
      <c r="F56" s="1821"/>
      <c r="G56" s="1830"/>
      <c r="H56" s="1841">
        <f t="shared" ref="H56:Q56" si="48">100%-H34-H46-H54</f>
        <v>3.1858980534263261E-2</v>
      </c>
      <c r="I56" s="1841">
        <f t="shared" si="48"/>
        <v>2.9999999999999988E-2</v>
      </c>
      <c r="J56" s="1841">
        <f t="shared" si="48"/>
        <v>5.2000000000000005E-2</v>
      </c>
      <c r="K56" s="1841">
        <f t="shared" si="48"/>
        <v>0.10749999999999998</v>
      </c>
      <c r="L56" s="1841">
        <f t="shared" si="48"/>
        <v>7.1999999999999953E-2</v>
      </c>
      <c r="M56" s="1841">
        <f t="shared" si="48"/>
        <v>0.23200000000000001</v>
      </c>
      <c r="N56" s="1841">
        <f t="shared" si="48"/>
        <v>0.33200000000000007</v>
      </c>
      <c r="O56" s="1841">
        <f t="shared" si="48"/>
        <v>0.30200000000000005</v>
      </c>
      <c r="P56" s="1841">
        <f t="shared" si="48"/>
        <v>0.28200000000000003</v>
      </c>
      <c r="Q56" s="1841">
        <f t="shared" si="48"/>
        <v>0.27200000000000002</v>
      </c>
      <c r="R56" s="1841">
        <f t="shared" ref="R56" si="49">100%-R34-R46-R54</f>
        <v>0.27200000000000002</v>
      </c>
      <c r="S56" s="1821"/>
      <c r="U56" s="1578"/>
      <c r="V56" s="1578"/>
    </row>
    <row r="57" spans="1:22">
      <c r="A57" s="2303"/>
      <c r="B57" s="1829" t="s">
        <v>7023</v>
      </c>
      <c r="C57" s="1821"/>
      <c r="D57" s="1821"/>
      <c r="E57" s="1821"/>
      <c r="F57" s="1821"/>
      <c r="G57" s="1830"/>
      <c r="H57" s="1830">
        <f t="shared" ref="H57:Q57" si="50">H56*H30</f>
        <v>18.000324001858743</v>
      </c>
      <c r="I57" s="1830">
        <f t="shared" si="50"/>
        <v>18.255149999999993</v>
      </c>
      <c r="J57" s="1830">
        <f t="shared" si="50"/>
        <v>33.857218200000005</v>
      </c>
      <c r="K57" s="1830">
        <f t="shared" si="50"/>
        <v>80.912240494499997</v>
      </c>
      <c r="L57" s="1830">
        <f t="shared" si="50"/>
        <v>60.146501597668902</v>
      </c>
      <c r="M57" s="1830">
        <f t="shared" si="50"/>
        <v>203.49566373877991</v>
      </c>
      <c r="N57" s="1830">
        <f t="shared" si="50"/>
        <v>299.9455912591086</v>
      </c>
      <c r="O57" s="1830">
        <f t="shared" si="50"/>
        <v>278.29891545619222</v>
      </c>
      <c r="P57" s="1830">
        <f t="shared" si="50"/>
        <v>262.46720894116777</v>
      </c>
      <c r="Q57" s="1830">
        <f t="shared" si="50"/>
        <v>255.69145971743833</v>
      </c>
      <c r="R57" s="1830">
        <f t="shared" ref="R57" si="51">R56*R30</f>
        <v>258.2483743146127</v>
      </c>
      <c r="S57" s="1821"/>
      <c r="U57" s="1578"/>
      <c r="V57" s="1578"/>
    </row>
    <row r="58" spans="1:22">
      <c r="A58" s="1821"/>
      <c r="B58" s="1821"/>
      <c r="C58" s="1821"/>
      <c r="D58" s="1821"/>
      <c r="E58" s="1821"/>
      <c r="F58" s="1821"/>
      <c r="G58" s="1830"/>
      <c r="H58" s="1830"/>
      <c r="I58" s="1830"/>
      <c r="J58" s="1830"/>
      <c r="K58" s="1830"/>
      <c r="L58" s="1830"/>
      <c r="M58" s="1830"/>
      <c r="N58" s="1830"/>
      <c r="O58" s="1830"/>
      <c r="P58" s="1830"/>
      <c r="Q58" s="1830"/>
      <c r="R58" s="1830"/>
      <c r="S58" s="1821"/>
      <c r="U58" s="1578"/>
      <c r="V58" s="1578"/>
    </row>
    <row r="59" spans="1:22" s="2096" customFormat="1">
      <c r="A59" s="1821"/>
      <c r="B59" s="1829" t="s">
        <v>7024</v>
      </c>
      <c r="C59" s="1821"/>
      <c r="D59" s="1821"/>
      <c r="E59" s="1821"/>
      <c r="F59" s="1821"/>
      <c r="G59" s="1830"/>
      <c r="H59" s="1830"/>
      <c r="I59" s="1830"/>
      <c r="J59" s="1830"/>
      <c r="K59" s="1830"/>
      <c r="L59" s="1830"/>
      <c r="M59" s="1830"/>
      <c r="N59" s="1830"/>
      <c r="O59" s="1830"/>
      <c r="P59" s="1830"/>
      <c r="Q59" s="1830"/>
      <c r="R59" s="1830"/>
      <c r="S59" s="1821"/>
      <c r="U59" s="1578"/>
      <c r="V59" s="1578"/>
    </row>
    <row r="60" spans="1:22" s="2096" customFormat="1">
      <c r="A60" s="2303" t="s">
        <v>7164</v>
      </c>
      <c r="B60" s="1957" t="s">
        <v>7071</v>
      </c>
      <c r="C60" s="1821"/>
      <c r="D60" s="1821"/>
      <c r="E60" s="1821"/>
      <c r="F60" s="1821"/>
      <c r="G60" s="1830"/>
      <c r="H60" s="1852">
        <f t="shared" ref="H60:N60" si="52">(H61*H7+H62*H8+H63*H9)/H6</f>
        <v>0.89934050091101014</v>
      </c>
      <c r="I60" s="1852">
        <f t="shared" si="52"/>
        <v>0.89240412052773244</v>
      </c>
      <c r="J60" s="1852">
        <f t="shared" si="52"/>
        <v>0.86820038148204981</v>
      </c>
      <c r="K60" s="1852">
        <f t="shared" si="52"/>
        <v>0.90567791777264273</v>
      </c>
      <c r="L60" s="1852">
        <f t="shared" si="52"/>
        <v>0.72047441755365105</v>
      </c>
      <c r="M60" s="1852">
        <f t="shared" si="52"/>
        <v>0.49910520707477601</v>
      </c>
      <c r="N60" s="1852">
        <f t="shared" si="52"/>
        <v>0.11014804800171038</v>
      </c>
      <c r="O60" s="1852">
        <v>0</v>
      </c>
      <c r="P60" s="1852">
        <f>O60</f>
        <v>0</v>
      </c>
      <c r="Q60" s="1852">
        <f>P60</f>
        <v>0</v>
      </c>
      <c r="R60" s="1852">
        <f>Q60</f>
        <v>0</v>
      </c>
      <c r="S60" s="1821"/>
      <c r="U60" s="1578"/>
      <c r="V60" s="1578"/>
    </row>
    <row r="61" spans="1:22" s="2096" customFormat="1">
      <c r="A61" s="2303"/>
      <c r="B61" s="1958" t="s">
        <v>7152</v>
      </c>
      <c r="C61" s="1846"/>
      <c r="D61" s="1846"/>
      <c r="E61" s="1846"/>
      <c r="F61" s="1846"/>
      <c r="G61" s="1847"/>
      <c r="H61" s="1853">
        <f>+H62+9%</f>
        <v>0.96049999999999991</v>
      </c>
      <c r="I61" s="1853">
        <f>+I62+9%</f>
        <v>0.96049999999999991</v>
      </c>
      <c r="J61" s="1853">
        <f>+J62+9%</f>
        <v>0.95</v>
      </c>
      <c r="K61" s="1919">
        <v>0.96</v>
      </c>
      <c r="L61" s="1919">
        <f t="shared" ref="L61:N61" si="53">L62+9%</f>
        <v>0.76545999999999992</v>
      </c>
      <c r="M61" s="1919">
        <f t="shared" si="53"/>
        <v>0.54</v>
      </c>
      <c r="N61" s="1919">
        <f t="shared" si="53"/>
        <v>0.12</v>
      </c>
      <c r="O61" s="1919">
        <f>O62</f>
        <v>0</v>
      </c>
      <c r="P61" s="1919">
        <f t="shared" ref="P61:R61" si="54">P62</f>
        <v>0</v>
      </c>
      <c r="Q61" s="1919">
        <f t="shared" si="54"/>
        <v>0</v>
      </c>
      <c r="R61" s="1919">
        <f t="shared" si="54"/>
        <v>0</v>
      </c>
      <c r="S61" s="1821"/>
      <c r="U61" s="1578"/>
      <c r="V61" s="1578"/>
    </row>
    <row r="62" spans="1:22" s="2096" customFormat="1">
      <c r="A62" s="2303"/>
      <c r="B62" s="1958" t="s">
        <v>7069</v>
      </c>
      <c r="C62" s="1846"/>
      <c r="D62" s="1846"/>
      <c r="E62" s="1846"/>
      <c r="F62" s="1846"/>
      <c r="G62" s="1847"/>
      <c r="H62" s="1853">
        <f t="shared" ref="H62:R62" si="55">IF($B$1="Bull",H306,IF($B$1="Base",H307,IF($B$1="Bear",H308,"NA")))</f>
        <v>0.87049999999999994</v>
      </c>
      <c r="I62" s="1853">
        <f t="shared" si="55"/>
        <v>0.87049999999999994</v>
      </c>
      <c r="J62" s="1853">
        <f t="shared" si="55"/>
        <v>0.86</v>
      </c>
      <c r="K62" s="1853">
        <f t="shared" si="55"/>
        <v>0.87</v>
      </c>
      <c r="L62" s="1853">
        <f t="shared" si="55"/>
        <v>0.67545999999999995</v>
      </c>
      <c r="M62" s="1853">
        <f t="shared" si="55"/>
        <v>0.45</v>
      </c>
      <c r="N62" s="1853">
        <f t="shared" si="55"/>
        <v>0.03</v>
      </c>
      <c r="O62" s="1853">
        <f t="shared" si="55"/>
        <v>0</v>
      </c>
      <c r="P62" s="1853">
        <f t="shared" si="55"/>
        <v>0</v>
      </c>
      <c r="Q62" s="1853">
        <f t="shared" si="55"/>
        <v>0</v>
      </c>
      <c r="R62" s="1853">
        <f t="shared" si="55"/>
        <v>0</v>
      </c>
      <c r="S62" s="1821"/>
      <c r="U62" s="1578"/>
      <c r="V62" s="1578"/>
    </row>
    <row r="63" spans="1:22" s="2096" customFormat="1">
      <c r="A63" s="2303"/>
      <c r="B63" s="1958" t="s">
        <v>7068</v>
      </c>
      <c r="C63" s="1846"/>
      <c r="D63" s="1846"/>
      <c r="E63" s="1846"/>
      <c r="F63" s="1846"/>
      <c r="G63" s="1847"/>
      <c r="H63" s="1853">
        <f>H62-13%</f>
        <v>0.74049999999999994</v>
      </c>
      <c r="I63" s="1853">
        <f>+I62-12%</f>
        <v>0.75049999999999994</v>
      </c>
      <c r="J63" s="1853">
        <f t="shared" ref="J63" si="56">+J62-13%</f>
        <v>0.73</v>
      </c>
      <c r="K63" s="1853">
        <f>+K62-3%</f>
        <v>0.84</v>
      </c>
      <c r="L63" s="1853">
        <f>+L62-0%</f>
        <v>0.67545999999999995</v>
      </c>
      <c r="M63" s="1853">
        <f>+M62-0%</f>
        <v>0.45</v>
      </c>
      <c r="N63" s="1853">
        <f t="shared" ref="N63" si="57">+N62-3%</f>
        <v>0</v>
      </c>
      <c r="O63" s="1853">
        <f>+O62</f>
        <v>0</v>
      </c>
      <c r="P63" s="1853">
        <f t="shared" ref="P63:Q63" si="58">+P62</f>
        <v>0</v>
      </c>
      <c r="Q63" s="1853">
        <f t="shared" si="58"/>
        <v>0</v>
      </c>
      <c r="R63" s="1853">
        <f t="shared" ref="R63" si="59">+R62</f>
        <v>0</v>
      </c>
      <c r="S63" s="1821"/>
      <c r="U63" s="1578"/>
      <c r="V63" s="1578"/>
    </row>
    <row r="64" spans="1:22" s="2096" customFormat="1">
      <c r="A64" s="2303"/>
      <c r="B64" s="1864" t="s">
        <v>7062</v>
      </c>
      <c r="C64" s="1824"/>
      <c r="D64" s="1824"/>
      <c r="E64" s="1824"/>
      <c r="F64" s="1824"/>
      <c r="G64" s="1830"/>
      <c r="H64" s="1852">
        <f t="shared" ref="H64:J64" si="60">(H65*H11+H12*H66+H13*H67+H68*H18+H69*H19)/(H10+H18+H19)</f>
        <v>0.88229678221126351</v>
      </c>
      <c r="I64" s="1852">
        <f t="shared" si="60"/>
        <v>0.7559448378547956</v>
      </c>
      <c r="J64" s="1852">
        <f t="shared" si="60"/>
        <v>0.83023786288865631</v>
      </c>
      <c r="K64" s="1852">
        <f>(K65*(K11+K14)+(K12+K15)*K66+(K13+K16)*K67+K68*K18+K69*K19)/(K10+K18+K19)</f>
        <v>0.86846915976765138</v>
      </c>
      <c r="L64" s="2199">
        <f t="shared" ref="L64:Q64" si="61">(L65*(L11+L14)+(L12+L15)*L66+(L13+L16)*L67+L68*L18+L69*L19)/(L10+L18+L19)</f>
        <v>0.87773175410646087</v>
      </c>
      <c r="M64" s="2199">
        <f t="shared" si="61"/>
        <v>0.87083850062054602</v>
      </c>
      <c r="N64" s="2199">
        <f t="shared" si="61"/>
        <v>0.9082232480892829</v>
      </c>
      <c r="O64" s="2199">
        <f t="shared" si="61"/>
        <v>0.90818743214301156</v>
      </c>
      <c r="P64" s="2199">
        <f t="shared" si="61"/>
        <v>0.90787005245004382</v>
      </c>
      <c r="Q64" s="2199">
        <f t="shared" si="61"/>
        <v>0.90768702587654104</v>
      </c>
      <c r="R64" s="2199">
        <f t="shared" ref="R64" si="62">(R65*(R11+R14)+(R12+R15)*R66+(R13+R16)*R67+R68*R18+R69*R19)/(R10+R18+R19)</f>
        <v>0.90766210640065781</v>
      </c>
      <c r="S64" s="1824"/>
      <c r="U64" s="1578"/>
      <c r="V64" s="1578"/>
    </row>
    <row r="65" spans="1:22" s="2096" customFormat="1">
      <c r="A65" s="2303"/>
      <c r="B65" s="1958" t="s">
        <v>7152</v>
      </c>
      <c r="C65" s="1846"/>
      <c r="D65" s="1846"/>
      <c r="E65" s="1846"/>
      <c r="F65" s="1846"/>
      <c r="G65" s="1847"/>
      <c r="H65" s="1849">
        <f>+H66+14%</f>
        <v>0.90999999999999992</v>
      </c>
      <c r="I65" s="1849">
        <f>+I66+14%</f>
        <v>0.90999999999999992</v>
      </c>
      <c r="J65" s="1849">
        <f>+J66+6%</f>
        <v>0.92999999999999994</v>
      </c>
      <c r="K65" s="1919">
        <f>K66+3%</f>
        <v>0.95000000000000007</v>
      </c>
      <c r="L65" s="1853">
        <f>L66+3%</f>
        <v>0.95000000000000007</v>
      </c>
      <c r="M65" s="1853">
        <f>M66+3%</f>
        <v>0.93</v>
      </c>
      <c r="N65" s="1849">
        <v>0.95</v>
      </c>
      <c r="O65" s="1849">
        <v>0.95</v>
      </c>
      <c r="P65" s="1849">
        <v>0.95</v>
      </c>
      <c r="Q65" s="1849">
        <v>0.95</v>
      </c>
      <c r="R65" s="1849">
        <v>0.95</v>
      </c>
      <c r="S65" s="1821"/>
      <c r="U65" s="1578"/>
      <c r="V65" s="1578"/>
    </row>
    <row r="66" spans="1:22" s="2096" customFormat="1">
      <c r="A66" s="2303"/>
      <c r="B66" s="1958" t="s">
        <v>7069</v>
      </c>
      <c r="C66" s="1846"/>
      <c r="D66" s="1846"/>
      <c r="E66" s="1846"/>
      <c r="F66" s="1846"/>
      <c r="G66" s="1847"/>
      <c r="H66" s="1853">
        <f t="shared" ref="H66:M66" si="63">IF($B$1="Bull",H311,IF($B$1="Base",H312,IF($B$1="Bear",H313,"NA")))</f>
        <v>0.76999999999999991</v>
      </c>
      <c r="I66" s="1853">
        <f t="shared" si="63"/>
        <v>0.76999999999999991</v>
      </c>
      <c r="J66" s="1853">
        <f t="shared" si="63"/>
        <v>0.87</v>
      </c>
      <c r="K66" s="1853">
        <f t="shared" si="63"/>
        <v>0.92</v>
      </c>
      <c r="L66" s="1853">
        <f t="shared" si="63"/>
        <v>0.92</v>
      </c>
      <c r="M66" s="1853">
        <f t="shared" si="63"/>
        <v>0.9</v>
      </c>
      <c r="N66" s="1853">
        <v>0.92</v>
      </c>
      <c r="O66" s="1853">
        <v>0.92</v>
      </c>
      <c r="P66" s="1853">
        <v>0.92</v>
      </c>
      <c r="Q66" s="1853">
        <v>0.92</v>
      </c>
      <c r="R66" s="1853">
        <v>0.92</v>
      </c>
      <c r="S66" s="1821"/>
      <c r="U66" s="1578"/>
      <c r="V66" s="1578"/>
    </row>
    <row r="67" spans="1:22" s="2096" customFormat="1">
      <c r="A67" s="2303"/>
      <c r="B67" s="1958" t="s">
        <v>7068</v>
      </c>
      <c r="C67" s="1846"/>
      <c r="D67" s="1846"/>
      <c r="E67" s="1846"/>
      <c r="F67" s="1846"/>
      <c r="G67" s="1847"/>
      <c r="H67" s="1853">
        <f>+H66-22%</f>
        <v>0.54999999999999993</v>
      </c>
      <c r="I67" s="1853">
        <f>+I66-22%</f>
        <v>0.54999999999999993</v>
      </c>
      <c r="J67" s="1919">
        <v>0.76</v>
      </c>
      <c r="K67" s="1853">
        <v>0.83</v>
      </c>
      <c r="L67" s="1853">
        <f>+L66-8%</f>
        <v>0.84000000000000008</v>
      </c>
      <c r="M67" s="1853">
        <f>+M66-10%</f>
        <v>0.8</v>
      </c>
      <c r="N67" s="1853">
        <f>+N66-7%</f>
        <v>0.85000000000000009</v>
      </c>
      <c r="O67" s="1853">
        <f>+O66-7%</f>
        <v>0.85000000000000009</v>
      </c>
      <c r="P67" s="1853">
        <f>+P66-7%</f>
        <v>0.85000000000000009</v>
      </c>
      <c r="Q67" s="1853">
        <v>0.85</v>
      </c>
      <c r="R67" s="1853">
        <v>0.85</v>
      </c>
      <c r="S67" s="1824"/>
      <c r="U67" s="1578"/>
      <c r="V67" s="1578"/>
    </row>
    <row r="68" spans="1:22" s="2096" customFormat="1">
      <c r="A68" s="2303"/>
      <c r="B68" s="1958" t="s">
        <v>7099</v>
      </c>
      <c r="C68" s="1846"/>
      <c r="D68" s="1846"/>
      <c r="E68" s="1846"/>
      <c r="F68" s="1846"/>
      <c r="G68" s="1847"/>
      <c r="H68" s="1853">
        <f>+H66+14%</f>
        <v>0.90999999999999992</v>
      </c>
      <c r="I68" s="1853">
        <f>+I66+14%</f>
        <v>0.90999999999999992</v>
      </c>
      <c r="J68" s="1853">
        <v>0.91</v>
      </c>
      <c r="K68" s="1853">
        <f>+K66-2%</f>
        <v>0.9</v>
      </c>
      <c r="L68" s="1853">
        <f>+L66-12%</f>
        <v>0.8</v>
      </c>
      <c r="M68" s="1853">
        <f>+M66-5%</f>
        <v>0.85</v>
      </c>
      <c r="N68" s="1853">
        <f t="shared" ref="N68:Q68" si="64">+N66-3%</f>
        <v>0.89</v>
      </c>
      <c r="O68" s="1853">
        <f t="shared" si="64"/>
        <v>0.89</v>
      </c>
      <c r="P68" s="1853">
        <f t="shared" si="64"/>
        <v>0.89</v>
      </c>
      <c r="Q68" s="1853">
        <f t="shared" si="64"/>
        <v>0.89</v>
      </c>
      <c r="R68" s="1853">
        <f t="shared" ref="R68" si="65">+R66-3%</f>
        <v>0.89</v>
      </c>
      <c r="S68" s="1824"/>
      <c r="U68" s="1578"/>
      <c r="V68" s="1578"/>
    </row>
    <row r="69" spans="1:22" s="2096" customFormat="1">
      <c r="A69" s="2303"/>
      <c r="B69" s="1958" t="s">
        <v>7100</v>
      </c>
      <c r="C69" s="1846"/>
      <c r="D69" s="1846"/>
      <c r="E69" s="1846"/>
      <c r="F69" s="1846"/>
      <c r="G69" s="1847"/>
      <c r="H69" s="1919">
        <f t="shared" ref="H69:J69" si="66">H68+5%</f>
        <v>0.96</v>
      </c>
      <c r="I69" s="1919">
        <f t="shared" si="66"/>
        <v>0.96</v>
      </c>
      <c r="J69" s="1919">
        <f t="shared" si="66"/>
        <v>0.96000000000000008</v>
      </c>
      <c r="K69" s="1919">
        <f>+K65</f>
        <v>0.95000000000000007</v>
      </c>
      <c r="L69" s="1919">
        <f>+L65</f>
        <v>0.95000000000000007</v>
      </c>
      <c r="M69" s="1919">
        <f t="shared" ref="M69:Q69" si="67">+M65</f>
        <v>0.93</v>
      </c>
      <c r="N69" s="1919">
        <f t="shared" si="67"/>
        <v>0.95</v>
      </c>
      <c r="O69" s="1919">
        <f t="shared" si="67"/>
        <v>0.95</v>
      </c>
      <c r="P69" s="1919">
        <f t="shared" si="67"/>
        <v>0.95</v>
      </c>
      <c r="Q69" s="1919">
        <f t="shared" si="67"/>
        <v>0.95</v>
      </c>
      <c r="R69" s="1919">
        <f t="shared" ref="R69" si="68">+R65</f>
        <v>0.95</v>
      </c>
      <c r="S69" s="1824"/>
      <c r="U69" s="1578"/>
      <c r="V69" s="1578"/>
    </row>
    <row r="70" spans="1:22">
      <c r="A70" s="2303"/>
      <c r="B70" s="1854" t="s">
        <v>7025</v>
      </c>
      <c r="C70" s="1855"/>
      <c r="D70" s="1855"/>
      <c r="E70" s="1855"/>
      <c r="F70" s="1855"/>
      <c r="G70" s="1856"/>
      <c r="H70" s="2036">
        <f t="shared" ref="H70:R70" si="69">(H4-H30)/G4</f>
        <v>0.7410181459780798</v>
      </c>
      <c r="I70" s="2036">
        <f t="shared" si="69"/>
        <v>0.87958736515346791</v>
      </c>
      <c r="J70" s="2036">
        <f t="shared" si="69"/>
        <v>0.86314143306932445</v>
      </c>
      <c r="K70" s="2036">
        <f t="shared" si="69"/>
        <v>0.91026582499678232</v>
      </c>
      <c r="L70" s="2036">
        <f t="shared" si="69"/>
        <v>0.92790641348200931</v>
      </c>
      <c r="M70" s="2036">
        <f t="shared" si="69"/>
        <v>0.90979827479025799</v>
      </c>
      <c r="N70" s="2036">
        <f t="shared" si="69"/>
        <v>0.92507408136150671</v>
      </c>
      <c r="O70" s="2036">
        <f t="shared" si="69"/>
        <v>0.93380567048154439</v>
      </c>
      <c r="P70" s="2036">
        <f t="shared" si="69"/>
        <v>0.93151502470468295</v>
      </c>
      <c r="Q70" s="2036">
        <f t="shared" si="69"/>
        <v>0.92902908198419287</v>
      </c>
      <c r="R70" s="2037">
        <f t="shared" si="69"/>
        <v>0.92717658573617423</v>
      </c>
      <c r="S70" s="1821"/>
      <c r="U70" s="1578"/>
      <c r="V70" s="1578"/>
    </row>
    <row r="71" spans="1:22">
      <c r="A71" s="2303"/>
      <c r="B71" s="1829"/>
      <c r="C71" s="1821"/>
      <c r="D71" s="1821"/>
      <c r="E71" s="1821"/>
      <c r="F71" s="1821"/>
      <c r="G71" s="1830"/>
      <c r="H71" s="1830"/>
      <c r="I71" s="1872"/>
      <c r="J71" s="1872"/>
      <c r="K71" s="1872"/>
      <c r="L71" s="1872"/>
      <c r="M71" s="1872"/>
      <c r="N71" s="1872"/>
      <c r="O71" s="1872"/>
      <c r="P71" s="1872"/>
      <c r="Q71" s="1872"/>
      <c r="R71" s="1872"/>
      <c r="S71" s="1821"/>
      <c r="U71" s="1578"/>
      <c r="V71" s="1578"/>
    </row>
    <row r="72" spans="1:22" hidden="1" outlineLevel="1">
      <c r="A72" s="2303"/>
      <c r="B72" s="1829" t="s">
        <v>6958</v>
      </c>
      <c r="C72" s="1821"/>
      <c r="D72" s="1821"/>
      <c r="E72" s="1821"/>
      <c r="F72" s="1821"/>
      <c r="G72" s="1830"/>
      <c r="H72" s="1830">
        <f>+H73+H77</f>
        <v>-164.39750000000012</v>
      </c>
      <c r="I72" s="1830">
        <f t="shared" ref="I72:P72" si="70">+I73+I77</f>
        <v>-185.80585921007446</v>
      </c>
      <c r="J72" s="1830">
        <f t="shared" si="70"/>
        <v>-273.69118325437142</v>
      </c>
      <c r="K72" s="1830">
        <f t="shared" si="70"/>
        <v>-266.70792471474067</v>
      </c>
      <c r="L72" s="1830">
        <f t="shared" si="70"/>
        <v>-712.78496724950219</v>
      </c>
      <c r="M72" s="1830">
        <f t="shared" si="70"/>
        <v>-999.41144891401098</v>
      </c>
      <c r="N72" s="1830">
        <f t="shared" si="70"/>
        <v>-922.25992712573952</v>
      </c>
      <c r="O72" s="1830">
        <f t="shared" si="70"/>
        <v>-368.43150301459656</v>
      </c>
      <c r="P72" s="1830">
        <f t="shared" si="70"/>
        <v>-372.81365332459995</v>
      </c>
      <c r="Q72" s="1830">
        <f t="shared" ref="Q72" si="71">+Q73+Q77</f>
        <v>-425.94262685496335</v>
      </c>
      <c r="R72" s="1830">
        <f t="shared" ref="R72" si="72">+R73+R77</f>
        <v>-474.49914258503088</v>
      </c>
      <c r="S72" s="1821"/>
      <c r="U72" s="1578"/>
      <c r="V72" s="1578"/>
    </row>
    <row r="73" spans="1:22" hidden="1" outlineLevel="1">
      <c r="A73" s="2303"/>
      <c r="B73" s="1957" t="s">
        <v>7026</v>
      </c>
      <c r="C73" s="1821"/>
      <c r="D73" s="1821"/>
      <c r="E73" s="1821"/>
      <c r="F73" s="1821"/>
      <c r="G73" s="1830"/>
      <c r="H73" s="1830">
        <f t="shared" ref="H73:N73" si="73">SUM(H74:H76)</f>
        <v>-161.04750000000013</v>
      </c>
      <c r="I73" s="1830">
        <f t="shared" si="73"/>
        <v>-176.1188462500001</v>
      </c>
      <c r="J73" s="1830">
        <f t="shared" si="73"/>
        <v>-242.80050299270005</v>
      </c>
      <c r="K73" s="1830">
        <f t="shared" si="73"/>
        <v>-212.66753054223503</v>
      </c>
      <c r="L73" s="1830">
        <f t="shared" si="73"/>
        <v>-569.85668200123916</v>
      </c>
      <c r="M73" s="1830">
        <f t="shared" si="73"/>
        <v>-731.47383078688688</v>
      </c>
      <c r="N73" s="1830">
        <f t="shared" si="73"/>
        <v>-664.31321262362439</v>
      </c>
      <c r="O73" s="1830">
        <f>SUM(O74:O76)</f>
        <v>-52.717342087664406</v>
      </c>
      <c r="P73" s="1830">
        <f>SUM(P74:P76)</f>
        <v>0</v>
      </c>
      <c r="Q73" s="1830">
        <f>SUM(Q74:Q76)</f>
        <v>0</v>
      </c>
      <c r="R73" s="1830">
        <f>SUM(R74:R76)</f>
        <v>0</v>
      </c>
      <c r="S73" s="1821"/>
      <c r="U73" s="1578"/>
      <c r="V73" s="1578"/>
    </row>
    <row r="74" spans="1:22" hidden="1" outlineLevel="1">
      <c r="A74" s="2303"/>
      <c r="B74" s="1958" t="s">
        <v>7152</v>
      </c>
      <c r="C74" s="1846"/>
      <c r="D74" s="1846"/>
      <c r="E74" s="1846"/>
      <c r="F74" s="1846"/>
      <c r="G74" s="1847"/>
      <c r="H74" s="1850">
        <f t="shared" ref="H74:R74" si="74">-G7*(1-H61)</f>
        <v>-35.352500000000084</v>
      </c>
      <c r="I74" s="1847">
        <f t="shared" si="74"/>
        <v>-35.30767984375008</v>
      </c>
      <c r="J74" s="1847">
        <f t="shared" si="74"/>
        <v>-47.454063523812536</v>
      </c>
      <c r="K74" s="1847">
        <f t="shared" si="74"/>
        <v>-37.121746014105526</v>
      </c>
      <c r="L74" s="1847">
        <f t="shared" si="74"/>
        <v>-221.98486231012498</v>
      </c>
      <c r="M74" s="1847">
        <f t="shared" si="74"/>
        <v>-333.26274854522796</v>
      </c>
      <c r="N74" s="1847">
        <f t="shared" si="74"/>
        <v>-344.27490893193988</v>
      </c>
      <c r="O74" s="1847">
        <f t="shared" si="74"/>
        <v>-46.946578490719048</v>
      </c>
      <c r="P74" s="1847">
        <f t="shared" si="74"/>
        <v>0</v>
      </c>
      <c r="Q74" s="1847">
        <f t="shared" si="74"/>
        <v>0</v>
      </c>
      <c r="R74" s="1847">
        <f t="shared" si="74"/>
        <v>0</v>
      </c>
      <c r="S74" s="1821"/>
      <c r="U74" s="1578"/>
      <c r="V74" s="1578"/>
    </row>
    <row r="75" spans="1:22" collapsed="1">
      <c r="A75" s="2303"/>
      <c r="B75" s="1958" t="s">
        <v>7069</v>
      </c>
      <c r="C75" s="1846"/>
      <c r="D75" s="1846"/>
      <c r="E75" s="1846"/>
      <c r="F75" s="1846"/>
      <c r="G75" s="1847"/>
      <c r="H75" s="1847">
        <f t="shared" ref="H75:R75" si="75">-G8*(1-H62)</f>
        <v>-84.17500000000004</v>
      </c>
      <c r="I75" s="1847">
        <f t="shared" si="75"/>
        <v>-84.500061187500023</v>
      </c>
      <c r="J75" s="1847">
        <f t="shared" si="75"/>
        <v>-103.05755476695001</v>
      </c>
      <c r="K75" s="1847">
        <f t="shared" si="75"/>
        <v>-94.56359602827149</v>
      </c>
      <c r="L75" s="1847">
        <f t="shared" si="75"/>
        <v>-205.38471096817887</v>
      </c>
      <c r="M75" s="1847">
        <f t="shared" si="75"/>
        <v>-235.10518357925477</v>
      </c>
      <c r="N75" s="1847">
        <f t="shared" si="75"/>
        <v>-186.58802296789943</v>
      </c>
      <c r="O75" s="1847">
        <f t="shared" si="75"/>
        <v>-5.7707635969453577</v>
      </c>
      <c r="P75" s="1847">
        <f t="shared" si="75"/>
        <v>0</v>
      </c>
      <c r="Q75" s="1847">
        <f t="shared" si="75"/>
        <v>0</v>
      </c>
      <c r="R75" s="1847">
        <f t="shared" si="75"/>
        <v>0</v>
      </c>
      <c r="S75" s="1821"/>
      <c r="U75" s="1578"/>
      <c r="V75" s="1578"/>
    </row>
    <row r="76" spans="1:22" hidden="1" outlineLevel="1">
      <c r="A76" s="2303"/>
      <c r="B76" s="1958" t="s">
        <v>7068</v>
      </c>
      <c r="C76" s="1846"/>
      <c r="D76" s="1846"/>
      <c r="E76" s="1846"/>
      <c r="F76" s="1846"/>
      <c r="G76" s="1847"/>
      <c r="H76" s="1850">
        <f t="shared" ref="H76:R76" si="76">-G9*(1-H63)</f>
        <v>-41.52000000000001</v>
      </c>
      <c r="I76" s="1847">
        <f t="shared" si="76"/>
        <v>-56.311105218750008</v>
      </c>
      <c r="J76" s="1847">
        <f t="shared" si="76"/>
        <v>-92.288884701937505</v>
      </c>
      <c r="K76" s="1847">
        <f t="shared" si="76"/>
        <v>-80.982188499858012</v>
      </c>
      <c r="L76" s="1847">
        <f t="shared" si="76"/>
        <v>-142.48710872293529</v>
      </c>
      <c r="M76" s="1847">
        <f t="shared" si="76"/>
        <v>-163.10589866240409</v>
      </c>
      <c r="N76" s="1847">
        <f t="shared" si="76"/>
        <v>-133.45028072378514</v>
      </c>
      <c r="O76" s="1847">
        <f t="shared" si="76"/>
        <v>0</v>
      </c>
      <c r="P76" s="1847">
        <f t="shared" si="76"/>
        <v>0</v>
      </c>
      <c r="Q76" s="1847">
        <f t="shared" si="76"/>
        <v>0</v>
      </c>
      <c r="R76" s="1847">
        <f t="shared" si="76"/>
        <v>0</v>
      </c>
      <c r="S76" s="1821"/>
      <c r="U76" s="1578"/>
      <c r="V76" s="1578"/>
    </row>
    <row r="77" spans="1:22" hidden="1" outlineLevel="1">
      <c r="A77" s="2303"/>
      <c r="B77" s="1864" t="s">
        <v>7070</v>
      </c>
      <c r="C77" s="1821"/>
      <c r="D77" s="1821"/>
      <c r="E77" s="1821"/>
      <c r="F77" s="1821"/>
      <c r="G77" s="1830"/>
      <c r="H77" s="1830">
        <f>SUM(H78:H82)</f>
        <v>-3.3500000000000032</v>
      </c>
      <c r="I77" s="1830">
        <f>SUM(I78:I82)</f>
        <v>-9.6870129600743553</v>
      </c>
      <c r="J77" s="1830">
        <f t="shared" ref="J77:P77" si="77">SUM(J78:J82)</f>
        <v>-30.890680261671367</v>
      </c>
      <c r="K77" s="1830">
        <f t="shared" si="77"/>
        <v>-54.040394172505657</v>
      </c>
      <c r="L77" s="1830">
        <f t="shared" si="77"/>
        <v>-142.92828524826299</v>
      </c>
      <c r="M77" s="1830">
        <f t="shared" si="77"/>
        <v>-267.9376181271241</v>
      </c>
      <c r="N77" s="1830">
        <f t="shared" si="77"/>
        <v>-257.94671450211507</v>
      </c>
      <c r="O77" s="1830">
        <f t="shared" si="77"/>
        <v>-315.71416092693215</v>
      </c>
      <c r="P77" s="1830">
        <f t="shared" si="77"/>
        <v>-372.81365332459995</v>
      </c>
      <c r="Q77" s="1830">
        <f t="shared" ref="Q77" si="78">SUM(Q78:Q82)</f>
        <v>-425.94262685496335</v>
      </c>
      <c r="R77" s="1830">
        <f t="shared" ref="R77" si="79">SUM(R78:R82)</f>
        <v>-474.49914258503088</v>
      </c>
      <c r="S77" s="1821"/>
      <c r="U77" s="1578"/>
      <c r="V77" s="1578"/>
    </row>
    <row r="78" spans="1:22" hidden="1" outlineLevel="1">
      <c r="A78" s="2303"/>
      <c r="B78" s="1958" t="s">
        <v>7152</v>
      </c>
      <c r="C78" s="1846"/>
      <c r="D78" s="1846"/>
      <c r="E78" s="1846"/>
      <c r="F78" s="1846"/>
      <c r="G78" s="1847"/>
      <c r="H78" s="1847"/>
      <c r="I78" s="1847">
        <f t="shared" ref="I78:R78" si="80">-H11*(1-I65)</f>
        <v>-0.63000000000000056</v>
      </c>
      <c r="J78" s="1847">
        <f t="shared" si="80"/>
        <v>-1.2126163000000012</v>
      </c>
      <c r="K78" s="1847">
        <f t="shared" si="80"/>
        <v>-1.0965655414499986</v>
      </c>
      <c r="L78" s="1847">
        <f t="shared" si="80"/>
        <v>-2.3965468726574972</v>
      </c>
      <c r="M78" s="1847">
        <f t="shared" si="80"/>
        <v>-7.6011581162100779</v>
      </c>
      <c r="N78" s="1847">
        <f t="shared" si="80"/>
        <v>-7.768463841686561</v>
      </c>
      <c r="O78" s="1847">
        <f t="shared" si="80"/>
        <v>-9.6973913772516731</v>
      </c>
      <c r="P78" s="1847">
        <f t="shared" si="80"/>
        <v>-10.788320303190707</v>
      </c>
      <c r="Q78" s="1847">
        <f t="shared" si="80"/>
        <v>-11.575201354489201</v>
      </c>
      <c r="R78" s="1847">
        <f t="shared" si="80"/>
        <v>-12.33600132388735</v>
      </c>
      <c r="S78" s="1821"/>
      <c r="U78" s="1578"/>
      <c r="V78" s="1578"/>
    </row>
    <row r="79" spans="1:22" hidden="1" outlineLevel="1">
      <c r="A79" s="2303"/>
      <c r="B79" s="1958" t="s">
        <v>7069</v>
      </c>
      <c r="C79" s="1846"/>
      <c r="D79" s="1846"/>
      <c r="E79" s="1846"/>
      <c r="F79" s="1846"/>
      <c r="G79" s="1847"/>
      <c r="H79" s="1847"/>
      <c r="I79" s="1847">
        <f t="shared" ref="I79:R79" si="81">-H12*(1-I66)</f>
        <v>-2.0700000000000007</v>
      </c>
      <c r="J79" s="1847">
        <f t="shared" si="81"/>
        <v>-2.6095820399999998</v>
      </c>
      <c r="K79" s="1847">
        <f t="shared" si="81"/>
        <v>-2.3284640174399986</v>
      </c>
      <c r="L79" s="1847">
        <f t="shared" si="81"/>
        <v>-6.4775776425407967</v>
      </c>
      <c r="M79" s="1847">
        <f t="shared" si="81"/>
        <v>-24.490723074928116</v>
      </c>
      <c r="N79" s="1847">
        <f t="shared" si="81"/>
        <v>-27.639693596413757</v>
      </c>
      <c r="O79" s="1847">
        <f t="shared" si="81"/>
        <v>-33.667987362565327</v>
      </c>
      <c r="P79" s="1847">
        <f t="shared" si="81"/>
        <v>-38.538381148607861</v>
      </c>
      <c r="Q79" s="1847">
        <f t="shared" si="81"/>
        <v>-43.094781759517467</v>
      </c>
      <c r="R79" s="1847">
        <f t="shared" si="81"/>
        <v>-47.363065032582291</v>
      </c>
      <c r="S79" s="1821"/>
      <c r="U79" s="1578"/>
      <c r="V79" s="1578"/>
    </row>
    <row r="80" spans="1:22" hidden="1" outlineLevel="1">
      <c r="A80" s="2303"/>
      <c r="B80" s="1958" t="s">
        <v>7068</v>
      </c>
      <c r="C80" s="1846"/>
      <c r="D80" s="1846"/>
      <c r="E80" s="1846"/>
      <c r="F80" s="1846"/>
      <c r="G80" s="1847"/>
      <c r="H80" s="1847"/>
      <c r="I80" s="1847">
        <f t="shared" ref="I80:R80" si="82">-H13*(1-I67)</f>
        <v>-2.7</v>
      </c>
      <c r="J80" s="1847">
        <f t="shared" si="82"/>
        <v>-21.296184479999997</v>
      </c>
      <c r="K80" s="1847">
        <f t="shared" si="82"/>
        <v>-41.480562773610011</v>
      </c>
      <c r="L80" s="1847">
        <f t="shared" si="82"/>
        <v>-106.10528231593435</v>
      </c>
      <c r="M80" s="1847">
        <f t="shared" si="82"/>
        <v>-178.32687093144878</v>
      </c>
      <c r="N80" s="1847">
        <f t="shared" si="82"/>
        <v>-161.650496729401</v>
      </c>
      <c r="O80" s="1847">
        <f t="shared" si="82"/>
        <v>-192.24688944102755</v>
      </c>
      <c r="P80" s="1847">
        <f t="shared" si="82"/>
        <v>-223.29019882733485</v>
      </c>
      <c r="Q80" s="1847">
        <f t="shared" si="82"/>
        <v>-251.07159347359567</v>
      </c>
      <c r="R80" s="1847">
        <f t="shared" si="82"/>
        <v>-275.29852816762087</v>
      </c>
      <c r="S80" s="1821"/>
      <c r="U80" s="1578"/>
      <c r="V80" s="1578"/>
    </row>
    <row r="81" spans="1:28" collapsed="1">
      <c r="A81" s="2303"/>
      <c r="B81" s="1958" t="s">
        <v>7027</v>
      </c>
      <c r="C81" s="1846"/>
      <c r="D81" s="1846"/>
      <c r="E81" s="1846"/>
      <c r="F81" s="1846"/>
      <c r="G81" s="1847"/>
      <c r="H81" s="1847">
        <f t="shared" ref="H81:R81" si="83">-(1-H68)*G18</f>
        <v>-3.150000000000003</v>
      </c>
      <c r="I81" s="1847">
        <f t="shared" si="83"/>
        <v>-3.3750000000000022</v>
      </c>
      <c r="J81" s="1847">
        <f t="shared" si="83"/>
        <v>-4.1665589999999977</v>
      </c>
      <c r="K81" s="1847">
        <f t="shared" si="83"/>
        <v>-5.5150547999999979</v>
      </c>
      <c r="L81" s="1847">
        <f t="shared" si="83"/>
        <v>-20.464506704399994</v>
      </c>
      <c r="M81" s="1847">
        <f t="shared" si="83"/>
        <v>-43.354396514768958</v>
      </c>
      <c r="N81" s="1847">
        <f t="shared" si="83"/>
        <v>-41.304022415185869</v>
      </c>
      <c r="O81" s="1847">
        <f t="shared" si="83"/>
        <v>-46.499777159675631</v>
      </c>
      <c r="P81" s="1847">
        <f t="shared" si="83"/>
        <v>-54.359797465565563</v>
      </c>
      <c r="Q81" s="1847">
        <f t="shared" si="83"/>
        <v>-63.532582019396649</v>
      </c>
      <c r="R81" s="1847">
        <f t="shared" si="83"/>
        <v>-72.881930239502282</v>
      </c>
      <c r="S81" s="1821"/>
      <c r="U81" s="1578"/>
      <c r="V81" s="1578"/>
    </row>
    <row r="82" spans="1:28">
      <c r="A82" s="2303"/>
      <c r="B82" s="1958" t="s">
        <v>7028</v>
      </c>
      <c r="C82" s="1846"/>
      <c r="D82" s="1846"/>
      <c r="E82" s="1846"/>
      <c r="F82" s="1846"/>
      <c r="G82" s="1847"/>
      <c r="H82" s="1847">
        <f t="shared" ref="H82:R82" si="84">-(1-H69)*G19</f>
        <v>-0.20000000000000018</v>
      </c>
      <c r="I82" s="1847">
        <f t="shared" si="84"/>
        <v>-0.91201296007435062</v>
      </c>
      <c r="J82" s="1847">
        <f t="shared" si="84"/>
        <v>-1.6057384416713727</v>
      </c>
      <c r="K82" s="1847">
        <f t="shared" si="84"/>
        <v>-3.6197470400056462</v>
      </c>
      <c r="L82" s="1847">
        <f t="shared" si="84"/>
        <v>-7.4843717127303595</v>
      </c>
      <c r="M82" s="1847">
        <f t="shared" si="84"/>
        <v>-14.164469489768205</v>
      </c>
      <c r="N82" s="1847">
        <f t="shared" si="84"/>
        <v>-19.5840379194279</v>
      </c>
      <c r="O82" s="1847">
        <f t="shared" si="84"/>
        <v>-33.602115586411948</v>
      </c>
      <c r="P82" s="1847">
        <f t="shared" si="84"/>
        <v>-45.836955579900973</v>
      </c>
      <c r="Q82" s="1847">
        <f t="shared" si="84"/>
        <v>-56.668468247964327</v>
      </c>
      <c r="R82" s="1847">
        <f t="shared" si="84"/>
        <v>-66.619617821438041</v>
      </c>
      <c r="S82" s="1821"/>
      <c r="U82" s="1578"/>
      <c r="V82" s="1578"/>
    </row>
    <row r="83" spans="1:28">
      <c r="A83" s="2303"/>
      <c r="B83" s="1829"/>
      <c r="C83" s="1821"/>
      <c r="D83" s="1821"/>
      <c r="E83" s="1821"/>
      <c r="F83" s="1821"/>
      <c r="G83" s="1830"/>
      <c r="H83" s="1821"/>
      <c r="I83" s="1820"/>
      <c r="J83" s="1820"/>
      <c r="K83" s="1820"/>
      <c r="L83" s="1820"/>
      <c r="M83" s="1820"/>
      <c r="N83" s="1830"/>
      <c r="O83" s="1830"/>
      <c r="P83" s="1830"/>
      <c r="Q83" s="1830"/>
      <c r="R83" s="1830"/>
      <c r="S83" s="1821"/>
      <c r="U83" s="1578"/>
      <c r="V83" s="1578"/>
    </row>
    <row r="84" spans="1:28">
      <c r="A84" s="1821"/>
      <c r="B84" s="1854" t="s">
        <v>7078</v>
      </c>
      <c r="C84" s="1855"/>
      <c r="D84" s="1855"/>
      <c r="E84" s="1855"/>
      <c r="F84" s="1855"/>
      <c r="G84" s="1856"/>
      <c r="H84" s="1856">
        <f>H37+H72+H47+H55</f>
        <v>71.577466275214562</v>
      </c>
      <c r="I84" s="1857">
        <f>I37+I72+I47+I55+I57</f>
        <v>385.21523278992555</v>
      </c>
      <c r="J84" s="1857">
        <f>J37+J72+J47+J55+J57</f>
        <v>344.5937091056287</v>
      </c>
      <c r="K84" s="1857">
        <f t="shared" ref="K84:R84" si="85">K37+K72+K47+K55+K57+K90</f>
        <v>520.78269794655637</v>
      </c>
      <c r="L84" s="1857">
        <f t="shared" si="85"/>
        <v>611.52014365296304</v>
      </c>
      <c r="M84" s="1857">
        <f t="shared" si="85"/>
        <v>541.90327107315443</v>
      </c>
      <c r="N84" s="1857">
        <f t="shared" si="85"/>
        <v>584.38704601816357</v>
      </c>
      <c r="O84" s="1857">
        <f t="shared" si="85"/>
        <v>600.95543120428817</v>
      </c>
      <c r="P84" s="1857">
        <f t="shared" si="85"/>
        <v>557.92113015471818</v>
      </c>
      <c r="Q84" s="1857">
        <f t="shared" si="85"/>
        <v>514.09950445914808</v>
      </c>
      <c r="R84" s="1858">
        <f t="shared" si="85"/>
        <v>474.94341004222167</v>
      </c>
      <c r="S84" s="1821"/>
      <c r="U84" s="1578"/>
      <c r="V84" s="1578"/>
    </row>
    <row r="85" spans="1:28" s="2114" customFormat="1">
      <c r="A85" s="1821"/>
      <c r="B85" s="1829"/>
      <c r="C85" s="1821"/>
      <c r="D85" s="1821"/>
      <c r="E85" s="1821"/>
      <c r="F85" s="1821"/>
      <c r="G85" s="1830"/>
      <c r="H85" s="1830"/>
      <c r="I85" s="2116"/>
      <c r="J85" s="2116"/>
      <c r="K85" s="2116"/>
      <c r="L85" s="2116"/>
      <c r="M85" s="2116"/>
      <c r="N85" s="2116"/>
      <c r="O85" s="2116"/>
      <c r="P85" s="2116"/>
      <c r="Q85" s="2116"/>
      <c r="R85" s="2116"/>
      <c r="S85" s="1821"/>
      <c r="U85" s="1578"/>
      <c r="V85" s="1578"/>
    </row>
    <row r="86" spans="1:28" hidden="1" outlineLevel="1">
      <c r="A86" s="1821"/>
      <c r="B86" s="1829"/>
      <c r="C86" s="1821"/>
      <c r="D86" s="1821"/>
      <c r="E86" s="1821"/>
      <c r="F86" s="1821"/>
      <c r="G86" s="1830"/>
      <c r="H86" s="1822"/>
      <c r="I86" s="1872"/>
      <c r="J86" s="2099"/>
      <c r="K86" s="2099"/>
      <c r="L86" s="2099"/>
      <c r="M86" s="2099"/>
      <c r="N86" s="2099"/>
      <c r="O86" s="2099"/>
      <c r="P86" s="2099"/>
      <c r="Q86" s="2099"/>
      <c r="R86" s="2099"/>
      <c r="S86" s="1821"/>
      <c r="U86" s="1578"/>
      <c r="V86" s="1578"/>
    </row>
    <row r="87" spans="1:28" ht="13.5" hidden="1" customHeight="1" outlineLevel="1">
      <c r="A87" s="2304" t="s">
        <v>7165</v>
      </c>
      <c r="B87" s="1829" t="s">
        <v>7132</v>
      </c>
      <c r="C87" s="1821"/>
      <c r="D87" s="1821"/>
      <c r="E87" s="1821"/>
      <c r="F87" s="1821"/>
      <c r="G87" s="1830"/>
      <c r="H87" s="1830"/>
      <c r="I87" s="1830"/>
      <c r="J87" s="1820"/>
      <c r="K87" s="1830"/>
      <c r="L87" s="1830"/>
      <c r="M87" s="1830"/>
      <c r="N87" s="1830"/>
      <c r="O87" s="1830"/>
      <c r="P87" s="1830"/>
      <c r="Q87" s="1830"/>
      <c r="R87" s="1830"/>
      <c r="S87" s="1821"/>
      <c r="U87" s="1578"/>
      <c r="V87" s="1578"/>
    </row>
    <row r="88" spans="1:28" hidden="1" outlineLevel="1">
      <c r="A88" s="2304"/>
      <c r="B88" s="1957" t="s">
        <v>7026</v>
      </c>
      <c r="C88" s="1821"/>
      <c r="D88" s="1821"/>
      <c r="E88" s="1821"/>
      <c r="F88" s="1821"/>
      <c r="G88" s="1830"/>
      <c r="H88" s="1830"/>
      <c r="I88" s="1830"/>
      <c r="J88" s="1820"/>
      <c r="K88" s="1830">
        <f t="shared" ref="K88:R88" si="86">K73</f>
        <v>-212.66753054223503</v>
      </c>
      <c r="L88" s="1830">
        <f t="shared" si="86"/>
        <v>-569.85668200123916</v>
      </c>
      <c r="M88" s="1830">
        <f t="shared" si="86"/>
        <v>-731.47383078688688</v>
      </c>
      <c r="N88" s="1830">
        <f t="shared" si="86"/>
        <v>-664.31321262362439</v>
      </c>
      <c r="O88" s="1830">
        <f t="shared" si="86"/>
        <v>-52.717342087664406</v>
      </c>
      <c r="P88" s="1830">
        <f t="shared" si="86"/>
        <v>0</v>
      </c>
      <c r="Q88" s="1830">
        <f t="shared" si="86"/>
        <v>0</v>
      </c>
      <c r="R88" s="1830">
        <f t="shared" si="86"/>
        <v>0</v>
      </c>
      <c r="S88" s="1821"/>
      <c r="T88" s="333"/>
      <c r="U88" s="1578"/>
      <c r="V88" s="1578"/>
    </row>
    <row r="89" spans="1:28" collapsed="1">
      <c r="A89" s="2304"/>
      <c r="B89" s="2098" t="s">
        <v>7133</v>
      </c>
      <c r="C89" s="1821"/>
      <c r="D89" s="1821"/>
      <c r="E89" s="1821"/>
      <c r="F89" s="1821"/>
      <c r="G89" s="1830"/>
      <c r="H89" s="1830"/>
      <c r="I89" s="1830"/>
      <c r="J89" s="1820"/>
      <c r="K89" s="1841">
        <v>0.2</v>
      </c>
      <c r="L89" s="1841">
        <v>0.85799999999999998</v>
      </c>
      <c r="M89" s="2100">
        <f>L89+5%</f>
        <v>0.90800000000000003</v>
      </c>
      <c r="N89" s="2100">
        <f>M89</f>
        <v>0.90800000000000003</v>
      </c>
      <c r="O89" s="2100">
        <f>N89</f>
        <v>0.90800000000000003</v>
      </c>
      <c r="P89" s="2100">
        <f>O89</f>
        <v>0.90800000000000003</v>
      </c>
      <c r="Q89" s="1841">
        <f t="shared" ref="Q89:R89" si="87">P89</f>
        <v>0.90800000000000003</v>
      </c>
      <c r="R89" s="1841">
        <f t="shared" si="87"/>
        <v>0.90800000000000003</v>
      </c>
      <c r="S89" s="1821"/>
      <c r="U89" s="1578"/>
      <c r="V89" s="1578"/>
    </row>
    <row r="90" spans="1:28" hidden="1" outlineLevel="1">
      <c r="A90" s="2304"/>
      <c r="B90" s="1957" t="s">
        <v>7134</v>
      </c>
      <c r="C90" s="1821"/>
      <c r="D90" s="1821"/>
      <c r="E90" s="1821"/>
      <c r="F90" s="1821"/>
      <c r="G90" s="1830"/>
      <c r="H90" s="1830"/>
      <c r="I90" s="1830"/>
      <c r="J90" s="1820"/>
      <c r="K90" s="1830">
        <f>-K89*K88</f>
        <v>42.533506108447007</v>
      </c>
      <c r="L90" s="1830">
        <f>-L89*L88</f>
        <v>488.93703315706318</v>
      </c>
      <c r="M90" s="1830">
        <f>-M89*M88</f>
        <v>664.17823835449326</v>
      </c>
      <c r="N90" s="1830">
        <f t="shared" ref="N90:Q90" si="88">-N89*N88</f>
        <v>603.19639706225098</v>
      </c>
      <c r="O90" s="1830">
        <f t="shared" si="88"/>
        <v>47.867346615599281</v>
      </c>
      <c r="P90" s="1830">
        <f t="shared" si="88"/>
        <v>0</v>
      </c>
      <c r="Q90" s="1830">
        <f t="shared" si="88"/>
        <v>0</v>
      </c>
      <c r="R90" s="1830">
        <f t="shared" ref="R90" si="89">-R89*R88</f>
        <v>0</v>
      </c>
      <c r="S90" s="1821"/>
      <c r="U90" s="1578"/>
      <c r="V90" s="1578"/>
      <c r="W90" s="1578"/>
      <c r="X90" s="1578"/>
    </row>
    <row r="91" spans="1:28" hidden="1" outlineLevel="1">
      <c r="A91" s="2304"/>
      <c r="B91" s="1845" t="s">
        <v>7151</v>
      </c>
      <c r="C91" s="1846"/>
      <c r="D91" s="1846"/>
      <c r="E91" s="1846"/>
      <c r="F91" s="1846"/>
      <c r="G91" s="1847"/>
      <c r="H91" s="1847"/>
      <c r="I91" s="1847"/>
      <c r="J91" s="1847"/>
      <c r="K91" s="1847">
        <f t="shared" ref="K91:R91" si="90">K$90*K92</f>
        <v>19.140077748801154</v>
      </c>
      <c r="L91" s="1847">
        <f t="shared" si="90"/>
        <v>239.57914624696096</v>
      </c>
      <c r="M91" s="1847">
        <f t="shared" si="90"/>
        <v>391.86516062915098</v>
      </c>
      <c r="N91" s="1847">
        <f t="shared" si="90"/>
        <v>367.94980220797311</v>
      </c>
      <c r="O91" s="1847">
        <f t="shared" si="90"/>
        <v>29.199081435515559</v>
      </c>
      <c r="P91" s="1847">
        <f t="shared" si="90"/>
        <v>0</v>
      </c>
      <c r="Q91" s="1847">
        <f t="shared" si="90"/>
        <v>0</v>
      </c>
      <c r="R91" s="1847">
        <f t="shared" si="90"/>
        <v>0</v>
      </c>
      <c r="S91" s="1821"/>
      <c r="U91" s="1578"/>
      <c r="V91" s="1578"/>
      <c r="W91" s="2207"/>
    </row>
    <row r="92" spans="1:28" hidden="1" outlineLevel="1">
      <c r="A92" s="2304"/>
      <c r="B92" s="1848" t="s">
        <v>7135</v>
      </c>
      <c r="C92" s="1846"/>
      <c r="D92" s="1846"/>
      <c r="E92" s="1846"/>
      <c r="F92" s="1846"/>
      <c r="G92" s="1847"/>
      <c r="H92" s="1849"/>
      <c r="I92" s="1849"/>
      <c r="J92" s="1849"/>
      <c r="K92" s="1849">
        <v>0.45</v>
      </c>
      <c r="L92" s="1849">
        <v>0.49</v>
      </c>
      <c r="M92" s="1849">
        <f>L92+0.1</f>
        <v>0.59</v>
      </c>
      <c r="N92" s="1849">
        <f>M92+0.02</f>
        <v>0.61</v>
      </c>
      <c r="O92" s="1849">
        <f>N92</f>
        <v>0.61</v>
      </c>
      <c r="P92" s="1849">
        <f t="shared" ref="P92:R92" si="91">O92</f>
        <v>0.61</v>
      </c>
      <c r="Q92" s="1849">
        <f t="shared" si="91"/>
        <v>0.61</v>
      </c>
      <c r="R92" s="1849">
        <f t="shared" si="91"/>
        <v>0.61</v>
      </c>
      <c r="S92" s="1821"/>
      <c r="U92" s="1578"/>
      <c r="V92" s="1578"/>
    </row>
    <row r="93" spans="1:28" hidden="1" outlineLevel="1">
      <c r="A93" s="2304"/>
      <c r="B93" s="1845" t="s">
        <v>7006</v>
      </c>
      <c r="C93" s="1846"/>
      <c r="D93" s="1846"/>
      <c r="E93" s="1846"/>
      <c r="F93" s="1846"/>
      <c r="G93" s="1847"/>
      <c r="H93" s="1847"/>
      <c r="I93" s="1847"/>
      <c r="J93" s="1847"/>
      <c r="K93" s="1847">
        <f t="shared" ref="K93:R93" si="92">K$90*K94</f>
        <v>14.886727137956452</v>
      </c>
      <c r="L93" s="1847">
        <f t="shared" si="92"/>
        <v>171.12796160497211</v>
      </c>
      <c r="M93" s="1847">
        <f t="shared" si="92"/>
        <v>232.46238342407261</v>
      </c>
      <c r="N93" s="1847">
        <f t="shared" si="92"/>
        <v>211.11873897178782</v>
      </c>
      <c r="O93" s="1847">
        <f t="shared" si="92"/>
        <v>16.753571315459748</v>
      </c>
      <c r="P93" s="1847">
        <f t="shared" si="92"/>
        <v>0</v>
      </c>
      <c r="Q93" s="1847">
        <f t="shared" si="92"/>
        <v>0</v>
      </c>
      <c r="R93" s="1847">
        <f t="shared" si="92"/>
        <v>0</v>
      </c>
      <c r="S93" s="1821"/>
      <c r="U93" s="1578"/>
      <c r="V93" s="1578"/>
    </row>
    <row r="94" spans="1:28" hidden="1" outlineLevel="1">
      <c r="A94" s="2304"/>
      <c r="B94" s="1848" t="s">
        <v>7135</v>
      </c>
      <c r="C94" s="1846"/>
      <c r="D94" s="1846"/>
      <c r="E94" s="1846"/>
      <c r="F94" s="1846"/>
      <c r="G94" s="1847"/>
      <c r="H94" s="1849"/>
      <c r="I94" s="1849"/>
      <c r="J94" s="1849"/>
      <c r="K94" s="1849">
        <v>0.35</v>
      </c>
      <c r="L94" s="1849">
        <v>0.35</v>
      </c>
      <c r="M94" s="1849">
        <f>L94</f>
        <v>0.35</v>
      </c>
      <c r="N94" s="1849">
        <f t="shared" ref="N94:R94" si="93">M94</f>
        <v>0.35</v>
      </c>
      <c r="O94" s="1849">
        <f t="shared" si="93"/>
        <v>0.35</v>
      </c>
      <c r="P94" s="1849">
        <f t="shared" si="93"/>
        <v>0.35</v>
      </c>
      <c r="Q94" s="1849">
        <f t="shared" si="93"/>
        <v>0.35</v>
      </c>
      <c r="R94" s="1849">
        <f t="shared" si="93"/>
        <v>0.35</v>
      </c>
      <c r="S94" s="1821"/>
      <c r="U94" s="1578"/>
      <c r="V94" s="1578"/>
    </row>
    <row r="95" spans="1:28" collapsed="1">
      <c r="A95" s="2304"/>
      <c r="B95" s="1845" t="s">
        <v>7007</v>
      </c>
      <c r="C95" s="1846"/>
      <c r="D95" s="1846"/>
      <c r="E95" s="1846"/>
      <c r="F95" s="1846"/>
      <c r="G95" s="1847"/>
      <c r="H95" s="1847"/>
      <c r="I95" s="1847"/>
      <c r="J95" s="1847"/>
      <c r="K95" s="1847">
        <f t="shared" ref="K95:R95" si="94">K$90*K96</f>
        <v>8.5067012216893989</v>
      </c>
      <c r="L95" s="1847">
        <f t="shared" si="94"/>
        <v>78.229925305130124</v>
      </c>
      <c r="M95" s="1847">
        <f t="shared" si="94"/>
        <v>39.850694301269634</v>
      </c>
      <c r="N95" s="1847">
        <f t="shared" si="94"/>
        <v>24.12785588249006</v>
      </c>
      <c r="O95" s="1847">
        <f t="shared" si="94"/>
        <v>1.9146938646239728</v>
      </c>
      <c r="P95" s="1847">
        <f t="shared" si="94"/>
        <v>0</v>
      </c>
      <c r="Q95" s="1847">
        <f t="shared" si="94"/>
        <v>0</v>
      </c>
      <c r="R95" s="1847">
        <f t="shared" si="94"/>
        <v>0</v>
      </c>
      <c r="S95" s="1821"/>
      <c r="U95" s="1578"/>
      <c r="V95" s="1578"/>
      <c r="X95" s="1788"/>
      <c r="AA95" s="2203"/>
      <c r="AB95" s="2203"/>
    </row>
    <row r="96" spans="1:28">
      <c r="A96" s="2304"/>
      <c r="B96" s="1848" t="s">
        <v>7135</v>
      </c>
      <c r="C96" s="1846"/>
      <c r="D96" s="1846"/>
      <c r="E96" s="1846"/>
      <c r="F96" s="1846"/>
      <c r="G96" s="1847"/>
      <c r="H96" s="1849"/>
      <c r="I96" s="1849"/>
      <c r="J96" s="1849"/>
      <c r="K96" s="1849">
        <f>1-SUM(K92,K94)</f>
        <v>0.19999999999999996</v>
      </c>
      <c r="L96" s="1849">
        <f>1-SUM(L92,L94)</f>
        <v>0.16000000000000003</v>
      </c>
      <c r="M96" s="1849">
        <f t="shared" ref="M96:Q96" si="95">1-SUM(M92,M94)</f>
        <v>6.0000000000000053E-2</v>
      </c>
      <c r="N96" s="1849">
        <f t="shared" si="95"/>
        <v>4.0000000000000036E-2</v>
      </c>
      <c r="O96" s="1849">
        <f t="shared" si="95"/>
        <v>4.0000000000000036E-2</v>
      </c>
      <c r="P96" s="1849">
        <f t="shared" si="95"/>
        <v>4.0000000000000036E-2</v>
      </c>
      <c r="Q96" s="1849">
        <f t="shared" si="95"/>
        <v>4.0000000000000036E-2</v>
      </c>
      <c r="R96" s="1849">
        <f t="shared" ref="R96" si="96">1-SUM(R92,R94)</f>
        <v>4.0000000000000036E-2</v>
      </c>
      <c r="S96" s="1821"/>
      <c r="T96" s="2101"/>
      <c r="U96" s="1578"/>
      <c r="V96" s="1578"/>
      <c r="Z96" s="1788"/>
    </row>
    <row r="97" spans="1:27">
      <c r="A97" s="1821"/>
      <c r="B97" s="1829"/>
      <c r="C97" s="1821"/>
      <c r="D97" s="1821"/>
      <c r="E97" s="1821"/>
      <c r="F97" s="1821"/>
      <c r="G97" s="1830"/>
      <c r="H97" s="1830"/>
      <c r="I97" s="1830"/>
      <c r="J97" s="1820"/>
      <c r="K97" s="1830"/>
      <c r="L97" s="1830"/>
      <c r="M97" s="1830"/>
      <c r="N97" s="1830"/>
      <c r="O97" s="1830"/>
      <c r="P97" s="1830"/>
      <c r="Q97" s="1830"/>
      <c r="R97" s="1830"/>
      <c r="S97" s="1821"/>
      <c r="T97" s="2191"/>
      <c r="U97" s="2190"/>
      <c r="V97" s="2190"/>
      <c r="W97" s="1789"/>
      <c r="X97" s="2191"/>
      <c r="Y97" s="1789"/>
      <c r="AA97" s="2203"/>
    </row>
    <row r="98" spans="1:27">
      <c r="A98" s="1821"/>
      <c r="B98" s="1829" t="s">
        <v>7056</v>
      </c>
      <c r="C98" s="1821"/>
      <c r="D98" s="1821"/>
      <c r="E98" s="1821"/>
      <c r="F98" s="1821"/>
      <c r="G98" s="1822"/>
      <c r="H98" s="1822"/>
      <c r="I98" s="1822"/>
      <c r="J98" s="1822"/>
      <c r="K98" s="1822"/>
      <c r="L98" s="1822"/>
      <c r="M98" s="1822"/>
      <c r="N98" s="1822"/>
      <c r="O98" s="1913">
        <f>O101/L101-1</f>
        <v>0.38600000000000012</v>
      </c>
      <c r="P98" s="1822"/>
      <c r="Q98" s="1822"/>
      <c r="R98" s="1822"/>
      <c r="S98" s="1821"/>
      <c r="T98" s="1789"/>
      <c r="U98" s="2190"/>
      <c r="V98" s="2190"/>
      <c r="W98" s="1789"/>
      <c r="X98" s="1789"/>
      <c r="Y98" s="1789"/>
    </row>
    <row r="99" spans="1:27" hidden="1" outlineLevel="1">
      <c r="A99" s="1821"/>
      <c r="B99" s="1861" t="s">
        <v>7030</v>
      </c>
      <c r="C99" s="1821"/>
      <c r="D99" s="1821"/>
      <c r="E99" s="1821"/>
      <c r="F99" s="1821"/>
      <c r="G99" s="1862"/>
      <c r="H99" s="1862">
        <v>2282</v>
      </c>
      <c r="I99" s="1862">
        <f>H99*(1+I100)</f>
        <v>2624.2999999999997</v>
      </c>
      <c r="J99" s="1862">
        <f>I99*(1+J100)</f>
        <v>3391.9077499999994</v>
      </c>
      <c r="K99" s="1862">
        <f>J99*(1+K100)</f>
        <v>3968.5320674999989</v>
      </c>
      <c r="L99" s="1970"/>
      <c r="M99" s="1970"/>
      <c r="N99" s="1862"/>
      <c r="O99" s="1862"/>
      <c r="P99" s="1862"/>
      <c r="Q99" s="1862"/>
      <c r="R99" s="1862"/>
      <c r="S99" s="1821"/>
      <c r="T99" s="1789"/>
      <c r="U99" s="2190"/>
      <c r="V99" s="2190"/>
      <c r="W99" s="1789"/>
      <c r="X99" s="1789"/>
      <c r="Y99" s="1789"/>
    </row>
    <row r="100" spans="1:27" hidden="1" outlineLevel="1">
      <c r="A100" s="2305" t="s">
        <v>7153</v>
      </c>
      <c r="B100" s="1908" t="s">
        <v>372</v>
      </c>
      <c r="C100" s="1909"/>
      <c r="D100" s="1909"/>
      <c r="E100" s="1909"/>
      <c r="F100" s="1909"/>
      <c r="G100" s="1909"/>
      <c r="H100" s="1910"/>
      <c r="I100" s="1913">
        <v>0.15</v>
      </c>
      <c r="J100" s="1913">
        <v>0.29249999999999998</v>
      </c>
      <c r="K100" s="1913">
        <v>0.17</v>
      </c>
      <c r="L100" s="1913"/>
      <c r="M100" s="1910"/>
      <c r="N100" s="1910"/>
      <c r="O100" s="1910"/>
      <c r="P100" s="1910"/>
      <c r="Q100" s="1910"/>
      <c r="R100" s="1910"/>
      <c r="S100" s="1911"/>
      <c r="T100" s="1789"/>
      <c r="U100" s="2190"/>
      <c r="V100" s="2190"/>
      <c r="W100" s="1789"/>
      <c r="X100" s="1789"/>
      <c r="Y100" s="1789"/>
    </row>
    <row r="101" spans="1:27" collapsed="1">
      <c r="A101" s="2305"/>
      <c r="B101" s="1861" t="s">
        <v>7155</v>
      </c>
      <c r="C101" s="1821"/>
      <c r="D101" s="1821"/>
      <c r="E101" s="1821"/>
      <c r="F101" s="1821"/>
      <c r="G101" s="1862"/>
      <c r="H101" s="1862">
        <v>682</v>
      </c>
      <c r="I101" s="1862">
        <f t="shared" ref="I101:R101" si="97">H101*(1+I102)</f>
        <v>750.2</v>
      </c>
      <c r="J101" s="1862">
        <f t="shared" si="97"/>
        <v>761.45299999999997</v>
      </c>
      <c r="K101" s="1862">
        <f t="shared" si="97"/>
        <v>776.68205999999998</v>
      </c>
      <c r="L101" s="1862">
        <f t="shared" si="97"/>
        <v>815.51616300000001</v>
      </c>
      <c r="M101" s="1862">
        <f t="shared" si="97"/>
        <v>897.0677793000001</v>
      </c>
      <c r="N101" s="1862">
        <f t="shared" si="97"/>
        <v>1076.4813351600001</v>
      </c>
      <c r="O101" s="1862">
        <f t="shared" si="97"/>
        <v>1130.3054019180001</v>
      </c>
      <c r="P101" s="1862">
        <f t="shared" si="97"/>
        <v>1186.8206720139001</v>
      </c>
      <c r="Q101" s="1862">
        <f t="shared" si="97"/>
        <v>1246.1617056145951</v>
      </c>
      <c r="R101" s="1862">
        <f t="shared" si="97"/>
        <v>1308.4697908953249</v>
      </c>
      <c r="S101" s="1830"/>
      <c r="T101" s="2191"/>
      <c r="U101" s="2190"/>
      <c r="V101" s="2190"/>
      <c r="W101" s="1789"/>
      <c r="X101" s="1789"/>
      <c r="Y101" s="1789"/>
    </row>
    <row r="102" spans="1:27">
      <c r="A102" s="2305"/>
      <c r="B102" s="1908" t="s">
        <v>372</v>
      </c>
      <c r="C102" s="1909"/>
      <c r="D102" s="1909"/>
      <c r="E102" s="1909"/>
      <c r="F102" s="1909"/>
      <c r="G102" s="1909"/>
      <c r="H102" s="1910"/>
      <c r="I102" s="1913">
        <v>0.1</v>
      </c>
      <c r="J102" s="1913">
        <v>1.4999999999999999E-2</v>
      </c>
      <c r="K102" s="1913">
        <v>0.02</v>
      </c>
      <c r="L102" s="1913">
        <v>0.05</v>
      </c>
      <c r="M102" s="1913">
        <v>0.1</v>
      </c>
      <c r="N102" s="1913">
        <v>0.2</v>
      </c>
      <c r="O102" s="1913">
        <v>0.05</v>
      </c>
      <c r="P102" s="1913">
        <v>0.05</v>
      </c>
      <c r="Q102" s="1913">
        <v>0.05</v>
      </c>
      <c r="R102" s="1913">
        <v>0.05</v>
      </c>
      <c r="S102" s="1911"/>
      <c r="T102" s="2191"/>
      <c r="U102" s="2190"/>
      <c r="V102" s="2190"/>
      <c r="W102" s="1789"/>
      <c r="X102" s="1789"/>
      <c r="Y102" s="1789"/>
    </row>
    <row r="103" spans="1:27">
      <c r="A103" s="2305"/>
      <c r="B103" s="1861" t="s">
        <v>7156</v>
      </c>
      <c r="C103" s="1821"/>
      <c r="D103" s="1821"/>
      <c r="E103" s="1821"/>
      <c r="F103" s="1821"/>
      <c r="G103" s="1862"/>
      <c r="H103" s="1862">
        <v>400</v>
      </c>
      <c r="I103" s="1862">
        <f t="shared" ref="I103:R103" si="98">H103*(1+I104)</f>
        <v>461.59999999999997</v>
      </c>
      <c r="J103" s="1862">
        <f t="shared" si="98"/>
        <v>461.59999999999997</v>
      </c>
      <c r="K103" s="1862">
        <f t="shared" si="98"/>
        <v>470.83199999999999</v>
      </c>
      <c r="L103" s="1862">
        <f t="shared" si="98"/>
        <v>494.37360000000001</v>
      </c>
      <c r="M103" s="1862">
        <f t="shared" si="98"/>
        <v>543.81096000000002</v>
      </c>
      <c r="N103" s="1862">
        <f t="shared" si="98"/>
        <v>652.57315200000005</v>
      </c>
      <c r="O103" s="1862">
        <f t="shared" si="98"/>
        <v>685.20180960000005</v>
      </c>
      <c r="P103" s="1862">
        <f t="shared" si="98"/>
        <v>719.46190008000008</v>
      </c>
      <c r="Q103" s="1862">
        <f t="shared" si="98"/>
        <v>755.43499508400009</v>
      </c>
      <c r="R103" s="1862">
        <f t="shared" si="98"/>
        <v>793.20674483820017</v>
      </c>
      <c r="S103" s="1863"/>
      <c r="T103" s="1789"/>
      <c r="U103" s="1996"/>
      <c r="V103" s="1996"/>
      <c r="W103" s="1996"/>
      <c r="X103" s="2190"/>
      <c r="Y103" s="1789"/>
      <c r="AA103" s="2203"/>
    </row>
    <row r="104" spans="1:27">
      <c r="A104" s="2305"/>
      <c r="B104" s="1908" t="s">
        <v>372</v>
      </c>
      <c r="C104" s="1909"/>
      <c r="D104" s="1909"/>
      <c r="E104" s="1909"/>
      <c r="F104" s="1909"/>
      <c r="G104" s="1909"/>
      <c r="H104" s="1910"/>
      <c r="I104" s="1913">
        <v>0.154</v>
      </c>
      <c r="J104" s="1913">
        <v>0</v>
      </c>
      <c r="K104" s="1913">
        <v>0.02</v>
      </c>
      <c r="L104" s="1913">
        <v>0.05</v>
      </c>
      <c r="M104" s="1913">
        <v>0.1</v>
      </c>
      <c r="N104" s="1913">
        <v>0.2</v>
      </c>
      <c r="O104" s="1913">
        <v>0.05</v>
      </c>
      <c r="P104" s="1913">
        <v>0.05</v>
      </c>
      <c r="Q104" s="1913">
        <v>0.05</v>
      </c>
      <c r="R104" s="1913">
        <v>0.05</v>
      </c>
      <c r="S104" s="1911"/>
      <c r="T104" s="1789"/>
      <c r="U104" s="1996"/>
      <c r="V104" s="1996"/>
      <c r="W104" s="1996"/>
      <c r="X104" s="2190"/>
      <c r="Y104" s="1789"/>
      <c r="AA104" s="1578"/>
    </row>
    <row r="105" spans="1:27">
      <c r="A105" s="2305"/>
      <c r="B105" s="1861" t="s">
        <v>7157</v>
      </c>
      <c r="C105" s="1821"/>
      <c r="D105" s="1821"/>
      <c r="E105" s="1821"/>
      <c r="F105" s="1821"/>
      <c r="G105" s="1862"/>
      <c r="H105" s="1862">
        <v>238</v>
      </c>
      <c r="I105" s="1862">
        <f>H105*(1+I106)</f>
        <v>261.8</v>
      </c>
      <c r="J105" s="1862">
        <f t="shared" ref="J105:R105" si="99">I105*(1+J106)</f>
        <v>261.8</v>
      </c>
      <c r="K105" s="1862">
        <f t="shared" si="99"/>
        <v>247.40100000000001</v>
      </c>
      <c r="L105" s="1862">
        <f t="shared" si="99"/>
        <v>259.77105</v>
      </c>
      <c r="M105" s="1862">
        <f t="shared" si="99"/>
        <v>285.74815500000005</v>
      </c>
      <c r="N105" s="1862">
        <f t="shared" si="99"/>
        <v>342.89778600000005</v>
      </c>
      <c r="O105" s="1862">
        <f t="shared" si="99"/>
        <v>360.0426753000001</v>
      </c>
      <c r="P105" s="1862">
        <f t="shared" si="99"/>
        <v>378.04480906500009</v>
      </c>
      <c r="Q105" s="1862">
        <f t="shared" si="99"/>
        <v>396.94704951825014</v>
      </c>
      <c r="R105" s="1862">
        <f t="shared" si="99"/>
        <v>416.79440199416268</v>
      </c>
      <c r="S105" s="1863"/>
      <c r="T105" s="1789"/>
      <c r="U105" s="2190"/>
      <c r="V105" s="2190"/>
      <c r="W105" s="1789"/>
      <c r="X105" s="1789"/>
      <c r="Y105" s="1789"/>
    </row>
    <row r="106" spans="1:27">
      <c r="A106" s="2305"/>
      <c r="B106" s="1908" t="s">
        <v>372</v>
      </c>
      <c r="C106" s="1909"/>
      <c r="D106" s="1909"/>
      <c r="E106" s="1909"/>
      <c r="F106" s="1909"/>
      <c r="G106" s="1909"/>
      <c r="H106" s="1910"/>
      <c r="I106" s="1913">
        <v>0.1</v>
      </c>
      <c r="J106" s="1913">
        <v>0</v>
      </c>
      <c r="K106" s="1913">
        <v>-5.5E-2</v>
      </c>
      <c r="L106" s="1913">
        <v>0.05</v>
      </c>
      <c r="M106" s="1913">
        <v>0.1</v>
      </c>
      <c r="N106" s="1913">
        <v>0.2</v>
      </c>
      <c r="O106" s="1913">
        <v>0.05</v>
      </c>
      <c r="P106" s="1913">
        <v>0.05</v>
      </c>
      <c r="Q106" s="1913">
        <v>0.05</v>
      </c>
      <c r="R106" s="1913">
        <v>0.05</v>
      </c>
      <c r="S106" s="1911"/>
      <c r="U106" s="1578"/>
      <c r="V106" s="1578"/>
    </row>
    <row r="107" spans="1:27">
      <c r="A107" s="2305"/>
      <c r="B107" s="1861" t="s">
        <v>7031</v>
      </c>
      <c r="C107" s="1821"/>
      <c r="D107" s="1821"/>
      <c r="E107" s="1821"/>
      <c r="F107" s="1821"/>
      <c r="G107" s="1862"/>
      <c r="H107" s="1862">
        <v>1800</v>
      </c>
      <c r="I107" s="1862">
        <f t="shared" ref="I107:R107" si="100">H107*(1+I108)</f>
        <v>2070</v>
      </c>
      <c r="J107" s="1862">
        <f t="shared" si="100"/>
        <v>2028.6</v>
      </c>
      <c r="K107" s="1862">
        <f t="shared" si="100"/>
        <v>1927.1699999999998</v>
      </c>
      <c r="L107" s="1862">
        <f t="shared" si="100"/>
        <v>1992.6937799999998</v>
      </c>
      <c r="M107" s="1862">
        <f t="shared" si="100"/>
        <v>2291.5978469999995</v>
      </c>
      <c r="N107" s="1862">
        <f t="shared" si="100"/>
        <v>2749.9174163999992</v>
      </c>
      <c r="O107" s="1862">
        <f t="shared" si="100"/>
        <v>2763.667003481999</v>
      </c>
      <c r="P107" s="1862">
        <f t="shared" si="100"/>
        <v>2846.5770135864591</v>
      </c>
      <c r="Q107" s="1862">
        <f t="shared" si="100"/>
        <v>2943.0759743470403</v>
      </c>
      <c r="R107" s="1862">
        <f t="shared" si="100"/>
        <v>3031.3682535774515</v>
      </c>
      <c r="S107" s="1863"/>
      <c r="U107" s="1578"/>
      <c r="V107" s="1578"/>
    </row>
    <row r="108" spans="1:27">
      <c r="A108" s="2305"/>
      <c r="B108" s="1908" t="s">
        <v>372</v>
      </c>
      <c r="C108" s="1909"/>
      <c r="D108" s="1909"/>
      <c r="E108" s="1909"/>
      <c r="F108" s="1909"/>
      <c r="G108" s="1909"/>
      <c r="H108" s="1910"/>
      <c r="I108" s="1913">
        <v>0.15</v>
      </c>
      <c r="J108" s="1913">
        <v>-0.02</v>
      </c>
      <c r="K108" s="1913">
        <v>-0.05</v>
      </c>
      <c r="L108" s="1913">
        <v>3.4000000000000002E-2</v>
      </c>
      <c r="M108" s="1913">
        <v>0.15</v>
      </c>
      <c r="N108" s="1913">
        <v>0.2</v>
      </c>
      <c r="O108" s="1913">
        <v>5.0000000000000001E-3</v>
      </c>
      <c r="P108" s="1913">
        <v>0.03</v>
      </c>
      <c r="Q108" s="1913">
        <v>3.39E-2</v>
      </c>
      <c r="R108" s="1913">
        <v>0.03</v>
      </c>
      <c r="S108" s="1911"/>
      <c r="T108" s="1788"/>
      <c r="U108" s="1578"/>
      <c r="V108" s="1578"/>
    </row>
    <row r="109" spans="1:27">
      <c r="A109" s="2305"/>
      <c r="B109" s="1861" t="s">
        <v>7032</v>
      </c>
      <c r="C109" s="1821"/>
      <c r="D109" s="1821"/>
      <c r="E109" s="1821"/>
      <c r="F109" s="1821"/>
      <c r="G109" s="1862"/>
      <c r="H109" s="1862">
        <v>700</v>
      </c>
      <c r="I109" s="1862">
        <f t="shared" ref="I109:R109" si="101">H109*(1+I110)</f>
        <v>804.99999999999989</v>
      </c>
      <c r="J109" s="1862">
        <f t="shared" si="101"/>
        <v>788.89999999999986</v>
      </c>
      <c r="K109" s="1862">
        <f t="shared" si="101"/>
        <v>710.00999999999988</v>
      </c>
      <c r="L109" s="1862">
        <f t="shared" si="101"/>
        <v>734.15033999999991</v>
      </c>
      <c r="M109" s="1862">
        <f t="shared" si="101"/>
        <v>844.27289099999985</v>
      </c>
      <c r="N109" s="1862">
        <f t="shared" si="101"/>
        <v>1013.1274691999997</v>
      </c>
      <c r="O109" s="1862">
        <f t="shared" si="101"/>
        <v>1018.1931065459996</v>
      </c>
      <c r="P109" s="1862">
        <f t="shared" si="101"/>
        <v>1048.7388997423795</v>
      </c>
      <c r="Q109" s="1862">
        <f t="shared" si="101"/>
        <v>1080.201066734651</v>
      </c>
      <c r="R109" s="1862">
        <f t="shared" si="101"/>
        <v>1112.6070987366907</v>
      </c>
      <c r="S109" s="1821"/>
      <c r="U109" s="1578"/>
      <c r="V109" s="1578"/>
    </row>
    <row r="110" spans="1:27">
      <c r="A110" s="2305"/>
      <c r="B110" s="1908" t="s">
        <v>372</v>
      </c>
      <c r="C110" s="1909"/>
      <c r="D110" s="1909"/>
      <c r="E110" s="1909"/>
      <c r="F110" s="1909"/>
      <c r="G110" s="1909"/>
      <c r="H110" s="1910"/>
      <c r="I110" s="1913">
        <v>0.15</v>
      </c>
      <c r="J110" s="1913">
        <v>-0.02</v>
      </c>
      <c r="K110" s="1913">
        <v>-0.1</v>
      </c>
      <c r="L110" s="1913">
        <v>3.4000000000000002E-2</v>
      </c>
      <c r="M110" s="1913">
        <v>0.15</v>
      </c>
      <c r="N110" s="1913">
        <v>0.2</v>
      </c>
      <c r="O110" s="1913">
        <v>5.0000000000000001E-3</v>
      </c>
      <c r="P110" s="1913">
        <v>0.03</v>
      </c>
      <c r="Q110" s="1913">
        <v>0.03</v>
      </c>
      <c r="R110" s="1913">
        <v>0.03</v>
      </c>
      <c r="S110" s="1911"/>
      <c r="U110" s="1578"/>
      <c r="V110" s="1578"/>
    </row>
    <row r="111" spans="1:27">
      <c r="A111" s="2305"/>
      <c r="B111" s="1861" t="s">
        <v>7033</v>
      </c>
      <c r="C111" s="1861"/>
      <c r="D111" s="1861"/>
      <c r="E111" s="1861"/>
      <c r="F111" s="1861"/>
      <c r="G111" s="1862"/>
      <c r="H111" s="1862">
        <v>280</v>
      </c>
      <c r="I111" s="1862">
        <f t="shared" ref="I111:R111" si="102">H111*(1+I112)</f>
        <v>280</v>
      </c>
      <c r="J111" s="1862">
        <f t="shared" si="102"/>
        <v>274.39999999999998</v>
      </c>
      <c r="K111" s="1862">
        <f t="shared" si="102"/>
        <v>251.54247999999995</v>
      </c>
      <c r="L111" s="1862">
        <f t="shared" si="102"/>
        <v>260.09492431999996</v>
      </c>
      <c r="M111" s="1862">
        <f t="shared" si="102"/>
        <v>312.11390918399997</v>
      </c>
      <c r="N111" s="1862">
        <f t="shared" si="102"/>
        <v>374.53669102079994</v>
      </c>
      <c r="O111" s="1862">
        <f t="shared" si="102"/>
        <v>376.40937447590392</v>
      </c>
      <c r="P111" s="1862">
        <f t="shared" si="102"/>
        <v>387.70165571018106</v>
      </c>
      <c r="Q111" s="1862">
        <f t="shared" si="102"/>
        <v>399.33270538148651</v>
      </c>
      <c r="R111" s="1862">
        <f t="shared" si="102"/>
        <v>411.31268654293109</v>
      </c>
      <c r="S111" s="1821"/>
      <c r="U111" s="1578"/>
      <c r="V111" s="1578"/>
    </row>
    <row r="112" spans="1:27">
      <c r="A112" s="2305"/>
      <c r="B112" s="1908" t="s">
        <v>372</v>
      </c>
      <c r="C112" s="1908"/>
      <c r="D112" s="1908"/>
      <c r="E112" s="1908"/>
      <c r="F112" s="1908"/>
      <c r="G112" s="1908"/>
      <c r="H112" s="1910"/>
      <c r="I112" s="1913">
        <v>0</v>
      </c>
      <c r="J112" s="1913">
        <v>-0.02</v>
      </c>
      <c r="K112" s="1913">
        <v>-8.3299999999999999E-2</v>
      </c>
      <c r="L112" s="1913">
        <v>3.4000000000000002E-2</v>
      </c>
      <c r="M112" s="1913">
        <v>0.2</v>
      </c>
      <c r="N112" s="1913">
        <v>0.2</v>
      </c>
      <c r="O112" s="1913">
        <v>5.0000000000000001E-3</v>
      </c>
      <c r="P112" s="1913">
        <v>0.03</v>
      </c>
      <c r="Q112" s="1913">
        <v>0.03</v>
      </c>
      <c r="R112" s="1913">
        <v>0.03</v>
      </c>
      <c r="S112" s="1911"/>
      <c r="U112" s="1578"/>
      <c r="V112" s="1578"/>
    </row>
    <row r="113" spans="1:22" s="2162" customFormat="1">
      <c r="A113" s="2305"/>
      <c r="B113" s="1908"/>
      <c r="C113" s="1908"/>
      <c r="D113" s="1908"/>
      <c r="E113" s="1908"/>
      <c r="F113" s="1908"/>
      <c r="G113" s="1908"/>
      <c r="H113" s="1910"/>
      <c r="I113" s="1913"/>
      <c r="J113" s="1913"/>
      <c r="K113" s="1913"/>
      <c r="L113" s="1913"/>
      <c r="M113" s="1913"/>
      <c r="N113" s="1913"/>
      <c r="O113" s="1913"/>
      <c r="P113" s="1913"/>
      <c r="Q113" s="1913"/>
      <c r="R113" s="1913"/>
      <c r="S113" s="1911"/>
      <c r="U113" s="1578"/>
      <c r="V113" s="1578"/>
    </row>
    <row r="114" spans="1:22" s="2110" customFormat="1">
      <c r="A114" s="2305"/>
      <c r="B114" s="2129" t="s">
        <v>7147</v>
      </c>
      <c r="C114" s="2130"/>
      <c r="D114" s="2130"/>
      <c r="E114" s="2130"/>
      <c r="F114" s="2130"/>
      <c r="G114" s="2130"/>
      <c r="H114" s="2131"/>
      <c r="I114" s="2132"/>
      <c r="J114" s="2132"/>
      <c r="K114" s="2132"/>
      <c r="L114" s="2132"/>
      <c r="M114" s="2132"/>
      <c r="N114" s="2132"/>
      <c r="O114" s="2132"/>
      <c r="P114" s="2132"/>
      <c r="Q114" s="2132"/>
      <c r="R114" s="2133"/>
      <c r="S114" s="1911"/>
      <c r="U114" s="1578"/>
      <c r="V114" s="1578"/>
    </row>
    <row r="115" spans="1:22" s="2110" customFormat="1">
      <c r="A115" s="2305"/>
      <c r="B115" s="2134" t="s">
        <v>7148</v>
      </c>
      <c r="C115" s="2135"/>
      <c r="D115" s="2135"/>
      <c r="E115" s="2135"/>
      <c r="F115" s="2135"/>
      <c r="G115" s="2135"/>
      <c r="H115" s="1910"/>
      <c r="I115" s="1913"/>
      <c r="J115" s="1913"/>
      <c r="K115" s="2143"/>
      <c r="L115" s="2143">
        <f>K101*1.05</f>
        <v>815.51616300000001</v>
      </c>
      <c r="M115" s="2143">
        <f>(K101*1.05)*(L91/SUM(L91:M91))+(K101*1.1)*(M91/SUM(L91:M91))</f>
        <v>839.61604298034104</v>
      </c>
      <c r="N115" s="2143">
        <f>(K101*1.05)*(L91/SUM(L91:N91))+(K101*1.1)*(M91/SUM(L91:N91))+(K101*1.15)*(N91/SUM(L91:N91))</f>
        <v>859.33844756966755</v>
      </c>
      <c r="O115" s="2143">
        <f>(L101*1.1)*(M91/SUM(L91:O91))+((L101*1.16)*(L91+N91)/SUM(L91:O91)+(O91*O107)/SUM(L91:O91))</f>
        <v>978.95628891489901</v>
      </c>
      <c r="P115" s="2143">
        <f>O115*(1+P116)</f>
        <v>1027.9041033606441</v>
      </c>
      <c r="Q115" s="2143">
        <f>P115*(1+Q116)</f>
        <v>1079.2993085286764</v>
      </c>
      <c r="R115" s="2150">
        <f>Q115*(1+R116)</f>
        <v>1133.2642739551102</v>
      </c>
      <c r="S115" s="1911"/>
      <c r="T115" s="1913"/>
      <c r="U115" s="1578"/>
      <c r="V115" s="1578"/>
    </row>
    <row r="116" spans="1:22" s="2110" customFormat="1">
      <c r="A116" s="2305"/>
      <c r="B116" s="2137" t="s">
        <v>372</v>
      </c>
      <c r="C116" s="2135"/>
      <c r="D116" s="2135"/>
      <c r="E116" s="2135"/>
      <c r="F116" s="2135"/>
      <c r="G116" s="2135"/>
      <c r="H116" s="1910"/>
      <c r="I116" s="1913"/>
      <c r="J116" s="1913"/>
      <c r="K116" s="1913"/>
      <c r="L116" s="1913"/>
      <c r="M116" s="1913">
        <f>M115/L115-1</f>
        <v>2.9551688947139887E-2</v>
      </c>
      <c r="N116" s="1913">
        <f t="shared" ref="N116:O116" si="103">N115/M115-1</f>
        <v>2.3489790070374328E-2</v>
      </c>
      <c r="O116" s="1913">
        <f t="shared" si="103"/>
        <v>0.13919759052271874</v>
      </c>
      <c r="P116" s="1913">
        <f>P102</f>
        <v>0.05</v>
      </c>
      <c r="Q116" s="1913">
        <f>Q102</f>
        <v>0.05</v>
      </c>
      <c r="R116" s="2136">
        <f>R102</f>
        <v>0.05</v>
      </c>
      <c r="S116" s="1911"/>
      <c r="T116" s="1913"/>
      <c r="U116" s="1578"/>
      <c r="V116" s="1578"/>
    </row>
    <row r="117" spans="1:22" s="2110" customFormat="1">
      <c r="A117" s="2305"/>
      <c r="B117" s="2134" t="s">
        <v>7149</v>
      </c>
      <c r="C117" s="2135"/>
      <c r="D117" s="2135"/>
      <c r="E117" s="2135"/>
      <c r="F117" s="2135"/>
      <c r="G117" s="2135"/>
      <c r="H117" s="1910"/>
      <c r="I117" s="1913"/>
      <c r="J117" s="1913"/>
      <c r="K117" s="2143"/>
      <c r="L117" s="2143">
        <f>K103*1.05</f>
        <v>494.37360000000001</v>
      </c>
      <c r="M117" s="2143">
        <f>(K103*1.05)*(L93/SUM(L93:M93))+(K103*1.1)*(M93/SUM(L93:M93))</f>
        <v>507.93323172315809</v>
      </c>
      <c r="N117" s="2143">
        <f>(K103*1.05)*(L93/SUM(L93:N93))+(K103*1.1)*(M93/SUM(L93:N93))+(K103*1.15)*(N93/SUM(L93:N93))</f>
        <v>519.44673240933298</v>
      </c>
      <c r="O117" s="2143">
        <f>(L103*1.1)*(M93/SUM(L93:O93))+((L103*1.16)*(L93+N93)/SUM(L93:O93)+(O93*O109)/SUM(L93:O93))</f>
        <v>574.35268025488108</v>
      </c>
      <c r="P117" s="2143">
        <f>O117*(1+P118)</f>
        <v>603.07031426762512</v>
      </c>
      <c r="Q117" s="2143">
        <f>P117*(1+Q118)</f>
        <v>633.22382998100636</v>
      </c>
      <c r="R117" s="2150">
        <f>Q117*(1+R118)</f>
        <v>664.88502148005671</v>
      </c>
      <c r="S117" s="1911"/>
      <c r="T117" s="1913"/>
      <c r="U117" s="1578"/>
      <c r="V117" s="1578"/>
    </row>
    <row r="118" spans="1:22" s="2110" customFormat="1">
      <c r="A118" s="2305"/>
      <c r="B118" s="2137" t="s">
        <v>372</v>
      </c>
      <c r="C118" s="2135"/>
      <c r="D118" s="2135"/>
      <c r="E118" s="2135"/>
      <c r="F118" s="2135"/>
      <c r="G118" s="2135"/>
      <c r="H118" s="1910"/>
      <c r="I118" s="1913"/>
      <c r="J118" s="1913"/>
      <c r="K118" s="1913"/>
      <c r="L118" s="1913"/>
      <c r="M118" s="1913">
        <f t="shared" ref="M118:N118" si="104">M117/L117-1</f>
        <v>2.7427904166319017E-2</v>
      </c>
      <c r="N118" s="1913">
        <f t="shared" si="104"/>
        <v>2.2667350681339515E-2</v>
      </c>
      <c r="O118" s="1913">
        <f t="shared" ref="O118" si="105">O117/N117-1</f>
        <v>0.10570082439614081</v>
      </c>
      <c r="P118" s="1913">
        <f>P104</f>
        <v>0.05</v>
      </c>
      <c r="Q118" s="1913">
        <f>Q104</f>
        <v>0.05</v>
      </c>
      <c r="R118" s="2136">
        <f>R104</f>
        <v>0.05</v>
      </c>
      <c r="S118" s="1911"/>
      <c r="T118" s="1913"/>
      <c r="U118" s="1578"/>
      <c r="V118" s="1578"/>
    </row>
    <row r="119" spans="1:22" s="2110" customFormat="1">
      <c r="A119" s="2305"/>
      <c r="B119" s="2134" t="s">
        <v>7150</v>
      </c>
      <c r="C119" s="2135"/>
      <c r="D119" s="2135"/>
      <c r="E119" s="2135"/>
      <c r="F119" s="2135"/>
      <c r="G119" s="2135"/>
      <c r="H119" s="1910"/>
      <c r="I119" s="1913"/>
      <c r="J119" s="1913"/>
      <c r="K119" s="2143"/>
      <c r="L119" s="2143">
        <f>K105*1.05</f>
        <v>259.77105</v>
      </c>
      <c r="M119" s="2143">
        <f>(K105*1.05)*(L95/SUM(L95:M95))+(K105*1.1)*(M95/SUM(L95:M95))</f>
        <v>263.94578318385862</v>
      </c>
      <c r="N119" s="2143">
        <f>(K105*1.05)*(L95/SUM(L95:N95))+(K105*1.1)*(M95/SUM(L95:N95))+(K105*1.15)*(N95/SUM(L95:N95))</f>
        <v>267.43501408240076</v>
      </c>
      <c r="O119" s="2143">
        <f>(L105*1.1)*(M95/SUM(L95:O95))+((L105*1.16)*(L95+N95)/SUM(L95:O95)+(O95*O111)/SUM(L95:O95))</f>
        <v>298.02212723022149</v>
      </c>
      <c r="P119" s="2143">
        <f>O119*(1+P120)</f>
        <v>312.92323359173258</v>
      </c>
      <c r="Q119" s="2143">
        <f>P119*(1+Q120)</f>
        <v>328.56939527131925</v>
      </c>
      <c r="R119" s="2150">
        <f>Q119*(1+R120)</f>
        <v>344.99786503488525</v>
      </c>
      <c r="S119" s="1911"/>
      <c r="T119" s="1913"/>
      <c r="U119" s="1578"/>
      <c r="V119" s="1578"/>
    </row>
    <row r="120" spans="1:22" s="2110" customFormat="1">
      <c r="A120" s="2305"/>
      <c r="B120" s="2138" t="s">
        <v>372</v>
      </c>
      <c r="C120" s="2139"/>
      <c r="D120" s="2139"/>
      <c r="E120" s="2139"/>
      <c r="F120" s="2139"/>
      <c r="G120" s="2139"/>
      <c r="H120" s="2140"/>
      <c r="I120" s="2141"/>
      <c r="J120" s="2141"/>
      <c r="K120" s="2141"/>
      <c r="L120" s="2141"/>
      <c r="M120" s="2141">
        <f t="shared" ref="M120:N120" si="106">M119/L119-1</f>
        <v>1.6070817682950489E-2</v>
      </c>
      <c r="N120" s="2141">
        <f t="shared" si="106"/>
        <v>1.3219498551759745E-2</v>
      </c>
      <c r="O120" s="2141">
        <f t="shared" ref="O120" si="107">O119/N119-1</f>
        <v>0.11437213355464504</v>
      </c>
      <c r="P120" s="2141">
        <f>P106</f>
        <v>0.05</v>
      </c>
      <c r="Q120" s="2141">
        <f>Q106</f>
        <v>0.05</v>
      </c>
      <c r="R120" s="2142">
        <f>R106</f>
        <v>0.05</v>
      </c>
      <c r="S120" s="1911"/>
      <c r="T120" s="1913"/>
      <c r="U120" s="1578"/>
      <c r="V120" s="1578"/>
    </row>
    <row r="121" spans="1:22" ht="15.75" customHeight="1">
      <c r="A121" s="2305"/>
      <c r="B121" s="1861" t="s">
        <v>7034</v>
      </c>
      <c r="C121" s="1821"/>
      <c r="D121" s="1821"/>
      <c r="E121" s="1821"/>
      <c r="F121" s="1821"/>
      <c r="G121" s="1862"/>
      <c r="H121" s="1862">
        <v>225</v>
      </c>
      <c r="I121" s="1862">
        <f t="shared" ref="I121:R121" si="108">H121*(1+I122)</f>
        <v>270</v>
      </c>
      <c r="J121" s="1862">
        <f t="shared" si="108"/>
        <v>283.5</v>
      </c>
      <c r="K121" s="1862">
        <f t="shared" si="108"/>
        <v>292.005</v>
      </c>
      <c r="L121" s="1862">
        <f t="shared" si="108"/>
        <v>277.40474999999998</v>
      </c>
      <c r="M121" s="1862">
        <f t="shared" si="108"/>
        <v>269.08260749999999</v>
      </c>
      <c r="N121" s="1862">
        <f t="shared" si="108"/>
        <v>250.24682497499998</v>
      </c>
      <c r="O121" s="1862">
        <f t="shared" si="108"/>
        <v>250.24682497499998</v>
      </c>
      <c r="P121" s="1862">
        <f t="shared" si="108"/>
        <v>256.2527487744</v>
      </c>
      <c r="Q121" s="1862">
        <f t="shared" si="108"/>
        <v>262.40281474498562</v>
      </c>
      <c r="R121" s="1862">
        <f t="shared" si="108"/>
        <v>267.65087103988532</v>
      </c>
      <c r="S121" s="1821"/>
      <c r="U121" s="1578"/>
      <c r="V121" s="1578"/>
    </row>
    <row r="122" spans="1:22">
      <c r="A122" s="2305"/>
      <c r="B122" s="1908" t="s">
        <v>372</v>
      </c>
      <c r="C122" s="1909"/>
      <c r="D122" s="1909"/>
      <c r="E122" s="1909"/>
      <c r="F122" s="1909"/>
      <c r="G122" s="1909"/>
      <c r="H122" s="1910"/>
      <c r="I122" s="1913">
        <v>0.2</v>
      </c>
      <c r="J122" s="1913">
        <v>0.05</v>
      </c>
      <c r="K122" s="1913">
        <v>0.03</v>
      </c>
      <c r="L122" s="1913">
        <v>-0.05</v>
      </c>
      <c r="M122" s="1913">
        <v>-0.03</v>
      </c>
      <c r="N122" s="1913">
        <v>-7.0000000000000007E-2</v>
      </c>
      <c r="O122" s="1913">
        <v>0</v>
      </c>
      <c r="P122" s="1913">
        <v>2.4E-2</v>
      </c>
      <c r="Q122" s="1913">
        <v>2.4E-2</v>
      </c>
      <c r="R122" s="1913">
        <v>0.02</v>
      </c>
      <c r="S122" s="1911"/>
      <c r="U122" s="1578"/>
      <c r="V122" s="1578"/>
    </row>
    <row r="123" spans="1:22">
      <c r="A123" s="2305"/>
      <c r="B123" s="1861" t="s">
        <v>7035</v>
      </c>
      <c r="C123" s="1821"/>
      <c r="D123" s="1821"/>
      <c r="E123" s="1821"/>
      <c r="F123" s="1821"/>
      <c r="G123" s="1821"/>
      <c r="H123" s="1862">
        <v>680</v>
      </c>
      <c r="I123" s="1862">
        <f t="shared" ref="I123:R123" si="109">H123*(1+I124)</f>
        <v>714</v>
      </c>
      <c r="J123" s="1862">
        <f t="shared" si="109"/>
        <v>714</v>
      </c>
      <c r="K123" s="1862">
        <f t="shared" si="109"/>
        <v>678.3</v>
      </c>
      <c r="L123" s="1862">
        <f t="shared" si="109"/>
        <v>698.649</v>
      </c>
      <c r="M123" s="1862">
        <f t="shared" si="109"/>
        <v>719.60847000000001</v>
      </c>
      <c r="N123" s="1862">
        <f t="shared" si="109"/>
        <v>723.20651234999991</v>
      </c>
      <c r="O123" s="1862">
        <f t="shared" si="109"/>
        <v>723.20651234999991</v>
      </c>
      <c r="P123" s="1862">
        <f t="shared" si="109"/>
        <v>737.67064259699987</v>
      </c>
      <c r="Q123" s="1862">
        <f t="shared" si="109"/>
        <v>754.26823205543235</v>
      </c>
      <c r="R123" s="1862">
        <f t="shared" si="109"/>
        <v>769.35359669654099</v>
      </c>
      <c r="S123" s="1821"/>
      <c r="T123" s="1913"/>
      <c r="U123" s="1578"/>
      <c r="V123" s="1578"/>
    </row>
    <row r="124" spans="1:22">
      <c r="A124" s="2305"/>
      <c r="B124" s="1908" t="s">
        <v>372</v>
      </c>
      <c r="C124" s="1909"/>
      <c r="D124" s="1909"/>
      <c r="E124" s="1909"/>
      <c r="F124" s="1909"/>
      <c r="G124" s="1909"/>
      <c r="H124" s="1910"/>
      <c r="I124" s="1913">
        <v>0.05</v>
      </c>
      <c r="J124" s="1913">
        <v>0</v>
      </c>
      <c r="K124" s="1913">
        <v>-0.05</v>
      </c>
      <c r="L124" s="1913">
        <v>0.03</v>
      </c>
      <c r="M124" s="1913">
        <v>0.03</v>
      </c>
      <c r="N124" s="1913">
        <v>5.0000000000000001E-3</v>
      </c>
      <c r="O124" s="1913">
        <v>0</v>
      </c>
      <c r="P124" s="1913">
        <v>0.02</v>
      </c>
      <c r="Q124" s="1913">
        <v>2.2499999999999999E-2</v>
      </c>
      <c r="R124" s="1913">
        <v>0.02</v>
      </c>
      <c r="S124" s="1911"/>
      <c r="T124" s="1913"/>
      <c r="U124" s="1578"/>
      <c r="V124" s="1578"/>
    </row>
    <row r="125" spans="1:22" ht="13.5" thickBot="1">
      <c r="A125" s="1821"/>
      <c r="B125" s="1864"/>
      <c r="C125" s="1824"/>
      <c r="D125" s="1824"/>
      <c r="E125" s="1824"/>
      <c r="F125" s="1824"/>
      <c r="G125" s="1824"/>
      <c r="H125" s="1865"/>
      <c r="I125" s="1872"/>
      <c r="J125" s="1872"/>
      <c r="K125" s="1872"/>
      <c r="L125" s="1872"/>
      <c r="M125" s="1872"/>
      <c r="N125" s="1872"/>
      <c r="O125" s="1872"/>
      <c r="P125" s="1872"/>
      <c r="Q125" s="1872"/>
      <c r="R125" s="1872"/>
      <c r="S125" s="1821"/>
      <c r="U125" s="1578"/>
      <c r="V125" s="1578"/>
    </row>
    <row r="126" spans="1:22" ht="13.5" thickBot="1">
      <c r="A126" s="1824" t="s">
        <v>7029</v>
      </c>
      <c r="B126" s="1825" t="s">
        <v>7066</v>
      </c>
      <c r="C126" s="1826"/>
      <c r="D126" s="1826"/>
      <c r="E126" s="1826"/>
      <c r="F126" s="1826"/>
      <c r="G126" s="1826"/>
      <c r="H126" s="1859">
        <f>H174/H4*1000</f>
        <v>522.47215736294095</v>
      </c>
      <c r="I126" s="1859">
        <f t="shared" ref="I126:R126" si="110">I150/I4*1000</f>
        <v>562.29482641309585</v>
      </c>
      <c r="J126" s="1859">
        <f t="shared" si="110"/>
        <v>532.73110206337219</v>
      </c>
      <c r="K126" s="2299">
        <f t="shared" si="110"/>
        <v>527.98400044222888</v>
      </c>
      <c r="L126" s="1859">
        <f t="shared" si="110"/>
        <v>552.75765897430961</v>
      </c>
      <c r="M126" s="1859">
        <f t="shared" si="110"/>
        <v>622.98042834199737</v>
      </c>
      <c r="N126" s="1859">
        <f t="shared" si="110"/>
        <v>687.30571997154857</v>
      </c>
      <c r="O126" s="1859">
        <f t="shared" si="110"/>
        <v>712.04631190304281</v>
      </c>
      <c r="P126" s="1859">
        <f t="shared" si="110"/>
        <v>728.37544871533078</v>
      </c>
      <c r="Q126" s="1859">
        <f t="shared" si="110"/>
        <v>747.05626395189131</v>
      </c>
      <c r="R126" s="1860">
        <f t="shared" si="110"/>
        <v>766.7669917356053</v>
      </c>
      <c r="S126" s="1906">
        <f>(N126/J126)^0.25-100%</f>
        <v>6.5762601475709781E-2</v>
      </c>
      <c r="T126" s="1906">
        <f>(Q126/J126)^(1/7)-100%</f>
        <v>4.9489007640773908E-2</v>
      </c>
      <c r="U126" s="1578"/>
      <c r="V126" s="1578"/>
    </row>
    <row r="127" spans="1:22">
      <c r="A127" s="1821"/>
      <c r="B127" s="1953" t="s">
        <v>372</v>
      </c>
      <c r="C127" s="1954"/>
      <c r="D127" s="1954"/>
      <c r="E127" s="1954"/>
      <c r="F127" s="1954"/>
      <c r="G127" s="1954"/>
      <c r="H127" s="1954"/>
      <c r="I127" s="1955">
        <f t="shared" ref="I127:R127" si="111">I126/H126-1</f>
        <v>7.6219696090889855E-2</v>
      </c>
      <c r="J127" s="1955">
        <f t="shared" si="111"/>
        <v>-5.2576909765135071E-2</v>
      </c>
      <c r="K127" s="1955">
        <f t="shared" si="111"/>
        <v>-8.9108775567201537E-3</v>
      </c>
      <c r="L127" s="1955">
        <f t="shared" si="111"/>
        <v>4.692122964205514E-2</v>
      </c>
      <c r="M127" s="1955">
        <f t="shared" si="111"/>
        <v>0.12704078944467678</v>
      </c>
      <c r="N127" s="1955">
        <f t="shared" si="111"/>
        <v>0.10325411313602073</v>
      </c>
      <c r="O127" s="1955">
        <f t="shared" si="111"/>
        <v>3.5996487752958606E-2</v>
      </c>
      <c r="P127" s="1955">
        <f t="shared" si="111"/>
        <v>2.2932689263772899E-2</v>
      </c>
      <c r="Q127" s="1955">
        <f t="shared" si="111"/>
        <v>2.5647233538017788E-2</v>
      </c>
      <c r="R127" s="1955">
        <f t="shared" si="111"/>
        <v>2.6384529164436898E-2</v>
      </c>
      <c r="S127" s="1821"/>
      <c r="U127" s="1578"/>
      <c r="V127" s="1578"/>
    </row>
    <row r="128" spans="1:22" s="2086" customFormat="1">
      <c r="A128" s="1821"/>
      <c r="B128" s="1953"/>
      <c r="C128" s="1954"/>
      <c r="D128" s="1954"/>
      <c r="E128" s="1954"/>
      <c r="F128" s="1954"/>
      <c r="G128" s="1954"/>
      <c r="H128" s="1954"/>
      <c r="I128" s="2099"/>
      <c r="J128" s="2099"/>
      <c r="K128" s="2099"/>
      <c r="L128" s="2099"/>
      <c r="M128" s="2248"/>
      <c r="N128" s="2248"/>
      <c r="O128" s="2248"/>
      <c r="P128" s="2248"/>
      <c r="Q128" s="2248"/>
      <c r="R128" s="2248"/>
      <c r="S128" s="1821"/>
      <c r="U128" s="1578"/>
      <c r="V128" s="1578"/>
    </row>
    <row r="129" spans="1:26" s="2105" customFormat="1">
      <c r="A129" s="1821"/>
      <c r="B129" s="1953"/>
      <c r="C129" s="1954"/>
      <c r="D129" s="1954"/>
      <c r="E129" s="1954"/>
      <c r="F129" s="1954"/>
      <c r="G129" s="1954"/>
      <c r="H129" s="1954"/>
      <c r="I129" s="2099"/>
      <c r="J129" s="2099"/>
      <c r="K129" s="2300"/>
      <c r="L129" s="2296"/>
      <c r="M129" s="2204"/>
      <c r="N129" s="2204"/>
      <c r="O129" s="2204"/>
      <c r="P129" s="2204"/>
      <c r="Q129" s="2204"/>
      <c r="R129" s="2204"/>
      <c r="S129" s="1821"/>
      <c r="U129" s="1578"/>
      <c r="V129" s="1578"/>
    </row>
    <row r="130" spans="1:26" s="2105" customFormat="1" hidden="1" outlineLevel="1">
      <c r="A130" s="1821"/>
      <c r="B130" s="1829" t="s">
        <v>7145</v>
      </c>
      <c r="C130" s="1954"/>
      <c r="D130" s="1954"/>
      <c r="E130" s="1954"/>
      <c r="F130" s="1954"/>
      <c r="G130" s="1954"/>
      <c r="H130" s="1954"/>
      <c r="I130" s="2099"/>
      <c r="J130" s="2099"/>
      <c r="K130" s="2099"/>
      <c r="L130" s="1955"/>
      <c r="M130" s="1955"/>
      <c r="N130" s="1955"/>
      <c r="O130" s="1955"/>
      <c r="P130" s="1955"/>
      <c r="Q130" s="1955"/>
      <c r="R130" s="1955"/>
      <c r="S130" s="1821"/>
      <c r="U130" s="1578"/>
      <c r="V130" s="1578"/>
    </row>
    <row r="131" spans="1:26" s="2105" customFormat="1" hidden="1" outlineLevel="1">
      <c r="A131" s="1821"/>
      <c r="B131" s="2108" t="s">
        <v>7143</v>
      </c>
      <c r="C131" s="1846"/>
      <c r="D131" s="1846"/>
      <c r="E131" s="1846"/>
      <c r="F131" s="1846"/>
      <c r="G131" s="1867"/>
      <c r="H131" s="1867">
        <f t="shared" ref="H131:R131" si="112">SUM(H137,H142:H147)/SUM(H6,H10)*1000</f>
        <v>526.68799887406919</v>
      </c>
      <c r="I131" s="1867">
        <f t="shared" si="112"/>
        <v>565.75108982052404</v>
      </c>
      <c r="J131" s="1867">
        <f t="shared" si="112"/>
        <v>532.98440819780046</v>
      </c>
      <c r="K131" s="1867">
        <f t="shared" si="112"/>
        <v>528.56078973391709</v>
      </c>
      <c r="L131" s="1867">
        <f t="shared" si="112"/>
        <v>568.28088071985064</v>
      </c>
      <c r="M131" s="1867">
        <f t="shared" si="112"/>
        <v>650.20251250373667</v>
      </c>
      <c r="N131" s="1867">
        <f t="shared" si="112"/>
        <v>730.16290131746814</v>
      </c>
      <c r="O131" s="1867">
        <f t="shared" si="112"/>
        <v>766.0982178037724</v>
      </c>
      <c r="P131" s="1867">
        <f t="shared" si="112"/>
        <v>789.47218904467138</v>
      </c>
      <c r="Q131" s="1867">
        <f t="shared" si="112"/>
        <v>815.96102865434818</v>
      </c>
      <c r="R131" s="1867">
        <f t="shared" si="112"/>
        <v>844.03635435784236</v>
      </c>
      <c r="S131" s="1821"/>
      <c r="U131" s="1578"/>
      <c r="V131" s="1578"/>
    </row>
    <row r="132" spans="1:26" s="2105" customFormat="1" hidden="1" outlineLevel="1">
      <c r="A132" s="1821"/>
      <c r="B132" s="2108" t="s">
        <v>7144</v>
      </c>
      <c r="C132" s="1846"/>
      <c r="D132" s="1846"/>
      <c r="E132" s="1846"/>
      <c r="F132" s="1846"/>
      <c r="G132" s="1867"/>
      <c r="H132" s="1867">
        <f>H121</f>
        <v>225</v>
      </c>
      <c r="I132" s="1867">
        <f t="shared" ref="I132:Q132" si="113">I121</f>
        <v>270</v>
      </c>
      <c r="J132" s="1867">
        <f t="shared" si="113"/>
        <v>283.5</v>
      </c>
      <c r="K132" s="1867">
        <f t="shared" si="113"/>
        <v>292.005</v>
      </c>
      <c r="L132" s="1867">
        <f t="shared" si="113"/>
        <v>277.40474999999998</v>
      </c>
      <c r="M132" s="1867">
        <f t="shared" si="113"/>
        <v>269.08260749999999</v>
      </c>
      <c r="N132" s="1867">
        <f t="shared" si="113"/>
        <v>250.24682497499998</v>
      </c>
      <c r="O132" s="1867">
        <f t="shared" si="113"/>
        <v>250.24682497499998</v>
      </c>
      <c r="P132" s="1867">
        <f t="shared" si="113"/>
        <v>256.2527487744</v>
      </c>
      <c r="Q132" s="1867">
        <f t="shared" si="113"/>
        <v>262.40281474498562</v>
      </c>
      <c r="R132" s="1867">
        <f t="shared" ref="R132" si="114">R121</f>
        <v>267.65087103988532</v>
      </c>
      <c r="S132" s="1821"/>
      <c r="U132" s="1578"/>
      <c r="V132" s="1578"/>
    </row>
    <row r="133" spans="1:26" s="2105" customFormat="1" hidden="1" outlineLevel="1">
      <c r="A133" s="1821"/>
      <c r="B133" s="2108" t="s">
        <v>7146</v>
      </c>
      <c r="C133" s="1846"/>
      <c r="D133" s="1846"/>
      <c r="E133" s="1846"/>
      <c r="F133" s="1846"/>
      <c r="G133" s="1867"/>
      <c r="H133" s="1867">
        <f>H123</f>
        <v>680</v>
      </c>
      <c r="I133" s="1867">
        <f t="shared" ref="I133:Q133" si="115">I123</f>
        <v>714</v>
      </c>
      <c r="J133" s="1867">
        <f t="shared" si="115"/>
        <v>714</v>
      </c>
      <c r="K133" s="1867">
        <f t="shared" si="115"/>
        <v>678.3</v>
      </c>
      <c r="L133" s="1867">
        <f t="shared" si="115"/>
        <v>698.649</v>
      </c>
      <c r="M133" s="1867">
        <f t="shared" si="115"/>
        <v>719.60847000000001</v>
      </c>
      <c r="N133" s="1867">
        <f t="shared" si="115"/>
        <v>723.20651234999991</v>
      </c>
      <c r="O133" s="1867">
        <f t="shared" si="115"/>
        <v>723.20651234999991</v>
      </c>
      <c r="P133" s="1867">
        <f t="shared" si="115"/>
        <v>737.67064259699987</v>
      </c>
      <c r="Q133" s="1867">
        <f t="shared" si="115"/>
        <v>754.26823205543235</v>
      </c>
      <c r="R133" s="1867">
        <f t="shared" ref="R133" si="116">R123</f>
        <v>769.35359669654099</v>
      </c>
      <c r="S133" s="1821"/>
      <c r="U133" s="1578"/>
      <c r="V133" s="1578"/>
    </row>
    <row r="134" spans="1:26" s="2105" customFormat="1" hidden="1" outlineLevel="1">
      <c r="A134" s="1821"/>
      <c r="B134" s="2108" t="s">
        <v>7055</v>
      </c>
      <c r="C134" s="1846"/>
      <c r="D134" s="1846"/>
      <c r="E134" s="1846"/>
      <c r="F134" s="1846"/>
      <c r="G134" s="1867"/>
      <c r="H134" s="1867"/>
      <c r="I134" s="1867">
        <f t="shared" ref="I134:R134" si="117">I141/SUM(I10,I18,I19)*1000</f>
        <v>555.23398048524916</v>
      </c>
      <c r="J134" s="1867">
        <f t="shared" si="117"/>
        <v>477.37298973850562</v>
      </c>
      <c r="K134" s="1867">
        <f t="shared" si="117"/>
        <v>458.01508198902201</v>
      </c>
      <c r="L134" s="1867">
        <f t="shared" si="117"/>
        <v>518.13638426606349</v>
      </c>
      <c r="M134" s="1867">
        <f t="shared" si="117"/>
        <v>609.70975582686208</v>
      </c>
      <c r="N134" s="1867">
        <f t="shared" si="117"/>
        <v>683.53331545855053</v>
      </c>
      <c r="O134" s="1867">
        <f t="shared" si="117"/>
        <v>712.04631190304281</v>
      </c>
      <c r="P134" s="1867">
        <f t="shared" si="117"/>
        <v>728.37544871533078</v>
      </c>
      <c r="Q134" s="1867">
        <f t="shared" si="117"/>
        <v>747.05626395189131</v>
      </c>
      <c r="R134" s="1867">
        <f t="shared" si="117"/>
        <v>766.7669917356053</v>
      </c>
      <c r="S134" s="1821"/>
      <c r="U134" s="1578"/>
      <c r="V134" s="2146"/>
    </row>
    <row r="135" spans="1:26" s="2109" customFormat="1" hidden="1" outlineLevel="1">
      <c r="A135" s="1821"/>
      <c r="B135" s="2111"/>
      <c r="C135" s="2112"/>
      <c r="D135" s="2112"/>
      <c r="E135" s="2112"/>
      <c r="F135" s="2112"/>
      <c r="G135" s="2113"/>
      <c r="H135" s="2113"/>
      <c r="I135" s="2113"/>
      <c r="J135" s="2113"/>
      <c r="K135" s="2113"/>
      <c r="L135" s="2113"/>
      <c r="M135" s="2113"/>
      <c r="N135" s="2113"/>
      <c r="O135" s="2113"/>
      <c r="P135" s="2113"/>
      <c r="Q135" s="2113"/>
      <c r="R135" s="2113"/>
      <c r="S135" s="1821"/>
      <c r="U135" s="1578"/>
      <c r="V135" s="2146"/>
    </row>
    <row r="136" spans="1:26" collapsed="1">
      <c r="A136" s="1821"/>
      <c r="B136" s="1829" t="s">
        <v>7054</v>
      </c>
      <c r="C136" s="1824"/>
      <c r="D136" s="1824"/>
      <c r="E136" s="1824"/>
      <c r="F136" s="1824"/>
      <c r="G136" s="1821"/>
      <c r="H136" s="1866"/>
      <c r="I136" s="1821"/>
      <c r="J136" s="1821"/>
      <c r="K136" s="1821"/>
      <c r="L136" s="1821"/>
      <c r="M136" s="1821"/>
      <c r="N136" s="1862"/>
      <c r="O136" s="1821"/>
      <c r="P136" s="1821"/>
      <c r="Q136" s="1865"/>
      <c r="R136" s="1865"/>
      <c r="S136" s="1821"/>
      <c r="U136" s="1578"/>
      <c r="V136" s="1579"/>
    </row>
    <row r="137" spans="1:26">
      <c r="A137" s="1821"/>
      <c r="B137" s="1864" t="s">
        <v>5979</v>
      </c>
      <c r="C137" s="1824"/>
      <c r="D137" s="1824"/>
      <c r="E137" s="1824"/>
      <c r="F137" s="1824"/>
      <c r="G137" s="1865"/>
      <c r="H137" s="1865">
        <f>SUM(H138:H140)</f>
        <v>924.33579649999979</v>
      </c>
      <c r="I137" s="1865">
        <f t="shared" ref="I137:P137" si="118">SUM(I138:I140)</f>
        <v>1141.2822867782118</v>
      </c>
      <c r="J137" s="1865">
        <f t="shared" si="118"/>
        <v>1174.9422347529371</v>
      </c>
      <c r="K137" s="1865">
        <f t="shared" si="118"/>
        <v>1141.6907277238504</v>
      </c>
      <c r="L137" s="1865">
        <f t="shared" si="118"/>
        <v>879.19221616408754</v>
      </c>
      <c r="M137" s="1865">
        <f t="shared" si="118"/>
        <v>493.6921788240046</v>
      </c>
      <c r="N137" s="1865">
        <f t="shared" si="118"/>
        <v>54.302960884788462</v>
      </c>
      <c r="O137" s="1865">
        <f t="shared" si="118"/>
        <v>0</v>
      </c>
      <c r="P137" s="1865">
        <f t="shared" si="118"/>
        <v>0</v>
      </c>
      <c r="Q137" s="1865">
        <f t="shared" ref="Q137" si="119">SUM(Q138:Q140)</f>
        <v>0</v>
      </c>
      <c r="R137" s="1865">
        <f t="shared" ref="R137" si="120">SUM(R138:R140)</f>
        <v>0</v>
      </c>
      <c r="S137" s="1821"/>
      <c r="U137" s="1578"/>
      <c r="V137" s="2146"/>
      <c r="X137" s="2035"/>
      <c r="Y137" s="2034"/>
      <c r="Z137" s="1731"/>
    </row>
    <row r="138" spans="1:26" hidden="1" outlineLevel="1">
      <c r="A138" s="1821"/>
      <c r="B138" s="1848" t="s">
        <v>7151</v>
      </c>
      <c r="C138" s="1846"/>
      <c r="D138" s="1846"/>
      <c r="E138" s="1846"/>
      <c r="F138" s="1846"/>
      <c r="G138" s="1867"/>
      <c r="H138" s="1867">
        <f t="shared" ref="H138:R138" si="121">H101*H7/1000</f>
        <v>609.61614312499989</v>
      </c>
      <c r="I138" s="1867">
        <f t="shared" si="121"/>
        <v>712.00076911128269</v>
      </c>
      <c r="J138" s="1867">
        <f t="shared" si="121"/>
        <v>706.66162169196662</v>
      </c>
      <c r="K138" s="1867">
        <f t="shared" si="121"/>
        <v>735.10556897690867</v>
      </c>
      <c r="L138" s="1867">
        <f t="shared" si="121"/>
        <v>590.82860427051776</v>
      </c>
      <c r="M138" s="1867">
        <f t="shared" si="121"/>
        <v>350.9521909366876</v>
      </c>
      <c r="N138" s="1867">
        <f t="shared" si="121"/>
        <v>50.537115494882975</v>
      </c>
      <c r="O138" s="1867">
        <f t="shared" si="121"/>
        <v>0</v>
      </c>
      <c r="P138" s="1867">
        <f t="shared" si="121"/>
        <v>0</v>
      </c>
      <c r="Q138" s="1867">
        <f t="shared" si="121"/>
        <v>0</v>
      </c>
      <c r="R138" s="1867">
        <f t="shared" si="121"/>
        <v>0</v>
      </c>
      <c r="S138" s="1821"/>
      <c r="U138" s="1578"/>
      <c r="V138" s="2147"/>
    </row>
    <row r="139" spans="1:26" hidden="1" outlineLevel="1">
      <c r="A139" s="1821"/>
      <c r="B139" s="1848" t="s">
        <v>7006</v>
      </c>
      <c r="C139" s="1846"/>
      <c r="D139" s="1846"/>
      <c r="E139" s="1846"/>
      <c r="F139" s="1846"/>
      <c r="G139" s="1867"/>
      <c r="H139" s="1867">
        <f t="shared" ref="H139:R139" si="122">H8*H103/1000</f>
        <v>261.00404999999995</v>
      </c>
      <c r="I139" s="1867">
        <f t="shared" si="122"/>
        <v>339.79548057445794</v>
      </c>
      <c r="J139" s="1867">
        <f t="shared" si="122"/>
        <v>335.77350712807777</v>
      </c>
      <c r="K139" s="1867">
        <f t="shared" si="122"/>
        <v>297.96541022545631</v>
      </c>
      <c r="L139" s="1867">
        <f t="shared" si="122"/>
        <v>211.32690179043104</v>
      </c>
      <c r="M139" s="1867">
        <f t="shared" si="122"/>
        <v>104.60681638626335</v>
      </c>
      <c r="N139" s="1867">
        <f t="shared" si="122"/>
        <v>3.7658453899054898</v>
      </c>
      <c r="O139" s="1867">
        <f t="shared" si="122"/>
        <v>0</v>
      </c>
      <c r="P139" s="1867">
        <f t="shared" si="122"/>
        <v>0</v>
      </c>
      <c r="Q139" s="1867">
        <f t="shared" si="122"/>
        <v>0</v>
      </c>
      <c r="R139" s="1867">
        <f t="shared" si="122"/>
        <v>0</v>
      </c>
      <c r="S139" s="1862"/>
      <c r="U139" s="1578"/>
      <c r="V139" s="1578"/>
    </row>
    <row r="140" spans="1:26" hidden="1" outlineLevel="1">
      <c r="A140" s="1821"/>
      <c r="B140" s="1848" t="s">
        <v>7007</v>
      </c>
      <c r="C140" s="1846"/>
      <c r="D140" s="1846"/>
      <c r="E140" s="1846"/>
      <c r="F140" s="1846"/>
      <c r="G140" s="1867"/>
      <c r="H140" s="1867">
        <f t="shared" ref="H140:R140" si="123">H9*H105/1000</f>
        <v>53.715603375000001</v>
      </c>
      <c r="I140" s="1867">
        <f t="shared" si="123"/>
        <v>89.48603709247125</v>
      </c>
      <c r="J140" s="1867">
        <f t="shared" si="123"/>
        <v>132.50710593289264</v>
      </c>
      <c r="K140" s="1867">
        <f t="shared" si="123"/>
        <v>108.6197485214855</v>
      </c>
      <c r="L140" s="1867">
        <f t="shared" si="123"/>
        <v>77.036710103138731</v>
      </c>
      <c r="M140" s="1867">
        <f t="shared" si="123"/>
        <v>38.133171501053681</v>
      </c>
      <c r="N140" s="1867">
        <f t="shared" si="123"/>
        <v>0</v>
      </c>
      <c r="O140" s="1867">
        <f t="shared" si="123"/>
        <v>0</v>
      </c>
      <c r="P140" s="1867">
        <f t="shared" si="123"/>
        <v>0</v>
      </c>
      <c r="Q140" s="1867">
        <f t="shared" si="123"/>
        <v>0</v>
      </c>
      <c r="R140" s="1867">
        <f t="shared" si="123"/>
        <v>0</v>
      </c>
      <c r="S140" s="1821"/>
      <c r="U140" s="1578"/>
      <c r="V140" s="1578"/>
    </row>
    <row r="141" spans="1:26" ht="13.5" collapsed="1" thickBot="1">
      <c r="A141" s="1821"/>
      <c r="B141" s="1864" t="s">
        <v>7055</v>
      </c>
      <c r="C141" s="1824"/>
      <c r="D141" s="1824"/>
      <c r="E141" s="1824"/>
      <c r="F141" s="1824"/>
      <c r="G141" s="1865"/>
      <c r="H141" s="1865">
        <f>SUM(H142:H149)</f>
        <v>44.521720321263942</v>
      </c>
      <c r="I141" s="1865">
        <f t="shared" ref="I141:P141" si="124">SUM(I142:I149)</f>
        <v>118.02578798383405</v>
      </c>
      <c r="J141" s="1865">
        <f t="shared" si="124"/>
        <v>201.73109941178546</v>
      </c>
      <c r="K141" s="1865">
        <f t="shared" si="124"/>
        <v>497.68017114744833</v>
      </c>
      <c r="L141" s="1865">
        <f t="shared" si="124"/>
        <v>1175.1224241428993</v>
      </c>
      <c r="M141" s="1865">
        <f t="shared" si="124"/>
        <v>2159.1993470884222</v>
      </c>
      <c r="N141" s="1865">
        <f t="shared" si="124"/>
        <v>3274.16308618735</v>
      </c>
      <c r="O141" s="1865">
        <f t="shared" si="124"/>
        <v>3876.187232778826</v>
      </c>
      <c r="P141" s="1865">
        <f t="shared" si="124"/>
        <v>4371.4546836405534</v>
      </c>
      <c r="Q141" s="1865">
        <f t="shared" ref="Q141" si="125">SUM(Q142:Q149)</f>
        <v>4867.6316579135146</v>
      </c>
      <c r="R141" s="1865">
        <f t="shared" ref="R141" si="126">SUM(R142:R149)</f>
        <v>5360.2327571161941</v>
      </c>
      <c r="S141" s="1824"/>
      <c r="U141" s="1578"/>
      <c r="V141" s="1578"/>
      <c r="Z141" s="1579"/>
    </row>
    <row r="142" spans="1:26" hidden="1" outlineLevel="1">
      <c r="A142" s="1821"/>
      <c r="B142" s="1848" t="s">
        <v>7151</v>
      </c>
      <c r="C142" s="1846"/>
      <c r="D142" s="1846"/>
      <c r="E142" s="1846"/>
      <c r="F142" s="1846"/>
      <c r="G142" s="1867"/>
      <c r="H142" s="1867">
        <f t="shared" ref="H142:R142" si="127">H107*H11/1000</f>
        <v>12.6</v>
      </c>
      <c r="I142" s="1867">
        <f t="shared" si="127"/>
        <v>35.858796300000002</v>
      </c>
      <c r="J142" s="1867">
        <f t="shared" si="127"/>
        <v>44.489857147709401</v>
      </c>
      <c r="K142" s="1867">
        <f t="shared" si="127"/>
        <v>92.371064731587083</v>
      </c>
      <c r="L142" s="1867">
        <f t="shared" si="127"/>
        <v>216.38257855669067</v>
      </c>
      <c r="M142" s="1867">
        <f t="shared" si="127"/>
        <v>356.04390028212504</v>
      </c>
      <c r="N142" s="1867">
        <f t="shared" si="127"/>
        <v>533.34050883903046</v>
      </c>
      <c r="O142" s="1867">
        <f t="shared" si="127"/>
        <v>596.30649689846086</v>
      </c>
      <c r="P142" s="1867">
        <f t="shared" si="127"/>
        <v>658.99404206647546</v>
      </c>
      <c r="Q142" s="1867">
        <f t="shared" si="127"/>
        <v>726.11578231692226</v>
      </c>
      <c r="R142" s="1867">
        <f t="shared" si="127"/>
        <v>792.5304283570573</v>
      </c>
      <c r="S142" s="1821"/>
      <c r="U142" s="1578"/>
      <c r="V142" s="1578"/>
    </row>
    <row r="143" spans="1:26" hidden="1" outlineLevel="1">
      <c r="A143" s="1821"/>
      <c r="B143" s="1848" t="s">
        <v>7006</v>
      </c>
      <c r="C143" s="1846"/>
      <c r="D143" s="1846"/>
      <c r="E143" s="1846"/>
      <c r="F143" s="1846"/>
      <c r="G143" s="1867"/>
      <c r="H143" s="1867">
        <f t="shared" ref="H143:R143" si="128">H109*H12/1000</f>
        <v>6.3</v>
      </c>
      <c r="I143" s="1867">
        <f t="shared" si="128"/>
        <v>16.159334939999994</v>
      </c>
      <c r="J143" s="1867">
        <f t="shared" si="128"/>
        <v>22.961565791980195</v>
      </c>
      <c r="K143" s="1867">
        <f t="shared" si="128"/>
        <v>57.489311274754911</v>
      </c>
      <c r="L143" s="1867">
        <f t="shared" si="128"/>
        <v>179.79872672304325</v>
      </c>
      <c r="M143" s="1867">
        <f t="shared" si="128"/>
        <v>291.69305023748052</v>
      </c>
      <c r="N143" s="1867">
        <f t="shared" si="128"/>
        <v>426.3745353711675</v>
      </c>
      <c r="O143" s="1867">
        <f t="shared" si="128"/>
        <v>490.49392528693551</v>
      </c>
      <c r="P143" s="1867">
        <f t="shared" si="128"/>
        <v>564.93967508892922</v>
      </c>
      <c r="Q143" s="1867">
        <f t="shared" si="128"/>
        <v>639.52041715022585</v>
      </c>
      <c r="R143" s="1867">
        <f t="shared" si="128"/>
        <v>714.39172664325963</v>
      </c>
      <c r="S143" s="1821"/>
      <c r="U143" s="1578"/>
      <c r="V143" s="1578"/>
    </row>
    <row r="144" spans="1:26" hidden="1" outlineLevel="1">
      <c r="A144" s="1821"/>
      <c r="B144" s="1848" t="s">
        <v>7007</v>
      </c>
      <c r="C144" s="1846"/>
      <c r="D144" s="1846"/>
      <c r="E144" s="1846"/>
      <c r="F144" s="1846"/>
      <c r="G144" s="1867"/>
      <c r="H144" s="1867">
        <f t="shared" ref="H144:R144" si="129">H111*H13/1000</f>
        <v>1.68</v>
      </c>
      <c r="I144" s="1867">
        <f t="shared" si="129"/>
        <v>24.845548560000001</v>
      </c>
      <c r="J144" s="1867">
        <f t="shared" si="129"/>
        <v>66.954508382815192</v>
      </c>
      <c r="K144" s="1867">
        <f t="shared" si="129"/>
        <v>166.81241159281421</v>
      </c>
      <c r="L144" s="1867">
        <f t="shared" si="129"/>
        <v>231.90956999568789</v>
      </c>
      <c r="M144" s="1867">
        <f t="shared" si="129"/>
        <v>336.35578970499188</v>
      </c>
      <c r="N144" s="1867">
        <f t="shared" si="129"/>
        <v>480.02342553522703</v>
      </c>
      <c r="O144" s="1867">
        <f t="shared" si="129"/>
        <v>560.32349378131585</v>
      </c>
      <c r="P144" s="1867">
        <f t="shared" si="129"/>
        <v>648.93914994337672</v>
      </c>
      <c r="Q144" s="1867">
        <f t="shared" si="129"/>
        <v>732.90470693811596</v>
      </c>
      <c r="R144" s="1867">
        <f t="shared" si="129"/>
        <v>813.05631887786649</v>
      </c>
      <c r="S144" s="1821"/>
      <c r="U144" s="1578"/>
      <c r="V144" s="1578"/>
    </row>
    <row r="145" spans="1:25" s="2114" customFormat="1" hidden="1" outlineLevel="1">
      <c r="A145" s="1821"/>
      <c r="B145" s="1848" t="s">
        <v>7161</v>
      </c>
      <c r="C145" s="1846"/>
      <c r="D145" s="1846"/>
      <c r="E145" s="1846"/>
      <c r="F145" s="1846"/>
      <c r="G145" s="1867"/>
      <c r="H145" s="1867"/>
      <c r="I145" s="1867"/>
      <c r="J145" s="1867"/>
      <c r="K145" s="1867">
        <f>K107*K14/1000</f>
        <v>36.886183635157117</v>
      </c>
      <c r="L145" s="1867">
        <f t="shared" ref="L145:R145" si="130">L115*L14/1000</f>
        <v>210.98970884736144</v>
      </c>
      <c r="M145" s="1867">
        <f t="shared" si="130"/>
        <v>546.2410866435697</v>
      </c>
      <c r="N145" s="1867">
        <f t="shared" si="130"/>
        <v>875.26558690960621</v>
      </c>
      <c r="O145" s="1867">
        <f t="shared" si="130"/>
        <v>1025.6850720767129</v>
      </c>
      <c r="P145" s="1867">
        <f t="shared" si="130"/>
        <v>1076.9693256805488</v>
      </c>
      <c r="Q145" s="1867">
        <f t="shared" si="130"/>
        <v>1130.8177919645764</v>
      </c>
      <c r="R145" s="1867">
        <f t="shared" si="130"/>
        <v>1187.358681562805</v>
      </c>
      <c r="S145" s="1821"/>
      <c r="U145" s="1578"/>
      <c r="V145" s="1578"/>
    </row>
    <row r="146" spans="1:25" s="2114" customFormat="1" hidden="1" outlineLevel="1">
      <c r="A146" s="1821"/>
      <c r="B146" s="1848" t="s">
        <v>7162</v>
      </c>
      <c r="C146" s="1846"/>
      <c r="D146" s="1846"/>
      <c r="E146" s="1846"/>
      <c r="F146" s="1846"/>
      <c r="G146" s="1867"/>
      <c r="H146" s="1867"/>
      <c r="I146" s="1867"/>
      <c r="J146" s="1867"/>
      <c r="K146" s="1867">
        <f>K109*K15/1000</f>
        <v>10.569725135220459</v>
      </c>
      <c r="L146" s="1867">
        <f t="shared" ref="L146:R146" si="131">L117*L15/1000</f>
        <v>91.960751326721081</v>
      </c>
      <c r="M146" s="1867">
        <f t="shared" si="131"/>
        <v>212.55841166783017</v>
      </c>
      <c r="N146" s="1867">
        <f t="shared" si="131"/>
        <v>327.04148683464746</v>
      </c>
      <c r="O146" s="1867">
        <f t="shared" si="131"/>
        <v>371.23250019368498</v>
      </c>
      <c r="P146" s="1867">
        <f t="shared" si="131"/>
        <v>389.79412520336922</v>
      </c>
      <c r="Q146" s="1867">
        <f t="shared" si="131"/>
        <v>409.28383146353769</v>
      </c>
      <c r="R146" s="1867">
        <f t="shared" si="131"/>
        <v>429.74802303671464</v>
      </c>
      <c r="S146" s="1821"/>
      <c r="U146" s="1578"/>
      <c r="V146" s="1578"/>
    </row>
    <row r="147" spans="1:25" s="2114" customFormat="1" hidden="1" outlineLevel="1">
      <c r="A147" s="1821"/>
      <c r="B147" s="1848" t="s">
        <v>7163</v>
      </c>
      <c r="C147" s="1846"/>
      <c r="D147" s="1846"/>
      <c r="E147" s="1846"/>
      <c r="F147" s="1846"/>
      <c r="G147" s="1867"/>
      <c r="H147" s="1867"/>
      <c r="I147" s="1867"/>
      <c r="J147" s="1867"/>
      <c r="K147" s="1867">
        <f>K111*K16/1000</f>
        <v>2.1397967219227807</v>
      </c>
      <c r="L147" s="1867">
        <f t="shared" ref="L147:R147" si="132">L119*L16/1000</f>
        <v>22.531664546329761</v>
      </c>
      <c r="M147" s="1867">
        <f t="shared" si="132"/>
        <v>33.412189537116369</v>
      </c>
      <c r="N147" s="1867">
        <f t="shared" si="132"/>
        <v>40.306515406025269</v>
      </c>
      <c r="O147" s="1867">
        <f t="shared" si="132"/>
        <v>45.487078707695446</v>
      </c>
      <c r="P147" s="1867">
        <f t="shared" si="132"/>
        <v>47.761432643080227</v>
      </c>
      <c r="Q147" s="1867">
        <f t="shared" si="132"/>
        <v>50.149504275234243</v>
      </c>
      <c r="R147" s="1867">
        <f t="shared" si="132"/>
        <v>52.656979488995958</v>
      </c>
      <c r="S147" s="1821"/>
      <c r="U147" s="1578"/>
      <c r="V147" s="1578"/>
    </row>
    <row r="148" spans="1:25" hidden="1" outlineLevel="1">
      <c r="A148" s="1821"/>
      <c r="B148" s="1904" t="s">
        <v>7058</v>
      </c>
      <c r="C148" s="1846"/>
      <c r="D148" s="1846"/>
      <c r="E148" s="1846"/>
      <c r="F148" s="1846"/>
      <c r="G148" s="1867"/>
      <c r="H148" s="1867">
        <f t="shared" ref="H148:R148" si="133">H121*H18/1000</f>
        <v>8.4374999999999982</v>
      </c>
      <c r="I148" s="1867">
        <f t="shared" si="133"/>
        <v>12.499676999999998</v>
      </c>
      <c r="J148" s="1867">
        <f t="shared" si="133"/>
        <v>15.635180357999998</v>
      </c>
      <c r="K148" s="1867">
        <f t="shared" si="133"/>
        <v>29.878691401091608</v>
      </c>
      <c r="L148" s="1867">
        <f t="shared" si="133"/>
        <v>80.178103510535692</v>
      </c>
      <c r="M148" s="1867">
        <f t="shared" si="133"/>
        <v>101.03812774287876</v>
      </c>
      <c r="N148" s="1867">
        <f t="shared" si="133"/>
        <v>105.785650875035</v>
      </c>
      <c r="O148" s="1867">
        <f t="shared" si="133"/>
        <v>123.66697020038031</v>
      </c>
      <c r="P148" s="1867">
        <f t="shared" si="133"/>
        <v>148.00362526550376</v>
      </c>
      <c r="Q148" s="1867">
        <f t="shared" si="133"/>
        <v>173.85839671720987</v>
      </c>
      <c r="R148" s="1867">
        <f t="shared" si="133"/>
        <v>197.97947448153971</v>
      </c>
      <c r="S148" s="1824"/>
      <c r="U148" s="1578"/>
      <c r="V148" s="1578"/>
    </row>
    <row r="149" spans="1:25" ht="13.5" hidden="1" outlineLevel="1" thickBot="1">
      <c r="A149" s="1821"/>
      <c r="B149" s="1904" t="s">
        <v>7012</v>
      </c>
      <c r="C149" s="1846"/>
      <c r="D149" s="1846"/>
      <c r="E149" s="1846"/>
      <c r="F149" s="1846"/>
      <c r="G149" s="1867"/>
      <c r="H149" s="1867">
        <f t="shared" ref="H149:R149" si="134">H123*H19/1000</f>
        <v>15.504220321263945</v>
      </c>
      <c r="I149" s="1867">
        <f t="shared" si="134"/>
        <v>28.662431183834055</v>
      </c>
      <c r="J149" s="1867">
        <f t="shared" si="134"/>
        <v>51.689987731280695</v>
      </c>
      <c r="K149" s="1867">
        <f t="shared" si="134"/>
        <v>101.53298665490017</v>
      </c>
      <c r="L149" s="1867">
        <f t="shared" si="134"/>
        <v>141.37132063652962</v>
      </c>
      <c r="M149" s="1867">
        <f t="shared" si="134"/>
        <v>281.85679127242963</v>
      </c>
      <c r="N149" s="1867">
        <f t="shared" si="134"/>
        <v>486.02537641661075</v>
      </c>
      <c r="O149" s="1867">
        <f t="shared" si="134"/>
        <v>662.99169563364035</v>
      </c>
      <c r="P149" s="1867">
        <f t="shared" si="134"/>
        <v>836.05330774926983</v>
      </c>
      <c r="Q149" s="1867">
        <f t="shared" si="134"/>
        <v>1004.9812270876921</v>
      </c>
      <c r="R149" s="1867">
        <f t="shared" si="134"/>
        <v>1172.5111246679555</v>
      </c>
      <c r="S149" s="1821"/>
      <c r="U149" s="1578"/>
      <c r="V149" s="1578"/>
    </row>
    <row r="150" spans="1:25" ht="13.5" collapsed="1" thickBot="1">
      <c r="A150" s="1821"/>
      <c r="B150" s="1959" t="s">
        <v>7057</v>
      </c>
      <c r="C150" s="1891"/>
      <c r="D150" s="1891"/>
      <c r="E150" s="1891"/>
      <c r="F150" s="1891"/>
      <c r="G150" s="1859"/>
      <c r="H150" s="1960">
        <f>+H137+H141</f>
        <v>968.85751682126374</v>
      </c>
      <c r="I150" s="1960">
        <f t="shared" ref="I150:P150" si="135">+I137+I141</f>
        <v>1259.3080747620459</v>
      </c>
      <c r="J150" s="1960">
        <f>+J137+J141</f>
        <v>1376.6733341647225</v>
      </c>
      <c r="K150" s="1859">
        <f>+K137+K141</f>
        <v>1639.3708988712988</v>
      </c>
      <c r="L150" s="1859">
        <f>+L137+L141</f>
        <v>2054.3146403069868</v>
      </c>
      <c r="M150" s="1859">
        <f t="shared" si="135"/>
        <v>2652.8915259124269</v>
      </c>
      <c r="N150" s="1859">
        <f>+N137+N141</f>
        <v>3328.4660470721383</v>
      </c>
      <c r="O150" s="2281">
        <f>+O137+O141</f>
        <v>3876.187232778826</v>
      </c>
      <c r="P150" s="2281">
        <f t="shared" si="135"/>
        <v>4371.4546836405534</v>
      </c>
      <c r="Q150" s="2281">
        <f t="shared" ref="Q150" si="136">+Q137+Q141</f>
        <v>4867.6316579135146</v>
      </c>
      <c r="R150" s="2282">
        <f t="shared" ref="R150" si="137">+R137+R141</f>
        <v>5360.2327571161941</v>
      </c>
      <c r="S150" s="1906">
        <f>(N150/J150)^0.25-100%</f>
        <v>0.24696225482699807</v>
      </c>
      <c r="T150" s="1906">
        <f>(Q150/J150)^(1/7)-100%</f>
        <v>0.19771987992348361</v>
      </c>
      <c r="U150" s="1578"/>
      <c r="V150" s="1578"/>
    </row>
    <row r="151" spans="1:25">
      <c r="A151" s="1821"/>
      <c r="B151" s="1861" t="s">
        <v>372</v>
      </c>
      <c r="C151" s="1821"/>
      <c r="D151" s="1821"/>
      <c r="E151" s="1821"/>
      <c r="F151" s="1821"/>
      <c r="G151" s="1862"/>
      <c r="H151" s="1862"/>
      <c r="I151" s="1903">
        <f>I150/H150-1</f>
        <v>0.29978665892351719</v>
      </c>
      <c r="J151" s="1903">
        <f t="shared" ref="J151:R151" si="138">J150/I150-1</f>
        <v>9.3198210791154867E-2</v>
      </c>
      <c r="K151" s="1903">
        <f t="shared" si="138"/>
        <v>0.19082055138807807</v>
      </c>
      <c r="L151" s="2148">
        <f>L150/K150-1</f>
        <v>0.25311156964014381</v>
      </c>
      <c r="M151" s="2148">
        <f t="shared" si="138"/>
        <v>0.29137546598801034</v>
      </c>
      <c r="N151" s="1903">
        <f t="shared" si="138"/>
        <v>0.2546559158416235</v>
      </c>
      <c r="O151" s="1903">
        <f t="shared" si="138"/>
        <v>0.16455663899245332</v>
      </c>
      <c r="P151" s="1903">
        <f t="shared" si="138"/>
        <v>0.12777180799562982</v>
      </c>
      <c r="Q151" s="1903">
        <f t="shared" si="138"/>
        <v>0.1135038585965038</v>
      </c>
      <c r="R151" s="1903">
        <f t="shared" si="138"/>
        <v>0.10119933754680011</v>
      </c>
      <c r="S151" s="1821"/>
      <c r="U151" s="1578"/>
      <c r="V151" s="1578"/>
    </row>
    <row r="152" spans="1:25" s="2211" customFormat="1">
      <c r="A152" s="1821"/>
      <c r="B152" s="1861"/>
      <c r="C152" s="1821"/>
      <c r="D152" s="1821"/>
      <c r="E152" s="1821"/>
      <c r="F152" s="1821"/>
      <c r="G152" s="1862"/>
      <c r="H152" s="2023"/>
      <c r="I152" s="2023"/>
      <c r="J152" s="2023"/>
      <c r="K152" s="2023"/>
      <c r="L152" s="2023"/>
      <c r="M152" s="2023"/>
      <c r="N152" s="2023"/>
      <c r="O152" s="2023"/>
      <c r="P152" s="2023"/>
      <c r="Q152" s="2023"/>
      <c r="R152" s="2023"/>
      <c r="S152" s="1821"/>
      <c r="U152" s="1578"/>
      <c r="V152" s="1578"/>
    </row>
    <row r="153" spans="1:25" s="2087" customFormat="1">
      <c r="A153" s="1821"/>
      <c r="B153" s="1861" t="s">
        <v>7182</v>
      </c>
      <c r="C153" s="1821"/>
      <c r="D153" s="1821"/>
      <c r="E153" s="1821"/>
      <c r="F153" s="1821"/>
      <c r="G153" s="1862"/>
      <c r="H153" s="2148"/>
      <c r="I153" s="2148">
        <v>0.17</v>
      </c>
      <c r="J153" s="2148">
        <v>0.21</v>
      </c>
      <c r="K153" s="2148">
        <v>0.28000000000000003</v>
      </c>
      <c r="L153" s="2148">
        <v>0.3</v>
      </c>
      <c r="M153" s="2144">
        <f>L153+2%</f>
        <v>0.32</v>
      </c>
      <c r="N153" s="2144">
        <f>M153+3%</f>
        <v>0.35</v>
      </c>
      <c r="O153" s="1902"/>
      <c r="P153" s="1902"/>
      <c r="Q153" s="1902"/>
      <c r="R153" s="1902"/>
      <c r="S153" s="1821"/>
      <c r="U153" s="1578"/>
      <c r="V153" s="1578"/>
    </row>
    <row r="154" spans="1:25" s="2087" customFormat="1">
      <c r="A154" s="1821"/>
      <c r="B154" s="1861"/>
      <c r="C154" s="1821"/>
      <c r="D154" s="1821"/>
      <c r="E154" s="1821"/>
      <c r="F154" s="1821"/>
      <c r="G154" s="1862"/>
      <c r="H154" s="1862"/>
      <c r="I154" s="1903"/>
      <c r="J154" s="1903"/>
      <c r="K154" s="2023"/>
      <c r="L154" s="2023"/>
      <c r="M154" s="2023"/>
      <c r="N154" s="2023"/>
      <c r="O154" s="2023"/>
      <c r="P154" s="2023"/>
      <c r="Q154" s="2023"/>
      <c r="R154" s="2023"/>
      <c r="S154" s="1821"/>
      <c r="U154" s="1578"/>
      <c r="V154" s="1578"/>
    </row>
    <row r="155" spans="1:25" s="2087" customFormat="1" hidden="1" outlineLevel="1">
      <c r="A155" s="1821"/>
      <c r="B155" s="1833" t="s">
        <v>7129</v>
      </c>
      <c r="C155" s="1834"/>
      <c r="D155" s="1834"/>
      <c r="E155" s="1834"/>
      <c r="F155" s="1834"/>
      <c r="G155" s="1835"/>
      <c r="H155" s="1834"/>
      <c r="I155" s="1836"/>
      <c r="J155" s="1836"/>
      <c r="K155" s="1836"/>
      <c r="L155" s="1836"/>
      <c r="M155" s="1836"/>
      <c r="N155" s="1905"/>
      <c r="O155" s="1836"/>
      <c r="P155" s="1836"/>
      <c r="Q155" s="1836"/>
      <c r="R155" s="1836"/>
      <c r="S155" s="1821"/>
      <c r="U155" s="1578"/>
      <c r="V155" s="1578"/>
      <c r="Y155" s="1788"/>
    </row>
    <row r="156" spans="1:25" s="2087" customFormat="1" hidden="1" outlineLevel="1">
      <c r="A156" s="1821"/>
      <c r="B156" s="1833" t="s">
        <v>5979</v>
      </c>
      <c r="C156" s="1834"/>
      <c r="D156" s="1834"/>
      <c r="E156" s="1834"/>
      <c r="F156" s="1834"/>
      <c r="G156" s="1836"/>
      <c r="H156" s="1837">
        <f>H137/H$150</f>
        <v>0.95404719522914394</v>
      </c>
      <c r="I156" s="1837">
        <f t="shared" ref="I156:Q156" si="139">I137/I$150</f>
        <v>0.90627727213919773</v>
      </c>
      <c r="J156" s="1837">
        <f t="shared" si="139"/>
        <v>0.85346480213900344</v>
      </c>
      <c r="K156" s="1837">
        <f t="shared" si="139"/>
        <v>0.69642002826200011</v>
      </c>
      <c r="L156" s="1837">
        <f t="shared" si="139"/>
        <v>0.42797349486479119</v>
      </c>
      <c r="M156" s="1837">
        <f t="shared" si="139"/>
        <v>0.18609587840354902</v>
      </c>
      <c r="N156" s="2202">
        <f t="shared" si="139"/>
        <v>1.6314710775720751E-2</v>
      </c>
      <c r="O156" s="1837">
        <f t="shared" si="139"/>
        <v>0</v>
      </c>
      <c r="P156" s="1837">
        <f t="shared" si="139"/>
        <v>0</v>
      </c>
      <c r="Q156" s="1837">
        <f t="shared" si="139"/>
        <v>0</v>
      </c>
      <c r="R156" s="1837">
        <f t="shared" ref="R156" si="140">R137/R$150</f>
        <v>0</v>
      </c>
      <c r="S156" s="1821"/>
      <c r="U156" s="1578"/>
      <c r="V156" s="1578"/>
      <c r="X156" s="1788"/>
    </row>
    <row r="157" spans="1:25" s="2087" customFormat="1" hidden="1" outlineLevel="1">
      <c r="A157" s="1821"/>
      <c r="B157" s="1833" t="s">
        <v>7151</v>
      </c>
      <c r="C157" s="1834"/>
      <c r="D157" s="1834"/>
      <c r="E157" s="1834"/>
      <c r="F157" s="1834"/>
      <c r="G157" s="1836"/>
      <c r="H157" s="1837">
        <f t="shared" ref="H157:Q157" si="141">H138/H$150</f>
        <v>0.62921134691207936</v>
      </c>
      <c r="I157" s="1837">
        <f t="shared" si="141"/>
        <v>0.56539045796702259</v>
      </c>
      <c r="J157" s="1837">
        <f t="shared" si="141"/>
        <v>0.5133110405750132</v>
      </c>
      <c r="K157" s="1837">
        <f t="shared" si="141"/>
        <v>0.44840711121749588</v>
      </c>
      <c r="L157" s="1837">
        <f t="shared" si="141"/>
        <v>0.28760375488646045</v>
      </c>
      <c r="M157" s="1837">
        <f t="shared" si="141"/>
        <v>0.13229044139525539</v>
      </c>
      <c r="N157" s="2202">
        <f t="shared" si="141"/>
        <v>1.5183305096153104E-2</v>
      </c>
      <c r="O157" s="1837">
        <f t="shared" si="141"/>
        <v>0</v>
      </c>
      <c r="P157" s="1837">
        <f t="shared" si="141"/>
        <v>0</v>
      </c>
      <c r="Q157" s="1837">
        <f t="shared" si="141"/>
        <v>0</v>
      </c>
      <c r="R157" s="1837">
        <f t="shared" ref="R157" si="142">R138/R$150</f>
        <v>0</v>
      </c>
      <c r="S157" s="1821"/>
      <c r="U157" s="1578"/>
      <c r="V157" s="1578"/>
    </row>
    <row r="158" spans="1:25" s="2087" customFormat="1" hidden="1" outlineLevel="1">
      <c r="A158" s="1821"/>
      <c r="B158" s="1833" t="s">
        <v>7006</v>
      </c>
      <c r="C158" s="1834"/>
      <c r="D158" s="1834"/>
      <c r="E158" s="1834"/>
      <c r="F158" s="1834"/>
      <c r="G158" s="1836"/>
      <c r="H158" s="1837">
        <f t="shared" ref="H158:Q158" si="143">H139/H$150</f>
        <v>0.26939363680258299</v>
      </c>
      <c r="I158" s="1837">
        <f t="shared" si="143"/>
        <v>0.26982712759835548</v>
      </c>
      <c r="J158" s="1837">
        <f t="shared" si="143"/>
        <v>0.24390209267168211</v>
      </c>
      <c r="K158" s="1837">
        <f t="shared" si="143"/>
        <v>0.18175594701028575</v>
      </c>
      <c r="L158" s="1837">
        <f t="shared" si="143"/>
        <v>0.10286978325717981</v>
      </c>
      <c r="M158" s="1837">
        <f t="shared" si="143"/>
        <v>3.9431245252398786E-2</v>
      </c>
      <c r="N158" s="2202">
        <f t="shared" si="143"/>
        <v>1.1314056795676463E-3</v>
      </c>
      <c r="O158" s="1837">
        <f t="shared" si="143"/>
        <v>0</v>
      </c>
      <c r="P158" s="1837">
        <f t="shared" si="143"/>
        <v>0</v>
      </c>
      <c r="Q158" s="1837">
        <f t="shared" si="143"/>
        <v>0</v>
      </c>
      <c r="R158" s="1837">
        <f t="shared" ref="R158" si="144">R139/R$150</f>
        <v>0</v>
      </c>
      <c r="S158" s="1821"/>
      <c r="U158" s="1578"/>
      <c r="V158" s="1578"/>
    </row>
    <row r="159" spans="1:25" s="2087" customFormat="1" hidden="1" outlineLevel="1">
      <c r="A159" s="1821"/>
      <c r="B159" s="1833" t="s">
        <v>7007</v>
      </c>
      <c r="C159" s="1834"/>
      <c r="D159" s="1834"/>
      <c r="E159" s="1834"/>
      <c r="F159" s="1834"/>
      <c r="G159" s="1836"/>
      <c r="H159" s="1837">
        <f t="shared" ref="H159:Q159" si="145">H140/H$150</f>
        <v>5.5442211514481685E-2</v>
      </c>
      <c r="I159" s="1837">
        <f t="shared" si="145"/>
        <v>7.1059686573819669E-2</v>
      </c>
      <c r="J159" s="1837">
        <f t="shared" si="145"/>
        <v>9.6251668892308059E-2</v>
      </c>
      <c r="K159" s="1837">
        <f t="shared" si="145"/>
        <v>6.6256970034218515E-2</v>
      </c>
      <c r="L159" s="1837">
        <f t="shared" si="145"/>
        <v>3.7499956721150925E-2</v>
      </c>
      <c r="M159" s="1837">
        <f t="shared" si="145"/>
        <v>1.4374191755894838E-2</v>
      </c>
      <c r="N159" s="2202">
        <f t="shared" si="145"/>
        <v>0</v>
      </c>
      <c r="O159" s="1837">
        <f t="shared" si="145"/>
        <v>0</v>
      </c>
      <c r="P159" s="1837">
        <f t="shared" si="145"/>
        <v>0</v>
      </c>
      <c r="Q159" s="1837">
        <f t="shared" si="145"/>
        <v>0</v>
      </c>
      <c r="R159" s="1837">
        <f t="shared" ref="R159" si="146">R140/R$150</f>
        <v>0</v>
      </c>
      <c r="S159" s="1821"/>
      <c r="U159" s="1578"/>
      <c r="V159" s="1578"/>
    </row>
    <row r="160" spans="1:25" s="2087" customFormat="1" hidden="1" outlineLevel="1">
      <c r="A160" s="1821"/>
      <c r="B160" s="1833" t="s">
        <v>7011</v>
      </c>
      <c r="C160" s="1834"/>
      <c r="D160" s="1834"/>
      <c r="E160" s="1834"/>
      <c r="F160" s="1834"/>
      <c r="G160" s="1836"/>
      <c r="H160" s="1837">
        <f>SUM(H161:H166)</f>
        <v>2.1241513476120997E-2</v>
      </c>
      <c r="I160" s="1837">
        <f t="shared" ref="I160:Q160" si="147">SUM(I161:I166)</f>
        <v>6.103643845412797E-2</v>
      </c>
      <c r="J160" s="1837">
        <f t="shared" si="147"/>
        <v>9.7630954262692776E-2</v>
      </c>
      <c r="K160" s="1837">
        <f t="shared" si="147"/>
        <v>0.22342015058558815</v>
      </c>
      <c r="L160" s="1837">
        <f t="shared" si="147"/>
        <v>0.46418059886548679</v>
      </c>
      <c r="M160" s="1837">
        <f t="shared" si="147"/>
        <v>0.6695729586840824</v>
      </c>
      <c r="N160" s="2202">
        <f t="shared" si="147"/>
        <v>0.80588235570412869</v>
      </c>
      <c r="O160" s="1837">
        <f t="shared" si="147"/>
        <v>0.79705349133249492</v>
      </c>
      <c r="P160" s="1837">
        <f t="shared" si="147"/>
        <v>0.77489028155834616</v>
      </c>
      <c r="Q160" s="1837">
        <f t="shared" si="147"/>
        <v>0.75782070077377095</v>
      </c>
      <c r="R160" s="1837">
        <f t="shared" ref="R160" si="148">SUM(R161:R166)</f>
        <v>0.7443225581333115</v>
      </c>
      <c r="S160" s="1821"/>
      <c r="U160" s="1578"/>
      <c r="V160" s="1578"/>
    </row>
    <row r="161" spans="1:22" s="2087" customFormat="1" hidden="1" outlineLevel="1">
      <c r="A161" s="1821"/>
      <c r="B161" s="1833" t="s">
        <v>7151</v>
      </c>
      <c r="C161" s="1834"/>
      <c r="D161" s="1834"/>
      <c r="E161" s="1834"/>
      <c r="F161" s="1834"/>
      <c r="G161" s="1836"/>
      <c r="H161" s="1837">
        <f t="shared" ref="H161:Q161" si="149">H142/H$150</f>
        <v>1.3005008250686324E-2</v>
      </c>
      <c r="I161" s="1837">
        <f t="shared" si="149"/>
        <v>2.8474999103595636E-2</v>
      </c>
      <c r="J161" s="1837">
        <f t="shared" si="149"/>
        <v>3.2316930998524063E-2</v>
      </c>
      <c r="K161" s="1837">
        <f t="shared" si="149"/>
        <v>5.6345433968105839E-2</v>
      </c>
      <c r="L161" s="1837">
        <f t="shared" si="149"/>
        <v>0.10533078736388478</v>
      </c>
      <c r="M161" s="1837">
        <f t="shared" si="149"/>
        <v>0.13420974691366941</v>
      </c>
      <c r="N161" s="2202">
        <f t="shared" si="149"/>
        <v>0.1602361271818229</v>
      </c>
      <c r="O161" s="1837">
        <f t="shared" si="149"/>
        <v>0.15383841416529578</v>
      </c>
      <c r="P161" s="1837">
        <f t="shared" si="149"/>
        <v>0.15074937057740795</v>
      </c>
      <c r="Q161" s="1837">
        <f t="shared" si="149"/>
        <v>0.14917229432026663</v>
      </c>
      <c r="R161" s="1837">
        <f t="shared" ref="R161" si="150">R142/R$150</f>
        <v>0.14785373402020677</v>
      </c>
      <c r="S161" s="1821"/>
      <c r="U161" s="1578"/>
      <c r="V161" s="1578"/>
    </row>
    <row r="162" spans="1:22" s="2087" customFormat="1" hidden="1" outlineLevel="1">
      <c r="A162" s="1821"/>
      <c r="B162" s="1833" t="s">
        <v>7006</v>
      </c>
      <c r="C162" s="1834"/>
      <c r="D162" s="1834"/>
      <c r="E162" s="1834"/>
      <c r="F162" s="1834"/>
      <c r="G162" s="1836"/>
      <c r="H162" s="1837">
        <f t="shared" ref="H162:Q162" si="151">H143/H$150</f>
        <v>6.5025041253431622E-3</v>
      </c>
      <c r="I162" s="1837">
        <f t="shared" si="151"/>
        <v>1.2831915608143306E-2</v>
      </c>
      <c r="J162" s="1837">
        <f t="shared" si="151"/>
        <v>1.6679022700698862E-2</v>
      </c>
      <c r="K162" s="1837">
        <f t="shared" si="151"/>
        <v>3.5067910083274083E-2</v>
      </c>
      <c r="L162" s="1837">
        <f t="shared" si="151"/>
        <v>8.7522487157164486E-2</v>
      </c>
      <c r="M162" s="1837">
        <f t="shared" si="151"/>
        <v>0.10995287496240788</v>
      </c>
      <c r="N162" s="2202">
        <f t="shared" si="151"/>
        <v>0.12809940956021615</v>
      </c>
      <c r="O162" s="1837">
        <f t="shared" si="151"/>
        <v>0.126540307738257</v>
      </c>
      <c r="P162" s="1837">
        <f t="shared" si="151"/>
        <v>0.1292337942340161</v>
      </c>
      <c r="Q162" s="1837">
        <f t="shared" si="151"/>
        <v>0.1313822536490678</v>
      </c>
      <c r="R162" s="1837">
        <f t="shared" ref="R162" si="152">R143/R$150</f>
        <v>0.13327625105362076</v>
      </c>
      <c r="S162" s="1821"/>
      <c r="U162" s="1578"/>
      <c r="V162" s="1578"/>
    </row>
    <row r="163" spans="1:22" s="2087" customFormat="1" hidden="1" outlineLevel="1">
      <c r="A163" s="1821"/>
      <c r="B163" s="1833" t="s">
        <v>7007</v>
      </c>
      <c r="C163" s="1834"/>
      <c r="D163" s="1834"/>
      <c r="E163" s="1834"/>
      <c r="F163" s="1834"/>
      <c r="G163" s="1836"/>
      <c r="H163" s="1837">
        <f t="shared" ref="H163:Q163" si="153">H144/H$150</f>
        <v>1.7340011000915099E-3</v>
      </c>
      <c r="I163" s="1837">
        <f t="shared" si="153"/>
        <v>1.9729523742389028E-2</v>
      </c>
      <c r="J163" s="1837">
        <f t="shared" si="153"/>
        <v>4.8635000563469845E-2</v>
      </c>
      <c r="K163" s="1837">
        <f t="shared" si="153"/>
        <v>0.10175391774226564</v>
      </c>
      <c r="L163" s="1837">
        <f t="shared" si="153"/>
        <v>0.11288902169388836</v>
      </c>
      <c r="M163" s="1837">
        <f t="shared" si="153"/>
        <v>0.12678836900023899</v>
      </c>
      <c r="N163" s="2202">
        <f t="shared" si="153"/>
        <v>0.14421761218128581</v>
      </c>
      <c r="O163" s="1837">
        <f t="shared" si="153"/>
        <v>0.14455532205538527</v>
      </c>
      <c r="P163" s="1837">
        <f t="shared" si="153"/>
        <v>0.14844924559596243</v>
      </c>
      <c r="Q163" s="1837">
        <f t="shared" si="153"/>
        <v>0.15056700228058584</v>
      </c>
      <c r="R163" s="1837">
        <f t="shared" ref="R163" si="154">R144/R$150</f>
        <v>0.15168302492059896</v>
      </c>
      <c r="S163" s="1821"/>
      <c r="U163" s="1578"/>
      <c r="V163" s="1578"/>
    </row>
    <row r="164" spans="1:22" s="2114" customFormat="1" hidden="1" outlineLevel="1">
      <c r="A164" s="1821"/>
      <c r="B164" s="2145" t="s">
        <v>7161</v>
      </c>
      <c r="C164" s="1834"/>
      <c r="D164" s="1834"/>
      <c r="E164" s="1834"/>
      <c r="F164" s="1834"/>
      <c r="G164" s="1836"/>
      <c r="H164" s="1837">
        <f t="shared" ref="H164:Q164" si="155">H145/H$150</f>
        <v>0</v>
      </c>
      <c r="I164" s="1837">
        <f t="shared" si="155"/>
        <v>0</v>
      </c>
      <c r="J164" s="1837">
        <f t="shared" si="155"/>
        <v>0</v>
      </c>
      <c r="K164" s="1837">
        <f t="shared" si="155"/>
        <v>2.2500206427083173E-2</v>
      </c>
      <c r="L164" s="1837">
        <f t="shared" si="155"/>
        <v>0.10270564435827229</v>
      </c>
      <c r="M164" s="1837">
        <f t="shared" si="155"/>
        <v>0.20590404142351704</v>
      </c>
      <c r="N164" s="2202">
        <f t="shared" si="155"/>
        <v>0.26296365188388432</v>
      </c>
      <c r="O164" s="1837">
        <f t="shared" si="155"/>
        <v>0.2646118493459364</v>
      </c>
      <c r="P164" s="1837">
        <f t="shared" si="155"/>
        <v>0.24636406039182529</v>
      </c>
      <c r="Q164" s="1837">
        <f t="shared" si="155"/>
        <v>0.2323137557309124</v>
      </c>
      <c r="R164" s="1837">
        <f t="shared" ref="R164" si="156">R145/R$150</f>
        <v>0.22151252293782933</v>
      </c>
      <c r="S164" s="1821"/>
      <c r="U164" s="1578"/>
      <c r="V164" s="1578"/>
    </row>
    <row r="165" spans="1:22" s="2114" customFormat="1" hidden="1" outlineLevel="1">
      <c r="A165" s="1821"/>
      <c r="B165" s="2145" t="s">
        <v>7162</v>
      </c>
      <c r="C165" s="1834"/>
      <c r="D165" s="1834"/>
      <c r="E165" s="1834"/>
      <c r="F165" s="1834"/>
      <c r="G165" s="1836"/>
      <c r="H165" s="1837">
        <f t="shared" ref="H165:Q165" si="157">H146/H$150</f>
        <v>0</v>
      </c>
      <c r="I165" s="1837">
        <f t="shared" si="157"/>
        <v>0</v>
      </c>
      <c r="J165" s="1837">
        <f t="shared" si="157"/>
        <v>0</v>
      </c>
      <c r="K165" s="1837">
        <f t="shared" si="157"/>
        <v>6.4474275726729554E-3</v>
      </c>
      <c r="L165" s="1837">
        <f t="shared" si="157"/>
        <v>4.4764686734150377E-2</v>
      </c>
      <c r="M165" s="1837">
        <f t="shared" si="157"/>
        <v>8.0123295502903577E-2</v>
      </c>
      <c r="N165" s="2202">
        <f t="shared" si="157"/>
        <v>9.82559179542562E-2</v>
      </c>
      <c r="O165" s="1837">
        <f t="shared" si="157"/>
        <v>9.5772592472925924E-2</v>
      </c>
      <c r="P165" s="1837">
        <f t="shared" si="157"/>
        <v>8.9168058097939179E-2</v>
      </c>
      <c r="Q165" s="1837">
        <f t="shared" si="157"/>
        <v>8.4082745003547607E-2</v>
      </c>
      <c r="R165" s="1837">
        <f t="shared" ref="R165" si="158">R146/R$150</f>
        <v>8.0173388453362443E-2</v>
      </c>
      <c r="S165" s="1821"/>
      <c r="U165" s="1578"/>
      <c r="V165" s="1578"/>
    </row>
    <row r="166" spans="1:22" s="2114" customFormat="1" hidden="1" outlineLevel="1">
      <c r="A166" s="1821"/>
      <c r="B166" s="2145" t="s">
        <v>7163</v>
      </c>
      <c r="C166" s="1834"/>
      <c r="D166" s="1834"/>
      <c r="E166" s="1834"/>
      <c r="F166" s="1834"/>
      <c r="G166" s="1836"/>
      <c r="H166" s="1837">
        <f t="shared" ref="H166:Q166" si="159">H147/H$150</f>
        <v>0</v>
      </c>
      <c r="I166" s="1837">
        <f t="shared" si="159"/>
        <v>0</v>
      </c>
      <c r="J166" s="1837">
        <f t="shared" si="159"/>
        <v>0</v>
      </c>
      <c r="K166" s="1837">
        <f t="shared" si="159"/>
        <v>1.305254792186456E-3</v>
      </c>
      <c r="L166" s="1837">
        <f t="shared" si="159"/>
        <v>1.096797155812643E-2</v>
      </c>
      <c r="M166" s="1837">
        <f t="shared" si="159"/>
        <v>1.2594630881345475E-2</v>
      </c>
      <c r="N166" s="2202">
        <f t="shared" si="159"/>
        <v>1.2109636942663307E-2</v>
      </c>
      <c r="O166" s="1837">
        <f t="shared" si="159"/>
        <v>1.1735005554694505E-2</v>
      </c>
      <c r="P166" s="1837">
        <f t="shared" si="159"/>
        <v>1.0925752661195252E-2</v>
      </c>
      <c r="Q166" s="1837">
        <f t="shared" si="159"/>
        <v>1.0302649789390715E-2</v>
      </c>
      <c r="R166" s="1837">
        <f t="shared" ref="R166" si="160">R147/R$150</f>
        <v>9.8236367476932894E-3</v>
      </c>
      <c r="S166" s="1821"/>
      <c r="U166" s="1578"/>
      <c r="V166" s="1578"/>
    </row>
    <row r="167" spans="1:22" s="2087" customFormat="1" hidden="1" outlineLevel="1">
      <c r="A167" s="1821"/>
      <c r="B167" s="1833" t="s">
        <v>6957</v>
      </c>
      <c r="C167" s="1834"/>
      <c r="D167" s="1834"/>
      <c r="E167" s="1834"/>
      <c r="F167" s="1834"/>
      <c r="G167" s="1836"/>
      <c r="H167" s="1837">
        <f t="shared" ref="H167:Q167" si="161">H148/H$150</f>
        <v>8.7087108821560198E-3</v>
      </c>
      <c r="I167" s="1837">
        <f t="shared" si="161"/>
        <v>9.925829310958631E-3</v>
      </c>
      <c r="J167" s="1837">
        <f t="shared" si="161"/>
        <v>1.1357218862299259E-2</v>
      </c>
      <c r="K167" s="1837">
        <f t="shared" si="161"/>
        <v>1.8225705617723839E-2</v>
      </c>
      <c r="L167" s="1837">
        <f t="shared" si="161"/>
        <v>3.9029125304074291E-2</v>
      </c>
      <c r="M167" s="1837">
        <f t="shared" si="161"/>
        <v>3.8086038104452095E-2</v>
      </c>
      <c r="N167" s="2202">
        <f t="shared" si="161"/>
        <v>3.1782103040554857E-2</v>
      </c>
      <c r="O167" s="1837">
        <f t="shared" si="161"/>
        <v>3.1904281907384507E-2</v>
      </c>
      <c r="P167" s="1837">
        <f t="shared" si="161"/>
        <v>3.3856836219618804E-2</v>
      </c>
      <c r="Q167" s="1837">
        <f t="shared" si="161"/>
        <v>3.5717245867312272E-2</v>
      </c>
      <c r="R167" s="1837">
        <f t="shared" ref="R167" si="162">R148/R$150</f>
        <v>3.6934865229257825E-2</v>
      </c>
      <c r="S167" s="1821"/>
      <c r="U167" s="1578"/>
      <c r="V167" s="1578"/>
    </row>
    <row r="168" spans="1:22" s="2087" customFormat="1" hidden="1" outlineLevel="1">
      <c r="A168" s="1821"/>
      <c r="B168" s="1833" t="s">
        <v>7012</v>
      </c>
      <c r="C168" s="1834"/>
      <c r="D168" s="1834"/>
      <c r="E168" s="1834"/>
      <c r="F168" s="1834"/>
      <c r="G168" s="1836"/>
      <c r="H168" s="1837">
        <f t="shared" ref="H168:Q168" si="163">H149/H$150</f>
        <v>1.6002580412579064E-2</v>
      </c>
      <c r="I168" s="1837">
        <f t="shared" si="163"/>
        <v>2.2760460095715657E-2</v>
      </c>
      <c r="J168" s="1837">
        <f t="shared" si="163"/>
        <v>3.7547024736004547E-2</v>
      </c>
      <c r="K168" s="1837">
        <f t="shared" si="163"/>
        <v>6.1934115534687896E-2</v>
      </c>
      <c r="L168" s="1837">
        <f t="shared" si="163"/>
        <v>6.8816780965647875E-2</v>
      </c>
      <c r="M168" s="1837">
        <f t="shared" si="163"/>
        <v>0.10624512480791642</v>
      </c>
      <c r="N168" s="2202">
        <f t="shared" si="163"/>
        <v>0.14602083047959571</v>
      </c>
      <c r="O168" s="1837">
        <f t="shared" si="163"/>
        <v>0.1710422267601206</v>
      </c>
      <c r="P168" s="1837">
        <f t="shared" si="163"/>
        <v>0.19125288222203496</v>
      </c>
      <c r="Q168" s="1837">
        <f t="shared" si="163"/>
        <v>0.20646205335891668</v>
      </c>
      <c r="R168" s="1837">
        <f t="shared" ref="R168" si="164">R149/R$150</f>
        <v>0.21874257663743069</v>
      </c>
      <c r="S168" s="1821"/>
      <c r="U168" s="1578"/>
      <c r="V168" s="2146"/>
    </row>
    <row r="169" spans="1:22" s="2087" customFormat="1" collapsed="1">
      <c r="A169" s="1821"/>
      <c r="B169" s="1861"/>
      <c r="C169" s="1821"/>
      <c r="D169" s="1821"/>
      <c r="E169" s="1821"/>
      <c r="F169" s="1821"/>
      <c r="G169" s="1862"/>
      <c r="H169" s="1862"/>
      <c r="I169" s="1903"/>
      <c r="J169" s="1903"/>
      <c r="K169" s="1903"/>
      <c r="L169" s="1903"/>
      <c r="M169" s="1903"/>
      <c r="N169" s="1903"/>
      <c r="O169" s="1903"/>
      <c r="P169" s="1903"/>
      <c r="Q169" s="1903"/>
      <c r="R169" s="1903"/>
      <c r="S169" s="1821"/>
      <c r="U169" s="1578"/>
      <c r="V169" s="2146"/>
    </row>
    <row r="170" spans="1:22" ht="12.75" customHeight="1">
      <c r="A170" s="1821"/>
      <c r="B170" s="1829" t="s">
        <v>2390</v>
      </c>
      <c r="C170" s="1821"/>
      <c r="D170" s="1821"/>
      <c r="E170" s="1821"/>
      <c r="F170" s="1821"/>
      <c r="G170" s="1862"/>
      <c r="H170" s="1862"/>
      <c r="I170" s="1872"/>
      <c r="J170" s="1872"/>
      <c r="K170" s="1872"/>
      <c r="L170" s="1872"/>
      <c r="M170" s="1872"/>
      <c r="N170" s="1872"/>
      <c r="O170" s="1872"/>
      <c r="P170" s="1872"/>
      <c r="Q170" s="1872"/>
      <c r="R170" s="1872"/>
      <c r="S170" s="1821"/>
      <c r="U170" s="1578"/>
      <c r="V170" s="1578"/>
    </row>
    <row r="171" spans="1:22">
      <c r="A171" s="1821"/>
      <c r="B171" s="1861"/>
      <c r="C171" s="1821"/>
      <c r="D171" s="1821"/>
      <c r="E171" s="1821"/>
      <c r="F171" s="1821"/>
      <c r="G171" s="1862"/>
      <c r="H171" s="1862"/>
      <c r="I171" s="1862"/>
      <c r="J171" s="1862"/>
      <c r="K171" s="1862"/>
      <c r="L171" s="1862"/>
      <c r="M171" s="1862"/>
      <c r="N171" s="1862"/>
      <c r="O171" s="1862"/>
      <c r="P171" s="1862"/>
      <c r="Q171" s="1862"/>
      <c r="R171" s="1862"/>
      <c r="S171" s="1821"/>
      <c r="U171" s="1578"/>
      <c r="V171" s="1578"/>
    </row>
    <row r="172" spans="1:22" ht="12.75" customHeight="1">
      <c r="A172" s="1824"/>
      <c r="B172" s="1864" t="s">
        <v>7014</v>
      </c>
      <c r="C172" s="1824"/>
      <c r="D172" s="1824"/>
      <c r="E172" s="1824"/>
      <c r="F172" s="1824"/>
      <c r="G172" s="1918">
        <f>1189.3-G192</f>
        <v>1009.3</v>
      </c>
      <c r="H172" s="1918">
        <f>(H35)*H99/1000-H192</f>
        <v>1066.8634999999999</v>
      </c>
      <c r="I172" s="1918">
        <f>(I35)*I99/1000-I192</f>
        <v>1069.612747055</v>
      </c>
      <c r="J172" s="1918">
        <f>(J35)*J99/1000-J192</f>
        <v>1215.3375636114088</v>
      </c>
      <c r="K172" s="1918">
        <f>(K35)*K99/1000-K192*0.255</f>
        <v>251.24366212287214</v>
      </c>
      <c r="L172" s="1918">
        <f t="shared" ref="L172:R172" si="165">(L35)*L99/1000</f>
        <v>0</v>
      </c>
      <c r="M172" s="1918">
        <f t="shared" si="165"/>
        <v>0</v>
      </c>
      <c r="N172" s="1918">
        <f t="shared" si="165"/>
        <v>0</v>
      </c>
      <c r="O172" s="1918">
        <f t="shared" si="165"/>
        <v>0</v>
      </c>
      <c r="P172" s="1918">
        <f t="shared" si="165"/>
        <v>0</v>
      </c>
      <c r="Q172" s="1918">
        <f t="shared" si="165"/>
        <v>0</v>
      </c>
      <c r="R172" s="1918">
        <f t="shared" si="165"/>
        <v>0</v>
      </c>
      <c r="S172" s="1821"/>
      <c r="U172" s="1578"/>
      <c r="V172" s="1578"/>
    </row>
    <row r="173" spans="1:22">
      <c r="A173" s="1821"/>
      <c r="B173" s="1861" t="s">
        <v>1594</v>
      </c>
      <c r="C173" s="1821"/>
      <c r="D173" s="1821"/>
      <c r="E173" s="1821"/>
      <c r="F173" s="1821"/>
      <c r="G173" s="1862">
        <v>159</v>
      </c>
      <c r="H173" s="1862">
        <v>115.4</v>
      </c>
      <c r="I173" s="1862">
        <v>225</v>
      </c>
      <c r="J173" s="1862">
        <v>0</v>
      </c>
      <c r="K173" s="1862">
        <v>0</v>
      </c>
      <c r="L173" s="1862">
        <v>0</v>
      </c>
      <c r="M173" s="1862">
        <v>0</v>
      </c>
      <c r="N173" s="1862">
        <v>0</v>
      </c>
      <c r="O173" s="1862">
        <v>0</v>
      </c>
      <c r="P173" s="1862">
        <v>0</v>
      </c>
      <c r="Q173" s="1862">
        <v>0</v>
      </c>
      <c r="R173" s="1862">
        <v>0</v>
      </c>
      <c r="S173" s="1821"/>
      <c r="U173" s="1578"/>
      <c r="V173" s="1578"/>
    </row>
    <row r="174" spans="1:22">
      <c r="A174" s="1821"/>
      <c r="B174" s="1864" t="s">
        <v>4256</v>
      </c>
      <c r="C174" s="1821"/>
      <c r="D174" s="1821"/>
      <c r="E174" s="1821"/>
      <c r="F174" s="1821"/>
      <c r="G174" s="1865">
        <f t="shared" ref="G174:Q174" si="166">G175+G179+G186+G187</f>
        <v>1079</v>
      </c>
      <c r="H174" s="1865">
        <f t="shared" si="166"/>
        <v>968.85751682126374</v>
      </c>
      <c r="I174" s="1865">
        <f t="shared" si="166"/>
        <v>1259.3080747620459</v>
      </c>
      <c r="J174" s="1865">
        <f t="shared" si="166"/>
        <v>1376.6733341647227</v>
      </c>
      <c r="K174" s="1865">
        <f t="shared" si="166"/>
        <v>1639.3708988712988</v>
      </c>
      <c r="L174" s="1865">
        <f t="shared" si="166"/>
        <v>2054.3146403069868</v>
      </c>
      <c r="M174" s="1865">
        <f t="shared" si="166"/>
        <v>2652.8915259124269</v>
      </c>
      <c r="N174" s="1865">
        <f t="shared" si="166"/>
        <v>3328.4660470721383</v>
      </c>
      <c r="O174" s="1865">
        <f t="shared" si="166"/>
        <v>3876.187232778826</v>
      </c>
      <c r="P174" s="1865">
        <f t="shared" si="166"/>
        <v>4371.4546836405534</v>
      </c>
      <c r="Q174" s="1865">
        <f t="shared" si="166"/>
        <v>4867.6316579135146</v>
      </c>
      <c r="R174" s="1865">
        <f t="shared" ref="R174" si="167">R175+R179+R186+R187</f>
        <v>5360.2327571161941</v>
      </c>
      <c r="S174" s="1821"/>
      <c r="U174" s="1578"/>
      <c r="V174" s="1578"/>
    </row>
    <row r="175" spans="1:22">
      <c r="A175" s="1821"/>
      <c r="B175" s="1864" t="s">
        <v>7036</v>
      </c>
      <c r="C175" s="1824"/>
      <c r="D175" s="1824"/>
      <c r="E175" s="1824"/>
      <c r="F175" s="1824"/>
      <c r="G175" s="1865">
        <v>1068</v>
      </c>
      <c r="H175" s="1865">
        <f t="shared" ref="H175:N175" si="168">SUM(H176:H178)</f>
        <v>924.33579649999979</v>
      </c>
      <c r="I175" s="1865">
        <f t="shared" si="168"/>
        <v>1141.2822867782118</v>
      </c>
      <c r="J175" s="1865">
        <f t="shared" si="168"/>
        <v>1174.9422347529371</v>
      </c>
      <c r="K175" s="1865">
        <f t="shared" si="168"/>
        <v>1141.6907277238504</v>
      </c>
      <c r="L175" s="1865">
        <f t="shared" si="168"/>
        <v>879.19221616408754</v>
      </c>
      <c r="M175" s="1865">
        <f t="shared" si="168"/>
        <v>493.6921788240046</v>
      </c>
      <c r="N175" s="1865">
        <f t="shared" si="168"/>
        <v>54.302960884788462</v>
      </c>
      <c r="O175" s="1865">
        <f>SUM(O176:O178)</f>
        <v>0</v>
      </c>
      <c r="P175" s="1865">
        <f>SUM(P176:P178)</f>
        <v>0</v>
      </c>
      <c r="Q175" s="1865">
        <f>SUM(Q176:Q178)</f>
        <v>0</v>
      </c>
      <c r="R175" s="1865">
        <f>SUM(R176:R178)</f>
        <v>0</v>
      </c>
      <c r="S175" s="1821"/>
      <c r="U175" s="1578"/>
      <c r="V175" s="1578"/>
    </row>
    <row r="176" spans="1:22" hidden="1" outlineLevel="1">
      <c r="A176" s="1821"/>
      <c r="B176" s="1848" t="s">
        <v>7151</v>
      </c>
      <c r="C176" s="1846"/>
      <c r="D176" s="1846"/>
      <c r="E176" s="1846"/>
      <c r="F176" s="1846"/>
      <c r="G176" s="1867"/>
      <c r="H176" s="1867">
        <f t="shared" ref="H176:R176" si="169">(H7)*H101/1000</f>
        <v>609.61614312499989</v>
      </c>
      <c r="I176" s="1867">
        <f t="shared" si="169"/>
        <v>712.00076911128269</v>
      </c>
      <c r="J176" s="1867">
        <f t="shared" si="169"/>
        <v>706.66162169196662</v>
      </c>
      <c r="K176" s="1867">
        <f t="shared" si="169"/>
        <v>735.10556897690867</v>
      </c>
      <c r="L176" s="1867">
        <f t="shared" si="169"/>
        <v>590.82860427051776</v>
      </c>
      <c r="M176" s="1867">
        <f t="shared" si="169"/>
        <v>350.9521909366876</v>
      </c>
      <c r="N176" s="1867">
        <f t="shared" si="169"/>
        <v>50.537115494882975</v>
      </c>
      <c r="O176" s="1867">
        <f t="shared" si="169"/>
        <v>0</v>
      </c>
      <c r="P176" s="1867">
        <f t="shared" si="169"/>
        <v>0</v>
      </c>
      <c r="Q176" s="1867">
        <f t="shared" si="169"/>
        <v>0</v>
      </c>
      <c r="R176" s="1867">
        <f t="shared" si="169"/>
        <v>0</v>
      </c>
      <c r="S176" s="1821"/>
      <c r="U176" s="1578"/>
      <c r="V176" s="1578"/>
    </row>
    <row r="177" spans="1:22" hidden="1" outlineLevel="1">
      <c r="A177" s="1821"/>
      <c r="B177" s="1848" t="s">
        <v>7006</v>
      </c>
      <c r="C177" s="1846"/>
      <c r="D177" s="1846"/>
      <c r="E177" s="1846"/>
      <c r="F177" s="1846"/>
      <c r="G177" s="1867"/>
      <c r="H177" s="1867">
        <f t="shared" ref="H177:R177" si="170">H8*H103/1000</f>
        <v>261.00404999999995</v>
      </c>
      <c r="I177" s="1867">
        <f t="shared" si="170"/>
        <v>339.79548057445794</v>
      </c>
      <c r="J177" s="1867">
        <f t="shared" si="170"/>
        <v>335.77350712807777</v>
      </c>
      <c r="K177" s="1867">
        <f t="shared" si="170"/>
        <v>297.96541022545631</v>
      </c>
      <c r="L177" s="1867">
        <f t="shared" si="170"/>
        <v>211.32690179043104</v>
      </c>
      <c r="M177" s="1867">
        <f t="shared" si="170"/>
        <v>104.60681638626335</v>
      </c>
      <c r="N177" s="1867">
        <f t="shared" si="170"/>
        <v>3.7658453899054898</v>
      </c>
      <c r="O177" s="1867">
        <f t="shared" si="170"/>
        <v>0</v>
      </c>
      <c r="P177" s="1867">
        <f t="shared" si="170"/>
        <v>0</v>
      </c>
      <c r="Q177" s="1867">
        <f t="shared" si="170"/>
        <v>0</v>
      </c>
      <c r="R177" s="1867">
        <f t="shared" si="170"/>
        <v>0</v>
      </c>
      <c r="S177" s="1862"/>
      <c r="U177" s="1578"/>
      <c r="V177" s="1578"/>
    </row>
    <row r="178" spans="1:22" hidden="1" outlineLevel="1">
      <c r="A178" s="1821"/>
      <c r="B178" s="1848" t="s">
        <v>7007</v>
      </c>
      <c r="C178" s="1846"/>
      <c r="D178" s="1846"/>
      <c r="E178" s="1846"/>
      <c r="F178" s="1846"/>
      <c r="G178" s="1867"/>
      <c r="H178" s="1867">
        <f t="shared" ref="H178:R178" si="171">H9*H105/1000</f>
        <v>53.715603375000001</v>
      </c>
      <c r="I178" s="1867">
        <f t="shared" si="171"/>
        <v>89.48603709247125</v>
      </c>
      <c r="J178" s="1867">
        <f t="shared" si="171"/>
        <v>132.50710593289264</v>
      </c>
      <c r="K178" s="1867">
        <f t="shared" si="171"/>
        <v>108.6197485214855</v>
      </c>
      <c r="L178" s="1867">
        <f t="shared" si="171"/>
        <v>77.036710103138731</v>
      </c>
      <c r="M178" s="1867">
        <f t="shared" si="171"/>
        <v>38.133171501053681</v>
      </c>
      <c r="N178" s="1867">
        <f t="shared" si="171"/>
        <v>0</v>
      </c>
      <c r="O178" s="1867">
        <f t="shared" si="171"/>
        <v>0</v>
      </c>
      <c r="P178" s="1867">
        <f t="shared" si="171"/>
        <v>0</v>
      </c>
      <c r="Q178" s="1867">
        <f t="shared" si="171"/>
        <v>0</v>
      </c>
      <c r="R178" s="1867">
        <f t="shared" si="171"/>
        <v>0</v>
      </c>
      <c r="S178" s="1821"/>
      <c r="U178" s="1578"/>
      <c r="V178" s="1578"/>
    </row>
    <row r="179" spans="1:22" collapsed="1">
      <c r="A179" s="1821"/>
      <c r="B179" s="1864" t="s">
        <v>7037</v>
      </c>
      <c r="C179" s="1824"/>
      <c r="D179" s="1824"/>
      <c r="E179" s="1824"/>
      <c r="F179" s="1824"/>
      <c r="G179" s="1865">
        <v>11</v>
      </c>
      <c r="H179" s="1865">
        <f t="shared" ref="H179:J179" si="172">SUM(H180:H182)</f>
        <v>20.58</v>
      </c>
      <c r="I179" s="1865">
        <f t="shared" si="172"/>
        <v>76.8636798</v>
      </c>
      <c r="J179" s="1865">
        <f t="shared" si="172"/>
        <v>134.40593132250478</v>
      </c>
      <c r="K179" s="1865">
        <f>SUM(K180:K185)</f>
        <v>366.26849309145655</v>
      </c>
      <c r="L179" s="1865">
        <f t="shared" ref="L179:Q179" si="173">SUM(L180:L185)</f>
        <v>953.57299999583404</v>
      </c>
      <c r="M179" s="1865">
        <f t="shared" si="173"/>
        <v>1776.3044280731137</v>
      </c>
      <c r="N179" s="1865">
        <f t="shared" si="173"/>
        <v>2682.352058895704</v>
      </c>
      <c r="O179" s="1865">
        <f t="shared" si="173"/>
        <v>3089.5285669448058</v>
      </c>
      <c r="P179" s="1865">
        <f t="shared" si="173"/>
        <v>3387.3977506257802</v>
      </c>
      <c r="Q179" s="1865">
        <f t="shared" si="173"/>
        <v>3688.7920341086128</v>
      </c>
      <c r="R179" s="1865">
        <f t="shared" ref="R179" si="174">SUM(R180:R185)</f>
        <v>3989.7421579666993</v>
      </c>
      <c r="S179" s="1821"/>
      <c r="U179" s="1578"/>
      <c r="V179" s="1578"/>
    </row>
    <row r="180" spans="1:22" hidden="1" outlineLevel="1">
      <c r="A180" s="1821"/>
      <c r="B180" s="1848" t="s">
        <v>7151</v>
      </c>
      <c r="C180" s="1846"/>
      <c r="D180" s="1846"/>
      <c r="E180" s="1846"/>
      <c r="F180" s="1846"/>
      <c r="G180" s="1867"/>
      <c r="H180" s="1867">
        <f t="shared" ref="H180:R180" si="175">H107*H11/1000</f>
        <v>12.6</v>
      </c>
      <c r="I180" s="1867">
        <f t="shared" si="175"/>
        <v>35.858796300000002</v>
      </c>
      <c r="J180" s="1867">
        <f t="shared" si="175"/>
        <v>44.489857147709401</v>
      </c>
      <c r="K180" s="1867">
        <f t="shared" si="175"/>
        <v>92.371064731587083</v>
      </c>
      <c r="L180" s="1867">
        <f t="shared" si="175"/>
        <v>216.38257855669067</v>
      </c>
      <c r="M180" s="1867">
        <f t="shared" si="175"/>
        <v>356.04390028212504</v>
      </c>
      <c r="N180" s="1867">
        <f t="shared" si="175"/>
        <v>533.34050883903046</v>
      </c>
      <c r="O180" s="1867">
        <f t="shared" si="175"/>
        <v>596.30649689846086</v>
      </c>
      <c r="P180" s="1867">
        <f t="shared" si="175"/>
        <v>658.99404206647546</v>
      </c>
      <c r="Q180" s="1867">
        <f t="shared" si="175"/>
        <v>726.11578231692226</v>
      </c>
      <c r="R180" s="1867">
        <f t="shared" si="175"/>
        <v>792.5304283570573</v>
      </c>
      <c r="S180" s="1862"/>
      <c r="U180" s="1578"/>
      <c r="V180" s="1578"/>
    </row>
    <row r="181" spans="1:22" hidden="1" outlineLevel="1">
      <c r="A181" s="1821"/>
      <c r="B181" s="1848" t="s">
        <v>7006</v>
      </c>
      <c r="C181" s="1846"/>
      <c r="D181" s="1846"/>
      <c r="E181" s="1846"/>
      <c r="F181" s="1846"/>
      <c r="G181" s="1867"/>
      <c r="H181" s="1867">
        <f t="shared" ref="H181:R181" si="176">H109*H12/1000</f>
        <v>6.3</v>
      </c>
      <c r="I181" s="1867">
        <f t="shared" si="176"/>
        <v>16.159334939999994</v>
      </c>
      <c r="J181" s="1867">
        <f t="shared" si="176"/>
        <v>22.961565791980195</v>
      </c>
      <c r="K181" s="1867">
        <f t="shared" si="176"/>
        <v>57.489311274754911</v>
      </c>
      <c r="L181" s="1867">
        <f t="shared" si="176"/>
        <v>179.79872672304325</v>
      </c>
      <c r="M181" s="1867">
        <f t="shared" si="176"/>
        <v>291.69305023748052</v>
      </c>
      <c r="N181" s="1867">
        <f t="shared" si="176"/>
        <v>426.3745353711675</v>
      </c>
      <c r="O181" s="1867">
        <f t="shared" si="176"/>
        <v>490.49392528693551</v>
      </c>
      <c r="P181" s="1867">
        <f t="shared" si="176"/>
        <v>564.93967508892922</v>
      </c>
      <c r="Q181" s="1867">
        <f t="shared" si="176"/>
        <v>639.52041715022585</v>
      </c>
      <c r="R181" s="1867">
        <f t="shared" si="176"/>
        <v>714.39172664325963</v>
      </c>
      <c r="S181" s="1821"/>
      <c r="U181" s="1578"/>
      <c r="V181" s="1578"/>
    </row>
    <row r="182" spans="1:22" hidden="1" outlineLevel="1">
      <c r="A182" s="1821"/>
      <c r="B182" s="1848" t="s">
        <v>7007</v>
      </c>
      <c r="C182" s="1846"/>
      <c r="D182" s="1846"/>
      <c r="E182" s="1846"/>
      <c r="F182" s="1846"/>
      <c r="G182" s="1867"/>
      <c r="H182" s="1867">
        <f t="shared" ref="H182:R182" si="177">H111*H13/1000</f>
        <v>1.68</v>
      </c>
      <c r="I182" s="1867">
        <f t="shared" si="177"/>
        <v>24.845548560000001</v>
      </c>
      <c r="J182" s="1867">
        <f t="shared" si="177"/>
        <v>66.954508382815192</v>
      </c>
      <c r="K182" s="1867">
        <f t="shared" si="177"/>
        <v>166.81241159281421</v>
      </c>
      <c r="L182" s="1867">
        <f t="shared" si="177"/>
        <v>231.90956999568789</v>
      </c>
      <c r="M182" s="1867">
        <f t="shared" si="177"/>
        <v>336.35578970499188</v>
      </c>
      <c r="N182" s="1867">
        <f t="shared" si="177"/>
        <v>480.02342553522703</v>
      </c>
      <c r="O182" s="1867">
        <f t="shared" si="177"/>
        <v>560.32349378131585</v>
      </c>
      <c r="P182" s="1867">
        <f t="shared" si="177"/>
        <v>648.93914994337672</v>
      </c>
      <c r="Q182" s="1867">
        <f t="shared" si="177"/>
        <v>732.90470693811596</v>
      </c>
      <c r="R182" s="1867">
        <f t="shared" si="177"/>
        <v>813.05631887786649</v>
      </c>
      <c r="S182" s="1821"/>
      <c r="U182" s="1578"/>
      <c r="V182" s="1578"/>
    </row>
    <row r="183" spans="1:22" s="2114" customFormat="1" hidden="1" outlineLevel="1">
      <c r="A183" s="1821"/>
      <c r="B183" s="1848" t="s">
        <v>7161</v>
      </c>
      <c r="C183" s="1846"/>
      <c r="D183" s="1846"/>
      <c r="E183" s="1846"/>
      <c r="F183" s="1846"/>
      <c r="G183" s="1867"/>
      <c r="H183" s="1867"/>
      <c r="I183" s="1867"/>
      <c r="J183" s="1867"/>
      <c r="K183" s="1867">
        <f>K107*K14/1000</f>
        <v>36.886183635157117</v>
      </c>
      <c r="L183" s="1867">
        <f t="shared" ref="L183:R183" si="178">L115*L14/1000</f>
        <v>210.98970884736144</v>
      </c>
      <c r="M183" s="1867">
        <f t="shared" si="178"/>
        <v>546.2410866435697</v>
      </c>
      <c r="N183" s="1867">
        <f t="shared" si="178"/>
        <v>875.26558690960621</v>
      </c>
      <c r="O183" s="1867">
        <f t="shared" si="178"/>
        <v>1025.6850720767129</v>
      </c>
      <c r="P183" s="1867">
        <f t="shared" si="178"/>
        <v>1076.9693256805488</v>
      </c>
      <c r="Q183" s="1867">
        <f t="shared" si="178"/>
        <v>1130.8177919645764</v>
      </c>
      <c r="R183" s="1867">
        <f t="shared" si="178"/>
        <v>1187.358681562805</v>
      </c>
      <c r="S183" s="1821"/>
      <c r="U183" s="1578"/>
      <c r="V183" s="1578"/>
    </row>
    <row r="184" spans="1:22" s="2114" customFormat="1" hidden="1" outlineLevel="1">
      <c r="A184" s="1821"/>
      <c r="B184" s="1848" t="s">
        <v>7162</v>
      </c>
      <c r="C184" s="1846"/>
      <c r="D184" s="1846"/>
      <c r="E184" s="1846"/>
      <c r="F184" s="1846"/>
      <c r="G184" s="1867"/>
      <c r="H184" s="1867"/>
      <c r="I184" s="1867"/>
      <c r="J184" s="1867"/>
      <c r="K184" s="1867">
        <f>K109*K15/1000</f>
        <v>10.569725135220459</v>
      </c>
      <c r="L184" s="1867">
        <f t="shared" ref="L184:R184" si="179">L117*L15/1000</f>
        <v>91.960751326721081</v>
      </c>
      <c r="M184" s="1867">
        <f t="shared" si="179"/>
        <v>212.55841166783017</v>
      </c>
      <c r="N184" s="1867">
        <f t="shared" si="179"/>
        <v>327.04148683464746</v>
      </c>
      <c r="O184" s="1867">
        <f t="shared" si="179"/>
        <v>371.23250019368498</v>
      </c>
      <c r="P184" s="1867">
        <f t="shared" si="179"/>
        <v>389.79412520336922</v>
      </c>
      <c r="Q184" s="1867">
        <f t="shared" si="179"/>
        <v>409.28383146353769</v>
      </c>
      <c r="R184" s="1867">
        <f t="shared" si="179"/>
        <v>429.74802303671464</v>
      </c>
      <c r="S184" s="1821"/>
      <c r="U184" s="1578"/>
      <c r="V184" s="1578"/>
    </row>
    <row r="185" spans="1:22" s="2114" customFormat="1" hidden="1" outlineLevel="1">
      <c r="A185" s="1821"/>
      <c r="B185" s="1848" t="s">
        <v>7163</v>
      </c>
      <c r="C185" s="1846"/>
      <c r="D185" s="1846"/>
      <c r="E185" s="1846"/>
      <c r="F185" s="1846"/>
      <c r="G185" s="1867"/>
      <c r="H185" s="1867"/>
      <c r="I185" s="1867"/>
      <c r="J185" s="1867"/>
      <c r="K185" s="1867">
        <f>K111*K16/1000</f>
        <v>2.1397967219227807</v>
      </c>
      <c r="L185" s="1867">
        <f t="shared" ref="L185:R185" si="180">L119*L16/1000</f>
        <v>22.531664546329761</v>
      </c>
      <c r="M185" s="1867">
        <f t="shared" si="180"/>
        <v>33.412189537116369</v>
      </c>
      <c r="N185" s="1867">
        <f t="shared" si="180"/>
        <v>40.306515406025269</v>
      </c>
      <c r="O185" s="1867">
        <f t="shared" si="180"/>
        <v>45.487078707695446</v>
      </c>
      <c r="P185" s="1867">
        <f t="shared" si="180"/>
        <v>47.761432643080227</v>
      </c>
      <c r="Q185" s="1867">
        <f t="shared" si="180"/>
        <v>50.149504275234243</v>
      </c>
      <c r="R185" s="1867">
        <f t="shared" si="180"/>
        <v>52.656979488995958</v>
      </c>
      <c r="S185" s="1821"/>
      <c r="U185" s="1578"/>
      <c r="V185" s="1578"/>
    </row>
    <row r="186" spans="1:22" collapsed="1">
      <c r="A186" s="1821"/>
      <c r="B186" s="1864" t="s">
        <v>7021</v>
      </c>
      <c r="C186" s="1824"/>
      <c r="D186" s="1824"/>
      <c r="E186" s="1824"/>
      <c r="F186" s="1824"/>
      <c r="G186" s="1865"/>
      <c r="H186" s="1865">
        <f t="shared" ref="H186:R186" si="181">H18*H121/1000</f>
        <v>8.4374999999999982</v>
      </c>
      <c r="I186" s="1865">
        <f t="shared" si="181"/>
        <v>12.499676999999998</v>
      </c>
      <c r="J186" s="1865">
        <f t="shared" si="181"/>
        <v>15.635180357999998</v>
      </c>
      <c r="K186" s="1865">
        <f t="shared" si="181"/>
        <v>29.878691401091608</v>
      </c>
      <c r="L186" s="1865">
        <f t="shared" si="181"/>
        <v>80.178103510535692</v>
      </c>
      <c r="M186" s="1865">
        <f t="shared" si="181"/>
        <v>101.03812774287876</v>
      </c>
      <c r="N186" s="1865">
        <f t="shared" si="181"/>
        <v>105.785650875035</v>
      </c>
      <c r="O186" s="1865">
        <f t="shared" si="181"/>
        <v>123.66697020038031</v>
      </c>
      <c r="P186" s="1865">
        <f t="shared" si="181"/>
        <v>148.00362526550376</v>
      </c>
      <c r="Q186" s="1865">
        <f t="shared" si="181"/>
        <v>173.85839671720987</v>
      </c>
      <c r="R186" s="1865">
        <f t="shared" si="181"/>
        <v>197.97947448153971</v>
      </c>
      <c r="S186" s="1821"/>
      <c r="U186" s="1578"/>
      <c r="V186" s="1578"/>
    </row>
    <row r="187" spans="1:22" hidden="1" outlineLevel="1">
      <c r="A187" s="1821"/>
      <c r="B187" s="2106" t="s">
        <v>7141</v>
      </c>
      <c r="C187" s="1824"/>
      <c r="D187" s="1824"/>
      <c r="E187" s="1824"/>
      <c r="F187" s="1824"/>
      <c r="G187" s="1865"/>
      <c r="H187" s="1865">
        <f t="shared" ref="H187:R187" si="182">H19*H123/1000</f>
        <v>15.504220321263945</v>
      </c>
      <c r="I187" s="1865">
        <f t="shared" si="182"/>
        <v>28.662431183834055</v>
      </c>
      <c r="J187" s="1865">
        <f t="shared" si="182"/>
        <v>51.689987731280695</v>
      </c>
      <c r="K187" s="1865">
        <f t="shared" si="182"/>
        <v>101.53298665490017</v>
      </c>
      <c r="L187" s="1865">
        <f t="shared" si="182"/>
        <v>141.37132063652962</v>
      </c>
      <c r="M187" s="1865">
        <f t="shared" si="182"/>
        <v>281.85679127242963</v>
      </c>
      <c r="N187" s="1865">
        <f t="shared" si="182"/>
        <v>486.02537641661075</v>
      </c>
      <c r="O187" s="1865">
        <f t="shared" si="182"/>
        <v>662.99169563364035</v>
      </c>
      <c r="P187" s="1865">
        <f t="shared" si="182"/>
        <v>836.05330774926983</v>
      </c>
      <c r="Q187" s="1865">
        <f t="shared" si="182"/>
        <v>1004.9812270876921</v>
      </c>
      <c r="R187" s="1865">
        <f t="shared" si="182"/>
        <v>1172.5111246679555</v>
      </c>
      <c r="S187" s="1821"/>
      <c r="U187" s="1578"/>
      <c r="V187" s="1578"/>
    </row>
    <row r="188" spans="1:22" s="2097" customFormat="1" hidden="1" outlineLevel="1">
      <c r="A188" s="1821"/>
      <c r="B188" s="2107" t="s">
        <v>7139</v>
      </c>
      <c r="C188" s="1824"/>
      <c r="D188" s="1824"/>
      <c r="E188" s="1824"/>
      <c r="F188" s="1824"/>
      <c r="G188" s="1865"/>
      <c r="H188" s="1970">
        <f>1-H189</f>
        <v>5.0000000000000044E-2</v>
      </c>
      <c r="I188" s="1970">
        <f t="shared" ref="I188:K188" si="183">1-I189</f>
        <v>5.0000000000000044E-2</v>
      </c>
      <c r="J188" s="1970">
        <f t="shared" si="183"/>
        <v>5.0000000000000044E-2</v>
      </c>
      <c r="K188" s="1970">
        <f t="shared" si="183"/>
        <v>5.0000000000000044E-2</v>
      </c>
      <c r="L188" s="1970">
        <f t="shared" ref="L188" si="184">1-L189</f>
        <v>1</v>
      </c>
      <c r="M188" s="1970">
        <f t="shared" ref="M188" si="185">1-M189</f>
        <v>1</v>
      </c>
      <c r="N188" s="1970">
        <f t="shared" ref="N188" si="186">1-N189</f>
        <v>1</v>
      </c>
      <c r="O188" s="1970">
        <f t="shared" ref="O188" si="187">1-O189</f>
        <v>1</v>
      </c>
      <c r="P188" s="1970">
        <f t="shared" ref="P188" si="188">1-P189</f>
        <v>1</v>
      </c>
      <c r="Q188" s="1970">
        <f t="shared" ref="Q188:R188" si="189">1-Q189</f>
        <v>1</v>
      </c>
      <c r="R188" s="1970">
        <f t="shared" si="189"/>
        <v>1</v>
      </c>
      <c r="S188" s="1821"/>
      <c r="U188" s="1578"/>
      <c r="V188" s="1578"/>
    </row>
    <row r="189" spans="1:22" s="2097" customFormat="1" hidden="1" outlineLevel="1">
      <c r="A189" s="1821"/>
      <c r="B189" s="2107" t="s">
        <v>7140</v>
      </c>
      <c r="C189" s="1824"/>
      <c r="D189" s="1824"/>
      <c r="E189" s="1824"/>
      <c r="F189" s="1824"/>
      <c r="G189" s="1865"/>
      <c r="H189" s="1937">
        <v>0.95</v>
      </c>
      <c r="I189" s="1937">
        <f>H189</f>
        <v>0.95</v>
      </c>
      <c r="J189" s="1937">
        <v>0.95</v>
      </c>
      <c r="K189" s="1937">
        <v>0.95</v>
      </c>
      <c r="L189" s="1937">
        <v>0</v>
      </c>
      <c r="M189" s="1937">
        <v>0</v>
      </c>
      <c r="N189" s="1937">
        <v>0</v>
      </c>
      <c r="O189" s="1937">
        <v>0</v>
      </c>
      <c r="P189" s="1937">
        <v>0</v>
      </c>
      <c r="Q189" s="1937">
        <v>0</v>
      </c>
      <c r="R189" s="1937">
        <v>0</v>
      </c>
      <c r="S189" s="1821"/>
      <c r="U189" s="1578"/>
      <c r="V189" s="1578"/>
    </row>
    <row r="190" spans="1:22" s="2097" customFormat="1" collapsed="1">
      <c r="A190" s="1821"/>
      <c r="B190" s="2106" t="s">
        <v>7142</v>
      </c>
      <c r="C190" s="1824"/>
      <c r="D190" s="1824"/>
      <c r="E190" s="1824"/>
      <c r="F190" s="1824"/>
      <c r="G190" s="1865"/>
      <c r="H190" s="1865">
        <f t="shared" ref="H190:J190" si="190">H187*H189*3+H188*H187</f>
        <v>44.962238931665439</v>
      </c>
      <c r="I190" s="1865">
        <f t="shared" si="190"/>
        <v>83.121050433118754</v>
      </c>
      <c r="J190" s="1865">
        <f t="shared" si="190"/>
        <v>149.90096442071399</v>
      </c>
      <c r="K190" s="1865">
        <f>K187*K189*3+K188*K187</f>
        <v>294.44566129921054</v>
      </c>
      <c r="L190" s="1865">
        <f t="shared" ref="L190:Q190" si="191">L187*L189*3+L188*L187</f>
        <v>141.37132063652962</v>
      </c>
      <c r="M190" s="1865">
        <f t="shared" si="191"/>
        <v>281.85679127242963</v>
      </c>
      <c r="N190" s="1865">
        <f t="shared" si="191"/>
        <v>486.02537641661075</v>
      </c>
      <c r="O190" s="1865">
        <f t="shared" si="191"/>
        <v>662.99169563364035</v>
      </c>
      <c r="P190" s="1865">
        <f t="shared" si="191"/>
        <v>836.05330774926983</v>
      </c>
      <c r="Q190" s="1865">
        <f t="shared" si="191"/>
        <v>1004.9812270876921</v>
      </c>
      <c r="R190" s="1865">
        <f t="shared" ref="R190" si="192">R187*R189*3+R188*R187</f>
        <v>1172.5111246679555</v>
      </c>
      <c r="S190" s="1821"/>
      <c r="U190" s="1578"/>
      <c r="V190" s="1578"/>
    </row>
    <row r="191" spans="1:22" s="2097" customFormat="1">
      <c r="A191" s="1821"/>
      <c r="B191" s="2107"/>
      <c r="C191" s="1824"/>
      <c r="D191" s="1824"/>
      <c r="E191" s="1824"/>
      <c r="F191" s="1824"/>
      <c r="G191" s="1865"/>
      <c r="H191" s="1865"/>
      <c r="I191" s="1865"/>
      <c r="J191" s="1865"/>
      <c r="K191" s="1865"/>
      <c r="L191" s="1865"/>
      <c r="M191" s="2185"/>
      <c r="N191" s="2185"/>
      <c r="O191" s="2185"/>
      <c r="P191" s="2185"/>
      <c r="Q191" s="2185"/>
      <c r="R191" s="2185"/>
      <c r="S191" s="1821"/>
      <c r="U191" s="1578"/>
      <c r="V191" s="1578"/>
    </row>
    <row r="192" spans="1:22">
      <c r="A192" s="1821"/>
      <c r="B192" s="1864" t="s">
        <v>7219</v>
      </c>
      <c r="C192" s="1824"/>
      <c r="D192" s="1824"/>
      <c r="E192" s="1824"/>
      <c r="F192" s="1824"/>
      <c r="G192" s="1874">
        <v>180</v>
      </c>
      <c r="H192" s="1885">
        <v>158</v>
      </c>
      <c r="I192" s="1885">
        <v>160</v>
      </c>
      <c r="J192" s="1885">
        <f t="shared" ref="J192:R192" si="193">(1+J193)*I192</f>
        <v>176</v>
      </c>
      <c r="K192" s="1885">
        <f t="shared" si="193"/>
        <v>215.3888</v>
      </c>
      <c r="L192" s="1885">
        <f t="shared" si="193"/>
        <v>169.38175232</v>
      </c>
      <c r="M192" s="1885">
        <f t="shared" si="193"/>
        <v>160.91266470400001</v>
      </c>
      <c r="N192" s="1885">
        <f t="shared" si="193"/>
        <v>233.32336382080001</v>
      </c>
      <c r="O192" s="1885">
        <f t="shared" si="193"/>
        <v>254.90577497422402</v>
      </c>
      <c r="P192" s="1885">
        <f t="shared" si="193"/>
        <v>269.690309922729</v>
      </c>
      <c r="Q192" s="1885">
        <f t="shared" si="193"/>
        <v>282.90513510894272</v>
      </c>
      <c r="R192" s="1885">
        <f t="shared" si="193"/>
        <v>297.05039186438984</v>
      </c>
      <c r="S192" s="1821"/>
      <c r="U192" s="1578"/>
      <c r="V192" s="1578"/>
    </row>
    <row r="193" spans="1:29">
      <c r="A193" s="1821"/>
      <c r="B193" s="1917" t="s">
        <v>372</v>
      </c>
      <c r="C193" s="1824"/>
      <c r="D193" s="1824"/>
      <c r="E193" s="1824"/>
      <c r="F193" s="1824"/>
      <c r="G193" s="1865"/>
      <c r="H193" s="1865"/>
      <c r="I193" s="1937">
        <f>I192/H192-1</f>
        <v>1.2658227848101333E-2</v>
      </c>
      <c r="J193" s="1937">
        <v>0.1</v>
      </c>
      <c r="K193" s="1937">
        <v>0.2238</v>
      </c>
      <c r="L193" s="1937">
        <v>-0.21360000000000001</v>
      </c>
      <c r="M193" s="1937">
        <v>-0.05</v>
      </c>
      <c r="N193" s="1937">
        <v>0.45</v>
      </c>
      <c r="O193" s="1937">
        <v>9.2499999999999999E-2</v>
      </c>
      <c r="P193" s="1937">
        <v>5.8000000000000003E-2</v>
      </c>
      <c r="Q193" s="1937">
        <v>4.9000000000000002E-2</v>
      </c>
      <c r="R193" s="1937">
        <v>0.05</v>
      </c>
      <c r="S193" s="1821"/>
      <c r="U193" s="1578"/>
      <c r="V193" s="1578"/>
    </row>
    <row r="194" spans="1:29" ht="13.5" thickBot="1">
      <c r="A194" s="1821"/>
      <c r="B194" s="1821"/>
      <c r="C194" s="1821"/>
      <c r="D194" s="1821"/>
      <c r="E194" s="1821"/>
      <c r="F194" s="1821"/>
      <c r="G194" s="1862"/>
      <c r="H194" s="1862"/>
      <c r="I194" s="1872"/>
      <c r="J194" s="1872"/>
      <c r="K194" s="1872"/>
      <c r="L194" s="1872"/>
      <c r="M194" s="1872"/>
      <c r="N194" s="1872"/>
      <c r="O194" s="1872"/>
      <c r="P194" s="1872"/>
      <c r="Q194" s="1872"/>
      <c r="R194" s="1872"/>
      <c r="S194" s="1821"/>
      <c r="U194" s="1578"/>
      <c r="V194" s="1578"/>
      <c r="W194" s="1788"/>
      <c r="X194" s="1788"/>
      <c r="Y194" s="1788"/>
      <c r="Z194" s="1788"/>
      <c r="AA194" s="1788"/>
      <c r="AB194" s="1788"/>
      <c r="AC194" s="1788"/>
    </row>
    <row r="195" spans="1:29" ht="13.5" thickBot="1">
      <c r="A195" s="1824" t="s">
        <v>7038</v>
      </c>
      <c r="B195" s="1869" t="s">
        <v>5587</v>
      </c>
      <c r="C195" s="1826"/>
      <c r="D195" s="1826">
        <v>1678.1</v>
      </c>
      <c r="E195" s="1826">
        <v>2023.2</v>
      </c>
      <c r="F195" s="1870">
        <v>2346.8999999999996</v>
      </c>
      <c r="G195" s="1912">
        <f t="shared" ref="G195" si="194">G186+G175+G179+G172+G173+G187+G192</f>
        <v>2427.3000000000002</v>
      </c>
      <c r="H195" s="1912">
        <f>H186+H175+H179+H172+H173+H190+H192</f>
        <v>2338.5790354316655</v>
      </c>
      <c r="I195" s="1912">
        <f t="shared" ref="I195:Q195" si="195">I186+I175+I179+I172+I173+I190+I192</f>
        <v>2768.3794410663309</v>
      </c>
      <c r="J195" s="1912">
        <f t="shared" si="195"/>
        <v>2866.2218744655647</v>
      </c>
      <c r="K195" s="1912">
        <f t="shared" si="195"/>
        <v>2298.9160356384814</v>
      </c>
      <c r="L195" s="2247">
        <f t="shared" si="195"/>
        <v>2223.6963926269868</v>
      </c>
      <c r="M195" s="2247">
        <f t="shared" si="195"/>
        <v>2813.8041906164271</v>
      </c>
      <c r="N195" s="2247">
        <f t="shared" si="195"/>
        <v>3561.7894108929381</v>
      </c>
      <c r="O195" s="2247">
        <f t="shared" si="195"/>
        <v>4131.0930077530502</v>
      </c>
      <c r="P195" s="2247">
        <f t="shared" si="195"/>
        <v>4641.1449935632827</v>
      </c>
      <c r="Q195" s="2247">
        <f t="shared" si="195"/>
        <v>5150.5367930224575</v>
      </c>
      <c r="R195" s="2249">
        <f t="shared" ref="R195" si="196">R186+R175+R179+R172+R173+R190+R192</f>
        <v>5657.283148980584</v>
      </c>
      <c r="S195" s="1906">
        <f>(N195/J195)^0.25-100%</f>
        <v>5.5819328173837501E-2</v>
      </c>
      <c r="T195" s="1906">
        <f>(Q195/J195)^(1/7)-100%</f>
        <v>8.7334683134413504E-2</v>
      </c>
      <c r="U195" s="1578"/>
      <c r="V195" s="1578"/>
      <c r="W195" s="2035"/>
      <c r="X195" s="1972"/>
      <c r="Y195" s="1972"/>
      <c r="Z195" s="1972"/>
      <c r="AA195" s="1972"/>
      <c r="AB195" s="1972"/>
      <c r="AC195" s="1972"/>
    </row>
    <row r="196" spans="1:29">
      <c r="A196" s="1821"/>
      <c r="B196" s="1821"/>
      <c r="C196" s="1821"/>
      <c r="D196" s="1821"/>
      <c r="E196" s="1821"/>
      <c r="F196" s="1821"/>
      <c r="G196" s="1821"/>
      <c r="H196" s="1871"/>
      <c r="I196" s="1871">
        <f t="shared" ref="I196:N196" si="197">I195/H195-1</f>
        <v>0.18378699164013113</v>
      </c>
      <c r="J196" s="1915">
        <f t="shared" si="197"/>
        <v>3.5342855082591829E-2</v>
      </c>
      <c r="K196" s="1871">
        <f>K195/J195-1</f>
        <v>-0.19792809617464213</v>
      </c>
      <c r="L196" s="1915">
        <f>L195/K195-1</f>
        <v>-3.2719613002570425E-2</v>
      </c>
      <c r="M196" s="1871">
        <f>M195/L195-1</f>
        <v>0.26537246718843233</v>
      </c>
      <c r="N196" s="1871">
        <f t="shared" si="197"/>
        <v>0.26582703329923185</v>
      </c>
      <c r="O196" s="1871">
        <f>O195/N195-1</f>
        <v>0.15983639996205956</v>
      </c>
      <c r="P196" s="1871">
        <f>P195/O195-1</f>
        <v>0.1234665946404474</v>
      </c>
      <c r="Q196" s="1871">
        <f>Q195/P195-1</f>
        <v>0.10975563145853884</v>
      </c>
      <c r="R196" s="1871">
        <f>R195/Q195-1</f>
        <v>9.8387095621688792E-2</v>
      </c>
      <c r="S196" s="1821"/>
      <c r="U196" s="1578"/>
      <c r="V196" s="1578"/>
      <c r="W196" s="1777"/>
      <c r="X196" s="2277"/>
      <c r="Y196" s="1777"/>
      <c r="Z196" s="1777"/>
      <c r="AA196" s="1777"/>
      <c r="AB196" s="1777"/>
      <c r="AC196" s="1777"/>
    </row>
    <row r="197" spans="1:29" s="2184" customFormat="1">
      <c r="A197" s="1821"/>
      <c r="B197" s="1821"/>
      <c r="C197" s="1821"/>
      <c r="D197" s="1821"/>
      <c r="E197" s="1821"/>
      <c r="F197" s="1821"/>
      <c r="G197" s="1821"/>
      <c r="H197" s="2204"/>
      <c r="I197" s="2204"/>
      <c r="J197" s="2204"/>
      <c r="K197" s="2204"/>
      <c r="L197" s="2204"/>
      <c r="M197" s="2204"/>
      <c r="N197" s="2204"/>
      <c r="O197" s="2204"/>
      <c r="P197" s="2204"/>
      <c r="Q197" s="2204"/>
      <c r="R197" s="2204"/>
      <c r="S197" s="1821"/>
      <c r="U197" s="1578"/>
      <c r="V197" s="1578"/>
      <c r="W197" s="2278"/>
      <c r="X197" s="2278"/>
      <c r="Y197" s="2278"/>
      <c r="Z197" s="2278"/>
      <c r="AA197" s="2278"/>
      <c r="AB197" s="2278"/>
      <c r="AC197" s="2278"/>
    </row>
    <row r="198" spans="1:29" s="2188" customFormat="1" ht="6" customHeight="1">
      <c r="A198" s="1821"/>
      <c r="B198" s="1821"/>
      <c r="C198" s="1821"/>
      <c r="D198" s="1821"/>
      <c r="E198" s="1821"/>
      <c r="F198" s="1821"/>
      <c r="G198" s="1821"/>
      <c r="H198" s="1871"/>
      <c r="I198" s="1871"/>
      <c r="J198" s="1871"/>
      <c r="K198" s="1871"/>
      <c r="L198" s="1871"/>
      <c r="M198" s="1871"/>
      <c r="N198" s="1871"/>
      <c r="O198" s="1871"/>
      <c r="P198" s="1871"/>
      <c r="Q198" s="1871"/>
      <c r="R198" s="1871"/>
      <c r="S198" s="1821"/>
      <c r="U198" s="1578"/>
      <c r="V198" s="1578"/>
      <c r="W198" s="1777"/>
      <c r="X198" s="1777"/>
      <c r="Y198" s="1777"/>
      <c r="Z198" s="1777"/>
      <c r="AA198" s="1777"/>
      <c r="AB198" s="1777"/>
      <c r="AC198" s="1777"/>
    </row>
    <row r="199" spans="1:29" s="2184" customFormat="1">
      <c r="A199" s="1821"/>
      <c r="B199" s="1821" t="s">
        <v>5642</v>
      </c>
      <c r="C199" s="1821"/>
      <c r="D199" s="1821"/>
      <c r="E199" s="1821"/>
      <c r="F199" s="1821"/>
      <c r="G199" s="1821"/>
      <c r="H199" s="2198">
        <f>Metrics!DE391</f>
        <v>900.6</v>
      </c>
      <c r="I199" s="2198">
        <f>Metrics!DK391</f>
        <v>1157.0999999999999</v>
      </c>
      <c r="J199" s="2198">
        <f>Metrics!DQ391</f>
        <v>1519.2</v>
      </c>
      <c r="K199" s="2198">
        <f>Metrics!DW391</f>
        <v>1788</v>
      </c>
      <c r="L199" s="2198">
        <f>Metrics!EC391</f>
        <v>1955.1</v>
      </c>
      <c r="M199" s="2198">
        <f t="shared" ref="M199:R199" si="198">L199+(M195-M239)</f>
        <v>2269.3235467456225</v>
      </c>
      <c r="N199" s="2198">
        <f t="shared" si="198"/>
        <v>2725.4457434604547</v>
      </c>
      <c r="O199" s="2198">
        <f t="shared" si="198"/>
        <v>3119.6411656320938</v>
      </c>
      <c r="P199" s="2198">
        <f t="shared" si="198"/>
        <v>3466.2283812353021</v>
      </c>
      <c r="Q199" s="2198">
        <f t="shared" si="198"/>
        <v>3813.4622632263749</v>
      </c>
      <c r="R199" s="2198">
        <f t="shared" si="198"/>
        <v>4158.1930326682505</v>
      </c>
      <c r="S199" s="1821"/>
      <c r="U199" s="1578"/>
      <c r="V199" s="1578"/>
      <c r="W199" s="2279"/>
      <c r="X199" s="2279"/>
      <c r="Y199" s="2279"/>
      <c r="Z199" s="2279"/>
      <c r="AA199" s="2279"/>
      <c r="AB199" s="2279"/>
      <c r="AC199" s="2279"/>
    </row>
    <row r="200" spans="1:29" s="2184" customFormat="1">
      <c r="A200" s="1821"/>
      <c r="B200" s="1917" t="s">
        <v>372</v>
      </c>
      <c r="C200" s="1821"/>
      <c r="D200" s="1821"/>
      <c r="E200" s="1821"/>
      <c r="F200" s="1821"/>
      <c r="G200" s="1821"/>
      <c r="H200" s="2148">
        <f>Metrics!DE392</f>
        <v>7.9079798705966819E-2</v>
      </c>
      <c r="I200" s="2148">
        <f>Metrics!DK392</f>
        <v>0.28481012658227844</v>
      </c>
      <c r="J200" s="2148">
        <f>Metrics!DQ392</f>
        <v>0.31293751620430399</v>
      </c>
      <c r="K200" s="2148">
        <f>Metrics!DW392</f>
        <v>0.17693522906793047</v>
      </c>
      <c r="L200" s="1890">
        <f>L199/K199-1</f>
        <v>9.3456375838926187E-2</v>
      </c>
      <c r="M200" s="1890">
        <f t="shared" ref="M200:R200" si="199">M199/L199-1</f>
        <v>0.1607199359345417</v>
      </c>
      <c r="N200" s="1890">
        <f t="shared" si="199"/>
        <v>0.20099478426905892</v>
      </c>
      <c r="O200" s="1890">
        <f t="shared" si="199"/>
        <v>0.14463521173279181</v>
      </c>
      <c r="P200" s="1890">
        <f t="shared" si="199"/>
        <v>0.11109842356916833</v>
      </c>
      <c r="Q200" s="1890">
        <f t="shared" si="199"/>
        <v>0.10017628494153774</v>
      </c>
      <c r="R200" s="1890">
        <f t="shared" si="199"/>
        <v>9.039836915816668E-2</v>
      </c>
      <c r="S200" s="1821"/>
      <c r="U200" s="1578"/>
      <c r="V200" s="1578"/>
      <c r="W200" s="1777"/>
      <c r="X200" s="1777"/>
      <c r="Y200" s="1777"/>
      <c r="Z200" s="1777"/>
      <c r="AA200" s="1777"/>
      <c r="AB200" s="1777"/>
      <c r="AC200" s="1777"/>
    </row>
    <row r="201" spans="1:29">
      <c r="A201" s="1821"/>
      <c r="B201" s="2197" t="s">
        <v>7178</v>
      </c>
      <c r="C201" s="1821"/>
      <c r="D201" s="1821"/>
      <c r="E201" s="1821"/>
      <c r="F201" s="1821"/>
      <c r="G201" s="1888">
        <v>2428</v>
      </c>
      <c r="H201" s="2023"/>
      <c r="I201" s="2198">
        <f>I199-H199</f>
        <v>256.49999999999989</v>
      </c>
      <c r="J201" s="2198">
        <f t="shared" ref="J201:R201" si="200">J199-I199</f>
        <v>362.10000000000014</v>
      </c>
      <c r="K201" s="2198">
        <f t="shared" si="200"/>
        <v>268.79999999999995</v>
      </c>
      <c r="L201" s="2198">
        <f t="shared" si="200"/>
        <v>167.09999999999991</v>
      </c>
      <c r="M201" s="2198">
        <f t="shared" si="200"/>
        <v>314.22354674562257</v>
      </c>
      <c r="N201" s="2198">
        <f t="shared" si="200"/>
        <v>456.12219671483217</v>
      </c>
      <c r="O201" s="2198">
        <f t="shared" si="200"/>
        <v>394.19542217163917</v>
      </c>
      <c r="P201" s="2198">
        <f t="shared" si="200"/>
        <v>346.58721560320828</v>
      </c>
      <c r="Q201" s="2198">
        <f t="shared" si="200"/>
        <v>347.23388199107285</v>
      </c>
      <c r="R201" s="2198">
        <f t="shared" si="200"/>
        <v>344.73076944187551</v>
      </c>
      <c r="S201" s="1821"/>
      <c r="U201" s="1578"/>
      <c r="V201" s="1578"/>
      <c r="W201" s="2279"/>
      <c r="X201" s="2279"/>
      <c r="Y201" s="2279"/>
      <c r="Z201" s="2279"/>
      <c r="AA201" s="2279"/>
      <c r="AB201" s="2279"/>
      <c r="AC201" s="2279"/>
    </row>
    <row r="202" spans="1:29" s="2189" customFormat="1">
      <c r="A202" s="1821"/>
      <c r="B202" s="1917" t="s">
        <v>7179</v>
      </c>
      <c r="C202" s="1821"/>
      <c r="D202" s="1821"/>
      <c r="E202" s="1821"/>
      <c r="F202" s="1821"/>
      <c r="G202" s="1888"/>
      <c r="H202" s="2023"/>
      <c r="I202" s="1902">
        <f>I201/I195</f>
        <v>9.2653483910139361E-2</v>
      </c>
      <c r="J202" s="1902">
        <f t="shared" ref="J202:Q202" si="201">J201/J195</f>
        <v>0.12633355541169236</v>
      </c>
      <c r="K202" s="1902">
        <f t="shared" si="201"/>
        <v>0.11692467051122453</v>
      </c>
      <c r="L202" s="1902">
        <f t="shared" si="201"/>
        <v>7.5145150459408977E-2</v>
      </c>
      <c r="M202" s="1902">
        <f t="shared" si="201"/>
        <v>0.1116721439940655</v>
      </c>
      <c r="N202" s="1902">
        <f t="shared" si="201"/>
        <v>0.1280598441109079</v>
      </c>
      <c r="O202" s="1902">
        <f t="shared" si="201"/>
        <v>9.542158005927992E-2</v>
      </c>
      <c r="P202" s="1902">
        <f t="shared" si="201"/>
        <v>7.4677092847537319E-2</v>
      </c>
      <c r="Q202" s="1902">
        <f t="shared" si="201"/>
        <v>6.7417027767179144E-2</v>
      </c>
      <c r="R202" s="1902">
        <f t="shared" ref="R202" si="202">R201/R195</f>
        <v>6.093574607521534E-2</v>
      </c>
      <c r="S202" s="2201"/>
      <c r="U202" s="1578"/>
      <c r="V202" s="1578"/>
      <c r="W202" s="2277"/>
      <c r="X202" s="2277"/>
      <c r="Y202" s="2277"/>
      <c r="Z202" s="2277"/>
      <c r="AA202" s="2277"/>
      <c r="AB202" s="2277"/>
      <c r="AC202" s="2277"/>
    </row>
    <row r="203" spans="1:29" s="2189" customFormat="1">
      <c r="A203" s="1821"/>
      <c r="B203" s="1821"/>
      <c r="C203" s="1821"/>
      <c r="D203" s="1821"/>
      <c r="E203" s="1821"/>
      <c r="F203" s="1821"/>
      <c r="G203" s="1962"/>
      <c r="H203" s="2103"/>
      <c r="I203" s="2186"/>
      <c r="J203" s="2186"/>
      <c r="K203" s="2186"/>
      <c r="L203" s="2186"/>
      <c r="M203" s="2186"/>
      <c r="N203" s="2186"/>
      <c r="O203" s="2186"/>
      <c r="P203" s="2186"/>
      <c r="Q203" s="2186"/>
      <c r="R203" s="2186"/>
      <c r="S203" s="1821"/>
      <c r="U203" s="1578"/>
      <c r="V203" s="1578"/>
    </row>
    <row r="204" spans="1:29">
      <c r="A204" s="1821"/>
      <c r="B204" s="1877" t="s">
        <v>7048</v>
      </c>
      <c r="C204" s="1873"/>
      <c r="D204" s="1873"/>
      <c r="E204" s="1873"/>
      <c r="F204" s="1873"/>
      <c r="G204" s="1874">
        <f>G172-G237</f>
        <v>829.3</v>
      </c>
      <c r="H204" s="1874">
        <f>H172-H237</f>
        <v>908.86349999999993</v>
      </c>
      <c r="I204" s="1874">
        <f>I172-I237</f>
        <v>909.612747055</v>
      </c>
      <c r="J204" s="1874">
        <f>J172-J237</f>
        <v>1039.3375636114088</v>
      </c>
      <c r="K204" s="1874">
        <f t="shared" ref="K204:Q204" si="203">K172</f>
        <v>251.24366212287214</v>
      </c>
      <c r="L204" s="1874">
        <f t="shared" si="203"/>
        <v>0</v>
      </c>
      <c r="M204" s="1874">
        <f t="shared" si="203"/>
        <v>0</v>
      </c>
      <c r="N204" s="1874">
        <f t="shared" si="203"/>
        <v>0</v>
      </c>
      <c r="O204" s="1874">
        <f t="shared" si="203"/>
        <v>0</v>
      </c>
      <c r="P204" s="1874">
        <f t="shared" si="203"/>
        <v>0</v>
      </c>
      <c r="Q204" s="1874">
        <f t="shared" si="203"/>
        <v>0</v>
      </c>
      <c r="R204" s="1874">
        <f t="shared" ref="R204" si="204">R172</f>
        <v>0</v>
      </c>
      <c r="S204" s="1821"/>
      <c r="U204" s="1578"/>
      <c r="V204" s="1578"/>
    </row>
    <row r="205" spans="1:29">
      <c r="A205" s="1821"/>
      <c r="B205" s="1873"/>
      <c r="C205" s="1873"/>
      <c r="D205" s="1873"/>
      <c r="E205" s="1873"/>
      <c r="F205" s="1873"/>
      <c r="G205" s="1872">
        <f>G207-G175</f>
        <v>0</v>
      </c>
      <c r="H205" s="1872"/>
      <c r="I205" s="1872"/>
      <c r="J205" s="1872"/>
      <c r="K205" s="1872"/>
      <c r="L205" s="1872"/>
      <c r="M205" s="2240"/>
      <c r="N205" s="1872"/>
      <c r="O205" s="1872"/>
      <c r="P205" s="1872"/>
      <c r="Q205" s="1872"/>
      <c r="R205" s="1872"/>
      <c r="S205" s="1821"/>
      <c r="U205" s="1578"/>
      <c r="V205" s="1578"/>
      <c r="X205" s="1579"/>
    </row>
    <row r="206" spans="1:29">
      <c r="A206" s="1821"/>
      <c r="B206" s="1877" t="s">
        <v>468</v>
      </c>
      <c r="C206" s="1873"/>
      <c r="D206" s="1873"/>
      <c r="E206" s="1873"/>
      <c r="F206" s="1873"/>
      <c r="G206" s="1874">
        <f t="shared" ref="G206:Q206" si="205">G173</f>
        <v>159</v>
      </c>
      <c r="H206" s="1874">
        <f t="shared" si="205"/>
        <v>115.4</v>
      </c>
      <c r="I206" s="1874">
        <f t="shared" si="205"/>
        <v>225</v>
      </c>
      <c r="J206" s="1874">
        <f t="shared" si="205"/>
        <v>0</v>
      </c>
      <c r="K206" s="1874">
        <f t="shared" si="205"/>
        <v>0</v>
      </c>
      <c r="L206" s="1874">
        <f t="shared" si="205"/>
        <v>0</v>
      </c>
      <c r="M206" s="1874">
        <f t="shared" si="205"/>
        <v>0</v>
      </c>
      <c r="N206" s="1874">
        <f t="shared" si="205"/>
        <v>0</v>
      </c>
      <c r="O206" s="1874">
        <f t="shared" si="205"/>
        <v>0</v>
      </c>
      <c r="P206" s="1874">
        <f t="shared" si="205"/>
        <v>0</v>
      </c>
      <c r="Q206" s="1874">
        <f t="shared" si="205"/>
        <v>0</v>
      </c>
      <c r="R206" s="1874">
        <f t="shared" ref="R206" si="206">R173</f>
        <v>0</v>
      </c>
      <c r="S206" s="1821"/>
      <c r="U206" s="1578"/>
      <c r="V206" s="1578"/>
    </row>
    <row r="207" spans="1:29">
      <c r="A207" s="1821"/>
      <c r="B207" s="1877" t="s">
        <v>4353</v>
      </c>
      <c r="C207" s="1873"/>
      <c r="D207" s="1873"/>
      <c r="E207" s="1873"/>
      <c r="F207" s="1873"/>
      <c r="G207" s="1874">
        <f>G175</f>
        <v>1068</v>
      </c>
      <c r="H207" s="1900">
        <f>+G208/2+H208/2+(H211+H212)/2+(G211+G212)/2</f>
        <v>1033.8151020999999</v>
      </c>
      <c r="I207" s="1900">
        <f t="shared" ref="I207:N207" si="207">+H208/2+I208/2+(I211+I212)/2+(H211+H212)/2</f>
        <v>1009.5672446703646</v>
      </c>
      <c r="J207" s="1900">
        <f t="shared" si="207"/>
        <v>1130.7630429155349</v>
      </c>
      <c r="K207" s="1900">
        <f t="shared" si="207"/>
        <v>1159.1579975609322</v>
      </c>
      <c r="L207" s="1900">
        <f>+K208/2+L208/2+(L211+L212)/2+(K211+K212)/2+L210</f>
        <v>1063.5056742591994</v>
      </c>
      <c r="M207" s="1900">
        <f>+L208/2+M208/2+(M211+M212)/2+(L211+L212)/2</f>
        <v>708.84247814024855</v>
      </c>
      <c r="N207" s="1900">
        <f t="shared" si="207"/>
        <v>278.65538153920556</v>
      </c>
      <c r="O207" s="1900">
        <f>+N208/2+O208/2+(O211+O212)/2+(N211+N212)/2</f>
        <v>27.151480442394234</v>
      </c>
      <c r="P207" s="1900">
        <f>+O208/2+P208/2+(P211+P212)/2+(O211+O212)/2</f>
        <v>0</v>
      </c>
      <c r="Q207" s="1900">
        <f>+P208/2+Q208/2+(Q211+Q212)/2+(P211+P212)/2</f>
        <v>0</v>
      </c>
      <c r="R207" s="1900">
        <f>+Q208/2+R208/2+(R211+R212)/2+(Q211+Q212)/2</f>
        <v>0</v>
      </c>
      <c r="S207" s="1821"/>
      <c r="T207" s="1961"/>
      <c r="U207" s="1578"/>
      <c r="V207" s="1578"/>
      <c r="Y207" s="1777"/>
    </row>
    <row r="208" spans="1:29">
      <c r="A208" s="1821"/>
      <c r="B208" s="1877" t="s">
        <v>374</v>
      </c>
      <c r="C208" s="1873"/>
      <c r="D208" s="1873"/>
      <c r="E208" s="1873"/>
      <c r="F208" s="1873"/>
      <c r="G208" s="1873">
        <v>700</v>
      </c>
      <c r="H208" s="1874">
        <f t="shared" ref="H208:R208" si="208">((G7+H74)*H101+(G8+H75)*H103+(H76+G9)*H105)/1000</f>
        <v>840.80783499999995</v>
      </c>
      <c r="I208" s="1874">
        <f t="shared" si="208"/>
        <v>950.62829784079997</v>
      </c>
      <c r="J208" s="1874">
        <f t="shared" si="208"/>
        <v>1044.0956619870919</v>
      </c>
      <c r="K208" s="1874">
        <f t="shared" si="208"/>
        <v>1095.1126108757603</v>
      </c>
      <c r="L208" s="1874">
        <f t="shared" si="208"/>
        <v>879.19221616408743</v>
      </c>
      <c r="M208" s="1874">
        <f t="shared" si="208"/>
        <v>493.6921788240046</v>
      </c>
      <c r="N208" s="1874">
        <f t="shared" si="208"/>
        <v>54.302960884788469</v>
      </c>
      <c r="O208" s="1874">
        <f t="shared" si="208"/>
        <v>0</v>
      </c>
      <c r="P208" s="1874">
        <f t="shared" si="208"/>
        <v>0</v>
      </c>
      <c r="Q208" s="1874">
        <f t="shared" si="208"/>
        <v>0</v>
      </c>
      <c r="R208" s="1874">
        <f t="shared" si="208"/>
        <v>0</v>
      </c>
      <c r="S208" s="1821"/>
      <c r="U208" s="1578"/>
      <c r="V208" s="1578"/>
    </row>
    <row r="209" spans="1:29">
      <c r="A209" s="1821"/>
      <c r="B209" s="1877" t="s">
        <v>375</v>
      </c>
      <c r="C209" s="1873"/>
      <c r="D209" s="1873"/>
      <c r="E209" s="1873"/>
      <c r="F209" s="1873"/>
      <c r="G209" s="1874"/>
      <c r="H209" s="1874">
        <f t="shared" ref="H209:Q209" si="209">H175-H208</f>
        <v>83.527961499999833</v>
      </c>
      <c r="I209" s="1874">
        <f t="shared" si="209"/>
        <v>190.65398893741178</v>
      </c>
      <c r="J209" s="1874">
        <f t="shared" si="209"/>
        <v>130.84657276584517</v>
      </c>
      <c r="K209" s="1874">
        <f t="shared" si="209"/>
        <v>46.578116848090076</v>
      </c>
      <c r="L209" s="1874">
        <f t="shared" si="209"/>
        <v>0</v>
      </c>
      <c r="M209" s="1874">
        <f t="shared" si="209"/>
        <v>0</v>
      </c>
      <c r="N209" s="1874">
        <f t="shared" si="209"/>
        <v>0</v>
      </c>
      <c r="O209" s="1874">
        <f t="shared" si="209"/>
        <v>0</v>
      </c>
      <c r="P209" s="1874">
        <f t="shared" si="209"/>
        <v>0</v>
      </c>
      <c r="Q209" s="1874">
        <f t="shared" si="209"/>
        <v>0</v>
      </c>
      <c r="R209" s="1874">
        <f t="shared" ref="R209" si="210">R175-R208</f>
        <v>0</v>
      </c>
      <c r="S209" s="1821"/>
      <c r="U209" s="1578"/>
      <c r="V209" s="1578"/>
    </row>
    <row r="210" spans="1:29" s="2285" customFormat="1" hidden="1" outlineLevel="1">
      <c r="A210" s="1821"/>
      <c r="B210" s="1877" t="s">
        <v>7245</v>
      </c>
      <c r="C210" s="1873"/>
      <c r="D210" s="1873"/>
      <c r="E210" s="1873"/>
      <c r="F210" s="1873"/>
      <c r="G210" s="1874"/>
      <c r="H210" s="1874"/>
      <c r="I210" s="1874"/>
      <c r="J210" s="1874"/>
      <c r="K210" s="1874"/>
      <c r="L210" s="1874">
        <v>22.02</v>
      </c>
      <c r="M210" s="1874"/>
      <c r="N210" s="1874"/>
      <c r="O210" s="1874"/>
      <c r="P210" s="1874"/>
      <c r="Q210" s="1874"/>
      <c r="R210" s="1874"/>
      <c r="S210" s="1821"/>
      <c r="U210" s="1578"/>
      <c r="V210" s="1578"/>
    </row>
    <row r="211" spans="1:29" hidden="1" outlineLevel="1">
      <c r="A211" s="1821"/>
      <c r="B211" s="1878" t="s">
        <v>7039</v>
      </c>
      <c r="C211" s="1879"/>
      <c r="D211" s="1879"/>
      <c r="E211" s="1879"/>
      <c r="F211" s="1879"/>
      <c r="G211" s="1880">
        <v>350</v>
      </c>
      <c r="H211" s="1880">
        <f t="shared" ref="H211:I211" si="211">H209*0.7</f>
        <v>58.46957304999988</v>
      </c>
      <c r="I211" s="1880">
        <f t="shared" si="211"/>
        <v>133.45779225618824</v>
      </c>
      <c r="J211" s="1880">
        <f>J209*0.4</f>
        <v>52.338629106338068</v>
      </c>
      <c r="K211" s="1880">
        <f>K209*0.4</f>
        <v>18.63124673923603</v>
      </c>
      <c r="L211" s="1880">
        <f>L209*0.6</f>
        <v>0</v>
      </c>
      <c r="M211" s="1880">
        <f>M209</f>
        <v>0</v>
      </c>
      <c r="N211" s="1880">
        <f t="shared" ref="N211:Q211" si="212">N209</f>
        <v>0</v>
      </c>
      <c r="O211" s="1880">
        <f t="shared" si="212"/>
        <v>0</v>
      </c>
      <c r="P211" s="1880">
        <f t="shared" si="212"/>
        <v>0</v>
      </c>
      <c r="Q211" s="1880">
        <f t="shared" si="212"/>
        <v>0</v>
      </c>
      <c r="R211" s="1880">
        <f t="shared" ref="R211" si="213">R209</f>
        <v>0</v>
      </c>
      <c r="S211" s="1821"/>
      <c r="U211" s="1578"/>
      <c r="V211" s="1578"/>
    </row>
    <row r="212" spans="1:29" hidden="1" outlineLevel="1">
      <c r="A212" s="1821"/>
      <c r="B212" s="1881" t="s">
        <v>7040</v>
      </c>
      <c r="C212" s="1846"/>
      <c r="D212" s="1846"/>
      <c r="E212" s="1846"/>
      <c r="F212" s="1846"/>
      <c r="G212" s="1867">
        <v>110</v>
      </c>
      <c r="H212" s="1867">
        <f t="shared" ref="H212:N212" si="214">SUM(H213:H215)</f>
        <v>8.3527961499999837</v>
      </c>
      <c r="I212" s="1867">
        <f t="shared" si="214"/>
        <v>27.418195043741164</v>
      </c>
      <c r="J212" s="1867">
        <f t="shared" si="214"/>
        <v>53.587509596910188</v>
      </c>
      <c r="K212" s="1867">
        <f t="shared" si="214"/>
        <v>54.55033681652823</v>
      </c>
      <c r="L212" s="1867">
        <f t="shared" si="214"/>
        <v>35.484937922787047</v>
      </c>
      <c r="M212" s="1867">
        <f t="shared" si="214"/>
        <v>9.3156233696180148</v>
      </c>
      <c r="N212" s="1867">
        <f t="shared" si="214"/>
        <v>0</v>
      </c>
      <c r="O212" s="1867">
        <f>SUM(O213:O215)</f>
        <v>0</v>
      </c>
      <c r="P212" s="1867">
        <f>SUM(P213:P215)</f>
        <v>0</v>
      </c>
      <c r="Q212" s="1867">
        <f>SUM(Q213:Q215)</f>
        <v>0</v>
      </c>
      <c r="R212" s="1867">
        <f>SUM(R213:R215)</f>
        <v>0</v>
      </c>
      <c r="S212" s="1821"/>
      <c r="U212" s="1578"/>
      <c r="V212" s="1578"/>
    </row>
    <row r="213" spans="1:29" hidden="1" outlineLevel="1">
      <c r="A213" s="1821"/>
      <c r="B213" s="1881" t="s">
        <v>376</v>
      </c>
      <c r="C213" s="1846"/>
      <c r="D213" s="1846"/>
      <c r="E213" s="1846"/>
      <c r="F213" s="1846"/>
      <c r="G213" s="1867"/>
      <c r="H213" s="1867">
        <f t="shared" ref="H213:I213" si="215">H209*0.3/3</f>
        <v>8.3527961499999837</v>
      </c>
      <c r="I213" s="1867">
        <f t="shared" si="215"/>
        <v>19.065398893741179</v>
      </c>
      <c r="J213" s="1867">
        <f>J209*0.6/3</f>
        <v>26.169314553169031</v>
      </c>
      <c r="K213" s="1867">
        <f>K209*0.6/3</f>
        <v>9.3156233696180148</v>
      </c>
      <c r="L213" s="1867">
        <f>L209/3</f>
        <v>0</v>
      </c>
      <c r="M213" s="1867">
        <f t="shared" ref="M213:Q213" si="216">M209/3</f>
        <v>0</v>
      </c>
      <c r="N213" s="1867">
        <f t="shared" si="216"/>
        <v>0</v>
      </c>
      <c r="O213" s="1867">
        <f t="shared" si="216"/>
        <v>0</v>
      </c>
      <c r="P213" s="1867">
        <f t="shared" si="216"/>
        <v>0</v>
      </c>
      <c r="Q213" s="1867">
        <f t="shared" si="216"/>
        <v>0</v>
      </c>
      <c r="R213" s="1867">
        <f t="shared" ref="R213" si="217">R209/3</f>
        <v>0</v>
      </c>
      <c r="S213" s="1821"/>
      <c r="U213" s="1578"/>
      <c r="V213" s="1578"/>
    </row>
    <row r="214" spans="1:29" hidden="1" outlineLevel="1">
      <c r="A214" s="1821"/>
      <c r="B214" s="1881" t="s">
        <v>377</v>
      </c>
      <c r="C214" s="1846"/>
      <c r="D214" s="1846"/>
      <c r="E214" s="1846"/>
      <c r="F214" s="1846"/>
      <c r="G214" s="1867"/>
      <c r="H214" s="1867">
        <v>0</v>
      </c>
      <c r="I214" s="1867">
        <f>H213</f>
        <v>8.3527961499999837</v>
      </c>
      <c r="J214" s="1867">
        <f t="shared" ref="J214:N215" si="218">I213</f>
        <v>19.065398893741179</v>
      </c>
      <c r="K214" s="1867">
        <f t="shared" si="218"/>
        <v>26.169314553169031</v>
      </c>
      <c r="L214" s="1867">
        <f t="shared" si="218"/>
        <v>9.3156233696180148</v>
      </c>
      <c r="M214" s="1867">
        <f t="shared" si="218"/>
        <v>0</v>
      </c>
      <c r="N214" s="1867">
        <f t="shared" si="218"/>
        <v>0</v>
      </c>
      <c r="O214" s="1867">
        <f t="shared" ref="O214:R215" si="219">N213</f>
        <v>0</v>
      </c>
      <c r="P214" s="1867">
        <f t="shared" si="219"/>
        <v>0</v>
      </c>
      <c r="Q214" s="1867">
        <f t="shared" si="219"/>
        <v>0</v>
      </c>
      <c r="R214" s="1867">
        <f t="shared" si="219"/>
        <v>0</v>
      </c>
      <c r="S214" s="1821"/>
      <c r="U214" s="1578"/>
      <c r="V214" s="1578"/>
    </row>
    <row r="215" spans="1:29" hidden="1" outlineLevel="1">
      <c r="A215" s="1821"/>
      <c r="B215" s="1881" t="s">
        <v>378</v>
      </c>
      <c r="C215" s="1846"/>
      <c r="D215" s="1846"/>
      <c r="E215" s="1846"/>
      <c r="F215" s="1846"/>
      <c r="G215" s="1867"/>
      <c r="H215" s="1867"/>
      <c r="I215" s="1867">
        <f>H214</f>
        <v>0</v>
      </c>
      <c r="J215" s="1867">
        <f t="shared" si="218"/>
        <v>8.3527961499999837</v>
      </c>
      <c r="K215" s="1867">
        <f t="shared" si="218"/>
        <v>19.065398893741179</v>
      </c>
      <c r="L215" s="1867">
        <f t="shared" si="218"/>
        <v>26.169314553169031</v>
      </c>
      <c r="M215" s="1867">
        <f t="shared" si="218"/>
        <v>9.3156233696180148</v>
      </c>
      <c r="N215" s="1867">
        <f t="shared" si="218"/>
        <v>0</v>
      </c>
      <c r="O215" s="1867">
        <f t="shared" si="219"/>
        <v>0</v>
      </c>
      <c r="P215" s="1867">
        <f t="shared" si="219"/>
        <v>0</v>
      </c>
      <c r="Q215" s="1867">
        <f t="shared" si="219"/>
        <v>0</v>
      </c>
      <c r="R215" s="1867">
        <f t="shared" si="219"/>
        <v>0</v>
      </c>
      <c r="S215" s="1821"/>
      <c r="U215" s="1578"/>
      <c r="V215" s="2190"/>
      <c r="W215" s="2191"/>
      <c r="X215" s="1789"/>
      <c r="Y215" s="1789"/>
      <c r="Z215" s="1789"/>
      <c r="AA215" s="1789"/>
      <c r="AB215" s="1789"/>
      <c r="AC215" s="1789"/>
    </row>
    <row r="216" spans="1:29" collapsed="1">
      <c r="A216" s="1821"/>
      <c r="B216" s="1873"/>
      <c r="C216" s="1873"/>
      <c r="D216" s="1873"/>
      <c r="E216" s="1873"/>
      <c r="F216" s="1873"/>
      <c r="G216" s="1874"/>
      <c r="H216" s="1874"/>
      <c r="I216" s="1874"/>
      <c r="J216" s="1874"/>
      <c r="K216" s="1874"/>
      <c r="L216" s="1874"/>
      <c r="M216" s="1871"/>
      <c r="N216" s="1871"/>
      <c r="O216" s="1871"/>
      <c r="P216" s="1871"/>
      <c r="Q216" s="1871"/>
      <c r="R216" s="1871"/>
      <c r="S216" s="1821"/>
      <c r="U216" s="1578"/>
      <c r="V216" s="2192"/>
      <c r="W216" s="1789"/>
      <c r="X216" s="1789"/>
      <c r="Y216" s="1789"/>
      <c r="Z216" s="1789"/>
      <c r="AA216" s="1789"/>
      <c r="AB216" s="1789"/>
      <c r="AC216" s="1789"/>
    </row>
    <row r="217" spans="1:29">
      <c r="A217" s="1821"/>
      <c r="B217" s="1873"/>
      <c r="C217" s="1873"/>
      <c r="D217" s="1873"/>
      <c r="E217" s="1873"/>
      <c r="F217" s="1873"/>
      <c r="G217" s="1874"/>
      <c r="H217" s="1872"/>
      <c r="I217" s="1872"/>
      <c r="J217" s="1872"/>
      <c r="K217" s="1872"/>
      <c r="L217" s="1872"/>
      <c r="M217" s="1872"/>
      <c r="N217" s="1872"/>
      <c r="O217" s="1872"/>
      <c r="P217" s="1872"/>
      <c r="Q217" s="1872"/>
      <c r="R217" s="1872"/>
      <c r="S217" s="1821"/>
      <c r="U217" s="1578"/>
      <c r="V217" s="2192"/>
      <c r="W217" s="1789"/>
      <c r="X217" s="1789"/>
      <c r="Y217" s="1789"/>
      <c r="Z217" s="1789"/>
      <c r="AA217" s="1789"/>
      <c r="AB217" s="1789"/>
      <c r="AC217" s="1789"/>
    </row>
    <row r="218" spans="1:29">
      <c r="A218" s="1821"/>
      <c r="B218" s="1877" t="s">
        <v>7041</v>
      </c>
      <c r="C218" s="1873"/>
      <c r="D218" s="1873"/>
      <c r="E218" s="1873"/>
      <c r="F218" s="1873"/>
      <c r="G218" s="1882"/>
      <c r="H218" s="1961">
        <f>G219*0.7+H219*0.3</f>
        <v>0</v>
      </c>
      <c r="I218" s="1961">
        <f t="shared" ref="I218:R218" si="220">H219*0.7+I219*0.3+H220*0.7+I220*0.3</f>
        <v>37.465103939999999</v>
      </c>
      <c r="J218" s="1961">
        <f t="shared" si="220"/>
        <v>94.126355256751424</v>
      </c>
      <c r="K218" s="1961">
        <f t="shared" si="220"/>
        <v>203.96469985319033</v>
      </c>
      <c r="L218" s="1961">
        <f t="shared" si="220"/>
        <v>542.45984516276974</v>
      </c>
      <c r="M218" s="1961">
        <f t="shared" si="220"/>
        <v>1200.392428419018</v>
      </c>
      <c r="N218" s="1961">
        <f t="shared" si="220"/>
        <v>2048.1187173198909</v>
      </c>
      <c r="O218" s="1961">
        <f t="shared" si="220"/>
        <v>2804.5050113104344</v>
      </c>
      <c r="P218" s="1961">
        <f t="shared" si="220"/>
        <v>3178.8893220490982</v>
      </c>
      <c r="Q218" s="1961">
        <f t="shared" si="220"/>
        <v>3477.8160356706294</v>
      </c>
      <c r="R218" s="1961">
        <f t="shared" si="220"/>
        <v>3779.0770712660378</v>
      </c>
      <c r="S218" s="1821"/>
      <c r="T218" s="1961"/>
      <c r="U218" s="1578"/>
      <c r="V218" s="2192"/>
      <c r="W218" s="1789"/>
      <c r="X218" s="1789"/>
      <c r="Y218" s="1789"/>
      <c r="Z218" s="1789"/>
      <c r="AA218" s="1789"/>
      <c r="AB218" s="1789"/>
      <c r="AC218" s="1789"/>
    </row>
    <row r="219" spans="1:29" hidden="1" outlineLevel="1">
      <c r="A219" s="1821"/>
      <c r="B219" s="1883" t="s">
        <v>374</v>
      </c>
      <c r="C219" s="1879"/>
      <c r="D219" s="1879"/>
      <c r="E219" s="1879"/>
      <c r="F219" s="1879"/>
      <c r="G219" s="1879">
        <v>0</v>
      </c>
      <c r="H219" s="1880">
        <f>((G11+H78)*H107+(G12+H79)*H109+(G13+H80)*H111)/1000</f>
        <v>0</v>
      </c>
      <c r="I219" s="1880">
        <f>((H11+I78)*I107+(H12+I79)*I109+(H13+I80)*I111)/1000</f>
        <v>19.688549999999996</v>
      </c>
      <c r="J219" s="1880">
        <f>((I11+J78)*J107+(I12+J79)*J109+(I13+J80)*J111)/1000</f>
        <v>64.96412048515198</v>
      </c>
      <c r="K219" s="1880">
        <f t="shared" ref="K219:R219" si="221">((J11+K78)*K107+(J12+K79)*K109+(J13+K80)*K111+(J14*K115)+(J15*K117)+(J16*K119))/1000</f>
        <v>110.10734675422448</v>
      </c>
      <c r="L219" s="1880">
        <f t="shared" si="221"/>
        <v>315.48955948936947</v>
      </c>
      <c r="M219" s="1880">
        <f t="shared" si="221"/>
        <v>974.74765703537742</v>
      </c>
      <c r="N219" s="1880">
        <f t="shared" si="221"/>
        <v>1881.3046840332202</v>
      </c>
      <c r="O219" s="1880">
        <f t="shared" si="221"/>
        <v>2717.1197043305651</v>
      </c>
      <c r="P219" s="1880">
        <f t="shared" si="221"/>
        <v>3053.3660531495843</v>
      </c>
      <c r="Q219" s="1880">
        <f t="shared" si="221"/>
        <v>3341.0014326809464</v>
      </c>
      <c r="R219" s="1880">
        <f t="shared" si="221"/>
        <v>3627.9355953014988</v>
      </c>
      <c r="S219" s="1821"/>
      <c r="T219" s="2035"/>
      <c r="U219" s="1578"/>
      <c r="V219" s="2192"/>
      <c r="W219" s="1789"/>
      <c r="X219" s="1789"/>
      <c r="Y219" s="1789"/>
      <c r="Z219" s="1789"/>
      <c r="AA219" s="1789"/>
      <c r="AB219" s="1789"/>
      <c r="AC219" s="1789"/>
    </row>
    <row r="220" spans="1:29" hidden="1" outlineLevel="1">
      <c r="A220" s="1821"/>
      <c r="B220" s="1884" t="s">
        <v>375</v>
      </c>
      <c r="C220" s="1846"/>
      <c r="D220" s="1846"/>
      <c r="E220" s="1846"/>
      <c r="F220" s="1846"/>
      <c r="G220" s="1867">
        <f t="shared" ref="G220:Q220" si="222">G179-G219</f>
        <v>11</v>
      </c>
      <c r="H220" s="1867">
        <f t="shared" si="222"/>
        <v>20.58</v>
      </c>
      <c r="I220" s="1867">
        <f t="shared" si="222"/>
        <v>57.175129800000008</v>
      </c>
      <c r="J220" s="1867">
        <f t="shared" si="222"/>
        <v>69.441810837352804</v>
      </c>
      <c r="K220" s="1867">
        <f t="shared" si="222"/>
        <v>256.16114633723208</v>
      </c>
      <c r="L220" s="1867">
        <f t="shared" si="222"/>
        <v>638.08344050646451</v>
      </c>
      <c r="M220" s="1867">
        <f t="shared" si="222"/>
        <v>801.55677103773633</v>
      </c>
      <c r="N220" s="1867">
        <f t="shared" si="222"/>
        <v>801.04737486248382</v>
      </c>
      <c r="O220" s="1867">
        <f t="shared" si="222"/>
        <v>372.40886261424066</v>
      </c>
      <c r="P220" s="1867">
        <f t="shared" si="222"/>
        <v>334.03169747619586</v>
      </c>
      <c r="Q220" s="1867">
        <f t="shared" si="222"/>
        <v>347.79060142766639</v>
      </c>
      <c r="R220" s="1867">
        <f t="shared" ref="R220" si="223">R179-R219</f>
        <v>361.80656266520054</v>
      </c>
      <c r="S220" s="1821"/>
      <c r="U220" s="1578"/>
      <c r="V220" s="2192"/>
      <c r="W220" s="1789"/>
      <c r="X220" s="1789"/>
      <c r="Y220" s="1789"/>
      <c r="Z220" s="1789"/>
      <c r="AA220" s="1789"/>
      <c r="AB220" s="1789"/>
      <c r="AC220" s="1789"/>
    </row>
    <row r="221" spans="1:29" collapsed="1">
      <c r="A221" s="1821"/>
      <c r="B221" s="1877"/>
      <c r="C221" s="1873"/>
      <c r="D221" s="1873"/>
      <c r="E221" s="1873"/>
      <c r="F221" s="1873"/>
      <c r="G221" s="1874"/>
      <c r="H221" s="1872"/>
      <c r="I221" s="1872"/>
      <c r="J221" s="1872"/>
      <c r="K221" s="1872"/>
      <c r="L221" s="1872"/>
      <c r="M221" s="1872"/>
      <c r="N221" s="1872"/>
      <c r="O221" s="1872"/>
      <c r="P221" s="1872"/>
      <c r="Q221" s="1872"/>
      <c r="R221" s="1872"/>
      <c r="S221" s="1821"/>
      <c r="U221" s="1578"/>
      <c r="V221" s="2190"/>
      <c r="W221" s="1789"/>
      <c r="X221" s="1789"/>
      <c r="Y221" s="1789"/>
      <c r="Z221" s="1789"/>
      <c r="AA221" s="1789"/>
      <c r="AB221" s="1789"/>
      <c r="AC221" s="1789"/>
    </row>
    <row r="222" spans="1:29">
      <c r="A222" s="1821"/>
      <c r="B222" s="1877" t="s">
        <v>7042</v>
      </c>
      <c r="C222" s="1873"/>
      <c r="D222" s="1873"/>
      <c r="E222" s="1873"/>
      <c r="F222" s="1873"/>
      <c r="G222" s="1882"/>
      <c r="H222" s="1961">
        <f>G223*0.7+H223*0.3</f>
        <v>21.979199999999999</v>
      </c>
      <c r="I222" s="1961">
        <f t="shared" ref="I222:R222" si="224">H223*0.7+I223*0.3+H224*0.7+I224*0.3</f>
        <v>19.451683580034977</v>
      </c>
      <c r="J222" s="1961">
        <f t="shared" si="224"/>
        <v>35.570698148068047</v>
      </c>
      <c r="K222" s="1961">
        <f t="shared" si="224"/>
        <v>66.642887408366533</v>
      </c>
      <c r="L222" s="1961">
        <f t="shared" si="224"/>
        <v>113.48448684938901</v>
      </c>
      <c r="M222" s="1961">
        <f t="shared" si="224"/>
        <v>183.51696182729961</v>
      </c>
      <c r="N222" s="1961">
        <f t="shared" si="224"/>
        <v>343.10736681568392</v>
      </c>
      <c r="O222" s="1961">
        <f t="shared" si="224"/>
        <v>539.11527218171955</v>
      </c>
      <c r="P222" s="1961">
        <f t="shared" si="224"/>
        <v>714.9101792683291</v>
      </c>
      <c r="Q222" s="1961">
        <f t="shared" si="224"/>
        <v>886.73168355079633</v>
      </c>
      <c r="R222" s="1961">
        <f t="shared" si="224"/>
        <v>1055.240196361771</v>
      </c>
      <c r="S222" s="1821"/>
      <c r="U222" s="1578"/>
      <c r="V222" s="2190"/>
      <c r="W222" s="1789"/>
      <c r="X222" s="1789"/>
      <c r="Y222" s="1789"/>
      <c r="Z222" s="1789"/>
      <c r="AA222" s="1789"/>
      <c r="AB222" s="1789"/>
      <c r="AC222" s="1789"/>
    </row>
    <row r="223" spans="1:29" hidden="1" outlineLevel="1">
      <c r="A223" s="1821"/>
      <c r="B223" s="1883" t="s">
        <v>374</v>
      </c>
      <c r="C223" s="1879"/>
      <c r="D223" s="1879"/>
      <c r="E223" s="1879"/>
      <c r="F223" s="1879"/>
      <c r="G223" s="1879">
        <v>30</v>
      </c>
      <c r="H223" s="2212">
        <f t="shared" ref="H223:R223" si="225">(G19+H82)*H123/1000</f>
        <v>3.2639999999999998</v>
      </c>
      <c r="I223" s="2212">
        <f t="shared" si="225"/>
        <v>15.628254083834058</v>
      </c>
      <c r="J223" s="2212">
        <f t="shared" si="225"/>
        <v>27.5159339364807</v>
      </c>
      <c r="K223" s="2212">
        <f t="shared" si="225"/>
        <v>46.650213927480827</v>
      </c>
      <c r="L223" s="2212">
        <f t="shared" si="225"/>
        <v>99.350027441819833</v>
      </c>
      <c r="M223" s="2212">
        <f t="shared" si="225"/>
        <v>135.41958803773173</v>
      </c>
      <c r="N223" s="2212">
        <f t="shared" si="225"/>
        <v>269.10277146735217</v>
      </c>
      <c r="O223" s="2212">
        <f t="shared" si="225"/>
        <v>461.72410759578008</v>
      </c>
      <c r="P223" s="2212">
        <f t="shared" si="225"/>
        <v>642.43895306899753</v>
      </c>
      <c r="Q223" s="2212">
        <f t="shared" si="225"/>
        <v>812.121281814947</v>
      </c>
      <c r="R223" s="2212">
        <f t="shared" si="225"/>
        <v>973.8268090479736</v>
      </c>
      <c r="S223" s="1824"/>
      <c r="U223" s="1578"/>
      <c r="V223" s="2192"/>
      <c r="W223" s="1789"/>
      <c r="X223" s="1789"/>
      <c r="Y223" s="1789"/>
      <c r="Z223" s="1789"/>
      <c r="AA223" s="1789"/>
      <c r="AB223" s="1789"/>
      <c r="AC223" s="1789"/>
    </row>
    <row r="224" spans="1:29" hidden="1" outlineLevel="1">
      <c r="A224" s="1821"/>
      <c r="B224" s="1884" t="s">
        <v>375</v>
      </c>
      <c r="C224" s="1846"/>
      <c r="D224" s="1846"/>
      <c r="E224" s="1846"/>
      <c r="F224" s="1846"/>
      <c r="G224" s="1846">
        <v>30</v>
      </c>
      <c r="H224" s="1867">
        <f t="shared" ref="H224:R224" si="226">(H57*H123)/1000</f>
        <v>12.240220321263946</v>
      </c>
      <c r="I224" s="1867">
        <f t="shared" si="226"/>
        <v>13.034177099999996</v>
      </c>
      <c r="J224" s="1867">
        <f t="shared" si="226"/>
        <v>24.174053794800006</v>
      </c>
      <c r="K224" s="1867">
        <f t="shared" si="226"/>
        <v>54.882772727419344</v>
      </c>
      <c r="L224" s="1867">
        <f t="shared" si="226"/>
        <v>42.021293194709784</v>
      </c>
      <c r="M224" s="1867">
        <f t="shared" si="226"/>
        <v>146.4372032346979</v>
      </c>
      <c r="N224" s="1867">
        <f t="shared" si="226"/>
        <v>216.92260494925856</v>
      </c>
      <c r="O224" s="1867">
        <f t="shared" si="226"/>
        <v>201.26758803786026</v>
      </c>
      <c r="P224" s="1867">
        <f t="shared" si="226"/>
        <v>193.61435468027224</v>
      </c>
      <c r="Q224" s="1867">
        <f t="shared" si="226"/>
        <v>192.85994527274502</v>
      </c>
      <c r="R224" s="1867">
        <f t="shared" si="226"/>
        <v>198.6843156199819</v>
      </c>
      <c r="S224" s="1821"/>
      <c r="U224" s="1578"/>
      <c r="V224" s="2192"/>
      <c r="W224" s="1789"/>
      <c r="X224" s="1789"/>
      <c r="Y224" s="1789"/>
      <c r="Z224" s="1789"/>
      <c r="AA224" s="1789"/>
      <c r="AB224" s="1789"/>
      <c r="AC224" s="1789"/>
    </row>
    <row r="225" spans="1:29" collapsed="1">
      <c r="A225" s="1821"/>
      <c r="B225" s="1872"/>
      <c r="C225" s="1872"/>
      <c r="D225" s="1872"/>
      <c r="E225" s="1872"/>
      <c r="F225" s="1872"/>
      <c r="G225" s="1872"/>
      <c r="H225" s="1872"/>
      <c r="I225" s="1872"/>
      <c r="J225" s="1872"/>
      <c r="K225" s="1872"/>
      <c r="L225" s="1872"/>
      <c r="M225" s="1872"/>
      <c r="N225" s="1872"/>
      <c r="O225" s="1872"/>
      <c r="P225" s="1872"/>
      <c r="Q225" s="1872"/>
      <c r="R225" s="1872"/>
      <c r="S225" s="1872"/>
      <c r="U225" s="1578"/>
      <c r="V225" s="1789"/>
      <c r="W225" s="2193"/>
      <c r="X225" s="2194"/>
      <c r="Y225" s="1789"/>
      <c r="Z225" s="1789"/>
      <c r="AA225" s="1789"/>
      <c r="AB225" s="1789"/>
      <c r="AC225" s="1789"/>
    </row>
    <row r="226" spans="1:29">
      <c r="A226" s="1821"/>
      <c r="B226" s="1872"/>
      <c r="C226" s="1872"/>
      <c r="D226" s="1872"/>
      <c r="E226" s="1872"/>
      <c r="F226" s="1872"/>
      <c r="G226" s="1872"/>
      <c r="H226" s="1872"/>
      <c r="I226" s="1872"/>
      <c r="J226" s="1872"/>
      <c r="K226" s="1872"/>
      <c r="L226" s="1872"/>
      <c r="M226" s="1872"/>
      <c r="N226" s="1872"/>
      <c r="O226" s="1872"/>
      <c r="P226" s="1872"/>
      <c r="Q226" s="1872"/>
      <c r="R226" s="1872"/>
      <c r="S226" s="1821"/>
      <c r="U226" s="1578"/>
      <c r="V226" s="2190"/>
      <c r="W226" s="2193"/>
      <c r="X226" s="2194"/>
      <c r="Y226" s="1789"/>
      <c r="Z226" s="1789"/>
      <c r="AA226" s="1789"/>
      <c r="AB226" s="1789"/>
      <c r="AC226" s="1789"/>
    </row>
    <row r="227" spans="1:29">
      <c r="A227" s="1821"/>
      <c r="B227" s="1877"/>
      <c r="C227" s="1873"/>
      <c r="D227" s="1873"/>
      <c r="E227" s="1873"/>
      <c r="F227" s="1873"/>
      <c r="G227" s="1874"/>
      <c r="H227" s="1874"/>
      <c r="I227" s="1874"/>
      <c r="J227" s="1874"/>
      <c r="K227" s="1874"/>
      <c r="L227" s="1874"/>
      <c r="M227" s="1874"/>
      <c r="N227" s="1874"/>
      <c r="O227" s="1874"/>
      <c r="P227" s="1874"/>
      <c r="Q227" s="1874"/>
      <c r="R227" s="1874"/>
      <c r="S227" s="1821"/>
      <c r="U227" s="1578"/>
      <c r="V227" s="2190"/>
      <c r="W227" s="2193"/>
      <c r="X227" s="2194"/>
      <c r="Y227" s="1789"/>
      <c r="Z227" s="1789"/>
      <c r="AA227" s="1789"/>
      <c r="AB227" s="1789"/>
      <c r="AC227" s="1789"/>
    </row>
    <row r="228" spans="1:29">
      <c r="A228" s="1872"/>
      <c r="B228" s="1877" t="s">
        <v>7049</v>
      </c>
      <c r="C228" s="1873"/>
      <c r="D228" s="1873"/>
      <c r="E228" s="1873"/>
      <c r="F228" s="1873"/>
      <c r="G228" s="1882"/>
      <c r="H228" s="1961">
        <f>G229*0.7+H229*0.3</f>
        <v>2.1498749999999998</v>
      </c>
      <c r="I228" s="1961">
        <f t="shared" ref="I228:R228" si="227">H229*0.7+I229*0.3+H230*0.7+I230*0.3</f>
        <v>9.6561530999999992</v>
      </c>
      <c r="J228" s="1961">
        <f t="shared" si="227"/>
        <v>13.440328007399996</v>
      </c>
      <c r="K228" s="1961">
        <f t="shared" si="227"/>
        <v>19.90823367092748</v>
      </c>
      <c r="L228" s="1961">
        <f t="shared" si="227"/>
        <v>44.968515033924831</v>
      </c>
      <c r="M228" s="1961">
        <f t="shared" si="227"/>
        <v>86.436110780238593</v>
      </c>
      <c r="N228" s="1961">
        <f t="shared" si="227"/>
        <v>102.46238468252564</v>
      </c>
      <c r="O228" s="1961">
        <f t="shared" si="227"/>
        <v>111.15004667263858</v>
      </c>
      <c r="P228" s="1961">
        <f t="shared" si="227"/>
        <v>130.96796671991734</v>
      </c>
      <c r="Q228" s="1961">
        <f t="shared" si="227"/>
        <v>155.76005670101557</v>
      </c>
      <c r="R228" s="1961">
        <f t="shared" si="227"/>
        <v>181.09472004650883</v>
      </c>
      <c r="S228" s="1821"/>
      <c r="U228" s="1578"/>
      <c r="V228" s="2195"/>
      <c r="W228" s="2196"/>
      <c r="X228" s="2194"/>
      <c r="Y228" s="2194"/>
      <c r="Z228" s="1789"/>
      <c r="AA228" s="1789"/>
      <c r="AB228" s="1789"/>
      <c r="AC228" s="1789"/>
    </row>
    <row r="229" spans="1:29" hidden="1" outlineLevel="1">
      <c r="A229" s="1872"/>
      <c r="B229" s="1883" t="s">
        <v>374</v>
      </c>
      <c r="C229" s="1879"/>
      <c r="D229" s="1879"/>
      <c r="E229" s="1879"/>
      <c r="F229" s="1879"/>
      <c r="G229" s="1879">
        <v>0</v>
      </c>
      <c r="H229" s="1880">
        <f t="shared" ref="H229:R229" si="228">((G18+H81)*H121)/1000</f>
        <v>7.1662499999999989</v>
      </c>
      <c r="I229" s="1880">
        <f t="shared" si="228"/>
        <v>9.2137499999999974</v>
      </c>
      <c r="J229" s="1880">
        <f t="shared" si="228"/>
        <v>11.943441373499997</v>
      </c>
      <c r="K229" s="1880">
        <f t="shared" si="228"/>
        <v>14.493812191866001</v>
      </c>
      <c r="L229" s="1880">
        <f t="shared" si="228"/>
        <v>22.707805464829622</v>
      </c>
      <c r="M229" s="1880">
        <f t="shared" si="228"/>
        <v>66.106846344436676</v>
      </c>
      <c r="N229" s="1880">
        <f t="shared" si="228"/>
        <v>83.629258332780751</v>
      </c>
      <c r="O229" s="1880">
        <f t="shared" si="228"/>
        <v>94.149229278781164</v>
      </c>
      <c r="P229" s="1880">
        <f t="shared" si="228"/>
        <v>112.70512996181861</v>
      </c>
      <c r="Q229" s="1880">
        <f t="shared" si="228"/>
        <v>134.88458392196955</v>
      </c>
      <c r="R229" s="1880">
        <f t="shared" si="228"/>
        <v>157.82865253988314</v>
      </c>
      <c r="S229" s="1821"/>
      <c r="U229" s="1578"/>
      <c r="V229" s="1789"/>
      <c r="W229" s="2196"/>
      <c r="X229" s="2194"/>
      <c r="Y229" s="1789"/>
      <c r="Z229" s="1789"/>
      <c r="AA229" s="1789"/>
      <c r="AB229" s="1789"/>
      <c r="AC229" s="1789"/>
    </row>
    <row r="230" spans="1:29" hidden="1" outlineLevel="1">
      <c r="A230" s="1821"/>
      <c r="B230" s="1884" t="s">
        <v>375</v>
      </c>
      <c r="C230" s="1846"/>
      <c r="D230" s="1846"/>
      <c r="E230" s="1846"/>
      <c r="F230" s="1846"/>
      <c r="G230" s="1867">
        <f>G186</f>
        <v>0</v>
      </c>
      <c r="H230" s="1867">
        <f t="shared" ref="H230:Q230" si="229">H186-H229</f>
        <v>1.2712499999999993</v>
      </c>
      <c r="I230" s="1867">
        <f t="shared" si="229"/>
        <v>3.2859270000000009</v>
      </c>
      <c r="J230" s="1867">
        <f t="shared" si="229"/>
        <v>3.6917389845000006</v>
      </c>
      <c r="K230" s="1867">
        <f t="shared" si="229"/>
        <v>15.384879209225607</v>
      </c>
      <c r="L230" s="1867">
        <f t="shared" si="229"/>
        <v>57.470298045706073</v>
      </c>
      <c r="M230" s="1867">
        <f t="shared" si="229"/>
        <v>34.931281398442081</v>
      </c>
      <c r="N230" s="1867">
        <f t="shared" si="229"/>
        <v>22.156392542254252</v>
      </c>
      <c r="O230" s="1867">
        <f t="shared" si="229"/>
        <v>29.517740921599142</v>
      </c>
      <c r="P230" s="1867">
        <f t="shared" si="229"/>
        <v>35.298495303685144</v>
      </c>
      <c r="Q230" s="1867">
        <f t="shared" si="229"/>
        <v>38.97381279524032</v>
      </c>
      <c r="R230" s="1867">
        <f t="shared" ref="R230" si="230">R186-R229</f>
        <v>40.150821941656574</v>
      </c>
      <c r="S230" s="1821"/>
      <c r="U230" s="1578"/>
      <c r="V230" s="2190"/>
      <c r="W230" s="2193"/>
      <c r="X230" s="2194"/>
      <c r="Y230" s="1789"/>
      <c r="Z230" s="1789"/>
      <c r="AA230" s="1789"/>
      <c r="AB230" s="1789"/>
      <c r="AC230" s="1789"/>
    </row>
    <row r="231" spans="1:29" collapsed="1">
      <c r="A231" s="1821"/>
      <c r="B231" s="1821"/>
      <c r="C231" s="1821"/>
      <c r="D231" s="1821"/>
      <c r="E231" s="1821"/>
      <c r="F231" s="1821"/>
      <c r="G231" s="1821"/>
      <c r="H231" s="1821"/>
      <c r="I231" s="1862"/>
      <c r="J231" s="1862"/>
      <c r="K231" s="1862"/>
      <c r="L231" s="1862"/>
      <c r="M231" s="1862"/>
      <c r="N231" s="1862"/>
      <c r="O231" s="1862"/>
      <c r="P231" s="1862"/>
      <c r="Q231" s="1862"/>
      <c r="R231" s="1862"/>
      <c r="S231" s="1821"/>
      <c r="U231" s="1578"/>
      <c r="V231" s="2190"/>
      <c r="W231" s="2193"/>
      <c r="X231" s="2194"/>
      <c r="Y231" s="1789"/>
      <c r="Z231" s="1789"/>
      <c r="AA231" s="1789"/>
      <c r="AB231" s="1789"/>
      <c r="AC231" s="1789"/>
    </row>
    <row r="232" spans="1:29">
      <c r="A232" s="1821"/>
      <c r="B232" s="1821"/>
      <c r="C232" s="1821"/>
      <c r="D232" s="1821"/>
      <c r="E232" s="1821"/>
      <c r="F232" s="1821"/>
      <c r="G232" s="1821"/>
      <c r="H232" s="1821"/>
      <c r="I232" s="1963"/>
      <c r="J232" s="1963"/>
      <c r="K232" s="1963"/>
      <c r="L232" s="1963"/>
      <c r="M232" s="1963"/>
      <c r="N232" s="1963"/>
      <c r="O232" s="1963"/>
      <c r="P232" s="1963"/>
      <c r="Q232" s="1963"/>
      <c r="R232" s="1963"/>
      <c r="S232" s="1821"/>
      <c r="U232" s="1578"/>
      <c r="V232" s="2195"/>
      <c r="W232" s="2193"/>
      <c r="X232" s="2194"/>
      <c r="Y232" s="2194"/>
      <c r="Z232" s="1789"/>
      <c r="AA232" s="1789"/>
      <c r="AB232" s="1789"/>
      <c r="AC232" s="1789"/>
    </row>
    <row r="233" spans="1:29">
      <c r="A233" s="1821"/>
      <c r="B233" s="1877" t="s">
        <v>7065</v>
      </c>
      <c r="C233" s="1873"/>
      <c r="D233" s="1873"/>
      <c r="E233" s="1873"/>
      <c r="F233" s="1873"/>
      <c r="G233" s="1873"/>
      <c r="H233" s="1874"/>
      <c r="I233" s="1874">
        <f>+I235</f>
        <v>127</v>
      </c>
      <c r="J233" s="1874">
        <f t="shared" ref="J233:P233" si="231">+J235</f>
        <v>-1</v>
      </c>
      <c r="K233" s="1874">
        <f>+K235</f>
        <v>114.41</v>
      </c>
      <c r="L233" s="1874">
        <f t="shared" si="231"/>
        <v>119.47999999999999</v>
      </c>
      <c r="M233" s="1874">
        <f t="shared" si="231"/>
        <v>159.47999999999999</v>
      </c>
      <c r="N233" s="1874">
        <f t="shared" si="231"/>
        <v>104</v>
      </c>
      <c r="O233" s="1874">
        <f t="shared" si="231"/>
        <v>7.0000000000000007E-2</v>
      </c>
      <c r="P233" s="1874">
        <f t="shared" si="231"/>
        <v>0.1</v>
      </c>
      <c r="Q233" s="1874">
        <f t="shared" ref="Q233" si="232">+Q235</f>
        <v>0.09</v>
      </c>
      <c r="R233" s="1874">
        <f t="shared" ref="R233" si="233">+R235</f>
        <v>0.09</v>
      </c>
      <c r="S233" s="1821"/>
      <c r="U233" s="1578"/>
      <c r="V233" s="2190"/>
      <c r="W233" s="1789"/>
      <c r="X233" s="1789"/>
      <c r="Y233" s="1789"/>
      <c r="Z233" s="1789"/>
      <c r="AA233" s="1789"/>
      <c r="AB233" s="1789"/>
      <c r="AC233" s="1789"/>
    </row>
    <row r="234" spans="1:29" hidden="1" outlineLevel="1">
      <c r="A234" s="1821"/>
      <c r="B234" s="1883" t="s">
        <v>7059</v>
      </c>
      <c r="C234" s="1879"/>
      <c r="D234" s="1879"/>
      <c r="E234" s="1879"/>
      <c r="F234" s="1879"/>
      <c r="G234" s="1879"/>
      <c r="H234" s="1916"/>
      <c r="I234" s="1916">
        <f t="shared" ref="I234:P234" si="234">I235/I195</f>
        <v>4.5875214255702554E-2</v>
      </c>
      <c r="J234" s="1916">
        <f t="shared" si="234"/>
        <v>-3.4889134330762857E-4</v>
      </c>
      <c r="K234" s="1916">
        <f t="shared" si="234"/>
        <v>4.976693286156697E-2</v>
      </c>
      <c r="L234" s="1916">
        <f t="shared" si="234"/>
        <v>5.373035653435182E-2</v>
      </c>
      <c r="M234" s="1916">
        <f t="shared" si="234"/>
        <v>5.6677717849678198E-2</v>
      </c>
      <c r="N234" s="1916">
        <f t="shared" si="234"/>
        <v>2.9198806555474393E-2</v>
      </c>
      <c r="O234" s="1916">
        <f t="shared" si="234"/>
        <v>1.6944668122607538E-5</v>
      </c>
      <c r="P234" s="1916">
        <f t="shared" si="234"/>
        <v>2.1546407220349319E-5</v>
      </c>
      <c r="Q234" s="1916">
        <f t="shared" ref="Q234" si="235">Q235/Q195</f>
        <v>1.7473906821115215E-5</v>
      </c>
      <c r="R234" s="1916">
        <f t="shared" ref="R234" si="236">R235/R195</f>
        <v>1.5908696388339265E-5</v>
      </c>
      <c r="S234" s="1821"/>
      <c r="U234" s="1578"/>
      <c r="V234" s="2190"/>
      <c r="W234" s="1789"/>
      <c r="X234" s="1789"/>
      <c r="Y234" s="1789"/>
      <c r="Z234" s="1789"/>
      <c r="AA234" s="1789"/>
      <c r="AB234" s="1789"/>
      <c r="AC234" s="1789"/>
    </row>
    <row r="235" spans="1:29" hidden="1" outlineLevel="1">
      <c r="A235" s="1821"/>
      <c r="B235" s="1884" t="s">
        <v>7060</v>
      </c>
      <c r="C235" s="1846"/>
      <c r="D235" s="1846"/>
      <c r="E235" s="1846"/>
      <c r="F235" s="1846"/>
      <c r="G235" s="1867"/>
      <c r="H235" s="1867"/>
      <c r="I235" s="1867">
        <v>127</v>
      </c>
      <c r="J235" s="1867">
        <v>-1</v>
      </c>
      <c r="K235" s="1867">
        <v>114.41</v>
      </c>
      <c r="L235" s="1867">
        <f>K235+5.07</f>
        <v>119.47999999999999</v>
      </c>
      <c r="M235" s="1867">
        <f>L235+40</f>
        <v>159.47999999999999</v>
      </c>
      <c r="N235" s="1867">
        <v>104</v>
      </c>
      <c r="O235" s="1867">
        <v>7.0000000000000007E-2</v>
      </c>
      <c r="P235" s="1867">
        <v>0.1</v>
      </c>
      <c r="Q235" s="1867">
        <v>0.09</v>
      </c>
      <c r="R235" s="1867">
        <v>0.09</v>
      </c>
      <c r="S235" s="1821"/>
      <c r="U235" s="1578"/>
      <c r="V235" s="1578"/>
    </row>
    <row r="236" spans="1:29" collapsed="1">
      <c r="A236" s="1821"/>
      <c r="B236" s="1821"/>
      <c r="C236" s="1821"/>
      <c r="D236" s="1821"/>
      <c r="E236" s="1821"/>
      <c r="F236" s="1821"/>
      <c r="G236" s="1821"/>
      <c r="H236" s="1886"/>
      <c r="I236" s="1886"/>
      <c r="J236" s="1886"/>
      <c r="K236" s="1886"/>
      <c r="L236" s="1886"/>
      <c r="M236" s="1886"/>
      <c r="N236" s="1886"/>
      <c r="O236" s="1886"/>
      <c r="P236" s="1886"/>
      <c r="Q236" s="1886"/>
      <c r="R236" s="1886"/>
      <c r="S236" s="1886"/>
      <c r="T236" s="1886"/>
      <c r="U236" s="1578"/>
      <c r="V236" s="1578"/>
    </row>
    <row r="237" spans="1:29">
      <c r="A237" s="1821"/>
      <c r="B237" s="1877" t="s">
        <v>7050</v>
      </c>
      <c r="C237" s="1873"/>
      <c r="D237" s="1873"/>
      <c r="E237" s="1873"/>
      <c r="F237" s="1873"/>
      <c r="G237" s="1874">
        <f t="shared" ref="G237:P237" si="237">G192</f>
        <v>180</v>
      </c>
      <c r="H237" s="1874">
        <f t="shared" si="237"/>
        <v>158</v>
      </c>
      <c r="I237" s="1874">
        <f t="shared" si="237"/>
        <v>160</v>
      </c>
      <c r="J237" s="1874">
        <f t="shared" si="237"/>
        <v>176</v>
      </c>
      <c r="K237" s="1874">
        <f t="shared" si="237"/>
        <v>215.3888</v>
      </c>
      <c r="L237" s="1874">
        <f>Metrics!EC361</f>
        <v>172.7</v>
      </c>
      <c r="M237" s="1874">
        <f>M192</f>
        <v>160.91266470400001</v>
      </c>
      <c r="N237" s="1874">
        <f>N192-4</f>
        <v>229.32336382080001</v>
      </c>
      <c r="O237" s="1874">
        <f t="shared" si="237"/>
        <v>254.90577497422402</v>
      </c>
      <c r="P237" s="1874">
        <f t="shared" si="237"/>
        <v>269.690309922729</v>
      </c>
      <c r="Q237" s="1874">
        <f t="shared" ref="Q237" si="238">Q192</f>
        <v>282.90513510894272</v>
      </c>
      <c r="R237" s="1874">
        <f t="shared" ref="R237" si="239">R192</f>
        <v>297.05039186438984</v>
      </c>
      <c r="S237" s="1821"/>
      <c r="T237" s="1970"/>
      <c r="U237" s="1578"/>
      <c r="V237" s="1578"/>
    </row>
    <row r="238" spans="1:29">
      <c r="A238" s="1821"/>
      <c r="B238" s="1931" t="s">
        <v>7216</v>
      </c>
      <c r="C238" s="1873"/>
      <c r="D238" s="1873"/>
      <c r="E238" s="1873"/>
      <c r="F238" s="1873"/>
      <c r="G238" s="1873"/>
      <c r="H238" s="1886"/>
      <c r="I238" s="1886"/>
      <c r="J238" s="1886"/>
      <c r="K238" s="1900">
        <f>+K237+K218*0.6+0.55*K222+K204</f>
        <v>625.66487010938795</v>
      </c>
      <c r="L238" s="1900"/>
      <c r="M238" s="1900"/>
      <c r="N238" s="1900"/>
      <c r="O238" s="1900"/>
      <c r="P238" s="1900"/>
      <c r="Q238" s="1900"/>
      <c r="R238" s="1900"/>
      <c r="S238" s="1886"/>
      <c r="U238" s="1578"/>
      <c r="V238" s="1578"/>
    </row>
    <row r="239" spans="1:29">
      <c r="A239" s="1821"/>
      <c r="B239" s="1933" t="s">
        <v>654</v>
      </c>
      <c r="C239" s="1934"/>
      <c r="D239" s="1934"/>
      <c r="E239" s="1934"/>
      <c r="F239" s="1934"/>
      <c r="G239" s="1935">
        <v>2313</v>
      </c>
      <c r="H239" s="1956">
        <f t="shared" ref="H239:Q239" si="240">+H228+H204+H206+H207+H218+H222+H237+H235</f>
        <v>2240.2076770999997</v>
      </c>
      <c r="I239" s="1956">
        <f t="shared" si="240"/>
        <v>2497.7529323453996</v>
      </c>
      <c r="J239" s="1956">
        <f t="shared" si="240"/>
        <v>2488.2379879391633</v>
      </c>
      <c r="K239" s="1935">
        <f t="shared" si="240"/>
        <v>2030.7162806162887</v>
      </c>
      <c r="L239" s="1935">
        <f t="shared" si="240"/>
        <v>2056.5985213052832</v>
      </c>
      <c r="M239" s="1935">
        <f t="shared" si="240"/>
        <v>2499.5806438708046</v>
      </c>
      <c r="N239" s="1935">
        <f t="shared" si="240"/>
        <v>3105.667214178106</v>
      </c>
      <c r="O239" s="1935">
        <f t="shared" si="240"/>
        <v>3736.897585581411</v>
      </c>
      <c r="P239" s="1935">
        <f t="shared" si="240"/>
        <v>4294.5577779600744</v>
      </c>
      <c r="Q239" s="1935">
        <f t="shared" si="240"/>
        <v>4803.3029110313846</v>
      </c>
      <c r="R239" s="1936">
        <f t="shared" ref="R239" si="241">+R228+R204+R206+R207+R218+R222+R237+R235</f>
        <v>5312.552379538708</v>
      </c>
      <c r="S239" s="1906">
        <f>(N239/J239)^0.25-100%</f>
        <v>5.6977518885824585E-2</v>
      </c>
      <c r="T239" s="1906">
        <f>(Q239/J239)^(1/7)-100%</f>
        <v>9.8517210997441707E-2</v>
      </c>
      <c r="U239" s="1579"/>
      <c r="V239" s="1579"/>
      <c r="W239" s="2279"/>
      <c r="X239" s="2279"/>
      <c r="Y239" s="2279"/>
      <c r="Z239" s="2279"/>
      <c r="AA239" s="2279"/>
      <c r="AB239" s="2279"/>
      <c r="AC239" s="2279"/>
    </row>
    <row r="240" spans="1:29">
      <c r="A240" s="1821"/>
      <c r="B240" s="1875" t="s">
        <v>6985</v>
      </c>
      <c r="C240" s="1873"/>
      <c r="D240" s="1873"/>
      <c r="E240" s="1873"/>
      <c r="F240" s="1873"/>
      <c r="G240" s="1874"/>
      <c r="H240" s="1886">
        <f t="shared" ref="H240:N240" si="242">H239/G239-1</f>
        <v>-3.1470956722870813E-2</v>
      </c>
      <c r="I240" s="1886">
        <f>I239/H239-1</f>
        <v>0.11496490163751161</v>
      </c>
      <c r="J240" s="1886">
        <f t="shared" si="242"/>
        <v>-3.8094017558820692E-3</v>
      </c>
      <c r="K240" s="1886">
        <f t="shared" si="242"/>
        <v>-0.1838737731441068</v>
      </c>
      <c r="L240" s="1886">
        <f t="shared" si="242"/>
        <v>1.2745375085651878E-2</v>
      </c>
      <c r="M240" s="1886">
        <f t="shared" si="242"/>
        <v>0.2153955271174508</v>
      </c>
      <c r="N240" s="1886">
        <f t="shared" si="242"/>
        <v>0.24247530152446961</v>
      </c>
      <c r="O240" s="1886">
        <f>O239/N239-1</f>
        <v>0.20325113023107844</v>
      </c>
      <c r="P240" s="1886">
        <f>P239/O239-1</f>
        <v>0.14923079362152203</v>
      </c>
      <c r="Q240" s="1886">
        <f>Q239/P239-1</f>
        <v>0.11846275201656864</v>
      </c>
      <c r="R240" s="1886">
        <f>R239/Q239-1</f>
        <v>0.1060206857530821</v>
      </c>
      <c r="S240" s="1821"/>
      <c r="U240" s="1578"/>
      <c r="V240" s="1578"/>
    </row>
    <row r="241" spans="1:27">
      <c r="A241" s="1821"/>
      <c r="B241" s="1875"/>
      <c r="C241" s="1873"/>
      <c r="D241" s="1873"/>
      <c r="E241" s="1873"/>
      <c r="F241" s="1873"/>
      <c r="G241" s="1874"/>
      <c r="H241" s="2103"/>
      <c r="I241" s="2104"/>
      <c r="J241" s="2103"/>
      <c r="K241" s="2103"/>
      <c r="L241" s="2103"/>
      <c r="M241" s="2103"/>
      <c r="N241" s="2103"/>
      <c r="O241" s="2103"/>
      <c r="P241" s="2103"/>
      <c r="Q241" s="2103"/>
      <c r="R241" s="2103"/>
      <c r="S241" s="1821"/>
      <c r="U241" s="1578"/>
      <c r="V241" s="1578"/>
    </row>
    <row r="242" spans="1:27">
      <c r="A242" s="1821"/>
      <c r="B242" s="1875" t="s">
        <v>379</v>
      </c>
      <c r="C242" s="1873"/>
      <c r="D242" s="1873"/>
      <c r="E242" s="1873"/>
      <c r="F242" s="1873"/>
      <c r="G242" s="1938">
        <f t="shared" ref="G242:K242" si="243">SUM(G218,G228,G207,G222)</f>
        <v>1068</v>
      </c>
      <c r="H242" s="1938">
        <f t="shared" si="243"/>
        <v>1057.9441770999999</v>
      </c>
      <c r="I242" s="1938">
        <f t="shared" si="243"/>
        <v>1076.1401852903996</v>
      </c>
      <c r="J242" s="1938">
        <f t="shared" si="243"/>
        <v>1273.9004243277543</v>
      </c>
      <c r="K242" s="1938">
        <f t="shared" si="243"/>
        <v>1449.6738184934165</v>
      </c>
      <c r="L242" s="1938">
        <f>SUM(L218,L228,L207,L222,L233)</f>
        <v>1883.8985213052831</v>
      </c>
      <c r="M242" s="1938">
        <f t="shared" ref="M242:Q242" si="244">SUM(M218,M228,M207,M222,M233)</f>
        <v>2338.6679791668043</v>
      </c>
      <c r="N242" s="1938">
        <f t="shared" si="244"/>
        <v>2876.3438503573061</v>
      </c>
      <c r="O242" s="1938">
        <f t="shared" si="244"/>
        <v>3481.9918106071868</v>
      </c>
      <c r="P242" s="1938">
        <f t="shared" si="244"/>
        <v>4024.8674680373447</v>
      </c>
      <c r="Q242" s="1938">
        <f t="shared" si="244"/>
        <v>4520.3977759224417</v>
      </c>
      <c r="R242" s="1938">
        <f t="shared" ref="R242" si="245">SUM(R218,R228,R207,R222,R233)</f>
        <v>5015.5019876743181</v>
      </c>
      <c r="S242" s="1821"/>
      <c r="U242" s="1578"/>
      <c r="V242" s="1578"/>
    </row>
    <row r="243" spans="1:27">
      <c r="A243" s="1821"/>
      <c r="B243" s="1875" t="s">
        <v>7043</v>
      </c>
      <c r="C243" s="1873"/>
      <c r="D243" s="1873"/>
      <c r="E243" s="1873"/>
      <c r="F243" s="1873"/>
      <c r="G243" s="1886">
        <f>G242/G239</f>
        <v>0.46173800259403375</v>
      </c>
      <c r="H243" s="1886">
        <f>H242/H239</f>
        <v>0.47225272367137539</v>
      </c>
      <c r="I243" s="1886">
        <f t="shared" ref="I243:N243" si="246">I242/I239</f>
        <v>0.43084332775856249</v>
      </c>
      <c r="J243" s="1886">
        <f t="shared" si="246"/>
        <v>0.51196888340364843</v>
      </c>
      <c r="K243" s="1886">
        <f t="shared" si="246"/>
        <v>0.71387314531868751</v>
      </c>
      <c r="L243" s="1886">
        <f t="shared" si="246"/>
        <v>0.91602639104768457</v>
      </c>
      <c r="M243" s="1886">
        <f t="shared" si="246"/>
        <v>0.93562413555306867</v>
      </c>
      <c r="N243" s="1886">
        <f t="shared" si="246"/>
        <v>0.92615971126143704</v>
      </c>
      <c r="O243" s="1886">
        <f>O242/O239</f>
        <v>0.9317867912790111</v>
      </c>
      <c r="P243" s="1886">
        <f>P242/P239</f>
        <v>0.93720184385298144</v>
      </c>
      <c r="Q243" s="1886">
        <f>Q242/Q239</f>
        <v>0.94110195830889287</v>
      </c>
      <c r="R243" s="1886">
        <f>R242/R239</f>
        <v>0.94408518342172409</v>
      </c>
      <c r="S243" s="1821"/>
      <c r="U243" s="1578"/>
      <c r="V243" s="1578"/>
    </row>
    <row r="244" spans="1:27">
      <c r="A244" s="1821"/>
      <c r="B244" s="1875"/>
      <c r="C244" s="1873"/>
      <c r="D244" s="1873"/>
      <c r="E244" s="1873"/>
      <c r="F244" s="1873"/>
      <c r="G244" s="1886"/>
      <c r="H244" s="1886"/>
      <c r="I244" s="1886"/>
      <c r="J244" s="1886"/>
      <c r="K244" s="1886"/>
      <c r="L244" s="1886"/>
      <c r="M244" s="1886"/>
      <c r="N244" s="1886"/>
      <c r="O244" s="1886"/>
      <c r="P244" s="1886"/>
      <c r="Q244" s="1886"/>
      <c r="R244" s="1886"/>
      <c r="S244" s="1886"/>
      <c r="U244" s="1578"/>
      <c r="V244" s="1578"/>
    </row>
    <row r="245" spans="1:27">
      <c r="A245" s="1821"/>
      <c r="B245" s="1877" t="s">
        <v>3502</v>
      </c>
      <c r="C245" s="1873"/>
      <c r="D245" s="1873"/>
      <c r="E245" s="1873"/>
      <c r="F245" s="1873"/>
      <c r="G245" s="1874">
        <v>1726</v>
      </c>
      <c r="H245" s="1874">
        <f t="shared" ref="H245:N245" si="247">G245*(1+H246)</f>
        <v>1763.3999999999999</v>
      </c>
      <c r="I245" s="1874">
        <f>H245*(1+I246)</f>
        <v>2129.7999999999997</v>
      </c>
      <c r="J245" s="1874">
        <f>+Model!DQ81</f>
        <v>2223.4</v>
      </c>
      <c r="K245" s="1874">
        <f>J245*(1+K246)</f>
        <v>2156.5</v>
      </c>
      <c r="L245" s="1874">
        <f>K245*(1+L246)</f>
        <v>2168.6</v>
      </c>
      <c r="M245" s="1874">
        <f t="shared" si="247"/>
        <v>2189.376538139375</v>
      </c>
      <c r="N245" s="1874">
        <f t="shared" si="247"/>
        <v>2220.3766588095455</v>
      </c>
      <c r="O245" s="1874">
        <f>N245*(1+O246)</f>
        <v>2383.7956638122496</v>
      </c>
      <c r="P245" s="1874">
        <f>O245*(1+P246)</f>
        <v>2579.2669082448542</v>
      </c>
      <c r="Q245" s="1874">
        <f>P245*(1+Q246)</f>
        <v>2816.5594638033808</v>
      </c>
      <c r="R245" s="1874">
        <f>Q245*(1+R246)</f>
        <v>3055.9670182266682</v>
      </c>
      <c r="S245" s="1906">
        <f>(N245/J245)^0.25-100%</f>
        <v>-3.401191949565785E-4</v>
      </c>
      <c r="T245" s="1906">
        <f>(Q245/J245)^(1/7)-100%</f>
        <v>3.4359762126508375E-2</v>
      </c>
      <c r="U245" s="1579"/>
      <c r="V245" s="1578"/>
    </row>
    <row r="246" spans="1:27">
      <c r="A246" s="1821"/>
      <c r="B246" s="1877" t="s">
        <v>6985</v>
      </c>
      <c r="C246" s="1873"/>
      <c r="D246" s="1873"/>
      <c r="E246" s="1873"/>
      <c r="F246" s="1873"/>
      <c r="G246" s="1874"/>
      <c r="H246" s="1939">
        <f>IF($B$1="Bull",H321,IF($B$1="Base",H322,IF($B$1="Bear",H323,"NA")))</f>
        <v>2.1668597914252574E-2</v>
      </c>
      <c r="I246" s="1886">
        <f>IF($B$1="Bull",I321,IF($B$1="Base",I322,IF($B$1="Bear",I323,"NA")))</f>
        <v>0.20778042418056031</v>
      </c>
      <c r="J246" s="1886">
        <f t="shared" ref="J246:O246" si="248">IF($B$1="Bull",J321,IF($B$1="Base",J322,IF($B$1="Bear",J323,"NA")))</f>
        <v>4.3947788524744125E-2</v>
      </c>
      <c r="K246" s="1886">
        <f t="shared" si="248"/>
        <v>-3.0089052802015015E-2</v>
      </c>
      <c r="L246" s="1886">
        <f t="shared" si="248"/>
        <v>5.6109436587061801E-3</v>
      </c>
      <c r="M246" s="1886">
        <f t="shared" si="248"/>
        <v>9.5806225857120175E-3</v>
      </c>
      <c r="N246" s="1886">
        <f t="shared" si="248"/>
        <v>1.415933720405893E-2</v>
      </c>
      <c r="O246" s="1886">
        <f t="shared" si="248"/>
        <v>7.3599677043227896E-2</v>
      </c>
      <c r="P246" s="1886">
        <f>IF($B$1="Bull",P321,IF($B$1="Base",P322,IF($B$1="Bear",P323,"NA")))</f>
        <v>8.2000000000000003E-2</v>
      </c>
      <c r="Q246" s="1886">
        <f t="shared" ref="Q246" si="249">IF($B$1="Bull",Q321,IF($B$1="Base",Q322,IF($B$1="Bear",Q323,"NA")))</f>
        <v>9.1999999999999998E-2</v>
      </c>
      <c r="R246" s="1886">
        <f t="shared" ref="R246" si="250">IF($B$1="Bull",R321,IF($B$1="Base",R322,IF($B$1="Bear",R323,"NA")))</f>
        <v>8.5000000000000006E-2</v>
      </c>
      <c r="S246" s="1821"/>
      <c r="U246" s="1578"/>
      <c r="V246" s="1578"/>
    </row>
    <row r="247" spans="1:27">
      <c r="A247" s="1821"/>
      <c r="B247" s="1877" t="s">
        <v>5928</v>
      </c>
      <c r="C247" s="1873"/>
      <c r="D247" s="1873"/>
      <c r="E247" s="1873"/>
      <c r="F247" s="1873"/>
      <c r="G247" s="1874">
        <f t="shared" ref="G247:N247" si="251">G239-G245</f>
        <v>587</v>
      </c>
      <c r="H247" s="1874">
        <f t="shared" si="251"/>
        <v>476.80767709999986</v>
      </c>
      <c r="I247" s="1874">
        <f t="shared" si="251"/>
        <v>367.95293234539986</v>
      </c>
      <c r="J247" s="1874">
        <f t="shared" si="251"/>
        <v>264.83798793916321</v>
      </c>
      <c r="K247" s="1874">
        <f t="shared" si="251"/>
        <v>-125.78371938371129</v>
      </c>
      <c r="L247" s="1874">
        <f t="shared" si="251"/>
        <v>-112.00147869471675</v>
      </c>
      <c r="M247" s="1874">
        <f t="shared" si="251"/>
        <v>310.20410573142954</v>
      </c>
      <c r="N247" s="1874">
        <f t="shared" si="251"/>
        <v>885.29055536856049</v>
      </c>
      <c r="O247" s="1874">
        <f>O239-O245</f>
        <v>1353.1019217691614</v>
      </c>
      <c r="P247" s="1874">
        <f>P239-P245</f>
        <v>1715.2908697152202</v>
      </c>
      <c r="Q247" s="1874">
        <f>Q239-Q245</f>
        <v>1986.7434472280038</v>
      </c>
      <c r="R247" s="1874">
        <f>R239-R245</f>
        <v>2256.5853613120398</v>
      </c>
      <c r="S247" s="1824"/>
      <c r="U247" s="1578"/>
      <c r="V247" s="1578"/>
    </row>
    <row r="248" spans="1:27">
      <c r="A248" s="1821"/>
      <c r="B248" s="1940" t="s">
        <v>6053</v>
      </c>
      <c r="C248" s="1873"/>
      <c r="D248" s="1873"/>
      <c r="E248" s="1873"/>
      <c r="F248" s="1873"/>
      <c r="G248" s="1876">
        <f>G247/G245</f>
        <v>0.34009269988412516</v>
      </c>
      <c r="H248" s="1876">
        <f>H247/H239</f>
        <v>0.21284083702330597</v>
      </c>
      <c r="I248" s="1876">
        <f t="shared" ref="I248:N248" si="252">I247/I239</f>
        <v>0.14731358237257303</v>
      </c>
      <c r="J248" s="1886">
        <f t="shared" si="252"/>
        <v>0.10643595557292747</v>
      </c>
      <c r="K248" s="1886">
        <f>K247/K239</f>
        <v>-6.1940567761409791E-2</v>
      </c>
      <c r="L248" s="1886">
        <f t="shared" si="252"/>
        <v>-5.4459573676845584E-2</v>
      </c>
      <c r="M248" s="1886">
        <f t="shared" si="252"/>
        <v>0.12410245954339491</v>
      </c>
      <c r="N248" s="1886">
        <f t="shared" si="252"/>
        <v>0.28505647718049104</v>
      </c>
      <c r="O248" s="1886">
        <f>O247/O239</f>
        <v>0.36209232144600961</v>
      </c>
      <c r="P248" s="1886">
        <f>P247/P239</f>
        <v>0.39941036036776473</v>
      </c>
      <c r="Q248" s="1886">
        <f>Q247/Q239</f>
        <v>0.41362027005733898</v>
      </c>
      <c r="R248" s="1886">
        <f>R247/R239</f>
        <v>0.42476482114383979</v>
      </c>
      <c r="S248" s="1821"/>
      <c r="U248" s="1578"/>
      <c r="V248" s="1578"/>
    </row>
    <row r="249" spans="1:27">
      <c r="A249" s="1821"/>
      <c r="B249" s="1821"/>
      <c r="C249" s="1821"/>
      <c r="D249" s="1821"/>
      <c r="E249" s="1821"/>
      <c r="F249" s="1821"/>
      <c r="G249" s="1821"/>
      <c r="H249" s="1902"/>
      <c r="I249" s="2205"/>
      <c r="J249" s="2205"/>
      <c r="K249" s="2205"/>
      <c r="L249" s="2205"/>
      <c r="M249" s="2205"/>
      <c r="N249" s="2205"/>
      <c r="O249" s="2205"/>
      <c r="P249" s="2205"/>
      <c r="Q249" s="2205"/>
      <c r="R249" s="2205"/>
      <c r="S249" s="1821"/>
      <c r="U249" s="1578"/>
      <c r="V249" s="1578"/>
      <c r="W249" s="1579"/>
      <c r="X249" s="1579"/>
      <c r="Y249" s="1579"/>
      <c r="Z249" s="1579"/>
      <c r="AA249" s="1579"/>
    </row>
    <row r="250" spans="1:27">
      <c r="A250" s="1821"/>
      <c r="B250" s="1877" t="s">
        <v>7044</v>
      </c>
      <c r="C250" s="1873"/>
      <c r="D250" s="1873"/>
      <c r="E250" s="1873"/>
      <c r="F250" s="1873"/>
      <c r="G250" s="1874">
        <v>9.1999999999999993</v>
      </c>
      <c r="H250" s="1941">
        <v>-3.1000000000000005</v>
      </c>
      <c r="I250" s="1941">
        <v>-15.163335818557627</v>
      </c>
      <c r="J250" s="1941">
        <f>Model!DQ93</f>
        <v>-26.529339999999998</v>
      </c>
      <c r="K250" s="1941">
        <f>Model!DW93</f>
        <v>-24.495600000000003</v>
      </c>
      <c r="L250" s="1945">
        <f>Model!EC93</f>
        <v>-31.699999999999989</v>
      </c>
      <c r="M250" s="1945">
        <f>+Model!EI93</f>
        <v>-60.660000000000011</v>
      </c>
      <c r="N250" s="1945">
        <f>Model!EO93</f>
        <v>-44.800000000000011</v>
      </c>
      <c r="O250" s="1945">
        <f>N250</f>
        <v>-44.800000000000011</v>
      </c>
      <c r="P250" s="1945">
        <f>O250</f>
        <v>-44.800000000000011</v>
      </c>
      <c r="Q250" s="1945">
        <f>P250</f>
        <v>-44.800000000000011</v>
      </c>
      <c r="R250" s="1945">
        <f>Q250</f>
        <v>-44.800000000000011</v>
      </c>
      <c r="S250" s="1821"/>
      <c r="U250" s="1578"/>
      <c r="V250" s="1578"/>
    </row>
    <row r="251" spans="1:27">
      <c r="A251" s="1821"/>
      <c r="B251" s="1877" t="s">
        <v>380</v>
      </c>
      <c r="C251" s="1873"/>
      <c r="D251" s="1873"/>
      <c r="E251" s="1873"/>
      <c r="F251" s="1873"/>
      <c r="G251" s="1938">
        <f t="shared" ref="G251:P251" si="253">+G247+G250</f>
        <v>596.20000000000005</v>
      </c>
      <c r="H251" s="1938">
        <f t="shared" si="253"/>
        <v>473.70767709999984</v>
      </c>
      <c r="I251" s="1938">
        <f t="shared" si="253"/>
        <v>352.78959652684222</v>
      </c>
      <c r="J251" s="1938">
        <f t="shared" si="253"/>
        <v>238.30864793916322</v>
      </c>
      <c r="K251" s="1938">
        <f>+K247+K250</f>
        <v>-150.27931938371128</v>
      </c>
      <c r="L251" s="1938">
        <f t="shared" si="253"/>
        <v>-143.70147869471674</v>
      </c>
      <c r="M251" s="1938">
        <f t="shared" si="253"/>
        <v>249.54410573142951</v>
      </c>
      <c r="N251" s="1938">
        <f t="shared" si="253"/>
        <v>840.49055536856054</v>
      </c>
      <c r="O251" s="1938">
        <f t="shared" si="253"/>
        <v>1308.3019217691615</v>
      </c>
      <c r="P251" s="1938">
        <f t="shared" si="253"/>
        <v>1670.4908697152202</v>
      </c>
      <c r="Q251" s="1938">
        <f t="shared" ref="Q251" si="254">+Q247+Q250</f>
        <v>1941.9434472280038</v>
      </c>
      <c r="R251" s="1938">
        <f t="shared" ref="R251" si="255">+R247+R250</f>
        <v>2211.7853613120396</v>
      </c>
      <c r="S251" s="1821"/>
      <c r="U251" s="1578"/>
      <c r="V251" s="1578"/>
    </row>
    <row r="252" spans="1:27">
      <c r="A252" s="1821"/>
      <c r="B252" s="1877" t="s">
        <v>6057</v>
      </c>
      <c r="C252" s="1873"/>
      <c r="D252" s="1873"/>
      <c r="E252" s="1873"/>
      <c r="F252" s="1873"/>
      <c r="G252" s="1876">
        <v>0.24471299093655594</v>
      </c>
      <c r="H252" s="1876">
        <v>0.24004729996058344</v>
      </c>
      <c r="I252" s="1876">
        <v>0.260054347826087</v>
      </c>
      <c r="J252" s="1822">
        <f>Model!DQ101</f>
        <v>0.24001566170712615</v>
      </c>
      <c r="K252" s="1822">
        <f>Model!DW101</f>
        <v>0.26000762689038892</v>
      </c>
      <c r="L252" s="1822">
        <f>Model!EC101</f>
        <v>0.26026443980514941</v>
      </c>
      <c r="M252" s="1822">
        <f>Model!EI101</f>
        <v>0.19</v>
      </c>
      <c r="N252" s="1822">
        <f>Model!EO101</f>
        <v>0.17499999999999999</v>
      </c>
      <c r="O252" s="1822">
        <f t="shared" ref="O252:R252" si="256">+N252</f>
        <v>0.17499999999999999</v>
      </c>
      <c r="P252" s="1822">
        <f t="shared" si="256"/>
        <v>0.17499999999999999</v>
      </c>
      <c r="Q252" s="1822">
        <f t="shared" si="256"/>
        <v>0.17499999999999999</v>
      </c>
      <c r="R252" s="1822">
        <f t="shared" si="256"/>
        <v>0.17499999999999999</v>
      </c>
      <c r="S252" s="1821"/>
      <c r="U252" s="1578"/>
      <c r="V252" s="1578"/>
    </row>
    <row r="253" spans="1:27">
      <c r="A253" s="1821"/>
      <c r="B253" s="1877" t="s">
        <v>7045</v>
      </c>
      <c r="C253" s="1873"/>
      <c r="D253" s="1873"/>
      <c r="E253" s="1873"/>
      <c r="F253" s="1873"/>
      <c r="G253" s="1942">
        <f>G251*G252</f>
        <v>145.89788519637466</v>
      </c>
      <c r="H253" s="1942">
        <f t="shared" ref="H253:K253" si="257">H251*H252</f>
        <v>113.71224885845487</v>
      </c>
      <c r="I253" s="1942">
        <f t="shared" si="257"/>
        <v>91.744468444616317</v>
      </c>
      <c r="J253" s="1942">
        <f t="shared" si="257"/>
        <v>57.197807825648823</v>
      </c>
      <c r="K253" s="1942">
        <f t="shared" si="257"/>
        <v>-39.073769203661591</v>
      </c>
      <c r="L253" s="1942">
        <f>L251*L252</f>
        <v>-37.400384851652063</v>
      </c>
      <c r="M253" s="1942">
        <f t="shared" ref="M253:Q253" si="258">M251*M252</f>
        <v>47.413380088971607</v>
      </c>
      <c r="N253" s="1942">
        <f t="shared" si="258"/>
        <v>147.08584718949808</v>
      </c>
      <c r="O253" s="1942">
        <f t="shared" si="258"/>
        <v>228.95283630960324</v>
      </c>
      <c r="P253" s="1942">
        <f t="shared" si="258"/>
        <v>292.3359022001635</v>
      </c>
      <c r="Q253" s="1942">
        <f t="shared" si="258"/>
        <v>339.84010326490068</v>
      </c>
      <c r="R253" s="1942">
        <f t="shared" ref="R253" si="259">R251*R252</f>
        <v>387.06243822960693</v>
      </c>
      <c r="S253" s="1821"/>
      <c r="U253" s="1578"/>
      <c r="V253" s="1578"/>
    </row>
    <row r="254" spans="1:27">
      <c r="A254" s="1821"/>
      <c r="B254" s="1877" t="s">
        <v>6058</v>
      </c>
      <c r="C254" s="1873"/>
      <c r="D254" s="1873"/>
      <c r="E254" s="1873"/>
      <c r="F254" s="1873"/>
      <c r="G254" s="1938">
        <f>+G251-G253</f>
        <v>450.30211480362539</v>
      </c>
      <c r="H254" s="1938">
        <f t="shared" ref="H254:J254" si="260">+H251-H253</f>
        <v>359.99542824154497</v>
      </c>
      <c r="I254" s="1938">
        <f t="shared" si="260"/>
        <v>261.04512808222592</v>
      </c>
      <c r="J254" s="1938">
        <f t="shared" si="260"/>
        <v>181.1108401135144</v>
      </c>
      <c r="K254" s="1938">
        <f t="shared" ref="K254:Q254" si="261">+K251-K253</f>
        <v>-111.2055501800497</v>
      </c>
      <c r="L254" s="1938">
        <f t="shared" si="261"/>
        <v>-106.30109384306468</v>
      </c>
      <c r="M254" s="1938">
        <f t="shared" si="261"/>
        <v>202.13072564245789</v>
      </c>
      <c r="N254" s="1938">
        <f t="shared" si="261"/>
        <v>693.40470817906248</v>
      </c>
      <c r="O254" s="1938">
        <f t="shared" si="261"/>
        <v>1079.3490854595582</v>
      </c>
      <c r="P254" s="1938">
        <f t="shared" si="261"/>
        <v>1378.1549675150568</v>
      </c>
      <c r="Q254" s="1938">
        <f t="shared" si="261"/>
        <v>1602.1033439631033</v>
      </c>
      <c r="R254" s="1938">
        <f t="shared" ref="R254" si="262">+R251-R253</f>
        <v>1824.7229230824328</v>
      </c>
      <c r="S254" s="1821"/>
      <c r="U254" s="1578"/>
      <c r="V254" s="1578"/>
    </row>
    <row r="255" spans="1:27">
      <c r="A255" s="1821"/>
      <c r="B255" s="1821"/>
      <c r="C255" s="1821"/>
      <c r="D255" s="1821"/>
      <c r="E255" s="1821"/>
      <c r="F255" s="1821"/>
      <c r="G255" s="1862"/>
      <c r="H255" s="1862"/>
      <c r="I255" s="1862"/>
      <c r="J255" s="1903"/>
      <c r="K255" s="1903"/>
      <c r="L255" s="2095"/>
      <c r="M255" s="2095"/>
      <c r="N255" s="2095"/>
      <c r="O255" s="1903"/>
      <c r="P255" s="1903"/>
      <c r="Q255" s="1903"/>
      <c r="R255" s="1903"/>
      <c r="S255" s="1821"/>
      <c r="U255" s="1578"/>
      <c r="V255" s="1578"/>
    </row>
    <row r="256" spans="1:27">
      <c r="A256" s="1821"/>
      <c r="B256" s="1877" t="s">
        <v>7046</v>
      </c>
      <c r="C256" s="1873"/>
      <c r="D256" s="1873"/>
      <c r="E256" s="1873"/>
      <c r="F256" s="1873"/>
      <c r="G256" s="1943">
        <v>231.57500000000002</v>
      </c>
      <c r="H256" s="1943">
        <v>229.1</v>
      </c>
      <c r="I256" s="1943">
        <v>231.92500000000001</v>
      </c>
      <c r="J256" s="1943">
        <f t="shared" ref="J256:P256" si="263">J290</f>
        <v>230.15</v>
      </c>
      <c r="K256" s="1943">
        <f>Model!DW154</f>
        <v>222.75000000000003</v>
      </c>
      <c r="L256" s="1943">
        <f>Model!EC155</f>
        <v>219.52500000000001</v>
      </c>
      <c r="M256" s="1943">
        <f t="shared" si="263"/>
        <v>218.10167048</v>
      </c>
      <c r="N256" s="1943">
        <f t="shared" si="263"/>
        <v>213.65775236000005</v>
      </c>
      <c r="O256" s="1943">
        <f t="shared" si="263"/>
        <v>209.98695924000003</v>
      </c>
      <c r="P256" s="1943">
        <f t="shared" si="263"/>
        <v>206.81978287731829</v>
      </c>
      <c r="Q256" s="1943">
        <f t="shared" ref="Q256" si="264">Q290</f>
        <v>204.62443714139377</v>
      </c>
      <c r="R256" s="1943">
        <f t="shared" ref="R256" si="265">R290</f>
        <v>202.98709717677022</v>
      </c>
      <c r="S256" s="1821"/>
      <c r="U256" s="1578"/>
      <c r="V256" s="1578"/>
    </row>
    <row r="257" spans="1:22">
      <c r="A257" s="1821"/>
      <c r="B257" s="2151" t="s">
        <v>2385</v>
      </c>
      <c r="C257" s="1855"/>
      <c r="D257" s="1855"/>
      <c r="E257" s="1855"/>
      <c r="F257" s="1855"/>
      <c r="G257" s="2152">
        <f t="shared" ref="G257:O257" si="266">G254/G256</f>
        <v>1.94451955005344</v>
      </c>
      <c r="H257" s="2152">
        <f t="shared" si="266"/>
        <v>1.5713462603297468</v>
      </c>
      <c r="I257" s="2152">
        <f t="shared" si="266"/>
        <v>1.1255583834525209</v>
      </c>
      <c r="J257" s="2152">
        <f t="shared" si="266"/>
        <v>0.78692522317407954</v>
      </c>
      <c r="K257" s="2152">
        <f>K254/K256</f>
        <v>-0.4992392825142522</v>
      </c>
      <c r="L257" s="2152">
        <f t="shared" si="266"/>
        <v>-0.48423229173472121</v>
      </c>
      <c r="M257" s="2152">
        <f t="shared" si="266"/>
        <v>0.92677293666576177</v>
      </c>
      <c r="N257" s="2152">
        <f t="shared" si="266"/>
        <v>3.2453992449135129</v>
      </c>
      <c r="O257" s="2152">
        <f t="shared" si="266"/>
        <v>5.140076742698767</v>
      </c>
      <c r="P257" s="2152">
        <f>P254/P256</f>
        <v>6.6635548511940614</v>
      </c>
      <c r="Q257" s="2152">
        <f>Q254/Q256</f>
        <v>7.8294819834058398</v>
      </c>
      <c r="R257" s="2153">
        <f>R254/R256</f>
        <v>8.9893542420254562</v>
      </c>
      <c r="S257" s="1906">
        <f>(N257/J257)^0.25-100%</f>
        <v>0.42506169374741587</v>
      </c>
      <c r="T257" s="1906">
        <f>(Q257/J257)^(1/7)-100%</f>
        <v>0.38849012296743601</v>
      </c>
      <c r="U257" s="1578"/>
      <c r="V257" s="1578"/>
    </row>
    <row r="258" spans="1:22">
      <c r="A258" s="1821"/>
      <c r="B258" s="1821"/>
      <c r="C258" s="1821"/>
      <c r="D258" s="1821"/>
      <c r="E258" s="1821"/>
      <c r="F258" s="1821"/>
      <c r="G258" s="1871"/>
      <c r="H258" s="1871"/>
      <c r="I258" s="1862"/>
      <c r="J258" s="1903"/>
      <c r="K258" s="1903"/>
      <c r="L258" s="1903"/>
      <c r="M258" s="1903"/>
      <c r="N258" s="2095"/>
      <c r="O258" s="1903"/>
      <c r="P258" s="1903"/>
      <c r="Q258" s="1903"/>
      <c r="R258" s="1903"/>
      <c r="S258" s="1821"/>
      <c r="U258" s="1578"/>
      <c r="V258" s="1578"/>
    </row>
    <row r="259" spans="1:22">
      <c r="A259" s="1821"/>
      <c r="B259" s="1842" t="s">
        <v>6959</v>
      </c>
      <c r="C259" s="1842"/>
      <c r="D259" s="1842">
        <v>60.336690304511052</v>
      </c>
      <c r="E259" s="1842">
        <v>57.441676551996828</v>
      </c>
      <c r="F259" s="1842">
        <v>61.447654352550181</v>
      </c>
      <c r="G259" s="1887">
        <v>74.428130148270185</v>
      </c>
      <c r="H259" s="1887">
        <v>66.092781742809521</v>
      </c>
      <c r="I259" s="1887">
        <v>60.497164734351863</v>
      </c>
      <c r="J259" s="1887">
        <f>J260*365/J195</f>
        <v>83.232914424841098</v>
      </c>
      <c r="K259" s="1887">
        <f>K260*365/K195</f>
        <v>71.811887620397343</v>
      </c>
      <c r="L259" s="1887">
        <f>L260*365/L195</f>
        <v>71.926635547152941</v>
      </c>
      <c r="M259" s="1887">
        <f>M260*365/M195</f>
        <v>59.888070188181054</v>
      </c>
      <c r="N259" s="1887">
        <f t="shared" ref="N259:O259" si="267">N260*365/N195</f>
        <v>57.386154372364118</v>
      </c>
      <c r="O259" s="1887">
        <f t="shared" si="267"/>
        <v>68.340514888935431</v>
      </c>
      <c r="P259" s="1887">
        <f>O259</f>
        <v>68.340514888935431</v>
      </c>
      <c r="Q259" s="1887">
        <f>P259</f>
        <v>68.340514888935431</v>
      </c>
      <c r="R259" s="1887">
        <f>Q259</f>
        <v>68.340514888935431</v>
      </c>
      <c r="S259" s="1874"/>
      <c r="U259" s="1578"/>
      <c r="V259" s="1578"/>
    </row>
    <row r="260" spans="1:22">
      <c r="A260" s="1821"/>
      <c r="B260" s="1821" t="s">
        <v>5245</v>
      </c>
      <c r="C260" s="1821"/>
      <c r="D260" s="1842">
        <v>277.39999999999998</v>
      </c>
      <c r="E260" s="1842">
        <v>318.39999999999998</v>
      </c>
      <c r="F260" s="1842">
        <v>395.1</v>
      </c>
      <c r="G260" s="1888">
        <v>495.1</v>
      </c>
      <c r="H260" s="1888">
        <v>423.7</v>
      </c>
      <c r="I260" s="1888">
        <f>I195*I259/365</f>
        <v>458.84686874899381</v>
      </c>
      <c r="J260" s="1888">
        <f>+BS!DQ11</f>
        <v>653.6</v>
      </c>
      <c r="K260" s="2041">
        <f>+BS!DW11</f>
        <v>452.3</v>
      </c>
      <c r="L260" s="2041">
        <f>+BS!EC11</f>
        <v>438.2</v>
      </c>
      <c r="M260" s="2041">
        <f>BS!EI11</f>
        <v>461.68028181762895</v>
      </c>
      <c r="N260" s="2041">
        <f>BS!EO11</f>
        <v>559.99286842562742</v>
      </c>
      <c r="O260" s="2041">
        <f>BS!EU11</f>
        <v>773.4822553532174</v>
      </c>
      <c r="P260" s="1888">
        <f>P195*P259/365</f>
        <v>868.98147543649225</v>
      </c>
      <c r="Q260" s="1888">
        <f>Q195*Q259/365</f>
        <v>964.35708599879729</v>
      </c>
      <c r="R260" s="1888">
        <f>R195*R259/365</f>
        <v>1059.2373788324139</v>
      </c>
      <c r="S260" s="1821"/>
      <c r="U260" s="1578"/>
      <c r="V260" s="1578"/>
    </row>
    <row r="261" spans="1:22">
      <c r="A261" s="1821"/>
      <c r="B261" s="1944" t="s">
        <v>6969</v>
      </c>
      <c r="C261" s="1821"/>
      <c r="D261" s="1888">
        <v>-39.1</v>
      </c>
      <c r="E261" s="1888">
        <f>E260-D260</f>
        <v>41</v>
      </c>
      <c r="F261" s="1888">
        <f t="shared" ref="F261:M261" si="268">F260-E260</f>
        <v>76.700000000000045</v>
      </c>
      <c r="G261" s="1888">
        <f t="shared" si="268"/>
        <v>100</v>
      </c>
      <c r="H261" s="1945">
        <f t="shared" si="268"/>
        <v>-71.400000000000034</v>
      </c>
      <c r="I261" s="1945">
        <f>I260-H260</f>
        <v>35.146868748993825</v>
      </c>
      <c r="J261" s="1945">
        <f t="shared" si="268"/>
        <v>194.75313125100621</v>
      </c>
      <c r="K261" s="1945">
        <f>K260-J260</f>
        <v>-201.3</v>
      </c>
      <c r="L261" s="1945">
        <f t="shared" si="268"/>
        <v>-14.100000000000023</v>
      </c>
      <c r="M261" s="1945">
        <f t="shared" si="268"/>
        <v>23.480281817628963</v>
      </c>
      <c r="N261" s="1945">
        <f>N260-M260</f>
        <v>98.312586607998469</v>
      </c>
      <c r="O261" s="1945">
        <f>O260-N260</f>
        <v>213.48938692758998</v>
      </c>
      <c r="P261" s="1945">
        <f>P260-O260</f>
        <v>95.499220083274849</v>
      </c>
      <c r="Q261" s="1945">
        <f>Q260-P260</f>
        <v>95.375610562305042</v>
      </c>
      <c r="R261" s="1945">
        <f>R260-Q260</f>
        <v>94.880292833616636</v>
      </c>
      <c r="S261" s="1821"/>
      <c r="U261" s="1578"/>
      <c r="V261" s="1578"/>
    </row>
    <row r="262" spans="1:22">
      <c r="A262" s="1821"/>
      <c r="B262" s="1944" t="s">
        <v>6960</v>
      </c>
      <c r="C262" s="1821"/>
      <c r="D262" s="1821"/>
      <c r="E262" s="1821"/>
      <c r="F262" s="1821"/>
      <c r="G262" s="1888">
        <f t="shared" ref="G262:Q262" si="269">G195-G261</f>
        <v>2327.3000000000002</v>
      </c>
      <c r="H262" s="1888">
        <f t="shared" si="269"/>
        <v>2409.9790354316656</v>
      </c>
      <c r="I262" s="1888">
        <f t="shared" si="269"/>
        <v>2733.2325723173371</v>
      </c>
      <c r="J262" s="1888">
        <f t="shared" si="269"/>
        <v>2671.4687432145583</v>
      </c>
      <c r="K262" s="1888">
        <f t="shared" si="269"/>
        <v>2500.2160356384816</v>
      </c>
      <c r="L262" s="1888">
        <f t="shared" si="269"/>
        <v>2237.7963926269867</v>
      </c>
      <c r="M262" s="1888">
        <f t="shared" si="269"/>
        <v>2790.3239087987981</v>
      </c>
      <c r="N262" s="1888">
        <f>N195-N261</f>
        <v>3463.4768242849395</v>
      </c>
      <c r="O262" s="1888">
        <f t="shared" si="269"/>
        <v>3917.60362082546</v>
      </c>
      <c r="P262" s="1888">
        <f t="shared" si="269"/>
        <v>4545.6457734800078</v>
      </c>
      <c r="Q262" s="1888">
        <f t="shared" si="269"/>
        <v>5055.1611824601523</v>
      </c>
      <c r="R262" s="1888">
        <f t="shared" ref="R262" si="270">R195-R261</f>
        <v>5562.4028561469677</v>
      </c>
      <c r="S262" s="1821"/>
      <c r="U262" s="1578"/>
      <c r="V262" s="1578"/>
    </row>
    <row r="263" spans="1:22">
      <c r="A263" s="1824"/>
      <c r="B263" s="1946" t="s">
        <v>6961</v>
      </c>
      <c r="C263" s="1821"/>
      <c r="D263" s="1821"/>
      <c r="E263" s="1821"/>
      <c r="F263" s="1821"/>
      <c r="G263" s="1888">
        <f t="shared" ref="G263:P263" si="271">G245</f>
        <v>1726</v>
      </c>
      <c r="H263" s="1888">
        <f t="shared" si="271"/>
        <v>1763.3999999999999</v>
      </c>
      <c r="I263" s="1888">
        <f t="shared" si="271"/>
        <v>2129.7999999999997</v>
      </c>
      <c r="J263" s="1888">
        <f t="shared" si="271"/>
        <v>2223.4</v>
      </c>
      <c r="K263" s="1888">
        <f t="shared" si="271"/>
        <v>2156.5</v>
      </c>
      <c r="L263" s="1888">
        <f t="shared" si="271"/>
        <v>2168.6</v>
      </c>
      <c r="M263" s="1888">
        <f t="shared" si="271"/>
        <v>2189.376538139375</v>
      </c>
      <c r="N263" s="1888">
        <f t="shared" si="271"/>
        <v>2220.3766588095455</v>
      </c>
      <c r="O263" s="1888">
        <f t="shared" si="271"/>
        <v>2383.7956638122496</v>
      </c>
      <c r="P263" s="1888">
        <f t="shared" si="271"/>
        <v>2579.2669082448542</v>
      </c>
      <c r="Q263" s="1888">
        <f t="shared" ref="Q263" si="272">Q245</f>
        <v>2816.5594638033808</v>
      </c>
      <c r="R263" s="1888">
        <f t="shared" ref="R263" si="273">R245</f>
        <v>3055.9670182266682</v>
      </c>
      <c r="S263" s="1821"/>
      <c r="T263" s="1906">
        <f>(Q263/J263)^(1/7)-100%</f>
        <v>3.4359762126508375E-2</v>
      </c>
      <c r="U263" s="1578"/>
      <c r="V263" s="1578"/>
    </row>
    <row r="264" spans="1:22">
      <c r="A264" s="1821"/>
      <c r="B264" s="1946" t="s">
        <v>6962</v>
      </c>
      <c r="C264" s="1821"/>
      <c r="D264" s="1821"/>
      <c r="E264" s="1821"/>
      <c r="F264" s="1821"/>
      <c r="G264" s="1888">
        <v>9.1999999999999993</v>
      </c>
      <c r="H264" s="1945">
        <f t="shared" ref="H264:P264" si="274">H250</f>
        <v>-3.1000000000000005</v>
      </c>
      <c r="I264" s="1945">
        <f t="shared" si="274"/>
        <v>-15.163335818557627</v>
      </c>
      <c r="J264" s="1945">
        <f t="shared" si="274"/>
        <v>-26.529339999999998</v>
      </c>
      <c r="K264" s="1945">
        <f t="shared" si="274"/>
        <v>-24.495600000000003</v>
      </c>
      <c r="L264" s="1945">
        <f t="shared" si="274"/>
        <v>-31.699999999999989</v>
      </c>
      <c r="M264" s="1945">
        <f t="shared" si="274"/>
        <v>-60.660000000000011</v>
      </c>
      <c r="N264" s="1945">
        <f t="shared" si="274"/>
        <v>-44.800000000000011</v>
      </c>
      <c r="O264" s="1945">
        <f t="shared" si="274"/>
        <v>-44.800000000000011</v>
      </c>
      <c r="P264" s="1945">
        <f t="shared" si="274"/>
        <v>-44.800000000000011</v>
      </c>
      <c r="Q264" s="1945">
        <f t="shared" ref="Q264" si="275">Q250</f>
        <v>-44.800000000000011</v>
      </c>
      <c r="R264" s="1945">
        <f t="shared" ref="R264" si="276">R250</f>
        <v>-44.800000000000011</v>
      </c>
      <c r="S264" s="1821"/>
      <c r="U264" s="1578"/>
      <c r="V264" s="1578"/>
    </row>
    <row r="265" spans="1:22">
      <c r="A265" s="1821"/>
      <c r="B265" s="1946" t="s">
        <v>6963</v>
      </c>
      <c r="C265" s="1821"/>
      <c r="D265" s="1821"/>
      <c r="E265" s="1821"/>
      <c r="F265" s="1821"/>
      <c r="G265" s="1889">
        <f>G253</f>
        <v>145.89788519637466</v>
      </c>
      <c r="H265" s="1888">
        <v>75.7</v>
      </c>
      <c r="I265" s="1888">
        <v>63.4</v>
      </c>
      <c r="J265" s="1888">
        <f>J266*J251</f>
        <v>42.82656979708694</v>
      </c>
      <c r="K265" s="1888">
        <f>-K266*K251</f>
        <v>22.541897907556692</v>
      </c>
      <c r="L265" s="1888">
        <f>-L266*L251</f>
        <v>21.555221804207509</v>
      </c>
      <c r="M265" s="1889">
        <f>M266*M251</f>
        <v>37.431615859714427</v>
      </c>
      <c r="N265" s="2089">
        <f>N266*N251</f>
        <v>126.07358330528407</v>
      </c>
      <c r="O265" s="1888">
        <f t="shared" ref="O265:P265" si="277">O266*O251</f>
        <v>196.24528826537423</v>
      </c>
      <c r="P265" s="1888">
        <f t="shared" si="277"/>
        <v>250.57363045728303</v>
      </c>
      <c r="Q265" s="1888">
        <f t="shared" ref="Q265" si="278">Q266*Q251</f>
        <v>291.29151708420056</v>
      </c>
      <c r="R265" s="1888">
        <f t="shared" ref="R265" si="279">R266*R251</f>
        <v>331.76780419680591</v>
      </c>
      <c r="S265" s="1821"/>
      <c r="U265" s="1578"/>
      <c r="V265" s="1578"/>
    </row>
    <row r="266" spans="1:22">
      <c r="A266" s="1821"/>
      <c r="B266" s="1951" t="s">
        <v>6966</v>
      </c>
      <c r="C266" s="1821"/>
      <c r="D266" s="1821"/>
      <c r="E266" s="1821"/>
      <c r="F266" s="1821"/>
      <c r="G266" s="1821"/>
      <c r="H266" s="1903">
        <f>H265/H251</f>
        <v>0.15980319437385793</v>
      </c>
      <c r="I266" s="1903">
        <f>I265/I251</f>
        <v>0.17971051477754155</v>
      </c>
      <c r="J266" s="1903">
        <f>I266</f>
        <v>0.17971051477754155</v>
      </c>
      <c r="K266" s="331">
        <v>0.15</v>
      </c>
      <c r="L266" s="1952">
        <f t="shared" ref="L266:M266" si="280">K266</f>
        <v>0.15</v>
      </c>
      <c r="M266" s="1952">
        <f t="shared" si="280"/>
        <v>0.15</v>
      </c>
      <c r="N266" s="1952">
        <f>M266</f>
        <v>0.15</v>
      </c>
      <c r="O266" s="1952">
        <f>N266</f>
        <v>0.15</v>
      </c>
      <c r="P266" s="1952">
        <f>O266</f>
        <v>0.15</v>
      </c>
      <c r="Q266" s="1952">
        <f>P266</f>
        <v>0.15</v>
      </c>
      <c r="R266" s="1952">
        <f>Q266</f>
        <v>0.15</v>
      </c>
      <c r="S266" s="1821"/>
      <c r="U266" s="1578"/>
      <c r="V266" s="1578"/>
    </row>
    <row r="267" spans="1:22" s="2200" customFormat="1">
      <c r="A267" s="1821"/>
      <c r="B267" s="1951" t="s">
        <v>7180</v>
      </c>
      <c r="C267" s="1821"/>
      <c r="D267" s="1821"/>
      <c r="E267" s="1821"/>
      <c r="F267" s="1821"/>
      <c r="G267" s="1821"/>
      <c r="H267" s="2095">
        <f>H253-H265</f>
        <v>38.012248858454868</v>
      </c>
      <c r="I267" s="2095">
        <f t="shared" ref="I267:Q267" si="281">I253-I265</f>
        <v>28.344468444616318</v>
      </c>
      <c r="J267" s="2095">
        <f t="shared" si="281"/>
        <v>14.371238028561883</v>
      </c>
      <c r="K267" s="2095">
        <f t="shared" si="281"/>
        <v>-61.615667111218286</v>
      </c>
      <c r="L267" s="2095">
        <f t="shared" si="281"/>
        <v>-58.955606655859569</v>
      </c>
      <c r="M267" s="2095">
        <f t="shared" si="281"/>
        <v>9.9817642292571804</v>
      </c>
      <c r="N267" s="2095">
        <f t="shared" si="281"/>
        <v>21.012263884214008</v>
      </c>
      <c r="O267" s="2095">
        <f t="shared" si="281"/>
        <v>32.707548044229014</v>
      </c>
      <c r="P267" s="2095">
        <f t="shared" si="281"/>
        <v>41.762271742880472</v>
      </c>
      <c r="Q267" s="2095">
        <f t="shared" si="281"/>
        <v>48.548586180700113</v>
      </c>
      <c r="R267" s="2095">
        <f t="shared" ref="R267" si="282">R253-R265</f>
        <v>55.294634032801014</v>
      </c>
      <c r="S267" s="1821"/>
      <c r="U267" s="1578"/>
      <c r="V267" s="1578"/>
    </row>
    <row r="268" spans="1:22">
      <c r="A268" s="1821"/>
      <c r="B268" s="1946" t="s">
        <v>7067</v>
      </c>
      <c r="C268" s="1821"/>
      <c r="D268" s="1821"/>
      <c r="E268" s="1821"/>
      <c r="F268" s="1821"/>
      <c r="G268" s="1821"/>
      <c r="H268" s="1888">
        <f>CF!DE13-Model!DE71</f>
        <v>48.199999999999989</v>
      </c>
      <c r="I268" s="1888">
        <f>CF!DK13-Model!DK71</f>
        <v>52.900000000000006</v>
      </c>
      <c r="J268" s="1888">
        <f>CF!DQ13-Model!DQ71</f>
        <v>63.600000000000023</v>
      </c>
      <c r="K268" s="1888">
        <f>CF!DW13-Model!DW71</f>
        <v>67.399999999999991</v>
      </c>
      <c r="L268" s="1888">
        <f>CF!EC13-Model!EC71</f>
        <v>71.800000000000011</v>
      </c>
      <c r="M268" s="1888">
        <f>CF!EI13-Model!EI71</f>
        <v>51.988032488870488</v>
      </c>
      <c r="N268" s="1888">
        <f>CF!EO13-Model!EO71</f>
        <v>55.405038470240441</v>
      </c>
      <c r="O268" s="1888">
        <f>O269*O195</f>
        <v>64.260780359083086</v>
      </c>
      <c r="P268" s="1888">
        <f>P269*P195</f>
        <v>72.19484007895683</v>
      </c>
      <c r="Q268" s="1888">
        <f>Q269*Q195</f>
        <v>80.118630339870961</v>
      </c>
      <c r="R268" s="1888">
        <f>R269*R195</f>
        <v>88.001269684198576</v>
      </c>
      <c r="S268" s="1821"/>
      <c r="U268" s="1578"/>
      <c r="V268" s="1578"/>
    </row>
    <row r="269" spans="1:22">
      <c r="A269" s="1821"/>
      <c r="B269" s="1821" t="s">
        <v>7072</v>
      </c>
      <c r="C269" s="1821"/>
      <c r="D269" s="1821"/>
      <c r="E269" s="1821"/>
      <c r="F269" s="1821"/>
      <c r="G269" s="1821"/>
      <c r="H269" s="1903">
        <f t="shared" ref="H269:N269" si="283">H268/H195</f>
        <v>2.0610806506739684E-2</v>
      </c>
      <c r="I269" s="1903">
        <f t="shared" si="283"/>
        <v>1.9108652237217836E-2</v>
      </c>
      <c r="J269" s="1903">
        <f t="shared" si="283"/>
        <v>2.2189489434365186E-2</v>
      </c>
      <c r="K269" s="1903">
        <f t="shared" si="283"/>
        <v>2.931816515050794E-2</v>
      </c>
      <c r="L269" s="1903">
        <f t="shared" si="283"/>
        <v>3.2288580508591076E-2</v>
      </c>
      <c r="M269" s="1903">
        <f t="shared" si="283"/>
        <v>1.8476066196163189E-2</v>
      </c>
      <c r="N269" s="1903">
        <f t="shared" si="283"/>
        <v>1.5555394235491996E-2</v>
      </c>
      <c r="O269" s="2144">
        <f>N269</f>
        <v>1.5555394235491996E-2</v>
      </c>
      <c r="P269" s="2144">
        <f>O269</f>
        <v>1.5555394235491996E-2</v>
      </c>
      <c r="Q269" s="2144">
        <f>P269</f>
        <v>1.5555394235491996E-2</v>
      </c>
      <c r="R269" s="2144">
        <f>Q269</f>
        <v>1.5555394235491996E-2</v>
      </c>
      <c r="S269" s="1907"/>
      <c r="U269" s="1578"/>
      <c r="V269" s="1578"/>
    </row>
    <row r="270" spans="1:22">
      <c r="A270" s="1821"/>
      <c r="B270" s="1946" t="s">
        <v>6986</v>
      </c>
      <c r="C270" s="1821"/>
      <c r="D270" s="1821"/>
      <c r="E270" s="1821"/>
      <c r="F270" s="1821"/>
      <c r="G270" s="1888">
        <v>95</v>
      </c>
      <c r="H270" s="1888">
        <v>-53</v>
      </c>
      <c r="I270" s="1888">
        <v>131</v>
      </c>
      <c r="J270" s="1888">
        <v>-27</v>
      </c>
      <c r="K270" s="1888">
        <v>-194</v>
      </c>
      <c r="L270" s="1888">
        <v>-86.84</v>
      </c>
      <c r="M270" s="1888">
        <v>32</v>
      </c>
      <c r="N270" s="1888">
        <v>41</v>
      </c>
      <c r="O270" s="1888">
        <v>106</v>
      </c>
      <c r="P270" s="1888">
        <v>10</v>
      </c>
      <c r="Q270" s="1888">
        <f>P270</f>
        <v>10</v>
      </c>
      <c r="R270" s="1888">
        <f>Q270</f>
        <v>10</v>
      </c>
      <c r="S270" s="1821"/>
      <c r="U270" s="1578"/>
      <c r="V270" s="1578"/>
    </row>
    <row r="271" spans="1:22">
      <c r="A271" s="1821"/>
      <c r="B271" s="1821"/>
      <c r="C271" s="1821"/>
      <c r="D271" s="1821"/>
      <c r="E271" s="1821"/>
      <c r="F271" s="1821"/>
      <c r="G271" s="1821"/>
      <c r="H271" s="1862"/>
      <c r="I271" s="1862"/>
      <c r="J271" s="1862"/>
      <c r="K271" s="1862"/>
      <c r="L271" s="1862"/>
      <c r="M271" s="1842"/>
      <c r="N271" s="2283"/>
      <c r="O271" s="1862"/>
      <c r="P271" s="1862"/>
      <c r="Q271" s="1862"/>
      <c r="R271" s="1862"/>
      <c r="S271" s="1821"/>
      <c r="U271" s="1578"/>
      <c r="V271" s="1578"/>
    </row>
    <row r="272" spans="1:22">
      <c r="A272" s="1821"/>
      <c r="B272" s="1944" t="s">
        <v>6964</v>
      </c>
      <c r="C272" s="1821"/>
      <c r="D272" s="1821"/>
      <c r="E272" s="1821"/>
      <c r="F272" s="1821"/>
      <c r="G272" s="1888">
        <f>G262-G263+G264-G265+G270</f>
        <v>559.60211480362557</v>
      </c>
      <c r="H272" s="1888">
        <f t="shared" ref="H272:P272" si="284">H262-H263+H264-H265+H270+H268</f>
        <v>562.97903543166558</v>
      </c>
      <c r="I272" s="1888">
        <f t="shared" si="284"/>
        <v>708.76923649877983</v>
      </c>
      <c r="J272" s="1888">
        <f>J262-J263+J264-J265+J270+J268</f>
        <v>415.31283341747132</v>
      </c>
      <c r="K272" s="1888">
        <f t="shared" si="284"/>
        <v>170.07853773092484</v>
      </c>
      <c r="L272" s="1888">
        <f t="shared" si="284"/>
        <v>0.90117082277934912</v>
      </c>
      <c r="M272" s="1888">
        <f t="shared" si="284"/>
        <v>586.84378728857905</v>
      </c>
      <c r="N272" s="2089">
        <f t="shared" si="284"/>
        <v>1168.6316206403505</v>
      </c>
      <c r="O272" s="1888">
        <f t="shared" si="284"/>
        <v>1463.0234491069193</v>
      </c>
      <c r="P272" s="1888">
        <f t="shared" si="284"/>
        <v>1753.2000748568273</v>
      </c>
      <c r="Q272" s="1888">
        <f t="shared" ref="Q272" si="285">Q262-Q263+Q264-Q265+Q270+Q268</f>
        <v>1992.6288319124417</v>
      </c>
      <c r="R272" s="1888">
        <f t="shared" ref="R272" si="286">R262-R263+R264-R265+R270+R268</f>
        <v>2227.8693034076919</v>
      </c>
      <c r="S272" s="1821"/>
      <c r="U272" s="1578"/>
      <c r="V272" s="1578"/>
    </row>
    <row r="273" spans="1:22">
      <c r="A273" s="1821"/>
      <c r="B273" s="1946" t="s">
        <v>6965</v>
      </c>
      <c r="C273" s="1821"/>
      <c r="D273" s="1821"/>
      <c r="E273" s="1821"/>
      <c r="F273" s="1821"/>
      <c r="G273" s="1888">
        <v>56.4</v>
      </c>
      <c r="H273" s="1888">
        <v>64.2</v>
      </c>
      <c r="I273" s="1888">
        <v>75.5</v>
      </c>
      <c r="J273" s="1888">
        <f>-CF!DQ44</f>
        <v>72.400000000000006</v>
      </c>
      <c r="K273" s="1888">
        <f>-CF!DW44</f>
        <v>76</v>
      </c>
      <c r="L273" s="1888">
        <f>-CF!EC44</f>
        <v>50.7</v>
      </c>
      <c r="M273" s="1888">
        <f>-CF!EI44</f>
        <v>49.237610952587602</v>
      </c>
      <c r="N273" s="1888">
        <f>-CF!EO44</f>
        <v>49.899155359764947</v>
      </c>
      <c r="O273" s="1888">
        <f t="shared" ref="O273:R273" si="287">N273*(1+O274)</f>
        <v>50.89713846696025</v>
      </c>
      <c r="P273" s="1888">
        <f t="shared" si="287"/>
        <v>51.915081236299457</v>
      </c>
      <c r="Q273" s="1888">
        <f t="shared" si="287"/>
        <v>52.953382861025446</v>
      </c>
      <c r="R273" s="1888">
        <f t="shared" si="287"/>
        <v>54.012450518245956</v>
      </c>
      <c r="S273" s="1821"/>
      <c r="U273" s="1578"/>
      <c r="V273" s="1578"/>
    </row>
    <row r="274" spans="1:22">
      <c r="A274" s="1821"/>
      <c r="B274" s="1946" t="s">
        <v>6967</v>
      </c>
      <c r="C274" s="1821"/>
      <c r="D274" s="1821"/>
      <c r="E274" s="1821"/>
      <c r="F274" s="1821"/>
      <c r="G274" s="1888"/>
      <c r="H274" s="1890">
        <v>0.13829787234042556</v>
      </c>
      <c r="I274" s="1890">
        <f>I273/H273-1</f>
        <v>0.17601246105919</v>
      </c>
      <c r="J274" s="1890">
        <f>J273/I273-1</f>
        <v>-4.1059602649006544E-2</v>
      </c>
      <c r="K274" s="1890">
        <f>K273/J273-1</f>
        <v>4.9723756906077332E-2</v>
      </c>
      <c r="L274" s="1890">
        <f t="shared" ref="L274:N274" si="288">L273/K273-1</f>
        <v>-0.33289473684210524</v>
      </c>
      <c r="M274" s="1890">
        <f t="shared" si="288"/>
        <v>-2.8843965432197249E-2</v>
      </c>
      <c r="N274" s="1890">
        <f t="shared" si="288"/>
        <v>1.3435753570870235E-2</v>
      </c>
      <c r="O274" s="1890">
        <v>0.02</v>
      </c>
      <c r="P274" s="1890">
        <v>0.02</v>
      </c>
      <c r="Q274" s="1890">
        <v>0.02</v>
      </c>
      <c r="R274" s="1890">
        <v>0.02</v>
      </c>
      <c r="S274" s="1821"/>
      <c r="U274" s="1578"/>
      <c r="V274" s="1578"/>
    </row>
    <row r="275" spans="1:22" ht="13.5" thickBot="1">
      <c r="A275" s="1824"/>
      <c r="B275" s="1946"/>
      <c r="C275" s="1821"/>
      <c r="D275" s="1821"/>
      <c r="E275" s="1821"/>
      <c r="F275" s="1821"/>
      <c r="G275" s="1888"/>
      <c r="H275" s="1888"/>
      <c r="I275" s="1888"/>
      <c r="J275" s="1902"/>
      <c r="K275" s="1888"/>
      <c r="L275" s="1888"/>
      <c r="M275" s="1888"/>
      <c r="N275" s="1888"/>
      <c r="O275" s="1888"/>
      <c r="P275" s="1888"/>
      <c r="Q275" s="1888"/>
      <c r="R275" s="1888"/>
      <c r="S275" s="1820"/>
      <c r="T275" s="2038"/>
      <c r="U275" s="1578"/>
      <c r="V275" s="1578"/>
    </row>
    <row r="276" spans="1:22" ht="13.5" thickBot="1">
      <c r="A276" s="1824" t="s">
        <v>7047</v>
      </c>
      <c r="B276" s="1947" t="s">
        <v>754</v>
      </c>
      <c r="C276" s="1891"/>
      <c r="D276" s="1891"/>
      <c r="E276" s="1891"/>
      <c r="F276" s="1892">
        <v>511</v>
      </c>
      <c r="G276" s="1892">
        <f t="shared" ref="G276:P276" si="289">G272-G273</f>
        <v>503.20211480362559</v>
      </c>
      <c r="H276" s="1892">
        <f t="shared" si="289"/>
        <v>498.77903543166559</v>
      </c>
      <c r="I276" s="1892">
        <f t="shared" si="289"/>
        <v>633.26923649877983</v>
      </c>
      <c r="J276" s="1892">
        <f t="shared" si="289"/>
        <v>342.91283341747135</v>
      </c>
      <c r="K276" s="2042">
        <f t="shared" si="289"/>
        <v>94.078537730924836</v>
      </c>
      <c r="L276" s="2042">
        <f t="shared" si="289"/>
        <v>-49.798829177220654</v>
      </c>
      <c r="M276" s="1892">
        <f t="shared" si="289"/>
        <v>537.60617633599145</v>
      </c>
      <c r="N276" s="1892">
        <f>N272-N273</f>
        <v>1118.7324652805855</v>
      </c>
      <c r="O276" s="1892">
        <f t="shared" si="289"/>
        <v>1412.126310639959</v>
      </c>
      <c r="P276" s="1892">
        <f t="shared" si="289"/>
        <v>1701.2849936205278</v>
      </c>
      <c r="Q276" s="1892">
        <f t="shared" ref="Q276" si="290">Q272-Q273</f>
        <v>1939.6754490514163</v>
      </c>
      <c r="R276" s="1932">
        <f t="shared" ref="R276" si="291">R272-R273</f>
        <v>2173.8568528894457</v>
      </c>
      <c r="S276" s="1906">
        <f>(N276/J276)^0.25-100%</f>
        <v>0.34395777980329423</v>
      </c>
      <c r="T276" s="1906">
        <f>(Q276/J276)^(1/7)-100%</f>
        <v>0.28087419339727115</v>
      </c>
      <c r="U276" s="1578"/>
      <c r="V276" s="1578"/>
    </row>
    <row r="277" spans="1:22">
      <c r="A277" s="1821"/>
      <c r="B277" s="1875" t="s">
        <v>372</v>
      </c>
      <c r="C277" s="1873"/>
      <c r="D277" s="1873"/>
      <c r="E277" s="1873"/>
      <c r="F277" s="1873"/>
      <c r="G277" s="1874">
        <f t="shared" ref="G277:N277" si="292">G276/F276-1</f>
        <v>-1.5260049307973422E-2</v>
      </c>
      <c r="H277" s="1939">
        <f t="shared" si="292"/>
        <v>-8.7898664211419897E-3</v>
      </c>
      <c r="I277" s="1939">
        <f>I276/H276-1</f>
        <v>0.26963884107663105</v>
      </c>
      <c r="J277" s="1939">
        <f t="shared" si="292"/>
        <v>-0.45850388167698075</v>
      </c>
      <c r="K277" s="1939">
        <f t="shared" si="292"/>
        <v>-0.72564882803207575</v>
      </c>
      <c r="L277" s="1939">
        <f t="shared" si="292"/>
        <v>-1.5293325170470962</v>
      </c>
      <c r="M277" s="1939">
        <f t="shared" si="292"/>
        <v>-11.795558554655884</v>
      </c>
      <c r="N277" s="1939">
        <f t="shared" si="292"/>
        <v>1.0809516603868099</v>
      </c>
      <c r="O277" s="1939">
        <f>O276/N276-1</f>
        <v>0.26225559234645823</v>
      </c>
      <c r="P277" s="1939">
        <f>P276/O276-1</f>
        <v>0.20476828510441503</v>
      </c>
      <c r="Q277" s="1939">
        <f>Q276/P276-1</f>
        <v>0.14012376311129771</v>
      </c>
      <c r="R277" s="1939">
        <f>R276/Q276-1</f>
        <v>0.12073226165364614</v>
      </c>
      <c r="S277" s="1821"/>
      <c r="U277" s="1578"/>
      <c r="V277" s="1578"/>
    </row>
    <row r="278" spans="1:22">
      <c r="A278" s="1821"/>
      <c r="B278" s="1821"/>
      <c r="C278" s="1821"/>
      <c r="D278" s="1821"/>
      <c r="E278" s="1821"/>
      <c r="F278" s="1821"/>
      <c r="G278" s="1862"/>
      <c r="H278" s="1862"/>
      <c r="I278" s="1862"/>
      <c r="J278" s="1862"/>
      <c r="K278" s="1862"/>
      <c r="L278" s="2301"/>
      <c r="M278" s="1862"/>
      <c r="N278" s="1862"/>
      <c r="O278" s="1862"/>
      <c r="P278" s="1862"/>
      <c r="Q278" s="1862"/>
      <c r="R278" s="1862"/>
      <c r="S278" s="1821"/>
      <c r="U278" s="1578"/>
      <c r="V278" s="1578"/>
    </row>
    <row r="279" spans="1:22" s="2086" customFormat="1" hidden="1" outlineLevel="1">
      <c r="A279" s="1821"/>
      <c r="B279" s="2155" t="s">
        <v>7122</v>
      </c>
      <c r="C279" s="1821"/>
      <c r="D279" s="1821"/>
      <c r="E279" s="1821"/>
      <c r="F279" s="1821"/>
      <c r="G279" s="1862"/>
      <c r="H279" s="1862"/>
      <c r="I279" s="1862"/>
      <c r="J279" s="1862"/>
      <c r="K279" s="1862">
        <v>1700</v>
      </c>
      <c r="L279" s="1862">
        <f>K279</f>
        <v>1700</v>
      </c>
      <c r="M279" s="2156">
        <f>K279-($K$279*L280)</f>
        <v>1020</v>
      </c>
      <c r="N279" s="2156">
        <f>M279-($K$279*M280)</f>
        <v>425</v>
      </c>
      <c r="O279" s="2156">
        <f>N279-($K$279*N280)</f>
        <v>0</v>
      </c>
      <c r="P279" s="1862"/>
      <c r="Q279" s="1862"/>
      <c r="R279" s="1862"/>
      <c r="S279" s="1821"/>
      <c r="U279" s="1578"/>
      <c r="V279" s="1578"/>
    </row>
    <row r="280" spans="1:22" s="2086" customFormat="1" hidden="1" outlineLevel="1">
      <c r="A280" s="1821"/>
      <c r="B280" s="2157" t="s">
        <v>7119</v>
      </c>
      <c r="C280" s="1821"/>
      <c r="D280" s="1821"/>
      <c r="E280" s="1821"/>
      <c r="F280" s="1821"/>
      <c r="G280" s="1862"/>
      <c r="H280" s="1862"/>
      <c r="I280" s="1862"/>
      <c r="J280" s="1862"/>
      <c r="K280" s="1862"/>
      <c r="L280" s="2158">
        <v>0.4</v>
      </c>
      <c r="M280" s="2158">
        <v>0.35</v>
      </c>
      <c r="N280" s="1952">
        <f>1-SUM(L280:M280)</f>
        <v>0.25</v>
      </c>
      <c r="O280" s="2158">
        <v>0</v>
      </c>
      <c r="P280" s="1862"/>
      <c r="Q280" s="1862"/>
      <c r="R280" s="1862"/>
      <c r="S280" s="1821"/>
      <c r="U280" s="1578"/>
      <c r="V280" s="1578"/>
    </row>
    <row r="281" spans="1:22" s="2086" customFormat="1" hidden="1" outlineLevel="1">
      <c r="A281" s="1821"/>
      <c r="B281" s="2157" t="s">
        <v>7120</v>
      </c>
      <c r="C281" s="1821"/>
      <c r="D281" s="1821"/>
      <c r="E281" s="1821"/>
      <c r="F281" s="1821"/>
      <c r="G281" s="1862"/>
      <c r="H281" s="1862"/>
      <c r="I281" s="1862"/>
      <c r="J281" s="1862"/>
      <c r="K281" s="1862"/>
      <c r="L281" s="1952">
        <f>IF($B$1="Bull",L326,IF($B$1="Base",L327,IF($B$1="Bear",L328,"NA")))</f>
        <v>0.8</v>
      </c>
      <c r="M281" s="1952">
        <f t="shared" ref="M281:Q281" si="293">IF($B$1="Bull",M326,IF($B$1="Base",M327,IF($B$1="Bear",M328,"NA")))</f>
        <v>0.8</v>
      </c>
      <c r="N281" s="1952">
        <f t="shared" si="293"/>
        <v>0.8</v>
      </c>
      <c r="O281" s="1952">
        <f t="shared" si="293"/>
        <v>0.75</v>
      </c>
      <c r="P281" s="1952">
        <f t="shared" si="293"/>
        <v>0.7</v>
      </c>
      <c r="Q281" s="1952">
        <f t="shared" si="293"/>
        <v>0.6</v>
      </c>
      <c r="R281" s="1952">
        <f t="shared" ref="R281" si="294">IF($B$1="Bull",R326,IF($B$1="Base",R327,IF($B$1="Bear",R328,"NA")))</f>
        <v>0.54999999999999993</v>
      </c>
      <c r="S281" s="1821"/>
      <c r="U281" s="1578"/>
      <c r="V281" s="1578"/>
    </row>
    <row r="282" spans="1:22" s="2086" customFormat="1" hidden="1" outlineLevel="1">
      <c r="A282" s="1821"/>
      <c r="B282" s="2159" t="s">
        <v>7121</v>
      </c>
      <c r="C282" s="1821"/>
      <c r="D282" s="1821"/>
      <c r="E282" s="1821"/>
      <c r="F282" s="1821"/>
      <c r="G282" s="1862"/>
      <c r="H282" s="1862"/>
      <c r="I282" s="1862"/>
      <c r="J282" s="1862"/>
      <c r="K282" s="1862"/>
      <c r="L282" s="2160">
        <f>($L$279*L280)+(L281*L276)</f>
        <v>640.16093665822348</v>
      </c>
      <c r="M282" s="2160">
        <f t="shared" ref="M282:Q282" si="295">($L$279*M280)+(M281*M276)</f>
        <v>1025.0849410687931</v>
      </c>
      <c r="N282" s="2160">
        <f t="shared" si="295"/>
        <v>1319.9859722244685</v>
      </c>
      <c r="O282" s="2160">
        <f t="shared" si="295"/>
        <v>1059.0947329799692</v>
      </c>
      <c r="P282" s="2160">
        <f t="shared" si="295"/>
        <v>1190.8994955343694</v>
      </c>
      <c r="Q282" s="2160">
        <f t="shared" si="295"/>
        <v>1163.8052694308496</v>
      </c>
      <c r="R282" s="2160">
        <f t="shared" ref="R282" si="296">($L$279*R280)+(R281*R276)</f>
        <v>1195.621269089195</v>
      </c>
      <c r="S282" s="1821"/>
      <c r="U282" s="1578"/>
      <c r="V282" s="1578"/>
    </row>
    <row r="283" spans="1:22" s="2086" customFormat="1" collapsed="1">
      <c r="A283" s="1821"/>
      <c r="B283" s="1821"/>
      <c r="C283" s="1821"/>
      <c r="D283" s="1821"/>
      <c r="E283" s="1821"/>
      <c r="F283" s="1821"/>
      <c r="G283" s="1862"/>
      <c r="H283" s="1862"/>
      <c r="I283" s="1862"/>
      <c r="J283" s="1862"/>
      <c r="K283" s="1862"/>
      <c r="L283" s="1862"/>
      <c r="M283" s="1862"/>
      <c r="N283" s="1862"/>
      <c r="O283" s="1862"/>
      <c r="P283" s="1862"/>
      <c r="Q283" s="1862"/>
      <c r="R283" s="1862"/>
      <c r="S283" s="1821"/>
      <c r="U283" s="1578"/>
      <c r="V283" s="1578"/>
    </row>
    <row r="284" spans="1:22" s="2086" customFormat="1">
      <c r="A284" s="1821"/>
      <c r="B284" s="1821"/>
      <c r="C284" s="1821"/>
      <c r="D284" s="1821"/>
      <c r="E284" s="1821"/>
      <c r="F284" s="1821"/>
      <c r="G284" s="1862"/>
      <c r="H284" s="1862"/>
      <c r="I284" s="1862"/>
      <c r="J284" s="1862"/>
      <c r="K284" s="1862"/>
      <c r="L284" s="1862"/>
      <c r="M284" s="1862"/>
      <c r="N284" s="1862"/>
      <c r="O284" s="1868"/>
      <c r="P284" s="1862"/>
      <c r="Q284" s="1862"/>
      <c r="R284" s="1862"/>
      <c r="S284" s="1821"/>
      <c r="U284" s="1578"/>
      <c r="V284" s="1578"/>
    </row>
    <row r="285" spans="1:22" s="2086" customFormat="1" hidden="1" outlineLevel="1">
      <c r="A285" s="1821"/>
      <c r="B285" s="1821" t="s">
        <v>7126</v>
      </c>
      <c r="C285" s="1821"/>
      <c r="D285" s="1821"/>
      <c r="E285" s="1821"/>
      <c r="F285" s="1821"/>
      <c r="G285" s="1862"/>
      <c r="H285" s="1862"/>
      <c r="I285" s="1862"/>
      <c r="J285" s="1862"/>
      <c r="K285" s="1971"/>
      <c r="L285" s="1971">
        <f>K290</f>
        <v>223.8</v>
      </c>
      <c r="M285" s="1971">
        <f>L290</f>
        <v>219.52500000000001</v>
      </c>
      <c r="N285" s="1971">
        <f t="shared" ref="N285:R285" si="297">M290</f>
        <v>218.10167048</v>
      </c>
      <c r="O285" s="1971">
        <f t="shared" si="297"/>
        <v>213.65775236000005</v>
      </c>
      <c r="P285" s="1971">
        <f t="shared" si="297"/>
        <v>209.98695924000003</v>
      </c>
      <c r="Q285" s="1971">
        <f t="shared" si="297"/>
        <v>206.81978287731829</v>
      </c>
      <c r="R285" s="1971">
        <f t="shared" si="297"/>
        <v>204.62443714139377</v>
      </c>
      <c r="S285" s="1821"/>
      <c r="U285" s="1578"/>
      <c r="V285" s="1578"/>
    </row>
    <row r="286" spans="1:22" s="2086" customFormat="1" hidden="1" outlineLevel="1">
      <c r="A286" s="1821"/>
      <c r="B286" s="2090" t="s">
        <v>7121</v>
      </c>
      <c r="C286" s="1821"/>
      <c r="D286" s="1821"/>
      <c r="E286" s="1821"/>
      <c r="F286" s="1821"/>
      <c r="G286" s="1862"/>
      <c r="H286" s="1862"/>
      <c r="I286" s="1862"/>
      <c r="J286" s="1862"/>
      <c r="K286" s="1862"/>
      <c r="L286" s="1862">
        <f>-BS!EC138</f>
        <v>699.9</v>
      </c>
      <c r="M286" s="1862">
        <f t="shared" ref="M286:Q286" si="298">M282</f>
        <v>1025.0849410687931</v>
      </c>
      <c r="N286" s="1862">
        <f t="shared" si="298"/>
        <v>1319.9859722244685</v>
      </c>
      <c r="O286" s="1862">
        <f t="shared" si="298"/>
        <v>1059.0947329799692</v>
      </c>
      <c r="P286" s="1862">
        <f t="shared" si="298"/>
        <v>1190.8994955343694</v>
      </c>
      <c r="Q286" s="1862">
        <f t="shared" si="298"/>
        <v>1163.8052694308496</v>
      </c>
      <c r="R286" s="1862">
        <f t="shared" ref="R286" si="299">R282</f>
        <v>1195.621269089195</v>
      </c>
      <c r="S286" s="1821"/>
      <c r="U286" s="1578"/>
      <c r="V286" s="1578"/>
    </row>
    <row r="287" spans="1:22" s="2086" customFormat="1" hidden="1" outlineLevel="1">
      <c r="A287" s="1821"/>
      <c r="B287" s="2090" t="s">
        <v>7123</v>
      </c>
      <c r="C287" s="1821"/>
      <c r="D287" s="1821"/>
      <c r="E287" s="1821"/>
      <c r="F287" s="1821"/>
      <c r="G287" s="1862"/>
      <c r="H287" s="1862"/>
      <c r="I287" s="1862"/>
      <c r="J287" s="1862"/>
      <c r="K287" s="1862"/>
      <c r="L287" s="1862">
        <f>BS!EC150</f>
        <v>100.47372954349697</v>
      </c>
      <c r="M287" s="1862">
        <f>L287*(1+$H$301)</f>
        <v>113.0329457364341</v>
      </c>
      <c r="N287" s="1862">
        <f t="shared" ref="N287:R287" si="300">M287*(1+$H$301)</f>
        <v>127.16206395348837</v>
      </c>
      <c r="O287" s="1862">
        <f t="shared" si="300"/>
        <v>143.05732194767441</v>
      </c>
      <c r="P287" s="1862">
        <f t="shared" si="300"/>
        <v>160.93948719113371</v>
      </c>
      <c r="Q287" s="1862">
        <f t="shared" si="300"/>
        <v>181.05692309002541</v>
      </c>
      <c r="R287" s="1862">
        <f t="shared" si="300"/>
        <v>203.6890384762786</v>
      </c>
      <c r="S287" s="1821"/>
      <c r="U287" s="1578"/>
      <c r="V287" s="1578"/>
    </row>
    <row r="288" spans="1:22" s="2086" customFormat="1" hidden="1" outlineLevel="1">
      <c r="A288" s="1821"/>
      <c r="B288" s="1821" t="s">
        <v>7124</v>
      </c>
      <c r="C288" s="1821"/>
      <c r="D288" s="1821"/>
      <c r="E288" s="1821"/>
      <c r="F288" s="1821"/>
      <c r="G288" s="1862"/>
      <c r="H288" s="1862"/>
      <c r="I288" s="1862"/>
      <c r="J288" s="1862"/>
      <c r="K288" s="1862"/>
      <c r="L288" s="2093">
        <f>L286/L287</f>
        <v>6.9660000000000011</v>
      </c>
      <c r="M288" s="2093">
        <f t="shared" ref="M288:Q288" si="301">M286/M287</f>
        <v>9.0689040650063824</v>
      </c>
      <c r="N288" s="2093">
        <f t="shared" si="301"/>
        <v>10.380344036467315</v>
      </c>
      <c r="O288" s="2093">
        <f t="shared" si="301"/>
        <v>7.4032892449038759</v>
      </c>
      <c r="P288" s="2093">
        <f t="shared" si="301"/>
        <v>7.3996724875856135</v>
      </c>
      <c r="Q288" s="2093">
        <f t="shared" si="301"/>
        <v>6.4278418608283792</v>
      </c>
      <c r="R288" s="2093">
        <f t="shared" ref="R288" si="302">R286/R287</f>
        <v>5.8698360895273991</v>
      </c>
      <c r="S288" s="1821"/>
      <c r="U288" s="1578"/>
      <c r="V288" s="1578"/>
    </row>
    <row r="289" spans="1:23" s="2086" customFormat="1" hidden="1" outlineLevel="1">
      <c r="A289" s="1821"/>
      <c r="B289" s="2090" t="s">
        <v>7125</v>
      </c>
      <c r="C289" s="1821"/>
      <c r="D289" s="1821"/>
      <c r="E289" s="1821"/>
      <c r="F289" s="1821"/>
      <c r="G289" s="1862"/>
      <c r="H289" s="1862"/>
      <c r="I289" s="1862"/>
      <c r="J289" s="1862"/>
      <c r="K289" s="1862"/>
      <c r="L289" s="2094">
        <f>L288+L290-L285</f>
        <v>2.6910000000000025</v>
      </c>
      <c r="M289" s="2094">
        <f>M288+M290-M285</f>
        <v>7.645574545006383</v>
      </c>
      <c r="N289" s="2094">
        <f>N288+N290-N285</f>
        <v>5.936425916467357</v>
      </c>
      <c r="O289" s="2094">
        <f>O288+O290-O285</f>
        <v>3.7324961249038608</v>
      </c>
      <c r="P289" s="2094">
        <f>O289+0.5</f>
        <v>4.2324961249038608</v>
      </c>
      <c r="Q289" s="2094">
        <f>P289</f>
        <v>4.2324961249038608</v>
      </c>
      <c r="R289" s="2094">
        <f>Q289</f>
        <v>4.2324961249038608</v>
      </c>
      <c r="S289" s="1821"/>
      <c r="U289" s="1578"/>
      <c r="V289" s="1578"/>
    </row>
    <row r="290" spans="1:23" collapsed="1">
      <c r="A290" s="1821"/>
      <c r="B290" s="2092" t="s">
        <v>7127</v>
      </c>
      <c r="C290" s="1821"/>
      <c r="D290" s="1821"/>
      <c r="E290" s="1821"/>
      <c r="F290" s="1821"/>
      <c r="G290" s="1893">
        <v>231.57500000000002</v>
      </c>
      <c r="H290" s="1893">
        <v>229.1</v>
      </c>
      <c r="I290" s="1893">
        <v>231.92500000000001</v>
      </c>
      <c r="J290" s="1893">
        <f>Model!DQ153</f>
        <v>230.15</v>
      </c>
      <c r="K290" s="1893">
        <f>Model!DW153</f>
        <v>223.8</v>
      </c>
      <c r="L290" s="1893">
        <f>Model!EC153</f>
        <v>219.52500000000001</v>
      </c>
      <c r="M290" s="1893">
        <f>Model!EI153</f>
        <v>218.10167048</v>
      </c>
      <c r="N290" s="1893">
        <f>Model!EO153</f>
        <v>213.65775236000005</v>
      </c>
      <c r="O290" s="1893">
        <f>Model!EU153</f>
        <v>209.98695924000003</v>
      </c>
      <c r="P290" s="1893">
        <f t="shared" ref="P290:Q290" si="303">P285-P288+P289</f>
        <v>206.81978287731829</v>
      </c>
      <c r="Q290" s="1893">
        <f t="shared" si="303"/>
        <v>204.62443714139377</v>
      </c>
      <c r="R290" s="1893">
        <f t="shared" ref="R290" si="304">R285-R288+R289</f>
        <v>202.98709717677022</v>
      </c>
      <c r="S290" s="1821"/>
      <c r="U290" s="1578"/>
      <c r="V290" s="1578"/>
    </row>
    <row r="291" spans="1:23">
      <c r="A291" s="1821"/>
      <c r="B291" s="1875" t="s">
        <v>372</v>
      </c>
      <c r="C291" s="1821"/>
      <c r="D291" s="1821"/>
      <c r="E291" s="1821"/>
      <c r="F291" s="1821"/>
      <c r="G291" s="1893"/>
      <c r="H291" s="1828">
        <f t="shared" ref="H291:M291" si="305">H290/G290-1</f>
        <v>-1.0687682176400815E-2</v>
      </c>
      <c r="I291" s="1828">
        <f t="shared" si="305"/>
        <v>1.2330859886512613E-2</v>
      </c>
      <c r="J291" s="1828">
        <f t="shared" si="305"/>
        <v>-7.6533362078258227E-3</v>
      </c>
      <c r="K291" s="1828">
        <f t="shared" si="305"/>
        <v>-2.7590701716271981E-2</v>
      </c>
      <c r="L291" s="1828">
        <f t="shared" si="305"/>
        <v>-1.9101876675603258E-2</v>
      </c>
      <c r="M291" s="1828">
        <f t="shared" si="305"/>
        <v>-6.4836784876438625E-3</v>
      </c>
      <c r="N291" s="1828">
        <f t="shared" ref="N291:R291" si="306">N290/M290-1</f>
        <v>-2.0375442839203117E-2</v>
      </c>
      <c r="O291" s="1828">
        <f t="shared" si="306"/>
        <v>-1.7180715791744183E-2</v>
      </c>
      <c r="P291" s="1828">
        <f t="shared" si="306"/>
        <v>-1.5082728823468949E-2</v>
      </c>
      <c r="Q291" s="1828">
        <f t="shared" si="306"/>
        <v>-1.0614776330302833E-2</v>
      </c>
      <c r="R291" s="1828">
        <f t="shared" si="306"/>
        <v>-8.0016834132677905E-3</v>
      </c>
      <c r="S291" s="1862"/>
      <c r="U291" s="1578"/>
      <c r="V291" s="1578"/>
    </row>
    <row r="292" spans="1:23">
      <c r="A292" s="1821"/>
      <c r="B292" s="1821"/>
      <c r="C292" s="1821"/>
      <c r="D292" s="1821"/>
      <c r="E292" s="1821"/>
      <c r="F292" s="1821"/>
      <c r="G292" s="1888"/>
      <c r="H292" s="1888"/>
      <c r="I292" s="1888"/>
      <c r="J292" s="1888"/>
      <c r="K292" s="1888"/>
      <c r="L292" s="1888"/>
      <c r="M292" s="1888"/>
      <c r="N292" s="1888"/>
      <c r="O292" s="1888"/>
      <c r="P292" s="1888"/>
      <c r="Q292" s="1888"/>
      <c r="R292" s="1888"/>
      <c r="S292" s="1821"/>
      <c r="U292" s="1578"/>
      <c r="V292" s="1578"/>
    </row>
    <row r="293" spans="1:23">
      <c r="A293" s="1821"/>
      <c r="B293" s="1821" t="s">
        <v>6968</v>
      </c>
      <c r="C293" s="1821"/>
      <c r="D293" s="1821"/>
      <c r="E293" s="1821"/>
      <c r="F293" s="1821"/>
      <c r="G293" s="1889">
        <f t="shared" ref="G293:Q293" si="307">G276/G290</f>
        <v>2.1729552620258041</v>
      </c>
      <c r="H293" s="1889">
        <f t="shared" si="307"/>
        <v>2.1771236815000683</v>
      </c>
      <c r="I293" s="1889">
        <f t="shared" si="307"/>
        <v>2.7304914799990505</v>
      </c>
      <c r="J293" s="1889">
        <f t="shared" si="307"/>
        <v>1.4899536537800189</v>
      </c>
      <c r="K293" s="1889">
        <f t="shared" si="307"/>
        <v>0.4203688012999322</v>
      </c>
      <c r="L293" s="1889">
        <f t="shared" si="307"/>
        <v>-0.22684810011260972</v>
      </c>
      <c r="M293" s="1889">
        <f t="shared" si="307"/>
        <v>2.4649337859394804</v>
      </c>
      <c r="N293" s="1889">
        <f t="shared" si="307"/>
        <v>5.2360958257933499</v>
      </c>
      <c r="O293" s="1889">
        <f t="shared" si="307"/>
        <v>6.7248286072184129</v>
      </c>
      <c r="P293" s="1889">
        <f t="shared" si="307"/>
        <v>8.2259296956602022</v>
      </c>
      <c r="Q293" s="1889">
        <f t="shared" si="307"/>
        <v>9.4791974807540544</v>
      </c>
      <c r="R293" s="1889">
        <f t="shared" ref="R293" si="308">R276/R290</f>
        <v>10.709335140628934</v>
      </c>
      <c r="S293" s="1906">
        <f>(N293/J293)^0.25-100%</f>
        <v>0.36917419900142034</v>
      </c>
      <c r="T293" s="1906">
        <f>(Q293/J293)^(1/7)-100%</f>
        <v>0.30256627690699278</v>
      </c>
      <c r="U293" s="1578"/>
      <c r="V293" s="1578"/>
    </row>
    <row r="294" spans="1:23">
      <c r="A294" s="1821"/>
      <c r="B294" s="1821"/>
      <c r="C294" s="1821"/>
      <c r="D294" s="1821"/>
      <c r="E294" s="1821"/>
      <c r="F294" s="1821"/>
      <c r="G294" s="1888"/>
      <c r="H294" s="1888"/>
      <c r="I294" s="1888"/>
      <c r="J294" s="1888"/>
      <c r="K294" s="1888"/>
      <c r="L294" s="1888"/>
      <c r="M294" s="1889"/>
      <c r="N294" s="1889"/>
      <c r="O294" s="1889"/>
      <c r="P294" s="1889"/>
      <c r="Q294" s="1889"/>
      <c r="R294" s="1889"/>
      <c r="S294" s="1820"/>
      <c r="T294" s="2038"/>
    </row>
    <row r="295" spans="1:23">
      <c r="A295" s="1821"/>
      <c r="B295" s="1821"/>
      <c r="C295" s="1821"/>
      <c r="D295" s="1821"/>
      <c r="E295" s="1821"/>
      <c r="F295" s="1821"/>
      <c r="G295" s="1888"/>
      <c r="H295" s="1888"/>
      <c r="I295" s="1888"/>
      <c r="J295" s="1888"/>
      <c r="K295" s="1888"/>
      <c r="L295" s="1888"/>
      <c r="M295" s="1888"/>
      <c r="N295" s="1888"/>
      <c r="O295" s="1888"/>
      <c r="P295" s="1888"/>
      <c r="Q295" s="1903"/>
      <c r="R295" s="1903"/>
      <c r="S295" s="1821"/>
    </row>
    <row r="296" spans="1:23">
      <c r="A296" s="1821"/>
      <c r="B296" s="1948" t="s">
        <v>6970</v>
      </c>
      <c r="C296" s="1821"/>
      <c r="D296" s="1821"/>
      <c r="E296" s="1821"/>
      <c r="F296" s="1821"/>
      <c r="G296" s="1888"/>
      <c r="H296" s="1888"/>
      <c r="I296" s="1888"/>
      <c r="J296" s="1888"/>
      <c r="K296" s="1888"/>
      <c r="L296" s="1886"/>
      <c r="M296" s="1886"/>
      <c r="N296" s="1886"/>
      <c r="O296" s="1886"/>
      <c r="P296" s="1886"/>
      <c r="Q296" s="1886"/>
      <c r="R296" s="1886"/>
      <c r="S296" s="1821"/>
    </row>
    <row r="297" spans="1:23">
      <c r="A297" s="1821"/>
      <c r="B297" s="1949" t="s">
        <v>7138</v>
      </c>
      <c r="C297" s="1821"/>
      <c r="D297" s="1821"/>
      <c r="E297" s="1821"/>
      <c r="F297" s="1821"/>
      <c r="G297" s="1888"/>
      <c r="H297" s="1828">
        <f>(Q276/I276)^(1/8)-1</f>
        <v>0.1501846960498705</v>
      </c>
      <c r="I297" s="1888"/>
      <c r="J297" s="1888"/>
      <c r="K297" s="1888"/>
      <c r="L297" s="1888"/>
      <c r="M297" s="1888"/>
      <c r="N297" s="1888"/>
      <c r="O297" s="1888"/>
      <c r="P297" s="1888"/>
      <c r="Q297" s="1903"/>
      <c r="R297" s="1903"/>
      <c r="S297" s="1820"/>
    </row>
    <row r="298" spans="1:23">
      <c r="A298" s="1821"/>
      <c r="B298" s="1949" t="s">
        <v>6970</v>
      </c>
      <c r="C298" s="1821"/>
      <c r="D298" s="1821"/>
      <c r="E298" s="1821"/>
      <c r="F298" s="1821"/>
      <c r="G298" s="1888"/>
      <c r="H298" s="1894">
        <f>H299/H297/100</f>
        <v>1.5980323316052476</v>
      </c>
      <c r="I298" s="1888"/>
      <c r="J298" s="1888"/>
      <c r="K298" s="1888"/>
      <c r="L298" s="1888"/>
      <c r="M298" s="1888"/>
      <c r="N298" s="1888"/>
      <c r="O298" s="1888"/>
      <c r="P298" s="1888"/>
      <c r="Q298" s="1888"/>
      <c r="R298" s="1888"/>
      <c r="S298" s="1820"/>
      <c r="U298" s="1788"/>
    </row>
    <row r="299" spans="1:23">
      <c r="A299" s="1821"/>
      <c r="B299" s="1949" t="s">
        <v>6971</v>
      </c>
      <c r="C299" s="1821"/>
      <c r="D299" s="1821"/>
      <c r="E299" s="1821"/>
      <c r="F299" s="1821"/>
      <c r="G299" s="1888"/>
      <c r="H299" s="1894">
        <f>IF($B$1="Bull",26,IF($B$1="Base",24,IF($B$1="Bear",18,"NA")))</f>
        <v>24</v>
      </c>
      <c r="I299" s="1894"/>
      <c r="J299" s="2023"/>
      <c r="K299" s="2040"/>
      <c r="L299" s="2040"/>
      <c r="M299" s="2210"/>
      <c r="N299" s="2040"/>
      <c r="O299" s="2040"/>
      <c r="P299" s="2040"/>
      <c r="Q299" s="2040"/>
      <c r="R299" s="2040"/>
      <c r="S299" s="1824"/>
    </row>
    <row r="300" spans="1:23">
      <c r="A300" s="1821"/>
      <c r="B300" s="1949" t="s">
        <v>6973</v>
      </c>
      <c r="C300" s="1821"/>
      <c r="D300" s="1821"/>
      <c r="E300" s="1821"/>
      <c r="F300" s="1821"/>
      <c r="G300" s="1888"/>
      <c r="H300" s="2089">
        <f>(BS!EB9+BS!EB10+BS!EB18-BS!EB40)/L290</f>
        <v>-0.32798086778271268</v>
      </c>
      <c r="I300" s="1888"/>
      <c r="J300" s="1888"/>
      <c r="K300" s="1903"/>
      <c r="L300" s="1903"/>
      <c r="M300" s="1888"/>
      <c r="N300" s="1888"/>
      <c r="O300" s="1888"/>
      <c r="P300" s="1888"/>
      <c r="Q300" s="1888"/>
      <c r="R300" s="1888"/>
      <c r="S300" s="1821"/>
      <c r="U300" s="1578"/>
    </row>
    <row r="301" spans="1:23" ht="13.5" thickBot="1">
      <c r="A301" s="1821"/>
      <c r="B301" s="1949" t="s">
        <v>5193</v>
      </c>
      <c r="C301" s="1821"/>
      <c r="D301" s="1821"/>
      <c r="E301" s="1821"/>
      <c r="F301" s="1821"/>
      <c r="G301" s="1888"/>
      <c r="H301" s="1828">
        <v>0.125</v>
      </c>
      <c r="I301" s="1888"/>
      <c r="J301" s="1888"/>
      <c r="K301" s="1903"/>
      <c r="L301" s="1890"/>
      <c r="M301" s="1888"/>
      <c r="N301" s="1890"/>
      <c r="O301" s="1888"/>
      <c r="P301" s="1888"/>
      <c r="Q301" s="1888"/>
      <c r="R301" s="1888"/>
      <c r="S301" s="1821"/>
      <c r="U301" s="1578"/>
    </row>
    <row r="302" spans="1:23" ht="13.5" thickBot="1">
      <c r="A302" s="1821"/>
      <c r="B302" s="1949" t="s">
        <v>6972</v>
      </c>
      <c r="C302" s="1821"/>
      <c r="D302" s="1821"/>
      <c r="E302" s="1821"/>
      <c r="F302" s="1821"/>
      <c r="G302" s="1888"/>
      <c r="H302" s="1914">
        <f>(R293*H299)*(1-H301)^4+H300</f>
        <v>150.33479455790126</v>
      </c>
      <c r="I302" s="1903"/>
      <c r="J302" s="2148"/>
      <c r="K302" s="1888"/>
      <c r="L302" s="1903"/>
      <c r="M302" s="1889"/>
      <c r="N302" s="1889"/>
      <c r="O302" s="1889"/>
      <c r="P302" s="1889"/>
      <c r="Q302" s="1890"/>
      <c r="R302" s="2023"/>
      <c r="S302" s="1821"/>
      <c r="U302" s="1578"/>
    </row>
    <row r="303" spans="1:23">
      <c r="A303" s="1821"/>
      <c r="B303" s="1821"/>
      <c r="C303" s="1821"/>
      <c r="D303" s="1821"/>
      <c r="E303" s="1821"/>
      <c r="F303" s="1821"/>
      <c r="G303" s="1888"/>
      <c r="H303" s="1902"/>
      <c r="I303" s="1888"/>
      <c r="J303" s="1888"/>
      <c r="K303" s="1888"/>
      <c r="L303" s="2023"/>
      <c r="M303" s="2023"/>
      <c r="N303" s="2302"/>
      <c r="O303" s="2302"/>
      <c r="P303" s="2302"/>
      <c r="Q303" s="2302"/>
      <c r="R303" s="2302"/>
      <c r="S303" s="1821"/>
    </row>
    <row r="304" spans="1:23">
      <c r="A304" s="1821"/>
      <c r="B304" s="1821"/>
      <c r="C304" s="1821"/>
      <c r="D304" s="1821"/>
      <c r="E304" s="1821"/>
      <c r="F304" s="1821"/>
      <c r="G304" s="1862"/>
      <c r="H304" s="1862"/>
      <c r="I304" s="1862"/>
      <c r="J304" s="1862"/>
      <c r="K304" s="1862"/>
      <c r="L304" s="1862"/>
      <c r="M304" s="1862"/>
      <c r="N304" s="2302"/>
      <c r="O304" s="2302"/>
      <c r="P304" s="2302"/>
      <c r="Q304" s="2302"/>
      <c r="R304" s="2302"/>
      <c r="S304" s="1821"/>
      <c r="T304" s="1777"/>
      <c r="U304" s="1803"/>
      <c r="V304" s="1803"/>
      <c r="W304" s="1972"/>
    </row>
    <row r="305" spans="1:23">
      <c r="A305" s="1821"/>
      <c r="B305" s="1821" t="s">
        <v>7061</v>
      </c>
      <c r="C305" s="1821"/>
      <c r="D305" s="1821"/>
      <c r="E305" s="1821"/>
      <c r="F305" s="1821"/>
      <c r="G305" s="1862"/>
      <c r="H305" s="1862"/>
      <c r="I305" s="1970"/>
      <c r="J305" s="1970"/>
      <c r="K305" s="1970"/>
      <c r="L305" s="1970"/>
      <c r="M305" s="1970"/>
      <c r="N305" s="1970"/>
      <c r="O305" s="1970"/>
      <c r="P305" s="1970"/>
      <c r="Q305" s="1970"/>
      <c r="R305" s="1970"/>
      <c r="S305" s="1821"/>
      <c r="T305" s="1777"/>
      <c r="U305" s="1803"/>
      <c r="V305" s="1803"/>
      <c r="W305" s="1972"/>
    </row>
    <row r="306" spans="1:23">
      <c r="A306" s="1821"/>
      <c r="B306" s="1920" t="s">
        <v>2241</v>
      </c>
      <c r="C306" s="1920"/>
      <c r="D306" s="1920"/>
      <c r="E306" s="1920"/>
      <c r="F306" s="1920"/>
      <c r="G306" s="1921"/>
      <c r="H306" s="1922">
        <f t="shared" ref="H306:I306" si="309">H307</f>
        <v>0.87049999999999994</v>
      </c>
      <c r="I306" s="1922">
        <f t="shared" si="309"/>
        <v>0.87049999999999994</v>
      </c>
      <c r="J306" s="1922">
        <f>J307</f>
        <v>0.86</v>
      </c>
      <c r="K306" s="1922">
        <f>K307</f>
        <v>0.87</v>
      </c>
      <c r="L306" s="1922">
        <f t="shared" ref="L306:R306" si="310">+L307</f>
        <v>0.67545999999999995</v>
      </c>
      <c r="M306" s="1922">
        <f t="shared" si="310"/>
        <v>0.45</v>
      </c>
      <c r="N306" s="1922">
        <f t="shared" si="310"/>
        <v>0.03</v>
      </c>
      <c r="O306" s="1922">
        <f t="shared" si="310"/>
        <v>0</v>
      </c>
      <c r="P306" s="1922">
        <f t="shared" si="310"/>
        <v>0</v>
      </c>
      <c r="Q306" s="1922">
        <f t="shared" si="310"/>
        <v>0</v>
      </c>
      <c r="R306" s="1922">
        <f t="shared" si="310"/>
        <v>0</v>
      </c>
      <c r="S306" s="1821"/>
      <c r="T306" s="1777"/>
      <c r="U306" s="1803"/>
      <c r="V306" s="1803"/>
      <c r="W306" s="1972"/>
    </row>
    <row r="307" spans="1:23">
      <c r="A307" s="1821"/>
      <c r="B307" s="1923" t="s">
        <v>2240</v>
      </c>
      <c r="C307" s="1923"/>
      <c r="D307" s="1923"/>
      <c r="E307" s="1923"/>
      <c r="F307" s="1923"/>
      <c r="G307" s="1924"/>
      <c r="H307" s="1925">
        <v>0.87049999999999994</v>
      </c>
      <c r="I307" s="1925">
        <v>0.87049999999999994</v>
      </c>
      <c r="J307" s="1925">
        <v>0.86</v>
      </c>
      <c r="K307" s="1925">
        <v>0.87</v>
      </c>
      <c r="L307" s="1925">
        <v>0.67545999999999995</v>
      </c>
      <c r="M307" s="1925">
        <v>0.45</v>
      </c>
      <c r="N307" s="1925">
        <v>0.03</v>
      </c>
      <c r="O307" s="1925">
        <v>0</v>
      </c>
      <c r="P307" s="1925">
        <v>0</v>
      </c>
      <c r="Q307" s="1925">
        <v>0</v>
      </c>
      <c r="R307" s="1925">
        <v>0</v>
      </c>
      <c r="S307" s="1821"/>
      <c r="T307" s="1777"/>
      <c r="U307" s="1803"/>
      <c r="V307" s="1803"/>
      <c r="W307" s="1972"/>
    </row>
    <row r="308" spans="1:23">
      <c r="A308" s="1821"/>
      <c r="B308" s="1926" t="s">
        <v>2239</v>
      </c>
      <c r="C308" s="1926"/>
      <c r="D308" s="1926"/>
      <c r="E308" s="1926"/>
      <c r="F308" s="1926"/>
      <c r="G308" s="1927"/>
      <c r="H308" s="1928">
        <f t="shared" ref="H308:I308" si="311">H307</f>
        <v>0.87049999999999994</v>
      </c>
      <c r="I308" s="1928">
        <f t="shared" si="311"/>
        <v>0.87049999999999994</v>
      </c>
      <c r="J308" s="1928">
        <f>J307</f>
        <v>0.86</v>
      </c>
      <c r="K308" s="1928">
        <f>K307</f>
        <v>0.87</v>
      </c>
      <c r="L308" s="1928">
        <f>+L307</f>
        <v>0.67545999999999995</v>
      </c>
      <c r="M308" s="1928">
        <f>+M307</f>
        <v>0.45</v>
      </c>
      <c r="N308" s="1928">
        <f>+N307</f>
        <v>0.03</v>
      </c>
      <c r="O308" s="1928">
        <f t="shared" ref="O308:Q308" si="312">+O307</f>
        <v>0</v>
      </c>
      <c r="P308" s="1928">
        <f t="shared" si="312"/>
        <v>0</v>
      </c>
      <c r="Q308" s="1928">
        <f t="shared" si="312"/>
        <v>0</v>
      </c>
      <c r="R308" s="1928">
        <f t="shared" ref="R308" si="313">+R307</f>
        <v>0</v>
      </c>
      <c r="S308" s="1821"/>
      <c r="T308" s="1777"/>
      <c r="U308" s="1803"/>
      <c r="V308" s="1842"/>
      <c r="W308" s="1972"/>
    </row>
    <row r="309" spans="1:23">
      <c r="A309" s="1821"/>
      <c r="B309" s="1821"/>
      <c r="C309" s="1821"/>
      <c r="D309" s="1821"/>
      <c r="E309" s="1821"/>
      <c r="F309" s="1821"/>
      <c r="G309" s="1862"/>
      <c r="H309" s="1868"/>
      <c r="I309" s="1862"/>
      <c r="J309" s="1862"/>
      <c r="K309" s="1862"/>
      <c r="L309" s="1862"/>
      <c r="M309" s="1862"/>
      <c r="N309" s="1862"/>
      <c r="O309" s="1862"/>
      <c r="P309" s="1862"/>
      <c r="Q309" s="1862"/>
      <c r="R309" s="1862"/>
      <c r="S309" s="1821"/>
      <c r="T309" s="1777"/>
      <c r="U309" s="1803"/>
      <c r="V309" s="1579"/>
      <c r="W309" s="1972"/>
    </row>
    <row r="310" spans="1:23">
      <c r="A310" s="1821"/>
      <c r="B310" s="1821" t="s">
        <v>7062</v>
      </c>
      <c r="C310" s="1821"/>
      <c r="D310" s="1821"/>
      <c r="E310" s="1821"/>
      <c r="F310" s="1821"/>
      <c r="G310" s="1862"/>
      <c r="H310" s="1868"/>
      <c r="I310" s="1862"/>
      <c r="J310" s="1862"/>
      <c r="K310" s="1862"/>
      <c r="L310" s="1862"/>
      <c r="M310" s="1862"/>
      <c r="N310" s="1862"/>
      <c r="O310" s="1862"/>
      <c r="P310" s="1862"/>
      <c r="Q310" s="1862"/>
      <c r="R310" s="1862"/>
      <c r="S310" s="1862"/>
    </row>
    <row r="311" spans="1:23">
      <c r="A311" s="1821"/>
      <c r="B311" s="1920" t="s">
        <v>2241</v>
      </c>
      <c r="C311" s="1920"/>
      <c r="D311" s="1920"/>
      <c r="E311" s="1920"/>
      <c r="F311" s="1920"/>
      <c r="G311" s="1921"/>
      <c r="H311" s="1922">
        <f t="shared" ref="H311:I311" si="314">+H312</f>
        <v>0.76999999999999991</v>
      </c>
      <c r="I311" s="1922">
        <f t="shared" si="314"/>
        <v>0.76999999999999991</v>
      </c>
      <c r="J311" s="1922">
        <f>+J312</f>
        <v>0.87</v>
      </c>
      <c r="K311" s="1922">
        <f>K312</f>
        <v>0.92</v>
      </c>
      <c r="L311" s="1922">
        <f>+L312+2%</f>
        <v>0.94000000000000006</v>
      </c>
      <c r="M311" s="1922">
        <f t="shared" ref="M311:P311" si="315">+M312+2%</f>
        <v>0.92</v>
      </c>
      <c r="N311" s="1922">
        <f t="shared" si="315"/>
        <v>0.91250000000000009</v>
      </c>
      <c r="O311" s="1922">
        <f t="shared" si="315"/>
        <v>0.90750000000000008</v>
      </c>
      <c r="P311" s="1922">
        <f t="shared" si="315"/>
        <v>0.90750000000000008</v>
      </c>
      <c r="Q311" s="1922">
        <f>+Q312+1%</f>
        <v>0.89750000000000008</v>
      </c>
      <c r="R311" s="1922">
        <f>+R312+0.005</f>
        <v>0.89250000000000007</v>
      </c>
      <c r="S311" s="1821"/>
      <c r="V311" s="1578"/>
    </row>
    <row r="312" spans="1:23">
      <c r="A312" s="1821"/>
      <c r="B312" s="1923" t="s">
        <v>2240</v>
      </c>
      <c r="C312" s="1923"/>
      <c r="D312" s="1923"/>
      <c r="E312" s="1923"/>
      <c r="F312" s="1923"/>
      <c r="G312" s="1924"/>
      <c r="H312" s="1925">
        <v>0.76999999999999991</v>
      </c>
      <c r="I312" s="1925">
        <v>0.76999999999999991</v>
      </c>
      <c r="J312" s="1925">
        <v>0.87</v>
      </c>
      <c r="K312" s="1925">
        <v>0.92</v>
      </c>
      <c r="L312" s="1925">
        <f>K312</f>
        <v>0.92</v>
      </c>
      <c r="M312" s="1925">
        <f>L312-0.02</f>
        <v>0.9</v>
      </c>
      <c r="N312" s="2102">
        <f>M312-0.0075</f>
        <v>0.89250000000000007</v>
      </c>
      <c r="O312" s="2102">
        <f>N312-0.005</f>
        <v>0.88750000000000007</v>
      </c>
      <c r="P312" s="2102">
        <f t="shared" ref="P312:R312" si="316">O312</f>
        <v>0.88750000000000007</v>
      </c>
      <c r="Q312" s="2102">
        <f t="shared" si="316"/>
        <v>0.88750000000000007</v>
      </c>
      <c r="R312" s="2102">
        <f t="shared" si="316"/>
        <v>0.88750000000000007</v>
      </c>
      <c r="S312" s="1821"/>
    </row>
    <row r="313" spans="1:23">
      <c r="A313" s="1821"/>
      <c r="B313" s="1926" t="s">
        <v>2239</v>
      </c>
      <c r="C313" s="1926"/>
      <c r="D313" s="1926"/>
      <c r="E313" s="1926"/>
      <c r="F313" s="1926"/>
      <c r="G313" s="1927"/>
      <c r="H313" s="1928">
        <f t="shared" ref="H313:I313" si="317">+H312</f>
        <v>0.76999999999999991</v>
      </c>
      <c r="I313" s="1928">
        <f t="shared" si="317"/>
        <v>0.76999999999999991</v>
      </c>
      <c r="J313" s="1928">
        <f>+J312</f>
        <v>0.87</v>
      </c>
      <c r="K313" s="1928">
        <f>K312</f>
        <v>0.92</v>
      </c>
      <c r="L313" s="1928">
        <f>L312-0.01</f>
        <v>0.91</v>
      </c>
      <c r="M313" s="1928">
        <f t="shared" ref="M313:Q313" si="318">M312-0.01</f>
        <v>0.89</v>
      </c>
      <c r="N313" s="1928">
        <f t="shared" si="318"/>
        <v>0.88250000000000006</v>
      </c>
      <c r="O313" s="1928">
        <f t="shared" si="318"/>
        <v>0.87750000000000006</v>
      </c>
      <c r="P313" s="1928">
        <f t="shared" si="318"/>
        <v>0.87750000000000006</v>
      </c>
      <c r="Q313" s="1928">
        <f t="shared" si="318"/>
        <v>0.87750000000000006</v>
      </c>
      <c r="R313" s="1928">
        <f>R312-0.005</f>
        <v>0.88250000000000006</v>
      </c>
      <c r="S313" s="1821"/>
    </row>
    <row r="314" spans="1:23">
      <c r="A314" s="1821"/>
      <c r="B314" s="1821"/>
      <c r="C314" s="1821"/>
      <c r="D314" s="1821"/>
      <c r="E314" s="1821"/>
      <c r="F314" s="1821"/>
      <c r="G314" s="1862"/>
      <c r="H314" s="1868"/>
      <c r="I314" s="1862"/>
      <c r="J314" s="1862"/>
      <c r="K314" s="1862"/>
      <c r="L314" s="1862"/>
      <c r="M314" s="1862"/>
      <c r="N314" s="1862"/>
      <c r="O314" s="1862"/>
      <c r="P314" s="1862"/>
      <c r="Q314" s="1950"/>
      <c r="R314" s="1950"/>
      <c r="S314" s="1821"/>
    </row>
    <row r="315" spans="1:23">
      <c r="A315" s="1821"/>
      <c r="B315" s="1821" t="s">
        <v>7063</v>
      </c>
      <c r="C315" s="1821"/>
      <c r="D315" s="1821"/>
      <c r="E315" s="1821"/>
      <c r="F315" s="1821"/>
      <c r="G315" s="1862"/>
      <c r="H315" s="1868"/>
      <c r="I315" s="1862"/>
      <c r="J315" s="1862"/>
      <c r="K315" s="1862"/>
      <c r="L315" s="1862"/>
      <c r="M315" s="1862"/>
      <c r="N315" s="1862"/>
      <c r="O315" s="1862"/>
      <c r="P315" s="1862"/>
      <c r="Q315" s="1862"/>
      <c r="R315" s="1862"/>
      <c r="S315" s="1821"/>
    </row>
    <row r="316" spans="1:23">
      <c r="A316" s="1821"/>
      <c r="B316" s="1920" t="s">
        <v>2241</v>
      </c>
      <c r="C316" s="1920"/>
      <c r="D316" s="1920"/>
      <c r="E316" s="1920"/>
      <c r="F316" s="1920"/>
      <c r="G316" s="1921"/>
      <c r="H316" s="1922"/>
      <c r="I316" s="1922">
        <f>I317</f>
        <v>7.6999999999999999E-2</v>
      </c>
      <c r="J316" s="1922">
        <f>J317</f>
        <v>7.0000000000000007E-2</v>
      </c>
      <c r="K316" s="1922">
        <f>K317</f>
        <v>0.156</v>
      </c>
      <c r="L316" s="1922">
        <f>+L317+2.5%</f>
        <v>0.13486999999999999</v>
      </c>
      <c r="M316" s="1922">
        <f>+M317+5%</f>
        <v>0.1</v>
      </c>
      <c r="N316" s="1922">
        <f>+N317+1%</f>
        <v>0.04</v>
      </c>
      <c r="O316" s="1922">
        <f t="shared" ref="O316:R316" si="319">+O317+1%</f>
        <v>0.03</v>
      </c>
      <c r="P316" s="1922">
        <f t="shared" si="319"/>
        <v>0.02</v>
      </c>
      <c r="Q316" s="1922">
        <f t="shared" si="319"/>
        <v>0.02</v>
      </c>
      <c r="R316" s="1922">
        <f t="shared" si="319"/>
        <v>0.02</v>
      </c>
      <c r="S316" s="1821"/>
    </row>
    <row r="317" spans="1:23">
      <c r="A317" s="1821"/>
      <c r="B317" s="1923" t="s">
        <v>2240</v>
      </c>
      <c r="C317" s="1923"/>
      <c r="D317" s="1923"/>
      <c r="E317" s="1923"/>
      <c r="F317" s="1923"/>
      <c r="G317" s="1924"/>
      <c r="H317" s="1925"/>
      <c r="I317" s="1925">
        <v>7.6999999999999999E-2</v>
      </c>
      <c r="J317" s="1925">
        <v>7.0000000000000007E-2</v>
      </c>
      <c r="K317" s="1925">
        <v>0.156</v>
      </c>
      <c r="L317" s="1925">
        <v>0.10987</v>
      </c>
      <c r="M317" s="1925">
        <v>0.05</v>
      </c>
      <c r="N317" s="1925">
        <v>0.03</v>
      </c>
      <c r="O317" s="1925">
        <v>0.02</v>
      </c>
      <c r="P317" s="1925">
        <v>0.01</v>
      </c>
      <c r="Q317" s="1925">
        <v>0.01</v>
      </c>
      <c r="R317" s="1925">
        <v>0.01</v>
      </c>
      <c r="S317" s="1821"/>
    </row>
    <row r="318" spans="1:23">
      <c r="A318" s="1821"/>
      <c r="B318" s="1926" t="s">
        <v>2239</v>
      </c>
      <c r="C318" s="1926"/>
      <c r="D318" s="1926"/>
      <c r="E318" s="1926"/>
      <c r="F318" s="1926"/>
      <c r="G318" s="1927"/>
      <c r="H318" s="1928"/>
      <c r="I318" s="1928">
        <f>I317</f>
        <v>7.6999999999999999E-2</v>
      </c>
      <c r="J318" s="1928">
        <f>J317</f>
        <v>7.0000000000000007E-2</v>
      </c>
      <c r="K318" s="1928">
        <f>+K317</f>
        <v>0.156</v>
      </c>
      <c r="L318" s="2091">
        <f>L317-5%</f>
        <v>5.9869999999999993E-2</v>
      </c>
      <c r="M318" s="2091">
        <v>-0.2</v>
      </c>
      <c r="N318" s="1928">
        <f>N317-2%</f>
        <v>9.9999999999999985E-3</v>
      </c>
      <c r="O318" s="1928">
        <f>O317-2%</f>
        <v>0</v>
      </c>
      <c r="P318" s="1928">
        <f>P317-1%</f>
        <v>0</v>
      </c>
      <c r="Q318" s="1928">
        <f>Q317</f>
        <v>0.01</v>
      </c>
      <c r="R318" s="1928">
        <f>R317</f>
        <v>0.01</v>
      </c>
      <c r="S318" s="1821"/>
    </row>
    <row r="319" spans="1:23">
      <c r="A319" s="1824"/>
      <c r="B319" s="1821"/>
      <c r="C319" s="1821"/>
      <c r="D319" s="1821"/>
      <c r="E319" s="1821"/>
      <c r="F319" s="1821"/>
      <c r="G319" s="1862"/>
      <c r="H319" s="1868"/>
      <c r="I319" s="1862"/>
      <c r="J319" s="1862"/>
      <c r="K319" s="1862"/>
      <c r="L319" s="1862"/>
      <c r="M319" s="1862"/>
      <c r="N319" s="1862"/>
      <c r="O319" s="1862"/>
      <c r="P319" s="1862"/>
      <c r="Q319" s="1862"/>
      <c r="R319" s="1862"/>
      <c r="S319" s="1821"/>
    </row>
    <row r="320" spans="1:23">
      <c r="A320" s="1821"/>
      <c r="B320" s="1821" t="s">
        <v>7064</v>
      </c>
      <c r="C320" s="1821"/>
      <c r="D320" s="1821"/>
      <c r="E320" s="1821"/>
      <c r="F320" s="1821"/>
      <c r="G320" s="1862"/>
      <c r="H320" s="1868"/>
      <c r="I320" s="1862"/>
      <c r="J320" s="1862"/>
      <c r="K320" s="1862"/>
      <c r="L320" s="1862"/>
      <c r="M320" s="1862"/>
      <c r="N320" s="1862"/>
      <c r="O320" s="1862"/>
      <c r="P320" s="1862"/>
      <c r="Q320" s="1862"/>
      <c r="R320" s="1862"/>
      <c r="S320" s="1821"/>
    </row>
    <row r="321" spans="1:23">
      <c r="A321" s="1842"/>
      <c r="B321" s="1920" t="s">
        <v>2241</v>
      </c>
      <c r="C321" s="1920"/>
      <c r="D321" s="1920"/>
      <c r="E321" s="1920"/>
      <c r="F321" s="1920"/>
      <c r="G321" s="1921"/>
      <c r="H321" s="1968">
        <f t="shared" ref="H321:I321" si="320">H322</f>
        <v>2.1668597914252574E-2</v>
      </c>
      <c r="I321" s="1968">
        <f t="shared" si="320"/>
        <v>0.20778042418056031</v>
      </c>
      <c r="J321" s="1968">
        <f>J322</f>
        <v>4.3947788524744125E-2</v>
      </c>
      <c r="K321" s="1968">
        <f>+K322</f>
        <v>-3.0089052802015015E-2</v>
      </c>
      <c r="L321" s="1968">
        <f>+L322-1%</f>
        <v>-4.3890563412938201E-3</v>
      </c>
      <c r="M321" s="1968">
        <f t="shared" ref="M321" si="321">+M322-1%</f>
        <v>-4.1937741428798268E-4</v>
      </c>
      <c r="N321" s="1968">
        <f>+N322-6%</f>
        <v>-4.5840662795941067E-2</v>
      </c>
      <c r="O321" s="1968">
        <f>+O322</f>
        <v>7.3599677043227896E-2</v>
      </c>
      <c r="P321" s="1968">
        <f>+P322</f>
        <v>8.2000000000000003E-2</v>
      </c>
      <c r="Q321" s="1968">
        <f>+Q322</f>
        <v>9.1999999999999998E-2</v>
      </c>
      <c r="R321" s="1968">
        <f>+R322-0.015</f>
        <v>7.0000000000000007E-2</v>
      </c>
      <c r="S321" s="1862"/>
    </row>
    <row r="322" spans="1:23">
      <c r="A322" s="1821"/>
      <c r="B322" s="1923" t="s">
        <v>2240</v>
      </c>
      <c r="C322" s="1923"/>
      <c r="D322" s="1923"/>
      <c r="E322" s="1923"/>
      <c r="F322" s="1923"/>
      <c r="G322" s="1924"/>
      <c r="H322" s="1969">
        <f>Model!DE82</f>
        <v>2.1668597914252574E-2</v>
      </c>
      <c r="I322" s="1969">
        <f>Model!DK82</f>
        <v>0.20778042418056031</v>
      </c>
      <c r="J322" s="1969">
        <f>Model!DQ82</f>
        <v>4.3947788524744125E-2</v>
      </c>
      <c r="K322" s="1969">
        <f>Model!DW82</f>
        <v>-3.0089052802015015E-2</v>
      </c>
      <c r="L322" s="1969">
        <f>Model!EC82</f>
        <v>5.6109436587061801E-3</v>
      </c>
      <c r="M322" s="1969">
        <f>Model!EI82</f>
        <v>9.5806225857120175E-3</v>
      </c>
      <c r="N322" s="1969">
        <f>Model!EO82</f>
        <v>1.415933720405893E-2</v>
      </c>
      <c r="O322" s="1969">
        <f>Model!EU82</f>
        <v>7.3599677043227896E-2</v>
      </c>
      <c r="P322" s="1969">
        <v>8.2000000000000003E-2</v>
      </c>
      <c r="Q322" s="1969">
        <v>9.1999999999999998E-2</v>
      </c>
      <c r="R322" s="1969">
        <v>8.5000000000000006E-2</v>
      </c>
      <c r="S322" s="1862"/>
      <c r="T322" s="1788"/>
    </row>
    <row r="323" spans="1:23">
      <c r="A323" s="1821"/>
      <c r="B323" s="1926" t="s">
        <v>2239</v>
      </c>
      <c r="C323" s="1926"/>
      <c r="D323" s="1926"/>
      <c r="E323" s="1926"/>
      <c r="F323" s="1926"/>
      <c r="G323" s="1927"/>
      <c r="H323" s="1967">
        <f t="shared" ref="H323:I323" si="322">H322</f>
        <v>2.1668597914252574E-2</v>
      </c>
      <c r="I323" s="1967">
        <f t="shared" si="322"/>
        <v>0.20778042418056031</v>
      </c>
      <c r="J323" s="1967">
        <f>J322</f>
        <v>4.3947788524744125E-2</v>
      </c>
      <c r="K323" s="1967">
        <f>K322</f>
        <v>-3.0089052802015015E-2</v>
      </c>
      <c r="L323" s="1967">
        <f>L322+1%</f>
        <v>1.561094365870618E-2</v>
      </c>
      <c r="M323" s="1967">
        <f t="shared" ref="M323" si="323">M322+1%</f>
        <v>1.9580622585712019E-2</v>
      </c>
      <c r="N323" s="1967">
        <f>N322+0.01</f>
        <v>2.4159337204058932E-2</v>
      </c>
      <c r="O323" s="1967">
        <f>O322+0.07</f>
        <v>0.1435996770432279</v>
      </c>
      <c r="P323" s="1967">
        <f>P322+0.015</f>
        <v>9.7000000000000003E-2</v>
      </c>
      <c r="Q323" s="1967">
        <f>Q322</f>
        <v>9.1999999999999998E-2</v>
      </c>
      <c r="R323" s="1967">
        <f>R322</f>
        <v>8.5000000000000006E-2</v>
      </c>
      <c r="S323" s="1862"/>
    </row>
    <row r="324" spans="1:23">
      <c r="A324" s="1821"/>
      <c r="B324" s="1821"/>
      <c r="C324" s="1821"/>
      <c r="D324" s="1821"/>
      <c r="E324" s="1821"/>
      <c r="F324" s="1821"/>
      <c r="G324" s="1862"/>
      <c r="H324" s="1868"/>
      <c r="I324" s="1862"/>
      <c r="J324" s="1862"/>
      <c r="K324" s="1862"/>
      <c r="L324" s="1862"/>
      <c r="M324" s="1862"/>
      <c r="N324" s="1862"/>
      <c r="O324" s="1842"/>
      <c r="P324" s="1842"/>
      <c r="Q324" s="1842"/>
      <c r="R324" s="1842"/>
      <c r="S324" s="1862"/>
      <c r="T324" s="1862"/>
    </row>
    <row r="325" spans="1:23">
      <c r="A325" s="1821"/>
      <c r="B325" s="1821" t="s">
        <v>7118</v>
      </c>
      <c r="C325" s="1821"/>
      <c r="D325" s="1821"/>
      <c r="E325" s="1821"/>
      <c r="F325" s="1821"/>
      <c r="G325" s="1862"/>
      <c r="H325" s="1868"/>
      <c r="I325" s="1862"/>
      <c r="J325" s="1862"/>
      <c r="K325" s="1862"/>
      <c r="L325" s="1862"/>
      <c r="M325" s="1862"/>
      <c r="N325" s="1862"/>
      <c r="O325" s="1862"/>
      <c r="P325" s="1862"/>
      <c r="Q325" s="1862"/>
      <c r="R325" s="1862"/>
      <c r="S325" s="1862"/>
      <c r="T325" s="1862"/>
    </row>
    <row r="326" spans="1:23">
      <c r="A326" s="1821"/>
      <c r="B326" s="1920" t="s">
        <v>2241</v>
      </c>
      <c r="C326" s="1920"/>
      <c r="D326" s="1920"/>
      <c r="E326" s="1920"/>
      <c r="F326" s="1920"/>
      <c r="G326" s="1921"/>
      <c r="H326" s="1968"/>
      <c r="I326" s="1968"/>
      <c r="J326" s="1968"/>
      <c r="K326" s="1968">
        <f>+K327+10%</f>
        <v>0.9</v>
      </c>
      <c r="L326" s="1968">
        <f t="shared" ref="L326:Q326" si="324">+L327+10%</f>
        <v>0.9</v>
      </c>
      <c r="M326" s="1968">
        <f t="shared" si="324"/>
        <v>0.9</v>
      </c>
      <c r="N326" s="1968">
        <f t="shared" si="324"/>
        <v>0.9</v>
      </c>
      <c r="O326" s="1968">
        <f t="shared" si="324"/>
        <v>0.85</v>
      </c>
      <c r="P326" s="1968">
        <f t="shared" si="324"/>
        <v>0.79999999999999993</v>
      </c>
      <c r="Q326" s="1968">
        <f t="shared" si="324"/>
        <v>0.7</v>
      </c>
      <c r="R326" s="1968">
        <f>+R327+0.05</f>
        <v>0.6</v>
      </c>
      <c r="S326" s="1862"/>
      <c r="T326" s="1862"/>
    </row>
    <row r="327" spans="1:23">
      <c r="A327" s="1821"/>
      <c r="B327" s="1923" t="s">
        <v>2240</v>
      </c>
      <c r="C327" s="1923"/>
      <c r="D327" s="1923"/>
      <c r="E327" s="1923"/>
      <c r="F327" s="1923"/>
      <c r="G327" s="1924"/>
      <c r="H327" s="1969"/>
      <c r="I327" s="1969"/>
      <c r="J327" s="1969"/>
      <c r="K327" s="1969">
        <v>0.8</v>
      </c>
      <c r="L327" s="1969">
        <f>K327</f>
        <v>0.8</v>
      </c>
      <c r="M327" s="1969">
        <v>0.8</v>
      </c>
      <c r="N327" s="1969">
        <f t="shared" ref="N327" si="325">M327</f>
        <v>0.8</v>
      </c>
      <c r="O327" s="1969">
        <v>0.75</v>
      </c>
      <c r="P327" s="1969">
        <f>O327-0.05</f>
        <v>0.7</v>
      </c>
      <c r="Q327" s="1969">
        <f>P327-0.1</f>
        <v>0.6</v>
      </c>
      <c r="R327" s="1969">
        <f>Q327-0.05</f>
        <v>0.54999999999999993</v>
      </c>
      <c r="S327" s="1862"/>
      <c r="T327" s="1862"/>
    </row>
    <row r="328" spans="1:23">
      <c r="A328" s="1821"/>
      <c r="B328" s="1926" t="s">
        <v>2239</v>
      </c>
      <c r="C328" s="1926"/>
      <c r="D328" s="1926"/>
      <c r="E328" s="1926"/>
      <c r="F328" s="1926"/>
      <c r="G328" s="1927"/>
      <c r="H328" s="1967"/>
      <c r="I328" s="1967"/>
      <c r="J328" s="1967"/>
      <c r="K328" s="1967">
        <f>K327-10%</f>
        <v>0.70000000000000007</v>
      </c>
      <c r="L328" s="1967">
        <f t="shared" ref="L328:P328" si="326">L327-10%</f>
        <v>0.70000000000000007</v>
      </c>
      <c r="M328" s="1967">
        <f t="shared" si="326"/>
        <v>0.70000000000000007</v>
      </c>
      <c r="N328" s="1967">
        <f t="shared" si="326"/>
        <v>0.70000000000000007</v>
      </c>
      <c r="O328" s="1967">
        <f t="shared" si="326"/>
        <v>0.65</v>
      </c>
      <c r="P328" s="1967">
        <f t="shared" si="326"/>
        <v>0.6</v>
      </c>
      <c r="Q328" s="1967">
        <f>Q327-5%</f>
        <v>0.54999999999999993</v>
      </c>
      <c r="R328" s="1967">
        <f>R327-5%</f>
        <v>0.49999999999999994</v>
      </c>
      <c r="S328" s="1886"/>
      <c r="T328" s="1886"/>
      <c r="U328" s="1886"/>
      <c r="V328" s="1886"/>
    </row>
    <row r="329" spans="1:23">
      <c r="A329" s="1821"/>
      <c r="B329" s="1886"/>
      <c r="C329" s="1886"/>
      <c r="D329" s="1886"/>
      <c r="E329" s="1886"/>
      <c r="F329" s="1886"/>
      <c r="G329" s="1886"/>
      <c r="H329" s="1886"/>
      <c r="I329" s="1886"/>
      <c r="J329" s="1886"/>
      <c r="K329" s="1886"/>
      <c r="L329" s="1886"/>
      <c r="M329" s="1886"/>
      <c r="N329" s="1886"/>
      <c r="O329" s="1886"/>
      <c r="P329" s="1886"/>
      <c r="Q329" s="1886"/>
      <c r="R329" s="1886"/>
      <c r="S329" s="1886"/>
      <c r="T329" s="1886"/>
      <c r="U329" s="1886"/>
      <c r="V329" s="1886"/>
      <c r="W329" s="1886"/>
    </row>
    <row r="330" spans="1:23">
      <c r="A330" s="1821"/>
      <c r="B330" s="1886"/>
      <c r="C330" s="1886"/>
      <c r="D330" s="1886"/>
      <c r="E330" s="1886"/>
      <c r="F330" s="1886"/>
      <c r="G330" s="1886"/>
      <c r="H330" s="1886"/>
      <c r="I330" s="1886"/>
      <c r="J330" s="1886"/>
      <c r="K330" s="1886"/>
      <c r="L330" s="1886"/>
      <c r="M330" s="1886"/>
      <c r="N330" s="1886"/>
      <c r="O330" s="1886"/>
      <c r="P330" s="1886"/>
      <c r="Q330" s="1886"/>
      <c r="R330" s="1886"/>
      <c r="S330" s="1886"/>
      <c r="T330" s="1886"/>
      <c r="U330" s="1886"/>
      <c r="V330" s="1886"/>
    </row>
    <row r="331" spans="1:23">
      <c r="A331" s="1821"/>
      <c r="B331" s="1886"/>
      <c r="C331" s="1886"/>
      <c r="D331" s="1886"/>
      <c r="E331" s="1886"/>
      <c r="F331" s="1886"/>
      <c r="G331" s="1886"/>
      <c r="H331" s="1886"/>
      <c r="I331" s="1886"/>
      <c r="J331" s="1886"/>
      <c r="K331" s="1886"/>
      <c r="L331" s="1886"/>
      <c r="M331" s="1886"/>
      <c r="N331" s="1886"/>
      <c r="O331" s="1886"/>
      <c r="P331" s="1886"/>
      <c r="Q331" s="1886"/>
      <c r="R331" s="1886"/>
      <c r="S331" s="1886"/>
      <c r="T331" s="1886"/>
      <c r="U331" s="1886"/>
      <c r="V331" s="1886"/>
    </row>
    <row r="332" spans="1:23">
      <c r="A332" s="1821"/>
      <c r="B332" s="1886"/>
      <c r="C332" s="1886"/>
      <c r="D332" s="1886"/>
      <c r="E332" s="1886"/>
      <c r="F332" s="1886"/>
      <c r="G332" s="1886"/>
      <c r="H332" s="1886"/>
      <c r="I332" s="1886"/>
      <c r="J332" s="1886"/>
      <c r="K332" s="1886"/>
      <c r="L332" s="1886"/>
      <c r="M332" s="1886"/>
      <c r="N332" s="1886"/>
      <c r="O332" s="1886"/>
      <c r="P332" s="1886"/>
      <c r="Q332" s="1886"/>
      <c r="R332" s="1886"/>
      <c r="S332" s="1886"/>
      <c r="T332" s="1886"/>
      <c r="U332" s="1886"/>
      <c r="V332" s="1886"/>
    </row>
    <row r="333" spans="1:23">
      <c r="A333" s="1821"/>
      <c r="B333" s="1886"/>
      <c r="C333" s="1886"/>
      <c r="D333" s="1886"/>
      <c r="E333" s="1886"/>
      <c r="F333" s="1886"/>
      <c r="G333" s="1886"/>
      <c r="H333" s="1886"/>
      <c r="I333" s="1886"/>
      <c r="J333" s="1886"/>
      <c r="K333" s="1886"/>
      <c r="L333" s="1886"/>
      <c r="M333" s="1886"/>
      <c r="N333" s="1886"/>
      <c r="O333" s="1886"/>
      <c r="P333" s="1886"/>
      <c r="Q333" s="1886"/>
      <c r="R333" s="1886"/>
      <c r="S333" s="1886"/>
      <c r="T333" s="1886"/>
      <c r="U333" s="1886"/>
      <c r="V333" s="1886"/>
    </row>
    <row r="334" spans="1:23">
      <c r="A334" s="1821"/>
      <c r="B334" s="1886"/>
      <c r="C334" s="1886"/>
      <c r="D334" s="1886"/>
      <c r="E334" s="1886"/>
      <c r="F334" s="1886"/>
      <c r="G334" s="1886"/>
      <c r="H334" s="1886"/>
      <c r="I334" s="1886"/>
      <c r="J334" s="1886"/>
      <c r="K334" s="1886"/>
      <c r="L334" s="1886"/>
      <c r="M334" s="1886"/>
      <c r="N334" s="1886"/>
      <c r="O334" s="1886"/>
      <c r="P334" s="1886"/>
      <c r="Q334" s="1886"/>
      <c r="R334" s="1886"/>
      <c r="S334" s="1886"/>
      <c r="T334" s="1886"/>
      <c r="U334" s="1886"/>
      <c r="V334" s="1886"/>
    </row>
    <row r="335" spans="1:23">
      <c r="A335" s="1821"/>
      <c r="B335" s="1886"/>
      <c r="C335" s="1886"/>
      <c r="D335" s="1886"/>
      <c r="E335" s="1886"/>
      <c r="F335" s="1886"/>
      <c r="G335" s="1886"/>
      <c r="H335" s="1886"/>
      <c r="I335" s="1886"/>
      <c r="J335" s="1886"/>
      <c r="K335" s="1886"/>
      <c r="L335" s="1886"/>
      <c r="M335" s="1886"/>
      <c r="N335" s="1886"/>
      <c r="O335" s="1886"/>
      <c r="P335" s="1886"/>
      <c r="Q335" s="1886"/>
      <c r="R335" s="1886"/>
      <c r="S335" s="1886"/>
      <c r="T335" s="1886"/>
      <c r="U335" s="1886"/>
      <c r="V335" s="1886"/>
    </row>
    <row r="336" spans="1:23">
      <c r="A336" s="1821"/>
      <c r="B336" s="1886"/>
      <c r="C336" s="1886"/>
      <c r="D336" s="1886"/>
      <c r="E336" s="1886"/>
      <c r="F336" s="1886"/>
      <c r="G336" s="1886"/>
      <c r="H336" s="1886"/>
      <c r="I336" s="1886"/>
      <c r="J336" s="1886"/>
      <c r="K336" s="1886"/>
      <c r="L336" s="1886"/>
      <c r="M336" s="1886"/>
      <c r="N336" s="1886"/>
      <c r="O336" s="1886"/>
      <c r="P336" s="1886"/>
      <c r="Q336" s="1886"/>
      <c r="R336" s="1886"/>
      <c r="S336" s="1886"/>
      <c r="T336" s="1886"/>
      <c r="U336" s="1886"/>
      <c r="V336" s="1886"/>
    </row>
    <row r="337" spans="1:22">
      <c r="A337" s="1862"/>
      <c r="B337" s="1886"/>
      <c r="C337" s="1886"/>
      <c r="D337" s="1886"/>
      <c r="E337" s="1886"/>
      <c r="F337" s="1886"/>
      <c r="G337" s="1886"/>
      <c r="H337" s="1886"/>
      <c r="I337" s="1886"/>
      <c r="J337" s="1886"/>
      <c r="K337" s="1886"/>
      <c r="L337" s="1886"/>
      <c r="M337" s="1886"/>
      <c r="N337" s="1886"/>
      <c r="O337" s="1886"/>
      <c r="P337" s="1886"/>
      <c r="Q337" s="1886"/>
      <c r="R337" s="1886"/>
      <c r="S337" s="1886"/>
      <c r="T337" s="1886"/>
      <c r="U337" s="1886"/>
      <c r="V337" s="1886"/>
    </row>
    <row r="338" spans="1:22">
      <c r="A338" s="1821"/>
      <c r="B338" s="1886"/>
      <c r="C338" s="1886"/>
      <c r="D338" s="1886"/>
      <c r="E338" s="1886"/>
      <c r="F338" s="1886"/>
      <c r="G338" s="1886"/>
      <c r="H338" s="1886"/>
      <c r="I338" s="1886"/>
      <c r="J338" s="1886"/>
      <c r="K338" s="1886"/>
      <c r="L338" s="1886"/>
      <c r="M338" s="1886"/>
      <c r="N338" s="1886"/>
      <c r="O338" s="1886"/>
      <c r="P338" s="1886"/>
      <c r="Q338" s="1886"/>
      <c r="R338" s="1886"/>
      <c r="S338" s="1886"/>
      <c r="T338" s="1886"/>
      <c r="U338" s="1886"/>
      <c r="V338" s="1886"/>
    </row>
    <row r="339" spans="1:22">
      <c r="A339" s="1821"/>
      <c r="B339" s="1886"/>
      <c r="C339" s="1886"/>
      <c r="D339" s="1886"/>
      <c r="E339" s="1886"/>
      <c r="F339" s="1886"/>
      <c r="G339" s="1886"/>
      <c r="H339" s="1886"/>
      <c r="I339" s="1886"/>
      <c r="J339" s="1886"/>
      <c r="K339" s="1886"/>
      <c r="L339" s="1886"/>
      <c r="M339" s="1886"/>
      <c r="N339" s="1886"/>
      <c r="O339" s="1886"/>
      <c r="P339" s="1886"/>
      <c r="Q339" s="1886"/>
      <c r="R339" s="1886"/>
      <c r="S339" s="1886"/>
      <c r="T339" s="1886"/>
      <c r="U339" s="1886"/>
      <c r="V339" s="1886"/>
    </row>
    <row r="340" spans="1:22">
      <c r="A340" s="1821"/>
      <c r="B340" s="1886"/>
      <c r="C340" s="1886"/>
      <c r="D340" s="1886"/>
      <c r="E340" s="1886"/>
      <c r="F340" s="1886"/>
      <c r="G340" s="1886"/>
      <c r="H340" s="1886"/>
      <c r="I340" s="1886"/>
      <c r="J340" s="1886"/>
      <c r="K340" s="1886"/>
      <c r="L340" s="1886"/>
      <c r="M340" s="1886"/>
      <c r="N340" s="1886"/>
      <c r="O340" s="1886"/>
      <c r="P340" s="1886"/>
      <c r="Q340" s="1886"/>
      <c r="R340" s="1886"/>
      <c r="S340" s="1886"/>
      <c r="T340" s="1886"/>
      <c r="U340" s="1886"/>
      <c r="V340" s="1886"/>
    </row>
    <row r="341" spans="1:22">
      <c r="A341" s="1821"/>
      <c r="B341" s="1886"/>
      <c r="C341" s="1886"/>
      <c r="D341" s="1886"/>
      <c r="E341" s="1886"/>
      <c r="F341" s="1886"/>
      <c r="G341" s="1886"/>
      <c r="H341" s="1886"/>
      <c r="I341" s="1886"/>
      <c r="J341" s="1886"/>
      <c r="K341" s="1886"/>
      <c r="L341" s="1886"/>
      <c r="M341" s="1886"/>
      <c r="N341" s="1886"/>
      <c r="O341" s="1886"/>
      <c r="P341" s="1886"/>
      <c r="Q341" s="1886"/>
      <c r="R341" s="1886"/>
      <c r="S341" s="1886"/>
      <c r="T341" s="1886"/>
      <c r="U341" s="1886"/>
      <c r="V341" s="1886"/>
    </row>
    <row r="342" spans="1:22">
      <c r="A342" s="1842"/>
      <c r="B342" s="1886"/>
      <c r="C342" s="1886"/>
      <c r="D342" s="1886"/>
      <c r="E342" s="1886"/>
      <c r="F342" s="1886"/>
      <c r="G342" s="1886"/>
      <c r="H342" s="1886"/>
      <c r="I342" s="1886"/>
      <c r="J342" s="1886"/>
      <c r="K342" s="1886"/>
      <c r="L342" s="1886"/>
      <c r="M342" s="1886"/>
      <c r="N342" s="1886"/>
      <c r="O342" s="1886"/>
      <c r="P342" s="1886"/>
      <c r="Q342" s="1886"/>
      <c r="R342" s="1886"/>
      <c r="S342" s="1886"/>
      <c r="T342" s="1886"/>
      <c r="U342" s="1886"/>
      <c r="V342" s="1886"/>
    </row>
    <row r="343" spans="1:22">
      <c r="A343" s="1821"/>
      <c r="B343" s="1821"/>
      <c r="C343" s="1821"/>
      <c r="D343" s="1821"/>
      <c r="E343" s="1821"/>
      <c r="F343" s="1821"/>
      <c r="G343" s="1862"/>
      <c r="H343" s="1862"/>
      <c r="I343" s="1862"/>
      <c r="J343" s="1862"/>
      <c r="K343" s="1862"/>
      <c r="L343" s="1862"/>
      <c r="M343" s="1862"/>
      <c r="N343" s="1862"/>
      <c r="O343" s="1862"/>
      <c r="P343" s="1862"/>
      <c r="Q343" s="1862"/>
      <c r="R343" s="1862"/>
      <c r="S343" s="1862"/>
    </row>
    <row r="344" spans="1:22" ht="13.5" thickBot="1">
      <c r="A344" s="1821"/>
      <c r="B344" s="1821"/>
      <c r="C344" s="1821"/>
      <c r="D344" s="1821"/>
      <c r="E344" s="1821"/>
      <c r="F344" s="1821"/>
      <c r="G344" s="1862"/>
      <c r="H344" s="1862"/>
      <c r="I344" s="1862"/>
      <c r="J344" s="1862"/>
      <c r="K344" s="1862"/>
      <c r="L344" s="1862"/>
      <c r="M344" s="1862"/>
      <c r="N344" s="1862"/>
      <c r="O344" s="1862"/>
      <c r="P344" s="1862"/>
      <c r="Q344" s="1862"/>
      <c r="R344" s="1862"/>
      <c r="S344" s="1842"/>
    </row>
    <row r="345" spans="1:22" ht="13.5" thickBot="1">
      <c r="A345" s="1821"/>
      <c r="B345" s="1973" t="s">
        <v>7184</v>
      </c>
      <c r="C345" s="1826"/>
      <c r="D345" s="1826"/>
      <c r="E345" s="1826"/>
      <c r="F345" s="1826"/>
      <c r="G345" s="1974"/>
      <c r="H345" s="1974"/>
      <c r="I345" s="1974"/>
      <c r="J345" s="1975">
        <f t="shared" ref="J345:Q345" si="327">J4</f>
        <v>2584.180515897413</v>
      </c>
      <c r="K345" s="1975">
        <f t="shared" si="327"/>
        <v>3104.9632138439692</v>
      </c>
      <c r="L345" s="1975">
        <f t="shared" si="327"/>
        <v>3716.4833574969325</v>
      </c>
      <c r="M345" s="1975">
        <f t="shared" si="327"/>
        <v>4258.3866285700869</v>
      </c>
      <c r="N345" s="1975">
        <f t="shared" si="327"/>
        <v>4842.7736745882494</v>
      </c>
      <c r="O345" s="1975">
        <f t="shared" si="327"/>
        <v>5443.7291057925386</v>
      </c>
      <c r="P345" s="1975">
        <f t="shared" si="327"/>
        <v>6001.6502359472561</v>
      </c>
      <c r="Q345" s="1976">
        <f t="shared" si="327"/>
        <v>6515.7497404064052</v>
      </c>
      <c r="R345" s="1971"/>
      <c r="S345" s="1862"/>
    </row>
    <row r="346" spans="1:22">
      <c r="A346" s="1821"/>
      <c r="B346" s="1821" t="s">
        <v>7185</v>
      </c>
      <c r="C346" s="1821"/>
      <c r="D346" s="1821"/>
      <c r="E346" s="1821"/>
      <c r="F346" s="1821"/>
      <c r="G346" s="1862"/>
      <c r="H346" s="1862"/>
      <c r="I346" s="1862"/>
      <c r="J346" s="1971">
        <f t="shared" ref="J346:Q347" si="328">J30</f>
        <v>651.10035000000005</v>
      </c>
      <c r="K346" s="1971">
        <f t="shared" si="328"/>
        <v>752.67200460000004</v>
      </c>
      <c r="L346" s="1971">
        <f t="shared" si="328"/>
        <v>835.36807774540193</v>
      </c>
      <c r="M346" s="1971">
        <f t="shared" si="328"/>
        <v>877.13648163267203</v>
      </c>
      <c r="N346" s="1971">
        <f t="shared" si="328"/>
        <v>903.45057608165223</v>
      </c>
      <c r="O346" s="1971">
        <f t="shared" si="328"/>
        <v>921.51958760328534</v>
      </c>
      <c r="P346" s="1971">
        <f t="shared" si="328"/>
        <v>930.73478347931825</v>
      </c>
      <c r="Q346" s="1971">
        <f t="shared" si="328"/>
        <v>940.04213131411143</v>
      </c>
      <c r="R346" s="1971"/>
      <c r="S346" s="1862"/>
    </row>
    <row r="347" spans="1:22">
      <c r="A347" s="1821"/>
      <c r="B347" s="1977" t="s">
        <v>759</v>
      </c>
      <c r="C347" s="1977"/>
      <c r="D347" s="1977"/>
      <c r="E347" s="1977"/>
      <c r="F347" s="1977"/>
      <c r="G347" s="1978"/>
      <c r="H347" s="1978"/>
      <c r="I347" s="1978"/>
      <c r="J347" s="1979">
        <f t="shared" si="328"/>
        <v>7.0000000000000007E-2</v>
      </c>
      <c r="K347" s="1979">
        <f t="shared" si="328"/>
        <v>0.156</v>
      </c>
      <c r="L347" s="1979">
        <f t="shared" si="328"/>
        <v>0.10987</v>
      </c>
      <c r="M347" s="1979">
        <f t="shared" si="328"/>
        <v>0.05</v>
      </c>
      <c r="N347" s="1979">
        <f t="shared" si="328"/>
        <v>0.03</v>
      </c>
      <c r="O347" s="1979">
        <f t="shared" si="328"/>
        <v>0.02</v>
      </c>
      <c r="P347" s="1979">
        <f t="shared" si="328"/>
        <v>0.01</v>
      </c>
      <c r="Q347" s="1979">
        <f t="shared" si="328"/>
        <v>0.01</v>
      </c>
      <c r="R347" s="1979"/>
      <c r="S347" s="1862"/>
    </row>
    <row r="348" spans="1:22" s="1966" customFormat="1">
      <c r="A348" s="1821"/>
      <c r="B348" s="1821" t="s">
        <v>7080</v>
      </c>
      <c r="C348" s="1977"/>
      <c r="D348" s="1977"/>
      <c r="E348" s="1977"/>
      <c r="F348" s="1977"/>
      <c r="G348" s="1978"/>
      <c r="H348" s="1978"/>
      <c r="I348" s="1978"/>
      <c r="J348" s="1970">
        <f t="shared" ref="J348:Q348" si="329">+J127</f>
        <v>-5.2576909765135071E-2</v>
      </c>
      <c r="K348" s="1970">
        <f t="shared" si="329"/>
        <v>-8.9108775567201537E-3</v>
      </c>
      <c r="L348" s="1970">
        <f t="shared" si="329"/>
        <v>4.692122964205514E-2</v>
      </c>
      <c r="M348" s="1970">
        <f t="shared" si="329"/>
        <v>0.12704078944467678</v>
      </c>
      <c r="N348" s="1970">
        <f t="shared" si="329"/>
        <v>0.10325411313602073</v>
      </c>
      <c r="O348" s="1970">
        <f t="shared" si="329"/>
        <v>3.5996487752958606E-2</v>
      </c>
      <c r="P348" s="1970">
        <f t="shared" si="329"/>
        <v>2.2932689263772899E-2</v>
      </c>
      <c r="Q348" s="1970">
        <f t="shared" si="329"/>
        <v>2.5647233538017788E-2</v>
      </c>
      <c r="R348" s="1970"/>
      <c r="S348" s="1862"/>
    </row>
    <row r="349" spans="1:22" s="1966" customFormat="1">
      <c r="A349" s="1821"/>
      <c r="B349" s="1821" t="s">
        <v>7081</v>
      </c>
      <c r="C349" s="1977"/>
      <c r="D349" s="1977"/>
      <c r="E349" s="1977"/>
      <c r="F349" s="1977"/>
      <c r="G349" s="1978"/>
      <c r="H349" s="1978"/>
      <c r="I349" s="1978"/>
      <c r="J349" s="1970">
        <f t="shared" ref="J349:Q349" si="330">+J151</f>
        <v>9.3198210791154867E-2</v>
      </c>
      <c r="K349" s="1970">
        <f t="shared" si="330"/>
        <v>0.19082055138807807</v>
      </c>
      <c r="L349" s="1970">
        <f t="shared" si="330"/>
        <v>0.25311156964014381</v>
      </c>
      <c r="M349" s="1970">
        <f t="shared" si="330"/>
        <v>0.29137546598801034</v>
      </c>
      <c r="N349" s="1970">
        <f t="shared" si="330"/>
        <v>0.2546559158416235</v>
      </c>
      <c r="O349" s="1970">
        <f t="shared" si="330"/>
        <v>0.16455663899245332</v>
      </c>
      <c r="P349" s="1970">
        <f t="shared" si="330"/>
        <v>0.12777180799562982</v>
      </c>
      <c r="Q349" s="1970">
        <f t="shared" si="330"/>
        <v>0.1135038585965038</v>
      </c>
      <c r="R349" s="1970"/>
      <c r="S349" s="1862"/>
    </row>
    <row r="350" spans="1:22">
      <c r="A350" s="1821"/>
      <c r="B350" s="1821" t="s">
        <v>7186</v>
      </c>
      <c r="C350" s="1821"/>
      <c r="D350" s="1821"/>
      <c r="E350" s="1821"/>
      <c r="F350" s="1821"/>
      <c r="G350" s="1862"/>
      <c r="H350" s="1862"/>
      <c r="I350" s="1862"/>
      <c r="J350" s="1862">
        <f t="shared" ref="J350:Q350" si="331">J195</f>
        <v>2866.2218744655647</v>
      </c>
      <c r="K350" s="1862">
        <f t="shared" si="331"/>
        <v>2298.9160356384814</v>
      </c>
      <c r="L350" s="1862">
        <f t="shared" si="331"/>
        <v>2223.6963926269868</v>
      </c>
      <c r="M350" s="1862">
        <f t="shared" si="331"/>
        <v>2813.8041906164271</v>
      </c>
      <c r="N350" s="1862">
        <f t="shared" si="331"/>
        <v>3561.7894108929381</v>
      </c>
      <c r="O350" s="1862">
        <f t="shared" si="331"/>
        <v>4131.0930077530502</v>
      </c>
      <c r="P350" s="1862">
        <f t="shared" si="331"/>
        <v>4641.1449935632827</v>
      </c>
      <c r="Q350" s="1862">
        <f t="shared" si="331"/>
        <v>5150.5367930224575</v>
      </c>
      <c r="R350" s="1862"/>
      <c r="S350" s="1862"/>
    </row>
    <row r="351" spans="1:22">
      <c r="A351" s="1821"/>
      <c r="B351" s="1821" t="s">
        <v>7187</v>
      </c>
      <c r="C351" s="1821"/>
      <c r="D351" s="1821"/>
      <c r="E351" s="1821"/>
      <c r="F351" s="1821"/>
      <c r="G351" s="1862"/>
      <c r="H351" s="1862"/>
      <c r="I351" s="1862"/>
      <c r="J351" s="1862">
        <f t="shared" ref="J351:Q352" si="332">J245</f>
        <v>2223.4</v>
      </c>
      <c r="K351" s="1862">
        <f t="shared" si="332"/>
        <v>2156.5</v>
      </c>
      <c r="L351" s="1862">
        <f t="shared" si="332"/>
        <v>2168.6</v>
      </c>
      <c r="M351" s="1862">
        <f t="shared" si="332"/>
        <v>2189.376538139375</v>
      </c>
      <c r="N351" s="1862">
        <f t="shared" si="332"/>
        <v>2220.3766588095455</v>
      </c>
      <c r="O351" s="1862">
        <f t="shared" si="332"/>
        <v>2383.7956638122496</v>
      </c>
      <c r="P351" s="1862">
        <f t="shared" si="332"/>
        <v>2579.2669082448542</v>
      </c>
      <c r="Q351" s="1862">
        <f t="shared" si="332"/>
        <v>2816.5594638033808</v>
      </c>
      <c r="R351" s="1862"/>
      <c r="S351" s="1862"/>
    </row>
    <row r="352" spans="1:22">
      <c r="B352" s="1977" t="s">
        <v>759</v>
      </c>
      <c r="C352" s="1980"/>
      <c r="D352" s="1980"/>
      <c r="E352" s="1980"/>
      <c r="F352" s="1980"/>
      <c r="G352" s="1980"/>
      <c r="H352" s="1980"/>
      <c r="I352" s="1980"/>
      <c r="J352" s="1981">
        <f t="shared" si="332"/>
        <v>4.3947788524744125E-2</v>
      </c>
      <c r="K352" s="1981">
        <f t="shared" si="332"/>
        <v>-3.0089052802015015E-2</v>
      </c>
      <c r="L352" s="1981">
        <f t="shared" si="332"/>
        <v>5.6109436587061801E-3</v>
      </c>
      <c r="M352" s="1981">
        <f t="shared" si="332"/>
        <v>9.5806225857120175E-3</v>
      </c>
      <c r="N352" s="1981">
        <f t="shared" si="332"/>
        <v>1.415933720405893E-2</v>
      </c>
      <c r="O352" s="1981">
        <f t="shared" si="332"/>
        <v>7.3599677043227896E-2</v>
      </c>
      <c r="P352" s="1981">
        <f t="shared" si="332"/>
        <v>8.2000000000000003E-2</v>
      </c>
      <c r="Q352" s="1981">
        <f t="shared" si="332"/>
        <v>9.1999999999999998E-2</v>
      </c>
      <c r="R352" s="1981"/>
    </row>
    <row r="353" spans="2:18" s="1966" customFormat="1" ht="13.5" thickBot="1">
      <c r="B353" s="1821" t="s">
        <v>6053</v>
      </c>
      <c r="C353" s="1821"/>
      <c r="D353" s="1821"/>
      <c r="E353" s="1821"/>
      <c r="F353" s="1821"/>
      <c r="G353" s="1862"/>
      <c r="H353" s="1862"/>
      <c r="I353" s="1862"/>
      <c r="J353" s="1987">
        <f t="shared" ref="J353:Q353" si="333">+J248</f>
        <v>0.10643595557292747</v>
      </c>
      <c r="K353" s="1987">
        <f t="shared" si="333"/>
        <v>-6.1940567761409791E-2</v>
      </c>
      <c r="L353" s="1987">
        <f t="shared" si="333"/>
        <v>-5.4459573676845584E-2</v>
      </c>
      <c r="M353" s="1987">
        <f t="shared" si="333"/>
        <v>0.12410245954339491</v>
      </c>
      <c r="N353" s="1987">
        <f t="shared" si="333"/>
        <v>0.28505647718049104</v>
      </c>
      <c r="O353" s="1987">
        <f t="shared" si="333"/>
        <v>0.36209232144600961</v>
      </c>
      <c r="P353" s="1987">
        <f t="shared" si="333"/>
        <v>0.39941036036776473</v>
      </c>
      <c r="Q353" s="1987">
        <f t="shared" si="333"/>
        <v>0.41362027005733898</v>
      </c>
      <c r="R353" s="1987"/>
    </row>
    <row r="354" spans="2:18" ht="13.5" thickBot="1">
      <c r="B354" s="2215" t="s">
        <v>6673</v>
      </c>
      <c r="C354" s="1982"/>
      <c r="D354" s="1982"/>
      <c r="E354" s="1982"/>
      <c r="F354" s="1982"/>
      <c r="G354" s="1982"/>
      <c r="H354" s="1982"/>
      <c r="I354" s="1982"/>
      <c r="J354" s="1983">
        <f>J293</f>
        <v>1.4899536537800189</v>
      </c>
      <c r="K354" s="1983">
        <f t="shared" ref="K354:P354" si="334">K293</f>
        <v>0.4203688012999322</v>
      </c>
      <c r="L354" s="1983">
        <f t="shared" si="334"/>
        <v>-0.22684810011260972</v>
      </c>
      <c r="M354" s="1983">
        <f t="shared" si="334"/>
        <v>2.4649337859394804</v>
      </c>
      <c r="N354" s="1983">
        <f t="shared" si="334"/>
        <v>5.2360958257933499</v>
      </c>
      <c r="O354" s="1983">
        <f t="shared" si="334"/>
        <v>6.7248286072184129</v>
      </c>
      <c r="P354" s="1983">
        <f t="shared" si="334"/>
        <v>8.2259296956602022</v>
      </c>
      <c r="Q354" s="1984">
        <f t="shared" ref="Q354" si="335">Q293</f>
        <v>9.4791974807540544</v>
      </c>
      <c r="R354" s="2220"/>
    </row>
    <row r="355" spans="2:18">
      <c r="B355" s="1821" t="s">
        <v>7183</v>
      </c>
      <c r="J355" s="2216">
        <f>J290</f>
        <v>230.15</v>
      </c>
      <c r="K355" s="2216">
        <f t="shared" ref="K355:Q355" si="336">K290</f>
        <v>223.8</v>
      </c>
      <c r="L355" s="2216">
        <f t="shared" si="336"/>
        <v>219.52500000000001</v>
      </c>
      <c r="M355" s="2216">
        <f t="shared" si="336"/>
        <v>218.10167048</v>
      </c>
      <c r="N355" s="2216">
        <f t="shared" si="336"/>
        <v>213.65775236000005</v>
      </c>
      <c r="O355" s="2216">
        <f t="shared" si="336"/>
        <v>209.98695924000003</v>
      </c>
      <c r="P355" s="2216">
        <f t="shared" si="336"/>
        <v>206.81978287731829</v>
      </c>
      <c r="Q355" s="2216">
        <f t="shared" si="336"/>
        <v>204.62443714139377</v>
      </c>
      <c r="R355" s="2216"/>
    </row>
    <row r="369" spans="2:18">
      <c r="B369" s="1966"/>
      <c r="C369" s="1966"/>
      <c r="D369" s="1966"/>
      <c r="E369" s="1966"/>
      <c r="F369" s="1966"/>
      <c r="G369" s="1966"/>
      <c r="H369" s="1966"/>
      <c r="I369" s="1966"/>
      <c r="J369" s="1966"/>
      <c r="K369" s="1966"/>
      <c r="L369" s="1966"/>
      <c r="M369" s="1966"/>
      <c r="N369" s="1966"/>
      <c r="O369" s="1966"/>
    </row>
    <row r="370" spans="2:18">
      <c r="B370" s="1966"/>
      <c r="C370" s="1966"/>
      <c r="D370" s="1966"/>
      <c r="E370" s="1966"/>
      <c r="F370" s="1966"/>
      <c r="G370" s="1966"/>
      <c r="H370" s="1966"/>
      <c r="I370" s="1966"/>
      <c r="J370" s="1966"/>
      <c r="K370" s="1966"/>
      <c r="L370" s="1966"/>
      <c r="M370" s="1966"/>
      <c r="N370" s="1966"/>
      <c r="O370" s="1966"/>
    </row>
    <row r="371" spans="2:18">
      <c r="B371" s="1966"/>
      <c r="C371" s="1966"/>
      <c r="D371" s="1966"/>
      <c r="E371" s="1966"/>
      <c r="F371" s="1966"/>
      <c r="G371" s="1966"/>
      <c r="H371" s="1966"/>
      <c r="I371" s="1966"/>
      <c r="J371" s="1966"/>
      <c r="K371" s="1966"/>
      <c r="L371" s="1966"/>
      <c r="M371" s="1966"/>
      <c r="N371" s="1966"/>
      <c r="O371" s="1966"/>
    </row>
    <row r="372" spans="2:18" ht="13.5" thickBot="1">
      <c r="B372" s="1985" t="s">
        <v>7189</v>
      </c>
      <c r="J372" s="1986" t="str">
        <f t="shared" ref="J372:Q372" si="337">+J3</f>
        <v>FY16</v>
      </c>
      <c r="K372" s="1986" t="str">
        <f t="shared" si="337"/>
        <v>FY17</v>
      </c>
      <c r="L372" s="1986" t="str">
        <f t="shared" si="337"/>
        <v>FY18</v>
      </c>
      <c r="M372" s="1986" t="str">
        <f t="shared" si="337"/>
        <v>FY19e</v>
      </c>
      <c r="N372" s="1986" t="str">
        <f t="shared" si="337"/>
        <v>FY20e</v>
      </c>
      <c r="O372" s="1986" t="str">
        <f t="shared" si="337"/>
        <v>FY21e</v>
      </c>
      <c r="P372" s="1986" t="str">
        <f t="shared" si="337"/>
        <v>FY22e</v>
      </c>
      <c r="Q372" s="1986" t="str">
        <f t="shared" si="337"/>
        <v>FY23e</v>
      </c>
      <c r="R372" s="1986"/>
    </row>
    <row r="373" spans="2:18" ht="13.5" thickBot="1">
      <c r="B373" s="1973" t="s">
        <v>7184</v>
      </c>
      <c r="C373" s="1826"/>
      <c r="D373" s="1826"/>
      <c r="E373" s="1826"/>
      <c r="F373" s="1826"/>
      <c r="G373" s="1974"/>
      <c r="H373" s="1974"/>
      <c r="I373" s="1974"/>
      <c r="J373" s="1975">
        <v>2584.180515897413</v>
      </c>
      <c r="K373" s="1975">
        <v>3112.9069311091266</v>
      </c>
      <c r="L373" s="1975">
        <v>3742.4411466308379</v>
      </c>
      <c r="M373" s="1975">
        <v>4434.5661141426772</v>
      </c>
      <c r="N373" s="1975">
        <v>5204.1689214653125</v>
      </c>
      <c r="O373" s="1975">
        <v>5984.8494195541307</v>
      </c>
      <c r="P373" s="1975">
        <v>6707.5330781275861</v>
      </c>
      <c r="Q373" s="1976">
        <v>7362.3772440727098</v>
      </c>
      <c r="R373" s="1971"/>
    </row>
    <row r="374" spans="2:18">
      <c r="B374" s="1821" t="s">
        <v>7185</v>
      </c>
      <c r="C374" s="1821"/>
      <c r="D374" s="1821"/>
      <c r="E374" s="1821"/>
      <c r="F374" s="1821"/>
      <c r="G374" s="1862"/>
      <c r="H374" s="1862"/>
      <c r="I374" s="1862"/>
      <c r="J374" s="1971">
        <v>651.10035000000005</v>
      </c>
      <c r="K374" s="1971">
        <v>759.50855827500015</v>
      </c>
      <c r="L374" s="1971">
        <v>869.63729922487516</v>
      </c>
      <c r="M374" s="1971">
        <v>991.38652111635781</v>
      </c>
      <c r="N374" s="1971">
        <v>1100.4390384391572</v>
      </c>
      <c r="O374" s="1971">
        <v>1149.9587951689193</v>
      </c>
      <c r="P374" s="1971">
        <v>1172.9579710722978</v>
      </c>
      <c r="Q374" s="1971">
        <v>1184.6875507830209</v>
      </c>
      <c r="R374" s="1971"/>
    </row>
    <row r="375" spans="2:18">
      <c r="B375" s="1977" t="s">
        <v>759</v>
      </c>
      <c r="C375" s="1977"/>
      <c r="D375" s="1977"/>
      <c r="E375" s="1977"/>
      <c r="F375" s="1977"/>
      <c r="G375" s="1978"/>
      <c r="H375" s="1978"/>
      <c r="I375" s="1978"/>
      <c r="J375" s="1979">
        <v>7.0000000000000007E-2</v>
      </c>
      <c r="K375" s="1979">
        <v>0.16650000000000001</v>
      </c>
      <c r="L375" s="1979">
        <v>0.14499999999999999</v>
      </c>
      <c r="M375" s="1979">
        <v>0.14000000000000001</v>
      </c>
      <c r="N375" s="1979">
        <v>0.11</v>
      </c>
      <c r="O375" s="1979">
        <v>4.4999999999999998E-2</v>
      </c>
      <c r="P375" s="1979">
        <v>0.02</v>
      </c>
      <c r="Q375" s="1979">
        <v>0.01</v>
      </c>
      <c r="R375" s="1979"/>
    </row>
    <row r="376" spans="2:18">
      <c r="B376" s="1821" t="s">
        <v>7080</v>
      </c>
      <c r="C376" s="1977"/>
      <c r="D376" s="1977"/>
      <c r="E376" s="1977"/>
      <c r="F376" s="1977"/>
      <c r="G376" s="1978"/>
      <c r="H376" s="1978"/>
      <c r="I376" s="1978"/>
      <c r="J376" s="1970">
        <v>-5.2576909765135071E-2</v>
      </c>
      <c r="K376" s="1970">
        <v>-3.2531251372773351E-2</v>
      </c>
      <c r="L376" s="1970">
        <v>3.7549878705504414E-2</v>
      </c>
      <c r="M376" s="1970">
        <v>7.7935260877399992E-2</v>
      </c>
      <c r="N376" s="1970">
        <v>9.1567199689090994E-2</v>
      </c>
      <c r="O376" s="1970">
        <v>6.9988992303227082E-3</v>
      </c>
      <c r="P376" s="1970">
        <v>3.4178752372280297E-3</v>
      </c>
      <c r="Q376" s="1970">
        <v>1.268036361856284E-2</v>
      </c>
      <c r="R376" s="1970"/>
    </row>
    <row r="377" spans="2:18">
      <c r="B377" s="1821" t="s">
        <v>7081</v>
      </c>
      <c r="C377" s="1977"/>
      <c r="D377" s="1977"/>
      <c r="E377" s="1977"/>
      <c r="F377" s="1977"/>
      <c r="G377" s="1978"/>
      <c r="H377" s="1978"/>
      <c r="I377" s="1978"/>
      <c r="J377" s="1970">
        <v>9.3198210791154867E-2</v>
      </c>
      <c r="K377" s="1970">
        <v>0.16541400831176434</v>
      </c>
      <c r="L377" s="1970">
        <v>0.2473772726529333</v>
      </c>
      <c r="M377" s="1970">
        <v>0.27728800369508955</v>
      </c>
      <c r="N377" s="1970">
        <v>0.28100471389885295</v>
      </c>
      <c r="O377" s="1970">
        <v>0.1580594074669901</v>
      </c>
      <c r="P377" s="1970">
        <v>0.1245827785320659</v>
      </c>
      <c r="Q377" s="1970">
        <v>0.1115464922471705</v>
      </c>
      <c r="R377" s="1970"/>
    </row>
    <row r="378" spans="2:18">
      <c r="B378" s="1821" t="s">
        <v>7186</v>
      </c>
      <c r="C378" s="1821"/>
      <c r="D378" s="1821"/>
      <c r="E378" s="1821"/>
      <c r="F378" s="1821"/>
      <c r="G378" s="1862"/>
      <c r="H378" s="1862"/>
      <c r="I378" s="1862"/>
      <c r="J378" s="1862">
        <v>2866.2218744655647</v>
      </c>
      <c r="K378" s="1862">
        <v>2299.2706495711836</v>
      </c>
      <c r="L378" s="1862">
        <v>2214.2450965928256</v>
      </c>
      <c r="M378" s="1862">
        <v>2790.4734458517851</v>
      </c>
      <c r="N378" s="1862">
        <v>3532.2081978866227</v>
      </c>
      <c r="O378" s="1862">
        <v>4070.3924596834809</v>
      </c>
      <c r="P378" s="1862">
        <v>4559.5201248258636</v>
      </c>
      <c r="Q378" s="1862">
        <v>5052.9127005239388</v>
      </c>
      <c r="R378" s="1862"/>
    </row>
    <row r="379" spans="2:18">
      <c r="B379" s="1821" t="s">
        <v>7187</v>
      </c>
      <c r="C379" s="1821"/>
      <c r="D379" s="1821"/>
      <c r="E379" s="1821"/>
      <c r="F379" s="1821"/>
      <c r="G379" s="1862"/>
      <c r="H379" s="1862"/>
      <c r="I379" s="1862"/>
      <c r="J379" s="1862">
        <v>2223.4</v>
      </c>
      <c r="K379" s="1862">
        <v>2156.5</v>
      </c>
      <c r="L379" s="1862">
        <v>2156.5</v>
      </c>
      <c r="M379" s="1862">
        <v>2160.8799178711756</v>
      </c>
      <c r="N379" s="1862">
        <v>2225.7063154073107</v>
      </c>
      <c r="O379" s="1862">
        <v>2403.7628206398958</v>
      </c>
      <c r="P379" s="1862">
        <v>2620.1014744974868</v>
      </c>
      <c r="Q379" s="1862">
        <v>2829.7095924572859</v>
      </c>
      <c r="R379" s="1862"/>
    </row>
    <row r="380" spans="2:18">
      <c r="B380" s="1977" t="s">
        <v>759</v>
      </c>
      <c r="C380" s="1980"/>
      <c r="D380" s="1980"/>
      <c r="E380" s="1980"/>
      <c r="F380" s="1980"/>
      <c r="G380" s="1980"/>
      <c r="H380" s="1980"/>
      <c r="I380" s="1980"/>
      <c r="J380" s="1981">
        <v>4.3947788524744125E-2</v>
      </c>
      <c r="K380" s="1981">
        <v>-3.0089052802015015E-2</v>
      </c>
      <c r="L380" s="1981">
        <v>0</v>
      </c>
      <c r="M380" s="1981">
        <v>2.0310307772666292E-3</v>
      </c>
      <c r="N380" s="1981">
        <v>0.03</v>
      </c>
      <c r="O380" s="1981">
        <v>0.08</v>
      </c>
      <c r="P380" s="1981">
        <v>0.09</v>
      </c>
      <c r="Q380" s="1981">
        <v>0.08</v>
      </c>
      <c r="R380" s="1981"/>
    </row>
    <row r="381" spans="2:18" ht="13.5" thickBot="1">
      <c r="B381" s="1821" t="s">
        <v>6053</v>
      </c>
      <c r="C381" s="1821"/>
      <c r="D381" s="1821"/>
      <c r="E381" s="1821"/>
      <c r="F381" s="1821"/>
      <c r="G381" s="1862"/>
      <c r="H381" s="1862"/>
      <c r="I381" s="1862"/>
      <c r="J381" s="1987">
        <v>0.10643595557292747</v>
      </c>
      <c r="K381" s="1987">
        <v>-6.1947781224839953E-2</v>
      </c>
      <c r="L381" s="1987">
        <v>-6.4998913238343448E-2</v>
      </c>
      <c r="M381" s="1987">
        <v>0.11885745890504902</v>
      </c>
      <c r="N381" s="1987">
        <v>0.27385115122984016</v>
      </c>
      <c r="O381" s="1987">
        <v>0.35016240929359904</v>
      </c>
      <c r="P381" s="1987">
        <v>0.38041771173316985</v>
      </c>
      <c r="Q381" s="1987">
        <v>0.40047606497511323</v>
      </c>
      <c r="R381" s="1987"/>
    </row>
    <row r="382" spans="2:18" ht="13.5" thickBot="1">
      <c r="B382" s="2215" t="s">
        <v>6673</v>
      </c>
      <c r="C382" s="1982"/>
      <c r="D382" s="1982"/>
      <c r="E382" s="1982"/>
      <c r="F382" s="1982"/>
      <c r="G382" s="1982"/>
      <c r="H382" s="1982"/>
      <c r="I382" s="1982"/>
      <c r="J382" s="1983">
        <v>1.4899536537800189</v>
      </c>
      <c r="K382" s="1983">
        <v>0.42194406865526829</v>
      </c>
      <c r="L382" s="1983">
        <v>0.38828260038622908</v>
      </c>
      <c r="M382" s="1983">
        <v>2.5503336980170652</v>
      </c>
      <c r="N382" s="1983">
        <v>4.9423690485737382</v>
      </c>
      <c r="O382" s="1983">
        <v>6.7083707611892098</v>
      </c>
      <c r="P382" s="1983">
        <v>7.9334795048671882</v>
      </c>
      <c r="Q382" s="1984">
        <v>9.2123634508268744</v>
      </c>
      <c r="R382" s="2220"/>
    </row>
    <row r="383" spans="2:18">
      <c r="B383" s="2214" t="s">
        <v>7183</v>
      </c>
      <c r="C383" s="2214"/>
      <c r="D383" s="2214"/>
      <c r="E383" s="2214"/>
      <c r="F383" s="2214"/>
      <c r="G383" s="2214"/>
      <c r="H383" s="2214"/>
      <c r="I383" s="2214"/>
      <c r="J383" s="1591">
        <v>230.15</v>
      </c>
      <c r="K383" s="1591">
        <v>223.8</v>
      </c>
      <c r="L383" s="1591">
        <v>221.76751477899461</v>
      </c>
      <c r="M383" s="1591">
        <v>216.64117085774598</v>
      </c>
      <c r="N383" s="1591">
        <v>209.09280101936335</v>
      </c>
      <c r="O383" s="1591">
        <v>203.07217027444537</v>
      </c>
      <c r="P383" s="1591">
        <v>201.47615197982378</v>
      </c>
      <c r="Q383" s="1591">
        <v>199.71578927962202</v>
      </c>
      <c r="R383" s="1591"/>
    </row>
    <row r="384" spans="2:18">
      <c r="B384" s="1966"/>
      <c r="C384" s="1966"/>
      <c r="D384" s="1966"/>
      <c r="E384" s="1966"/>
      <c r="F384" s="1966"/>
      <c r="G384" s="1966"/>
      <c r="H384" s="1966"/>
      <c r="I384" s="1966"/>
      <c r="J384" s="1966"/>
      <c r="K384" s="1966"/>
      <c r="L384" s="1966"/>
      <c r="M384" s="1966"/>
      <c r="N384" s="1966"/>
      <c r="O384" s="1966"/>
    </row>
    <row r="385" spans="2:18">
      <c r="B385" s="1966"/>
      <c r="C385" s="1966"/>
      <c r="D385" s="1966"/>
      <c r="E385" s="1966"/>
      <c r="F385" s="1966"/>
      <c r="G385" s="1966"/>
      <c r="H385" s="1966"/>
      <c r="I385" s="1966"/>
      <c r="J385" s="1966"/>
      <c r="K385" s="1966"/>
      <c r="L385" s="1966"/>
      <c r="M385" s="1966"/>
      <c r="N385" s="1966"/>
      <c r="O385" s="1966"/>
    </row>
    <row r="386" spans="2:18" ht="13.5" thickBot="1">
      <c r="B386" s="1985" t="s">
        <v>7190</v>
      </c>
      <c r="C386" s="1966"/>
      <c r="D386" s="1966"/>
      <c r="E386" s="1966"/>
      <c r="F386" s="1966"/>
      <c r="G386" s="1966"/>
      <c r="H386" s="1966"/>
      <c r="I386" s="1966"/>
      <c r="J386" s="1986" t="str">
        <f>J372</f>
        <v>FY16</v>
      </c>
      <c r="K386" s="1986" t="str">
        <f t="shared" ref="K386:Q386" si="338">K372</f>
        <v>FY17</v>
      </c>
      <c r="L386" s="1986" t="str">
        <f t="shared" si="338"/>
        <v>FY18</v>
      </c>
      <c r="M386" s="1986" t="str">
        <f t="shared" si="338"/>
        <v>FY19e</v>
      </c>
      <c r="N386" s="1986" t="str">
        <f t="shared" si="338"/>
        <v>FY20e</v>
      </c>
      <c r="O386" s="1986" t="str">
        <f t="shared" si="338"/>
        <v>FY21e</v>
      </c>
      <c r="P386" s="1986" t="str">
        <f t="shared" si="338"/>
        <v>FY22e</v>
      </c>
      <c r="Q386" s="1986" t="str">
        <f t="shared" si="338"/>
        <v>FY23e</v>
      </c>
      <c r="R386" s="1986"/>
    </row>
    <row r="387" spans="2:18" ht="13.5" thickBot="1">
      <c r="B387" s="1973" t="s">
        <v>7184</v>
      </c>
      <c r="C387" s="1826"/>
      <c r="D387" s="1826"/>
      <c r="E387" s="1826"/>
      <c r="F387" s="1826"/>
      <c r="G387" s="1974"/>
      <c r="H387" s="1974"/>
      <c r="I387" s="1974"/>
      <c r="J387" s="1975">
        <v>2584.180515897413</v>
      </c>
      <c r="K387" s="1975">
        <v>3112.9069311091266</v>
      </c>
      <c r="L387" s="1975">
        <v>3694.5067228646608</v>
      </c>
      <c r="M387" s="1975">
        <v>4049.7652309837185</v>
      </c>
      <c r="N387" s="1975">
        <v>4499.6271362292464</v>
      </c>
      <c r="O387" s="1975">
        <v>4978.6913560780977</v>
      </c>
      <c r="P387" s="1975">
        <v>5425.7648308178168</v>
      </c>
      <c r="Q387" s="1976">
        <v>5832.1210730269822</v>
      </c>
      <c r="R387" s="1971"/>
    </row>
    <row r="388" spans="2:18">
      <c r="B388" s="1821" t="s">
        <v>7185</v>
      </c>
      <c r="C388" s="1821"/>
      <c r="D388" s="1821"/>
      <c r="E388" s="1821"/>
      <c r="F388" s="1821"/>
      <c r="G388" s="1862"/>
      <c r="H388" s="1862"/>
      <c r="I388" s="1862"/>
      <c r="J388" s="1971">
        <v>651.10035000000005</v>
      </c>
      <c r="K388" s="1971">
        <v>759.50855827500015</v>
      </c>
      <c r="L388" s="1971">
        <v>831.6618713111252</v>
      </c>
      <c r="M388" s="1971">
        <v>665.32949704890018</v>
      </c>
      <c r="N388" s="1971">
        <v>738.51574172427922</v>
      </c>
      <c r="O388" s="1971">
        <v>771.74895010187174</v>
      </c>
      <c r="P388" s="1971">
        <v>787.18392910390924</v>
      </c>
      <c r="Q388" s="1971">
        <v>795.05576839494836</v>
      </c>
      <c r="R388" s="1971"/>
    </row>
    <row r="389" spans="2:18">
      <c r="B389" s="1977" t="s">
        <v>759</v>
      </c>
      <c r="C389" s="1977"/>
      <c r="D389" s="1977"/>
      <c r="E389" s="1977"/>
      <c r="F389" s="1977"/>
      <c r="G389" s="1978"/>
      <c r="H389" s="1978"/>
      <c r="I389" s="1978"/>
      <c r="J389" s="1979">
        <v>7.0000000000000007E-2</v>
      </c>
      <c r="K389" s="1979">
        <v>0.16650000000000001</v>
      </c>
      <c r="L389" s="1979">
        <v>9.4999999999999987E-2</v>
      </c>
      <c r="M389" s="1979">
        <v>-0.2</v>
      </c>
      <c r="N389" s="1979">
        <v>0.11</v>
      </c>
      <c r="O389" s="1979">
        <v>4.4999999999999998E-2</v>
      </c>
      <c r="P389" s="1979">
        <v>0.02</v>
      </c>
      <c r="Q389" s="1979">
        <v>0.01</v>
      </c>
      <c r="R389" s="1979"/>
    </row>
    <row r="390" spans="2:18">
      <c r="B390" s="1821" t="s">
        <v>7080</v>
      </c>
      <c r="C390" s="1977"/>
      <c r="D390" s="1977"/>
      <c r="E390" s="1977"/>
      <c r="F390" s="1977"/>
      <c r="G390" s="1978"/>
      <c r="H390" s="1978"/>
      <c r="I390" s="1978"/>
      <c r="J390" s="1970">
        <v>-5.2576909765135071E-2</v>
      </c>
      <c r="K390" s="1970">
        <v>-3.2531251372773351E-2</v>
      </c>
      <c r="L390" s="1970">
        <v>3.8477196423013282E-2</v>
      </c>
      <c r="M390" s="1970">
        <v>8.5441472510107364E-2</v>
      </c>
      <c r="N390" s="1970">
        <v>9.0819165233947396E-2</v>
      </c>
      <c r="O390" s="1970">
        <v>1.9530333792123988E-2</v>
      </c>
      <c r="P390" s="1970">
        <v>9.5925011051998244E-3</v>
      </c>
      <c r="Q390" s="1970">
        <v>1.6728563565976184E-2</v>
      </c>
      <c r="R390" s="1970"/>
    </row>
    <row r="391" spans="2:18">
      <c r="B391" s="1821" t="s">
        <v>7081</v>
      </c>
      <c r="C391" s="1977"/>
      <c r="D391" s="1977"/>
      <c r="E391" s="1977"/>
      <c r="F391" s="1977"/>
      <c r="G391" s="1978"/>
      <c r="H391" s="1978"/>
      <c r="I391" s="1978"/>
      <c r="J391" s="1970">
        <v>9.3198210791154867E-2</v>
      </c>
      <c r="K391" s="1970">
        <v>0.16541400831176434</v>
      </c>
      <c r="L391" s="1970">
        <v>0.23250102513005988</v>
      </c>
      <c r="M391" s="1970">
        <v>0.18981597960952779</v>
      </c>
      <c r="N391" s="1970">
        <v>0.21199112458510205</v>
      </c>
      <c r="O391" s="1970">
        <v>0.12807721760784974</v>
      </c>
      <c r="P391" s="1970">
        <v>0.10025126969691667</v>
      </c>
      <c r="Q391" s="1970">
        <v>9.287524727233909E-2</v>
      </c>
      <c r="R391" s="1970"/>
    </row>
    <row r="392" spans="2:18">
      <c r="B392" s="1821" t="s">
        <v>7186</v>
      </c>
      <c r="C392" s="1821"/>
      <c r="D392" s="1821"/>
      <c r="E392" s="1821"/>
      <c r="F392" s="1821"/>
      <c r="G392" s="1862"/>
      <c r="H392" s="1862"/>
      <c r="I392" s="1862"/>
      <c r="J392" s="1862">
        <v>2866.2218744655647</v>
      </c>
      <c r="K392" s="1862">
        <v>2299.2706495711836</v>
      </c>
      <c r="L392" s="1862">
        <v>2190.3777285451188</v>
      </c>
      <c r="M392" s="1862">
        <v>2587.0192117861584</v>
      </c>
      <c r="N392" s="1862">
        <v>3109.209730935163</v>
      </c>
      <c r="O392" s="1862">
        <v>3495.0400478758506</v>
      </c>
      <c r="P392" s="1862">
        <v>3834.2204778132418</v>
      </c>
      <c r="Q392" s="1862">
        <v>4180.6266555225029</v>
      </c>
      <c r="R392" s="1862"/>
    </row>
    <row r="393" spans="2:18">
      <c r="B393" s="1821" t="s">
        <v>7187</v>
      </c>
      <c r="C393" s="1821"/>
      <c r="D393" s="1821"/>
      <c r="E393" s="1821"/>
      <c r="F393" s="1821"/>
      <c r="G393" s="1862"/>
      <c r="H393" s="1862"/>
      <c r="I393" s="1862"/>
      <c r="J393" s="1862">
        <v>2223.4</v>
      </c>
      <c r="K393" s="1862">
        <v>2156.5</v>
      </c>
      <c r="L393" s="1862">
        <v>2178.0650000000001</v>
      </c>
      <c r="M393" s="1862">
        <v>2204.2693670498875</v>
      </c>
      <c r="N393" s="1862">
        <v>2226.3120607203864</v>
      </c>
      <c r="O393" s="1862">
        <v>2337.627663756406</v>
      </c>
      <c r="P393" s="1862">
        <v>2477.8853235817905</v>
      </c>
      <c r="Q393" s="1862">
        <v>2601.7795897608803</v>
      </c>
      <c r="R393" s="1862"/>
    </row>
    <row r="394" spans="2:18">
      <c r="B394" s="1977" t="s">
        <v>759</v>
      </c>
      <c r="C394" s="1980"/>
      <c r="D394" s="1980"/>
      <c r="E394" s="1980"/>
      <c r="F394" s="1980"/>
      <c r="G394" s="1980"/>
      <c r="H394" s="1980"/>
      <c r="I394" s="1980"/>
      <c r="J394" s="1981">
        <v>4.3947788524744125E-2</v>
      </c>
      <c r="K394" s="1981">
        <v>-3.0089052802015015E-2</v>
      </c>
      <c r="L394" s="1981">
        <v>0.01</v>
      </c>
      <c r="M394" s="1981">
        <v>1.2031030777266629E-2</v>
      </c>
      <c r="N394" s="1981">
        <v>9.9999999999999985E-3</v>
      </c>
      <c r="O394" s="1981">
        <v>0.05</v>
      </c>
      <c r="P394" s="1981">
        <v>0.06</v>
      </c>
      <c r="Q394" s="1981">
        <v>0.05</v>
      </c>
      <c r="R394" s="1981"/>
    </row>
    <row r="395" spans="2:18" ht="13.5" thickBot="1">
      <c r="B395" s="1821" t="s">
        <v>6053</v>
      </c>
      <c r="C395" s="1821"/>
      <c r="D395" s="1821"/>
      <c r="E395" s="1821"/>
      <c r="F395" s="1821"/>
      <c r="G395" s="1862"/>
      <c r="H395" s="1862"/>
      <c r="I395" s="1862"/>
      <c r="J395" s="1987">
        <v>0.10643595557292747</v>
      </c>
      <c r="K395" s="1987">
        <v>-6.1947781224839953E-2</v>
      </c>
      <c r="L395" s="1987">
        <v>-7.9466010469643036E-2</v>
      </c>
      <c r="M395" s="1987">
        <v>7.1737250903222013E-2</v>
      </c>
      <c r="N395" s="1987">
        <v>0.20368419406896193</v>
      </c>
      <c r="O395" s="1987">
        <v>0.27634711491122843</v>
      </c>
      <c r="P395" s="1987">
        <v>0.31331654091717714</v>
      </c>
      <c r="Q395" s="1987">
        <v>0.34141033649774954</v>
      </c>
      <c r="R395" s="1987"/>
    </row>
    <row r="396" spans="2:18" ht="13.5" thickBot="1">
      <c r="B396" s="2215" t="s">
        <v>6673</v>
      </c>
      <c r="C396" s="1982"/>
      <c r="D396" s="1982"/>
      <c r="E396" s="1982"/>
      <c r="F396" s="1982"/>
      <c r="G396" s="1982"/>
      <c r="H396" s="1982"/>
      <c r="I396" s="1982"/>
      <c r="J396" s="1983">
        <v>1.4899536537800189</v>
      </c>
      <c r="K396" s="1983">
        <v>0.42194406865526829</v>
      </c>
      <c r="L396" s="1983">
        <v>0.16360874476628959</v>
      </c>
      <c r="M396" s="1983">
        <v>1.4758324994849972</v>
      </c>
      <c r="N396" s="1983">
        <v>3.1784961139720584</v>
      </c>
      <c r="O396" s="1983">
        <v>4.3843436166857499</v>
      </c>
      <c r="P396" s="1983">
        <v>5.158538554738616</v>
      </c>
      <c r="Q396" s="1984">
        <v>6.0097676082469187</v>
      </c>
      <c r="R396" s="2220"/>
    </row>
    <row r="397" spans="2:18">
      <c r="B397" s="1821" t="s">
        <v>7183</v>
      </c>
      <c r="C397" s="2213"/>
      <c r="D397" s="2213"/>
      <c r="E397" s="2213"/>
      <c r="F397" s="2213"/>
      <c r="G397" s="2213"/>
      <c r="H397" s="2213"/>
      <c r="I397" s="2213"/>
      <c r="J397" s="2216">
        <v>230.15</v>
      </c>
      <c r="K397" s="2216">
        <v>223.8</v>
      </c>
      <c r="L397" s="2216">
        <v>222.28223657406252</v>
      </c>
      <c r="M397" s="2216">
        <v>219.42430922195916</v>
      </c>
      <c r="N397" s="2216">
        <v>215.13537917722209</v>
      </c>
      <c r="O397" s="2216">
        <v>212.04911798165489</v>
      </c>
      <c r="P397" s="2216">
        <v>213.47512675327704</v>
      </c>
      <c r="Q397" s="2216">
        <v>214.31606258614869</v>
      </c>
      <c r="R397" s="2216"/>
    </row>
    <row r="401" spans="2:18" ht="13.5" thickBot="1">
      <c r="B401" s="1985" t="s">
        <v>7188</v>
      </c>
      <c r="C401" s="1966"/>
      <c r="D401" s="1966"/>
      <c r="E401" s="1966"/>
      <c r="F401" s="1966"/>
      <c r="G401" s="1966"/>
      <c r="H401" s="1966"/>
      <c r="I401" s="1966"/>
      <c r="J401" s="1986" t="str">
        <f>J372</f>
        <v>FY16</v>
      </c>
      <c r="K401" s="1986" t="str">
        <f t="shared" ref="K401:Q401" si="339">K372</f>
        <v>FY17</v>
      </c>
      <c r="L401" s="1986" t="str">
        <f t="shared" si="339"/>
        <v>FY18</v>
      </c>
      <c r="M401" s="1986" t="str">
        <f t="shared" si="339"/>
        <v>FY19e</v>
      </c>
      <c r="N401" s="1986" t="str">
        <f t="shared" si="339"/>
        <v>FY20e</v>
      </c>
      <c r="O401" s="1986" t="str">
        <f t="shared" si="339"/>
        <v>FY21e</v>
      </c>
      <c r="P401" s="1986" t="str">
        <f t="shared" si="339"/>
        <v>FY22e</v>
      </c>
      <c r="Q401" s="1986" t="str">
        <f t="shared" si="339"/>
        <v>FY23e</v>
      </c>
      <c r="R401" s="1986"/>
    </row>
    <row r="402" spans="2:18" ht="13.5" thickBot="1">
      <c r="B402" s="1973" t="s">
        <v>7184</v>
      </c>
      <c r="C402" s="1826"/>
      <c r="D402" s="1826"/>
      <c r="E402" s="1826"/>
      <c r="F402" s="1826"/>
      <c r="G402" s="1974"/>
      <c r="H402" s="1974"/>
      <c r="I402" s="1974"/>
      <c r="J402" s="1975">
        <v>2584.180515897413</v>
      </c>
      <c r="K402" s="1975">
        <v>3112.9069311091266</v>
      </c>
      <c r="L402" s="1975">
        <v>3781.3468522925682</v>
      </c>
      <c r="M402" s="1975">
        <v>4569.6775982188146</v>
      </c>
      <c r="N402" s="1975">
        <v>5450.2349199392611</v>
      </c>
      <c r="O402" s="1975">
        <v>6335.6679533523029</v>
      </c>
      <c r="P402" s="1975">
        <v>7154.1322947025146</v>
      </c>
      <c r="Q402" s="1976">
        <v>7895.3783178217618</v>
      </c>
      <c r="R402" s="1971"/>
    </row>
    <row r="403" spans="2:18">
      <c r="B403" s="1821" t="s">
        <v>7185</v>
      </c>
      <c r="C403" s="1821"/>
      <c r="D403" s="1821"/>
      <c r="E403" s="1821"/>
      <c r="F403" s="1821"/>
      <c r="G403" s="1862"/>
      <c r="H403" s="1862"/>
      <c r="I403" s="1862"/>
      <c r="J403" s="1971">
        <v>651.10035000000005</v>
      </c>
      <c r="K403" s="1971">
        <v>759.50855827500015</v>
      </c>
      <c r="L403" s="1971">
        <v>888.62501318175009</v>
      </c>
      <c r="M403" s="1971">
        <v>1057.4637656862826</v>
      </c>
      <c r="N403" s="1971">
        <v>1226.6579681960877</v>
      </c>
      <c r="O403" s="1971">
        <v>1281.8575767649115</v>
      </c>
      <c r="P403" s="1971">
        <v>1307.4947283002098</v>
      </c>
      <c r="Q403" s="1971">
        <v>1320.5696755832118</v>
      </c>
      <c r="R403" s="1971"/>
    </row>
    <row r="404" spans="2:18">
      <c r="B404" s="1977" t="s">
        <v>759</v>
      </c>
      <c r="C404" s="1977"/>
      <c r="D404" s="1977"/>
      <c r="E404" s="1977"/>
      <c r="F404" s="1977"/>
      <c r="G404" s="1978"/>
      <c r="H404" s="1978"/>
      <c r="I404" s="1978"/>
      <c r="J404" s="1979">
        <v>7.0000000000000007E-2</v>
      </c>
      <c r="K404" s="1979">
        <v>0.16650000000000001</v>
      </c>
      <c r="L404" s="1979">
        <v>0.16999999999999998</v>
      </c>
      <c r="M404" s="1979">
        <v>0.19</v>
      </c>
      <c r="N404" s="1979">
        <v>0.16</v>
      </c>
      <c r="O404" s="1979">
        <v>4.4999999999999998E-2</v>
      </c>
      <c r="P404" s="1979">
        <v>0.02</v>
      </c>
      <c r="Q404" s="1979">
        <v>0.01</v>
      </c>
      <c r="R404" s="1979"/>
    </row>
    <row r="405" spans="2:18">
      <c r="B405" s="1821" t="s">
        <v>7080</v>
      </c>
      <c r="C405" s="1977"/>
      <c r="D405" s="1977"/>
      <c r="E405" s="1977"/>
      <c r="F405" s="1977"/>
      <c r="G405" s="1978"/>
      <c r="H405" s="1978"/>
      <c r="I405" s="1978"/>
      <c r="J405" s="1970">
        <v>-5.2576909765135071E-2</v>
      </c>
      <c r="K405" s="1970">
        <v>-3.2531251372773351E-2</v>
      </c>
      <c r="L405" s="1970">
        <v>3.5890551682360661E-2</v>
      </c>
      <c r="M405" s="1970">
        <v>7.6674802765646755E-2</v>
      </c>
      <c r="N405" s="1970">
        <v>9.2227434064773739E-2</v>
      </c>
      <c r="O405" s="1970">
        <v>3.6576263926069164E-3</v>
      </c>
      <c r="P405" s="1970">
        <v>1.9443668667424863E-3</v>
      </c>
      <c r="Q405" s="1970">
        <v>1.1795582559838147E-2</v>
      </c>
      <c r="R405" s="1970"/>
    </row>
    <row r="406" spans="2:18">
      <c r="B406" s="1821" t="s">
        <v>7081</v>
      </c>
      <c r="C406" s="1977"/>
      <c r="D406" s="1977"/>
      <c r="E406" s="1977"/>
      <c r="F406" s="1977"/>
      <c r="G406" s="1978"/>
      <c r="H406" s="1978"/>
      <c r="I406" s="1978"/>
      <c r="J406" s="1970">
        <v>9.3198210791154867E-2</v>
      </c>
      <c r="K406" s="1970">
        <v>0.16541400831176434</v>
      </c>
      <c r="L406" s="1970">
        <v>0.25832913209777852</v>
      </c>
      <c r="M406" s="1970">
        <v>0.30113869976828167</v>
      </c>
      <c r="N406" s="1970">
        <v>0.30269498749229662</v>
      </c>
      <c r="O406" s="1970">
        <v>0.16670961033440057</v>
      </c>
      <c r="P406" s="1970">
        <v>0.13137913875424956</v>
      </c>
      <c r="Q406" s="1970">
        <v>0.11662862462385681</v>
      </c>
      <c r="R406" s="1970"/>
    </row>
    <row r="407" spans="2:18">
      <c r="B407" s="1821" t="s">
        <v>7186</v>
      </c>
      <c r="C407" s="1821"/>
      <c r="D407" s="1821"/>
      <c r="E407" s="1821"/>
      <c r="F407" s="1821"/>
      <c r="G407" s="1862"/>
      <c r="H407" s="1862"/>
      <c r="I407" s="1862"/>
      <c r="J407" s="1862">
        <v>2866.2218744655647</v>
      </c>
      <c r="K407" s="1862">
        <v>2299.2706495711836</v>
      </c>
      <c r="L407" s="1862">
        <v>2231.816198429829</v>
      </c>
      <c r="M407" s="1862">
        <v>2861.067929044124</v>
      </c>
      <c r="N407" s="1862">
        <v>3679.6163330507502</v>
      </c>
      <c r="O407" s="1862">
        <v>4270.7002669873918</v>
      </c>
      <c r="P407" s="1862">
        <v>4811.9166520064564</v>
      </c>
      <c r="Q407" s="1862">
        <v>5356.4187743498114</v>
      </c>
      <c r="R407" s="1862"/>
    </row>
    <row r="408" spans="2:18">
      <c r="B408" s="1821" t="s">
        <v>7187</v>
      </c>
      <c r="C408" s="1821"/>
      <c r="D408" s="1821"/>
      <c r="E408" s="1821"/>
      <c r="F408" s="1821"/>
      <c r="G408" s="1862"/>
      <c r="H408" s="1862"/>
      <c r="I408" s="1862"/>
      <c r="J408" s="1862">
        <v>2223.4</v>
      </c>
      <c r="K408" s="1862">
        <v>2156.5</v>
      </c>
      <c r="L408" s="1862">
        <v>2134.9349999999999</v>
      </c>
      <c r="M408" s="1862">
        <v>2117.9217686924635</v>
      </c>
      <c r="N408" s="1862">
        <v>2117.9217686924635</v>
      </c>
      <c r="O408" s="1862">
        <v>2308.5347278747854</v>
      </c>
      <c r="P408" s="1862">
        <v>2562.4735479410119</v>
      </c>
      <c r="Q408" s="1862">
        <v>2818.7209027351132</v>
      </c>
      <c r="R408" s="1862"/>
    </row>
    <row r="409" spans="2:18">
      <c r="B409" s="1977" t="s">
        <v>759</v>
      </c>
      <c r="C409" s="1980"/>
      <c r="D409" s="1980"/>
      <c r="E409" s="1980"/>
      <c r="F409" s="1980"/>
      <c r="G409" s="1980"/>
      <c r="H409" s="1980"/>
      <c r="I409" s="1980"/>
      <c r="J409" s="1981">
        <v>4.3947788524744125E-2</v>
      </c>
      <c r="K409" s="1981">
        <v>-3.0089052802015015E-2</v>
      </c>
      <c r="L409" s="1981">
        <v>-0.01</v>
      </c>
      <c r="M409" s="1981">
        <v>-7.968969222733371E-3</v>
      </c>
      <c r="N409" s="1981">
        <v>0</v>
      </c>
      <c r="O409" s="1981">
        <v>0.09</v>
      </c>
      <c r="P409" s="1981">
        <v>0.11</v>
      </c>
      <c r="Q409" s="1981">
        <v>0.1</v>
      </c>
      <c r="R409" s="1981"/>
    </row>
    <row r="410" spans="2:18" ht="13.5" thickBot="1">
      <c r="B410" s="1821" t="s">
        <v>6053</v>
      </c>
      <c r="C410" s="1821"/>
      <c r="D410" s="1821"/>
      <c r="E410" s="1821"/>
      <c r="F410" s="1821"/>
      <c r="G410" s="1862"/>
      <c r="H410" s="1862"/>
      <c r="I410" s="1862"/>
      <c r="J410" s="1987">
        <v>0.10643595557292747</v>
      </c>
      <c r="K410" s="1987">
        <v>-6.1947781224839953E-2</v>
      </c>
      <c r="L410" s="1987">
        <v>-5.1611291320990391E-2</v>
      </c>
      <c r="M410" s="1987">
        <v>0.14800541571154605</v>
      </c>
      <c r="N410" s="1987">
        <v>0.32950028080194277</v>
      </c>
      <c r="O410" s="1987">
        <v>0.40228998999970772</v>
      </c>
      <c r="P410" s="1987">
        <v>0.42348355677440858</v>
      </c>
      <c r="Q410" s="1987">
        <v>0.43486072028103023</v>
      </c>
      <c r="R410" s="1987"/>
    </row>
    <row r="411" spans="2:18" ht="13.5" thickBot="1">
      <c r="B411" s="2215" t="s">
        <v>6673</v>
      </c>
      <c r="C411" s="1982"/>
      <c r="D411" s="1982"/>
      <c r="E411" s="1982"/>
      <c r="F411" s="1982"/>
      <c r="G411" s="1982"/>
      <c r="H411" s="1982"/>
      <c r="I411" s="1982"/>
      <c r="J411" s="1983">
        <v>1.4899536537800189</v>
      </c>
      <c r="K411" s="1983">
        <v>0.42194406865526829</v>
      </c>
      <c r="L411" s="1983">
        <v>0.58438994411531608</v>
      </c>
      <c r="M411" s="1983">
        <v>3.0513138783087088</v>
      </c>
      <c r="N411" s="1983">
        <v>6.1103137980981304</v>
      </c>
      <c r="O411" s="1983">
        <v>8.2517367694403543</v>
      </c>
      <c r="P411" s="1983">
        <v>9.7312935106004268</v>
      </c>
      <c r="Q411" s="1984">
        <v>11.264302376999712</v>
      </c>
      <c r="R411" s="2220"/>
    </row>
    <row r="412" spans="2:18">
      <c r="B412" s="1821" t="s">
        <v>7183</v>
      </c>
      <c r="C412" s="2213"/>
      <c r="D412" s="2213"/>
      <c r="E412" s="2213"/>
      <c r="F412" s="2213"/>
      <c r="G412" s="2213"/>
      <c r="H412" s="2213"/>
      <c r="I412" s="2213"/>
      <c r="J412" s="2216">
        <v>230.15</v>
      </c>
      <c r="K412" s="2216">
        <v>223.8</v>
      </c>
      <c r="L412" s="2216">
        <v>221.20507041739864</v>
      </c>
      <c r="M412" s="2216">
        <v>214.5287233894523</v>
      </c>
      <c r="N412" s="2216">
        <v>204.20608692971612</v>
      </c>
      <c r="O412" s="2216">
        <v>195.58528583013623</v>
      </c>
      <c r="P412" s="2216">
        <v>191.43656736591691</v>
      </c>
      <c r="Q412" s="2216">
        <v>187.22711602371925</v>
      </c>
      <c r="R412" s="2216"/>
    </row>
  </sheetData>
  <mergeCells count="4">
    <mergeCell ref="A87:A96"/>
    <mergeCell ref="A100:A124"/>
    <mergeCell ref="A34:A57"/>
    <mergeCell ref="A60:A83"/>
  </mergeCells>
  <dataValidations count="1">
    <dataValidation type="list" allowBlank="1" showInputMessage="1" showErrorMessage="1" sqref="B1">
      <formula1>"Bull, Base, Bear"</formula1>
    </dataValidation>
  </dataValidations>
  <pageMargins left="0" right="0" top="0" bottom="0" header="0" footer="0"/>
  <pageSetup paperSize="5" scale="1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indexed="12"/>
    <pageSetUpPr autoPageBreaks="0" fitToPage="1"/>
  </sheetPr>
  <dimension ref="A1:JN690"/>
  <sheetViews>
    <sheetView showGridLines="0" zoomScale="90" zoomScaleNormal="90" workbookViewId="0">
      <pane xSplit="1" ySplit="6" topLeftCell="CY7" activePane="bottomRight" state="frozen"/>
      <selection activeCell="BM59" sqref="BM59"/>
      <selection pane="topRight" activeCell="BM59" sqref="BM59"/>
      <selection pane="bottomLeft" activeCell="BM59" sqref="BM59"/>
      <selection pane="bottomRight" activeCell="DW270" sqref="DW270"/>
    </sheetView>
  </sheetViews>
  <sheetFormatPr defaultRowHeight="12.75" outlineLevelRow="3" outlineLevelCol="2"/>
  <cols>
    <col min="1" max="1" width="29.85546875" customWidth="1"/>
    <col min="2" max="2" width="2.28515625" hidden="1" customWidth="1"/>
    <col min="3" max="5" width="7.7109375" hidden="1" customWidth="1" outlineLevel="2"/>
    <col min="6" max="6" width="8" hidden="1" customWidth="1" outlineLevel="2"/>
    <col min="7" max="7" width="7.7109375" hidden="1" customWidth="1" outlineLevel="1" collapsed="1"/>
    <col min="8" max="8" width="1.7109375" hidden="1" customWidth="1" outlineLevel="2"/>
    <col min="9" max="12" width="7.7109375" hidden="1" customWidth="1" outlineLevel="2"/>
    <col min="13" max="13" width="7.7109375" hidden="1" customWidth="1" outlineLevel="1" collapsed="1"/>
    <col min="14" max="14" width="1.7109375" hidden="1" customWidth="1" outlineLevel="2"/>
    <col min="15" max="18" width="7.7109375" hidden="1" customWidth="1" outlineLevel="2"/>
    <col min="19" max="19" width="7.7109375" hidden="1" customWidth="1" outlineLevel="1" collapsed="1"/>
    <col min="20" max="20" width="1.7109375" hidden="1" customWidth="1" outlineLevel="2"/>
    <col min="21" max="24" width="7.7109375" hidden="1" customWidth="1" outlineLevel="2"/>
    <col min="25" max="25" width="8.5703125" hidden="1" customWidth="1" outlineLevel="1" collapsed="1"/>
    <col min="26" max="26" width="2" hidden="1" customWidth="1" outlineLevel="2"/>
    <col min="27" max="30" width="7.7109375" hidden="1" customWidth="1" outlineLevel="2"/>
    <col min="31" max="31" width="9.42578125" hidden="1" customWidth="1" outlineLevel="1" collapsed="1"/>
    <col min="32" max="32" width="1.85546875" hidden="1" customWidth="1" outlineLevel="2"/>
    <col min="33" max="36" width="7.7109375" hidden="1" customWidth="1" outlineLevel="2"/>
    <col min="37" max="37" width="7.7109375" hidden="1" customWidth="1" outlineLevel="1" collapsed="1"/>
    <col min="38" max="38" width="1.7109375" hidden="1" customWidth="1" outlineLevel="2"/>
    <col min="39" max="42" width="7.7109375" hidden="1" customWidth="1" outlineLevel="2"/>
    <col min="43" max="43" width="7.85546875" hidden="1" customWidth="1" outlineLevel="1" collapsed="1"/>
    <col min="44" max="44" width="1.7109375" hidden="1" customWidth="1" outlineLevel="2"/>
    <col min="45" max="46" width="7.7109375" hidden="1" customWidth="1" outlineLevel="2"/>
    <col min="47" max="48" width="8.5703125" hidden="1" customWidth="1" outlineLevel="2"/>
    <col min="49" max="49" width="7.7109375" hidden="1" customWidth="1" outlineLevel="1" collapsed="1"/>
    <col min="50" max="50" width="2" hidden="1" customWidth="1" outlineLevel="2"/>
    <col min="51" max="54" width="7.28515625" hidden="1" customWidth="1" outlineLevel="2"/>
    <col min="55" max="55" width="7.28515625" hidden="1" customWidth="1" outlineLevel="1" collapsed="1"/>
    <col min="56" max="56" width="1.7109375" hidden="1" customWidth="1" outlineLevel="2"/>
    <col min="57" max="60" width="7.28515625" hidden="1" customWidth="1" outlineLevel="2"/>
    <col min="61" max="61" width="7.5703125" hidden="1" customWidth="1" outlineLevel="1" collapsed="1"/>
    <col min="62" max="62" width="1.7109375" hidden="1" customWidth="1" outlineLevel="1" collapsed="1"/>
    <col min="63" max="63" width="7.42578125" hidden="1" customWidth="1" outlineLevel="2"/>
    <col min="64" max="66" width="7.28515625" hidden="1" customWidth="1" outlineLevel="2"/>
    <col min="67" max="67" width="7.28515625" hidden="1" customWidth="1" outlineLevel="1" collapsed="1"/>
    <col min="68" max="68" width="1.7109375" hidden="1" customWidth="1" collapsed="1"/>
    <col min="69" max="72" width="7.28515625" hidden="1" customWidth="1" outlineLevel="1"/>
    <col min="73" max="73" width="7" hidden="1" customWidth="1" outlineLevel="1"/>
    <col min="74" max="74" width="1.7109375" hidden="1" customWidth="1" outlineLevel="1"/>
    <col min="75" max="75" width="7.28515625" hidden="1" customWidth="1" outlineLevel="1"/>
    <col min="76" max="77" width="7.42578125" hidden="1" customWidth="1" outlineLevel="1"/>
    <col min="78" max="78" width="7.5703125" hidden="1" customWidth="1" outlineLevel="1"/>
    <col min="79" max="79" width="6.7109375" hidden="1" customWidth="1" outlineLevel="1"/>
    <col min="80" max="80" width="1.7109375" hidden="1" customWidth="1" outlineLevel="1"/>
    <col min="81" max="84" width="6.28515625" hidden="1" customWidth="1" outlineLevel="1"/>
    <col min="85" max="85" width="6.28515625" hidden="1" customWidth="1" collapsed="1"/>
    <col min="86" max="86" width="1.7109375" hidden="1" customWidth="1" outlineLevel="1"/>
    <col min="87" max="90" width="6.28515625" hidden="1" customWidth="1" outlineLevel="1"/>
    <col min="91" max="91" width="7.28515625" hidden="1" customWidth="1" collapsed="1"/>
    <col min="92" max="92" width="1.7109375" hidden="1" customWidth="1" outlineLevel="1"/>
    <col min="93" max="93" width="6.7109375" hidden="1" customWidth="1" outlineLevel="1"/>
    <col min="94" max="95" width="7.28515625" hidden="1" customWidth="1" outlineLevel="1"/>
    <col min="96" max="96" width="6.7109375" hidden="1" customWidth="1" outlineLevel="1"/>
    <col min="97" max="97" width="7.28515625" hidden="1" customWidth="1" collapsed="1"/>
    <col min="98" max="98" width="1.7109375" style="1992" hidden="1" customWidth="1" outlineLevel="1"/>
    <col min="99" max="101" width="7.28515625" hidden="1" customWidth="1" outlineLevel="1"/>
    <col min="102" max="102" width="0.28515625" hidden="1" customWidth="1" outlineLevel="1"/>
    <col min="103" max="103" width="7.28515625" customWidth="1" collapsed="1"/>
    <col min="104" max="104" width="1.28515625" customWidth="1"/>
    <col min="105" max="108" width="7.28515625" hidden="1" customWidth="1" outlineLevel="1"/>
    <col min="109" max="109" width="7.28515625" customWidth="1" collapsed="1"/>
    <col min="110" max="110" width="1.28515625" customWidth="1"/>
    <col min="111" max="114" width="7.28515625" hidden="1" customWidth="1" outlineLevel="1"/>
    <col min="115" max="115" width="7.28515625" customWidth="1" collapsed="1"/>
    <col min="116" max="116" width="1.7109375" customWidth="1"/>
    <col min="117" max="118" width="7.28515625" hidden="1" customWidth="1" outlineLevel="1"/>
    <col min="119" max="119" width="7.28515625" style="1993" hidden="1" customWidth="1" outlineLevel="1"/>
    <col min="120" max="120" width="7.28515625" hidden="1" customWidth="1" outlineLevel="1"/>
    <col min="121" max="121" width="7.28515625" customWidth="1" collapsed="1"/>
    <col min="122" max="122" width="1.7109375" customWidth="1"/>
    <col min="123" max="126" width="7.28515625" hidden="1" customWidth="1" outlineLevel="1"/>
    <col min="127" max="127" width="7.28515625" customWidth="1" collapsed="1"/>
    <col min="128" max="128" width="1.7109375" style="1787" customWidth="1"/>
    <col min="129" max="132" width="7.28515625" style="1787" customWidth="1" outlineLevel="1"/>
    <col min="133" max="133" width="7.28515625" style="1787" customWidth="1"/>
    <col min="134" max="134" width="1.7109375" style="2008" customWidth="1"/>
    <col min="135" max="138" width="7.28515625" style="2008" customWidth="1" outlineLevel="1"/>
    <col min="139" max="139" width="7.28515625" style="2008" customWidth="1"/>
    <col min="140" max="140" width="1.7109375" style="2117" customWidth="1"/>
    <col min="141" max="144" width="7.28515625" style="2117" hidden="1" customWidth="1" outlineLevel="1"/>
    <col min="145" max="145" width="7.28515625" style="2117" customWidth="1" collapsed="1"/>
    <col min="146" max="146" width="1.7109375" style="2285" customWidth="1"/>
    <col min="147" max="150" width="7.28515625" style="2285" hidden="1" customWidth="1" outlineLevel="1"/>
    <col min="151" max="151" width="7.28515625" style="2285" customWidth="1" collapsed="1"/>
    <col min="155" max="155" width="10.42578125" bestFit="1" customWidth="1"/>
  </cols>
  <sheetData>
    <row r="1" spans="1:159" ht="20.100000000000001" customHeight="1">
      <c r="A1" s="775" t="str">
        <f>Model!A1</f>
        <v>Autodesk</v>
      </c>
      <c r="B1" s="762"/>
      <c r="C1" s="764"/>
      <c r="D1" s="762"/>
      <c r="E1" s="762"/>
      <c r="F1" s="764"/>
      <c r="G1" s="764"/>
      <c r="H1" s="764"/>
      <c r="I1" s="764"/>
      <c r="J1" s="764"/>
      <c r="K1" s="764"/>
      <c r="L1" s="764"/>
      <c r="M1" s="764"/>
      <c r="N1" s="764"/>
      <c r="O1" s="764"/>
      <c r="P1" s="764"/>
      <c r="Q1" s="764"/>
      <c r="R1" s="764"/>
      <c r="S1" s="764"/>
      <c r="T1" s="764"/>
      <c r="U1" s="764"/>
      <c r="V1" s="764"/>
      <c r="W1" s="764"/>
      <c r="X1" s="764"/>
      <c r="Y1" s="764"/>
      <c r="Z1" s="764"/>
      <c r="AA1" s="764"/>
      <c r="AB1" s="764"/>
      <c r="AC1" s="764"/>
      <c r="AD1" s="764"/>
      <c r="AE1" s="764"/>
      <c r="AF1" s="764"/>
      <c r="AG1" s="764"/>
      <c r="AH1" s="764"/>
      <c r="AI1" s="764"/>
      <c r="AJ1" s="764"/>
      <c r="AK1" s="764"/>
      <c r="AL1" s="764"/>
      <c r="AM1" s="764"/>
      <c r="AN1" s="764"/>
      <c r="AO1" s="764"/>
      <c r="AP1" s="764"/>
      <c r="AQ1" s="764"/>
      <c r="AR1" s="764"/>
      <c r="AS1" s="764"/>
      <c r="AT1" s="764"/>
      <c r="AU1" s="764"/>
      <c r="AV1" s="764"/>
      <c r="AW1" s="764"/>
      <c r="AX1" s="764"/>
      <c r="AY1" s="840"/>
      <c r="AZ1" s="776"/>
      <c r="BA1" s="776"/>
      <c r="BB1" s="776"/>
      <c r="BC1" s="776"/>
      <c r="BD1" s="3"/>
      <c r="BE1" s="840"/>
      <c r="BF1" s="776"/>
      <c r="BG1" s="776"/>
      <c r="BH1" s="776"/>
      <c r="BI1" s="776"/>
      <c r="BJ1" s="3"/>
      <c r="BK1" s="1683"/>
      <c r="BL1" s="1683"/>
      <c r="BM1" s="1683"/>
      <c r="BN1" s="1683"/>
      <c r="BO1" s="764"/>
      <c r="BP1" s="3"/>
      <c r="BQ1" s="1683"/>
      <c r="BR1" s="1683"/>
      <c r="BS1" s="1683"/>
      <c r="BT1" s="1683"/>
      <c r="BU1" s="3"/>
      <c r="BV1" s="3"/>
      <c r="BW1" s="1683"/>
      <c r="BX1" s="1683"/>
      <c r="BY1" s="1683"/>
      <c r="BZ1" s="1683"/>
      <c r="CA1" s="3"/>
      <c r="CB1" s="3"/>
      <c r="CC1" s="1683"/>
      <c r="CD1" s="1683"/>
      <c r="CE1" s="1683"/>
      <c r="CF1" s="1683"/>
      <c r="CG1" s="3"/>
      <c r="CH1" s="3"/>
      <c r="CI1" s="1683"/>
      <c r="CJ1" s="1683"/>
      <c r="CK1" s="1683"/>
      <c r="CL1" s="1683"/>
      <c r="CM1" s="3"/>
      <c r="CN1" s="4"/>
      <c r="CO1" s="1683"/>
      <c r="CP1" s="1683"/>
      <c r="CQ1" s="1683"/>
      <c r="CR1" s="1683"/>
      <c r="CS1" s="4"/>
      <c r="CT1" s="4"/>
      <c r="CU1" s="1757"/>
      <c r="CV1" s="1757"/>
      <c r="CW1" s="1757"/>
      <c r="CX1" s="1757"/>
      <c r="CY1" s="1757"/>
      <c r="CZ1" s="1757"/>
      <c r="DA1" s="1757"/>
      <c r="DB1" s="1757"/>
      <c r="DC1" s="1757"/>
      <c r="DD1" s="1757"/>
      <c r="DE1" s="1755"/>
      <c r="DF1" s="1746"/>
      <c r="DG1" s="268"/>
      <c r="DH1" s="268"/>
      <c r="DI1" s="268"/>
      <c r="DJ1" s="268"/>
      <c r="DK1" s="1746"/>
      <c r="DL1" s="1757"/>
      <c r="DM1" s="1757"/>
      <c r="DN1" s="1757"/>
      <c r="DO1" s="1757"/>
      <c r="DP1" s="1757"/>
      <c r="DQ1" s="1755"/>
      <c r="DR1" s="1746"/>
      <c r="DS1" s="4"/>
      <c r="DT1" s="4"/>
      <c r="DU1" s="4"/>
      <c r="DV1" s="4"/>
      <c r="DW1" s="1755"/>
      <c r="DX1" s="1755"/>
      <c r="DY1" s="2218"/>
      <c r="DZ1" s="2218"/>
      <c r="EA1" s="2226"/>
      <c r="EB1" s="2227"/>
      <c r="EC1" s="2218"/>
      <c r="ED1" s="2218"/>
      <c r="EE1" s="2218"/>
      <c r="EF1" s="2218"/>
      <c r="EG1" s="2218"/>
      <c r="EH1" s="2218"/>
      <c r="EI1" s="2218"/>
      <c r="EJ1" s="2218"/>
      <c r="EK1" s="2218"/>
      <c r="EL1" s="2218"/>
      <c r="EM1" s="2218"/>
      <c r="EN1" s="2218"/>
      <c r="EO1" s="2218"/>
      <c r="EP1" s="2218"/>
      <c r="EQ1" s="2218"/>
      <c r="ER1" s="2218"/>
      <c r="ES1" s="2218"/>
      <c r="ET1" s="2218"/>
      <c r="EU1" s="2218"/>
    </row>
    <row r="2" spans="1:159" ht="19.5" customHeight="1">
      <c r="A2" s="575" t="s">
        <v>4582</v>
      </c>
      <c r="B2" s="10"/>
      <c r="C2" s="10"/>
      <c r="D2" s="10"/>
      <c r="E2" s="10"/>
      <c r="F2" s="10"/>
      <c r="G2" s="4"/>
      <c r="H2" s="268"/>
      <c r="I2" s="4"/>
      <c r="J2" s="10"/>
      <c r="K2" s="4"/>
      <c r="L2" s="10"/>
      <c r="M2" s="4"/>
      <c r="N2" s="4"/>
      <c r="O2" s="4"/>
      <c r="P2" s="10"/>
      <c r="Q2" s="4"/>
      <c r="R2" s="10"/>
      <c r="S2" s="4"/>
      <c r="T2" s="4"/>
      <c r="U2" s="4"/>
      <c r="V2" s="10"/>
      <c r="W2" s="4"/>
      <c r="X2" s="10"/>
      <c r="Y2" s="4"/>
      <c r="Z2" s="4"/>
      <c r="AA2" s="4"/>
      <c r="AB2" s="10"/>
      <c r="AC2" s="4"/>
      <c r="AD2" s="10"/>
      <c r="AE2" s="4"/>
      <c r="AF2" s="4"/>
      <c r="AG2" s="4"/>
      <c r="AH2" s="10"/>
      <c r="AI2" s="4"/>
      <c r="AJ2" s="10"/>
      <c r="AK2" s="4"/>
      <c r="AL2" s="4"/>
      <c r="AM2" s="4"/>
      <c r="AN2" s="10"/>
      <c r="AO2" s="4"/>
      <c r="AP2" s="10"/>
      <c r="AQ2" s="4"/>
      <c r="AR2" s="4"/>
      <c r="AS2" s="4"/>
      <c r="AT2" s="10"/>
      <c r="AU2" s="4"/>
      <c r="AV2" s="10"/>
      <c r="AW2" s="4"/>
      <c r="AX2" s="4"/>
      <c r="AY2" s="1463"/>
      <c r="AZ2" s="1463"/>
      <c r="BA2" s="1463"/>
      <c r="BB2" s="1463"/>
      <c r="BC2" s="702"/>
      <c r="BD2" s="4"/>
      <c r="BE2" s="1463"/>
      <c r="BF2" s="693"/>
      <c r="BG2" s="702"/>
      <c r="BH2" s="693"/>
      <c r="BI2" s="693"/>
      <c r="BJ2" s="4"/>
      <c r="BK2" s="4"/>
      <c r="BL2" s="10"/>
      <c r="BM2" s="4"/>
      <c r="BN2" s="10"/>
      <c r="BO2" s="4"/>
      <c r="BP2" s="4"/>
      <c r="BQ2" s="1433"/>
      <c r="BR2" s="1433"/>
      <c r="BS2" s="1433"/>
      <c r="BT2" s="1433"/>
      <c r="BU2" s="4"/>
      <c r="BV2" s="4"/>
      <c r="BW2" s="1433"/>
      <c r="BX2" s="1433"/>
      <c r="BY2" s="1433"/>
      <c r="BZ2" s="1433"/>
      <c r="CA2" s="4"/>
      <c r="CB2" s="4"/>
      <c r="CC2" s="1433"/>
      <c r="CD2" s="1433"/>
      <c r="CE2" s="1433"/>
      <c r="CF2" s="1433"/>
      <c r="CG2" s="4"/>
      <c r="CH2" s="7"/>
      <c r="CI2" s="1684"/>
      <c r="CJ2" s="1684"/>
      <c r="CK2" s="1684"/>
      <c r="CL2" s="1684"/>
      <c r="CM2" s="7"/>
      <c r="CN2" s="7"/>
      <c r="CO2" s="1684"/>
      <c r="CP2" s="1684"/>
      <c r="CQ2" s="1684"/>
      <c r="CR2" s="1684"/>
      <c r="CS2" s="7"/>
      <c r="CT2" s="7"/>
      <c r="CU2" s="6"/>
      <c r="CV2" s="7"/>
      <c r="CW2" s="7"/>
      <c r="CX2" s="7"/>
      <c r="CY2" s="7"/>
      <c r="CZ2" s="7"/>
      <c r="DA2" s="1744"/>
      <c r="DB2" s="1744"/>
      <c r="DC2" s="7"/>
      <c r="DD2" s="1747"/>
      <c r="DE2" s="1752"/>
      <c r="DF2" s="1752"/>
      <c r="DG2" s="8"/>
      <c r="DH2" s="8"/>
      <c r="DI2" s="8"/>
      <c r="DJ2" s="1747"/>
      <c r="DK2" s="1752"/>
      <c r="DL2" s="1756"/>
      <c r="DM2" s="1806"/>
      <c r="DN2" s="1807"/>
      <c r="DO2" s="1807"/>
      <c r="DP2" s="1758"/>
      <c r="DQ2" s="1802"/>
      <c r="DR2" s="9"/>
      <c r="DS2" s="8"/>
      <c r="DT2" s="8"/>
      <c r="DU2" s="8"/>
      <c r="DV2" s="1747"/>
      <c r="DW2" s="1752"/>
      <c r="DX2" s="9"/>
      <c r="DY2" s="8"/>
      <c r="DZ2" s="8"/>
      <c r="EA2" s="8"/>
      <c r="EB2" s="1747"/>
      <c r="EC2" s="1752"/>
      <c r="ED2" s="9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</row>
    <row r="3" spans="1:159" ht="7.5" customHeight="1">
      <c r="A3" s="775"/>
      <c r="B3" s="762"/>
      <c r="C3" s="762"/>
      <c r="D3" s="762"/>
      <c r="E3" s="762"/>
      <c r="F3" s="762"/>
      <c r="G3" s="764"/>
      <c r="H3" s="766"/>
      <c r="I3" s="764"/>
      <c r="J3" s="762"/>
      <c r="K3" s="764"/>
      <c r="L3" s="762"/>
      <c r="M3" s="764"/>
      <c r="N3" s="764"/>
      <c r="O3" s="764"/>
      <c r="P3" s="762"/>
      <c r="Q3" s="764"/>
      <c r="R3" s="762"/>
      <c r="S3" s="764"/>
      <c r="T3" s="764"/>
      <c r="U3" s="764"/>
      <c r="V3" s="762"/>
      <c r="W3" s="764"/>
      <c r="X3" s="762"/>
      <c r="Y3" s="764"/>
      <c r="Z3" s="764"/>
      <c r="AA3" s="764"/>
      <c r="AB3" s="762"/>
      <c r="AC3" s="764"/>
      <c r="AD3" s="762"/>
      <c r="AE3" s="764"/>
      <c r="AF3" s="764"/>
      <c r="AG3" s="764"/>
      <c r="AH3" s="762"/>
      <c r="AI3" s="764"/>
      <c r="AJ3" s="762"/>
      <c r="AK3" s="764"/>
      <c r="AL3" s="764"/>
      <c r="AM3" s="764"/>
      <c r="AN3" s="762"/>
      <c r="AO3" s="764"/>
      <c r="AP3" s="762"/>
      <c r="AQ3" s="764"/>
      <c r="AR3" s="764"/>
      <c r="AS3" s="764"/>
      <c r="AT3" s="762"/>
      <c r="AU3" s="764"/>
      <c r="AV3" s="762"/>
      <c r="AW3" s="764"/>
      <c r="AX3" s="764"/>
      <c r="AY3" s="776"/>
      <c r="AZ3" s="1464"/>
      <c r="BA3" s="776"/>
      <c r="BB3" s="1464"/>
      <c r="BC3" s="776"/>
      <c r="BD3" s="764"/>
      <c r="BE3" s="776"/>
      <c r="BF3" s="1464"/>
      <c r="BG3" s="776"/>
      <c r="BH3" s="1464"/>
      <c r="BI3" s="776"/>
      <c r="BJ3" s="764"/>
      <c r="BK3" s="764"/>
      <c r="BL3" s="762"/>
      <c r="BM3" s="764"/>
      <c r="BN3" s="762"/>
      <c r="BO3" s="764"/>
      <c r="BP3" s="764"/>
      <c r="BQ3" s="764"/>
      <c r="BR3" s="762"/>
      <c r="BS3" s="764"/>
      <c r="BT3" s="762"/>
      <c r="BU3" s="764"/>
      <c r="BV3" s="764"/>
      <c r="BW3" s="764"/>
      <c r="BX3" s="762"/>
      <c r="BY3" s="764"/>
      <c r="BZ3" s="762"/>
      <c r="CA3" s="764"/>
      <c r="CB3" s="764"/>
      <c r="CC3" s="764"/>
      <c r="CD3" s="762"/>
      <c r="CE3" s="764"/>
      <c r="CF3" s="762"/>
      <c r="CG3" s="764"/>
      <c r="CH3" s="4"/>
      <c r="CI3" s="4"/>
      <c r="CJ3" s="4"/>
      <c r="CK3" s="702"/>
      <c r="CL3" s="10"/>
      <c r="CM3" s="4"/>
      <c r="CN3" s="4"/>
      <c r="CO3" s="4"/>
      <c r="CP3" s="10"/>
      <c r="CQ3" s="4"/>
      <c r="CR3" s="10"/>
      <c r="CS3" s="4"/>
      <c r="CT3" s="4"/>
      <c r="CU3" s="4"/>
      <c r="CV3" s="10"/>
      <c r="CW3" s="4"/>
      <c r="CX3" s="10"/>
      <c r="CY3" s="4"/>
      <c r="CZ3" s="4"/>
      <c r="DA3" s="4"/>
      <c r="DB3" s="10"/>
      <c r="DC3" s="4"/>
      <c r="DD3" s="10"/>
      <c r="DE3" s="4"/>
      <c r="DF3" s="4"/>
      <c r="DG3" s="4"/>
      <c r="DH3" s="10"/>
      <c r="DI3" s="4"/>
      <c r="DJ3" s="10"/>
      <c r="DK3" s="4"/>
      <c r="DL3" s="4"/>
      <c r="DM3" s="4"/>
      <c r="DN3" s="10"/>
      <c r="DO3" s="10"/>
      <c r="DP3" s="10"/>
      <c r="DQ3" s="4"/>
      <c r="DR3" s="4"/>
      <c r="DS3" s="4"/>
      <c r="DT3" s="10"/>
      <c r="DU3" s="4"/>
      <c r="DV3" s="10"/>
      <c r="DW3" s="4"/>
      <c r="DX3" s="4"/>
      <c r="DY3" s="4"/>
      <c r="DZ3" s="10"/>
      <c r="EA3" s="4"/>
      <c r="EB3" s="10"/>
      <c r="EC3" s="4"/>
      <c r="ED3" s="4"/>
      <c r="EE3" s="4"/>
      <c r="EF3" s="10"/>
      <c r="EG3" s="4"/>
      <c r="EH3" s="10"/>
      <c r="EI3" s="4"/>
      <c r="EJ3" s="4"/>
      <c r="EK3" s="4"/>
      <c r="EL3" s="10"/>
      <c r="EM3" s="4"/>
      <c r="EN3" s="10"/>
      <c r="EO3" s="4"/>
      <c r="EP3" s="4"/>
      <c r="EQ3" s="4"/>
      <c r="ER3" s="10"/>
      <c r="ES3" s="4"/>
      <c r="ET3" s="10"/>
      <c r="EU3" s="4"/>
    </row>
    <row r="4" spans="1:159" ht="11.25" customHeight="1">
      <c r="A4" s="195" t="s">
        <v>651</v>
      </c>
      <c r="B4" s="12"/>
      <c r="C4" s="12"/>
      <c r="D4" s="12"/>
      <c r="E4" s="12"/>
      <c r="F4" s="13"/>
      <c r="G4" s="13"/>
      <c r="H4" s="12"/>
      <c r="I4" s="12"/>
      <c r="J4" s="12"/>
      <c r="K4" s="12"/>
      <c r="L4" s="13"/>
      <c r="M4" s="13"/>
      <c r="N4" s="13"/>
      <c r="O4" s="12"/>
      <c r="P4" s="12"/>
      <c r="Q4" s="12"/>
      <c r="R4" s="13"/>
      <c r="S4" s="13"/>
      <c r="T4" s="13"/>
      <c r="U4" s="12"/>
      <c r="V4" s="12"/>
      <c r="W4" s="12"/>
      <c r="X4" s="13"/>
      <c r="Y4" s="13"/>
      <c r="Z4" s="13"/>
      <c r="AA4" s="12"/>
      <c r="AB4" s="12"/>
      <c r="AC4" s="12"/>
      <c r="AD4" s="13"/>
      <c r="AE4" s="13"/>
      <c r="AF4" s="13"/>
      <c r="AG4" s="12"/>
      <c r="AH4" s="12"/>
      <c r="AI4" s="12"/>
      <c r="AJ4" s="13"/>
      <c r="AK4" s="13"/>
      <c r="AL4" s="13"/>
      <c r="AM4" s="12"/>
      <c r="AN4" s="12"/>
      <c r="AO4" s="12"/>
      <c r="AP4" s="13"/>
      <c r="AQ4" s="13"/>
      <c r="AR4" s="13"/>
      <c r="AS4" s="12"/>
      <c r="AT4" s="12"/>
      <c r="AU4" s="12"/>
      <c r="AV4" s="13"/>
      <c r="AW4" s="13"/>
      <c r="AX4" s="13"/>
      <c r="AY4" s="703"/>
      <c r="AZ4" s="703"/>
      <c r="BA4" s="703"/>
      <c r="BB4" s="163"/>
      <c r="BC4" s="163"/>
      <c r="BD4" s="12"/>
      <c r="BE4" s="703"/>
      <c r="BF4" s="703"/>
      <c r="BG4" s="703"/>
      <c r="BH4" s="163"/>
      <c r="BI4" s="163"/>
      <c r="BJ4" s="12"/>
      <c r="BK4" s="12"/>
      <c r="BL4" s="12"/>
      <c r="BM4" s="12"/>
      <c r="BN4" s="13"/>
      <c r="BO4" s="12"/>
      <c r="BP4" s="12"/>
      <c r="BQ4" s="12"/>
      <c r="BR4" s="12"/>
      <c r="BS4" s="12"/>
      <c r="BT4" s="13"/>
      <c r="BU4" s="13"/>
      <c r="BV4" s="12"/>
      <c r="BW4" s="12"/>
      <c r="BX4" s="12"/>
      <c r="BY4" s="12"/>
      <c r="BZ4" s="13"/>
      <c r="CA4" s="13"/>
      <c r="CB4" s="12"/>
      <c r="CC4" s="12"/>
      <c r="CD4" s="12"/>
      <c r="CE4" s="12"/>
      <c r="CF4" s="13"/>
      <c r="CG4" s="13"/>
      <c r="CH4" s="12"/>
      <c r="CI4" s="12"/>
      <c r="CJ4" s="12"/>
      <c r="CK4" s="703"/>
      <c r="CL4" s="13"/>
      <c r="CM4" s="13"/>
      <c r="CN4" s="12"/>
      <c r="CO4" s="12"/>
      <c r="CP4" s="12"/>
      <c r="CQ4" s="12"/>
      <c r="CR4" s="13"/>
      <c r="CS4" s="13"/>
      <c r="CT4" s="13"/>
      <c r="CU4" s="12"/>
      <c r="CV4" s="12"/>
      <c r="CW4" s="12"/>
      <c r="CX4" s="13"/>
      <c r="CY4" s="13"/>
      <c r="CZ4" s="13"/>
      <c r="DA4" s="12"/>
      <c r="DB4" s="12"/>
      <c r="DC4" s="12"/>
      <c r="DD4" s="13"/>
      <c r="DE4" s="13"/>
      <c r="DF4" s="13"/>
      <c r="DG4" s="12"/>
      <c r="DH4" s="12"/>
      <c r="DI4" s="89"/>
      <c r="DJ4" s="1745"/>
      <c r="DK4" s="13"/>
      <c r="DL4" s="12"/>
      <c r="DM4" s="12"/>
      <c r="DN4" s="12"/>
      <c r="DO4" s="12"/>
      <c r="DP4" s="13"/>
      <c r="DQ4" s="13"/>
      <c r="DR4" s="13"/>
      <c r="DS4" s="12"/>
      <c r="DT4" s="12"/>
      <c r="DU4" s="12"/>
      <c r="DV4" s="13"/>
      <c r="DW4" s="13"/>
      <c r="DX4" s="13"/>
      <c r="DY4" s="12"/>
      <c r="DZ4" s="12"/>
      <c r="EA4" s="12"/>
      <c r="EB4" s="13"/>
      <c r="EC4" s="13"/>
      <c r="ED4" s="13"/>
      <c r="EE4" s="12"/>
      <c r="EF4" s="12"/>
      <c r="EG4" s="12"/>
      <c r="EH4" s="13"/>
      <c r="EI4" s="13"/>
      <c r="EJ4" s="13"/>
      <c r="EK4" s="12"/>
      <c r="EL4" s="12"/>
      <c r="EM4" s="12"/>
      <c r="EN4" s="13"/>
      <c r="EO4" s="13"/>
      <c r="EP4" s="13"/>
      <c r="EQ4" s="12"/>
      <c r="ER4" s="12"/>
      <c r="ES4" s="12"/>
      <c r="ET4" s="13"/>
      <c r="EU4" s="13"/>
    </row>
    <row r="5" spans="1:159" ht="11.25" customHeight="1">
      <c r="A5" s="196"/>
      <c r="B5" s="1244"/>
      <c r="C5" s="1244">
        <f>Model!C6</f>
        <v>1997</v>
      </c>
      <c r="D5" s="841"/>
      <c r="E5" s="1245"/>
      <c r="F5" s="841"/>
      <c r="G5" s="841"/>
      <c r="H5" s="18"/>
      <c r="I5" s="1244">
        <f>Model!I6</f>
        <v>1998</v>
      </c>
      <c r="J5" s="841"/>
      <c r="K5" s="1245"/>
      <c r="L5" s="841"/>
      <c r="M5" s="841"/>
      <c r="N5" s="18"/>
      <c r="O5" s="1244">
        <f>Model!O6</f>
        <v>1999</v>
      </c>
      <c r="P5" s="841"/>
      <c r="Q5" s="1245"/>
      <c r="R5" s="841"/>
      <c r="S5" s="841"/>
      <c r="T5" s="18"/>
      <c r="U5" s="1244">
        <f>Model!U6</f>
        <v>2000</v>
      </c>
      <c r="V5" s="841"/>
      <c r="W5" s="1245"/>
      <c r="X5" s="841"/>
      <c r="Y5" s="841"/>
      <c r="Z5" s="18"/>
      <c r="AA5" s="1244">
        <f>Model!AA6</f>
        <v>2001</v>
      </c>
      <c r="AB5" s="841"/>
      <c r="AC5" s="1245"/>
      <c r="AD5" s="841"/>
      <c r="AE5" s="841"/>
      <c r="AF5" s="18"/>
      <c r="AG5" s="1244">
        <f>Model!AG6</f>
        <v>2002</v>
      </c>
      <c r="AH5" s="841"/>
      <c r="AI5" s="1245"/>
      <c r="AJ5" s="841"/>
      <c r="AK5" s="841"/>
      <c r="AL5" s="18"/>
      <c r="AM5" s="1244">
        <f>Model!AM6</f>
        <v>2003</v>
      </c>
      <c r="AN5" s="841"/>
      <c r="AO5" s="1245"/>
      <c r="AP5" s="841"/>
      <c r="AQ5" s="841"/>
      <c r="AR5" s="18"/>
      <c r="AS5" s="1244" t="str">
        <f>Model!AS6</f>
        <v>2004</v>
      </c>
      <c r="AT5" s="841"/>
      <c r="AU5" s="1245"/>
      <c r="AV5" s="841"/>
      <c r="AW5" s="841"/>
      <c r="AX5" s="18"/>
      <c r="AY5" s="2306" t="str">
        <f>Model!AY6</f>
        <v>2005</v>
      </c>
      <c r="AZ5" s="2306"/>
      <c r="BA5" s="2306"/>
      <c r="BB5" s="2306"/>
      <c r="BC5" s="2306"/>
      <c r="BD5" s="18"/>
      <c r="BE5" s="2306" t="str">
        <f>Model!BE6</f>
        <v>2006</v>
      </c>
      <c r="BF5" s="2306"/>
      <c r="BG5" s="2306"/>
      <c r="BH5" s="2306"/>
      <c r="BI5" s="2306"/>
      <c r="BJ5" s="18"/>
      <c r="BK5" s="1244" t="str">
        <f>Model!BK6</f>
        <v>2007</v>
      </c>
      <c r="BL5" s="841"/>
      <c r="BM5" s="1245"/>
      <c r="BN5" s="841"/>
      <c r="BO5" s="841"/>
      <c r="BP5" s="18"/>
      <c r="BQ5" s="1244" t="str">
        <f>Model!BQ6</f>
        <v>2008</v>
      </c>
      <c r="BR5" s="841"/>
      <c r="BS5" s="1245"/>
      <c r="BT5" s="841"/>
      <c r="BU5" s="841"/>
      <c r="BV5" s="18"/>
      <c r="BW5" s="1244" t="str">
        <f>Model!BW6</f>
        <v>2009</v>
      </c>
      <c r="BX5" s="841"/>
      <c r="BY5" s="1245"/>
      <c r="BZ5" s="841"/>
      <c r="CA5" s="841"/>
      <c r="CB5" s="18"/>
      <c r="CC5" s="1244" t="str">
        <f>Model!CC6</f>
        <v>2010</v>
      </c>
      <c r="CD5" s="841"/>
      <c r="CE5" s="1245"/>
      <c r="CF5" s="841"/>
      <c r="CG5" s="1542"/>
      <c r="CH5" s="1445"/>
      <c r="CI5" s="2307" t="str">
        <f>Model!CI6</f>
        <v>2011</v>
      </c>
      <c r="CJ5" s="2307"/>
      <c r="CK5" s="2307"/>
      <c r="CL5" s="2307"/>
      <c r="CM5" s="1542"/>
      <c r="CN5" s="1445"/>
      <c r="CO5" s="15" t="str">
        <f>Model!CO6</f>
        <v>2012</v>
      </c>
      <c r="CP5" s="16"/>
      <c r="CQ5" s="17"/>
      <c r="CR5" s="16"/>
      <c r="CS5" s="16"/>
      <c r="CT5" s="16"/>
      <c r="CU5" s="15" t="str">
        <f>Model!CU6</f>
        <v>2013</v>
      </c>
      <c r="CV5" s="16"/>
      <c r="CW5" s="17"/>
      <c r="CX5" s="16"/>
      <c r="CY5" s="16"/>
      <c r="CZ5" s="16"/>
      <c r="DA5" s="15" t="str">
        <f>Model!DA6</f>
        <v>2014</v>
      </c>
      <c r="DB5" s="16"/>
      <c r="DC5" s="17"/>
      <c r="DD5" s="16"/>
      <c r="DE5" s="16"/>
      <c r="DF5" s="16"/>
      <c r="DG5" s="15" t="str">
        <f>Model!DG6</f>
        <v>2015</v>
      </c>
      <c r="DH5" s="16"/>
      <c r="DI5" s="17"/>
      <c r="DJ5" s="16"/>
      <c r="DK5" s="16"/>
      <c r="DL5" s="1445"/>
      <c r="DM5" s="15" t="str">
        <f>Model!DM6</f>
        <v>2016</v>
      </c>
      <c r="DN5" s="16"/>
      <c r="DO5" s="16"/>
      <c r="DP5" s="16"/>
      <c r="DQ5" s="16"/>
      <c r="DR5" s="841"/>
      <c r="DS5" s="15" t="str">
        <f>Model!DS6</f>
        <v>2017</v>
      </c>
      <c r="DT5" s="16"/>
      <c r="DU5" s="17"/>
      <c r="DV5" s="16"/>
      <c r="DW5" s="16"/>
      <c r="DX5" s="841"/>
      <c r="DY5" s="15" t="str">
        <f>Model!DY6</f>
        <v>2018</v>
      </c>
      <c r="DZ5" s="16"/>
      <c r="EA5" s="17"/>
      <c r="EB5" s="16"/>
      <c r="EC5" s="16"/>
      <c r="ED5" s="841"/>
      <c r="EE5" s="15" t="str">
        <f>Model!EE6</f>
        <v>2019e</v>
      </c>
      <c r="EF5" s="16"/>
      <c r="EG5" s="17"/>
      <c r="EH5" s="16"/>
      <c r="EI5" s="16"/>
      <c r="EJ5" s="841"/>
      <c r="EK5" s="15" t="str">
        <f>Model!EK6</f>
        <v>2020e</v>
      </c>
      <c r="EL5" s="16"/>
      <c r="EM5" s="17"/>
      <c r="EN5" s="16"/>
      <c r="EO5" s="16"/>
      <c r="EP5" s="841"/>
      <c r="EQ5" s="15" t="str">
        <f>Model!EQ6</f>
        <v>2021e</v>
      </c>
      <c r="ER5" s="16"/>
      <c r="ES5" s="17"/>
      <c r="ET5" s="16"/>
      <c r="EU5" s="16"/>
    </row>
    <row r="6" spans="1:159">
      <c r="A6" s="1465"/>
      <c r="B6" s="1362"/>
      <c r="C6" s="1362" t="str">
        <f>Model!C7</f>
        <v>4/96</v>
      </c>
      <c r="D6" s="1362" t="str">
        <f>Model!D7</f>
        <v>7/96</v>
      </c>
      <c r="E6" s="1362" t="str">
        <f>Model!E7</f>
        <v>10/96</v>
      </c>
      <c r="F6" s="1362" t="str">
        <f>Model!F7</f>
        <v>1/97</v>
      </c>
      <c r="G6" s="1362" t="str">
        <f>Model!G7</f>
        <v>FY97</v>
      </c>
      <c r="H6" s="1362"/>
      <c r="I6" s="1362" t="str">
        <f>Model!I7</f>
        <v>4/97</v>
      </c>
      <c r="J6" s="1362" t="str">
        <f>Model!J7</f>
        <v>7/97</v>
      </c>
      <c r="K6" s="1362" t="str">
        <f>Model!K7</f>
        <v>10/97</v>
      </c>
      <c r="L6" s="1362" t="str">
        <f>Model!L7</f>
        <v>1/98</v>
      </c>
      <c r="M6" s="1362" t="str">
        <f>Model!M7</f>
        <v>FY98</v>
      </c>
      <c r="N6" s="1362"/>
      <c r="O6" s="1362" t="str">
        <f>Model!O7</f>
        <v>4/98</v>
      </c>
      <c r="P6" s="1362" t="str">
        <f>Model!P7</f>
        <v>7/98</v>
      </c>
      <c r="Q6" s="1362" t="str">
        <f>Model!Q7</f>
        <v>10/98</v>
      </c>
      <c r="R6" s="1362" t="str">
        <f>Model!R7</f>
        <v>1/99</v>
      </c>
      <c r="S6" s="1362" t="str">
        <f>Model!S7</f>
        <v>FY99</v>
      </c>
      <c r="T6" s="1362"/>
      <c r="U6" s="1362" t="str">
        <f>Model!U7</f>
        <v>4/99</v>
      </c>
      <c r="V6" s="1362" t="str">
        <f>Model!V7</f>
        <v>7/99</v>
      </c>
      <c r="W6" s="1362" t="str">
        <f>Model!W7</f>
        <v>10/99</v>
      </c>
      <c r="X6" s="1362" t="str">
        <f>Model!X7</f>
        <v>1/00</v>
      </c>
      <c r="Y6" s="1362" t="str">
        <f>Model!Y7</f>
        <v>FY00</v>
      </c>
      <c r="Z6" s="1362"/>
      <c r="AA6" s="1362" t="str">
        <f>Model!AA7</f>
        <v>4/00</v>
      </c>
      <c r="AB6" s="1362" t="str">
        <f>Model!AB7</f>
        <v>7/00</v>
      </c>
      <c r="AC6" s="1362" t="str">
        <f>Model!AC7</f>
        <v>10/00</v>
      </c>
      <c r="AD6" s="1362" t="str">
        <f>Model!AD7</f>
        <v>1/01</v>
      </c>
      <c r="AE6" s="1362" t="str">
        <f>Model!AE7</f>
        <v>FY01</v>
      </c>
      <c r="AF6" s="1362"/>
      <c r="AG6" s="1362" t="str">
        <f>Model!AG7</f>
        <v>4/01</v>
      </c>
      <c r="AH6" s="1362" t="str">
        <f>Model!AH7</f>
        <v>7/01</v>
      </c>
      <c r="AI6" s="1362" t="str">
        <f>Model!AI7</f>
        <v>10/01</v>
      </c>
      <c r="AJ6" s="1362" t="str">
        <f>Model!AJ7</f>
        <v>1/02</v>
      </c>
      <c r="AK6" s="1362" t="str">
        <f>Model!AK7</f>
        <v>FY02</v>
      </c>
      <c r="AL6" s="1362"/>
      <c r="AM6" s="1362" t="str">
        <f>Model!AM7</f>
        <v>4/02</v>
      </c>
      <c r="AN6" s="1362" t="str">
        <f>Model!AN7</f>
        <v>7/02</v>
      </c>
      <c r="AO6" s="1362" t="str">
        <f>Model!AO7</f>
        <v>10/02</v>
      </c>
      <c r="AP6" s="1362" t="str">
        <f>Model!AP7</f>
        <v>1/03</v>
      </c>
      <c r="AQ6" s="1362" t="str">
        <f>Model!AQ7</f>
        <v>FY03</v>
      </c>
      <c r="AR6" s="1362"/>
      <c r="AS6" s="1362" t="str">
        <f>Model!AS7</f>
        <v>4/03</v>
      </c>
      <c r="AT6" s="1362" t="str">
        <f>Model!AT7</f>
        <v>7/03</v>
      </c>
      <c r="AU6" s="1362" t="str">
        <f>Model!AU7</f>
        <v>10/03</v>
      </c>
      <c r="AV6" s="1362" t="str">
        <f>Model!AV7</f>
        <v xml:space="preserve"> 1/04</v>
      </c>
      <c r="AW6" s="1362" t="str">
        <f>Model!AW7</f>
        <v>FY04</v>
      </c>
      <c r="AX6" s="1362"/>
      <c r="AY6" s="1362" t="str">
        <f>Model!AY7</f>
        <v xml:space="preserve"> 4/04</v>
      </c>
      <c r="AZ6" s="1362" t="str">
        <f>Model!AZ7</f>
        <v xml:space="preserve"> 07/04</v>
      </c>
      <c r="BA6" s="1362" t="str">
        <f>Model!BA7</f>
        <v>10/04</v>
      </c>
      <c r="BB6" s="1362" t="str">
        <f>Model!BB7</f>
        <v>1/05</v>
      </c>
      <c r="BC6" s="1362" t="str">
        <f>Model!BC7</f>
        <v>FY05</v>
      </c>
      <c r="BD6" s="1362"/>
      <c r="BE6" s="1362" t="str">
        <f>Model!BE7</f>
        <v>4/05</v>
      </c>
      <c r="BF6" s="1362" t="str">
        <f>Model!BF7</f>
        <v>7/05</v>
      </c>
      <c r="BG6" s="1362" t="str">
        <f>Model!BG7</f>
        <v>10/05</v>
      </c>
      <c r="BH6" s="1362" t="str">
        <f>Model!BH7</f>
        <v>1/06</v>
      </c>
      <c r="BI6" s="1362" t="str">
        <f>Model!BI7</f>
        <v>FY06</v>
      </c>
      <c r="BJ6" s="1362"/>
      <c r="BK6" s="1362" t="str">
        <f>Model!BK7</f>
        <v>4/06</v>
      </c>
      <c r="BL6" s="1362" t="str">
        <f>Model!BL7</f>
        <v>7/06</v>
      </c>
      <c r="BM6" s="1362" t="str">
        <f>Model!BM7</f>
        <v>10/06</v>
      </c>
      <c r="BN6" s="1362" t="str">
        <f>Model!BN7</f>
        <v>1/07</v>
      </c>
      <c r="BO6" s="1466" t="str">
        <f>Model!BO7</f>
        <v>FY07</v>
      </c>
      <c r="BP6" s="1362"/>
      <c r="BQ6" s="1362" t="str">
        <f>Model!BQ7</f>
        <v>4/07</v>
      </c>
      <c r="BR6" s="1362" t="str">
        <f>Model!BR7</f>
        <v>7/07</v>
      </c>
      <c r="BS6" s="1362" t="str">
        <f>Model!BS7</f>
        <v>10/07</v>
      </c>
      <c r="BT6" s="1362" t="str">
        <f>Model!BT7</f>
        <v>1/08</v>
      </c>
      <c r="BU6" s="1466" t="str">
        <f>Model!BU7</f>
        <v>FY08</v>
      </c>
      <c r="BV6" s="1362"/>
      <c r="BW6" s="1362" t="str">
        <f>Model!BW7</f>
        <v>4/08</v>
      </c>
      <c r="BX6" s="1362" t="str">
        <f>Model!BX7</f>
        <v>7/08</v>
      </c>
      <c r="BY6" s="1362" t="str">
        <f>Model!BY7</f>
        <v>10/08</v>
      </c>
      <c r="BZ6" s="1362" t="str">
        <f>Model!BZ7</f>
        <v>1/09</v>
      </c>
      <c r="CA6" s="1466" t="str">
        <f>Model!CA7</f>
        <v>FY09</v>
      </c>
      <c r="CB6" s="1362"/>
      <c r="CC6" s="1362" t="str">
        <f>Model!CC7</f>
        <v>4/09</v>
      </c>
      <c r="CD6" s="1362" t="str">
        <f>Model!CD7</f>
        <v>7/09</v>
      </c>
      <c r="CE6" s="1362" t="str">
        <f>Model!CE7</f>
        <v>10/09</v>
      </c>
      <c r="CF6" s="1362" t="str">
        <f>Model!CF7</f>
        <v>1/10</v>
      </c>
      <c r="CG6" s="1532" t="str">
        <f>Model!CG7</f>
        <v>FY10</v>
      </c>
      <c r="CH6" s="20"/>
      <c r="CI6" s="1587" t="str">
        <f>Model!CI7</f>
        <v>4/10</v>
      </c>
      <c r="CJ6" s="1587" t="str">
        <f>Model!CJ7</f>
        <v>7/10</v>
      </c>
      <c r="CK6" s="20" t="str">
        <f>Model!CK7</f>
        <v>10/10</v>
      </c>
      <c r="CL6" s="20" t="str">
        <f>Model!CL7</f>
        <v>1/11</v>
      </c>
      <c r="CM6" s="1095" t="str">
        <f>Model!CM7</f>
        <v>FY11</v>
      </c>
      <c r="CN6" s="20"/>
      <c r="CO6" s="20" t="str">
        <f>Model!CO7</f>
        <v>4/11</v>
      </c>
      <c r="CP6" s="20" t="str">
        <f>Model!CP7</f>
        <v>7/11</v>
      </c>
      <c r="CQ6" s="20" t="str">
        <f>Model!CQ7</f>
        <v>10/11</v>
      </c>
      <c r="CR6" s="20" t="str">
        <f>Model!CR7</f>
        <v>1/12</v>
      </c>
      <c r="CS6" s="1095" t="str">
        <f>Model!CS7</f>
        <v>FY12</v>
      </c>
      <c r="CT6" s="20"/>
      <c r="CU6" s="20" t="str">
        <f>Model!CU7</f>
        <v>4/12</v>
      </c>
      <c r="CV6" s="20" t="str">
        <f>Model!CV7</f>
        <v>7/12</v>
      </c>
      <c r="CW6" s="20" t="str">
        <f>Model!CW7</f>
        <v>10/12</v>
      </c>
      <c r="CX6" s="20" t="str">
        <f>Model!CX7</f>
        <v>1/13</v>
      </c>
      <c r="CY6" s="1095" t="str">
        <f>Model!CY7</f>
        <v>FY13</v>
      </c>
      <c r="CZ6" s="20"/>
      <c r="DA6" s="20" t="str">
        <f>Model!DA7</f>
        <v>4/13</v>
      </c>
      <c r="DB6" s="20" t="str">
        <f>Model!DB7</f>
        <v>7/13</v>
      </c>
      <c r="DC6" s="20" t="str">
        <f>Model!DC7</f>
        <v>10/13</v>
      </c>
      <c r="DD6" s="20" t="str">
        <f>Model!DD7</f>
        <v>1/14</v>
      </c>
      <c r="DE6" s="1095" t="str">
        <f>Model!DE7</f>
        <v>FY14</v>
      </c>
      <c r="DF6" s="20"/>
      <c r="DG6" s="20" t="str">
        <f>Model!DG7</f>
        <v>4/14</v>
      </c>
      <c r="DH6" s="20" t="str">
        <f>Model!DH7</f>
        <v>7/14</v>
      </c>
      <c r="DI6" s="20" t="str">
        <f>Model!DI7</f>
        <v>10/14</v>
      </c>
      <c r="DJ6" s="20" t="str">
        <f>Model!DJ7</f>
        <v>1/15</v>
      </c>
      <c r="DK6" s="1095" t="str">
        <f>Model!DK7</f>
        <v>FY15</v>
      </c>
      <c r="DL6" s="20"/>
      <c r="DM6" s="20" t="str">
        <f>Model!DM7</f>
        <v>4/15</v>
      </c>
      <c r="DN6" s="20" t="str">
        <f>Model!DN7</f>
        <v>7/15</v>
      </c>
      <c r="DO6" s="20" t="str">
        <f>Model!DO7</f>
        <v>10/15</v>
      </c>
      <c r="DP6" s="20" t="str">
        <f>Model!DP7</f>
        <v>1/16</v>
      </c>
      <c r="DQ6" s="1095" t="str">
        <f>Model!DQ7</f>
        <v>FY16</v>
      </c>
      <c r="DR6" s="20"/>
      <c r="DS6" s="20" t="str">
        <f>Model!DS7</f>
        <v>4/16</v>
      </c>
      <c r="DT6" s="20" t="str">
        <f>Model!DT7</f>
        <v>7/16</v>
      </c>
      <c r="DU6" s="20" t="str">
        <f>Model!DU7</f>
        <v>10/16</v>
      </c>
      <c r="DV6" s="20" t="str">
        <f>Model!DV7</f>
        <v>1/17</v>
      </c>
      <c r="DW6" s="1095" t="str">
        <f>Model!DW7</f>
        <v>FY17</v>
      </c>
      <c r="DX6" s="20"/>
      <c r="DY6" s="20" t="str">
        <f>Model!DY7</f>
        <v>4/17</v>
      </c>
      <c r="DZ6" s="20" t="str">
        <f>Model!DZ7</f>
        <v>7/17</v>
      </c>
      <c r="EA6" s="20" t="str">
        <f>Model!EA7</f>
        <v>10/17</v>
      </c>
      <c r="EB6" s="20" t="str">
        <f>Model!EB7</f>
        <v>1/18</v>
      </c>
      <c r="EC6" s="1095" t="str">
        <f>Model!EC7</f>
        <v>FY18</v>
      </c>
      <c r="ED6" s="20"/>
      <c r="EE6" s="20" t="str">
        <f>Model!EE7</f>
        <v>4/18e</v>
      </c>
      <c r="EF6" s="20" t="str">
        <f>Model!EF7</f>
        <v>7/18e</v>
      </c>
      <c r="EG6" s="20" t="str">
        <f>Model!EG7</f>
        <v>10/18e</v>
      </c>
      <c r="EH6" s="20" t="str">
        <f>Model!EH7</f>
        <v>1/19e</v>
      </c>
      <c r="EI6" s="1095" t="str">
        <f>Model!EI7</f>
        <v>FY19e</v>
      </c>
      <c r="EJ6" s="20"/>
      <c r="EK6" s="20" t="str">
        <f>Model!EK7</f>
        <v>4/19e</v>
      </c>
      <c r="EL6" s="20" t="str">
        <f>Model!EL7</f>
        <v>7/19e</v>
      </c>
      <c r="EM6" s="20" t="str">
        <f>Model!EM7</f>
        <v>10/19e</v>
      </c>
      <c r="EN6" s="20" t="str">
        <f>Model!EN7</f>
        <v>1/20e</v>
      </c>
      <c r="EO6" s="1095" t="str">
        <f>Model!EO7</f>
        <v>FY20e</v>
      </c>
      <c r="EP6" s="20"/>
      <c r="EQ6" s="20" t="str">
        <f>Model!EQ7</f>
        <v>4/20e</v>
      </c>
      <c r="ER6" s="20" t="str">
        <f>Model!ER7</f>
        <v>7/20e</v>
      </c>
      <c r="ES6" s="20" t="str">
        <f>Model!ES7</f>
        <v>10/20e</v>
      </c>
      <c r="ET6" s="20" t="str">
        <f>Model!ET7</f>
        <v>1/21e</v>
      </c>
      <c r="EU6" s="1095" t="str">
        <f>Model!EU7</f>
        <v>FY21e</v>
      </c>
    </row>
    <row r="7" spans="1:159" ht="5.25" customHeight="1">
      <c r="A7" s="19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1"/>
      <c r="AZ7" s="141"/>
      <c r="BA7" s="141"/>
      <c r="BB7" s="141"/>
      <c r="BC7" s="141"/>
      <c r="BD7" s="147"/>
      <c r="BE7" s="141"/>
      <c r="BF7" s="141"/>
      <c r="BG7" s="141"/>
      <c r="BH7" s="141"/>
      <c r="BI7" s="141"/>
      <c r="BJ7" s="147"/>
      <c r="BK7" s="147"/>
      <c r="BL7" s="147"/>
      <c r="BM7" s="147"/>
      <c r="BN7" s="147"/>
      <c r="BO7" s="1096"/>
      <c r="BP7" s="147"/>
      <c r="BQ7" s="147"/>
      <c r="BR7" s="147"/>
      <c r="BS7" s="147"/>
      <c r="BT7" s="147"/>
      <c r="BU7" s="1096"/>
      <c r="BV7" s="147"/>
      <c r="BW7" s="147"/>
      <c r="BX7" s="147"/>
      <c r="BY7" s="147"/>
      <c r="BZ7" s="147"/>
      <c r="CA7" s="1096"/>
      <c r="CB7" s="147"/>
      <c r="CC7" s="147"/>
      <c r="CD7" s="147"/>
      <c r="CE7" s="147"/>
      <c r="CF7" s="147"/>
      <c r="CG7" s="1533"/>
      <c r="CH7" s="147"/>
      <c r="CI7" s="147"/>
      <c r="CJ7" s="147"/>
      <c r="CK7" s="141"/>
      <c r="CL7" s="141"/>
      <c r="CM7" s="1096"/>
      <c r="CN7" s="147"/>
      <c r="CO7" s="147"/>
      <c r="CP7" s="147"/>
      <c r="CQ7" s="147"/>
      <c r="CR7" s="147"/>
      <c r="CS7" s="1096"/>
      <c r="CT7" s="147"/>
      <c r="CU7" s="147"/>
      <c r="CV7" s="147"/>
      <c r="CW7" s="147"/>
      <c r="CX7" s="147"/>
      <c r="CY7" s="1096"/>
      <c r="CZ7" s="147"/>
      <c r="DA7" s="147"/>
      <c r="DB7" s="147"/>
      <c r="DC7" s="147"/>
      <c r="DD7" s="147"/>
      <c r="DE7" s="1096"/>
      <c r="DF7" s="147"/>
      <c r="DG7" s="147"/>
      <c r="DH7" s="147"/>
      <c r="DI7" s="147"/>
      <c r="DJ7" s="147"/>
      <c r="DK7" s="1096"/>
      <c r="DL7" s="147"/>
      <c r="DM7" s="147"/>
      <c r="DN7" s="147"/>
      <c r="DO7" s="147"/>
      <c r="DP7" s="147"/>
      <c r="DQ7" s="1096"/>
      <c r="DR7" s="147"/>
      <c r="DS7" s="147"/>
      <c r="DT7" s="147"/>
      <c r="DU7" s="147"/>
      <c r="DV7" s="147"/>
      <c r="DW7" s="1096"/>
      <c r="DX7" s="147"/>
      <c r="DY7" s="147"/>
      <c r="DZ7" s="147"/>
      <c r="EA7" s="147"/>
      <c r="EB7" s="147"/>
      <c r="EC7" s="1096"/>
      <c r="ED7" s="147"/>
      <c r="EE7" s="147"/>
      <c r="EF7" s="147"/>
      <c r="EG7" s="147"/>
      <c r="EH7" s="147"/>
      <c r="EI7" s="1096"/>
      <c r="EJ7" s="147"/>
      <c r="EK7" s="147"/>
      <c r="EL7" s="147"/>
      <c r="EM7" s="147"/>
      <c r="EN7" s="147"/>
      <c r="EO7" s="1096"/>
      <c r="EP7" s="147"/>
      <c r="EQ7" s="147"/>
      <c r="ER7" s="147"/>
      <c r="ES7" s="147"/>
      <c r="ET7" s="147"/>
      <c r="EU7" s="1096"/>
    </row>
    <row r="8" spans="1:159" hidden="1">
      <c r="A8" s="198" t="s">
        <v>4579</v>
      </c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694"/>
      <c r="AZ8" s="694"/>
      <c r="BA8" s="694"/>
      <c r="BB8" s="694"/>
      <c r="BC8" s="694"/>
      <c r="BD8" s="33"/>
      <c r="BE8" s="694"/>
      <c r="BF8" s="694"/>
      <c r="BG8" s="694"/>
      <c r="BH8" s="694"/>
      <c r="BI8" s="694"/>
      <c r="BJ8" s="33"/>
      <c r="BK8" s="33"/>
      <c r="BL8" s="33"/>
      <c r="BM8" s="33"/>
      <c r="BN8" s="33"/>
      <c r="BO8" s="1097"/>
      <c r="BP8" s="33"/>
      <c r="BQ8" s="33"/>
      <c r="BR8" s="33"/>
      <c r="BS8" s="33"/>
      <c r="BT8" s="33"/>
      <c r="BU8" s="1097"/>
      <c r="BV8" s="33"/>
      <c r="BW8" s="33"/>
      <c r="BX8" s="33"/>
      <c r="BY8" s="33"/>
      <c r="BZ8" s="33"/>
      <c r="CA8" s="1097"/>
      <c r="CB8" s="33"/>
      <c r="CC8" s="33"/>
      <c r="CD8" s="33"/>
      <c r="CE8" s="33"/>
      <c r="CF8" s="33"/>
      <c r="CG8" s="1534"/>
      <c r="CH8" s="33"/>
      <c r="CI8" s="33"/>
      <c r="CJ8" s="33"/>
      <c r="CK8" s="694"/>
      <c r="CL8" s="694"/>
      <c r="CM8" s="1097"/>
      <c r="CN8" s="33"/>
      <c r="CO8" s="33"/>
      <c r="CP8" s="33"/>
      <c r="CQ8" s="33"/>
      <c r="CR8" s="33"/>
      <c r="CS8" s="1097"/>
      <c r="CT8" s="1772"/>
      <c r="CU8" s="33"/>
      <c r="CV8" s="33"/>
      <c r="CW8" s="33"/>
      <c r="CX8" s="33"/>
      <c r="CY8" s="1097"/>
      <c r="CZ8" s="1772"/>
      <c r="DA8" s="33"/>
      <c r="DB8" s="33"/>
      <c r="DC8" s="33"/>
      <c r="DD8" s="33"/>
      <c r="DE8" s="1097"/>
      <c r="DF8" s="1772"/>
      <c r="DG8" s="33"/>
      <c r="DH8" s="33"/>
      <c r="DI8" s="33"/>
      <c r="DJ8" s="33"/>
      <c r="DK8" s="1097"/>
      <c r="DL8" s="33"/>
      <c r="DM8" s="33"/>
      <c r="DN8" s="33"/>
      <c r="DO8" s="33"/>
      <c r="DP8" s="33"/>
      <c r="DQ8" s="1097"/>
      <c r="DS8" s="33"/>
      <c r="DT8" s="33"/>
      <c r="DU8" s="33"/>
      <c r="DV8" s="33"/>
      <c r="DW8" s="1097"/>
      <c r="DY8" s="33"/>
      <c r="DZ8" s="33"/>
      <c r="EA8" s="33"/>
      <c r="EB8" s="33"/>
      <c r="EC8" s="1097"/>
      <c r="EE8" s="33"/>
      <c r="EF8" s="33"/>
      <c r="EG8" s="33"/>
      <c r="EH8" s="33"/>
      <c r="EI8" s="1097"/>
      <c r="EK8" s="33"/>
      <c r="EL8" s="33"/>
      <c r="EM8" s="33"/>
      <c r="EN8" s="33"/>
      <c r="EO8" s="1097"/>
      <c r="EQ8" s="33"/>
      <c r="ER8" s="33"/>
      <c r="ES8" s="33"/>
      <c r="ET8" s="33"/>
      <c r="EU8" s="1097"/>
    </row>
    <row r="9" spans="1:159" hidden="1">
      <c r="A9" s="199" t="s">
        <v>1788</v>
      </c>
      <c r="B9" s="90"/>
      <c r="C9" s="43"/>
      <c r="D9" s="38"/>
      <c r="E9" s="38"/>
      <c r="F9" s="38"/>
      <c r="G9" s="38"/>
      <c r="H9" s="90"/>
      <c r="I9" s="43"/>
      <c r="J9" s="43"/>
      <c r="K9" s="43"/>
      <c r="L9" s="43"/>
      <c r="M9" s="38"/>
      <c r="N9" s="90"/>
      <c r="O9" s="43" t="str">
        <f>IF(ISERROR(O10/I10-1),"nm",O10/I10-1)</f>
        <v>nm</v>
      </c>
      <c r="P9" s="43" t="str">
        <f>IF(ISERROR(P10/J10-1),"nm",P10/J10-1)</f>
        <v>nm</v>
      </c>
      <c r="Q9" s="43" t="str">
        <f>IF(ISERROR(Q10/K10-1),"nm",Q10/K10-1)</f>
        <v>nm</v>
      </c>
      <c r="R9" s="43" t="str">
        <f>IF(ISERROR(R10/L10-1),"nm",R10/L10-1)</f>
        <v>nm</v>
      </c>
      <c r="S9" s="43"/>
      <c r="T9" s="62"/>
      <c r="U9" s="84">
        <f>IF(ISERROR(U10/O10-1),"nm",U10/O10-1)</f>
        <v>-0.11067570058188014</v>
      </c>
      <c r="V9" s="84">
        <f>IF(ISERROR(V10/P10-1),"nm",V10/P10-1)</f>
        <v>-9.3670646363612886E-2</v>
      </c>
      <c r="W9" s="84">
        <f>IF(ISERROR(W10/Q10-1),"nm",W10/Q10-1)</f>
        <v>-1.0337367157224109E-2</v>
      </c>
      <c r="X9" s="84">
        <f>IF(ISERROR(X10/R10-1),"nm",X10/R10-1)</f>
        <v>1.5127698735775796E-2</v>
      </c>
      <c r="Y9" s="84"/>
      <c r="Z9" s="116"/>
      <c r="AA9" s="84">
        <f>IF(ISERROR(AA10/U10-1),"nm",AA10/U10-1)</f>
        <v>0.14111249821129856</v>
      </c>
      <c r="AB9" s="84">
        <f>IF(ISERROR(AB10/V10-1),"nm",AB10/V10-1)</f>
        <v>0.10570229174383372</v>
      </c>
      <c r="AC9" s="84">
        <f>IF(ISERROR(AC10/W10-1),"nm",AC10/W10-1)</f>
        <v>0.10111900677938412</v>
      </c>
      <c r="AD9" s="84">
        <f>IF(ISERROR(AD10/X10-1),"nm",AD10/X10-1)</f>
        <v>7.2217295976212847E-2</v>
      </c>
      <c r="AE9" s="84"/>
      <c r="AF9" s="116"/>
      <c r="AG9" s="84">
        <f>IF(ISERROR(AG10/AA10-1),"nm",AG10/AA10-1)</f>
        <v>6.2618103511647094E-2</v>
      </c>
      <c r="AH9" s="84">
        <f>IF(ISERROR(AH10/AB10-1),"nm",AH10/AB10-1)</f>
        <v>-6.3605636464368898E-3</v>
      </c>
      <c r="AI9" s="84">
        <f>IF(ISERROR(AI10/AC10-1),"nm",AI10/AC10-1)</f>
        <v>-5.593929582811541E-2</v>
      </c>
      <c r="AJ9" s="84">
        <f>IF(ISERROR(AJ10/AD10-1),"nm",AJ10/AD10-1)</f>
        <v>4.520524836759976E-2</v>
      </c>
      <c r="AK9" s="84"/>
      <c r="AL9" s="116"/>
      <c r="AM9" s="84">
        <f>IF(ISERROR(AM10/AG10-1),"nm",AM10/AG10-1)</f>
        <v>-6.679010336127611E-2</v>
      </c>
      <c r="AN9" s="84">
        <f>IF(ISERROR(AN10/AH10-1),"nm",AN10/AH10-1)</f>
        <v>-8.6268153526970814E-2</v>
      </c>
      <c r="AO9" s="84">
        <f>IF(ISERROR(AO10/AI10-1),"nm",AO10/AI10-1)</f>
        <v>-0.12782576944586954</v>
      </c>
      <c r="AP9" s="84">
        <f>IF(ISERROR(AP10/AJ10-1),"nm",AP10/AJ10-1)</f>
        <v>-0.23035499185148445</v>
      </c>
      <c r="AQ9" s="84" t="str">
        <f>IF(ISERROR(AQ10/AK10-1),"nm",AQ10/AK10-1)</f>
        <v>nm</v>
      </c>
      <c r="AR9" s="116"/>
      <c r="AS9" s="84">
        <f>IF(ISERROR(AS10/AM10-1),"nm",AS10/AM10-1)</f>
        <v>-8.0936828197290311E-2</v>
      </c>
      <c r="AT9" s="84">
        <f>IF(ISERROR(AT10/AN10-1),"nm",AT10/AN10-1)</f>
        <v>1.4380253641184115E-3</v>
      </c>
      <c r="AU9" s="84">
        <f>IF(ISERROR(AU10/AO10-1),"nm",AU10/AO10-1)</f>
        <v>0.23932570574612755</v>
      </c>
      <c r="AV9" s="84">
        <f>IF(ISERROR(AV10/AP10-1),"nm",AV10/AP10-1)</f>
        <v>0.51041346999734061</v>
      </c>
      <c r="AW9" s="84">
        <f>IF(ISERROR(AW10/AQ10-1),"nm",AW10/AQ10-1)</f>
        <v>0.15358357223814934</v>
      </c>
      <c r="AX9" s="116"/>
      <c r="AY9" s="84">
        <f>IF(ISERROR(AY10/AS10-1),"nm",AY10/AS10-1)</f>
        <v>0.41910934401184274</v>
      </c>
      <c r="AZ9" s="84">
        <f>IF(ISERROR(AZ10/AT10-1),"nm",AZ10/AT10-1)</f>
        <v>0.32637396377034089</v>
      </c>
      <c r="BA9" s="84">
        <f>IF(ISERROR(BA10/AU10-1),"nm",BA10/AU10-1)</f>
        <v>0.28879424617937088</v>
      </c>
      <c r="BB9" s="84">
        <f>IF(ISERROR(BB10/AV10-1),"nm",BB10/AV10-1)</f>
        <v>0.21093088618739597</v>
      </c>
      <c r="BC9" s="84">
        <f>IF(ISERROR(BC10/AW10-1),"nm",BC10/AW10-1)</f>
        <v>0.30185374137150167</v>
      </c>
      <c r="BD9" s="138"/>
      <c r="BE9" s="84">
        <f>BE10/AY10-1</f>
        <v>0.20060180541624861</v>
      </c>
      <c r="BF9" s="84">
        <f>BF10/AZ10-1</f>
        <v>0.34188034188034155</v>
      </c>
      <c r="BG9" s="84">
        <f>BG10/BA10-1</f>
        <v>0.26575978765759767</v>
      </c>
      <c r="BH9" s="84">
        <f>BH10/BB10-1</f>
        <v>0.1739373601789711</v>
      </c>
      <c r="BI9" s="84">
        <f>BI10/BC10-1</f>
        <v>0.24077810961336654</v>
      </c>
      <c r="BJ9" s="138"/>
      <c r="BK9" s="38">
        <f>BK10/BE10-1</f>
        <v>0.2141464773043722</v>
      </c>
      <c r="BL9" s="38">
        <f>BL10/BF10-1</f>
        <v>0.19320594479830167</v>
      </c>
      <c r="BM9" s="38">
        <f>BM10/BG10-1</f>
        <v>0.19737876802096999</v>
      </c>
      <c r="BN9" s="38">
        <f>BN10/BH10-1</f>
        <v>0.18484992853739857</v>
      </c>
      <c r="BO9" s="1098">
        <f>BO10/BI10-1</f>
        <v>0.19685141816289375</v>
      </c>
      <c r="BP9" s="138"/>
      <c r="BQ9" s="38">
        <f>BQ10/BK10-1</f>
        <v>0.16651376146788999</v>
      </c>
      <c r="BR9" s="38">
        <f>BR10/BL10-1</f>
        <v>0.16970640569395035</v>
      </c>
      <c r="BS9" s="38">
        <f>BS10/BM10-1</f>
        <v>0.17863397548161108</v>
      </c>
      <c r="BT9" s="38">
        <f>BT10/BN10-1</f>
        <v>0.20446320868516299</v>
      </c>
      <c r="BU9" s="1098">
        <f>BU10/BO10-1</f>
        <v>0.1805631046852918</v>
      </c>
      <c r="BV9" s="138"/>
      <c r="BW9" s="38">
        <f>BW10/BQ10-1</f>
        <v>0.17734958710184801</v>
      </c>
      <c r="BX9" s="38">
        <f>BX10/BR10-1</f>
        <v>0.17798060467769528</v>
      </c>
      <c r="BY9" s="38">
        <f>BY10/BS10-1</f>
        <v>0.1276002971768202</v>
      </c>
      <c r="BZ9" s="38">
        <f>BZ10/BT10-1</f>
        <v>-0.18244032715740277</v>
      </c>
      <c r="CA9" s="1098">
        <f>CA10/BU10-1</f>
        <v>6.5930018416206382E-2</v>
      </c>
      <c r="CB9" s="138"/>
      <c r="CC9" s="38">
        <f>CC10/BW10-1</f>
        <v>-0.28891115564462255</v>
      </c>
      <c r="CD9" s="38">
        <f>CD10/BX10-1</f>
        <v>-0.33026634382566589</v>
      </c>
      <c r="CE9" s="38">
        <f>CE10/BY10-1</f>
        <v>-0.31329270301433043</v>
      </c>
      <c r="CF9" s="38">
        <f>CF10/BZ10-1</f>
        <v>-6.8803593303389143E-2</v>
      </c>
      <c r="CG9" s="1535">
        <f>CG10/CA10-1</f>
        <v>-0.25980476848652401</v>
      </c>
      <c r="CH9" s="138"/>
      <c r="CI9" s="38">
        <f>CI10/CC10-1</f>
        <v>0.11460779708783475</v>
      </c>
      <c r="CJ9" s="38">
        <f>CJ10/CD10-1</f>
        <v>0.13955169920462751</v>
      </c>
      <c r="CK9" s="84">
        <f>CK10/CE10-1</f>
        <v>0.14343967378268174</v>
      </c>
      <c r="CL9" s="84">
        <f>CL10/CF10-1</f>
        <v>0.15698311773733842</v>
      </c>
      <c r="CM9" s="1098">
        <f>CM10/CG10-1</f>
        <v>0.13893913753865905</v>
      </c>
      <c r="CN9" s="138"/>
      <c r="CO9" s="38">
        <f>CO10/CI10-1</f>
        <v>0.11314791403286972</v>
      </c>
      <c r="CP9" s="38">
        <f>CP10/CJ10-1</f>
        <v>0.15545685279187826</v>
      </c>
      <c r="CQ9" s="38">
        <f>CQ10/CK10-1</f>
        <v>0.15082861338367937</v>
      </c>
      <c r="CR9" s="38">
        <f>CR10/CL10-1</f>
        <v>0.12260754216410819</v>
      </c>
      <c r="CS9" s="1098">
        <f>CS10/CM10-1</f>
        <v>0.13515729070601501</v>
      </c>
      <c r="CT9" s="59"/>
      <c r="CU9" s="38">
        <f>CU10/CO10-1</f>
        <v>0</v>
      </c>
      <c r="CV9" s="38">
        <f>CV10/CP10-1</f>
        <v>0</v>
      </c>
      <c r="CW9" s="38">
        <f>CW10/CQ10-1</f>
        <v>0</v>
      </c>
      <c r="CX9" s="38">
        <f>CX10/CR10-1</f>
        <v>0</v>
      </c>
      <c r="CY9" s="1098">
        <f>CY10/CS10-1</f>
        <v>0</v>
      </c>
      <c r="CZ9" s="59"/>
      <c r="DA9" s="38">
        <f>DA10/CU10-1</f>
        <v>0</v>
      </c>
      <c r="DB9" s="38">
        <f>DB10/CV10-1</f>
        <v>0</v>
      </c>
      <c r="DC9" s="38">
        <f>DC10/CW10-1</f>
        <v>0</v>
      </c>
      <c r="DD9" s="38">
        <f>DD10/CX10-1</f>
        <v>0</v>
      </c>
      <c r="DE9" s="1098">
        <f>DE10/CY10-1</f>
        <v>0</v>
      </c>
      <c r="DF9" s="59"/>
      <c r="DG9" s="38">
        <f>DG10/DA10-1</f>
        <v>0</v>
      </c>
      <c r="DH9" s="38">
        <f>DH10/DB10-1</f>
        <v>0</v>
      </c>
      <c r="DI9" s="38">
        <f>DI10/DC10-1</f>
        <v>0</v>
      </c>
      <c r="DJ9" s="38">
        <f>DJ10/DD10-1</f>
        <v>0</v>
      </c>
      <c r="DK9" s="1098">
        <f>DK10/DE10-1</f>
        <v>0</v>
      </c>
      <c r="DL9" s="138"/>
      <c r="DM9" s="38">
        <f>DM10/DG10-1</f>
        <v>0</v>
      </c>
      <c r="DN9" s="38">
        <f>DN10/DH10-1</f>
        <v>0</v>
      </c>
      <c r="DO9" s="38">
        <f>DO10/DI10-1</f>
        <v>0</v>
      </c>
      <c r="DP9" s="38">
        <f>DP10/DJ10-1</f>
        <v>0</v>
      </c>
      <c r="DQ9" s="1098">
        <f>DQ10/DK10-1</f>
        <v>0</v>
      </c>
      <c r="DR9" s="59"/>
      <c r="DS9" s="38">
        <f>DS10/DM10-1</f>
        <v>0</v>
      </c>
      <c r="DT9" s="38">
        <f>DT10/DN10-1</f>
        <v>0</v>
      </c>
      <c r="DU9" s="38">
        <f>DU10/DO10-1</f>
        <v>0</v>
      </c>
      <c r="DV9" s="38">
        <f>DV10/DP10-1</f>
        <v>0</v>
      </c>
      <c r="DW9" s="1098">
        <f>DW10/DQ10-1</f>
        <v>0</v>
      </c>
      <c r="DX9" s="59"/>
      <c r="DY9" s="38">
        <f>DY10/DS10-1</f>
        <v>0</v>
      </c>
      <c r="DZ9" s="38">
        <f>DZ10/DT10-1</f>
        <v>0</v>
      </c>
      <c r="EA9" s="38">
        <f>EA10/DU10-1</f>
        <v>0</v>
      </c>
      <c r="EB9" s="38">
        <f>EB10/DV10-1</f>
        <v>0</v>
      </c>
      <c r="EC9" s="1098">
        <f>EC10/DW10-1</f>
        <v>0</v>
      </c>
      <c r="ED9" s="59"/>
      <c r="EE9" s="38">
        <f>EE10/DY10-1</f>
        <v>0</v>
      </c>
      <c r="EF9" s="38">
        <f>EF10/DZ10-1</f>
        <v>0</v>
      </c>
      <c r="EG9" s="38">
        <f>EG10/EA10-1</f>
        <v>0</v>
      </c>
      <c r="EH9" s="38">
        <f>EH10/EB10-1</f>
        <v>0</v>
      </c>
      <c r="EI9" s="1098">
        <f>EI10/EC10-1</f>
        <v>0</v>
      </c>
      <c r="EJ9" s="59"/>
      <c r="EK9" s="38">
        <f>EK10/EE10-1</f>
        <v>0</v>
      </c>
      <c r="EL9" s="38">
        <f>EL10/EF10-1</f>
        <v>0</v>
      </c>
      <c r="EM9" s="38">
        <f>EM10/EG10-1</f>
        <v>0</v>
      </c>
      <c r="EN9" s="38">
        <f>EN10/EH10-1</f>
        <v>0</v>
      </c>
      <c r="EO9" s="1098">
        <f>EO10/EI10-1</f>
        <v>0</v>
      </c>
      <c r="EP9" s="59"/>
      <c r="EQ9" s="38">
        <f>EQ10/EK10-1</f>
        <v>0</v>
      </c>
      <c r="ER9" s="38">
        <f>ER10/EL10-1</f>
        <v>0</v>
      </c>
      <c r="ES9" s="38">
        <f>ES10/EM10-1</f>
        <v>0</v>
      </c>
      <c r="ET9" s="38">
        <f>ET10/EN10-1</f>
        <v>0</v>
      </c>
      <c r="EU9" s="1098">
        <f>EU10/EO10-1</f>
        <v>0</v>
      </c>
    </row>
    <row r="10" spans="1:159" hidden="1" outlineLevel="1">
      <c r="A10" s="200" t="s">
        <v>1788</v>
      </c>
      <c r="B10" s="52"/>
      <c r="C10" s="118"/>
      <c r="D10" s="118"/>
      <c r="E10" s="118"/>
      <c r="F10" s="118"/>
      <c r="G10" s="118"/>
      <c r="H10" s="52"/>
      <c r="I10" s="118"/>
      <c r="J10" s="118"/>
      <c r="K10" s="118"/>
      <c r="L10" s="118"/>
      <c r="M10" s="118"/>
      <c r="N10" s="52"/>
      <c r="O10" s="118">
        <f>Model!O31</f>
        <v>227.88200000000001</v>
      </c>
      <c r="P10" s="118">
        <f>Model!P31</f>
        <v>232.346</v>
      </c>
      <c r="Q10" s="118">
        <f>Model!Q31</f>
        <v>210.30500000000001</v>
      </c>
      <c r="R10" s="118">
        <f>Model!R31</f>
        <v>223.29900000000001</v>
      </c>
      <c r="S10" s="118"/>
      <c r="T10" s="64"/>
      <c r="U10" s="118">
        <f>Model!U31</f>
        <v>202.661</v>
      </c>
      <c r="V10" s="118">
        <f>Model!V31</f>
        <v>210.58199999999999</v>
      </c>
      <c r="W10" s="118">
        <f>Model!W31</f>
        <v>208.131</v>
      </c>
      <c r="X10" s="118">
        <f>Model!X31</f>
        <v>226.67699999999999</v>
      </c>
      <c r="Y10" s="118"/>
      <c r="Z10" s="64"/>
      <c r="AA10" s="118">
        <f>Model!AA31</f>
        <v>231.25899999999999</v>
      </c>
      <c r="AB10" s="118">
        <f>Model!AB31</f>
        <v>232.84100000000001</v>
      </c>
      <c r="AC10" s="118">
        <f>Model!AC31</f>
        <v>229.17699999999999</v>
      </c>
      <c r="AD10" s="118">
        <f>Model!AD31</f>
        <v>243.047</v>
      </c>
      <c r="AE10" s="118"/>
      <c r="AF10" s="64"/>
      <c r="AG10" s="118">
        <f>Model!AG31</f>
        <v>245.73999999999998</v>
      </c>
      <c r="AH10" s="118">
        <f>Model!AH31</f>
        <v>231.35999999999999</v>
      </c>
      <c r="AI10" s="118">
        <f>Model!AI31</f>
        <v>216.357</v>
      </c>
      <c r="AJ10" s="118">
        <f>Model!AJ31</f>
        <v>254.03400000000002</v>
      </c>
      <c r="AK10" s="118"/>
      <c r="AL10" s="64"/>
      <c r="AM10" s="118">
        <f>Model!AM31</f>
        <v>229.327</v>
      </c>
      <c r="AN10" s="118">
        <f>Model!AN31</f>
        <v>211.40100000000001</v>
      </c>
      <c r="AO10" s="118">
        <f>Model!AO31</f>
        <v>188.70099999999999</v>
      </c>
      <c r="AP10" s="118">
        <f>Model!AP31</f>
        <v>195.51600000000002</v>
      </c>
      <c r="AQ10" s="118">
        <f>SUM(AM10:AP10)</f>
        <v>824.94499999999994</v>
      </c>
      <c r="AR10" s="64"/>
      <c r="AS10" s="118">
        <f>Model!AS31</f>
        <v>210.76599999999999</v>
      </c>
      <c r="AT10" s="118">
        <f>Model!AT31</f>
        <v>211.70499999999998</v>
      </c>
      <c r="AU10" s="118">
        <f>Model!AU31</f>
        <v>233.86199999999999</v>
      </c>
      <c r="AV10" s="118">
        <f>Model!AV31</f>
        <v>295.31000000000006</v>
      </c>
      <c r="AW10" s="118">
        <f>SUM(AS10:AV10)</f>
        <v>951.64300000000003</v>
      </c>
      <c r="AX10" s="64"/>
      <c r="AY10" s="119">
        <f>rev _1c04</f>
        <v>299.10000000000002</v>
      </c>
      <c r="AZ10" s="119">
        <f>rev _2c04</f>
        <v>280.8</v>
      </c>
      <c r="BA10" s="119">
        <f>rev _3c04</f>
        <v>301.40000000000003</v>
      </c>
      <c r="BB10" s="119">
        <f>rev _4c04</f>
        <v>357.59999999999997</v>
      </c>
      <c r="BC10" s="119">
        <f>SUM(AY10:BB10)</f>
        <v>1238.9000000000001</v>
      </c>
      <c r="BD10" s="98"/>
      <c r="BE10" s="118">
        <f>rev _1c05</f>
        <v>359.09999999999997</v>
      </c>
      <c r="BF10" s="118">
        <f>rev _2c05</f>
        <v>376.79999999999995</v>
      </c>
      <c r="BG10" s="118">
        <f>rev _3c05</f>
        <v>381.5</v>
      </c>
      <c r="BH10" s="118">
        <f>rev _4c05</f>
        <v>419.8</v>
      </c>
      <c r="BI10" s="119">
        <f>SUM(BE10:BH10)</f>
        <v>1537.1999999999998</v>
      </c>
      <c r="BJ10" s="98"/>
      <c r="BK10" s="118">
        <f>rev _1c06</f>
        <v>436</v>
      </c>
      <c r="BL10" s="118">
        <f>rev _2c06</f>
        <v>449.6</v>
      </c>
      <c r="BM10" s="118">
        <f>rev _3c06</f>
        <v>456.8</v>
      </c>
      <c r="BN10" s="118">
        <f>rev _4c06</f>
        <v>497.4</v>
      </c>
      <c r="BO10" s="1099">
        <f>SUM(BK10:BN10)</f>
        <v>1839.8000000000002</v>
      </c>
      <c r="BP10" s="98"/>
      <c r="BQ10" s="118">
        <f>rev _1c07</f>
        <v>508.6</v>
      </c>
      <c r="BR10" s="118">
        <f>rev _2c07</f>
        <v>525.90000000000009</v>
      </c>
      <c r="BS10" s="118">
        <f>rev _3c07</f>
        <v>538.4</v>
      </c>
      <c r="BT10" s="118">
        <f>rev _4c07</f>
        <v>599.1</v>
      </c>
      <c r="BU10" s="1099">
        <f>SUM(BQ10:BT10)</f>
        <v>2172</v>
      </c>
      <c r="BV10" s="98"/>
      <c r="BW10" s="118">
        <f>rev _1c08</f>
        <v>598.79999999999995</v>
      </c>
      <c r="BX10" s="118">
        <f>rev _2c08</f>
        <v>619.5</v>
      </c>
      <c r="BY10" s="118">
        <f>rev _3c08</f>
        <v>607.1</v>
      </c>
      <c r="BZ10" s="118">
        <f>rev _4c08</f>
        <v>489.8</v>
      </c>
      <c r="CA10" s="1099">
        <f>SUM(BW10:BZ10)</f>
        <v>2315.2000000000003</v>
      </c>
      <c r="CB10" s="98"/>
      <c r="CC10" s="118">
        <f>rev _1c09</f>
        <v>425.79999999999995</v>
      </c>
      <c r="CD10" s="118">
        <f>rev _2c09</f>
        <v>414.9</v>
      </c>
      <c r="CE10" s="118">
        <f>rev _3c09</f>
        <v>416.9</v>
      </c>
      <c r="CF10" s="118">
        <f>rev _4c09</f>
        <v>456.1</v>
      </c>
      <c r="CG10" s="1536">
        <f>SUM(CC10:CF10)</f>
        <v>1713.6999999999998</v>
      </c>
      <c r="CH10" s="98"/>
      <c r="CI10" s="118">
        <f>rev _1c10</f>
        <v>474.6</v>
      </c>
      <c r="CJ10" s="118">
        <f>rev _2c10</f>
        <v>472.79999999999995</v>
      </c>
      <c r="CK10" s="119">
        <f>rev _3c10</f>
        <v>476.7</v>
      </c>
      <c r="CL10" s="119">
        <f>rev _4c10</f>
        <v>527.70000000000005</v>
      </c>
      <c r="CM10" s="1099">
        <f>SUM(CI10:CL10)</f>
        <v>1951.8</v>
      </c>
      <c r="CN10" s="98"/>
      <c r="CO10" s="118">
        <f>rev _1c11</f>
        <v>528.29999999999995</v>
      </c>
      <c r="CP10" s="118">
        <f>rev _2c11</f>
        <v>546.29999999999995</v>
      </c>
      <c r="CQ10" s="118">
        <f>rev _3c11</f>
        <v>548.59999999999991</v>
      </c>
      <c r="CR10" s="118">
        <f>rev _4c11</f>
        <v>592.4</v>
      </c>
      <c r="CS10" s="1099">
        <f>SUM(CO10:CR10)</f>
        <v>2215.6</v>
      </c>
      <c r="CT10" s="1773"/>
      <c r="CU10" s="118">
        <f>rev _1c11</f>
        <v>528.29999999999995</v>
      </c>
      <c r="CV10" s="118">
        <f>rev _2c11</f>
        <v>546.29999999999995</v>
      </c>
      <c r="CW10" s="118">
        <f>rev _3c11</f>
        <v>548.59999999999991</v>
      </c>
      <c r="CX10" s="118">
        <f>rev _4c11</f>
        <v>592.4</v>
      </c>
      <c r="CY10" s="1099">
        <f>SUM(CU10:CX10)</f>
        <v>2215.6</v>
      </c>
      <c r="CZ10" s="1773"/>
      <c r="DA10" s="118">
        <f>rev _1c11</f>
        <v>528.29999999999995</v>
      </c>
      <c r="DB10" s="118">
        <f>rev _2c11</f>
        <v>546.29999999999995</v>
      </c>
      <c r="DC10" s="118">
        <f>rev _3c11</f>
        <v>548.59999999999991</v>
      </c>
      <c r="DD10" s="118">
        <f>rev _4c11</f>
        <v>592.4</v>
      </c>
      <c r="DE10" s="1099">
        <f>SUM(DA10:DD10)</f>
        <v>2215.6</v>
      </c>
      <c r="DF10" s="1773"/>
      <c r="DG10" s="118">
        <f>rev _1c11</f>
        <v>528.29999999999995</v>
      </c>
      <c r="DH10" s="118">
        <f>rev _2c11</f>
        <v>546.29999999999995</v>
      </c>
      <c r="DI10" s="118">
        <f>rev _3c11</f>
        <v>548.59999999999991</v>
      </c>
      <c r="DJ10" s="118">
        <f>rev _4c11</f>
        <v>592.4</v>
      </c>
      <c r="DK10" s="1099">
        <f>SUM(DG10:DJ10)</f>
        <v>2215.6</v>
      </c>
      <c r="DL10" s="98"/>
      <c r="DM10" s="118">
        <f>rev _1c11</f>
        <v>528.29999999999995</v>
      </c>
      <c r="DN10" s="118">
        <f>rev _2c11</f>
        <v>546.29999999999995</v>
      </c>
      <c r="DO10" s="118">
        <f>rev _3c11</f>
        <v>548.59999999999991</v>
      </c>
      <c r="DP10" s="118">
        <f>rev _4c11</f>
        <v>592.4</v>
      </c>
      <c r="DQ10" s="1099">
        <f>SUM(DM10:DP10)</f>
        <v>2215.6</v>
      </c>
      <c r="DS10" s="118">
        <f>rev _1c11</f>
        <v>528.29999999999995</v>
      </c>
      <c r="DT10" s="118">
        <f>rev _2c11</f>
        <v>546.29999999999995</v>
      </c>
      <c r="DU10" s="118">
        <f>rev _3c11</f>
        <v>548.59999999999991</v>
      </c>
      <c r="DV10" s="118">
        <f>rev _4c11</f>
        <v>592.4</v>
      </c>
      <c r="DW10" s="1099">
        <f>SUM(DS10:DV10)</f>
        <v>2215.6</v>
      </c>
      <c r="DY10" s="118">
        <f>rev _1c11</f>
        <v>528.29999999999995</v>
      </c>
      <c r="DZ10" s="118">
        <f>rev _2c11</f>
        <v>546.29999999999995</v>
      </c>
      <c r="EA10" s="118">
        <f>rev _3c11</f>
        <v>548.59999999999991</v>
      </c>
      <c r="EB10" s="118">
        <f>rev _4c11</f>
        <v>592.4</v>
      </c>
      <c r="EC10" s="1099">
        <f>SUM(DY10:EB10)</f>
        <v>2215.6</v>
      </c>
      <c r="EE10" s="118">
        <f>rev _1c11</f>
        <v>528.29999999999995</v>
      </c>
      <c r="EF10" s="118">
        <f>rev _2c11</f>
        <v>546.29999999999995</v>
      </c>
      <c r="EG10" s="118">
        <f>rev _3c11</f>
        <v>548.59999999999991</v>
      </c>
      <c r="EH10" s="118">
        <f>rev _4c11</f>
        <v>592.4</v>
      </c>
      <c r="EI10" s="1099">
        <f>SUM(EE10:EH10)</f>
        <v>2215.6</v>
      </c>
      <c r="EK10" s="118">
        <f>rev _1c11</f>
        <v>528.29999999999995</v>
      </c>
      <c r="EL10" s="118">
        <f>rev _2c11</f>
        <v>546.29999999999995</v>
      </c>
      <c r="EM10" s="118">
        <f>rev _3c11</f>
        <v>548.59999999999991</v>
      </c>
      <c r="EN10" s="118">
        <f>rev _4c11</f>
        <v>592.4</v>
      </c>
      <c r="EO10" s="1099">
        <f>SUM(EK10:EN10)</f>
        <v>2215.6</v>
      </c>
      <c r="EQ10" s="118">
        <f>rev _1c11</f>
        <v>528.29999999999995</v>
      </c>
      <c r="ER10" s="118">
        <f>rev _2c11</f>
        <v>546.29999999999995</v>
      </c>
      <c r="ES10" s="118">
        <f>rev _3c11</f>
        <v>548.59999999999991</v>
      </c>
      <c r="ET10" s="118">
        <f>rev _4c11</f>
        <v>592.4</v>
      </c>
      <c r="EU10" s="1099">
        <f>SUM(EQ10:ET10)</f>
        <v>2215.6</v>
      </c>
    </row>
    <row r="11" spans="1:159" hidden="1" outlineLevel="1">
      <c r="A11" s="201" t="s">
        <v>4574</v>
      </c>
      <c r="B11" s="104"/>
      <c r="C11" s="94"/>
      <c r="D11" s="94"/>
      <c r="E11" s="94"/>
      <c r="F11" s="94"/>
      <c r="G11" s="94"/>
      <c r="H11" s="104"/>
      <c r="I11" s="94"/>
      <c r="J11" s="94"/>
      <c r="K11" s="94"/>
      <c r="L11" s="94"/>
      <c r="M11" s="94"/>
      <c r="N11" s="104"/>
      <c r="O11" s="94">
        <f>O35</f>
        <v>0</v>
      </c>
      <c r="P11" s="94">
        <f>P35</f>
        <v>0</v>
      </c>
      <c r="Q11" s="94">
        <f>Q35</f>
        <v>0</v>
      </c>
      <c r="R11" s="94">
        <f>R35</f>
        <v>0</v>
      </c>
      <c r="S11" s="94"/>
      <c r="T11" s="62"/>
      <c r="U11" s="94">
        <f>U35</f>
        <v>0</v>
      </c>
      <c r="V11" s="94">
        <f>V35</f>
        <v>0</v>
      </c>
      <c r="W11" s="94">
        <f>W35</f>
        <v>0</v>
      </c>
      <c r="X11" s="94">
        <f>X35</f>
        <v>0</v>
      </c>
      <c r="Y11" s="94"/>
      <c r="Z11" s="62"/>
      <c r="AA11" s="94">
        <f>AA35</f>
        <v>0</v>
      </c>
      <c r="AB11" s="94">
        <f>AB35</f>
        <v>0</v>
      </c>
      <c r="AC11" s="94">
        <f>AC35</f>
        <v>0</v>
      </c>
      <c r="AD11" s="94">
        <f>AD35</f>
        <v>0</v>
      </c>
      <c r="AE11" s="94"/>
      <c r="AF11" s="62"/>
      <c r="AG11" s="94">
        <f>AG35</f>
        <v>0</v>
      </c>
      <c r="AH11" s="94">
        <f>AH35</f>
        <v>0</v>
      </c>
      <c r="AI11" s="94">
        <f>AI35</f>
        <v>0</v>
      </c>
      <c r="AJ11" s="94">
        <f>AJ35</f>
        <v>0</v>
      </c>
      <c r="AK11" s="94"/>
      <c r="AL11" s="62"/>
      <c r="AM11" s="94">
        <f>AM35</f>
        <v>0</v>
      </c>
      <c r="AN11" s="94">
        <f>AN35</f>
        <v>0</v>
      </c>
      <c r="AO11" s="94">
        <f>AO35</f>
        <v>0</v>
      </c>
      <c r="AP11" s="94">
        <f>AP35</f>
        <v>0</v>
      </c>
      <c r="AQ11" s="94">
        <f>AQ35</f>
        <v>0</v>
      </c>
      <c r="AR11" s="62"/>
      <c r="AS11" s="94">
        <f>AS35</f>
        <v>0</v>
      </c>
      <c r="AT11" s="94">
        <f>AT35</f>
        <v>0</v>
      </c>
      <c r="AU11" s="94">
        <f>AU35</f>
        <v>0</v>
      </c>
      <c r="AV11" s="94">
        <f>AV35</f>
        <v>0</v>
      </c>
      <c r="AW11" s="94">
        <f>AW35</f>
        <v>0</v>
      </c>
      <c r="AX11" s="62"/>
      <c r="AY11" s="94">
        <f>AY35</f>
        <v>0</v>
      </c>
      <c r="AZ11" s="94">
        <f>AZ35</f>
        <v>0</v>
      </c>
      <c r="BA11" s="94">
        <f>BA35</f>
        <v>0</v>
      </c>
      <c r="BB11" s="94">
        <f>BB35</f>
        <v>0</v>
      </c>
      <c r="BC11" s="94">
        <f>BC35</f>
        <v>0</v>
      </c>
      <c r="BD11" s="148"/>
      <c r="BE11" s="94">
        <f>BE35</f>
        <v>0</v>
      </c>
      <c r="BF11" s="94">
        <f>BF35</f>
        <v>0</v>
      </c>
      <c r="BG11" s="94">
        <f>BG35</f>
        <v>0</v>
      </c>
      <c r="BH11" s="94">
        <f>BH35</f>
        <v>0</v>
      </c>
      <c r="BI11" s="94">
        <f>BI35</f>
        <v>0</v>
      </c>
      <c r="BJ11" s="148"/>
      <c r="BK11" s="94">
        <f>BK35</f>
        <v>0</v>
      </c>
      <c r="BL11" s="94">
        <f>BL35</f>
        <v>0</v>
      </c>
      <c r="BM11" s="94">
        <f>BM35</f>
        <v>0</v>
      </c>
      <c r="BN11" s="94">
        <f>BN35</f>
        <v>0</v>
      </c>
      <c r="BO11" s="1100">
        <f>BO35</f>
        <v>0</v>
      </c>
      <c r="BP11" s="148"/>
      <c r="BQ11" s="94">
        <f>BQ35</f>
        <v>0</v>
      </c>
      <c r="BR11" s="94">
        <f>BR35</f>
        <v>0</v>
      </c>
      <c r="BS11" s="94">
        <f>BS35</f>
        <v>0</v>
      </c>
      <c r="BT11" s="94">
        <f>BT35</f>
        <v>0</v>
      </c>
      <c r="BU11" s="1100">
        <f>BU35</f>
        <v>0</v>
      </c>
      <c r="BV11" s="148"/>
      <c r="BW11" s="94">
        <f>BW35</f>
        <v>0</v>
      </c>
      <c r="BX11" s="94">
        <f>BX35</f>
        <v>0</v>
      </c>
      <c r="BY11" s="94">
        <f>BY35</f>
        <v>0</v>
      </c>
      <c r="BZ11" s="94">
        <f>BZ35</f>
        <v>0</v>
      </c>
      <c r="CA11" s="1100">
        <f>CA35</f>
        <v>0</v>
      </c>
      <c r="CB11" s="148"/>
      <c r="CC11" s="94">
        <f>CC35</f>
        <v>0</v>
      </c>
      <c r="CD11" s="94">
        <f>CD35</f>
        <v>0</v>
      </c>
      <c r="CE11" s="94">
        <f>CE35</f>
        <v>0</v>
      </c>
      <c r="CF11" s="94">
        <f>CF35</f>
        <v>0</v>
      </c>
      <c r="CG11" s="1537">
        <f>CG35</f>
        <v>0</v>
      </c>
      <c r="CH11" s="148"/>
      <c r="CI11" s="94">
        <f>CI35</f>
        <v>0</v>
      </c>
      <c r="CJ11" s="94">
        <f>CJ35</f>
        <v>0</v>
      </c>
      <c r="CK11" s="94">
        <f>CK35</f>
        <v>0</v>
      </c>
      <c r="CL11" s="94">
        <f>CL35</f>
        <v>0</v>
      </c>
      <c r="CM11" s="1100">
        <f>CM35</f>
        <v>0</v>
      </c>
      <c r="CN11" s="148"/>
      <c r="CO11" s="94">
        <f t="shared" ref="CO11:DE11" si="0">CO35</f>
        <v>0</v>
      </c>
      <c r="CP11" s="94">
        <f t="shared" si="0"/>
        <v>0</v>
      </c>
      <c r="CQ11" s="94">
        <f t="shared" si="0"/>
        <v>0</v>
      </c>
      <c r="CR11" s="94">
        <f t="shared" si="0"/>
        <v>0</v>
      </c>
      <c r="CS11" s="1100">
        <f t="shared" si="0"/>
        <v>0</v>
      </c>
      <c r="CT11" s="95"/>
      <c r="CU11" s="94">
        <f t="shared" si="0"/>
        <v>0</v>
      </c>
      <c r="CV11" s="94">
        <f t="shared" si="0"/>
        <v>0</v>
      </c>
      <c r="CW11" s="94">
        <f t="shared" si="0"/>
        <v>0</v>
      </c>
      <c r="CX11" s="94">
        <f t="shared" si="0"/>
        <v>0</v>
      </c>
      <c r="CY11" s="1100">
        <f t="shared" si="0"/>
        <v>0</v>
      </c>
      <c r="CZ11" s="95"/>
      <c r="DA11" s="94">
        <f t="shared" si="0"/>
        <v>0</v>
      </c>
      <c r="DB11" s="94">
        <f t="shared" si="0"/>
        <v>0</v>
      </c>
      <c r="DC11" s="94">
        <f t="shared" si="0"/>
        <v>0</v>
      </c>
      <c r="DD11" s="94">
        <f t="shared" si="0"/>
        <v>0</v>
      </c>
      <c r="DE11" s="1100">
        <f t="shared" si="0"/>
        <v>0</v>
      </c>
      <c r="DF11" s="95"/>
      <c r="DG11" s="94">
        <f>DG35</f>
        <v>0</v>
      </c>
      <c r="DH11" s="94">
        <f>DH35</f>
        <v>0</v>
      </c>
      <c r="DI11" s="94">
        <f>DI35</f>
        <v>0</v>
      </c>
      <c r="DJ11" s="94">
        <f>DJ35</f>
        <v>0</v>
      </c>
      <c r="DK11" s="1100">
        <f>DK35</f>
        <v>0</v>
      </c>
      <c r="DL11" s="148"/>
      <c r="DM11" s="94">
        <f>DM35</f>
        <v>0</v>
      </c>
      <c r="DN11" s="94">
        <f>DN35</f>
        <v>0</v>
      </c>
      <c r="DO11" s="94">
        <f>DO35</f>
        <v>0</v>
      </c>
      <c r="DP11" s="94">
        <f>DP35</f>
        <v>0</v>
      </c>
      <c r="DQ11" s="1100">
        <f>DQ35</f>
        <v>0</v>
      </c>
      <c r="DR11" s="95"/>
      <c r="DS11" s="94">
        <f>DS35</f>
        <v>0</v>
      </c>
      <c r="DT11" s="94">
        <f>DT35</f>
        <v>0</v>
      </c>
      <c r="DU11" s="94">
        <f>DU35</f>
        <v>0</v>
      </c>
      <c r="DV11" s="94">
        <f>DV35</f>
        <v>0</v>
      </c>
      <c r="DW11" s="1100">
        <f>DW35</f>
        <v>0</v>
      </c>
      <c r="DX11" s="95"/>
      <c r="DY11" s="94">
        <f>DY35</f>
        <v>0</v>
      </c>
      <c r="DZ11" s="94">
        <f>DZ35</f>
        <v>0</v>
      </c>
      <c r="EA11" s="94">
        <f>EA35</f>
        <v>0</v>
      </c>
      <c r="EB11" s="94">
        <f>EB35</f>
        <v>0</v>
      </c>
      <c r="EC11" s="1100">
        <f>EC35</f>
        <v>0</v>
      </c>
      <c r="ED11" s="95"/>
      <c r="EE11" s="94">
        <f>EE35</f>
        <v>0</v>
      </c>
      <c r="EF11" s="94">
        <f>EF35</f>
        <v>0</v>
      </c>
      <c r="EG11" s="94">
        <f>EG35</f>
        <v>0</v>
      </c>
      <c r="EH11" s="94">
        <f>EH35</f>
        <v>0</v>
      </c>
      <c r="EI11" s="1100">
        <f>EI35</f>
        <v>0</v>
      </c>
      <c r="EJ11" s="95"/>
      <c r="EK11" s="94">
        <f>EK35</f>
        <v>0</v>
      </c>
      <c r="EL11" s="94">
        <f>EL35</f>
        <v>0</v>
      </c>
      <c r="EM11" s="94">
        <f>EM35</f>
        <v>0</v>
      </c>
      <c r="EN11" s="94">
        <f>EN35</f>
        <v>0</v>
      </c>
      <c r="EO11" s="1100">
        <f>EO35</f>
        <v>0</v>
      </c>
      <c r="EP11" s="95"/>
      <c r="EQ11" s="94">
        <f>EQ35</f>
        <v>0</v>
      </c>
      <c r="ER11" s="94">
        <f>ER35</f>
        <v>0</v>
      </c>
      <c r="ES11" s="94">
        <f>ES35</f>
        <v>0</v>
      </c>
      <c r="ET11" s="94">
        <f>ET35</f>
        <v>0</v>
      </c>
      <c r="EU11" s="1100">
        <f>EU35</f>
        <v>0</v>
      </c>
    </row>
    <row r="12" spans="1:159" hidden="1" outlineLevel="1">
      <c r="A12" s="200" t="s">
        <v>4575</v>
      </c>
      <c r="B12" s="52"/>
      <c r="C12" s="118"/>
      <c r="D12" s="118"/>
      <c r="E12" s="118"/>
      <c r="F12" s="118"/>
      <c r="G12" s="118"/>
      <c r="H12" s="52"/>
      <c r="I12" s="118"/>
      <c r="J12" s="118"/>
      <c r="K12" s="118"/>
      <c r="L12" s="118"/>
      <c r="M12" s="118"/>
      <c r="N12" s="52"/>
      <c r="O12" s="118">
        <f>O10-O11</f>
        <v>227.88200000000001</v>
      </c>
      <c r="P12" s="118">
        <f>P10-P11</f>
        <v>232.346</v>
      </c>
      <c r="Q12" s="118">
        <f>Q10-Q11</f>
        <v>210.30500000000001</v>
      </c>
      <c r="R12" s="118">
        <f>R10-R11</f>
        <v>223.29900000000001</v>
      </c>
      <c r="S12" s="118"/>
      <c r="T12" s="64"/>
      <c r="U12" s="118">
        <f>U10-U11</f>
        <v>202.661</v>
      </c>
      <c r="V12" s="118">
        <f>V10-V11</f>
        <v>210.58199999999999</v>
      </c>
      <c r="W12" s="118">
        <f>W10-W11</f>
        <v>208.131</v>
      </c>
      <c r="X12" s="118">
        <f>X10-X11</f>
        <v>226.67699999999999</v>
      </c>
      <c r="Y12" s="118"/>
      <c r="Z12" s="64"/>
      <c r="AA12" s="118">
        <f>AA10-AA11</f>
        <v>231.25899999999999</v>
      </c>
      <c r="AB12" s="118">
        <f>AB10-AB11</f>
        <v>232.84100000000001</v>
      </c>
      <c r="AC12" s="118">
        <f>AC10-AC11</f>
        <v>229.17699999999999</v>
      </c>
      <c r="AD12" s="118">
        <f>AD10-AD11</f>
        <v>243.047</v>
      </c>
      <c r="AE12" s="118"/>
      <c r="AF12" s="64"/>
      <c r="AG12" s="118">
        <f>AG10-AG11</f>
        <v>245.73999999999998</v>
      </c>
      <c r="AH12" s="118">
        <f>AH10-AH11</f>
        <v>231.35999999999999</v>
      </c>
      <c r="AI12" s="118">
        <f>AI10-AI11</f>
        <v>216.357</v>
      </c>
      <c r="AJ12" s="118">
        <f>AJ10-AJ11</f>
        <v>254.03400000000002</v>
      </c>
      <c r="AK12" s="118"/>
      <c r="AL12" s="64"/>
      <c r="AM12" s="118">
        <f>AM10-AM11</f>
        <v>229.327</v>
      </c>
      <c r="AN12" s="118">
        <f>AN10-AN11</f>
        <v>211.40100000000001</v>
      </c>
      <c r="AO12" s="118">
        <f>AO10-AO11</f>
        <v>188.70099999999999</v>
      </c>
      <c r="AP12" s="118">
        <f>AP10-AP11</f>
        <v>195.51600000000002</v>
      </c>
      <c r="AQ12" s="118">
        <f>AQ10-AQ11</f>
        <v>824.94499999999994</v>
      </c>
      <c r="AR12" s="64"/>
      <c r="AS12" s="118">
        <f>AS10-AS11</f>
        <v>210.76599999999999</v>
      </c>
      <c r="AT12" s="118">
        <f>AT10-AT11</f>
        <v>211.70499999999998</v>
      </c>
      <c r="AU12" s="118">
        <f>AU10-AU11</f>
        <v>233.86199999999999</v>
      </c>
      <c r="AV12" s="118">
        <f>AV10-AV11</f>
        <v>295.31000000000006</v>
      </c>
      <c r="AW12" s="118">
        <f>AW10-AW11</f>
        <v>951.64300000000003</v>
      </c>
      <c r="AX12" s="64"/>
      <c r="AY12" s="119">
        <f>AY10-AY11</f>
        <v>299.10000000000002</v>
      </c>
      <c r="AZ12" s="119">
        <f>AZ10-AZ11</f>
        <v>280.8</v>
      </c>
      <c r="BA12" s="119">
        <f>BA10-BA11</f>
        <v>301.40000000000003</v>
      </c>
      <c r="BB12" s="119">
        <f>BB10-BB11</f>
        <v>357.59999999999997</v>
      </c>
      <c r="BC12" s="119">
        <f>BC10-BC11</f>
        <v>1238.9000000000001</v>
      </c>
      <c r="BD12" s="98"/>
      <c r="BE12" s="119">
        <f>BE10-BE11</f>
        <v>359.09999999999997</v>
      </c>
      <c r="BF12" s="119">
        <f>BF10-BF11</f>
        <v>376.79999999999995</v>
      </c>
      <c r="BG12" s="119">
        <f>BG10-BG11</f>
        <v>381.5</v>
      </c>
      <c r="BH12" s="119">
        <f>BH10-BH11</f>
        <v>419.8</v>
      </c>
      <c r="BI12" s="119">
        <f>BI10-BI11</f>
        <v>1537.1999999999998</v>
      </c>
      <c r="BJ12" s="98"/>
      <c r="BK12" s="118">
        <f>BK10-BK11</f>
        <v>436</v>
      </c>
      <c r="BL12" s="118">
        <f>BL10-BL11</f>
        <v>449.6</v>
      </c>
      <c r="BM12" s="118">
        <f>BM10-BM11</f>
        <v>456.8</v>
      </c>
      <c r="BN12" s="118">
        <f>BN10-BN11</f>
        <v>497.4</v>
      </c>
      <c r="BO12" s="1099">
        <f>BO10-BO11</f>
        <v>1839.8000000000002</v>
      </c>
      <c r="BP12" s="98"/>
      <c r="BQ12" s="118">
        <f>BQ10-BQ11</f>
        <v>508.6</v>
      </c>
      <c r="BR12" s="118">
        <f>BR10-BR11</f>
        <v>525.90000000000009</v>
      </c>
      <c r="BS12" s="118">
        <f>BS10-BS11</f>
        <v>538.4</v>
      </c>
      <c r="BT12" s="118">
        <f>BT10-BT11</f>
        <v>599.1</v>
      </c>
      <c r="BU12" s="1099">
        <f>BU10-BU11</f>
        <v>2172</v>
      </c>
      <c r="BV12" s="98"/>
      <c r="BW12" s="118">
        <f>BW10-BW11</f>
        <v>598.79999999999995</v>
      </c>
      <c r="BX12" s="118">
        <f>BX10-BX11</f>
        <v>619.5</v>
      </c>
      <c r="BY12" s="118">
        <f>BY10-BY11</f>
        <v>607.1</v>
      </c>
      <c r="BZ12" s="118">
        <f>BZ10-BZ11</f>
        <v>489.8</v>
      </c>
      <c r="CA12" s="1099">
        <f>CA10-CA11</f>
        <v>2315.2000000000003</v>
      </c>
      <c r="CB12" s="98"/>
      <c r="CC12" s="118">
        <f>CC10-CC11</f>
        <v>425.79999999999995</v>
      </c>
      <c r="CD12" s="118">
        <f>CD10-CD11</f>
        <v>414.9</v>
      </c>
      <c r="CE12" s="118">
        <f>CE10-CE11</f>
        <v>416.9</v>
      </c>
      <c r="CF12" s="118">
        <f>CF10-CF11</f>
        <v>456.1</v>
      </c>
      <c r="CG12" s="1536">
        <f>CG10-CG11</f>
        <v>1713.6999999999998</v>
      </c>
      <c r="CH12" s="98"/>
      <c r="CI12" s="118">
        <f>CI10-CI11</f>
        <v>474.6</v>
      </c>
      <c r="CJ12" s="118">
        <f>CJ10-CJ11</f>
        <v>472.79999999999995</v>
      </c>
      <c r="CK12" s="119">
        <f>CK10-CK11</f>
        <v>476.7</v>
      </c>
      <c r="CL12" s="119">
        <f>CL10-CL11</f>
        <v>527.70000000000005</v>
      </c>
      <c r="CM12" s="1099">
        <f>CM10-CM11</f>
        <v>1951.8</v>
      </c>
      <c r="CN12" s="98"/>
      <c r="CO12" s="118">
        <f t="shared" ref="CO12:DE12" si="1">CO10-CO11</f>
        <v>528.29999999999995</v>
      </c>
      <c r="CP12" s="118">
        <f t="shared" si="1"/>
        <v>546.29999999999995</v>
      </c>
      <c r="CQ12" s="118">
        <f t="shared" si="1"/>
        <v>548.59999999999991</v>
      </c>
      <c r="CR12" s="118">
        <f t="shared" si="1"/>
        <v>592.4</v>
      </c>
      <c r="CS12" s="1099">
        <f t="shared" si="1"/>
        <v>2215.6</v>
      </c>
      <c r="CT12" s="1773"/>
      <c r="CU12" s="118">
        <f t="shared" si="1"/>
        <v>528.29999999999995</v>
      </c>
      <c r="CV12" s="118">
        <f t="shared" si="1"/>
        <v>546.29999999999995</v>
      </c>
      <c r="CW12" s="118">
        <f t="shared" si="1"/>
        <v>548.59999999999991</v>
      </c>
      <c r="CX12" s="118">
        <f t="shared" si="1"/>
        <v>592.4</v>
      </c>
      <c r="CY12" s="1099">
        <f t="shared" si="1"/>
        <v>2215.6</v>
      </c>
      <c r="CZ12" s="1773"/>
      <c r="DA12" s="118">
        <f t="shared" si="1"/>
        <v>528.29999999999995</v>
      </c>
      <c r="DB12" s="118">
        <f t="shared" si="1"/>
        <v>546.29999999999995</v>
      </c>
      <c r="DC12" s="118">
        <f t="shared" si="1"/>
        <v>548.59999999999991</v>
      </c>
      <c r="DD12" s="118">
        <f t="shared" si="1"/>
        <v>592.4</v>
      </c>
      <c r="DE12" s="1099">
        <f t="shared" si="1"/>
        <v>2215.6</v>
      </c>
      <c r="DF12" s="1773"/>
      <c r="DG12" s="118">
        <f>DG10-DG11</f>
        <v>528.29999999999995</v>
      </c>
      <c r="DH12" s="118">
        <f>DH10-DH11</f>
        <v>546.29999999999995</v>
      </c>
      <c r="DI12" s="118">
        <f>DI10-DI11</f>
        <v>548.59999999999991</v>
      </c>
      <c r="DJ12" s="118">
        <f>DJ10-DJ11</f>
        <v>592.4</v>
      </c>
      <c r="DK12" s="1099">
        <f>DK10-DK11</f>
        <v>2215.6</v>
      </c>
      <c r="DL12" s="98"/>
      <c r="DM12" s="118">
        <f>DM10-DM11</f>
        <v>528.29999999999995</v>
      </c>
      <c r="DN12" s="118">
        <f>DN10-DN11</f>
        <v>546.29999999999995</v>
      </c>
      <c r="DO12" s="118">
        <f>DO10-DO11</f>
        <v>548.59999999999991</v>
      </c>
      <c r="DP12" s="118">
        <f>DP10-DP11</f>
        <v>592.4</v>
      </c>
      <c r="DQ12" s="1099">
        <f>DQ10-DQ11</f>
        <v>2215.6</v>
      </c>
      <c r="DS12" s="118">
        <f>DS10-DS11</f>
        <v>528.29999999999995</v>
      </c>
      <c r="DT12" s="118">
        <f>DT10-DT11</f>
        <v>546.29999999999995</v>
      </c>
      <c r="DU12" s="118">
        <f>DU10-DU11</f>
        <v>548.59999999999991</v>
      </c>
      <c r="DV12" s="118">
        <f>DV10-DV11</f>
        <v>592.4</v>
      </c>
      <c r="DW12" s="1099">
        <f>DW10-DW11</f>
        <v>2215.6</v>
      </c>
      <c r="DY12" s="118">
        <f>DY10-DY11</f>
        <v>528.29999999999995</v>
      </c>
      <c r="DZ12" s="118">
        <f>DZ10-DZ11</f>
        <v>546.29999999999995</v>
      </c>
      <c r="EA12" s="118">
        <f>EA10-EA11</f>
        <v>548.59999999999991</v>
      </c>
      <c r="EB12" s="118">
        <f>EB10-EB11</f>
        <v>592.4</v>
      </c>
      <c r="EC12" s="1099">
        <f>EC10-EC11</f>
        <v>2215.6</v>
      </c>
      <c r="EE12" s="118">
        <f>EE10-EE11</f>
        <v>528.29999999999995</v>
      </c>
      <c r="EF12" s="118">
        <f>EF10-EF11</f>
        <v>546.29999999999995</v>
      </c>
      <c r="EG12" s="118">
        <f>EG10-EG11</f>
        <v>548.59999999999991</v>
      </c>
      <c r="EH12" s="118">
        <f>EH10-EH11</f>
        <v>592.4</v>
      </c>
      <c r="EI12" s="1099">
        <f>EI10-EI11</f>
        <v>2215.6</v>
      </c>
      <c r="EK12" s="118">
        <f>EK10-EK11</f>
        <v>528.29999999999995</v>
      </c>
      <c r="EL12" s="118">
        <f>EL10-EL11</f>
        <v>546.29999999999995</v>
      </c>
      <c r="EM12" s="118">
        <f>EM10-EM11</f>
        <v>548.59999999999991</v>
      </c>
      <c r="EN12" s="118">
        <f>EN10-EN11</f>
        <v>592.4</v>
      </c>
      <c r="EO12" s="1099">
        <f>EO10-EO11</f>
        <v>2215.6</v>
      </c>
      <c r="EQ12" s="118">
        <f>EQ10-EQ11</f>
        <v>528.29999999999995</v>
      </c>
      <c r="ER12" s="118">
        <f>ER10-ER11</f>
        <v>546.29999999999995</v>
      </c>
      <c r="ES12" s="118">
        <f>ES10-ES11</f>
        <v>548.59999999999991</v>
      </c>
      <c r="ET12" s="118">
        <f>ET10-ET11</f>
        <v>592.4</v>
      </c>
      <c r="EU12" s="1099">
        <f>EU10-EU11</f>
        <v>2215.6</v>
      </c>
    </row>
    <row r="13" spans="1:159" hidden="1" outlineLevel="1">
      <c r="A13" s="201" t="s">
        <v>3791</v>
      </c>
      <c r="B13" s="90"/>
      <c r="C13" s="93"/>
      <c r="D13" s="93"/>
      <c r="E13" s="93"/>
      <c r="F13" s="93"/>
      <c r="G13" s="93"/>
      <c r="H13" s="90"/>
      <c r="I13" s="93"/>
      <c r="J13" s="93"/>
      <c r="K13" s="93"/>
      <c r="L13" s="93"/>
      <c r="M13" s="93"/>
      <c r="N13" s="90"/>
      <c r="O13" s="93"/>
      <c r="P13" s="93"/>
      <c r="Q13" s="93"/>
      <c r="R13" s="93"/>
      <c r="S13" s="93"/>
      <c r="T13" s="61"/>
      <c r="U13" s="93"/>
      <c r="V13" s="93"/>
      <c r="W13" s="93"/>
      <c r="X13" s="93"/>
      <c r="Y13" s="93"/>
      <c r="Z13" s="61"/>
      <c r="AA13" s="93"/>
      <c r="AB13" s="93"/>
      <c r="AC13" s="93"/>
      <c r="AD13" s="93"/>
      <c r="AE13" s="93"/>
      <c r="AF13" s="61"/>
      <c r="AG13" s="385"/>
      <c r="AH13" s="385"/>
      <c r="AI13" s="385"/>
      <c r="AJ13" s="385"/>
      <c r="AK13" s="93"/>
      <c r="AL13" s="61"/>
      <c r="AM13" s="385">
        <v>2</v>
      </c>
      <c r="AN13" s="385">
        <v>2</v>
      </c>
      <c r="AO13" s="385">
        <v>2</v>
      </c>
      <c r="AP13" s="385">
        <v>2</v>
      </c>
      <c r="AQ13" s="93">
        <f>SUM(AM13:AP13)</f>
        <v>8</v>
      </c>
      <c r="AR13" s="61"/>
      <c r="AS13" s="93"/>
      <c r="AT13" s="93"/>
      <c r="AU13" s="93"/>
      <c r="AV13" s="93"/>
      <c r="AW13" s="93">
        <f>SUM(AS13:AV13)</f>
        <v>0</v>
      </c>
      <c r="AX13" s="61"/>
      <c r="AY13" s="94"/>
      <c r="AZ13" s="94"/>
      <c r="BA13" s="94"/>
      <c r="BB13" s="94"/>
      <c r="BC13" s="94">
        <f>SUM(AY13:BB13)</f>
        <v>0</v>
      </c>
      <c r="BD13" s="99"/>
      <c r="BE13" s="94"/>
      <c r="BF13" s="94"/>
      <c r="BG13" s="94"/>
      <c r="BH13" s="94"/>
      <c r="BI13" s="94">
        <f>SUM(BE13:BH13)</f>
        <v>0</v>
      </c>
      <c r="BJ13" s="99"/>
      <c r="BK13" s="93"/>
      <c r="BL13" s="93"/>
      <c r="BM13" s="93"/>
      <c r="BN13" s="93"/>
      <c r="BO13" s="1101">
        <f>SUM(BK13:BN13)</f>
        <v>0</v>
      </c>
      <c r="BP13" s="99"/>
      <c r="BQ13" s="93"/>
      <c r="BR13" s="93"/>
      <c r="BS13" s="93"/>
      <c r="BT13" s="93"/>
      <c r="BU13" s="1101">
        <f>SUM(BQ13:BT13)</f>
        <v>0</v>
      </c>
      <c r="BV13" s="99"/>
      <c r="BW13" s="93"/>
      <c r="BX13" s="93"/>
      <c r="BY13" s="93"/>
      <c r="BZ13" s="93"/>
      <c r="CA13" s="1101">
        <f>SUM(BW13:BZ13)</f>
        <v>0</v>
      </c>
      <c r="CB13" s="99"/>
      <c r="CC13" s="93"/>
      <c r="CD13" s="93"/>
      <c r="CE13" s="93"/>
      <c r="CF13" s="93"/>
      <c r="CG13" s="1538">
        <f>SUM(CC13:CF13)</f>
        <v>0</v>
      </c>
      <c r="CH13" s="99"/>
      <c r="CI13" s="93"/>
      <c r="CJ13" s="93"/>
      <c r="CK13" s="94"/>
      <c r="CL13" s="94"/>
      <c r="CM13" s="1101">
        <f>SUM(CI13:CL13)</f>
        <v>0</v>
      </c>
      <c r="CN13" s="99"/>
      <c r="CO13" s="93"/>
      <c r="CP13" s="93"/>
      <c r="CQ13" s="93"/>
      <c r="CR13" s="93"/>
      <c r="CS13" s="1101">
        <f>SUM(CO13:CR13)</f>
        <v>0</v>
      </c>
      <c r="CT13" s="990"/>
      <c r="CU13" s="93"/>
      <c r="CV13" s="93"/>
      <c r="CW13" s="93"/>
      <c r="CX13" s="93"/>
      <c r="CY13" s="1101">
        <f>SUM(CU13:CX13)</f>
        <v>0</v>
      </c>
      <c r="CZ13" s="990"/>
      <c r="DA13" s="93"/>
      <c r="DB13" s="93"/>
      <c r="DC13" s="93"/>
      <c r="DD13" s="93"/>
      <c r="DE13" s="1101">
        <f>SUM(DA13:DD13)</f>
        <v>0</v>
      </c>
      <c r="DF13" s="990"/>
      <c r="DG13" s="93"/>
      <c r="DH13" s="93"/>
      <c r="DI13" s="93"/>
      <c r="DJ13" s="93"/>
      <c r="DK13" s="1101">
        <f>SUM(DG13:DJ13)</f>
        <v>0</v>
      </c>
      <c r="DL13" s="99"/>
      <c r="DM13" s="93"/>
      <c r="DN13" s="93"/>
      <c r="DO13" s="93"/>
      <c r="DP13" s="93"/>
      <c r="DQ13" s="1101">
        <f>SUM(DM13:DP13)</f>
        <v>0</v>
      </c>
      <c r="DR13" s="990"/>
      <c r="DS13" s="93"/>
      <c r="DT13" s="93"/>
      <c r="DU13" s="93"/>
      <c r="DV13" s="93"/>
      <c r="DW13" s="1101">
        <f>SUM(DS13:DV13)</f>
        <v>0</v>
      </c>
      <c r="DX13" s="990"/>
      <c r="DY13" s="93"/>
      <c r="DZ13" s="93"/>
      <c r="EA13" s="93"/>
      <c r="EB13" s="93"/>
      <c r="EC13" s="1101">
        <f>SUM(DY13:EB13)</f>
        <v>0</v>
      </c>
      <c r="ED13" s="990"/>
      <c r="EE13" s="93"/>
      <c r="EF13" s="93"/>
      <c r="EG13" s="93"/>
      <c r="EH13" s="93"/>
      <c r="EI13" s="1101">
        <f>SUM(EE13:EH13)</f>
        <v>0</v>
      </c>
      <c r="EJ13" s="990"/>
      <c r="EK13" s="93"/>
      <c r="EL13" s="93"/>
      <c r="EM13" s="93"/>
      <c r="EN13" s="93"/>
      <c r="EO13" s="1101">
        <f>SUM(EK13:EN13)</f>
        <v>0</v>
      </c>
      <c r="EP13" s="990"/>
      <c r="EQ13" s="93"/>
      <c r="ER13" s="93"/>
      <c r="ES13" s="93"/>
      <c r="ET13" s="93"/>
      <c r="EU13" s="1101">
        <f>SUM(EQ13:ET13)</f>
        <v>0</v>
      </c>
    </row>
    <row r="14" spans="1:159" hidden="1" outlineLevel="1">
      <c r="A14" s="201" t="s">
        <v>4244</v>
      </c>
      <c r="B14" s="90"/>
      <c r="C14" s="93"/>
      <c r="D14" s="93"/>
      <c r="E14" s="93"/>
      <c r="F14" s="93"/>
      <c r="G14" s="93"/>
      <c r="H14" s="90"/>
      <c r="I14" s="93"/>
      <c r="J14" s="93"/>
      <c r="K14" s="93"/>
      <c r="L14" s="93"/>
      <c r="M14" s="93"/>
      <c r="N14" s="90"/>
      <c r="O14" s="93"/>
      <c r="P14" s="93"/>
      <c r="Q14" s="93"/>
      <c r="R14" s="93"/>
      <c r="S14" s="93"/>
      <c r="T14" s="61"/>
      <c r="U14" s="93"/>
      <c r="V14" s="93"/>
      <c r="W14" s="93"/>
      <c r="X14" s="93"/>
      <c r="Y14" s="93"/>
      <c r="Z14" s="61"/>
      <c r="AA14" s="93"/>
      <c r="AB14" s="93"/>
      <c r="AC14" s="93"/>
      <c r="AD14" s="93"/>
      <c r="AE14" s="93"/>
      <c r="AF14" s="61"/>
      <c r="AG14" s="93"/>
      <c r="AH14" s="93"/>
      <c r="AI14" s="93"/>
      <c r="AJ14" s="93"/>
      <c r="AK14" s="93"/>
      <c r="AL14" s="61"/>
      <c r="AM14" s="93"/>
      <c r="AN14" s="93"/>
      <c r="AO14" s="93"/>
      <c r="AP14" s="93"/>
      <c r="AQ14" s="93">
        <f>SUM(AM14:AP14)</f>
        <v>0</v>
      </c>
      <c r="AR14" s="61"/>
      <c r="AS14" s="93"/>
      <c r="AT14" s="93"/>
      <c r="AU14" s="93"/>
      <c r="AV14" s="93"/>
      <c r="AW14" s="93">
        <f>SUM(AS14:AV14)</f>
        <v>0</v>
      </c>
      <c r="AX14" s="61"/>
      <c r="AY14" s="94"/>
      <c r="AZ14" s="94"/>
      <c r="BA14" s="94"/>
      <c r="BB14" s="94"/>
      <c r="BC14" s="94">
        <f>SUM(AY14:BB14)</f>
        <v>0</v>
      </c>
      <c r="BD14" s="99"/>
      <c r="BE14" s="94"/>
      <c r="BF14" s="94"/>
      <c r="BG14" s="94"/>
      <c r="BH14" s="836">
        <v>3</v>
      </c>
      <c r="BI14" s="94">
        <f>SUM(BE14:BH14)</f>
        <v>3</v>
      </c>
      <c r="BJ14" s="99"/>
      <c r="BK14" s="385">
        <v>18</v>
      </c>
      <c r="BL14" s="385">
        <v>22</v>
      </c>
      <c r="BM14" s="385">
        <v>24</v>
      </c>
      <c r="BN14" s="385">
        <v>28</v>
      </c>
      <c r="BO14" s="1101">
        <f>SUM(BK14:BN14)</f>
        <v>92</v>
      </c>
      <c r="BP14" s="99"/>
      <c r="BQ14" s="93"/>
      <c r="BR14" s="93"/>
      <c r="BS14" s="93"/>
      <c r="BT14" s="93"/>
      <c r="BU14" s="1101">
        <f>SUM(BQ14:BT14)</f>
        <v>0</v>
      </c>
      <c r="BV14" s="99"/>
      <c r="BW14" s="93"/>
      <c r="BX14" s="93"/>
      <c r="BY14" s="93"/>
      <c r="BZ14" s="93"/>
      <c r="CA14" s="1101">
        <f>SUM(BW14:BZ14)</f>
        <v>0</v>
      </c>
      <c r="CB14" s="99"/>
      <c r="CC14" s="93"/>
      <c r="CD14" s="93"/>
      <c r="CE14" s="93"/>
      <c r="CF14" s="93"/>
      <c r="CG14" s="1538">
        <f>SUM(CC14:CF14)</f>
        <v>0</v>
      </c>
      <c r="CH14" s="99"/>
      <c r="CI14" s="93"/>
      <c r="CJ14" s="93"/>
      <c r="CK14" s="94"/>
      <c r="CL14" s="94"/>
      <c r="CM14" s="1101">
        <f>SUM(CI14:CL14)</f>
        <v>0</v>
      </c>
      <c r="CN14" s="99"/>
      <c r="CO14" s="93"/>
      <c r="CP14" s="93"/>
      <c r="CQ14" s="93"/>
      <c r="CR14" s="93"/>
      <c r="CS14" s="1101">
        <f>SUM(CO14:CR14)</f>
        <v>0</v>
      </c>
      <c r="CT14" s="990"/>
      <c r="CU14" s="93"/>
      <c r="CV14" s="93"/>
      <c r="CW14" s="93"/>
      <c r="CX14" s="93"/>
      <c r="CY14" s="1101">
        <f>SUM(CU14:CX14)</f>
        <v>0</v>
      </c>
      <c r="CZ14" s="990"/>
      <c r="DA14" s="93"/>
      <c r="DB14" s="93"/>
      <c r="DC14" s="93"/>
      <c r="DD14" s="93"/>
      <c r="DE14" s="1101">
        <f>SUM(DA14:DD14)</f>
        <v>0</v>
      </c>
      <c r="DF14" s="990"/>
      <c r="DG14" s="93"/>
      <c r="DH14" s="93"/>
      <c r="DI14" s="93"/>
      <c r="DJ14" s="93"/>
      <c r="DK14" s="1101">
        <f>SUM(DG14:DJ14)</f>
        <v>0</v>
      </c>
      <c r="DL14" s="99"/>
      <c r="DM14" s="93"/>
      <c r="DN14" s="93"/>
      <c r="DO14" s="93"/>
      <c r="DP14" s="93"/>
      <c r="DQ14" s="1101">
        <f>SUM(DM14:DP14)</f>
        <v>0</v>
      </c>
      <c r="DR14" s="990"/>
      <c r="DS14" s="93"/>
      <c r="DT14" s="93"/>
      <c r="DU14" s="93"/>
      <c r="DV14" s="93"/>
      <c r="DW14" s="1101">
        <f>SUM(DS14:DV14)</f>
        <v>0</v>
      </c>
      <c r="DX14" s="990"/>
      <c r="DY14" s="93"/>
      <c r="DZ14" s="93"/>
      <c r="EA14" s="93"/>
      <c r="EB14" s="93"/>
      <c r="EC14" s="1101">
        <f>SUM(DY14:EB14)</f>
        <v>0</v>
      </c>
      <c r="ED14" s="990"/>
      <c r="EE14" s="93"/>
      <c r="EF14" s="93"/>
      <c r="EG14" s="93"/>
      <c r="EH14" s="93"/>
      <c r="EI14" s="1101">
        <f>SUM(EE14:EH14)</f>
        <v>0</v>
      </c>
      <c r="EJ14" s="990"/>
      <c r="EK14" s="93"/>
      <c r="EL14" s="93"/>
      <c r="EM14" s="93"/>
      <c r="EN14" s="93"/>
      <c r="EO14" s="1101">
        <f>SUM(EK14:EN14)</f>
        <v>0</v>
      </c>
      <c r="EP14" s="990"/>
      <c r="EQ14" s="93"/>
      <c r="ER14" s="93"/>
      <c r="ES14" s="93"/>
      <c r="ET14" s="93"/>
      <c r="EU14" s="1101">
        <f>SUM(EQ14:ET14)</f>
        <v>0</v>
      </c>
    </row>
    <row r="15" spans="1:159" hidden="1" outlineLevel="1">
      <c r="A15" s="201" t="s">
        <v>4243</v>
      </c>
      <c r="B15" s="90"/>
      <c r="C15" s="93"/>
      <c r="D15" s="93"/>
      <c r="E15" s="93"/>
      <c r="F15" s="93"/>
      <c r="G15" s="93"/>
      <c r="H15" s="90"/>
      <c r="I15" s="93"/>
      <c r="J15" s="93"/>
      <c r="K15" s="93"/>
      <c r="L15" s="93"/>
      <c r="M15" s="93"/>
      <c r="N15" s="90"/>
      <c r="O15" s="93"/>
      <c r="P15" s="93"/>
      <c r="Q15" s="93"/>
      <c r="R15" s="93"/>
      <c r="S15" s="93"/>
      <c r="T15" s="61"/>
      <c r="U15" s="93"/>
      <c r="V15" s="93"/>
      <c r="W15" s="93"/>
      <c r="X15" s="93"/>
      <c r="Y15" s="93"/>
      <c r="Z15" s="61"/>
      <c r="AA15" s="93"/>
      <c r="AB15" s="93"/>
      <c r="AC15" s="93"/>
      <c r="AD15" s="93"/>
      <c r="AE15" s="93"/>
      <c r="AF15" s="61"/>
      <c r="AG15" s="93"/>
      <c r="AH15" s="93"/>
      <c r="AI15" s="93"/>
      <c r="AJ15" s="93"/>
      <c r="AK15" s="93"/>
      <c r="AL15" s="61"/>
      <c r="AM15" s="93"/>
      <c r="AN15" s="93"/>
      <c r="AO15" s="93"/>
      <c r="AP15" s="93"/>
      <c r="AQ15" s="93"/>
      <c r="AR15" s="61"/>
      <c r="AS15" s="93"/>
      <c r="AT15" s="93"/>
      <c r="AU15" s="93"/>
      <c r="AV15" s="93"/>
      <c r="AW15" s="93"/>
      <c r="AX15" s="61"/>
      <c r="AY15" s="94"/>
      <c r="AZ15" s="94"/>
      <c r="BA15" s="94"/>
      <c r="BB15" s="94"/>
      <c r="BC15" s="94"/>
      <c r="BD15" s="99"/>
      <c r="BE15" s="94"/>
      <c r="BF15" s="94"/>
      <c r="BG15" s="94"/>
      <c r="BH15" s="836"/>
      <c r="BI15" s="94">
        <f t="shared" ref="BI15:BI21" si="2">SUM(BE15:BH15)</f>
        <v>0</v>
      </c>
      <c r="BJ15" s="99"/>
      <c r="BK15" s="385"/>
      <c r="BL15" s="385"/>
      <c r="BM15" s="385"/>
      <c r="BN15" s="385"/>
      <c r="BO15" s="1101">
        <f t="shared" ref="BO15:BO21" si="3">SUM(BK15:BN15)</f>
        <v>0</v>
      </c>
      <c r="BP15" s="99"/>
      <c r="BQ15" s="93"/>
      <c r="BR15" s="93"/>
      <c r="BS15" s="93"/>
      <c r="BT15" s="93"/>
      <c r="BU15" s="1101">
        <f>SUM(BQ15:BT15)</f>
        <v>0</v>
      </c>
      <c r="BV15" s="99"/>
      <c r="BW15" s="93"/>
      <c r="BX15" s="93"/>
      <c r="BY15" s="93"/>
      <c r="BZ15" s="93"/>
      <c r="CA15" s="1101">
        <f t="shared" ref="CA15:CA25" si="4">SUM(BW15:BZ15)</f>
        <v>0</v>
      </c>
      <c r="CB15" s="99"/>
      <c r="CC15" s="93"/>
      <c r="CD15" s="93"/>
      <c r="CE15" s="93"/>
      <c r="CF15" s="93"/>
      <c r="CG15" s="1538">
        <f t="shared" ref="CG15:CG21" si="5">SUM(CC15:CF15)</f>
        <v>0</v>
      </c>
      <c r="CH15" s="99"/>
      <c r="CI15" s="93"/>
      <c r="CJ15" s="93"/>
      <c r="CK15" s="94"/>
      <c r="CL15" s="94"/>
      <c r="CM15" s="1101">
        <f t="shared" ref="CM15:CM21" si="6">SUM(CI15:CL15)</f>
        <v>0</v>
      </c>
      <c r="CN15" s="99"/>
      <c r="CO15" s="93"/>
      <c r="CP15" s="93"/>
      <c r="CQ15" s="93"/>
      <c r="CR15" s="93"/>
      <c r="CS15" s="1101">
        <f t="shared" ref="CS15:CS21" si="7">SUM(CO15:CR15)</f>
        <v>0</v>
      </c>
      <c r="CT15" s="990"/>
      <c r="CU15" s="93"/>
      <c r="CV15" s="93"/>
      <c r="CW15" s="93"/>
      <c r="CX15" s="93"/>
      <c r="CY15" s="1101">
        <f t="shared" ref="CY15:CY21" si="8">SUM(CU15:CX15)</f>
        <v>0</v>
      </c>
      <c r="CZ15" s="990"/>
      <c r="DA15" s="93"/>
      <c r="DB15" s="93"/>
      <c r="DC15" s="93"/>
      <c r="DD15" s="93"/>
      <c r="DE15" s="1101">
        <f t="shared" ref="DE15:DE21" si="9">SUM(DA15:DD15)</f>
        <v>0</v>
      </c>
      <c r="DF15" s="990"/>
      <c r="DG15" s="93"/>
      <c r="DH15" s="93"/>
      <c r="DI15" s="93"/>
      <c r="DJ15" s="93"/>
      <c r="DK15" s="1101">
        <f t="shared" ref="DK15:DK21" si="10">SUM(DG15:DJ15)</f>
        <v>0</v>
      </c>
      <c r="DL15" s="99"/>
      <c r="DM15" s="93"/>
      <c r="DN15" s="93"/>
      <c r="DO15" s="93"/>
      <c r="DP15" s="93"/>
      <c r="DQ15" s="1101">
        <f t="shared" ref="DQ15:DQ21" si="11">SUM(DM15:DP15)</f>
        <v>0</v>
      </c>
      <c r="DR15" s="990"/>
      <c r="DS15" s="93"/>
      <c r="DT15" s="93"/>
      <c r="DU15" s="93"/>
      <c r="DV15" s="93"/>
      <c r="DW15" s="1101">
        <f t="shared" ref="DW15:DW21" si="12">SUM(DS15:DV15)</f>
        <v>0</v>
      </c>
      <c r="DX15" s="990"/>
      <c r="DY15" s="93"/>
      <c r="DZ15" s="93"/>
      <c r="EA15" s="93"/>
      <c r="EB15" s="93"/>
      <c r="EC15" s="1101">
        <f t="shared" ref="EC15:EC21" si="13">SUM(DY15:EB15)</f>
        <v>0</v>
      </c>
      <c r="ED15" s="990"/>
      <c r="EE15" s="93"/>
      <c r="EF15" s="93"/>
      <c r="EG15" s="93"/>
      <c r="EH15" s="93"/>
      <c r="EI15" s="1101">
        <f t="shared" ref="EI15:EI21" si="14">SUM(EE15:EH15)</f>
        <v>0</v>
      </c>
      <c r="EJ15" s="990"/>
      <c r="EK15" s="93"/>
      <c r="EL15" s="93"/>
      <c r="EM15" s="93"/>
      <c r="EN15" s="93"/>
      <c r="EO15" s="1101">
        <f t="shared" ref="EO15:EO21" si="15">SUM(EK15:EN15)</f>
        <v>0</v>
      </c>
      <c r="EP15" s="990"/>
      <c r="EQ15" s="93"/>
      <c r="ER15" s="93"/>
      <c r="ES15" s="93"/>
      <c r="ET15" s="93"/>
      <c r="EU15" s="1101">
        <f t="shared" ref="EU15:EU21" si="16">SUM(EQ15:ET15)</f>
        <v>0</v>
      </c>
    </row>
    <row r="16" spans="1:159" hidden="1" outlineLevel="1">
      <c r="A16" s="201" t="s">
        <v>3816</v>
      </c>
      <c r="B16" s="90"/>
      <c r="C16" s="93"/>
      <c r="D16" s="93"/>
      <c r="E16" s="93"/>
      <c r="F16" s="93"/>
      <c r="G16" s="93"/>
      <c r="H16" s="90"/>
      <c r="I16" s="93"/>
      <c r="J16" s="93"/>
      <c r="K16" s="93"/>
      <c r="L16" s="93"/>
      <c r="M16" s="93"/>
      <c r="N16" s="90"/>
      <c r="O16" s="93"/>
      <c r="P16" s="93"/>
      <c r="Q16" s="93"/>
      <c r="R16" s="93"/>
      <c r="S16" s="93"/>
      <c r="T16" s="61"/>
      <c r="U16" s="93"/>
      <c r="V16" s="93"/>
      <c r="W16" s="93"/>
      <c r="X16" s="93"/>
      <c r="Y16" s="93"/>
      <c r="Z16" s="61"/>
      <c r="AA16" s="93"/>
      <c r="AB16" s="93"/>
      <c r="AC16" s="93"/>
      <c r="AD16" s="93"/>
      <c r="AE16" s="93"/>
      <c r="AF16" s="61"/>
      <c r="AG16" s="93"/>
      <c r="AH16" s="93"/>
      <c r="AI16" s="93"/>
      <c r="AJ16" s="93"/>
      <c r="AK16" s="93"/>
      <c r="AL16" s="61"/>
      <c r="AM16" s="93"/>
      <c r="AN16" s="93"/>
      <c r="AO16" s="93"/>
      <c r="AP16" s="93"/>
      <c r="AQ16" s="93"/>
      <c r="AR16" s="61"/>
      <c r="AS16" s="93"/>
      <c r="AT16" s="93"/>
      <c r="AU16" s="93"/>
      <c r="AV16" s="93"/>
      <c r="AW16" s="93"/>
      <c r="AX16" s="61"/>
      <c r="AY16" s="94"/>
      <c r="AZ16" s="94"/>
      <c r="BA16" s="94"/>
      <c r="BB16" s="94"/>
      <c r="BC16" s="94"/>
      <c r="BD16" s="99"/>
      <c r="BE16" s="94"/>
      <c r="BF16" s="94"/>
      <c r="BG16" s="94"/>
      <c r="BH16" s="836"/>
      <c r="BI16" s="94">
        <f t="shared" si="2"/>
        <v>0</v>
      </c>
      <c r="BJ16" s="99"/>
      <c r="BK16" s="385"/>
      <c r="BL16" s="385"/>
      <c r="BM16" s="385"/>
      <c r="BN16" s="385">
        <v>3</v>
      </c>
      <c r="BO16" s="1101">
        <f t="shared" si="3"/>
        <v>3</v>
      </c>
      <c r="BP16" s="99"/>
      <c r="BQ16" s="385">
        <v>3</v>
      </c>
      <c r="BR16" s="385">
        <v>3</v>
      </c>
      <c r="BS16" s="385">
        <v>3</v>
      </c>
      <c r="BT16" s="385"/>
      <c r="BU16" s="1101">
        <f t="shared" ref="BU16:BU21" si="17">SUM(BQ16:BT16)</f>
        <v>9</v>
      </c>
      <c r="BV16" s="99"/>
      <c r="BW16" s="93"/>
      <c r="BX16" s="93"/>
      <c r="BY16" s="93"/>
      <c r="BZ16" s="93"/>
      <c r="CA16" s="1101">
        <f t="shared" si="4"/>
        <v>0</v>
      </c>
      <c r="CB16" s="99"/>
      <c r="CC16" s="93"/>
      <c r="CD16" s="93"/>
      <c r="CE16" s="93"/>
      <c r="CF16" s="93"/>
      <c r="CG16" s="1538">
        <f t="shared" si="5"/>
        <v>0</v>
      </c>
      <c r="CH16" s="99"/>
      <c r="CI16" s="93"/>
      <c r="CJ16" s="93"/>
      <c r="CK16" s="94"/>
      <c r="CL16" s="94"/>
      <c r="CM16" s="1101">
        <f t="shared" si="6"/>
        <v>0</v>
      </c>
      <c r="CN16" s="99"/>
      <c r="CO16" s="93"/>
      <c r="CP16" s="93"/>
      <c r="CQ16" s="93"/>
      <c r="CR16" s="93"/>
      <c r="CS16" s="1101">
        <f t="shared" si="7"/>
        <v>0</v>
      </c>
      <c r="CT16" s="990"/>
      <c r="CU16" s="93"/>
      <c r="CV16" s="93"/>
      <c r="CW16" s="93"/>
      <c r="CX16" s="93"/>
      <c r="CY16" s="1101">
        <f t="shared" si="8"/>
        <v>0</v>
      </c>
      <c r="CZ16" s="990"/>
      <c r="DA16" s="93"/>
      <c r="DB16" s="93"/>
      <c r="DC16" s="93"/>
      <c r="DD16" s="93"/>
      <c r="DE16" s="1101">
        <f t="shared" si="9"/>
        <v>0</v>
      </c>
      <c r="DF16" s="990"/>
      <c r="DG16" s="93"/>
      <c r="DH16" s="93"/>
      <c r="DI16" s="93"/>
      <c r="DJ16" s="93"/>
      <c r="DK16" s="1101">
        <f t="shared" si="10"/>
        <v>0</v>
      </c>
      <c r="DL16" s="99"/>
      <c r="DM16" s="93"/>
      <c r="DN16" s="93"/>
      <c r="DO16" s="93"/>
      <c r="DP16" s="93"/>
      <c r="DQ16" s="1101">
        <f t="shared" si="11"/>
        <v>0</v>
      </c>
      <c r="DR16" s="990"/>
      <c r="DS16" s="93"/>
      <c r="DT16" s="93"/>
      <c r="DU16" s="93"/>
      <c r="DV16" s="93"/>
      <c r="DW16" s="1101">
        <f t="shared" si="12"/>
        <v>0</v>
      </c>
      <c r="DX16" s="990"/>
      <c r="DY16" s="93"/>
      <c r="DZ16" s="93"/>
      <c r="EA16" s="93"/>
      <c r="EB16" s="93"/>
      <c r="EC16" s="1101">
        <f t="shared" si="13"/>
        <v>0</v>
      </c>
      <c r="ED16" s="990"/>
      <c r="EE16" s="93"/>
      <c r="EF16" s="93"/>
      <c r="EG16" s="93"/>
      <c r="EH16" s="93"/>
      <c r="EI16" s="1101">
        <f t="shared" si="14"/>
        <v>0</v>
      </c>
      <c r="EJ16" s="990"/>
      <c r="EK16" s="93"/>
      <c r="EL16" s="93"/>
      <c r="EM16" s="93"/>
      <c r="EN16" s="93"/>
      <c r="EO16" s="1101">
        <f t="shared" si="15"/>
        <v>0</v>
      </c>
      <c r="EP16" s="990"/>
      <c r="EQ16" s="93"/>
      <c r="ER16" s="93"/>
      <c r="ES16" s="93"/>
      <c r="ET16" s="93"/>
      <c r="EU16" s="1101">
        <f t="shared" si="16"/>
        <v>0</v>
      </c>
    </row>
    <row r="17" spans="1:151" hidden="1" outlineLevel="1">
      <c r="A17" s="201" t="s">
        <v>5617</v>
      </c>
      <c r="B17" s="90"/>
      <c r="C17" s="93"/>
      <c r="D17" s="93"/>
      <c r="E17" s="93"/>
      <c r="F17" s="93"/>
      <c r="G17" s="93"/>
      <c r="H17" s="90"/>
      <c r="I17" s="93"/>
      <c r="J17" s="93"/>
      <c r="K17" s="93"/>
      <c r="L17" s="93"/>
      <c r="M17" s="93"/>
      <c r="N17" s="90"/>
      <c r="O17" s="93"/>
      <c r="P17" s="93"/>
      <c r="Q17" s="93"/>
      <c r="R17" s="93"/>
      <c r="S17" s="93"/>
      <c r="T17" s="61"/>
      <c r="U17" s="93"/>
      <c r="V17" s="93"/>
      <c r="W17" s="93"/>
      <c r="X17" s="93"/>
      <c r="Y17" s="93"/>
      <c r="Z17" s="61"/>
      <c r="AA17" s="93"/>
      <c r="AB17" s="93"/>
      <c r="AC17" s="93"/>
      <c r="AD17" s="93"/>
      <c r="AE17" s="93"/>
      <c r="AF17" s="61"/>
      <c r="AG17" s="93"/>
      <c r="AH17" s="93"/>
      <c r="AI17" s="93"/>
      <c r="AJ17" s="93"/>
      <c r="AK17" s="93"/>
      <c r="AL17" s="61"/>
      <c r="AM17" s="93"/>
      <c r="AN17" s="93"/>
      <c r="AO17" s="93"/>
      <c r="AP17" s="93"/>
      <c r="AQ17" s="93"/>
      <c r="AR17" s="61"/>
      <c r="AS17" s="93"/>
      <c r="AT17" s="93"/>
      <c r="AU17" s="93"/>
      <c r="AV17" s="93"/>
      <c r="AW17" s="93"/>
      <c r="AX17" s="61"/>
      <c r="AY17" s="94"/>
      <c r="AZ17" s="94"/>
      <c r="BA17" s="94"/>
      <c r="BB17" s="94"/>
      <c r="BC17" s="94"/>
      <c r="BD17" s="99"/>
      <c r="BE17" s="94"/>
      <c r="BF17" s="94"/>
      <c r="BG17" s="94"/>
      <c r="BH17" s="836"/>
      <c r="BI17" s="94">
        <f t="shared" si="2"/>
        <v>0</v>
      </c>
      <c r="BJ17" s="99"/>
      <c r="BK17" s="385"/>
      <c r="BL17" s="385"/>
      <c r="BM17" s="385"/>
      <c r="BN17" s="385"/>
      <c r="BO17" s="1101">
        <f t="shared" si="3"/>
        <v>0</v>
      </c>
      <c r="BP17" s="99"/>
      <c r="BQ17" s="93"/>
      <c r="BR17" s="93"/>
      <c r="BS17" s="93"/>
      <c r="BT17" s="93"/>
      <c r="BU17" s="1101">
        <f t="shared" si="17"/>
        <v>0</v>
      </c>
      <c r="BV17" s="99"/>
      <c r="BW17" s="93"/>
      <c r="BX17" s="93"/>
      <c r="BY17" s="93"/>
      <c r="BZ17" s="93"/>
      <c r="CA17" s="1101">
        <f t="shared" si="4"/>
        <v>0</v>
      </c>
      <c r="CB17" s="99"/>
      <c r="CC17" s="93"/>
      <c r="CD17" s="93"/>
      <c r="CE17" s="93"/>
      <c r="CF17" s="93"/>
      <c r="CG17" s="1538">
        <f t="shared" si="5"/>
        <v>0</v>
      </c>
      <c r="CH17" s="99"/>
      <c r="CI17" s="93"/>
      <c r="CJ17" s="93"/>
      <c r="CK17" s="94"/>
      <c r="CL17" s="94"/>
      <c r="CM17" s="1101">
        <f t="shared" si="6"/>
        <v>0</v>
      </c>
      <c r="CN17" s="99"/>
      <c r="CO17" s="93"/>
      <c r="CP17" s="93"/>
      <c r="CQ17" s="93"/>
      <c r="CR17" s="93"/>
      <c r="CS17" s="1101">
        <f t="shared" si="7"/>
        <v>0</v>
      </c>
      <c r="CT17" s="990"/>
      <c r="CU17" s="93"/>
      <c r="CV17" s="93"/>
      <c r="CW17" s="93"/>
      <c r="CX17" s="93"/>
      <c r="CY17" s="1101">
        <f t="shared" si="8"/>
        <v>0</v>
      </c>
      <c r="CZ17" s="990"/>
      <c r="DA17" s="93"/>
      <c r="DB17" s="93"/>
      <c r="DC17" s="93"/>
      <c r="DD17" s="93"/>
      <c r="DE17" s="1101">
        <f t="shared" si="9"/>
        <v>0</v>
      </c>
      <c r="DF17" s="990"/>
      <c r="DG17" s="93"/>
      <c r="DH17" s="93"/>
      <c r="DI17" s="93"/>
      <c r="DJ17" s="93"/>
      <c r="DK17" s="1101">
        <f t="shared" si="10"/>
        <v>0</v>
      </c>
      <c r="DL17" s="99"/>
      <c r="DM17" s="93"/>
      <c r="DN17" s="93"/>
      <c r="DO17" s="93"/>
      <c r="DP17" s="93"/>
      <c r="DQ17" s="1101">
        <f t="shared" si="11"/>
        <v>0</v>
      </c>
      <c r="DR17" s="990"/>
      <c r="DS17" s="93"/>
      <c r="DT17" s="93"/>
      <c r="DU17" s="93"/>
      <c r="DV17" s="93"/>
      <c r="DW17" s="1101">
        <f t="shared" si="12"/>
        <v>0</v>
      </c>
      <c r="DX17" s="990"/>
      <c r="DY17" s="93"/>
      <c r="DZ17" s="93"/>
      <c r="EA17" s="93"/>
      <c r="EB17" s="93"/>
      <c r="EC17" s="1101">
        <f t="shared" si="13"/>
        <v>0</v>
      </c>
      <c r="ED17" s="990"/>
      <c r="EE17" s="93"/>
      <c r="EF17" s="93"/>
      <c r="EG17" s="93"/>
      <c r="EH17" s="93"/>
      <c r="EI17" s="1101">
        <f t="shared" si="14"/>
        <v>0</v>
      </c>
      <c r="EJ17" s="990"/>
      <c r="EK17" s="93"/>
      <c r="EL17" s="93"/>
      <c r="EM17" s="93"/>
      <c r="EN17" s="93"/>
      <c r="EO17" s="1101">
        <f t="shared" si="15"/>
        <v>0</v>
      </c>
      <c r="EP17" s="990"/>
      <c r="EQ17" s="93"/>
      <c r="ER17" s="93"/>
      <c r="ES17" s="93"/>
      <c r="ET17" s="93"/>
      <c r="EU17" s="1101">
        <f t="shared" si="16"/>
        <v>0</v>
      </c>
    </row>
    <row r="18" spans="1:151" hidden="1" outlineLevel="1">
      <c r="A18" s="201" t="s">
        <v>4242</v>
      </c>
      <c r="B18" s="90"/>
      <c r="C18" s="93"/>
      <c r="D18" s="93"/>
      <c r="E18" s="93"/>
      <c r="F18" s="93"/>
      <c r="G18" s="93"/>
      <c r="H18" s="90"/>
      <c r="I18" s="93"/>
      <c r="J18" s="93"/>
      <c r="K18" s="93"/>
      <c r="L18" s="93"/>
      <c r="M18" s="93"/>
      <c r="N18" s="90"/>
      <c r="O18" s="93"/>
      <c r="P18" s="93"/>
      <c r="Q18" s="93"/>
      <c r="R18" s="93"/>
      <c r="S18" s="93"/>
      <c r="T18" s="61"/>
      <c r="U18" s="93"/>
      <c r="V18" s="93"/>
      <c r="W18" s="93"/>
      <c r="X18" s="93"/>
      <c r="Y18" s="93"/>
      <c r="Z18" s="61"/>
      <c r="AA18" s="93"/>
      <c r="AB18" s="93"/>
      <c r="AC18" s="93"/>
      <c r="AD18" s="93"/>
      <c r="AE18" s="93"/>
      <c r="AF18" s="61"/>
      <c r="AG18" s="93"/>
      <c r="AH18" s="93"/>
      <c r="AI18" s="93"/>
      <c r="AJ18" s="93"/>
      <c r="AK18" s="93"/>
      <c r="AL18" s="61"/>
      <c r="AM18" s="93"/>
      <c r="AN18" s="93"/>
      <c r="AO18" s="93"/>
      <c r="AP18" s="93"/>
      <c r="AQ18" s="93"/>
      <c r="AR18" s="61"/>
      <c r="AS18" s="93"/>
      <c r="AT18" s="93"/>
      <c r="AU18" s="93"/>
      <c r="AV18" s="93"/>
      <c r="AW18" s="93"/>
      <c r="AX18" s="61"/>
      <c r="AY18" s="94"/>
      <c r="AZ18" s="94"/>
      <c r="BA18" s="94"/>
      <c r="BB18" s="94"/>
      <c r="BC18" s="94"/>
      <c r="BD18" s="99"/>
      <c r="BE18" s="94"/>
      <c r="BF18" s="94"/>
      <c r="BG18" s="94"/>
      <c r="BH18" s="836"/>
      <c r="BI18" s="94">
        <f t="shared" si="2"/>
        <v>0</v>
      </c>
      <c r="BJ18" s="99"/>
      <c r="BK18" s="385"/>
      <c r="BL18" s="385"/>
      <c r="BM18" s="385"/>
      <c r="BN18" s="385"/>
      <c r="BO18" s="1101">
        <f t="shared" si="3"/>
        <v>0</v>
      </c>
      <c r="BP18" s="99"/>
      <c r="BQ18" s="93"/>
      <c r="BR18" s="93"/>
      <c r="BS18" s="93"/>
      <c r="BT18" s="93"/>
      <c r="BU18" s="1101">
        <f t="shared" si="17"/>
        <v>0</v>
      </c>
      <c r="BV18" s="99"/>
      <c r="BW18" s="93"/>
      <c r="BX18" s="93"/>
      <c r="BY18" s="93"/>
      <c r="BZ18" s="93"/>
      <c r="CA18" s="1101">
        <f t="shared" si="4"/>
        <v>0</v>
      </c>
      <c r="CB18" s="99"/>
      <c r="CC18" s="93"/>
      <c r="CD18" s="93"/>
      <c r="CE18" s="93"/>
      <c r="CF18" s="93"/>
      <c r="CG18" s="1538">
        <f t="shared" si="5"/>
        <v>0</v>
      </c>
      <c r="CH18" s="99"/>
      <c r="CI18" s="93"/>
      <c r="CJ18" s="93"/>
      <c r="CK18" s="94"/>
      <c r="CL18" s="94"/>
      <c r="CM18" s="1101">
        <f t="shared" si="6"/>
        <v>0</v>
      </c>
      <c r="CN18" s="99"/>
      <c r="CO18" s="93"/>
      <c r="CP18" s="93"/>
      <c r="CQ18" s="93"/>
      <c r="CR18" s="93"/>
      <c r="CS18" s="1101">
        <f t="shared" si="7"/>
        <v>0</v>
      </c>
      <c r="CT18" s="990"/>
      <c r="CU18" s="93"/>
      <c r="CV18" s="93"/>
      <c r="CW18" s="93"/>
      <c r="CX18" s="93"/>
      <c r="CY18" s="1101">
        <f t="shared" si="8"/>
        <v>0</v>
      </c>
      <c r="CZ18" s="990"/>
      <c r="DA18" s="93"/>
      <c r="DB18" s="93"/>
      <c r="DC18" s="93"/>
      <c r="DD18" s="93"/>
      <c r="DE18" s="1101">
        <f t="shared" si="9"/>
        <v>0</v>
      </c>
      <c r="DF18" s="990"/>
      <c r="DG18" s="93"/>
      <c r="DH18" s="93"/>
      <c r="DI18" s="93"/>
      <c r="DJ18" s="93"/>
      <c r="DK18" s="1101">
        <f t="shared" si="10"/>
        <v>0</v>
      </c>
      <c r="DL18" s="99"/>
      <c r="DM18" s="93"/>
      <c r="DN18" s="93"/>
      <c r="DO18" s="93"/>
      <c r="DP18" s="93"/>
      <c r="DQ18" s="1101">
        <f t="shared" si="11"/>
        <v>0</v>
      </c>
      <c r="DR18" s="990"/>
      <c r="DS18" s="93"/>
      <c r="DT18" s="93"/>
      <c r="DU18" s="93"/>
      <c r="DV18" s="93"/>
      <c r="DW18" s="1101">
        <f t="shared" si="12"/>
        <v>0</v>
      </c>
      <c r="DX18" s="990"/>
      <c r="DY18" s="93"/>
      <c r="DZ18" s="93"/>
      <c r="EA18" s="93"/>
      <c r="EB18" s="93"/>
      <c r="EC18" s="1101">
        <f t="shared" si="13"/>
        <v>0</v>
      </c>
      <c r="ED18" s="990"/>
      <c r="EE18" s="93"/>
      <c r="EF18" s="93"/>
      <c r="EG18" s="93"/>
      <c r="EH18" s="93"/>
      <c r="EI18" s="1101">
        <f t="shared" si="14"/>
        <v>0</v>
      </c>
      <c r="EJ18" s="990"/>
      <c r="EK18" s="93"/>
      <c r="EL18" s="93"/>
      <c r="EM18" s="93"/>
      <c r="EN18" s="93"/>
      <c r="EO18" s="1101">
        <f t="shared" si="15"/>
        <v>0</v>
      </c>
      <c r="EP18" s="990"/>
      <c r="EQ18" s="93"/>
      <c r="ER18" s="93"/>
      <c r="ES18" s="93"/>
      <c r="ET18" s="93"/>
      <c r="EU18" s="1101">
        <f t="shared" si="16"/>
        <v>0</v>
      </c>
    </row>
    <row r="19" spans="1:151" hidden="1" outlineLevel="1">
      <c r="A19" s="201" t="s">
        <v>3815</v>
      </c>
      <c r="B19" s="90"/>
      <c r="C19" s="93"/>
      <c r="D19" s="93"/>
      <c r="E19" s="93"/>
      <c r="F19" s="93"/>
      <c r="G19" s="93"/>
      <c r="H19" s="90"/>
      <c r="I19" s="93"/>
      <c r="J19" s="93"/>
      <c r="K19" s="93"/>
      <c r="L19" s="93"/>
      <c r="M19" s="93"/>
      <c r="N19" s="90"/>
      <c r="O19" s="93"/>
      <c r="P19" s="93"/>
      <c r="Q19" s="93"/>
      <c r="R19" s="93"/>
      <c r="S19" s="93"/>
      <c r="T19" s="61"/>
      <c r="U19" s="93"/>
      <c r="V19" s="93"/>
      <c r="W19" s="93"/>
      <c r="X19" s="93"/>
      <c r="Y19" s="93"/>
      <c r="Z19" s="61"/>
      <c r="AA19" s="93"/>
      <c r="AB19" s="93"/>
      <c r="AC19" s="93"/>
      <c r="AD19" s="93"/>
      <c r="AE19" s="93"/>
      <c r="AF19" s="61"/>
      <c r="AG19" s="93"/>
      <c r="AH19" s="93"/>
      <c r="AI19" s="93"/>
      <c r="AJ19" s="93"/>
      <c r="AK19" s="93"/>
      <c r="AL19" s="61"/>
      <c r="AM19" s="93"/>
      <c r="AN19" s="93"/>
      <c r="AO19" s="93"/>
      <c r="AP19" s="93"/>
      <c r="AQ19" s="93"/>
      <c r="AR19" s="61"/>
      <c r="AS19" s="93"/>
      <c r="AT19" s="93"/>
      <c r="AU19" s="93"/>
      <c r="AV19" s="93"/>
      <c r="AW19" s="93"/>
      <c r="AX19" s="61"/>
      <c r="AY19" s="94"/>
      <c r="AZ19" s="94"/>
      <c r="BA19" s="94"/>
      <c r="BB19" s="94"/>
      <c r="BC19" s="94"/>
      <c r="BD19" s="99"/>
      <c r="BE19" s="94"/>
      <c r="BF19" s="94"/>
      <c r="BG19" s="94"/>
      <c r="BH19" s="836"/>
      <c r="BI19" s="94">
        <f t="shared" si="2"/>
        <v>0</v>
      </c>
      <c r="BJ19" s="99"/>
      <c r="BK19" s="385"/>
      <c r="BL19" s="385"/>
      <c r="BM19" s="385"/>
      <c r="BN19" s="385"/>
      <c r="BO19" s="1101">
        <f t="shared" si="3"/>
        <v>0</v>
      </c>
      <c r="BP19" s="99"/>
      <c r="BQ19" s="93"/>
      <c r="BR19" s="93"/>
      <c r="BS19" s="93"/>
      <c r="BT19" s="93"/>
      <c r="BU19" s="1101">
        <f t="shared" si="17"/>
        <v>0</v>
      </c>
      <c r="BV19" s="99"/>
      <c r="BW19" s="93"/>
      <c r="BX19" s="93"/>
      <c r="BY19" s="93"/>
      <c r="BZ19" s="93"/>
      <c r="CA19" s="1101">
        <f t="shared" si="4"/>
        <v>0</v>
      </c>
      <c r="CB19" s="99"/>
      <c r="CC19" s="93"/>
      <c r="CD19" s="93"/>
      <c r="CE19" s="93"/>
      <c r="CF19" s="93"/>
      <c r="CG19" s="1538">
        <f t="shared" si="5"/>
        <v>0</v>
      </c>
      <c r="CH19" s="99"/>
      <c r="CI19" s="93"/>
      <c r="CJ19" s="93"/>
      <c r="CK19" s="94"/>
      <c r="CL19" s="94"/>
      <c r="CM19" s="1101">
        <f t="shared" si="6"/>
        <v>0</v>
      </c>
      <c r="CN19" s="99"/>
      <c r="CO19" s="93"/>
      <c r="CP19" s="93"/>
      <c r="CQ19" s="93"/>
      <c r="CR19" s="93"/>
      <c r="CS19" s="1101">
        <f t="shared" si="7"/>
        <v>0</v>
      </c>
      <c r="CT19" s="990"/>
      <c r="CU19" s="93"/>
      <c r="CV19" s="93"/>
      <c r="CW19" s="93"/>
      <c r="CX19" s="93"/>
      <c r="CY19" s="1101">
        <f t="shared" si="8"/>
        <v>0</v>
      </c>
      <c r="CZ19" s="990"/>
      <c r="DA19" s="93"/>
      <c r="DB19" s="93"/>
      <c r="DC19" s="93"/>
      <c r="DD19" s="93"/>
      <c r="DE19" s="1101">
        <f t="shared" si="9"/>
        <v>0</v>
      </c>
      <c r="DF19" s="990"/>
      <c r="DG19" s="93"/>
      <c r="DH19" s="93"/>
      <c r="DI19" s="93"/>
      <c r="DJ19" s="93"/>
      <c r="DK19" s="1101">
        <f t="shared" si="10"/>
        <v>0</v>
      </c>
      <c r="DL19" s="99"/>
      <c r="DM19" s="93"/>
      <c r="DN19" s="93"/>
      <c r="DO19" s="93"/>
      <c r="DP19" s="93"/>
      <c r="DQ19" s="1101">
        <f t="shared" si="11"/>
        <v>0</v>
      </c>
      <c r="DR19" s="990"/>
      <c r="DS19" s="93"/>
      <c r="DT19" s="93"/>
      <c r="DU19" s="93"/>
      <c r="DV19" s="93"/>
      <c r="DW19" s="1101">
        <f t="shared" si="12"/>
        <v>0</v>
      </c>
      <c r="DX19" s="990"/>
      <c r="DY19" s="93"/>
      <c r="DZ19" s="93"/>
      <c r="EA19" s="93"/>
      <c r="EB19" s="93"/>
      <c r="EC19" s="1101">
        <f t="shared" si="13"/>
        <v>0</v>
      </c>
      <c r="ED19" s="990"/>
      <c r="EE19" s="93"/>
      <c r="EF19" s="93"/>
      <c r="EG19" s="93"/>
      <c r="EH19" s="93"/>
      <c r="EI19" s="1101">
        <f t="shared" si="14"/>
        <v>0</v>
      </c>
      <c r="EJ19" s="990"/>
      <c r="EK19" s="93"/>
      <c r="EL19" s="93"/>
      <c r="EM19" s="93"/>
      <c r="EN19" s="93"/>
      <c r="EO19" s="1101">
        <f t="shared" si="15"/>
        <v>0</v>
      </c>
      <c r="EP19" s="990"/>
      <c r="EQ19" s="93"/>
      <c r="ER19" s="93"/>
      <c r="ES19" s="93"/>
      <c r="ET19" s="93"/>
      <c r="EU19" s="1101">
        <f t="shared" si="16"/>
        <v>0</v>
      </c>
    </row>
    <row r="20" spans="1:151" hidden="1" outlineLevel="1">
      <c r="A20" s="201" t="s">
        <v>6800</v>
      </c>
      <c r="B20" s="90"/>
      <c r="C20" s="93"/>
      <c r="D20" s="93"/>
      <c r="E20" s="93"/>
      <c r="F20" s="93"/>
      <c r="G20" s="93"/>
      <c r="H20" s="90"/>
      <c r="I20" s="93"/>
      <c r="J20" s="93"/>
      <c r="K20" s="93"/>
      <c r="L20" s="93"/>
      <c r="M20" s="93"/>
      <c r="N20" s="90"/>
      <c r="O20" s="93"/>
      <c r="P20" s="93"/>
      <c r="Q20" s="93"/>
      <c r="R20" s="93"/>
      <c r="S20" s="93"/>
      <c r="T20" s="61"/>
      <c r="U20" s="93"/>
      <c r="V20" s="93"/>
      <c r="W20" s="93"/>
      <c r="X20" s="93"/>
      <c r="Y20" s="93"/>
      <c r="Z20" s="61"/>
      <c r="AA20" s="93"/>
      <c r="AB20" s="93"/>
      <c r="AC20" s="93"/>
      <c r="AD20" s="93"/>
      <c r="AE20" s="93"/>
      <c r="AF20" s="61"/>
      <c r="AG20" s="93"/>
      <c r="AH20" s="93"/>
      <c r="AI20" s="93"/>
      <c r="AJ20" s="93"/>
      <c r="AK20" s="93"/>
      <c r="AL20" s="61"/>
      <c r="AM20" s="93"/>
      <c r="AN20" s="93"/>
      <c r="AO20" s="93"/>
      <c r="AP20" s="93"/>
      <c r="AQ20" s="93">
        <f>SUM(AM20:AP20)</f>
        <v>0</v>
      </c>
      <c r="AR20" s="61"/>
      <c r="AS20" s="93"/>
      <c r="AT20" s="93"/>
      <c r="AU20" s="93"/>
      <c r="AV20" s="93"/>
      <c r="AW20" s="93">
        <f>SUM(AS20:AV20)</f>
        <v>0</v>
      </c>
      <c r="AX20" s="61"/>
      <c r="AY20" s="94"/>
      <c r="AZ20" s="94"/>
      <c r="BA20" s="94"/>
      <c r="BB20" s="94"/>
      <c r="BC20" s="94">
        <f>SUM(AY20:BB20)</f>
        <v>0</v>
      </c>
      <c r="BD20" s="99"/>
      <c r="BE20" s="94"/>
      <c r="BF20" s="94"/>
      <c r="BG20" s="94"/>
      <c r="BH20" s="94"/>
      <c r="BI20" s="94">
        <f t="shared" si="2"/>
        <v>0</v>
      </c>
      <c r="BJ20" s="99"/>
      <c r="BK20" s="93"/>
      <c r="BL20" s="93"/>
      <c r="BM20" s="93"/>
      <c r="BN20" s="93"/>
      <c r="BO20" s="1101">
        <f t="shared" si="3"/>
        <v>0</v>
      </c>
      <c r="BP20" s="99"/>
      <c r="BQ20" s="93"/>
      <c r="BR20" s="93"/>
      <c r="BS20" s="93"/>
      <c r="BT20" s="93"/>
      <c r="BU20" s="1101">
        <f t="shared" si="17"/>
        <v>0</v>
      </c>
      <c r="BV20" s="99"/>
      <c r="BW20" s="93"/>
      <c r="BX20" s="93"/>
      <c r="BY20" s="93"/>
      <c r="BZ20" s="93"/>
      <c r="CA20" s="1101">
        <f t="shared" si="4"/>
        <v>0</v>
      </c>
      <c r="CB20" s="99"/>
      <c r="CC20" s="93"/>
      <c r="CD20" s="93"/>
      <c r="CE20" s="93"/>
      <c r="CF20" s="93"/>
      <c r="CG20" s="1538">
        <f t="shared" si="5"/>
        <v>0</v>
      </c>
      <c r="CH20" s="99"/>
      <c r="CI20" s="93"/>
      <c r="CJ20" s="93"/>
      <c r="CK20" s="94"/>
      <c r="CL20" s="94"/>
      <c r="CM20" s="1101">
        <f t="shared" si="6"/>
        <v>0</v>
      </c>
      <c r="CN20" s="99"/>
      <c r="CO20" s="93"/>
      <c r="CP20" s="93"/>
      <c r="CQ20" s="93"/>
      <c r="CR20" s="93"/>
      <c r="CS20" s="1101">
        <f t="shared" si="7"/>
        <v>0</v>
      </c>
      <c r="CT20" s="990"/>
      <c r="CU20" s="93"/>
      <c r="CV20" s="93"/>
      <c r="CW20" s="93"/>
      <c r="CX20" s="93"/>
      <c r="CY20" s="1101">
        <f t="shared" si="8"/>
        <v>0</v>
      </c>
      <c r="CZ20" s="990"/>
      <c r="DA20" s="93"/>
      <c r="DB20" s="93"/>
      <c r="DC20" s="93"/>
      <c r="DD20" s="93"/>
      <c r="DE20" s="1101">
        <f t="shared" si="9"/>
        <v>0</v>
      </c>
      <c r="DF20" s="990"/>
      <c r="DG20" s="93"/>
      <c r="DH20" s="93"/>
      <c r="DI20" s="93"/>
      <c r="DJ20" s="93"/>
      <c r="DK20" s="1101">
        <f t="shared" si="10"/>
        <v>0</v>
      </c>
      <c r="DL20" s="99"/>
      <c r="DM20" s="93"/>
      <c r="DN20" s="93"/>
      <c r="DO20" s="93"/>
      <c r="DP20" s="93"/>
      <c r="DQ20" s="1101">
        <f t="shared" si="11"/>
        <v>0</v>
      </c>
      <c r="DR20" s="990"/>
      <c r="DS20" s="93"/>
      <c r="DT20" s="93"/>
      <c r="DU20" s="93"/>
      <c r="DV20" s="93"/>
      <c r="DW20" s="1101">
        <f t="shared" si="12"/>
        <v>0</v>
      </c>
      <c r="DX20" s="990"/>
      <c r="DY20" s="93"/>
      <c r="DZ20" s="93"/>
      <c r="EA20" s="93"/>
      <c r="EB20" s="93"/>
      <c r="EC20" s="1101">
        <f t="shared" si="13"/>
        <v>0</v>
      </c>
      <c r="ED20" s="990"/>
      <c r="EE20" s="93"/>
      <c r="EF20" s="93"/>
      <c r="EG20" s="93"/>
      <c r="EH20" s="93"/>
      <c r="EI20" s="1101">
        <f t="shared" si="14"/>
        <v>0</v>
      </c>
      <c r="EJ20" s="990"/>
      <c r="EK20" s="93"/>
      <c r="EL20" s="93"/>
      <c r="EM20" s="93"/>
      <c r="EN20" s="93"/>
      <c r="EO20" s="1101">
        <f t="shared" si="15"/>
        <v>0</v>
      </c>
      <c r="EP20" s="990"/>
      <c r="EQ20" s="93"/>
      <c r="ER20" s="93"/>
      <c r="ES20" s="93"/>
      <c r="ET20" s="93"/>
      <c r="EU20" s="1101">
        <f t="shared" si="16"/>
        <v>0</v>
      </c>
    </row>
    <row r="21" spans="1:151" hidden="1" outlineLevel="1">
      <c r="A21" s="201" t="s">
        <v>1803</v>
      </c>
      <c r="B21" s="90"/>
      <c r="C21" s="93"/>
      <c r="D21" s="93"/>
      <c r="E21" s="93"/>
      <c r="F21" s="93"/>
      <c r="G21" s="93"/>
      <c r="H21" s="90"/>
      <c r="I21" s="93"/>
      <c r="J21" s="93"/>
      <c r="K21" s="93"/>
      <c r="L21" s="93"/>
      <c r="M21" s="93"/>
      <c r="N21" s="90"/>
      <c r="O21" s="93"/>
      <c r="P21" s="93"/>
      <c r="Q21" s="93"/>
      <c r="R21" s="93"/>
      <c r="S21" s="93"/>
      <c r="T21" s="61"/>
      <c r="U21" s="93"/>
      <c r="V21" s="93"/>
      <c r="W21" s="93"/>
      <c r="X21" s="93"/>
      <c r="Y21" s="93"/>
      <c r="Z21" s="61"/>
      <c r="AA21" s="93"/>
      <c r="AB21" s="93"/>
      <c r="AC21" s="93"/>
      <c r="AD21" s="93"/>
      <c r="AE21" s="93"/>
      <c r="AF21" s="61"/>
      <c r="AG21" s="93"/>
      <c r="AH21" s="93"/>
      <c r="AI21" s="93"/>
      <c r="AJ21" s="93"/>
      <c r="AK21" s="93"/>
      <c r="AL21" s="61"/>
      <c r="AM21" s="93"/>
      <c r="AN21" s="93"/>
      <c r="AO21" s="93"/>
      <c r="AP21" s="93"/>
      <c r="AQ21" s="93"/>
      <c r="AR21" s="61"/>
      <c r="AS21" s="93"/>
      <c r="AT21" s="93"/>
      <c r="AU21" s="93"/>
      <c r="AV21" s="93"/>
      <c r="AW21" s="93"/>
      <c r="AX21" s="61"/>
      <c r="AY21" s="94"/>
      <c r="AZ21" s="94"/>
      <c r="BA21" s="94"/>
      <c r="BB21" s="94"/>
      <c r="BC21" s="94"/>
      <c r="BD21" s="99"/>
      <c r="BE21" s="94"/>
      <c r="BF21" s="94"/>
      <c r="BG21" s="94"/>
      <c r="BH21" s="94"/>
      <c r="BI21" s="94">
        <f t="shared" si="2"/>
        <v>0</v>
      </c>
      <c r="BJ21" s="99"/>
      <c r="BK21" s="93"/>
      <c r="BL21" s="93"/>
      <c r="BM21" s="93"/>
      <c r="BN21" s="93"/>
      <c r="BO21" s="1101">
        <f t="shared" si="3"/>
        <v>0</v>
      </c>
      <c r="BP21" s="99"/>
      <c r="BQ21" s="93"/>
      <c r="BR21" s="93"/>
      <c r="BS21" s="93"/>
      <c r="BT21" s="93"/>
      <c r="BU21" s="1101">
        <f t="shared" si="17"/>
        <v>0</v>
      </c>
      <c r="BV21" s="99"/>
      <c r="BW21" s="93">
        <v>4</v>
      </c>
      <c r="BX21" s="93">
        <v>4</v>
      </c>
      <c r="BY21" s="93"/>
      <c r="BZ21" s="93"/>
      <c r="CA21" s="1101">
        <f t="shared" si="4"/>
        <v>8</v>
      </c>
      <c r="CB21" s="99"/>
      <c r="CC21" s="93"/>
      <c r="CD21" s="93"/>
      <c r="CE21" s="93"/>
      <c r="CF21" s="93"/>
      <c r="CG21" s="1538">
        <f t="shared" si="5"/>
        <v>0</v>
      </c>
      <c r="CH21" s="99"/>
      <c r="CI21" s="93"/>
      <c r="CJ21" s="93"/>
      <c r="CK21" s="94"/>
      <c r="CL21" s="94"/>
      <c r="CM21" s="1101">
        <f t="shared" si="6"/>
        <v>0</v>
      </c>
      <c r="CN21" s="99"/>
      <c r="CO21" s="93"/>
      <c r="CP21" s="93"/>
      <c r="CQ21" s="93"/>
      <c r="CR21" s="93"/>
      <c r="CS21" s="1101">
        <f t="shared" si="7"/>
        <v>0</v>
      </c>
      <c r="CT21" s="990"/>
      <c r="CU21" s="93"/>
      <c r="CV21" s="93"/>
      <c r="CW21" s="93"/>
      <c r="CX21" s="93"/>
      <c r="CY21" s="1101">
        <f t="shared" si="8"/>
        <v>0</v>
      </c>
      <c r="CZ21" s="990"/>
      <c r="DA21" s="93"/>
      <c r="DB21" s="93"/>
      <c r="DC21" s="93"/>
      <c r="DD21" s="93"/>
      <c r="DE21" s="1101">
        <f t="shared" si="9"/>
        <v>0</v>
      </c>
      <c r="DF21" s="990"/>
      <c r="DG21" s="93"/>
      <c r="DH21" s="93"/>
      <c r="DI21" s="93"/>
      <c r="DJ21" s="93"/>
      <c r="DK21" s="1101">
        <f t="shared" si="10"/>
        <v>0</v>
      </c>
      <c r="DL21" s="99"/>
      <c r="DM21" s="93"/>
      <c r="DN21" s="93"/>
      <c r="DO21" s="93"/>
      <c r="DP21" s="93"/>
      <c r="DQ21" s="1101">
        <f t="shared" si="11"/>
        <v>0</v>
      </c>
      <c r="DR21" s="990"/>
      <c r="DS21" s="93"/>
      <c r="DT21" s="93"/>
      <c r="DU21" s="93"/>
      <c r="DV21" s="93"/>
      <c r="DW21" s="1101">
        <f t="shared" si="12"/>
        <v>0</v>
      </c>
      <c r="DX21" s="990"/>
      <c r="DY21" s="93"/>
      <c r="DZ21" s="93"/>
      <c r="EA21" s="93"/>
      <c r="EB21" s="93"/>
      <c r="EC21" s="1101">
        <f t="shared" si="13"/>
        <v>0</v>
      </c>
      <c r="ED21" s="990"/>
      <c r="EE21" s="93"/>
      <c r="EF21" s="93"/>
      <c r="EG21" s="93"/>
      <c r="EH21" s="93"/>
      <c r="EI21" s="1101">
        <f t="shared" si="14"/>
        <v>0</v>
      </c>
      <c r="EJ21" s="990"/>
      <c r="EK21" s="93"/>
      <c r="EL21" s="93"/>
      <c r="EM21" s="93"/>
      <c r="EN21" s="93"/>
      <c r="EO21" s="1101">
        <f t="shared" si="15"/>
        <v>0</v>
      </c>
      <c r="EP21" s="990"/>
      <c r="EQ21" s="93"/>
      <c r="ER21" s="93"/>
      <c r="ES21" s="93"/>
      <c r="ET21" s="93"/>
      <c r="EU21" s="1101">
        <f t="shared" si="16"/>
        <v>0</v>
      </c>
    </row>
    <row r="22" spans="1:151" hidden="1" outlineLevel="1">
      <c r="A22" s="201" t="s">
        <v>3814</v>
      </c>
      <c r="B22" s="90"/>
      <c r="C22" s="93"/>
      <c r="D22" s="93"/>
      <c r="E22" s="93"/>
      <c r="F22" s="93"/>
      <c r="G22" s="93"/>
      <c r="H22" s="90"/>
      <c r="I22" s="93"/>
      <c r="J22" s="93"/>
      <c r="K22" s="93"/>
      <c r="L22" s="93"/>
      <c r="M22" s="93"/>
      <c r="N22" s="90"/>
      <c r="O22" s="93"/>
      <c r="P22" s="93"/>
      <c r="Q22" s="93"/>
      <c r="R22" s="93"/>
      <c r="S22" s="93"/>
      <c r="T22" s="61"/>
      <c r="U22" s="93"/>
      <c r="V22" s="93"/>
      <c r="W22" s="93"/>
      <c r="X22" s="93"/>
      <c r="Y22" s="93"/>
      <c r="Z22" s="61"/>
      <c r="AA22" s="93"/>
      <c r="AB22" s="93"/>
      <c r="AC22" s="93"/>
      <c r="AD22" s="93"/>
      <c r="AE22" s="93"/>
      <c r="AF22" s="61"/>
      <c r="AG22" s="93"/>
      <c r="AH22" s="93"/>
      <c r="AI22" s="93"/>
      <c r="AJ22" s="93"/>
      <c r="AK22" s="93"/>
      <c r="AL22" s="61"/>
      <c r="AM22" s="93"/>
      <c r="AN22" s="93"/>
      <c r="AO22" s="93"/>
      <c r="AP22" s="93"/>
      <c r="AQ22" s="93">
        <f>SUM(AM22:AP22)</f>
        <v>0</v>
      </c>
      <c r="AR22" s="61"/>
      <c r="AS22" s="93"/>
      <c r="AT22" s="93"/>
      <c r="AU22" s="93"/>
      <c r="AV22" s="93"/>
      <c r="AW22" s="93">
        <f>SUM(AS22:AV22)</f>
        <v>0</v>
      </c>
      <c r="AX22" s="61"/>
      <c r="AY22" s="94"/>
      <c r="AZ22" s="94"/>
      <c r="BA22" s="94"/>
      <c r="BB22" s="94"/>
      <c r="BC22" s="94">
        <f>SUM(AY22:BB22)</f>
        <v>0</v>
      </c>
      <c r="BD22" s="99"/>
      <c r="BE22" s="94"/>
      <c r="BF22" s="94"/>
      <c r="BG22" s="94"/>
      <c r="BH22" s="94"/>
      <c r="BI22" s="94">
        <f>SUM(BE22:BH22)</f>
        <v>0</v>
      </c>
      <c r="BJ22" s="99"/>
      <c r="BK22" s="93"/>
      <c r="BL22" s="93"/>
      <c r="BM22" s="93"/>
      <c r="BN22" s="93"/>
      <c r="BO22" s="1101">
        <f>SUM(BK22:BN22)</f>
        <v>0</v>
      </c>
      <c r="BP22" s="99"/>
      <c r="BQ22" s="93"/>
      <c r="BR22" s="93"/>
      <c r="BS22" s="93"/>
      <c r="BT22" s="93"/>
      <c r="BU22" s="1101">
        <f>SUM(BQ22:BT22)</f>
        <v>0</v>
      </c>
      <c r="BV22" s="99"/>
      <c r="BW22" s="93"/>
      <c r="BX22" s="385"/>
      <c r="BY22" s="385"/>
      <c r="BZ22" s="385"/>
      <c r="CA22" s="1101">
        <f t="shared" si="4"/>
        <v>0</v>
      </c>
      <c r="CB22" s="1194"/>
      <c r="CC22" s="385"/>
      <c r="CD22" s="385"/>
      <c r="CE22" s="93"/>
      <c r="CF22" s="93"/>
      <c r="CG22" s="1538">
        <f>SUM(CC22:CF22)</f>
        <v>0</v>
      </c>
      <c r="CH22" s="99"/>
      <c r="CI22" s="385"/>
      <c r="CJ22" s="385"/>
      <c r="CK22" s="94"/>
      <c r="CL22" s="94"/>
      <c r="CM22" s="1101">
        <f>SUM(CI22:CL22)</f>
        <v>0</v>
      </c>
      <c r="CN22" s="99"/>
      <c r="CO22" s="93"/>
      <c r="CP22" s="93"/>
      <c r="CQ22" s="93"/>
      <c r="CR22" s="93"/>
      <c r="CS22" s="1101">
        <f>SUM(CO22:CR22)</f>
        <v>0</v>
      </c>
      <c r="CT22" s="990"/>
      <c r="CU22" s="93"/>
      <c r="CV22" s="93"/>
      <c r="CW22" s="93"/>
      <c r="CX22" s="93"/>
      <c r="CY22" s="1101">
        <f>SUM(CU22:CX22)</f>
        <v>0</v>
      </c>
      <c r="CZ22" s="990"/>
      <c r="DA22" s="93"/>
      <c r="DB22" s="93"/>
      <c r="DC22" s="93"/>
      <c r="DD22" s="93"/>
      <c r="DE22" s="1101">
        <f>SUM(DA22:DD22)</f>
        <v>0</v>
      </c>
      <c r="DF22" s="990"/>
      <c r="DG22" s="93"/>
      <c r="DH22" s="93"/>
      <c r="DI22" s="93"/>
      <c r="DJ22" s="93"/>
      <c r="DK22" s="1101">
        <f>SUM(DG22:DJ22)</f>
        <v>0</v>
      </c>
      <c r="DL22" s="99"/>
      <c r="DM22" s="93"/>
      <c r="DN22" s="93"/>
      <c r="DO22" s="93"/>
      <c r="DP22" s="93"/>
      <c r="DQ22" s="1101">
        <f>SUM(DM22:DP22)</f>
        <v>0</v>
      </c>
      <c r="DR22" s="990"/>
      <c r="DS22" s="93"/>
      <c r="DT22" s="93"/>
      <c r="DU22" s="93"/>
      <c r="DV22" s="93"/>
      <c r="DW22" s="1101">
        <f>SUM(DS22:DV22)</f>
        <v>0</v>
      </c>
      <c r="DX22" s="990"/>
      <c r="DY22" s="93"/>
      <c r="DZ22" s="93"/>
      <c r="EA22" s="93"/>
      <c r="EB22" s="93"/>
      <c r="EC22" s="1101">
        <f>SUM(DY22:EB22)</f>
        <v>0</v>
      </c>
      <c r="ED22" s="990"/>
      <c r="EE22" s="93"/>
      <c r="EF22" s="93"/>
      <c r="EG22" s="93"/>
      <c r="EH22" s="93"/>
      <c r="EI22" s="1101">
        <f>SUM(EE22:EH22)</f>
        <v>0</v>
      </c>
      <c r="EJ22" s="990"/>
      <c r="EK22" s="93"/>
      <c r="EL22" s="93"/>
      <c r="EM22" s="93"/>
      <c r="EN22" s="93"/>
      <c r="EO22" s="1101">
        <f>SUM(EK22:EN22)</f>
        <v>0</v>
      </c>
      <c r="EP22" s="990"/>
      <c r="EQ22" s="93"/>
      <c r="ER22" s="93"/>
      <c r="ES22" s="93"/>
      <c r="ET22" s="93"/>
      <c r="EU22" s="1101">
        <f>SUM(EQ22:ET22)</f>
        <v>0</v>
      </c>
    </row>
    <row r="23" spans="1:151" hidden="1" outlineLevel="1">
      <c r="A23" s="201" t="s">
        <v>6070</v>
      </c>
      <c r="B23" s="90"/>
      <c r="C23" s="93"/>
      <c r="D23" s="93"/>
      <c r="E23" s="93"/>
      <c r="F23" s="93"/>
      <c r="G23" s="93"/>
      <c r="H23" s="90"/>
      <c r="I23" s="93"/>
      <c r="J23" s="93"/>
      <c r="K23" s="93"/>
      <c r="L23" s="93"/>
      <c r="M23" s="93"/>
      <c r="N23" s="90"/>
      <c r="O23" s="93"/>
      <c r="P23" s="93"/>
      <c r="Q23" s="93"/>
      <c r="R23" s="93"/>
      <c r="S23" s="93"/>
      <c r="T23" s="61"/>
      <c r="U23" s="93"/>
      <c r="V23" s="93"/>
      <c r="W23" s="93"/>
      <c r="X23" s="93"/>
      <c r="Y23" s="93"/>
      <c r="Z23" s="61"/>
      <c r="AA23" s="93"/>
      <c r="AB23" s="93"/>
      <c r="AC23" s="93"/>
      <c r="AD23" s="93"/>
      <c r="AE23" s="93"/>
      <c r="AF23" s="61"/>
      <c r="AG23" s="93"/>
      <c r="AH23" s="93"/>
      <c r="AI23" s="93"/>
      <c r="AJ23" s="93"/>
      <c r="AK23" s="93"/>
      <c r="AL23" s="61"/>
      <c r="AM23" s="93"/>
      <c r="AN23" s="93"/>
      <c r="AO23" s="93"/>
      <c r="AP23" s="93"/>
      <c r="AQ23" s="93"/>
      <c r="AR23" s="61"/>
      <c r="AS23" s="93"/>
      <c r="AT23" s="93"/>
      <c r="AU23" s="93"/>
      <c r="AV23" s="93"/>
      <c r="AW23" s="93"/>
      <c r="AX23" s="61"/>
      <c r="AY23" s="94"/>
      <c r="AZ23" s="94"/>
      <c r="BA23" s="94"/>
      <c r="BB23" s="94"/>
      <c r="BC23" s="94"/>
      <c r="BD23" s="99"/>
      <c r="BE23" s="94"/>
      <c r="BF23" s="94"/>
      <c r="BG23" s="94"/>
      <c r="BH23" s="94"/>
      <c r="BI23" s="94"/>
      <c r="BJ23" s="99"/>
      <c r="BK23" s="93"/>
      <c r="BL23" s="93"/>
      <c r="BM23" s="93"/>
      <c r="BN23" s="93"/>
      <c r="BO23" s="1101"/>
      <c r="BP23" s="99"/>
      <c r="BQ23" s="93"/>
      <c r="BR23" s="93"/>
      <c r="BS23" s="93"/>
      <c r="BT23" s="93"/>
      <c r="BU23" s="1101"/>
      <c r="BV23" s="99"/>
      <c r="BW23" s="93"/>
      <c r="BX23" s="385">
        <v>7</v>
      </c>
      <c r="BY23" s="385">
        <v>12</v>
      </c>
      <c r="BZ23" s="385">
        <v>17</v>
      </c>
      <c r="CA23" s="1101">
        <f t="shared" si="4"/>
        <v>36</v>
      </c>
      <c r="CB23" s="1194"/>
      <c r="CC23" s="385">
        <v>14</v>
      </c>
      <c r="CD23" s="385">
        <f>16-BX23</f>
        <v>9</v>
      </c>
      <c r="CE23" s="93"/>
      <c r="CF23" s="93"/>
      <c r="CG23" s="1538">
        <f>SUM(CC23:CF23)</f>
        <v>23</v>
      </c>
      <c r="CH23" s="99"/>
      <c r="CI23" s="385"/>
      <c r="CJ23" s="385"/>
      <c r="CK23" s="94"/>
      <c r="CL23" s="94"/>
      <c r="CM23" s="1101">
        <f>SUM(CI23:CL23)</f>
        <v>0</v>
      </c>
      <c r="CN23" s="99"/>
      <c r="CO23" s="93"/>
      <c r="CP23" s="93"/>
      <c r="CQ23" s="93"/>
      <c r="CR23" s="93"/>
      <c r="CS23" s="1101">
        <f>SUM(CO23:CR23)</f>
        <v>0</v>
      </c>
      <c r="CT23" s="990"/>
      <c r="CU23" s="93"/>
      <c r="CV23" s="93"/>
      <c r="CW23" s="93"/>
      <c r="CX23" s="93"/>
      <c r="CY23" s="1101">
        <f>SUM(CU23:CX23)</f>
        <v>0</v>
      </c>
      <c r="CZ23" s="990"/>
      <c r="DA23" s="93"/>
      <c r="DB23" s="93"/>
      <c r="DC23" s="93"/>
      <c r="DD23" s="93"/>
      <c r="DE23" s="1101">
        <f>SUM(DA23:DD23)</f>
        <v>0</v>
      </c>
      <c r="DF23" s="990"/>
      <c r="DG23" s="93"/>
      <c r="DH23" s="93"/>
      <c r="DI23" s="93"/>
      <c r="DJ23" s="93"/>
      <c r="DK23" s="1101">
        <f>SUM(DG23:DJ23)</f>
        <v>0</v>
      </c>
      <c r="DL23" s="99"/>
      <c r="DM23" s="93"/>
      <c r="DN23" s="93"/>
      <c r="DO23" s="93"/>
      <c r="DP23" s="93"/>
      <c r="DQ23" s="1101">
        <f>SUM(DM23:DP23)</f>
        <v>0</v>
      </c>
      <c r="DR23" s="990"/>
      <c r="DS23" s="93"/>
      <c r="DT23" s="93"/>
      <c r="DU23" s="93"/>
      <c r="DV23" s="93"/>
      <c r="DW23" s="1101">
        <f>SUM(DS23:DV23)</f>
        <v>0</v>
      </c>
      <c r="DX23" s="990"/>
      <c r="DY23" s="93"/>
      <c r="DZ23" s="93"/>
      <c r="EA23" s="93"/>
      <c r="EB23" s="93"/>
      <c r="EC23" s="1101">
        <f>SUM(DY23:EB23)</f>
        <v>0</v>
      </c>
      <c r="ED23" s="990"/>
      <c r="EE23" s="93"/>
      <c r="EF23" s="93"/>
      <c r="EG23" s="93"/>
      <c r="EH23" s="93"/>
      <c r="EI23" s="1101">
        <f>SUM(EE23:EH23)</f>
        <v>0</v>
      </c>
      <c r="EJ23" s="990"/>
      <c r="EK23" s="93"/>
      <c r="EL23" s="93"/>
      <c r="EM23" s="93"/>
      <c r="EN23" s="93"/>
      <c r="EO23" s="1101">
        <f>SUM(EK23:EN23)</f>
        <v>0</v>
      </c>
      <c r="EP23" s="990"/>
      <c r="EQ23" s="93"/>
      <c r="ER23" s="93"/>
      <c r="ES23" s="93"/>
      <c r="ET23" s="93"/>
      <c r="EU23" s="1101">
        <f>SUM(EQ23:ET23)</f>
        <v>0</v>
      </c>
    </row>
    <row r="24" spans="1:151" hidden="1" outlineLevel="1">
      <c r="A24" s="201" t="s">
        <v>5254</v>
      </c>
      <c r="B24" s="90"/>
      <c r="C24" s="93"/>
      <c r="D24" s="93"/>
      <c r="E24" s="93"/>
      <c r="F24" s="93"/>
      <c r="G24" s="93"/>
      <c r="H24" s="90"/>
      <c r="I24" s="93"/>
      <c r="J24" s="93"/>
      <c r="K24" s="93"/>
      <c r="L24" s="93"/>
      <c r="M24" s="93"/>
      <c r="N24" s="90"/>
      <c r="O24" s="93"/>
      <c r="P24" s="93"/>
      <c r="Q24" s="93"/>
      <c r="R24" s="93"/>
      <c r="S24" s="93"/>
      <c r="T24" s="61"/>
      <c r="U24" s="93"/>
      <c r="V24" s="93"/>
      <c r="W24" s="93"/>
      <c r="X24" s="93"/>
      <c r="Y24" s="93"/>
      <c r="Z24" s="61"/>
      <c r="AA24" s="93"/>
      <c r="AB24" s="93"/>
      <c r="AC24" s="93"/>
      <c r="AD24" s="93"/>
      <c r="AE24" s="93"/>
      <c r="AF24" s="61"/>
      <c r="AG24" s="93"/>
      <c r="AH24" s="93"/>
      <c r="AI24" s="93"/>
      <c r="AJ24" s="93"/>
      <c r="AK24" s="93"/>
      <c r="AL24" s="61"/>
      <c r="AM24" s="93"/>
      <c r="AN24" s="93"/>
      <c r="AO24" s="93"/>
      <c r="AP24" s="93"/>
      <c r="AQ24" s="93"/>
      <c r="AR24" s="61"/>
      <c r="AS24" s="93"/>
      <c r="AT24" s="93"/>
      <c r="AU24" s="93"/>
      <c r="AV24" s="93"/>
      <c r="AW24" s="93"/>
      <c r="AX24" s="61"/>
      <c r="AY24" s="94"/>
      <c r="AZ24" s="94"/>
      <c r="BA24" s="94"/>
      <c r="BB24" s="94"/>
      <c r="BC24" s="94"/>
      <c r="BD24" s="99"/>
      <c r="BE24" s="94"/>
      <c r="BF24" s="94"/>
      <c r="BG24" s="94"/>
      <c r="BH24" s="94"/>
      <c r="BI24" s="94"/>
      <c r="BJ24" s="99"/>
      <c r="BK24" s="93"/>
      <c r="BL24" s="93"/>
      <c r="BM24" s="93"/>
      <c r="BN24" s="93"/>
      <c r="BO24" s="1101"/>
      <c r="BP24" s="99"/>
      <c r="BQ24" s="93"/>
      <c r="BR24" s="93"/>
      <c r="BS24" s="93"/>
      <c r="BT24" s="93"/>
      <c r="BU24" s="1101"/>
      <c r="BV24" s="99"/>
      <c r="BW24" s="93"/>
      <c r="BX24" s="385"/>
      <c r="BY24" s="385"/>
      <c r="BZ24" s="385">
        <v>4</v>
      </c>
      <c r="CA24" s="1101">
        <f t="shared" si="4"/>
        <v>4</v>
      </c>
      <c r="CB24" s="1194"/>
      <c r="CC24" s="385">
        <v>4</v>
      </c>
      <c r="CD24" s="385">
        <v>5</v>
      </c>
      <c r="CE24" s="93">
        <v>5</v>
      </c>
      <c r="CF24" s="385"/>
      <c r="CG24" s="1538">
        <f>SUM(CC24:CF24)</f>
        <v>14</v>
      </c>
      <c r="CH24" s="1194"/>
      <c r="CI24" s="385"/>
      <c r="CJ24" s="385"/>
      <c r="CK24" s="836"/>
      <c r="CL24" s="836"/>
      <c r="CM24" s="1101">
        <f>SUM(CI24:CL24)</f>
        <v>0</v>
      </c>
      <c r="CN24" s="1194"/>
      <c r="CO24" s="385"/>
      <c r="CP24" s="385"/>
      <c r="CQ24" s="385"/>
      <c r="CR24" s="93"/>
      <c r="CS24" s="1101">
        <f>SUM(CO24:CR24)</f>
        <v>0</v>
      </c>
      <c r="CT24" s="990"/>
      <c r="CU24" s="385"/>
      <c r="CV24" s="385"/>
      <c r="CW24" s="385"/>
      <c r="CX24" s="93"/>
      <c r="CY24" s="1101">
        <f>SUM(CU24:CX24)</f>
        <v>0</v>
      </c>
      <c r="CZ24" s="990"/>
      <c r="DA24" s="385"/>
      <c r="DB24" s="385"/>
      <c r="DC24" s="385"/>
      <c r="DD24" s="93"/>
      <c r="DE24" s="1101">
        <f>SUM(DA24:DD24)</f>
        <v>0</v>
      </c>
      <c r="DF24" s="990"/>
      <c r="DG24" s="385"/>
      <c r="DH24" s="385"/>
      <c r="DI24" s="385"/>
      <c r="DJ24" s="93"/>
      <c r="DK24" s="1101">
        <f>SUM(DG24:DJ24)</f>
        <v>0</v>
      </c>
      <c r="DL24" s="1194"/>
      <c r="DM24" s="385"/>
      <c r="DN24" s="385"/>
      <c r="DO24" s="385"/>
      <c r="DP24" s="93"/>
      <c r="DQ24" s="1101">
        <f>SUM(DM24:DP24)</f>
        <v>0</v>
      </c>
      <c r="DR24" s="990"/>
      <c r="DS24" s="385"/>
      <c r="DT24" s="385"/>
      <c r="DU24" s="385"/>
      <c r="DV24" s="93"/>
      <c r="DW24" s="1101">
        <f>SUM(DS24:DV24)</f>
        <v>0</v>
      </c>
      <c r="DX24" s="990"/>
      <c r="DY24" s="385"/>
      <c r="DZ24" s="385"/>
      <c r="EA24" s="385"/>
      <c r="EB24" s="93"/>
      <c r="EC24" s="1101">
        <f>SUM(DY24:EB24)</f>
        <v>0</v>
      </c>
      <c r="ED24" s="990"/>
      <c r="EE24" s="385"/>
      <c r="EF24" s="385"/>
      <c r="EG24" s="385"/>
      <c r="EH24" s="93"/>
      <c r="EI24" s="1101">
        <f>SUM(EE24:EH24)</f>
        <v>0</v>
      </c>
      <c r="EJ24" s="990"/>
      <c r="EK24" s="385"/>
      <c r="EL24" s="385"/>
      <c r="EM24" s="385"/>
      <c r="EN24" s="93"/>
      <c r="EO24" s="1101">
        <f>SUM(EK24:EN24)</f>
        <v>0</v>
      </c>
      <c r="EP24" s="990"/>
      <c r="EQ24" s="385"/>
      <c r="ER24" s="385"/>
      <c r="ES24" s="385"/>
      <c r="ET24" s="93"/>
      <c r="EU24" s="1101">
        <f>SUM(EQ24:ET24)</f>
        <v>0</v>
      </c>
    </row>
    <row r="25" spans="1:151" hidden="1" outlineLevel="1">
      <c r="A25" s="201" t="s">
        <v>2336</v>
      </c>
      <c r="B25" s="90"/>
      <c r="C25" s="93"/>
      <c r="D25" s="93"/>
      <c r="E25" s="93"/>
      <c r="F25" s="93"/>
      <c r="G25" s="93"/>
      <c r="H25" s="90"/>
      <c r="I25" s="93"/>
      <c r="J25" s="93"/>
      <c r="K25" s="93"/>
      <c r="L25" s="93"/>
      <c r="M25" s="93"/>
      <c r="N25" s="90"/>
      <c r="O25" s="93"/>
      <c r="P25" s="93"/>
      <c r="Q25" s="93"/>
      <c r="R25" s="93"/>
      <c r="S25" s="93"/>
      <c r="T25" s="61"/>
      <c r="U25" s="93"/>
      <c r="V25" s="93"/>
      <c r="W25" s="93"/>
      <c r="X25" s="93"/>
      <c r="Y25" s="93"/>
      <c r="Z25" s="61"/>
      <c r="AA25" s="93"/>
      <c r="AB25" s="93"/>
      <c r="AC25" s="93"/>
      <c r="AD25" s="93"/>
      <c r="AE25" s="93"/>
      <c r="AF25" s="61"/>
      <c r="AG25" s="93"/>
      <c r="AH25" s="93"/>
      <c r="AI25" s="93"/>
      <c r="AJ25" s="93"/>
      <c r="AK25" s="93"/>
      <c r="AL25" s="61"/>
      <c r="AM25" s="93"/>
      <c r="AN25" s="93"/>
      <c r="AO25" s="93"/>
      <c r="AP25" s="93"/>
      <c r="AQ25" s="93"/>
      <c r="AR25" s="61"/>
      <c r="AS25" s="93"/>
      <c r="AT25" s="93"/>
      <c r="AU25" s="93"/>
      <c r="AV25" s="93"/>
      <c r="AW25" s="93"/>
      <c r="AX25" s="61"/>
      <c r="AY25" s="94"/>
      <c r="AZ25" s="94"/>
      <c r="BA25" s="94"/>
      <c r="BB25" s="94"/>
      <c r="BC25" s="94"/>
      <c r="BD25" s="99"/>
      <c r="BE25" s="94"/>
      <c r="BF25" s="94"/>
      <c r="BG25" s="94"/>
      <c r="BH25" s="94"/>
      <c r="BI25" s="94"/>
      <c r="BJ25" s="99"/>
      <c r="BK25" s="93"/>
      <c r="BL25" s="93"/>
      <c r="BM25" s="93"/>
      <c r="BN25" s="93"/>
      <c r="BO25" s="1101"/>
      <c r="BP25" s="99"/>
      <c r="BQ25" s="93"/>
      <c r="BR25" s="93"/>
      <c r="BS25" s="93"/>
      <c r="BT25" s="93"/>
      <c r="BU25" s="1101"/>
      <c r="BV25" s="99"/>
      <c r="BW25" s="93"/>
      <c r="BX25" s="385"/>
      <c r="BY25" s="385"/>
      <c r="BZ25" s="385">
        <v>-2</v>
      </c>
      <c r="CA25" s="1101">
        <f t="shared" si="4"/>
        <v>-2</v>
      </c>
      <c r="CB25" s="1194"/>
      <c r="CC25" s="385">
        <v>-7</v>
      </c>
      <c r="CD25" s="385">
        <v>-7</v>
      </c>
      <c r="CE25" s="93">
        <v>-8</v>
      </c>
      <c r="CF25" s="385"/>
      <c r="CG25" s="1538">
        <f>SUM(CC25:CF25)</f>
        <v>-22</v>
      </c>
      <c r="CH25" s="1194"/>
      <c r="CI25" s="385"/>
      <c r="CJ25" s="385"/>
      <c r="CK25" s="836"/>
      <c r="CL25" s="836"/>
      <c r="CM25" s="1101"/>
      <c r="CN25" s="1194"/>
      <c r="CO25" s="385"/>
      <c r="CP25" s="385"/>
      <c r="CQ25" s="385"/>
      <c r="CR25" s="93"/>
      <c r="CS25" s="1101"/>
      <c r="CT25" s="990"/>
      <c r="CU25" s="385"/>
      <c r="CV25" s="385"/>
      <c r="CW25" s="385"/>
      <c r="CX25" s="93"/>
      <c r="CY25" s="1101"/>
      <c r="CZ25" s="990"/>
      <c r="DA25" s="385"/>
      <c r="DB25" s="385"/>
      <c r="DC25" s="385"/>
      <c r="DD25" s="93"/>
      <c r="DE25" s="1101"/>
      <c r="DF25" s="990"/>
      <c r="DG25" s="385"/>
      <c r="DH25" s="385"/>
      <c r="DI25" s="385"/>
      <c r="DJ25" s="93"/>
      <c r="DK25" s="1101"/>
      <c r="DL25" s="1194"/>
      <c r="DM25" s="385"/>
      <c r="DN25" s="385"/>
      <c r="DO25" s="385"/>
      <c r="DP25" s="93"/>
      <c r="DQ25" s="1101"/>
      <c r="DR25" s="990"/>
      <c r="DS25" s="385"/>
      <c r="DT25" s="385"/>
      <c r="DU25" s="385"/>
      <c r="DV25" s="93"/>
      <c r="DW25" s="1101"/>
      <c r="DX25" s="990"/>
      <c r="DY25" s="385"/>
      <c r="DZ25" s="385"/>
      <c r="EA25" s="385"/>
      <c r="EB25" s="93"/>
      <c r="EC25" s="1101"/>
      <c r="ED25" s="990"/>
      <c r="EE25" s="385"/>
      <c r="EF25" s="385"/>
      <c r="EG25" s="385"/>
      <c r="EH25" s="93"/>
      <c r="EI25" s="1101"/>
      <c r="EJ25" s="990"/>
      <c r="EK25" s="385"/>
      <c r="EL25" s="385"/>
      <c r="EM25" s="385"/>
      <c r="EN25" s="93"/>
      <c r="EO25" s="1101"/>
      <c r="EP25" s="990"/>
      <c r="EQ25" s="385"/>
      <c r="ER25" s="385"/>
      <c r="ES25" s="385"/>
      <c r="ET25" s="93"/>
      <c r="EU25" s="1101"/>
    </row>
    <row r="26" spans="1:151" hidden="1" outlineLevel="1">
      <c r="A26" s="201"/>
      <c r="B26" s="90"/>
      <c r="C26" s="93"/>
      <c r="D26" s="93"/>
      <c r="E26" s="93"/>
      <c r="F26" s="93"/>
      <c r="G26" s="93"/>
      <c r="H26" s="90"/>
      <c r="I26" s="93"/>
      <c r="J26" s="93"/>
      <c r="K26" s="93"/>
      <c r="L26" s="93"/>
      <c r="M26" s="93"/>
      <c r="N26" s="90"/>
      <c r="O26" s="93"/>
      <c r="P26" s="93"/>
      <c r="Q26" s="93"/>
      <c r="R26" s="93"/>
      <c r="S26" s="93"/>
      <c r="T26" s="61"/>
      <c r="U26" s="93"/>
      <c r="V26" s="93"/>
      <c r="W26" s="93"/>
      <c r="X26" s="93"/>
      <c r="Y26" s="93"/>
      <c r="Z26" s="61"/>
      <c r="AA26" s="93"/>
      <c r="AB26" s="93"/>
      <c r="AC26" s="93"/>
      <c r="AD26" s="93"/>
      <c r="AE26" s="93"/>
      <c r="AF26" s="61"/>
      <c r="AG26" s="93"/>
      <c r="AH26" s="93"/>
      <c r="AI26" s="93"/>
      <c r="AJ26" s="93"/>
      <c r="AK26" s="93"/>
      <c r="AL26" s="61"/>
      <c r="AM26" s="93"/>
      <c r="AN26" s="93"/>
      <c r="AO26" s="93"/>
      <c r="AP26" s="93"/>
      <c r="AQ26" s="93"/>
      <c r="AR26" s="61"/>
      <c r="AS26" s="93"/>
      <c r="AT26" s="93"/>
      <c r="AU26" s="93"/>
      <c r="AV26" s="93"/>
      <c r="AW26" s="93"/>
      <c r="AX26" s="61"/>
      <c r="AY26" s="94"/>
      <c r="AZ26" s="94"/>
      <c r="BA26" s="94"/>
      <c r="BB26" s="94"/>
      <c r="BC26" s="94"/>
      <c r="BD26" s="99"/>
      <c r="BE26" s="94"/>
      <c r="BF26" s="94"/>
      <c r="BG26" s="94"/>
      <c r="BH26" s="94"/>
      <c r="BI26" s="94"/>
      <c r="BJ26" s="99"/>
      <c r="BK26" s="93"/>
      <c r="BL26" s="93"/>
      <c r="BM26" s="93"/>
      <c r="BN26" s="93"/>
      <c r="BO26" s="1101"/>
      <c r="BP26" s="99"/>
      <c r="BQ26" s="93"/>
      <c r="BR26" s="93"/>
      <c r="BS26" s="93"/>
      <c r="BT26" s="93"/>
      <c r="BU26" s="1101"/>
      <c r="BV26" s="99"/>
      <c r="BW26" s="93"/>
      <c r="BX26" s="93"/>
      <c r="BY26" s="93"/>
      <c r="BZ26" s="93"/>
      <c r="CA26" s="1101"/>
      <c r="CB26" s="99"/>
      <c r="CC26" s="93"/>
      <c r="CD26" s="93"/>
      <c r="CE26" s="93"/>
      <c r="CF26" s="93"/>
      <c r="CG26" s="1538"/>
      <c r="CH26" s="99"/>
      <c r="CI26" s="93"/>
      <c r="CJ26" s="93"/>
      <c r="CK26" s="94"/>
      <c r="CL26" s="94"/>
      <c r="CM26" s="1101"/>
      <c r="CN26" s="99"/>
      <c r="CO26" s="93"/>
      <c r="CP26" s="93"/>
      <c r="CQ26" s="93"/>
      <c r="CR26" s="93"/>
      <c r="CS26" s="1101"/>
      <c r="CT26" s="990"/>
      <c r="CU26" s="93"/>
      <c r="CV26" s="93"/>
      <c r="CW26" s="93"/>
      <c r="CX26" s="93"/>
      <c r="CY26" s="1101"/>
      <c r="CZ26" s="990"/>
      <c r="DA26" s="93"/>
      <c r="DB26" s="93"/>
      <c r="DC26" s="93"/>
      <c r="DD26" s="93"/>
      <c r="DE26" s="1101"/>
      <c r="DF26" s="990"/>
      <c r="DG26" s="93"/>
      <c r="DH26" s="93"/>
      <c r="DI26" s="93"/>
      <c r="DJ26" s="93"/>
      <c r="DK26" s="1101"/>
      <c r="DL26" s="99"/>
      <c r="DM26" s="93"/>
      <c r="DN26" s="93"/>
      <c r="DO26" s="93"/>
      <c r="DP26" s="93"/>
      <c r="DQ26" s="1101"/>
      <c r="DR26" s="990"/>
      <c r="DS26" s="93"/>
      <c r="DT26" s="93"/>
      <c r="DU26" s="93"/>
      <c r="DV26" s="93"/>
      <c r="DW26" s="1101"/>
      <c r="DX26" s="990"/>
      <c r="DY26" s="93"/>
      <c r="DZ26" s="93"/>
      <c r="EA26" s="93"/>
      <c r="EB26" s="93"/>
      <c r="EC26" s="1101"/>
      <c r="ED26" s="990"/>
      <c r="EE26" s="93"/>
      <c r="EF26" s="93"/>
      <c r="EG26" s="93"/>
      <c r="EH26" s="93"/>
      <c r="EI26" s="1101"/>
      <c r="EJ26" s="990"/>
      <c r="EK26" s="93"/>
      <c r="EL26" s="93"/>
      <c r="EM26" s="93"/>
      <c r="EN26" s="93"/>
      <c r="EO26" s="1101"/>
      <c r="EP26" s="990"/>
      <c r="EQ26" s="93"/>
      <c r="ER26" s="93"/>
      <c r="ES26" s="93"/>
      <c r="ET26" s="93"/>
      <c r="EU26" s="1101"/>
    </row>
    <row r="27" spans="1:151" hidden="1" outlineLevel="1">
      <c r="A27" s="200" t="s">
        <v>4580</v>
      </c>
      <c r="B27" s="52"/>
      <c r="C27" s="118"/>
      <c r="D27" s="118"/>
      <c r="E27" s="118"/>
      <c r="F27" s="118"/>
      <c r="G27" s="118"/>
      <c r="H27" s="52"/>
      <c r="I27" s="118"/>
      <c r="J27" s="118"/>
      <c r="K27" s="118"/>
      <c r="L27" s="118"/>
      <c r="M27" s="118"/>
      <c r="N27" s="52"/>
      <c r="O27" s="118">
        <f>O12-SUM(O13:O22)</f>
        <v>227.88200000000001</v>
      </c>
      <c r="P27" s="118">
        <f>P12-SUM(P13:P22)</f>
        <v>232.346</v>
      </c>
      <c r="Q27" s="118">
        <f>Q12-SUM(Q13:Q22)</f>
        <v>210.30500000000001</v>
      </c>
      <c r="R27" s="118">
        <f>R12-SUM(R13:R22)</f>
        <v>223.29900000000001</v>
      </c>
      <c r="S27" s="118"/>
      <c r="T27" s="64"/>
      <c r="U27" s="118">
        <f>U12-SUM(U13:U22)</f>
        <v>202.661</v>
      </c>
      <c r="V27" s="118">
        <f>V12-SUM(V13:V22)</f>
        <v>210.58199999999999</v>
      </c>
      <c r="W27" s="118">
        <f>W12-SUM(W13:W22)</f>
        <v>208.131</v>
      </c>
      <c r="X27" s="118">
        <f>X12-SUM(X13:X22)</f>
        <v>226.67699999999999</v>
      </c>
      <c r="Y27" s="118"/>
      <c r="Z27" s="64"/>
      <c r="AA27" s="118">
        <f>AA12-SUM(AA13:AA22)</f>
        <v>231.25899999999999</v>
      </c>
      <c r="AB27" s="118">
        <f>AB12-SUM(AB13:AB22)</f>
        <v>232.84100000000001</v>
      </c>
      <c r="AC27" s="118">
        <f>AC12-SUM(AC13:AC22)</f>
        <v>229.17699999999999</v>
      </c>
      <c r="AD27" s="118">
        <f>AD12-SUM(AD13:AD22)</f>
        <v>243.047</v>
      </c>
      <c r="AE27" s="118"/>
      <c r="AF27" s="64"/>
      <c r="AG27" s="118">
        <f>AG12-SUM(AG13:AG22)</f>
        <v>245.73999999999998</v>
      </c>
      <c r="AH27" s="118">
        <f>AH12-SUM(AH13:AH22)</f>
        <v>231.35999999999999</v>
      </c>
      <c r="AI27" s="118">
        <f>AI12-SUM(AI13:AI22)</f>
        <v>216.357</v>
      </c>
      <c r="AJ27" s="118">
        <f>AJ12-SUM(AJ13:AJ22)</f>
        <v>254.03400000000002</v>
      </c>
      <c r="AK27" s="118"/>
      <c r="AL27" s="64"/>
      <c r="AM27" s="118">
        <f>AM12-SUM(AM13:AM22)</f>
        <v>227.327</v>
      </c>
      <c r="AN27" s="118">
        <f>AN12-SUM(AN13:AN22)</f>
        <v>209.40100000000001</v>
      </c>
      <c r="AO27" s="118">
        <f>AO12-SUM(AO13:AO22)</f>
        <v>186.70099999999999</v>
      </c>
      <c r="AP27" s="118">
        <f>AP12-SUM(AP13:AP22)</f>
        <v>193.51600000000002</v>
      </c>
      <c r="AQ27" s="118">
        <f>AQ12-SUM(AQ13:AQ22)</f>
        <v>816.94499999999994</v>
      </c>
      <c r="AR27" s="64"/>
      <c r="AS27" s="118">
        <f>AS12-SUM(AS13:AS22)</f>
        <v>210.76599999999999</v>
      </c>
      <c r="AT27" s="118">
        <f>AT12-SUM(AT13:AT22)</f>
        <v>211.70499999999998</v>
      </c>
      <c r="AU27" s="118">
        <f>AU12-SUM(AU13:AU22)</f>
        <v>233.86199999999999</v>
      </c>
      <c r="AV27" s="118">
        <f>AV12-SUM(AV13:AV22)</f>
        <v>295.31000000000006</v>
      </c>
      <c r="AW27" s="118">
        <f>AW12-SUM(AW13:AW22)</f>
        <v>951.64300000000003</v>
      </c>
      <c r="AX27" s="64"/>
      <c r="AY27" s="119">
        <f>AY12-SUM(AY13:AY22)</f>
        <v>299.10000000000002</v>
      </c>
      <c r="AZ27" s="119">
        <f>AZ12-SUM(AZ13:AZ22)</f>
        <v>280.8</v>
      </c>
      <c r="BA27" s="119">
        <f>BA12-SUM(BA13:BA22)</f>
        <v>301.40000000000003</v>
      </c>
      <c r="BB27" s="119">
        <f>BB12-SUM(BB13:BB22)</f>
        <v>357.59999999999997</v>
      </c>
      <c r="BC27" s="119">
        <f>BC12-SUM(BC13:BC22)</f>
        <v>1238.9000000000001</v>
      </c>
      <c r="BD27" s="98"/>
      <c r="BE27" s="119">
        <f>BE12-SUM(BE13:BE22)</f>
        <v>359.09999999999997</v>
      </c>
      <c r="BF27" s="119">
        <f>BF12-SUM(BF13:BF22)</f>
        <v>376.79999999999995</v>
      </c>
      <c r="BG27" s="119">
        <f>BG12-SUM(BG13:BG22)</f>
        <v>381.5</v>
      </c>
      <c r="BH27" s="119">
        <f>BH12-SUM(BH13:BH22)</f>
        <v>416.8</v>
      </c>
      <c r="BI27" s="119">
        <f>BI12-SUM(BI13:BI22)</f>
        <v>1534.1999999999998</v>
      </c>
      <c r="BJ27" s="98"/>
      <c r="BK27" s="118">
        <f>BK12-SUM(BK13:BK22)</f>
        <v>418</v>
      </c>
      <c r="BL27" s="118">
        <f>BL12-SUM(BL13:BL22)</f>
        <v>427.6</v>
      </c>
      <c r="BM27" s="118">
        <f>BM12-SUM(BM13:BM22)</f>
        <v>432.8</v>
      </c>
      <c r="BN27" s="118">
        <f>BN12-SUM(BN13:BN22)</f>
        <v>466.4</v>
      </c>
      <c r="BO27" s="1099">
        <f>BO12-SUM(BO13:BO22)</f>
        <v>1744.8000000000002</v>
      </c>
      <c r="BP27" s="98"/>
      <c r="BQ27" s="118">
        <f>BQ12-SUM(BQ13:BQ22)</f>
        <v>505.6</v>
      </c>
      <c r="BR27" s="118">
        <f>BR12-SUM(BR13:BR22)</f>
        <v>522.90000000000009</v>
      </c>
      <c r="BS27" s="118">
        <f>BS12-SUM(BS13:BS22)</f>
        <v>535.4</v>
      </c>
      <c r="BT27" s="118">
        <f>BT12-SUM(BT13:BT22)</f>
        <v>599.1</v>
      </c>
      <c r="BU27" s="1099">
        <f>BU12-SUM(BU13:BU22)</f>
        <v>2163</v>
      </c>
      <c r="BV27" s="98"/>
      <c r="BW27" s="118">
        <f>BW12-SUM(BW13:BW23)</f>
        <v>594.79999999999995</v>
      </c>
      <c r="BX27" s="118">
        <f>BX12-SUM(BX13:BX23)</f>
        <v>608.5</v>
      </c>
      <c r="BY27" s="118">
        <f>BY12-SUM(BY13:BY23)</f>
        <v>595.1</v>
      </c>
      <c r="BZ27" s="118">
        <f>BZ12-SUM(BZ13:BZ23)</f>
        <v>472.8</v>
      </c>
      <c r="CA27" s="1099">
        <f>CA12-SUM(CA13:CA23)</f>
        <v>2271.2000000000003</v>
      </c>
      <c r="CB27" s="98"/>
      <c r="CC27" s="118">
        <f>CC12-SUM(CC13:CC26)</f>
        <v>414.79999999999995</v>
      </c>
      <c r="CD27" s="118">
        <f>CD12-SUM(CD13:CD26)</f>
        <v>407.9</v>
      </c>
      <c r="CE27" s="118">
        <f>CE12-SUM(CE13:CE26)</f>
        <v>419.9</v>
      </c>
      <c r="CF27" s="118">
        <f>CF12-SUM(CF13:CF26)</f>
        <v>456.1</v>
      </c>
      <c r="CG27" s="1536">
        <f>CG12-SUM(CG13:CG26)</f>
        <v>1698.6999999999998</v>
      </c>
      <c r="CH27" s="98"/>
      <c r="CI27" s="118">
        <f>CI12-SUM(CI13:CI26)</f>
        <v>474.6</v>
      </c>
      <c r="CJ27" s="118">
        <f>CJ12-SUM(CJ13:CJ26)</f>
        <v>472.79999999999995</v>
      </c>
      <c r="CK27" s="119">
        <f>CK12-SUM(CK13:CK26)</f>
        <v>476.7</v>
      </c>
      <c r="CL27" s="119">
        <f>CL12-SUM(CL13:CL26)</f>
        <v>527.70000000000005</v>
      </c>
      <c r="CM27" s="1099">
        <f>CM12-SUM(CM13:CM26)</f>
        <v>1951.8</v>
      </c>
      <c r="CN27" s="98"/>
      <c r="CO27" s="118">
        <f t="shared" ref="CO27:DE27" si="18">CO12-SUM(CO13:CO26)</f>
        <v>528.29999999999995</v>
      </c>
      <c r="CP27" s="118">
        <f t="shared" si="18"/>
        <v>546.29999999999995</v>
      </c>
      <c r="CQ27" s="118">
        <f t="shared" si="18"/>
        <v>548.59999999999991</v>
      </c>
      <c r="CR27" s="118">
        <f t="shared" si="18"/>
        <v>592.4</v>
      </c>
      <c r="CS27" s="1099">
        <f t="shared" si="18"/>
        <v>2215.6</v>
      </c>
      <c r="CT27" s="1773"/>
      <c r="CU27" s="118">
        <f t="shared" si="18"/>
        <v>528.29999999999995</v>
      </c>
      <c r="CV27" s="118">
        <f t="shared" si="18"/>
        <v>546.29999999999995</v>
      </c>
      <c r="CW27" s="118">
        <f t="shared" si="18"/>
        <v>548.59999999999991</v>
      </c>
      <c r="CX27" s="118">
        <f t="shared" si="18"/>
        <v>592.4</v>
      </c>
      <c r="CY27" s="1099">
        <f t="shared" si="18"/>
        <v>2215.6</v>
      </c>
      <c r="CZ27" s="1773"/>
      <c r="DA27" s="118">
        <f t="shared" si="18"/>
        <v>528.29999999999995</v>
      </c>
      <c r="DB27" s="118">
        <f t="shared" si="18"/>
        <v>546.29999999999995</v>
      </c>
      <c r="DC27" s="118">
        <f t="shared" si="18"/>
        <v>548.59999999999991</v>
      </c>
      <c r="DD27" s="118">
        <f t="shared" si="18"/>
        <v>592.4</v>
      </c>
      <c r="DE27" s="1099">
        <f t="shared" si="18"/>
        <v>2215.6</v>
      </c>
      <c r="DF27" s="1773"/>
      <c r="DG27" s="118">
        <f>DG12-SUM(DG13:DG26)</f>
        <v>528.29999999999995</v>
      </c>
      <c r="DH27" s="118">
        <f>DH12-SUM(DH13:DH26)</f>
        <v>546.29999999999995</v>
      </c>
      <c r="DI27" s="118">
        <f>DI12-SUM(DI13:DI26)</f>
        <v>548.59999999999991</v>
      </c>
      <c r="DJ27" s="118">
        <f>DJ12-SUM(DJ13:DJ26)</f>
        <v>592.4</v>
      </c>
      <c r="DK27" s="1099">
        <f>DK12-SUM(DK13:DK26)</f>
        <v>2215.6</v>
      </c>
      <c r="DL27" s="98"/>
      <c r="DM27" s="118">
        <f>DM12-SUM(DM13:DM26)</f>
        <v>528.29999999999995</v>
      </c>
      <c r="DN27" s="118">
        <f>DN12-SUM(DN13:DN26)</f>
        <v>546.29999999999995</v>
      </c>
      <c r="DO27" s="118">
        <f>DO12-SUM(DO13:DO26)</f>
        <v>548.59999999999991</v>
      </c>
      <c r="DP27" s="118">
        <f>DP12-SUM(DP13:DP26)</f>
        <v>592.4</v>
      </c>
      <c r="DQ27" s="1099">
        <f>DQ12-SUM(DQ13:DQ26)</f>
        <v>2215.6</v>
      </c>
      <c r="DS27" s="118">
        <f>DS12-SUM(DS13:DS26)</f>
        <v>528.29999999999995</v>
      </c>
      <c r="DT27" s="118">
        <f>DT12-SUM(DT13:DT26)</f>
        <v>546.29999999999995</v>
      </c>
      <c r="DU27" s="118">
        <f>DU12-SUM(DU13:DU26)</f>
        <v>548.59999999999991</v>
      </c>
      <c r="DV27" s="118">
        <f>DV12-SUM(DV13:DV26)</f>
        <v>592.4</v>
      </c>
      <c r="DW27" s="1099">
        <f>DW12-SUM(DW13:DW26)</f>
        <v>2215.6</v>
      </c>
      <c r="DY27" s="118">
        <f>DY12-SUM(DY13:DY26)</f>
        <v>528.29999999999995</v>
      </c>
      <c r="DZ27" s="118">
        <f>DZ12-SUM(DZ13:DZ26)</f>
        <v>546.29999999999995</v>
      </c>
      <c r="EA27" s="118">
        <f>EA12-SUM(EA13:EA26)</f>
        <v>548.59999999999991</v>
      </c>
      <c r="EB27" s="118">
        <f>EB12-SUM(EB13:EB26)</f>
        <v>592.4</v>
      </c>
      <c r="EC27" s="1099">
        <f>EC12-SUM(EC13:EC26)</f>
        <v>2215.6</v>
      </c>
      <c r="EE27" s="118">
        <f>EE12-SUM(EE13:EE26)</f>
        <v>528.29999999999995</v>
      </c>
      <c r="EF27" s="118">
        <f>EF12-SUM(EF13:EF26)</f>
        <v>546.29999999999995</v>
      </c>
      <c r="EG27" s="118">
        <f>EG12-SUM(EG13:EG26)</f>
        <v>548.59999999999991</v>
      </c>
      <c r="EH27" s="118">
        <f>EH12-SUM(EH13:EH26)</f>
        <v>592.4</v>
      </c>
      <c r="EI27" s="1099">
        <f>EI12-SUM(EI13:EI26)</f>
        <v>2215.6</v>
      </c>
      <c r="EK27" s="118">
        <f>EK12-SUM(EK13:EK26)</f>
        <v>528.29999999999995</v>
      </c>
      <c r="EL27" s="118">
        <f>EL12-SUM(EL13:EL26)</f>
        <v>546.29999999999995</v>
      </c>
      <c r="EM27" s="118">
        <f>EM12-SUM(EM13:EM26)</f>
        <v>548.59999999999991</v>
      </c>
      <c r="EN27" s="118">
        <f>EN12-SUM(EN13:EN26)</f>
        <v>592.4</v>
      </c>
      <c r="EO27" s="1099">
        <f>EO12-SUM(EO13:EO26)</f>
        <v>2215.6</v>
      </c>
      <c r="EQ27" s="118">
        <f>EQ12-SUM(EQ13:EQ26)</f>
        <v>528.29999999999995</v>
      </c>
      <c r="ER27" s="118">
        <f>ER12-SUM(ER13:ER26)</f>
        <v>546.29999999999995</v>
      </c>
      <c r="ES27" s="118">
        <f>ES12-SUM(ES13:ES26)</f>
        <v>548.59999999999991</v>
      </c>
      <c r="ET27" s="118">
        <f>ET12-SUM(ET13:ET26)</f>
        <v>592.4</v>
      </c>
      <c r="EU27" s="1099">
        <f>EU12-SUM(EU13:EU26)</f>
        <v>2215.6</v>
      </c>
    </row>
    <row r="28" spans="1:151" ht="21.75" hidden="1" customHeight="1" outlineLevel="1">
      <c r="A28" s="200" t="s">
        <v>4572</v>
      </c>
      <c r="B28" s="52"/>
      <c r="C28" s="119"/>
      <c r="D28" s="119"/>
      <c r="E28" s="119"/>
      <c r="F28" s="119"/>
      <c r="G28" s="119"/>
      <c r="H28" s="52"/>
      <c r="I28" s="119"/>
      <c r="J28" s="119"/>
      <c r="K28" s="119"/>
      <c r="L28" s="119"/>
      <c r="M28" s="119"/>
      <c r="N28" s="52"/>
      <c r="O28" s="119" t="s">
        <v>7249</v>
      </c>
      <c r="P28" s="119" t="s">
        <v>7249</v>
      </c>
      <c r="Q28" s="119" t="s">
        <v>7249</v>
      </c>
      <c r="R28" s="119" t="s">
        <v>7249</v>
      </c>
      <c r="S28" s="119"/>
      <c r="T28" s="363"/>
      <c r="U28" s="119" t="s">
        <v>7249</v>
      </c>
      <c r="V28" s="119" t="s">
        <v>7249</v>
      </c>
      <c r="W28" s="119" t="s">
        <v>7249</v>
      </c>
      <c r="X28" s="119" t="s">
        <v>7249</v>
      </c>
      <c r="Y28" s="334"/>
      <c r="Z28" s="363"/>
      <c r="AA28" s="119" t="s">
        <v>7249</v>
      </c>
      <c r="AB28" s="119" t="s">
        <v>7249</v>
      </c>
      <c r="AC28" s="119" t="s">
        <v>7249</v>
      </c>
      <c r="AD28" s="119" t="s">
        <v>7249</v>
      </c>
      <c r="AE28" s="334"/>
      <c r="AF28" s="546"/>
      <c r="AG28" s="334" t="s">
        <v>7249</v>
      </c>
      <c r="AH28" s="334" t="s">
        <v>7249</v>
      </c>
      <c r="AI28" s="334" t="s">
        <v>7249</v>
      </c>
      <c r="AJ28" s="334" t="s">
        <v>7249</v>
      </c>
      <c r="AK28" s="334"/>
      <c r="AL28" s="546"/>
      <c r="AM28" s="334">
        <v>-1.3803067216608289E-2</v>
      </c>
      <c r="AN28" s="334">
        <v>3.1822208491635418E-2</v>
      </c>
      <c r="AO28" s="334">
        <v>2.2848922869469823E-2</v>
      </c>
      <c r="AP28" s="334">
        <v>6.0083562168971705E-2</v>
      </c>
      <c r="AQ28" s="334">
        <v>2.7819312471007329E-2</v>
      </c>
      <c r="AR28" s="546"/>
      <c r="AS28" s="334">
        <v>8.0419730330312467E-2</v>
      </c>
      <c r="AT28" s="334">
        <v>6.9691678119217504E-2</v>
      </c>
      <c r="AU28" s="334">
        <v>7.3392042154954984E-2</v>
      </c>
      <c r="AV28" s="334">
        <v>0.12429724716455404</v>
      </c>
      <c r="AW28" s="334">
        <v>8.6711733895328935E-2</v>
      </c>
      <c r="AX28" s="546"/>
      <c r="AY28" s="334">
        <v>9.2865909706992156E-2</v>
      </c>
      <c r="AZ28" s="334">
        <v>4.5254734113221895E-2</v>
      </c>
      <c r="BA28" s="334">
        <v>4.5196838783203352E-2</v>
      </c>
      <c r="BB28" s="334">
        <v>4.3043062391371789E-2</v>
      </c>
      <c r="BC28" s="334">
        <v>5.5819443840831928E-2</v>
      </c>
      <c r="BD28" s="149"/>
      <c r="BE28" s="334">
        <v>3.0328375650132244E-2</v>
      </c>
      <c r="BF28" s="334">
        <v>9.235814944305476E-3</v>
      </c>
      <c r="BG28" s="334">
        <v>-1.0013170108385872E-2</v>
      </c>
      <c r="BH28" s="334">
        <v>-7.909271961734432E-2</v>
      </c>
      <c r="BI28" s="334">
        <v>-1.2483006473933855E-2</v>
      </c>
      <c r="BJ28" s="149"/>
      <c r="BK28" s="334">
        <v>-6.9094392593038956E-2</v>
      </c>
      <c r="BL28" s="334">
        <v>-9.7070838811392779E-3</v>
      </c>
      <c r="BM28" s="334">
        <v>-3.2853368913916547E-3</v>
      </c>
      <c r="BN28" s="334">
        <v>2.8573509318609469E-2</v>
      </c>
      <c r="BO28" s="1102">
        <v>-3.6320400446587797E-3</v>
      </c>
      <c r="BP28" s="149"/>
      <c r="BQ28" s="334">
        <v>3.9136737333923977E-2</v>
      </c>
      <c r="BR28" s="334">
        <v>1.2512305611477537E-2</v>
      </c>
      <c r="BS28" s="334">
        <v>4.1070355918722878E-2</v>
      </c>
      <c r="BT28" s="334">
        <v>6.9719352611279373E-2</v>
      </c>
      <c r="BU28" s="1102">
        <v>4.0853558074877006E-2</v>
      </c>
      <c r="BV28" s="149"/>
      <c r="BW28" s="334">
        <v>0.10295822615823735</v>
      </c>
      <c r="BX28" s="334">
        <v>0.10226547050124002</v>
      </c>
      <c r="BY28" s="334">
        <v>3.1325493847108365E-2</v>
      </c>
      <c r="BZ28" s="334">
        <v>-3.6167927915766174E-2</v>
      </c>
      <c r="CA28" s="1353">
        <v>4.1854371393712508E-2</v>
      </c>
      <c r="CB28" s="149"/>
      <c r="CC28" s="334">
        <v>-7.0380888921863227E-2</v>
      </c>
      <c r="CD28" s="334">
        <v>-4.1270576550192506E-2</v>
      </c>
      <c r="CE28" s="334">
        <v>1.4442001837440821E-2</v>
      </c>
      <c r="CF28" s="334">
        <v>4.1196406696610857E-2</v>
      </c>
      <c r="CG28" s="1539">
        <v>-7.4722231254715776E-3</v>
      </c>
      <c r="CH28" s="149"/>
      <c r="CI28" s="334">
        <v>4.4607797087834744E-2</v>
      </c>
      <c r="CJ28" s="334">
        <v>1.1080989999840085E-2</v>
      </c>
      <c r="CK28" s="334">
        <v>-1.2906342938454385E-2</v>
      </c>
      <c r="CL28" s="334">
        <v>-3.069479192264124E-2</v>
      </c>
      <c r="CM28" s="1102">
        <v>2.8520917057068829E-3</v>
      </c>
      <c r="CN28" s="149"/>
      <c r="CO28" s="334">
        <v>4.0795383064873292E-4</v>
      </c>
      <c r="CP28" s="334">
        <v>1.3545295119042455E-2</v>
      </c>
      <c r="CQ28" s="334">
        <v>2.8895906746951194E-2</v>
      </c>
      <c r="CR28" s="334">
        <v>6.3849122262982227E-4</v>
      </c>
      <c r="CS28" s="1102">
        <v>9.8230271344439402E-3</v>
      </c>
      <c r="CT28" s="1774"/>
      <c r="CU28" s="334">
        <v>-7.2894367756703993E-4</v>
      </c>
      <c r="CV28" s="334">
        <v>6.054637136752028E-4</v>
      </c>
      <c r="CW28" s="334">
        <v>-4.0112158267779918E-4</v>
      </c>
      <c r="CX28" s="334">
        <v>-1.1600371900775119E-3</v>
      </c>
      <c r="CY28" s="1102">
        <v>0</v>
      </c>
      <c r="CZ28" s="1774"/>
      <c r="DA28" s="334">
        <v>-3.8860759493670849E-2</v>
      </c>
      <c r="DB28" s="334">
        <v>-0.193321299638989</v>
      </c>
      <c r="DC28" s="334">
        <v>-4.9449838187702308E-2</v>
      </c>
      <c r="DD28" s="334">
        <v>-4.4526030695155136E-2</v>
      </c>
      <c r="DE28" s="1102">
        <v>-3.4619976124153906E-3</v>
      </c>
      <c r="DF28" s="1774"/>
      <c r="DG28" s="334">
        <v>0</v>
      </c>
      <c r="DH28" s="334">
        <v>-5.1181871459269335E-2</v>
      </c>
      <c r="DI28" s="334">
        <v>-8.8796077719266564E-2</v>
      </c>
      <c r="DJ28" s="334">
        <v>-7.5081699346405961E-3</v>
      </c>
      <c r="DK28" s="1102">
        <v>0</v>
      </c>
      <c r="DL28" s="149"/>
      <c r="DM28" s="334">
        <v>0</v>
      </c>
      <c r="DN28" s="334">
        <v>0</v>
      </c>
      <c r="DO28" s="334">
        <v>0</v>
      </c>
      <c r="DP28" s="334">
        <v>0</v>
      </c>
      <c r="DQ28" s="1102">
        <v>0</v>
      </c>
      <c r="DS28" s="334">
        <v>0</v>
      </c>
      <c r="DT28" s="334">
        <v>0</v>
      </c>
      <c r="DU28" s="334">
        <v>0</v>
      </c>
      <c r="DV28" s="334">
        <v>0</v>
      </c>
      <c r="DW28" s="1102">
        <v>0</v>
      </c>
      <c r="DY28" s="334">
        <v>0</v>
      </c>
      <c r="DZ28" s="334">
        <v>0</v>
      </c>
      <c r="EA28" s="334">
        <v>0</v>
      </c>
      <c r="EB28" s="334">
        <v>0</v>
      </c>
      <c r="EC28" s="1102">
        <v>0</v>
      </c>
      <c r="EE28" s="334">
        <v>0</v>
      </c>
      <c r="EF28" s="334">
        <v>0</v>
      </c>
      <c r="EG28" s="334">
        <v>0</v>
      </c>
      <c r="EH28" s="334">
        <v>0</v>
      </c>
      <c r="EI28" s="1102">
        <v>0</v>
      </c>
      <c r="EK28" s="334">
        <v>0</v>
      </c>
      <c r="EL28" s="334">
        <v>0</v>
      </c>
      <c r="EM28" s="334">
        <v>0</v>
      </c>
      <c r="EN28" s="334">
        <v>0</v>
      </c>
      <c r="EO28" s="1102">
        <v>0</v>
      </c>
      <c r="EQ28" s="334">
        <v>0</v>
      </c>
      <c r="ER28" s="334">
        <v>0</v>
      </c>
      <c r="ES28" s="334">
        <v>0</v>
      </c>
      <c r="ET28" s="334">
        <v>0</v>
      </c>
      <c r="EU28" s="1102">
        <v>0</v>
      </c>
    </row>
    <row r="29" spans="1:151" hidden="1" outlineLevel="1">
      <c r="A29" s="199" t="s">
        <v>4580</v>
      </c>
      <c r="B29" s="90"/>
      <c r="C29" s="43"/>
      <c r="D29" s="38"/>
      <c r="E29" s="38"/>
      <c r="F29" s="38"/>
      <c r="G29" s="38"/>
      <c r="H29" s="90"/>
      <c r="I29" s="84"/>
      <c r="J29" s="84"/>
      <c r="K29" s="84"/>
      <c r="L29" s="84"/>
      <c r="M29" s="38"/>
      <c r="N29" s="90"/>
      <c r="O29" s="84" t="str">
        <f>IF(ISERROR(O27/I12-1),"nm",O27/I12-1)</f>
        <v>nm</v>
      </c>
      <c r="P29" s="84" t="str">
        <f>IF(ISERROR(P27/J12-1),"nm",P27/J12-1)</f>
        <v>nm</v>
      </c>
      <c r="Q29" s="84" t="str">
        <f>IF(ISERROR(Q27/K12-1),"nm",Q27/K12-1)</f>
        <v>nm</v>
      </c>
      <c r="R29" s="84" t="str">
        <f>IF(ISERROR(R27/L12-1),"nm",R27/L12-1)</f>
        <v>nm</v>
      </c>
      <c r="S29" s="84"/>
      <c r="T29" s="116"/>
      <c r="U29" s="84">
        <f>IF(ISERROR(U27/O12-1),"nm",U27/O12-1)</f>
        <v>-0.11067570058188014</v>
      </c>
      <c r="V29" s="84">
        <f>IF(ISERROR(V27/P12-1),"nm",V27/P12-1)</f>
        <v>-9.3670646363612886E-2</v>
      </c>
      <c r="W29" s="84">
        <f>IF(ISERROR(W27/Q12-1),"nm",W27/Q12-1)</f>
        <v>-1.0337367157224109E-2</v>
      </c>
      <c r="X29" s="84">
        <f>IF(ISERROR(X27/R12-1),"nm",X27/R12-1)</f>
        <v>1.5127698735775796E-2</v>
      </c>
      <c r="Y29" s="84"/>
      <c r="Z29" s="116"/>
      <c r="AA29" s="84">
        <f>IF(ISERROR(AA27/U12-1),"nm",AA27/U12-1)</f>
        <v>0.14111249821129856</v>
      </c>
      <c r="AB29" s="84">
        <f>IF(ISERROR(AB27/V12-1),"nm",AB27/V12-1)</f>
        <v>0.10570229174383372</v>
      </c>
      <c r="AC29" s="84">
        <f>IF(ISERROR(AC27/W12-1),"nm",AC27/W12-1)</f>
        <v>0.10111900677938412</v>
      </c>
      <c r="AD29" s="84">
        <f>IF(ISERROR(AD27/X12-1),"nm",AD27/X12-1)</f>
        <v>7.2217295976212847E-2</v>
      </c>
      <c r="AE29" s="84"/>
      <c r="AF29" s="116"/>
      <c r="AG29" s="84">
        <f>IF(ISERROR(AG27/AA12-1),"nm",AG27/AA12-1)</f>
        <v>6.2618103511647094E-2</v>
      </c>
      <c r="AH29" s="84">
        <f>IF(ISERROR(AH27/AB12-1),"nm",AH27/AB12-1)</f>
        <v>-6.3605636464368898E-3</v>
      </c>
      <c r="AI29" s="84">
        <f>IF(ISERROR(AI27/AC12-1),"nm",AI27/AC12-1)</f>
        <v>-5.593929582811541E-2</v>
      </c>
      <c r="AJ29" s="84">
        <f>IF(ISERROR(AJ27/AD12-1),"nm",AJ27/AD12-1)</f>
        <v>4.520524836759976E-2</v>
      </c>
      <c r="AK29" s="84"/>
      <c r="AL29" s="116"/>
      <c r="AM29" s="84">
        <f>IF(ISERROR(AM27/AG12-1),"nm",AM27/AG12-1)</f>
        <v>-7.4928786522340585E-2</v>
      </c>
      <c r="AN29" s="84">
        <f>IF(ISERROR(AN27/AH12-1),"nm",AN27/AH12-1)</f>
        <v>-9.4912690179806303E-2</v>
      </c>
      <c r="AO29" s="84">
        <f>IF(ISERROR(AO27/AI12-1),"nm",AO27/AI12-1)</f>
        <v>-0.1370697504587326</v>
      </c>
      <c r="AP29" s="84">
        <f>IF(ISERROR(AP27/AJ12-1),"nm",AP27/AJ12-1)</f>
        <v>-0.23822795373847594</v>
      </c>
      <c r="AQ29" s="84" t="str">
        <f>IF(ISERROR(AQ27/AK12-1),"nm",AQ27/AK12-1)</f>
        <v>nm</v>
      </c>
      <c r="AR29" s="116"/>
      <c r="AS29" s="84">
        <f>AS27/AM12-1</f>
        <v>-8.0936828197290311E-2</v>
      </c>
      <c r="AT29" s="84">
        <f>AT27/AN12-1</f>
        <v>1.4380253641184115E-3</v>
      </c>
      <c r="AU29" s="84">
        <f>AU27/AO12-1</f>
        <v>0.23932570574612755</v>
      </c>
      <c r="AV29" s="84">
        <f>AV27/AP12-1</f>
        <v>0.51041346999734061</v>
      </c>
      <c r="AW29" s="84">
        <f>AW27/AQ12-1</f>
        <v>0.15358357223814934</v>
      </c>
      <c r="AX29" s="116"/>
      <c r="AY29" s="84">
        <f>AY27/AS12-1</f>
        <v>0.41910934401184274</v>
      </c>
      <c r="AZ29" s="84">
        <f>AZ27/AT12-1</f>
        <v>0.32637396377034089</v>
      </c>
      <c r="BA29" s="84">
        <f>BA27/AU12-1</f>
        <v>0.28879424617937088</v>
      </c>
      <c r="BB29" s="84">
        <f>BB27/AV12-1</f>
        <v>0.21093088618739597</v>
      </c>
      <c r="BC29" s="84">
        <f>BC27/AW12-1</f>
        <v>0.30185374137150167</v>
      </c>
      <c r="BD29" s="138"/>
      <c r="BE29" s="84">
        <f>BE27/AY12-1</f>
        <v>0.20060180541624861</v>
      </c>
      <c r="BF29" s="84">
        <f>BF27/AZ12-1</f>
        <v>0.34188034188034155</v>
      </c>
      <c r="BG29" s="84">
        <f>BG27/BA12-1</f>
        <v>0.26575978765759767</v>
      </c>
      <c r="BH29" s="84">
        <f>BH27/BB12-1</f>
        <v>0.16554809843400453</v>
      </c>
      <c r="BI29" s="84">
        <f>BI27/BC12-1</f>
        <v>0.23835660666720448</v>
      </c>
      <c r="BJ29" s="138"/>
      <c r="BK29" s="38">
        <f>BK27/BE12-1</f>
        <v>0.16402116402116418</v>
      </c>
      <c r="BL29" s="38">
        <f>BL27/BF12-1</f>
        <v>0.13481953290870519</v>
      </c>
      <c r="BM29" s="38">
        <f>BM27/BG12-1</f>
        <v>0.13446920052424649</v>
      </c>
      <c r="BN29" s="38">
        <f>BN27/BH12-1</f>
        <v>0.11100524059075734</v>
      </c>
      <c r="BO29" s="1098">
        <f>BO27/BI12-1</f>
        <v>0.13505074160811881</v>
      </c>
      <c r="BP29" s="138"/>
      <c r="BQ29" s="38">
        <f>BQ27/BK12-1</f>
        <v>0.15963302752293584</v>
      </c>
      <c r="BR29" s="38">
        <f>BR27/BL12-1</f>
        <v>0.16303380782918153</v>
      </c>
      <c r="BS29" s="38">
        <f>BS27/BM12-1</f>
        <v>0.17206654991243431</v>
      </c>
      <c r="BT29" s="38">
        <f>BT27/BN12-1</f>
        <v>0.20446320868516299</v>
      </c>
      <c r="BU29" s="1098">
        <f>BU27/BO12-1</f>
        <v>0.1756712686161539</v>
      </c>
      <c r="BV29" s="138"/>
      <c r="BW29" s="38">
        <f>BW27/BQ12-1</f>
        <v>0.169484860401101</v>
      </c>
      <c r="BX29" s="38">
        <f>BX27/BR12-1</f>
        <v>0.15706408062369248</v>
      </c>
      <c r="BY29" s="38">
        <f>BY27/BS12-1</f>
        <v>0.10531203566121849</v>
      </c>
      <c r="BZ29" s="38">
        <f>BZ27/BT12-1</f>
        <v>-0.21081622433650482</v>
      </c>
      <c r="CA29" s="1361">
        <f>CA27/BU12-1</f>
        <v>4.5672191528545181E-2</v>
      </c>
      <c r="CB29" s="138"/>
      <c r="CC29" s="38">
        <f>CC27/BW12-1</f>
        <v>-0.30728122912491651</v>
      </c>
      <c r="CD29" s="38">
        <f>CD27/BX12-1</f>
        <v>-0.34156577885391448</v>
      </c>
      <c r="CE29" s="38">
        <f>CE27/BY12-1</f>
        <v>-0.30835117773019283</v>
      </c>
      <c r="CF29" s="38">
        <f>CF27/BZ12-1</f>
        <v>-6.8803593303389143E-2</v>
      </c>
      <c r="CG29" s="1540">
        <f>CG27/CA12-1</f>
        <v>-0.26628369039391864</v>
      </c>
      <c r="CH29" s="138"/>
      <c r="CI29" s="38">
        <f>CI27/CC12-1</f>
        <v>0.11460779708783475</v>
      </c>
      <c r="CJ29" s="38">
        <f>CJ27/CD12-1</f>
        <v>0.13955169920462751</v>
      </c>
      <c r="CK29" s="84">
        <f>CK27/CE12-1</f>
        <v>0.14343967378268174</v>
      </c>
      <c r="CL29" s="84">
        <f>CL27/CF12-1</f>
        <v>0.15698311773733842</v>
      </c>
      <c r="CM29" s="1098">
        <f>CM27/CG12-1</f>
        <v>0.13893913753865905</v>
      </c>
      <c r="CN29" s="138"/>
      <c r="CO29" s="38">
        <f>CO27/CI12-1</f>
        <v>0.11314791403286972</v>
      </c>
      <c r="CP29" s="38">
        <f>CP27/CJ12-1</f>
        <v>0.15545685279187826</v>
      </c>
      <c r="CQ29" s="38">
        <f>CQ27/CK12-1</f>
        <v>0.15082861338367937</v>
      </c>
      <c r="CR29" s="38">
        <f>CR27/CL12-1</f>
        <v>0.12260754216410819</v>
      </c>
      <c r="CS29" s="1098">
        <f>CS27/CM12-1</f>
        <v>0.13515729070601501</v>
      </c>
      <c r="CT29" s="59"/>
      <c r="CU29" s="38">
        <f>CU27/CO12-1</f>
        <v>0</v>
      </c>
      <c r="CV29" s="38">
        <f>CV27/CP12-1</f>
        <v>0</v>
      </c>
      <c r="CW29" s="38">
        <f>CW27/CQ12-1</f>
        <v>0</v>
      </c>
      <c r="CX29" s="38">
        <f>CX27/CR12-1</f>
        <v>0</v>
      </c>
      <c r="CY29" s="1098">
        <f>CY27/CS12-1</f>
        <v>0</v>
      </c>
      <c r="CZ29" s="59"/>
      <c r="DA29" s="38">
        <f>DA27/CU12-1</f>
        <v>0</v>
      </c>
      <c r="DB29" s="38">
        <f>DB27/CV12-1</f>
        <v>0</v>
      </c>
      <c r="DC29" s="38">
        <f>DC27/CW12-1</f>
        <v>0</v>
      </c>
      <c r="DD29" s="38">
        <f>DD27/CX12-1</f>
        <v>0</v>
      </c>
      <c r="DE29" s="1098">
        <f>DE27/CY12-1</f>
        <v>0</v>
      </c>
      <c r="DF29" s="59"/>
      <c r="DG29" s="38">
        <f>DG27/DA12-1</f>
        <v>0</v>
      </c>
      <c r="DH29" s="38">
        <f>DH27/DB12-1</f>
        <v>0</v>
      </c>
      <c r="DI29" s="38">
        <f>DI27/DC12-1</f>
        <v>0</v>
      </c>
      <c r="DJ29" s="38">
        <f>DJ27/DD12-1</f>
        <v>0</v>
      </c>
      <c r="DK29" s="1098">
        <f>DK27/DE12-1</f>
        <v>0</v>
      </c>
      <c r="DL29" s="138"/>
      <c r="DM29" s="38">
        <f>DM27/DG12-1</f>
        <v>0</v>
      </c>
      <c r="DN29" s="38">
        <f>DN27/DH12-1</f>
        <v>0</v>
      </c>
      <c r="DO29" s="38">
        <f>DO27/DI12-1</f>
        <v>0</v>
      </c>
      <c r="DP29" s="38">
        <f>DP27/DJ12-1</f>
        <v>0</v>
      </c>
      <c r="DQ29" s="1098">
        <f>DQ27/DK12-1</f>
        <v>0</v>
      </c>
      <c r="DR29" s="59"/>
      <c r="DS29" s="38">
        <f>DS27/DM12-1</f>
        <v>0</v>
      </c>
      <c r="DT29" s="38">
        <f>DT27/DN12-1</f>
        <v>0</v>
      </c>
      <c r="DU29" s="38">
        <f>DU27/DO12-1</f>
        <v>0</v>
      </c>
      <c r="DV29" s="38">
        <f>DV27/DP12-1</f>
        <v>0</v>
      </c>
      <c r="DW29" s="1098">
        <f>DW27/DQ12-1</f>
        <v>0</v>
      </c>
      <c r="DX29" s="59"/>
      <c r="DY29" s="38">
        <f>DY27/DS12-1</f>
        <v>0</v>
      </c>
      <c r="DZ29" s="38">
        <f>DZ27/DT12-1</f>
        <v>0</v>
      </c>
      <c r="EA29" s="38">
        <f>EA27/DU12-1</f>
        <v>0</v>
      </c>
      <c r="EB29" s="38">
        <f>EB27/DV12-1</f>
        <v>0</v>
      </c>
      <c r="EC29" s="1098">
        <f>EC27/DW12-1</f>
        <v>0</v>
      </c>
      <c r="ED29" s="59"/>
      <c r="EE29" s="38">
        <f>EE27/DY12-1</f>
        <v>0</v>
      </c>
      <c r="EF29" s="38">
        <f>EF27/DZ12-1</f>
        <v>0</v>
      </c>
      <c r="EG29" s="38">
        <f>EG27/EA12-1</f>
        <v>0</v>
      </c>
      <c r="EH29" s="38">
        <f>EH27/EB12-1</f>
        <v>0</v>
      </c>
      <c r="EI29" s="1098">
        <f>EI27/EC12-1</f>
        <v>0</v>
      </c>
      <c r="EJ29" s="59"/>
      <c r="EK29" s="38">
        <f>EK27/EE12-1</f>
        <v>0</v>
      </c>
      <c r="EL29" s="38">
        <f>EL27/EF12-1</f>
        <v>0</v>
      </c>
      <c r="EM29" s="38">
        <f>EM27/EG12-1</f>
        <v>0</v>
      </c>
      <c r="EN29" s="38">
        <f>EN27/EH12-1</f>
        <v>0</v>
      </c>
      <c r="EO29" s="1098">
        <f>EO27/EI12-1</f>
        <v>0</v>
      </c>
      <c r="EP29" s="59"/>
      <c r="EQ29" s="38">
        <f>EQ27/EK12-1</f>
        <v>0</v>
      </c>
      <c r="ER29" s="38">
        <f>ER27/EL12-1</f>
        <v>0</v>
      </c>
      <c r="ES29" s="38">
        <f>ES27/EM12-1</f>
        <v>0</v>
      </c>
      <c r="ET29" s="38">
        <f>ET27/EN12-1</f>
        <v>0</v>
      </c>
      <c r="EU29" s="1098">
        <f>EU27/EO12-1</f>
        <v>0</v>
      </c>
    </row>
    <row r="30" spans="1:151" hidden="1" outlineLevel="1">
      <c r="A30" s="199" t="s">
        <v>4573</v>
      </c>
      <c r="B30" s="90"/>
      <c r="C30" s="84"/>
      <c r="D30" s="84"/>
      <c r="E30" s="84"/>
      <c r="F30" s="84"/>
      <c r="G30" s="84"/>
      <c r="H30" s="90"/>
      <c r="I30" s="84"/>
      <c r="J30" s="84"/>
      <c r="K30" s="84"/>
      <c r="L30" s="84"/>
      <c r="M30" s="84"/>
      <c r="N30" s="90"/>
      <c r="O30" s="84" t="str">
        <f>IF(ISERROR(O29-O28),"nm",O29-O28)</f>
        <v>nm</v>
      </c>
      <c r="P30" s="84" t="str">
        <f>IF(ISERROR(P29-P28),"nm",P29-P28)</f>
        <v>nm</v>
      </c>
      <c r="Q30" s="84" t="str">
        <f>IF(ISERROR(Q29-Q28),"nm",Q29-Q28)</f>
        <v>nm</v>
      </c>
      <c r="R30" s="84" t="str">
        <f>IF(ISERROR(R29-R28),"nm",R29-R28)</f>
        <v>nm</v>
      </c>
      <c r="S30" s="84"/>
      <c r="T30" s="116"/>
      <c r="U30" s="84" t="str">
        <f>IF(ISERROR(U29-U28),"nm",U29-U28)</f>
        <v>nm</v>
      </c>
      <c r="V30" s="84" t="str">
        <f>IF(ISERROR(V29-V28),"nm",V29-V28)</f>
        <v>nm</v>
      </c>
      <c r="W30" s="84" t="str">
        <f>IF(ISERROR(W29-W28),"nm",W29-W28)</f>
        <v>nm</v>
      </c>
      <c r="X30" s="84" t="str">
        <f>IF(ISERROR(X29-X28),"nm",X29-X28)</f>
        <v>nm</v>
      </c>
      <c r="Y30" s="84"/>
      <c r="Z30" s="116"/>
      <c r="AA30" s="84" t="str">
        <f>IF(ISERROR(AA29-AA28),"nm",AA29-AA28)</f>
        <v>nm</v>
      </c>
      <c r="AB30" s="84" t="str">
        <f>IF(ISERROR(AB29-AB28),"nm",AB29-AB28)</f>
        <v>nm</v>
      </c>
      <c r="AC30" s="84" t="str">
        <f>IF(ISERROR(AC29-AC28),"nm",AC29-AC28)</f>
        <v>nm</v>
      </c>
      <c r="AD30" s="84" t="str">
        <f>IF(ISERROR(AD29-AD28),"nm",AD29-AD28)</f>
        <v>nm</v>
      </c>
      <c r="AE30" s="84"/>
      <c r="AF30" s="116"/>
      <c r="AG30" s="84" t="str">
        <f>IF(ISERROR(AG29-AG28),"nm",AG29-AG28)</f>
        <v>nm</v>
      </c>
      <c r="AH30" s="84" t="str">
        <f>IF(ISERROR(AH29-AH28),"nm",AH29-AH28)</f>
        <v>nm</v>
      </c>
      <c r="AI30" s="84" t="str">
        <f>IF(ISERROR(AI29-AI28),"nm",AI29-AI28)</f>
        <v>nm</v>
      </c>
      <c r="AJ30" s="84" t="str">
        <f>IF(ISERROR(AJ29-AJ28),"nm",AJ29-AJ28)</f>
        <v>nm</v>
      </c>
      <c r="AK30" s="84"/>
      <c r="AL30" s="116"/>
      <c r="AM30" s="84">
        <f>IF(ISERROR(AM29-AM28),"nm",AM29-AM28)</f>
        <v>-6.1125719305732296E-2</v>
      </c>
      <c r="AN30" s="84">
        <f>IF(ISERROR(AN29-AN28),"nm",AN29-AN28)</f>
        <v>-0.12673489867144172</v>
      </c>
      <c r="AO30" s="84">
        <f>IF(ISERROR(AO29-AO28),"nm",AO29-AO28)</f>
        <v>-0.15991867332820242</v>
      </c>
      <c r="AP30" s="84">
        <f>IF(ISERROR(AP29-AP28),"nm",AP29-AP28)</f>
        <v>-0.29831151590744764</v>
      </c>
      <c r="AQ30" s="84" t="str">
        <f>IF(ISERROR(AQ29-AQ28),"nm",AQ29-AQ28)</f>
        <v>nm</v>
      </c>
      <c r="AR30" s="116"/>
      <c r="AS30" s="84">
        <f>IF(ISERROR(AS29-AS28),"nm",AS29-AS28)</f>
        <v>-0.16135655852760278</v>
      </c>
      <c r="AT30" s="84">
        <f>IF(ISERROR(AT29-AT28),"nm",AT29-AT28)</f>
        <v>-6.8253652755099092E-2</v>
      </c>
      <c r="AU30" s="84">
        <f>IF(ISERROR(AU29-AU28),"nm",AU29-AU28)</f>
        <v>0.16593366359117256</v>
      </c>
      <c r="AV30" s="84">
        <f>IF(ISERROR(AV29-AV28),"nm",AV29-AV28)</f>
        <v>0.38611622283278657</v>
      </c>
      <c r="AW30" s="84">
        <f>IF(ISERROR(AW29-AW28),"nm",AW29-AW28)</f>
        <v>6.68718383428204E-2</v>
      </c>
      <c r="AX30" s="116"/>
      <c r="AY30" s="84">
        <f>IF(ISERROR(AY29-AY28),"nm",AY29-AY28)</f>
        <v>0.32624343430485059</v>
      </c>
      <c r="AZ30" s="84">
        <f>IF(ISERROR(AZ29-AZ28),"nm",AZ29-AZ28)</f>
        <v>0.281119229657119</v>
      </c>
      <c r="BA30" s="84">
        <f>IF(ISERROR(BA29-BA28),"nm",BA29-BA28)</f>
        <v>0.24359740739616753</v>
      </c>
      <c r="BB30" s="84">
        <f>IF(ISERROR(BB29-BB28),"nm",BB29-BB28)</f>
        <v>0.16788782379602418</v>
      </c>
      <c r="BC30" s="84">
        <f>IF(ISERROR(BC29-BC28),"nm",BC29-BC28)</f>
        <v>0.24603429753066974</v>
      </c>
      <c r="BD30" s="138"/>
      <c r="BE30" s="84">
        <f>BE29-BE28</f>
        <v>0.17027342976611637</v>
      </c>
      <c r="BF30" s="84">
        <f>BF29-BF28</f>
        <v>0.33264452693603608</v>
      </c>
      <c r="BG30" s="84">
        <f>BG29-BG28</f>
        <v>0.27577295776598354</v>
      </c>
      <c r="BH30" s="84">
        <f>BH29-BH28</f>
        <v>0.24464081805134885</v>
      </c>
      <c r="BI30" s="84">
        <f>BI29-BI28</f>
        <v>0.25083961314113834</v>
      </c>
      <c r="BJ30" s="138"/>
      <c r="BK30" s="38">
        <f>BK29-BK28</f>
        <v>0.23311555661420313</v>
      </c>
      <c r="BL30" s="38">
        <f>BL29-BL28</f>
        <v>0.14452661678984446</v>
      </c>
      <c r="BM30" s="38">
        <f>BM29-BM28</f>
        <v>0.13775453741563815</v>
      </c>
      <c r="BN30" s="38">
        <f>BN29-BN28</f>
        <v>8.2431731272147868E-2</v>
      </c>
      <c r="BO30" s="1098">
        <f>BO29-BO28</f>
        <v>0.13868278165277759</v>
      </c>
      <c r="BP30" s="138"/>
      <c r="BQ30" s="38">
        <f>BQ29-BQ28</f>
        <v>0.12049629018901187</v>
      </c>
      <c r="BR30" s="38">
        <f>BR29-BR28</f>
        <v>0.150521502217704</v>
      </c>
      <c r="BS30" s="38">
        <f>BS29-BS28</f>
        <v>0.13099619399371143</v>
      </c>
      <c r="BT30" s="38">
        <f>BT29-BT28</f>
        <v>0.13474385607388362</v>
      </c>
      <c r="BU30" s="1098">
        <f>BU29-BU28</f>
        <v>0.13481771054127689</v>
      </c>
      <c r="BV30" s="138"/>
      <c r="BW30" s="787">
        <f>BW29-BW28</f>
        <v>6.6526634242863647E-2</v>
      </c>
      <c r="BX30" s="787">
        <f>BX29-BX28</f>
        <v>5.4798610122452462E-2</v>
      </c>
      <c r="BY30" s="38">
        <f>BY29-BY28</f>
        <v>7.3986541814110129E-2</v>
      </c>
      <c r="BZ30" s="38">
        <f>BZ29-BZ28</f>
        <v>-0.17464829642073865</v>
      </c>
      <c r="CA30" s="1361">
        <f>CA29-CA28</f>
        <v>3.8178201348326724E-3</v>
      </c>
      <c r="CB30" s="138"/>
      <c r="CC30" s="38">
        <f>CC29-CC28</f>
        <v>-0.23690034020305328</v>
      </c>
      <c r="CD30" s="38">
        <f>CD29-CD28</f>
        <v>-0.30029520230372198</v>
      </c>
      <c r="CE30" s="38">
        <f>CE29-CE28</f>
        <v>-0.32279317956763365</v>
      </c>
      <c r="CF30" s="38">
        <f>CF29-CF28</f>
        <v>-0.11</v>
      </c>
      <c r="CG30" s="1540">
        <f>CG29-CG28</f>
        <v>-0.25881146726844706</v>
      </c>
      <c r="CH30" s="138"/>
      <c r="CI30" s="38">
        <f>CI29-CI28</f>
        <v>7.0000000000000007E-2</v>
      </c>
      <c r="CJ30" s="38">
        <f>CJ29-CJ28</f>
        <v>0.12847070920478743</v>
      </c>
      <c r="CK30" s="84">
        <f>CK29-CK28</f>
        <v>0.15634601672113613</v>
      </c>
      <c r="CL30" s="84">
        <f>CL29-CL28</f>
        <v>0.18767790965997966</v>
      </c>
      <c r="CM30" s="1098">
        <f>CM29-CM28</f>
        <v>0.13608704583295217</v>
      </c>
      <c r="CN30" s="138"/>
      <c r="CO30" s="38">
        <f t="shared" ref="CO30:DE30" si="19">CO29-CO28</f>
        <v>0.11273996020222099</v>
      </c>
      <c r="CP30" s="38">
        <f t="shared" si="19"/>
        <v>0.14191155767283581</v>
      </c>
      <c r="CQ30" s="38">
        <f t="shared" si="19"/>
        <v>0.12193270663672817</v>
      </c>
      <c r="CR30" s="38">
        <f t="shared" si="19"/>
        <v>0.12196905094147836</v>
      </c>
      <c r="CS30" s="1098">
        <f t="shared" si="19"/>
        <v>0.12533426357157107</v>
      </c>
      <c r="CT30" s="59"/>
      <c r="CU30" s="38">
        <f t="shared" si="19"/>
        <v>7.2894367756703993E-4</v>
      </c>
      <c r="CV30" s="38">
        <f t="shared" si="19"/>
        <v>-6.054637136752028E-4</v>
      </c>
      <c r="CW30" s="38">
        <f t="shared" si="19"/>
        <v>4.0112158267779918E-4</v>
      </c>
      <c r="CX30" s="38">
        <f t="shared" si="19"/>
        <v>1.1600371900775119E-3</v>
      </c>
      <c r="CY30" s="1098">
        <f t="shared" si="19"/>
        <v>0</v>
      </c>
      <c r="CZ30" s="59"/>
      <c r="DA30" s="38">
        <f t="shared" si="19"/>
        <v>3.8860759493670849E-2</v>
      </c>
      <c r="DB30" s="38">
        <f t="shared" si="19"/>
        <v>0.193321299638989</v>
      </c>
      <c r="DC30" s="38">
        <f t="shared" si="19"/>
        <v>4.9449838187702308E-2</v>
      </c>
      <c r="DD30" s="38">
        <f t="shared" si="19"/>
        <v>4.4526030695155136E-2</v>
      </c>
      <c r="DE30" s="1098">
        <f t="shared" si="19"/>
        <v>3.4619976124153906E-3</v>
      </c>
      <c r="DF30" s="59"/>
      <c r="DG30" s="38">
        <f>DG29-DG28</f>
        <v>0</v>
      </c>
      <c r="DH30" s="38">
        <f>DH29-DH28</f>
        <v>5.1181871459269335E-2</v>
      </c>
      <c r="DI30" s="38">
        <f>DI29-DI28</f>
        <v>8.8796077719266564E-2</v>
      </c>
      <c r="DJ30" s="38">
        <f>DJ29-DJ28</f>
        <v>7.5081699346405961E-3</v>
      </c>
      <c r="DK30" s="1098">
        <f>DK29-DK28</f>
        <v>0</v>
      </c>
      <c r="DL30" s="138"/>
      <c r="DM30" s="38">
        <f>DM29-DM28</f>
        <v>0</v>
      </c>
      <c r="DN30" s="38">
        <f>DN29-DN28</f>
        <v>0</v>
      </c>
      <c r="DO30" s="38">
        <f>DO29-DO28</f>
        <v>0</v>
      </c>
      <c r="DP30" s="38">
        <f>DP29-DP28</f>
        <v>0</v>
      </c>
      <c r="DQ30" s="1098">
        <f>DQ29-DQ28</f>
        <v>0</v>
      </c>
      <c r="DR30" s="59"/>
      <c r="DS30" s="38">
        <f>DS29-DS28</f>
        <v>0</v>
      </c>
      <c r="DT30" s="38">
        <f>DT29-DT28</f>
        <v>0</v>
      </c>
      <c r="DU30" s="38">
        <f>DU29-DU28</f>
        <v>0</v>
      </c>
      <c r="DV30" s="38">
        <f>DV29-DV28</f>
        <v>0</v>
      </c>
      <c r="DW30" s="1098">
        <f>DW29-DW28</f>
        <v>0</v>
      </c>
      <c r="DX30" s="59"/>
      <c r="DY30" s="38">
        <f>DY29-DY28</f>
        <v>0</v>
      </c>
      <c r="DZ30" s="38">
        <f>DZ29-DZ28</f>
        <v>0</v>
      </c>
      <c r="EA30" s="38">
        <f>EA29-EA28</f>
        <v>0</v>
      </c>
      <c r="EB30" s="38">
        <f>EB29-EB28</f>
        <v>0</v>
      </c>
      <c r="EC30" s="1098">
        <f>EC29-EC28</f>
        <v>0</v>
      </c>
      <c r="ED30" s="59"/>
      <c r="EE30" s="38">
        <f>EE29-EE28</f>
        <v>0</v>
      </c>
      <c r="EF30" s="38">
        <f>EF29-EF28</f>
        <v>0</v>
      </c>
      <c r="EG30" s="38">
        <f>EG29-EG28</f>
        <v>0</v>
      </c>
      <c r="EH30" s="38">
        <f>EH29-EH28</f>
        <v>0</v>
      </c>
      <c r="EI30" s="1098">
        <f>EI29-EI28</f>
        <v>0</v>
      </c>
      <c r="EJ30" s="59"/>
      <c r="EK30" s="38">
        <f>EK29-EK28</f>
        <v>0</v>
      </c>
      <c r="EL30" s="38">
        <f>EL29-EL28</f>
        <v>0</v>
      </c>
      <c r="EM30" s="38">
        <f>EM29-EM28</f>
        <v>0</v>
      </c>
      <c r="EN30" s="38">
        <f>EN29-EN28</f>
        <v>0</v>
      </c>
      <c r="EO30" s="1098">
        <f>EO29-EO28</f>
        <v>0</v>
      </c>
      <c r="EP30" s="59"/>
      <c r="EQ30" s="38">
        <f>EQ29-EQ28</f>
        <v>0</v>
      </c>
      <c r="ER30" s="38">
        <f>ER29-ER28</f>
        <v>0</v>
      </c>
      <c r="ES30" s="38">
        <f>ES29-ES28</f>
        <v>0</v>
      </c>
      <c r="ET30" s="38">
        <f>ET29-ET28</f>
        <v>0</v>
      </c>
      <c r="EU30" s="1098">
        <f>EU29-EU28</f>
        <v>0</v>
      </c>
    </row>
    <row r="31" spans="1:151" ht="5.25" hidden="1" customHeight="1" outlineLevel="1">
      <c r="A31" s="19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1"/>
      <c r="AZ31" s="141"/>
      <c r="BA31" s="141"/>
      <c r="BB31" s="141"/>
      <c r="BC31" s="141"/>
      <c r="BD31" s="147"/>
      <c r="BE31" s="141"/>
      <c r="BF31" s="141"/>
      <c r="BG31" s="141"/>
      <c r="BH31" s="141"/>
      <c r="BI31" s="141"/>
      <c r="BJ31" s="147"/>
      <c r="BK31" s="147"/>
      <c r="BL31" s="147"/>
      <c r="BM31" s="147"/>
      <c r="BN31" s="147"/>
      <c r="BO31" s="1096"/>
      <c r="BP31" s="147"/>
      <c r="BQ31" s="147"/>
      <c r="BR31" s="147"/>
      <c r="BS31" s="147"/>
      <c r="BT31" s="147"/>
      <c r="BU31" s="1096"/>
      <c r="BV31" s="147"/>
      <c r="BW31" s="147"/>
      <c r="BX31" s="147"/>
      <c r="BY31" s="147"/>
      <c r="BZ31" s="147"/>
      <c r="CA31" s="1096"/>
      <c r="CB31" s="147"/>
      <c r="CC31" s="147"/>
      <c r="CD31" s="147"/>
      <c r="CE31" s="147"/>
      <c r="CF31" s="147"/>
      <c r="CG31" s="1533"/>
      <c r="CH31" s="147"/>
      <c r="CI31" s="147"/>
      <c r="CJ31" s="147"/>
      <c r="CK31" s="141"/>
      <c r="CL31" s="141"/>
      <c r="CM31" s="1096"/>
      <c r="CN31" s="147"/>
      <c r="CO31" s="147"/>
      <c r="CP31" s="147"/>
      <c r="CQ31" s="147"/>
      <c r="CR31" s="147"/>
      <c r="CS31" s="1096"/>
      <c r="CT31" s="147"/>
      <c r="CU31" s="147"/>
      <c r="CV31" s="147"/>
      <c r="CW31" s="147"/>
      <c r="CX31" s="147"/>
      <c r="CY31" s="1096"/>
      <c r="CZ31" s="147"/>
      <c r="DA31" s="147"/>
      <c r="DB31" s="147"/>
      <c r="DC31" s="147"/>
      <c r="DD31" s="147"/>
      <c r="DE31" s="1096"/>
      <c r="DF31" s="147"/>
      <c r="DG31" s="147"/>
      <c r="DH31" s="147"/>
      <c r="DI31" s="147"/>
      <c r="DJ31" s="147"/>
      <c r="DK31" s="1096"/>
      <c r="DL31" s="147"/>
      <c r="DM31" s="147"/>
      <c r="DN31" s="147"/>
      <c r="DO31" s="147"/>
      <c r="DP31" s="147"/>
      <c r="DQ31" s="1096"/>
      <c r="DR31" s="147"/>
      <c r="DS31" s="147"/>
      <c r="DT31" s="147"/>
      <c r="DU31" s="147"/>
      <c r="DV31" s="147"/>
      <c r="DW31" s="1096"/>
      <c r="DX31" s="147"/>
      <c r="DY31" s="147"/>
      <c r="DZ31" s="147"/>
      <c r="EA31" s="147"/>
      <c r="EB31" s="147"/>
      <c r="EC31" s="1096"/>
      <c r="ED31" s="147"/>
      <c r="EE31" s="147"/>
      <c r="EF31" s="147"/>
      <c r="EG31" s="147"/>
      <c r="EH31" s="147"/>
      <c r="EI31" s="1096"/>
      <c r="EJ31" s="147"/>
      <c r="EK31" s="147"/>
      <c r="EL31" s="147"/>
      <c r="EM31" s="147"/>
      <c r="EN31" s="147"/>
      <c r="EO31" s="1096"/>
      <c r="EP31" s="147"/>
      <c r="EQ31" s="147"/>
      <c r="ER31" s="147"/>
      <c r="ES31" s="147"/>
      <c r="ET31" s="147"/>
      <c r="EU31" s="1096"/>
    </row>
    <row r="32" spans="1:151" hidden="1" outlineLevel="1">
      <c r="A32" s="198" t="s">
        <v>5629</v>
      </c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694"/>
      <c r="AZ32" s="694"/>
      <c r="BA32" s="694"/>
      <c r="BB32" s="694"/>
      <c r="BC32" s="694"/>
      <c r="BD32" s="33"/>
      <c r="BE32" s="694"/>
      <c r="BF32" s="694"/>
      <c r="BG32" s="694"/>
      <c r="BH32" s="694"/>
      <c r="BI32" s="694"/>
      <c r="BJ32" s="33"/>
      <c r="BK32" s="33"/>
      <c r="BL32" s="33"/>
      <c r="BM32" s="33"/>
      <c r="BN32" s="33"/>
      <c r="BO32" s="1097"/>
      <c r="BP32" s="33"/>
      <c r="BQ32" s="33"/>
      <c r="BR32" s="33"/>
      <c r="BS32" s="33"/>
      <c r="BT32" s="33"/>
      <c r="BU32" s="1097"/>
      <c r="BV32" s="33"/>
      <c r="BW32" s="33"/>
      <c r="BX32" s="33"/>
      <c r="BY32" s="33"/>
      <c r="BZ32" s="33"/>
      <c r="CA32" s="1097"/>
      <c r="CB32" s="33"/>
      <c r="CC32" s="33"/>
      <c r="CD32" s="33"/>
      <c r="CE32" s="33"/>
      <c r="CF32" s="33"/>
      <c r="CG32" s="1534"/>
      <c r="CH32" s="33"/>
      <c r="CI32" s="33"/>
      <c r="CJ32" s="33"/>
      <c r="CK32" s="694"/>
      <c r="CL32" s="694"/>
      <c r="CM32" s="1097"/>
      <c r="CN32" s="33"/>
      <c r="CO32" s="33"/>
      <c r="CP32" s="33"/>
      <c r="CQ32" s="33"/>
      <c r="CR32" s="33"/>
      <c r="CS32" s="1097"/>
      <c r="CT32" s="1772"/>
      <c r="CU32" s="33"/>
      <c r="CV32" s="33"/>
      <c r="CW32" s="33"/>
      <c r="CX32" s="33"/>
      <c r="CY32" s="1097"/>
      <c r="CZ32" s="1772"/>
      <c r="DA32" s="33"/>
      <c r="DB32" s="33"/>
      <c r="DC32" s="33"/>
      <c r="DD32" s="33"/>
      <c r="DE32" s="1097"/>
      <c r="DF32" s="1772"/>
      <c r="DG32" s="33"/>
      <c r="DH32" s="33"/>
      <c r="DI32" s="33"/>
      <c r="DJ32" s="33"/>
      <c r="DK32" s="1097"/>
      <c r="DL32" s="33"/>
      <c r="DM32" s="33"/>
      <c r="DN32" s="33"/>
      <c r="DO32" s="33"/>
      <c r="DP32" s="33"/>
      <c r="DQ32" s="1097"/>
      <c r="DS32" s="33"/>
      <c r="DT32" s="33"/>
      <c r="DU32" s="33"/>
      <c r="DV32" s="33"/>
      <c r="DW32" s="1097"/>
      <c r="DY32" s="33"/>
      <c r="DZ32" s="33"/>
      <c r="EA32" s="33"/>
      <c r="EB32" s="33"/>
      <c r="EC32" s="1097"/>
      <c r="EE32" s="33"/>
      <c r="EF32" s="33"/>
      <c r="EG32" s="33"/>
      <c r="EH32" s="33"/>
      <c r="EI32" s="1097"/>
      <c r="EK32" s="33"/>
      <c r="EL32" s="33"/>
      <c r="EM32" s="33"/>
      <c r="EN32" s="33"/>
      <c r="EO32" s="1097"/>
      <c r="EQ32" s="33"/>
      <c r="ER32" s="33"/>
      <c r="ES32" s="33"/>
      <c r="ET32" s="33"/>
      <c r="EU32" s="1097"/>
    </row>
    <row r="33" spans="1:151" hidden="1" outlineLevel="1">
      <c r="A33" s="199" t="s">
        <v>6024</v>
      </c>
      <c r="B33" s="90"/>
      <c r="C33" s="43"/>
      <c r="D33" s="43"/>
      <c r="E33" s="38"/>
      <c r="F33" s="38"/>
      <c r="G33" s="38"/>
      <c r="H33" s="90"/>
      <c r="I33" s="43"/>
      <c r="J33" s="43"/>
      <c r="K33" s="43"/>
      <c r="L33" s="43"/>
      <c r="M33" s="38"/>
      <c r="N33" s="90"/>
      <c r="O33" s="43" t="str">
        <f>IF(ISERROR(O34/I34-1),"nm",O34/I34-1)</f>
        <v>nm</v>
      </c>
      <c r="P33" s="43" t="str">
        <f>IF(ISERROR(P34/J34-1),"nm",P34/J34-1)</f>
        <v>nm</v>
      </c>
      <c r="Q33" s="43" t="str">
        <f>IF(ISERROR(Q34/K34-1),"nm",Q34/K34-1)</f>
        <v>nm</v>
      </c>
      <c r="R33" s="43" t="str">
        <f>IF(ISERROR(R34/L34-1),"nm",R34/L34-1)</f>
        <v>nm</v>
      </c>
      <c r="S33" s="43"/>
      <c r="T33" s="62"/>
      <c r="U33" s="43" t="str">
        <f>IF(ISERROR(U34/O34-1),"nm",U34/O34-1)</f>
        <v>nm</v>
      </c>
      <c r="V33" s="43" t="str">
        <f>IF(ISERROR(V34/P34-1),"nm",V34/P34-1)</f>
        <v>nm</v>
      </c>
      <c r="W33" s="43" t="str">
        <f>IF(ISERROR(W34/Q34-1),"nm",W34/Q34-1)</f>
        <v>nm</v>
      </c>
      <c r="X33" s="43" t="str">
        <f>IF(ISERROR(X34/R34-1),"nm",X34/R34-1)</f>
        <v>nm</v>
      </c>
      <c r="Y33" s="43"/>
      <c r="Z33" s="62"/>
      <c r="AA33" s="43" t="str">
        <f>IF(ISERROR(AA34/U34-1),"nm",AA34/U34-1)</f>
        <v>nm</v>
      </c>
      <c r="AB33" s="43" t="str">
        <f>IF(ISERROR(AB34/V34-1),"nm",AB34/V34-1)</f>
        <v>nm</v>
      </c>
      <c r="AC33" s="43" t="str">
        <f>IF(ISERROR(AC34/W34-1),"nm",AC34/W34-1)</f>
        <v>nm</v>
      </c>
      <c r="AD33" s="43" t="str">
        <f>IF(ISERROR(AD34/X34-1),"nm",AD34/X34-1)</f>
        <v>nm</v>
      </c>
      <c r="AE33" s="43"/>
      <c r="AF33" s="62"/>
      <c r="AG33" s="43" t="str">
        <f>IF(ISERROR(AG34/AA34-1),"nm",AG34/AA34-1)</f>
        <v>nm</v>
      </c>
      <c r="AH33" s="43" t="str">
        <f>IF(ISERROR(AH34/AB34-1),"nm",AH34/AB34-1)</f>
        <v>nm</v>
      </c>
      <c r="AI33" s="43" t="str">
        <f>IF(ISERROR(AI34/AC34-1),"nm",AI34/AC34-1)</f>
        <v>nm</v>
      </c>
      <c r="AJ33" s="43" t="str">
        <f>IF(ISERROR(AJ34/AD34-1),"nm",AJ34/AD34-1)</f>
        <v>nm</v>
      </c>
      <c r="AK33" s="43"/>
      <c r="AL33" s="62"/>
      <c r="AM33" s="84">
        <f>IF(ISERROR(AM34/AG34-1),"nm",AM34/AG34-1)</f>
        <v>-9.7637921641334002E-2</v>
      </c>
      <c r="AN33" s="84">
        <f>IF(ISERROR(AN34/AH34-1),"nm",AN34/AH34-1)</f>
        <v>-0.12212232665849332</v>
      </c>
      <c r="AO33" s="84">
        <f>IF(ISERROR(AO34/AI34-1),"nm",AO34/AI34-1)</f>
        <v>-0.17732386171965531</v>
      </c>
      <c r="AP33" s="84">
        <f>IF(ISERROR(AP34/AJ34-1),"nm",AP34/AJ34-1)</f>
        <v>-0.2771354127646114</v>
      </c>
      <c r="AQ33" s="84" t="str">
        <f>IF(ISERROR(AQ34/AK34-1),"nm",AQ34/AK34-1)</f>
        <v>nm</v>
      </c>
      <c r="AR33" s="116"/>
      <c r="AS33" s="84">
        <f>IF(ISERROR(AS34/AM34-1),"nm",AS34/AM34-1)</f>
        <v>-0.12535101842144669</v>
      </c>
      <c r="AT33" s="84">
        <f>IF(ISERROR(AT34/AN34-1),"nm",AT34/AN34-1)</f>
        <v>-5.1211627485969968E-2</v>
      </c>
      <c r="AU33" s="84">
        <f>IF(ISERROR(AU34/AO34-1),"nm",AU34/AO34-1)</f>
        <v>0.21413077713925754</v>
      </c>
      <c r="AV33" s="84">
        <f>IF(ISERROR(AV34/AP34-1),"nm",AV34/AP34-1)</f>
        <v>0.50925872611905065</v>
      </c>
      <c r="AW33" s="84">
        <f>IF(ISERROR(AW34/AQ34-1),"nm",AW34/AQ34-1)</f>
        <v>0.1172223824478198</v>
      </c>
      <c r="AX33" s="116"/>
      <c r="AY33" s="84">
        <f>IF(ISERROR(AY34/AS34-1),"nm",AY34/AS34-1)</f>
        <v>0.40089147639406897</v>
      </c>
      <c r="AZ33" s="84">
        <f>IF(ISERROR(AZ34/AT34-1),"nm",AZ34/AT34-1)</f>
        <v>0.30946280406031601</v>
      </c>
      <c r="BA33" s="84">
        <f>IF(ISERROR(BA34/AU34-1),"nm",BA34/AU34-1)</f>
        <v>0.25597764105275012</v>
      </c>
      <c r="BB33" s="84">
        <f>IF(ISERROR(BB34/AV34-1),"nm",BB34/AV34-1)</f>
        <v>0.17007923881900955</v>
      </c>
      <c r="BC33" s="84">
        <f>IF(ISERROR(BC34/AW34-1),"nm",BC34/AW34-1)</f>
        <v>0.27315990568123549</v>
      </c>
      <c r="BD33" s="138"/>
      <c r="BE33" s="84">
        <f>IF(ISERROR(BE34/AY34-1),"nm",BE34/AY34-1)</f>
        <v>0.1436210847975552</v>
      </c>
      <c r="BF33" s="84">
        <f>IF(ISERROR(BF34/AZ34-1),"nm",BF34/AZ34-1)</f>
        <v>0.30266444629475431</v>
      </c>
      <c r="BG33" s="84">
        <f>IF(ISERROR(BG34/BA34-1),"nm",BG34/BA34-1)</f>
        <v>0.20303975058456736</v>
      </c>
      <c r="BH33" s="84">
        <f>IF(ISERROR(BH34/BB34-1),"nm",BH34/BB34-1)</f>
        <v>0.11118356700358656</v>
      </c>
      <c r="BI33" s="84">
        <f>IF(ISERROR(BI34/BC34-1),"nm",BI34/BC34-1)</f>
        <v>0.1844550830751901</v>
      </c>
      <c r="BJ33" s="138"/>
      <c r="BK33" s="38">
        <f>BK34/BE34-1</f>
        <v>0.1670006680026721</v>
      </c>
      <c r="BL33" s="38">
        <f>BL34/BF34-1</f>
        <v>0.1041866410993928</v>
      </c>
      <c r="BM33" s="38">
        <f>BM34/BG34-1</f>
        <v>0.12180110139293832</v>
      </c>
      <c r="BN33" s="38">
        <f>BN34/BH34-1</f>
        <v>9.9471830985915499E-2</v>
      </c>
      <c r="BO33" s="1098">
        <f>BO34/BI34-1</f>
        <v>0.12212711998731973</v>
      </c>
      <c r="BP33" s="138"/>
      <c r="BQ33" s="38">
        <f>BQ34/BK34-1</f>
        <v>9.6737263880938729E-2</v>
      </c>
      <c r="BR33" s="38">
        <f>BR34/BL34-1</f>
        <v>0.13921852387843714</v>
      </c>
      <c r="BS33" s="38">
        <f>BS34/BM34-1</f>
        <v>0.14293964770430256</v>
      </c>
      <c r="BT33" s="38">
        <f>BT34/BN34-1</f>
        <v>0.19028556178275968</v>
      </c>
      <c r="BU33" s="1098">
        <f>BU34/BO34-1</f>
        <v>0.14315982767144564</v>
      </c>
      <c r="BV33" s="138"/>
      <c r="BW33" s="38">
        <f>BW34/BQ34-1</f>
        <v>0.12787056367432159</v>
      </c>
      <c r="BX33" s="38">
        <f>BX34/BR34-1</f>
        <v>0.11839430894308944</v>
      </c>
      <c r="BY33" s="38">
        <f>BY34/BS34-1</f>
        <v>6.3668519454269878E-2</v>
      </c>
      <c r="BZ33" s="38">
        <f>BZ34/BT34-1</f>
        <v>-0.30493273542600896</v>
      </c>
      <c r="CA33" s="1098">
        <f>CA34/BU34-1</f>
        <v>-9.3908315828492572E-3</v>
      </c>
      <c r="CB33" s="138"/>
      <c r="CC33" s="38">
        <f>CC34/BW34-1</f>
        <v>-0.43637204997686252</v>
      </c>
      <c r="CD33" s="38">
        <f>CD34/BX34-1</f>
        <v>-0.47523852794184462</v>
      </c>
      <c r="CE33" s="38">
        <f>CE34/BY34-1</f>
        <v>-0.43919239904988128</v>
      </c>
      <c r="CF33" s="38">
        <f>CF34/BZ34-1</f>
        <v>-0.12903225806451613</v>
      </c>
      <c r="CG33" s="1535">
        <f>CG34/CA34-1</f>
        <v>-0.38836223026069605</v>
      </c>
      <c r="CH33" s="138"/>
      <c r="CI33" s="38">
        <f>CI34/CC34-1</f>
        <v>0.14860426929392445</v>
      </c>
      <c r="CJ33" s="38">
        <f>CJ34/CD34-1</f>
        <v>0.21515151515151509</v>
      </c>
      <c r="CK33" s="84">
        <f>CK34/CE34-1</f>
        <v>0.19440914866581949</v>
      </c>
      <c r="CL33" s="84">
        <f>CL34/CF34-1</f>
        <v>0.2207407407407409</v>
      </c>
      <c r="CM33" s="1098">
        <f>CM34/CG34-1</f>
        <v>0.19516671765065752</v>
      </c>
      <c r="CN33" s="138"/>
      <c r="CO33" s="38">
        <f>CO34/CI34-1</f>
        <v>0.15439599714081487</v>
      </c>
      <c r="CP33" s="38">
        <f>CP34/CJ34-1</f>
        <v>0.18631991449946561</v>
      </c>
      <c r="CQ33" s="38">
        <f>CQ34/CK34-1</f>
        <v>0.17517730496453887</v>
      </c>
      <c r="CR33" s="38">
        <f>CR34/CL34-1</f>
        <v>0.1231796116504853</v>
      </c>
      <c r="CS33" s="1098">
        <f>CS34/CM34-1</f>
        <v>0.15826294684753872</v>
      </c>
      <c r="CT33" s="59"/>
      <c r="CU33" s="38">
        <f>CU34/CO34-1</f>
        <v>0</v>
      </c>
      <c r="CV33" s="38">
        <f>CV34/CP34-1</f>
        <v>0</v>
      </c>
      <c r="CW33" s="38">
        <f>CW34/CQ34-1</f>
        <v>0</v>
      </c>
      <c r="CX33" s="38">
        <f>CX34/CR34-1</f>
        <v>0</v>
      </c>
      <c r="CY33" s="1098">
        <f>CY34/CS34-1</f>
        <v>0</v>
      </c>
      <c r="CZ33" s="59"/>
      <c r="DA33" s="38">
        <f>DA34/CU34-1</f>
        <v>0</v>
      </c>
      <c r="DB33" s="38">
        <f>DB34/CV34-1</f>
        <v>0</v>
      </c>
      <c r="DC33" s="38">
        <f>DC34/CW34-1</f>
        <v>0</v>
      </c>
      <c r="DD33" s="38">
        <f>DD34/CX34-1</f>
        <v>0</v>
      </c>
      <c r="DE33" s="1098">
        <f>DE34/CY34-1</f>
        <v>0</v>
      </c>
      <c r="DF33" s="59"/>
      <c r="DG33" s="38">
        <f>DG34/DA34-1</f>
        <v>0</v>
      </c>
      <c r="DH33" s="38">
        <f>DH34/DB34-1</f>
        <v>0</v>
      </c>
      <c r="DI33" s="38">
        <f>DI34/DC34-1</f>
        <v>0</v>
      </c>
      <c r="DJ33" s="38">
        <f>DJ34/DD34-1</f>
        <v>0</v>
      </c>
      <c r="DK33" s="1098">
        <f>DK34/DE34-1</f>
        <v>0</v>
      </c>
      <c r="DL33" s="138"/>
      <c r="DM33" s="38">
        <f>DM34/DG34-1</f>
        <v>0</v>
      </c>
      <c r="DN33" s="38">
        <f>DN34/DH34-1</f>
        <v>0</v>
      </c>
      <c r="DO33" s="38">
        <f>DO34/DI34-1</f>
        <v>0</v>
      </c>
      <c r="DP33" s="38">
        <f>DP34/DJ34-1</f>
        <v>0</v>
      </c>
      <c r="DQ33" s="1098">
        <f>DQ34/DK34-1</f>
        <v>0</v>
      </c>
      <c r="DR33" s="59"/>
      <c r="DS33" s="38">
        <f>DS34/DM34-1</f>
        <v>0</v>
      </c>
      <c r="DT33" s="38">
        <f>DT34/DN34-1</f>
        <v>0</v>
      </c>
      <c r="DU33" s="38">
        <f>DU34/DO34-1</f>
        <v>0</v>
      </c>
      <c r="DV33" s="38">
        <f>DV34/DP34-1</f>
        <v>0</v>
      </c>
      <c r="DW33" s="1098">
        <f>DW34/DQ34-1</f>
        <v>0</v>
      </c>
      <c r="DX33" s="59"/>
      <c r="DY33" s="38">
        <f>DY34/DS34-1</f>
        <v>0</v>
      </c>
      <c r="DZ33" s="38">
        <f>DZ34/DT34-1</f>
        <v>0</v>
      </c>
      <c r="EA33" s="38">
        <f>EA34/DU34-1</f>
        <v>0</v>
      </c>
      <c r="EB33" s="38">
        <f>EB34/DV34-1</f>
        <v>0</v>
      </c>
      <c r="EC33" s="1098">
        <f>EC34/DW34-1</f>
        <v>0</v>
      </c>
      <c r="ED33" s="59"/>
      <c r="EE33" s="38">
        <f>EE34/DY34-1</f>
        <v>0</v>
      </c>
      <c r="EF33" s="38">
        <f>EF34/DZ34-1</f>
        <v>0</v>
      </c>
      <c r="EG33" s="38">
        <f>EG34/EA34-1</f>
        <v>0</v>
      </c>
      <c r="EH33" s="38">
        <f>EH34/EB34-1</f>
        <v>0</v>
      </c>
      <c r="EI33" s="1098">
        <f>EI34/EC34-1</f>
        <v>0</v>
      </c>
      <c r="EJ33" s="59"/>
      <c r="EK33" s="38">
        <f>EK34/EE34-1</f>
        <v>0</v>
      </c>
      <c r="EL33" s="38">
        <f>EL34/EF34-1</f>
        <v>0</v>
      </c>
      <c r="EM33" s="38">
        <f>EM34/EG34-1</f>
        <v>0</v>
      </c>
      <c r="EN33" s="38">
        <f>EN34/EH34-1</f>
        <v>0</v>
      </c>
      <c r="EO33" s="1098">
        <f>EO34/EI34-1</f>
        <v>0</v>
      </c>
      <c r="EP33" s="59"/>
      <c r="EQ33" s="38">
        <f>EQ34/EK34-1</f>
        <v>0</v>
      </c>
      <c r="ER33" s="38">
        <f>ER34/EL34-1</f>
        <v>0</v>
      </c>
      <c r="ES33" s="38">
        <f>ES34/EM34-1</f>
        <v>0</v>
      </c>
      <c r="ET33" s="38">
        <f>ET34/EN34-1</f>
        <v>0</v>
      </c>
      <c r="EU33" s="1098">
        <f>EU34/EO34-1</f>
        <v>0</v>
      </c>
    </row>
    <row r="34" spans="1:151" hidden="1" outlineLevel="1">
      <c r="A34" s="200" t="s">
        <v>6024</v>
      </c>
      <c r="B34" s="52"/>
      <c r="C34" s="118"/>
      <c r="D34" s="118"/>
      <c r="E34" s="118"/>
      <c r="F34" s="118"/>
      <c r="G34" s="118"/>
      <c r="H34" s="52"/>
      <c r="I34" s="118"/>
      <c r="J34" s="118"/>
      <c r="K34" s="118"/>
      <c r="L34" s="118"/>
      <c r="M34" s="118"/>
      <c r="N34" s="52"/>
      <c r="O34" s="118">
        <f>Model!O10</f>
        <v>0</v>
      </c>
      <c r="P34" s="118">
        <f>Model!P10</f>
        <v>0</v>
      </c>
      <c r="Q34" s="118">
        <f>Model!Q10</f>
        <v>0</v>
      </c>
      <c r="R34" s="118">
        <f>Model!R10</f>
        <v>0</v>
      </c>
      <c r="S34" s="118"/>
      <c r="T34" s="64"/>
      <c r="U34" s="118">
        <f>Model!U10</f>
        <v>0</v>
      </c>
      <c r="V34" s="118">
        <f>Model!V10</f>
        <v>0</v>
      </c>
      <c r="W34" s="118">
        <f>Model!W10</f>
        <v>0</v>
      </c>
      <c r="X34" s="118">
        <f>Model!X10</f>
        <v>0</v>
      </c>
      <c r="Y34" s="118"/>
      <c r="Z34" s="64"/>
      <c r="AA34" s="118">
        <f>Model!AA10</f>
        <v>0</v>
      </c>
      <c r="AB34" s="118">
        <f>Model!AB10</f>
        <v>0</v>
      </c>
      <c r="AC34" s="118">
        <f>Model!AC10</f>
        <v>0</v>
      </c>
      <c r="AD34" s="118">
        <f>Model!AD10</f>
        <v>0</v>
      </c>
      <c r="AE34" s="118"/>
      <c r="AF34" s="64"/>
      <c r="AG34" s="118">
        <f>Model!AG10</f>
        <v>236.78299999999999</v>
      </c>
      <c r="AH34" s="118">
        <f>Model!AH10</f>
        <v>220.23</v>
      </c>
      <c r="AI34" s="118">
        <f>Model!AI10</f>
        <v>204.541</v>
      </c>
      <c r="AJ34" s="118">
        <f>Model!AJ10</f>
        <v>240.25800000000001</v>
      </c>
      <c r="AK34" s="118"/>
      <c r="AL34" s="64"/>
      <c r="AM34" s="118">
        <f>Model!AM10</f>
        <v>213.66399999999999</v>
      </c>
      <c r="AN34" s="118">
        <f>Model!AN10</f>
        <v>193.33500000000001</v>
      </c>
      <c r="AO34" s="118">
        <f>Model!AO10</f>
        <v>168.27099999999999</v>
      </c>
      <c r="AP34" s="118">
        <f>Model!AP10</f>
        <v>173.67400000000001</v>
      </c>
      <c r="AQ34" s="118">
        <f>Model!AQ10</f>
        <v>748.94399999999996</v>
      </c>
      <c r="AR34" s="64"/>
      <c r="AS34" s="118">
        <f>Model!AS10</f>
        <v>186.881</v>
      </c>
      <c r="AT34" s="118">
        <f>Model!AT10</f>
        <v>183.434</v>
      </c>
      <c r="AU34" s="118">
        <f>Model!AU10</f>
        <v>204.303</v>
      </c>
      <c r="AV34" s="118">
        <f>Model!AV10</f>
        <v>262.11900000000003</v>
      </c>
      <c r="AW34" s="118">
        <f>Model!AW10</f>
        <v>836.73699999999997</v>
      </c>
      <c r="AX34" s="64"/>
      <c r="AY34" s="118">
        <f>lrev _1c04</f>
        <v>261.8</v>
      </c>
      <c r="AZ34" s="118">
        <f>lrev _2c04</f>
        <v>240.2</v>
      </c>
      <c r="BA34" s="118">
        <f>lrev _3c04</f>
        <v>256.60000000000002</v>
      </c>
      <c r="BB34" s="118">
        <f>lrev _4c04</f>
        <v>306.7</v>
      </c>
      <c r="BC34" s="119">
        <f>Model!BC10</f>
        <v>1065.3</v>
      </c>
      <c r="BD34" s="98"/>
      <c r="BE34" s="118">
        <f>lrev _1c05</f>
        <v>299.39999999999998</v>
      </c>
      <c r="BF34" s="118">
        <f>lrev _2c05</f>
        <v>312.89999999999998</v>
      </c>
      <c r="BG34" s="118">
        <f>lrev _3c05</f>
        <v>308.7</v>
      </c>
      <c r="BH34" s="118">
        <f>lrev _4c05</f>
        <v>340.8</v>
      </c>
      <c r="BI34" s="119">
        <f>SUM(BE34:BH34)</f>
        <v>1261.8</v>
      </c>
      <c r="BJ34" s="98"/>
      <c r="BK34" s="118">
        <f>lrev _1c06</f>
        <v>349.4</v>
      </c>
      <c r="BL34" s="118">
        <f>lrev _2c06</f>
        <v>345.5</v>
      </c>
      <c r="BM34" s="118">
        <f>lrev _3c06</f>
        <v>346.3</v>
      </c>
      <c r="BN34" s="118">
        <f>lrev _4c06</f>
        <v>374.7</v>
      </c>
      <c r="BO34" s="1099">
        <f>SUM(BK34:BN34)</f>
        <v>1415.9</v>
      </c>
      <c r="BP34" s="98"/>
      <c r="BQ34" s="118">
        <f>lrev _1c07</f>
        <v>383.2</v>
      </c>
      <c r="BR34" s="118">
        <f>lrev _2c07</f>
        <v>393.6</v>
      </c>
      <c r="BS34" s="118">
        <f>lrev _3c07</f>
        <v>395.8</v>
      </c>
      <c r="BT34" s="118">
        <f>lrev _4c07</f>
        <v>446</v>
      </c>
      <c r="BU34" s="1099">
        <f>SUM(BQ34:BT34)</f>
        <v>1618.6</v>
      </c>
      <c r="BV34" s="98"/>
      <c r="BW34" s="118">
        <f>lrev _1c08</f>
        <v>432.2</v>
      </c>
      <c r="BX34" s="118">
        <f>lrev _2c08</f>
        <v>440.2</v>
      </c>
      <c r="BY34" s="118">
        <f>lrev _3c08</f>
        <v>421</v>
      </c>
      <c r="BZ34" s="118">
        <f>lrev _4c08</f>
        <v>310</v>
      </c>
      <c r="CA34" s="1099">
        <f>SUM(BW34:BZ34)</f>
        <v>1603.4</v>
      </c>
      <c r="CB34" s="98"/>
      <c r="CC34" s="118">
        <f>lrev _1c09</f>
        <v>243.6</v>
      </c>
      <c r="CD34" s="118">
        <f>lrev _2c09</f>
        <v>231</v>
      </c>
      <c r="CE34" s="118">
        <f>lrev _3c09</f>
        <v>236.1</v>
      </c>
      <c r="CF34" s="118">
        <f>lrev _4c09</f>
        <v>270</v>
      </c>
      <c r="CG34" s="1536">
        <f>SUM(CC34:CF34)</f>
        <v>980.7</v>
      </c>
      <c r="CH34" s="98"/>
      <c r="CI34" s="118">
        <f>lrev _1c10</f>
        <v>279.8</v>
      </c>
      <c r="CJ34" s="118">
        <f>lrev _2c10</f>
        <v>280.7</v>
      </c>
      <c r="CK34" s="119">
        <f>lrev _3c10</f>
        <v>282</v>
      </c>
      <c r="CL34" s="119">
        <f>lrev _4c10</f>
        <v>329.6</v>
      </c>
      <c r="CM34" s="1099">
        <f>SUM(CI34:CL34)</f>
        <v>1172.0999999999999</v>
      </c>
      <c r="CN34" s="98"/>
      <c r="CO34" s="118">
        <f>lrev _1c11</f>
        <v>323</v>
      </c>
      <c r="CP34" s="118">
        <f>lrev _2c11</f>
        <v>333</v>
      </c>
      <c r="CQ34" s="118">
        <f>lrev _3c11</f>
        <v>331.4</v>
      </c>
      <c r="CR34" s="118">
        <f>lrev _4c11</f>
        <v>370.2</v>
      </c>
      <c r="CS34" s="1099">
        <f>SUM(CO34:CR34)</f>
        <v>1357.6</v>
      </c>
      <c r="CT34" s="1773"/>
      <c r="CU34" s="118">
        <f>lrev _1c11</f>
        <v>323</v>
      </c>
      <c r="CV34" s="118">
        <f>lrev _2c11</f>
        <v>333</v>
      </c>
      <c r="CW34" s="118">
        <f>lrev _3c11</f>
        <v>331.4</v>
      </c>
      <c r="CX34" s="118">
        <f>lrev _4c11</f>
        <v>370.2</v>
      </c>
      <c r="CY34" s="1099">
        <f>SUM(CU34:CX34)</f>
        <v>1357.6</v>
      </c>
      <c r="CZ34" s="1773"/>
      <c r="DA34" s="118">
        <f>lrev _1c11</f>
        <v>323</v>
      </c>
      <c r="DB34" s="118">
        <f>lrev _2c11</f>
        <v>333</v>
      </c>
      <c r="DC34" s="118">
        <f>lrev _3c11</f>
        <v>331.4</v>
      </c>
      <c r="DD34" s="118">
        <f>lrev _4c11</f>
        <v>370.2</v>
      </c>
      <c r="DE34" s="1099">
        <f>SUM(DA34:DD34)</f>
        <v>1357.6</v>
      </c>
      <c r="DF34" s="1773"/>
      <c r="DG34" s="118">
        <f>lrev _1c11</f>
        <v>323</v>
      </c>
      <c r="DH34" s="118">
        <f>lrev _2c11</f>
        <v>333</v>
      </c>
      <c r="DI34" s="118">
        <f>lrev _3c11</f>
        <v>331.4</v>
      </c>
      <c r="DJ34" s="118">
        <f>lrev _4c11</f>
        <v>370.2</v>
      </c>
      <c r="DK34" s="1099">
        <f>SUM(DG34:DJ34)</f>
        <v>1357.6</v>
      </c>
      <c r="DL34" s="98"/>
      <c r="DM34" s="118">
        <f>lrev _1c11</f>
        <v>323</v>
      </c>
      <c r="DN34" s="118">
        <f>lrev _2c11</f>
        <v>333</v>
      </c>
      <c r="DO34" s="118">
        <f>lrev _3c11</f>
        <v>331.4</v>
      </c>
      <c r="DP34" s="118">
        <f>lrev _4c11</f>
        <v>370.2</v>
      </c>
      <c r="DQ34" s="1099">
        <f>SUM(DM34:DP34)</f>
        <v>1357.6</v>
      </c>
      <c r="DS34" s="118">
        <f>lrev _1c11</f>
        <v>323</v>
      </c>
      <c r="DT34" s="118">
        <f>lrev _2c11</f>
        <v>333</v>
      </c>
      <c r="DU34" s="118">
        <f>lrev _3c11</f>
        <v>331.4</v>
      </c>
      <c r="DV34" s="118">
        <f>lrev _4c11</f>
        <v>370.2</v>
      </c>
      <c r="DW34" s="1099">
        <f>SUM(DS34:DV34)</f>
        <v>1357.6</v>
      </c>
      <c r="DY34" s="118">
        <f>lrev _1c11</f>
        <v>323</v>
      </c>
      <c r="DZ34" s="118">
        <f>lrev _2c11</f>
        <v>333</v>
      </c>
      <c r="EA34" s="118">
        <f>lrev _3c11</f>
        <v>331.4</v>
      </c>
      <c r="EB34" s="118">
        <f>lrev _4c11</f>
        <v>370.2</v>
      </c>
      <c r="EC34" s="1099">
        <f>SUM(DY34:EB34)</f>
        <v>1357.6</v>
      </c>
      <c r="EE34" s="118">
        <f>lrev _1c11</f>
        <v>323</v>
      </c>
      <c r="EF34" s="118">
        <f>lrev _2c11</f>
        <v>333</v>
      </c>
      <c r="EG34" s="118">
        <f>lrev _3c11</f>
        <v>331.4</v>
      </c>
      <c r="EH34" s="118">
        <f>lrev _4c11</f>
        <v>370.2</v>
      </c>
      <c r="EI34" s="1099">
        <f>SUM(EE34:EH34)</f>
        <v>1357.6</v>
      </c>
      <c r="EK34" s="118">
        <f>lrev _1c11</f>
        <v>323</v>
      </c>
      <c r="EL34" s="118">
        <f>lrev _2c11</f>
        <v>333</v>
      </c>
      <c r="EM34" s="118">
        <f>lrev _3c11</f>
        <v>331.4</v>
      </c>
      <c r="EN34" s="118">
        <f>lrev _4c11</f>
        <v>370.2</v>
      </c>
      <c r="EO34" s="1099">
        <f>SUM(EK34:EN34)</f>
        <v>1357.6</v>
      </c>
      <c r="EQ34" s="118">
        <f>lrev _1c11</f>
        <v>323</v>
      </c>
      <c r="ER34" s="118">
        <f>lrev _2c11</f>
        <v>333</v>
      </c>
      <c r="ES34" s="118">
        <f>lrev _3c11</f>
        <v>331.4</v>
      </c>
      <c r="ET34" s="118">
        <f>lrev _4c11</f>
        <v>370.2</v>
      </c>
      <c r="EU34" s="1099">
        <f>SUM(EQ34:ET34)</f>
        <v>1357.6</v>
      </c>
    </row>
    <row r="35" spans="1:151" hidden="1" outlineLevel="1">
      <c r="A35" s="201" t="s">
        <v>4581</v>
      </c>
      <c r="B35" s="104"/>
      <c r="C35" s="94"/>
      <c r="D35" s="94"/>
      <c r="E35" s="94"/>
      <c r="F35" s="94"/>
      <c r="G35" s="94"/>
      <c r="H35" s="104"/>
      <c r="I35" s="94"/>
      <c r="J35" s="94"/>
      <c r="K35" s="94"/>
      <c r="L35" s="94"/>
      <c r="M35" s="94"/>
      <c r="N35" s="104"/>
      <c r="O35" s="94">
        <v>0</v>
      </c>
      <c r="P35" s="94">
        <v>0</v>
      </c>
      <c r="Q35" s="94">
        <v>0</v>
      </c>
      <c r="R35" s="94">
        <v>0</v>
      </c>
      <c r="S35" s="94"/>
      <c r="T35" s="62"/>
      <c r="U35" s="94">
        <v>0</v>
      </c>
      <c r="V35" s="94">
        <v>0</v>
      </c>
      <c r="W35" s="94">
        <v>0</v>
      </c>
      <c r="X35" s="94">
        <v>0</v>
      </c>
      <c r="Y35" s="94"/>
      <c r="Z35" s="62"/>
      <c r="AA35" s="94">
        <v>0</v>
      </c>
      <c r="AB35" s="94">
        <v>0</v>
      </c>
      <c r="AC35" s="94">
        <v>0</v>
      </c>
      <c r="AD35" s="94">
        <v>0</v>
      </c>
      <c r="AE35" s="94"/>
      <c r="AF35" s="62"/>
      <c r="AG35" s="94">
        <v>0</v>
      </c>
      <c r="AH35" s="94">
        <v>0</v>
      </c>
      <c r="AI35" s="94">
        <v>0</v>
      </c>
      <c r="AJ35" s="94">
        <v>0</v>
      </c>
      <c r="AK35" s="94"/>
      <c r="AL35" s="62"/>
      <c r="AM35" s="94">
        <v>0</v>
      </c>
      <c r="AN35" s="94">
        <v>0</v>
      </c>
      <c r="AO35" s="94">
        <v>0</v>
      </c>
      <c r="AP35" s="94">
        <v>0</v>
      </c>
      <c r="AQ35" s="94">
        <f>SUM(AM35:AP35)</f>
        <v>0</v>
      </c>
      <c r="AR35" s="62"/>
      <c r="AS35" s="94">
        <v>0</v>
      </c>
      <c r="AT35" s="94">
        <v>0</v>
      </c>
      <c r="AU35" s="94">
        <v>0</v>
      </c>
      <c r="AV35" s="94">
        <v>0</v>
      </c>
      <c r="AW35" s="94">
        <f>SUM(AS35:AV35)</f>
        <v>0</v>
      </c>
      <c r="AX35" s="62"/>
      <c r="AY35" s="94">
        <v>0</v>
      </c>
      <c r="AZ35" s="94">
        <v>0</v>
      </c>
      <c r="BA35" s="94">
        <v>0</v>
      </c>
      <c r="BB35" s="94">
        <v>0</v>
      </c>
      <c r="BC35" s="94">
        <f>SUM(AY35:BB35)</f>
        <v>0</v>
      </c>
      <c r="BD35" s="148"/>
      <c r="BE35" s="94">
        <v>0</v>
      </c>
      <c r="BF35" s="94">
        <v>0</v>
      </c>
      <c r="BG35" s="94">
        <v>0</v>
      </c>
      <c r="BH35" s="94">
        <v>0</v>
      </c>
      <c r="BI35" s="94">
        <f>SUM(BE35:BH35)</f>
        <v>0</v>
      </c>
      <c r="BJ35" s="148"/>
      <c r="BK35" s="94">
        <v>0</v>
      </c>
      <c r="BL35" s="94">
        <v>0</v>
      </c>
      <c r="BM35" s="94">
        <v>0</v>
      </c>
      <c r="BN35" s="94">
        <v>0</v>
      </c>
      <c r="BO35" s="1100">
        <f>SUM(BK35:BN35)</f>
        <v>0</v>
      </c>
      <c r="BP35" s="148"/>
      <c r="BQ35" s="94">
        <v>0</v>
      </c>
      <c r="BR35" s="94">
        <v>0</v>
      </c>
      <c r="BS35" s="94">
        <v>0</v>
      </c>
      <c r="BT35" s="94">
        <v>0</v>
      </c>
      <c r="BU35" s="1100">
        <f>SUM(BQ35:BT35)</f>
        <v>0</v>
      </c>
      <c r="BV35" s="148"/>
      <c r="BW35" s="94">
        <v>0</v>
      </c>
      <c r="BX35" s="94">
        <v>0</v>
      </c>
      <c r="BY35" s="94">
        <v>0</v>
      </c>
      <c r="BZ35" s="94">
        <v>0</v>
      </c>
      <c r="CA35" s="1100">
        <f>SUM(BW35:BZ35)</f>
        <v>0</v>
      </c>
      <c r="CB35" s="148"/>
      <c r="CC35" s="94">
        <v>0</v>
      </c>
      <c r="CD35" s="94">
        <v>0</v>
      </c>
      <c r="CE35" s="94">
        <v>0</v>
      </c>
      <c r="CF35" s="94">
        <v>0</v>
      </c>
      <c r="CG35" s="1537">
        <f>SUM(CC35:CF35)</f>
        <v>0</v>
      </c>
      <c r="CH35" s="148"/>
      <c r="CI35" s="94">
        <v>0</v>
      </c>
      <c r="CJ35" s="94">
        <v>0</v>
      </c>
      <c r="CK35" s="94">
        <v>0</v>
      </c>
      <c r="CL35" s="94">
        <v>0</v>
      </c>
      <c r="CM35" s="1100">
        <f>SUM(CI35:CL35)</f>
        <v>0</v>
      </c>
      <c r="CN35" s="148"/>
      <c r="CO35" s="94">
        <v>0</v>
      </c>
      <c r="CP35" s="94">
        <v>0</v>
      </c>
      <c r="CQ35" s="94">
        <v>0</v>
      </c>
      <c r="CR35" s="94">
        <v>0</v>
      </c>
      <c r="CS35" s="1100">
        <f>SUM(CO35:CR35)</f>
        <v>0</v>
      </c>
      <c r="CT35" s="95"/>
      <c r="CU35" s="94">
        <v>0</v>
      </c>
      <c r="CV35" s="94">
        <v>0</v>
      </c>
      <c r="CW35" s="94">
        <v>0</v>
      </c>
      <c r="CX35" s="94">
        <v>0</v>
      </c>
      <c r="CY35" s="1100">
        <f>SUM(CU35:CX35)</f>
        <v>0</v>
      </c>
      <c r="CZ35" s="95"/>
      <c r="DA35" s="94">
        <v>0</v>
      </c>
      <c r="DB35" s="94">
        <v>0</v>
      </c>
      <c r="DC35" s="94">
        <v>0</v>
      </c>
      <c r="DD35" s="94">
        <v>0</v>
      </c>
      <c r="DE35" s="1100">
        <f>SUM(DA35:DD35)</f>
        <v>0</v>
      </c>
      <c r="DF35" s="95"/>
      <c r="DG35" s="94">
        <v>0</v>
      </c>
      <c r="DH35" s="94">
        <v>0</v>
      </c>
      <c r="DI35" s="94">
        <v>0</v>
      </c>
      <c r="DJ35" s="94">
        <v>0</v>
      </c>
      <c r="DK35" s="1100">
        <f>SUM(DG35:DJ35)</f>
        <v>0</v>
      </c>
      <c r="DL35" s="148"/>
      <c r="DM35" s="94">
        <v>0</v>
      </c>
      <c r="DN35" s="94">
        <v>0</v>
      </c>
      <c r="DO35" s="94">
        <v>0</v>
      </c>
      <c r="DP35" s="94">
        <v>0</v>
      </c>
      <c r="DQ35" s="1100">
        <f>SUM(DM35:DP35)</f>
        <v>0</v>
      </c>
      <c r="DR35" s="95"/>
      <c r="DS35" s="94">
        <v>0</v>
      </c>
      <c r="DT35" s="94">
        <v>0</v>
      </c>
      <c r="DU35" s="94">
        <v>0</v>
      </c>
      <c r="DV35" s="94">
        <v>0</v>
      </c>
      <c r="DW35" s="1100">
        <f>SUM(DS35:DV35)</f>
        <v>0</v>
      </c>
      <c r="DX35" s="95"/>
      <c r="DY35" s="94">
        <v>0</v>
      </c>
      <c r="DZ35" s="94">
        <v>0</v>
      </c>
      <c r="EA35" s="94">
        <v>0</v>
      </c>
      <c r="EB35" s="94">
        <v>0</v>
      </c>
      <c r="EC35" s="1100">
        <f>SUM(DY35:EB35)</f>
        <v>0</v>
      </c>
      <c r="ED35" s="95"/>
      <c r="EE35" s="94">
        <v>0</v>
      </c>
      <c r="EF35" s="94">
        <v>0</v>
      </c>
      <c r="EG35" s="94">
        <v>0</v>
      </c>
      <c r="EH35" s="94">
        <v>0</v>
      </c>
      <c r="EI35" s="1100">
        <f>SUM(EE35:EH35)</f>
        <v>0</v>
      </c>
      <c r="EJ35" s="95"/>
      <c r="EK35" s="94">
        <v>0</v>
      </c>
      <c r="EL35" s="94">
        <v>0</v>
      </c>
      <c r="EM35" s="94">
        <v>0</v>
      </c>
      <c r="EN35" s="94">
        <v>0</v>
      </c>
      <c r="EO35" s="1100">
        <f>SUM(EK35:EN35)</f>
        <v>0</v>
      </c>
      <c r="EP35" s="95"/>
      <c r="EQ35" s="94">
        <v>0</v>
      </c>
      <c r="ER35" s="94">
        <v>0</v>
      </c>
      <c r="ES35" s="94">
        <v>0</v>
      </c>
      <c r="ET35" s="94">
        <v>0</v>
      </c>
      <c r="EU35" s="1100">
        <f>SUM(EQ35:ET35)</f>
        <v>0</v>
      </c>
    </row>
    <row r="36" spans="1:151" hidden="1" outlineLevel="1">
      <c r="A36" s="200" t="s">
        <v>4576</v>
      </c>
      <c r="B36" s="52"/>
      <c r="C36" s="118"/>
      <c r="D36" s="118"/>
      <c r="E36" s="118"/>
      <c r="F36" s="118"/>
      <c r="G36" s="118"/>
      <c r="H36" s="52"/>
      <c r="I36" s="118"/>
      <c r="J36" s="118"/>
      <c r="K36" s="118"/>
      <c r="L36" s="118"/>
      <c r="M36" s="118"/>
      <c r="N36" s="52"/>
      <c r="O36" s="118">
        <f>O34-O35</f>
        <v>0</v>
      </c>
      <c r="P36" s="118">
        <f>P34-P35</f>
        <v>0</v>
      </c>
      <c r="Q36" s="118">
        <f>Q34-Q35</f>
        <v>0</v>
      </c>
      <c r="R36" s="118">
        <f>R34-R35</f>
        <v>0</v>
      </c>
      <c r="S36" s="118"/>
      <c r="T36" s="64"/>
      <c r="U36" s="118">
        <f>U34-U35</f>
        <v>0</v>
      </c>
      <c r="V36" s="118">
        <f>V34-V35</f>
        <v>0</v>
      </c>
      <c r="W36" s="118">
        <f>W34-W35</f>
        <v>0</v>
      </c>
      <c r="X36" s="118">
        <f>X34-X35</f>
        <v>0</v>
      </c>
      <c r="Y36" s="118"/>
      <c r="Z36" s="64"/>
      <c r="AA36" s="118">
        <f>AA34-AA35</f>
        <v>0</v>
      </c>
      <c r="AB36" s="118">
        <f>AB34-AB35</f>
        <v>0</v>
      </c>
      <c r="AC36" s="118">
        <f>AC34-AC35</f>
        <v>0</v>
      </c>
      <c r="AD36" s="118">
        <f>AD34-AD35</f>
        <v>0</v>
      </c>
      <c r="AE36" s="118"/>
      <c r="AF36" s="64"/>
      <c r="AG36" s="118">
        <f>AG34-AG35</f>
        <v>236.78299999999999</v>
      </c>
      <c r="AH36" s="118">
        <f>AH34-AH35</f>
        <v>220.23</v>
      </c>
      <c r="AI36" s="118">
        <f>AI34-AI35</f>
        <v>204.541</v>
      </c>
      <c r="AJ36" s="118">
        <f>AJ34-AJ35</f>
        <v>240.25800000000001</v>
      </c>
      <c r="AK36" s="118"/>
      <c r="AL36" s="64"/>
      <c r="AM36" s="118">
        <f>AM34-AM35</f>
        <v>213.66399999999999</v>
      </c>
      <c r="AN36" s="118">
        <f>AN34-AN35</f>
        <v>193.33500000000001</v>
      </c>
      <c r="AO36" s="118">
        <f>AO34-AO35</f>
        <v>168.27099999999999</v>
      </c>
      <c r="AP36" s="118">
        <f>AP34-AP35</f>
        <v>173.67400000000001</v>
      </c>
      <c r="AQ36" s="118">
        <f>AQ34-AQ35</f>
        <v>748.94399999999996</v>
      </c>
      <c r="AR36" s="64"/>
      <c r="AS36" s="118">
        <f>AS34-AS35</f>
        <v>186.881</v>
      </c>
      <c r="AT36" s="118">
        <f>AT34-AT35</f>
        <v>183.434</v>
      </c>
      <c r="AU36" s="118">
        <f>AU34-AU35</f>
        <v>204.303</v>
      </c>
      <c r="AV36" s="118">
        <f>AV34-AV35</f>
        <v>262.11900000000003</v>
      </c>
      <c r="AW36" s="118">
        <f>AW34-AW35</f>
        <v>836.73699999999997</v>
      </c>
      <c r="AX36" s="64"/>
      <c r="AY36" s="119">
        <f>AY34-AY35</f>
        <v>261.8</v>
      </c>
      <c r="AZ36" s="119">
        <f>AZ34-AZ35</f>
        <v>240.2</v>
      </c>
      <c r="BA36" s="119">
        <f>BA34-BA35</f>
        <v>256.60000000000002</v>
      </c>
      <c r="BB36" s="119">
        <f>BB34-BB35</f>
        <v>306.7</v>
      </c>
      <c r="BC36" s="119">
        <f>BC34-BC35</f>
        <v>1065.3</v>
      </c>
      <c r="BD36" s="98"/>
      <c r="BE36" s="119">
        <f>BE34-BE35</f>
        <v>299.39999999999998</v>
      </c>
      <c r="BF36" s="119">
        <f>BF34-BF35</f>
        <v>312.89999999999998</v>
      </c>
      <c r="BG36" s="119">
        <f>BG34-BG35</f>
        <v>308.7</v>
      </c>
      <c r="BH36" s="119">
        <f>BH34-BH35</f>
        <v>340.8</v>
      </c>
      <c r="BI36" s="119">
        <f>BI34-BI35</f>
        <v>1261.8</v>
      </c>
      <c r="BJ36" s="98"/>
      <c r="BK36" s="118">
        <f>BK34-BK35</f>
        <v>349.4</v>
      </c>
      <c r="BL36" s="118">
        <f>BL34-BL35</f>
        <v>345.5</v>
      </c>
      <c r="BM36" s="118">
        <f>BM34-BM35</f>
        <v>346.3</v>
      </c>
      <c r="BN36" s="118">
        <f>BN34-BN35</f>
        <v>374.7</v>
      </c>
      <c r="BO36" s="1099">
        <f>BO34-BO35</f>
        <v>1415.9</v>
      </c>
      <c r="BP36" s="98"/>
      <c r="BQ36" s="118">
        <f>BQ34-BQ35</f>
        <v>383.2</v>
      </c>
      <c r="BR36" s="118">
        <f>BR34-BR35</f>
        <v>393.6</v>
      </c>
      <c r="BS36" s="118">
        <f>BS34-BS35</f>
        <v>395.8</v>
      </c>
      <c r="BT36" s="118">
        <f>BT34-BT35</f>
        <v>446</v>
      </c>
      <c r="BU36" s="1099">
        <f>BU34-BU35</f>
        <v>1618.6</v>
      </c>
      <c r="BV36" s="98"/>
      <c r="BW36" s="118">
        <f>BW34-BW35</f>
        <v>432.2</v>
      </c>
      <c r="BX36" s="118">
        <f>BX34-BX35</f>
        <v>440.2</v>
      </c>
      <c r="BY36" s="118">
        <f>BY34-BY35</f>
        <v>421</v>
      </c>
      <c r="BZ36" s="118">
        <f>BZ34-BZ35</f>
        <v>310</v>
      </c>
      <c r="CA36" s="1099">
        <f>CA34-CA35</f>
        <v>1603.4</v>
      </c>
      <c r="CB36" s="98"/>
      <c r="CC36" s="118">
        <f>CC34-CC35</f>
        <v>243.6</v>
      </c>
      <c r="CD36" s="118">
        <f>CD34-CD35</f>
        <v>231</v>
      </c>
      <c r="CE36" s="118">
        <f>CE34-CE35</f>
        <v>236.1</v>
      </c>
      <c r="CF36" s="118">
        <f>CF34-CF35</f>
        <v>270</v>
      </c>
      <c r="CG36" s="1536">
        <f>CG34-CG35</f>
        <v>980.7</v>
      </c>
      <c r="CH36" s="98"/>
      <c r="CI36" s="118">
        <f>CI34-CI35</f>
        <v>279.8</v>
      </c>
      <c r="CJ36" s="118">
        <f>CJ34-CJ35</f>
        <v>280.7</v>
      </c>
      <c r="CK36" s="119">
        <f>CK34-CK35</f>
        <v>282</v>
      </c>
      <c r="CL36" s="119">
        <f>CL34-CL35</f>
        <v>329.6</v>
      </c>
      <c r="CM36" s="1099">
        <f>CM34-CM35</f>
        <v>1172.0999999999999</v>
      </c>
      <c r="CN36" s="98"/>
      <c r="CO36" s="118">
        <f t="shared" ref="CO36:DE36" si="20">CO34-CO35</f>
        <v>323</v>
      </c>
      <c r="CP36" s="118">
        <f t="shared" si="20"/>
        <v>333</v>
      </c>
      <c r="CQ36" s="118">
        <f t="shared" si="20"/>
        <v>331.4</v>
      </c>
      <c r="CR36" s="118">
        <f t="shared" si="20"/>
        <v>370.2</v>
      </c>
      <c r="CS36" s="1099">
        <f t="shared" si="20"/>
        <v>1357.6</v>
      </c>
      <c r="CT36" s="1773"/>
      <c r="CU36" s="118">
        <f t="shared" si="20"/>
        <v>323</v>
      </c>
      <c r="CV36" s="118">
        <f t="shared" si="20"/>
        <v>333</v>
      </c>
      <c r="CW36" s="118">
        <f t="shared" si="20"/>
        <v>331.4</v>
      </c>
      <c r="CX36" s="118">
        <f t="shared" si="20"/>
        <v>370.2</v>
      </c>
      <c r="CY36" s="1099">
        <f t="shared" si="20"/>
        <v>1357.6</v>
      </c>
      <c r="CZ36" s="1773"/>
      <c r="DA36" s="118">
        <f t="shared" si="20"/>
        <v>323</v>
      </c>
      <c r="DB36" s="118">
        <f t="shared" si="20"/>
        <v>333</v>
      </c>
      <c r="DC36" s="118">
        <f t="shared" si="20"/>
        <v>331.4</v>
      </c>
      <c r="DD36" s="118">
        <f t="shared" si="20"/>
        <v>370.2</v>
      </c>
      <c r="DE36" s="1099">
        <f t="shared" si="20"/>
        <v>1357.6</v>
      </c>
      <c r="DF36" s="1773"/>
      <c r="DG36" s="118">
        <f>DG34-DG35</f>
        <v>323</v>
      </c>
      <c r="DH36" s="118">
        <f>DH34-DH35</f>
        <v>333</v>
      </c>
      <c r="DI36" s="118">
        <f>DI34-DI35</f>
        <v>331.4</v>
      </c>
      <c r="DJ36" s="118">
        <f>DJ34-DJ35</f>
        <v>370.2</v>
      </c>
      <c r="DK36" s="1099">
        <f>DK34-DK35</f>
        <v>1357.6</v>
      </c>
      <c r="DL36" s="98"/>
      <c r="DM36" s="118">
        <f>DM34-DM35</f>
        <v>323</v>
      </c>
      <c r="DN36" s="118">
        <f>DN34-DN35</f>
        <v>333</v>
      </c>
      <c r="DO36" s="118">
        <f>DO34-DO35</f>
        <v>331.4</v>
      </c>
      <c r="DP36" s="118">
        <f>DP34-DP35</f>
        <v>370.2</v>
      </c>
      <c r="DQ36" s="1099">
        <f>DQ34-DQ35</f>
        <v>1357.6</v>
      </c>
      <c r="DS36" s="118">
        <f>DS34-DS35</f>
        <v>323</v>
      </c>
      <c r="DT36" s="118">
        <f>DT34-DT35</f>
        <v>333</v>
      </c>
      <c r="DU36" s="118">
        <f>DU34-DU35</f>
        <v>331.4</v>
      </c>
      <c r="DV36" s="118">
        <f>DV34-DV35</f>
        <v>370.2</v>
      </c>
      <c r="DW36" s="1099">
        <f>DW34-DW35</f>
        <v>1357.6</v>
      </c>
      <c r="DY36" s="118">
        <f>DY34-DY35</f>
        <v>323</v>
      </c>
      <c r="DZ36" s="118">
        <f>DZ34-DZ35</f>
        <v>333</v>
      </c>
      <c r="EA36" s="118">
        <f>EA34-EA35</f>
        <v>331.4</v>
      </c>
      <c r="EB36" s="118">
        <f>EB34-EB35</f>
        <v>370.2</v>
      </c>
      <c r="EC36" s="1099">
        <f>EC34-EC35</f>
        <v>1357.6</v>
      </c>
      <c r="EE36" s="118">
        <f>EE34-EE35</f>
        <v>323</v>
      </c>
      <c r="EF36" s="118">
        <f>EF34-EF35</f>
        <v>333</v>
      </c>
      <c r="EG36" s="118">
        <f>EG34-EG35</f>
        <v>331.4</v>
      </c>
      <c r="EH36" s="118">
        <f>EH34-EH35</f>
        <v>370.2</v>
      </c>
      <c r="EI36" s="1099">
        <f>EI34-EI35</f>
        <v>1357.6</v>
      </c>
      <c r="EK36" s="118">
        <f>EK34-EK35</f>
        <v>323</v>
      </c>
      <c r="EL36" s="118">
        <f>EL34-EL35</f>
        <v>333</v>
      </c>
      <c r="EM36" s="118">
        <f>EM34-EM35</f>
        <v>331.4</v>
      </c>
      <c r="EN36" s="118">
        <f>EN34-EN35</f>
        <v>370.2</v>
      </c>
      <c r="EO36" s="1099">
        <f>EO34-EO35</f>
        <v>1357.6</v>
      </c>
      <c r="EQ36" s="118">
        <f>EQ34-EQ35</f>
        <v>323</v>
      </c>
      <c r="ER36" s="118">
        <f>ER34-ER35</f>
        <v>333</v>
      </c>
      <c r="ES36" s="118">
        <f>ES34-ES35</f>
        <v>331.4</v>
      </c>
      <c r="ET36" s="118">
        <f>ET34-ET35</f>
        <v>370.2</v>
      </c>
      <c r="EU36" s="1099">
        <f>EU34-EU35</f>
        <v>1357.6</v>
      </c>
    </row>
    <row r="37" spans="1:151" hidden="1" outlineLevel="1">
      <c r="A37" s="201" t="s">
        <v>3791</v>
      </c>
      <c r="B37" s="90"/>
      <c r="C37" s="93"/>
      <c r="D37" s="93"/>
      <c r="E37" s="93"/>
      <c r="F37" s="93"/>
      <c r="G37" s="93"/>
      <c r="H37" s="90"/>
      <c r="I37" s="93"/>
      <c r="J37" s="93"/>
      <c r="K37" s="93"/>
      <c r="L37" s="93"/>
      <c r="M37" s="93"/>
      <c r="N37" s="90"/>
      <c r="O37" s="93"/>
      <c r="P37" s="93"/>
      <c r="Q37" s="93"/>
      <c r="R37" s="93"/>
      <c r="S37" s="93"/>
      <c r="T37" s="61"/>
      <c r="U37" s="93"/>
      <c r="V37" s="93"/>
      <c r="W37" s="93"/>
      <c r="X37" s="93"/>
      <c r="Y37" s="93"/>
      <c r="Z37" s="61"/>
      <c r="AA37" s="93"/>
      <c r="AB37" s="93"/>
      <c r="AC37" s="93"/>
      <c r="AD37" s="93"/>
      <c r="AE37" s="93"/>
      <c r="AF37" s="61"/>
      <c r="AG37" s="93"/>
      <c r="AH37" s="93"/>
      <c r="AI37" s="93"/>
      <c r="AJ37" s="93"/>
      <c r="AK37" s="93"/>
      <c r="AL37" s="61"/>
      <c r="AM37" s="93"/>
      <c r="AN37" s="93"/>
      <c r="AO37" s="93"/>
      <c r="AP37" s="93"/>
      <c r="AQ37" s="93">
        <f>SUM(AM37:AP37)</f>
        <v>0</v>
      </c>
      <c r="AR37" s="61"/>
      <c r="AS37" s="93"/>
      <c r="AT37" s="93"/>
      <c r="AU37" s="93"/>
      <c r="AV37" s="93"/>
      <c r="AW37" s="93">
        <f>SUM(AS37:AV37)</f>
        <v>0</v>
      </c>
      <c r="AX37" s="61"/>
      <c r="AY37" s="94"/>
      <c r="AZ37" s="94"/>
      <c r="BA37" s="94"/>
      <c r="BB37" s="94"/>
      <c r="BC37" s="94">
        <f>SUM(AY37:BB37)</f>
        <v>0</v>
      </c>
      <c r="BD37" s="99"/>
      <c r="BE37" s="94"/>
      <c r="BF37" s="94"/>
      <c r="BG37" s="94"/>
      <c r="BH37" s="94"/>
      <c r="BI37" s="94">
        <f>SUM(BE37:BH37)</f>
        <v>0</v>
      </c>
      <c r="BJ37" s="99"/>
      <c r="BK37" s="93"/>
      <c r="BL37" s="93"/>
      <c r="BM37" s="93"/>
      <c r="BN37" s="93"/>
      <c r="BO37" s="1101">
        <f>SUM(BK37:BN37)</f>
        <v>0</v>
      </c>
      <c r="BP37" s="99"/>
      <c r="BQ37" s="93"/>
      <c r="BR37" s="93"/>
      <c r="BS37" s="93"/>
      <c r="BT37" s="93"/>
      <c r="BU37" s="1101">
        <f>SUM(BQ37:BT37)</f>
        <v>0</v>
      </c>
      <c r="BV37" s="99"/>
      <c r="BW37" s="93"/>
      <c r="BX37" s="93"/>
      <c r="BY37" s="93"/>
      <c r="BZ37" s="93"/>
      <c r="CA37" s="1101">
        <f>SUM(BW37:BZ37)</f>
        <v>0</v>
      </c>
      <c r="CB37" s="99"/>
      <c r="CC37" s="93"/>
      <c r="CD37" s="93"/>
      <c r="CE37" s="93"/>
      <c r="CF37" s="93"/>
      <c r="CG37" s="1538">
        <f>SUM(CC37:CF37)</f>
        <v>0</v>
      </c>
      <c r="CH37" s="99"/>
      <c r="CI37" s="93"/>
      <c r="CJ37" s="93"/>
      <c r="CK37" s="94"/>
      <c r="CL37" s="94"/>
      <c r="CM37" s="1101">
        <f>SUM(CI37:CL37)</f>
        <v>0</v>
      </c>
      <c r="CN37" s="99"/>
      <c r="CO37" s="93"/>
      <c r="CP37" s="93"/>
      <c r="CQ37" s="93"/>
      <c r="CR37" s="93"/>
      <c r="CS37" s="1101">
        <f>SUM(CO37:CR37)</f>
        <v>0</v>
      </c>
      <c r="CT37" s="990"/>
      <c r="CU37" s="93"/>
      <c r="CV37" s="93"/>
      <c r="CW37" s="93"/>
      <c r="CX37" s="93"/>
      <c r="CY37" s="1101">
        <f>SUM(CU37:CX37)</f>
        <v>0</v>
      </c>
      <c r="CZ37" s="990"/>
      <c r="DA37" s="93"/>
      <c r="DB37" s="93"/>
      <c r="DC37" s="93"/>
      <c r="DD37" s="93"/>
      <c r="DE37" s="1101">
        <f>SUM(DA37:DD37)</f>
        <v>0</v>
      </c>
      <c r="DF37" s="990"/>
      <c r="DG37" s="93"/>
      <c r="DH37" s="93"/>
      <c r="DI37" s="93"/>
      <c r="DJ37" s="93"/>
      <c r="DK37" s="1101">
        <f>SUM(DG37:DJ37)</f>
        <v>0</v>
      </c>
      <c r="DL37" s="99"/>
      <c r="DM37" s="93"/>
      <c r="DN37" s="93"/>
      <c r="DO37" s="93"/>
      <c r="DP37" s="93"/>
      <c r="DQ37" s="1101">
        <f>SUM(DM37:DP37)</f>
        <v>0</v>
      </c>
      <c r="DR37" s="990"/>
      <c r="DS37" s="93"/>
      <c r="DT37" s="93"/>
      <c r="DU37" s="93"/>
      <c r="DV37" s="93"/>
      <c r="DW37" s="1101">
        <f>SUM(DS37:DV37)</f>
        <v>0</v>
      </c>
      <c r="DX37" s="990"/>
      <c r="DY37" s="93"/>
      <c r="DZ37" s="93"/>
      <c r="EA37" s="93"/>
      <c r="EB37" s="93"/>
      <c r="EC37" s="1101">
        <f>SUM(DY37:EB37)</f>
        <v>0</v>
      </c>
      <c r="ED37" s="990"/>
      <c r="EE37" s="93"/>
      <c r="EF37" s="93"/>
      <c r="EG37" s="93"/>
      <c r="EH37" s="93"/>
      <c r="EI37" s="1101">
        <f>SUM(EE37:EH37)</f>
        <v>0</v>
      </c>
      <c r="EJ37" s="990"/>
      <c r="EK37" s="93"/>
      <c r="EL37" s="93"/>
      <c r="EM37" s="93"/>
      <c r="EN37" s="93"/>
      <c r="EO37" s="1101">
        <f>SUM(EK37:EN37)</f>
        <v>0</v>
      </c>
      <c r="EP37" s="990"/>
      <c r="EQ37" s="93"/>
      <c r="ER37" s="93"/>
      <c r="ES37" s="93"/>
      <c r="ET37" s="93"/>
      <c r="EU37" s="1101">
        <f>SUM(EQ37:ET37)</f>
        <v>0</v>
      </c>
    </row>
    <row r="38" spans="1:151" hidden="1" outlineLevel="1">
      <c r="A38" s="201" t="s">
        <v>4244</v>
      </c>
      <c r="B38" s="90"/>
      <c r="C38" s="93"/>
      <c r="D38" s="93"/>
      <c r="E38" s="93"/>
      <c r="F38" s="93"/>
      <c r="G38" s="93"/>
      <c r="H38" s="90"/>
      <c r="I38" s="93"/>
      <c r="J38" s="93"/>
      <c r="K38" s="93"/>
      <c r="L38" s="93"/>
      <c r="M38" s="93"/>
      <c r="N38" s="90"/>
      <c r="O38" s="93"/>
      <c r="P38" s="93"/>
      <c r="Q38" s="93"/>
      <c r="R38" s="93"/>
      <c r="S38" s="93"/>
      <c r="T38" s="61"/>
      <c r="U38" s="93"/>
      <c r="V38" s="93"/>
      <c r="W38" s="93"/>
      <c r="X38" s="93"/>
      <c r="Y38" s="93"/>
      <c r="Z38" s="61"/>
      <c r="AA38" s="93"/>
      <c r="AB38" s="93"/>
      <c r="AC38" s="93"/>
      <c r="AD38" s="93"/>
      <c r="AE38" s="93"/>
      <c r="AF38" s="61"/>
      <c r="AG38" s="93"/>
      <c r="AH38" s="93"/>
      <c r="AI38" s="93"/>
      <c r="AJ38" s="93"/>
      <c r="AK38" s="93"/>
      <c r="AL38" s="61"/>
      <c r="AM38" s="93"/>
      <c r="AN38" s="93"/>
      <c r="AO38" s="93"/>
      <c r="AP38" s="93"/>
      <c r="AQ38" s="93">
        <f>SUM(AM38:AP38)</f>
        <v>0</v>
      </c>
      <c r="AR38" s="61"/>
      <c r="AS38" s="93"/>
      <c r="AT38" s="93"/>
      <c r="AU38" s="93"/>
      <c r="AV38" s="93"/>
      <c r="AW38" s="93">
        <f>SUM(AS38:AV38)</f>
        <v>0</v>
      </c>
      <c r="AX38" s="61"/>
      <c r="AY38" s="94"/>
      <c r="AZ38" s="94"/>
      <c r="BA38" s="94"/>
      <c r="BB38" s="94"/>
      <c r="BC38" s="94">
        <f>SUM(AY38:BB38)</f>
        <v>0</v>
      </c>
      <c r="BD38" s="99"/>
      <c r="BE38" s="94"/>
      <c r="BF38" s="94"/>
      <c r="BG38" s="94"/>
      <c r="BH38" s="836">
        <f>BH14*0.667</f>
        <v>2.0010000000000003</v>
      </c>
      <c r="BI38" s="94">
        <f>SUM(BE38:BH38)</f>
        <v>2.0010000000000003</v>
      </c>
      <c r="BJ38" s="99"/>
      <c r="BK38" s="836">
        <f>BK14*0.667</f>
        <v>12.006</v>
      </c>
      <c r="BL38" s="836">
        <f>BL14*0.667</f>
        <v>14.674000000000001</v>
      </c>
      <c r="BM38" s="836">
        <f>BM14*0.667</f>
        <v>16.008000000000003</v>
      </c>
      <c r="BN38" s="836">
        <f>BN14*0.667</f>
        <v>18.676000000000002</v>
      </c>
      <c r="BO38" s="1101">
        <f>SUM(BK38:BN38)</f>
        <v>61.364000000000004</v>
      </c>
      <c r="BP38" s="99"/>
      <c r="BQ38" s="93"/>
      <c r="BR38" s="93"/>
      <c r="BS38" s="93"/>
      <c r="BT38" s="93"/>
      <c r="BU38" s="1101">
        <f>SUM(BQ38:BT38)</f>
        <v>0</v>
      </c>
      <c r="BV38" s="99"/>
      <c r="BW38" s="93"/>
      <c r="BX38" s="93"/>
      <c r="BY38" s="93"/>
      <c r="BZ38" s="93"/>
      <c r="CA38" s="1101">
        <f>SUM(BW38:BZ38)</f>
        <v>0</v>
      </c>
      <c r="CB38" s="99"/>
      <c r="CC38" s="93"/>
      <c r="CD38" s="93"/>
      <c r="CE38" s="93"/>
      <c r="CF38" s="93"/>
      <c r="CG38" s="1538">
        <f>SUM(CC38:CF38)</f>
        <v>0</v>
      </c>
      <c r="CH38" s="99"/>
      <c r="CI38" s="93"/>
      <c r="CJ38" s="93"/>
      <c r="CK38" s="94"/>
      <c r="CL38" s="94"/>
      <c r="CM38" s="1101">
        <f>SUM(CI38:CL38)</f>
        <v>0</v>
      </c>
      <c r="CN38" s="99"/>
      <c r="CO38" s="93"/>
      <c r="CP38" s="93"/>
      <c r="CQ38" s="93"/>
      <c r="CR38" s="93"/>
      <c r="CS38" s="1101">
        <f>SUM(CO38:CR38)</f>
        <v>0</v>
      </c>
      <c r="CT38" s="990"/>
      <c r="CU38" s="93"/>
      <c r="CV38" s="93"/>
      <c r="CW38" s="93"/>
      <c r="CX38" s="93"/>
      <c r="CY38" s="1101">
        <f>SUM(CU38:CX38)</f>
        <v>0</v>
      </c>
      <c r="CZ38" s="990"/>
      <c r="DA38" s="93"/>
      <c r="DB38" s="93"/>
      <c r="DC38" s="93"/>
      <c r="DD38" s="93"/>
      <c r="DE38" s="1101">
        <f>SUM(DA38:DD38)</f>
        <v>0</v>
      </c>
      <c r="DF38" s="990"/>
      <c r="DG38" s="93"/>
      <c r="DH38" s="93"/>
      <c r="DI38" s="93"/>
      <c r="DJ38" s="93"/>
      <c r="DK38" s="1101">
        <f>SUM(DG38:DJ38)</f>
        <v>0</v>
      </c>
      <c r="DL38" s="99"/>
      <c r="DM38" s="93"/>
      <c r="DN38" s="93"/>
      <c r="DO38" s="93"/>
      <c r="DP38" s="93"/>
      <c r="DQ38" s="1101">
        <f>SUM(DM38:DP38)</f>
        <v>0</v>
      </c>
      <c r="DR38" s="990"/>
      <c r="DS38" s="93"/>
      <c r="DT38" s="93"/>
      <c r="DU38" s="93"/>
      <c r="DV38" s="93"/>
      <c r="DW38" s="1101">
        <f>SUM(DS38:DV38)</f>
        <v>0</v>
      </c>
      <c r="DX38" s="990"/>
      <c r="DY38" s="93"/>
      <c r="DZ38" s="93"/>
      <c r="EA38" s="93"/>
      <c r="EB38" s="93"/>
      <c r="EC38" s="1101">
        <f>SUM(DY38:EB38)</f>
        <v>0</v>
      </c>
      <c r="ED38" s="990"/>
      <c r="EE38" s="93"/>
      <c r="EF38" s="93"/>
      <c r="EG38" s="93"/>
      <c r="EH38" s="93"/>
      <c r="EI38" s="1101">
        <f>SUM(EE38:EH38)</f>
        <v>0</v>
      </c>
      <c r="EJ38" s="990"/>
      <c r="EK38" s="93"/>
      <c r="EL38" s="93"/>
      <c r="EM38" s="93"/>
      <c r="EN38" s="93"/>
      <c r="EO38" s="1101">
        <f>SUM(EK38:EN38)</f>
        <v>0</v>
      </c>
      <c r="EP38" s="990"/>
      <c r="EQ38" s="93"/>
      <c r="ER38" s="93"/>
      <c r="ES38" s="93"/>
      <c r="ET38" s="93"/>
      <c r="EU38" s="1101">
        <f>SUM(EQ38:ET38)</f>
        <v>0</v>
      </c>
    </row>
    <row r="39" spans="1:151" hidden="1" outlineLevel="1">
      <c r="A39" s="201" t="s">
        <v>4243</v>
      </c>
      <c r="B39" s="90"/>
      <c r="C39" s="93"/>
      <c r="D39" s="93"/>
      <c r="E39" s="93"/>
      <c r="F39" s="93"/>
      <c r="G39" s="93"/>
      <c r="H39" s="90"/>
      <c r="I39" s="93"/>
      <c r="J39" s="93"/>
      <c r="K39" s="93"/>
      <c r="L39" s="93"/>
      <c r="M39" s="93"/>
      <c r="N39" s="90"/>
      <c r="O39" s="93"/>
      <c r="P39" s="93"/>
      <c r="Q39" s="93"/>
      <c r="R39" s="93"/>
      <c r="S39" s="93"/>
      <c r="T39" s="61"/>
      <c r="U39" s="93"/>
      <c r="V39" s="93"/>
      <c r="W39" s="93"/>
      <c r="X39" s="93"/>
      <c r="Y39" s="93"/>
      <c r="Z39" s="61"/>
      <c r="AA39" s="93"/>
      <c r="AB39" s="93"/>
      <c r="AC39" s="93"/>
      <c r="AD39" s="93"/>
      <c r="AE39" s="93"/>
      <c r="AF39" s="61"/>
      <c r="AG39" s="93"/>
      <c r="AH39" s="93"/>
      <c r="AI39" s="93"/>
      <c r="AJ39" s="93"/>
      <c r="AK39" s="93"/>
      <c r="AL39" s="61"/>
      <c r="AM39" s="93"/>
      <c r="AN39" s="93"/>
      <c r="AO39" s="93"/>
      <c r="AP39" s="93"/>
      <c r="AQ39" s="93"/>
      <c r="AR39" s="61"/>
      <c r="AS39" s="93"/>
      <c r="AT39" s="93"/>
      <c r="AU39" s="93"/>
      <c r="AV39" s="93"/>
      <c r="AW39" s="93"/>
      <c r="AX39" s="61"/>
      <c r="AY39" s="94"/>
      <c r="AZ39" s="94"/>
      <c r="BA39" s="94"/>
      <c r="BB39" s="94"/>
      <c r="BC39" s="94"/>
      <c r="BD39" s="99"/>
      <c r="BE39" s="94"/>
      <c r="BF39" s="94"/>
      <c r="BG39" s="94"/>
      <c r="BH39" s="836"/>
      <c r="BI39" s="94">
        <f t="shared" ref="BI39:BI45" si="21">SUM(BE39:BH39)</f>
        <v>0</v>
      </c>
      <c r="BJ39" s="99"/>
      <c r="BK39" s="836"/>
      <c r="BL39" s="836"/>
      <c r="BM39" s="836"/>
      <c r="BN39" s="836"/>
      <c r="BO39" s="1101">
        <f t="shared" ref="BO39:BO45" si="22">SUM(BK39:BN39)</f>
        <v>0</v>
      </c>
      <c r="BP39" s="99"/>
      <c r="BQ39" s="93"/>
      <c r="BR39" s="93"/>
      <c r="BS39" s="93"/>
      <c r="BT39" s="93"/>
      <c r="BU39" s="1101">
        <f t="shared" ref="BU39:BU45" si="23">SUM(BQ39:BT39)</f>
        <v>0</v>
      </c>
      <c r="BV39" s="99"/>
      <c r="BW39" s="93"/>
      <c r="BX39" s="93"/>
      <c r="BY39" s="93"/>
      <c r="BZ39" s="93"/>
      <c r="CA39" s="1101">
        <f t="shared" ref="CA39:CA45" si="24">SUM(BW39:BZ39)</f>
        <v>0</v>
      </c>
      <c r="CB39" s="99"/>
      <c r="CC39" s="93"/>
      <c r="CD39" s="93"/>
      <c r="CE39" s="93"/>
      <c r="CF39" s="93"/>
      <c r="CG39" s="1538">
        <f t="shared" ref="CG39:CG49" si="25">SUM(CC39:CF39)</f>
        <v>0</v>
      </c>
      <c r="CH39" s="99"/>
      <c r="CI39" s="93"/>
      <c r="CJ39" s="93"/>
      <c r="CK39" s="94"/>
      <c r="CL39" s="94"/>
      <c r="CM39" s="1101">
        <f t="shared" ref="CM39:CM45" si="26">SUM(CI39:CL39)</f>
        <v>0</v>
      </c>
      <c r="CN39" s="99"/>
      <c r="CO39" s="93"/>
      <c r="CP39" s="93"/>
      <c r="CQ39" s="93"/>
      <c r="CR39" s="93"/>
      <c r="CS39" s="1101">
        <f t="shared" ref="CS39:CS45" si="27">SUM(CO39:CR39)</f>
        <v>0</v>
      </c>
      <c r="CT39" s="990"/>
      <c r="CU39" s="93"/>
      <c r="CV39" s="93"/>
      <c r="CW39" s="93"/>
      <c r="CX39" s="93"/>
      <c r="CY39" s="1101">
        <f t="shared" ref="CY39:CY45" si="28">SUM(CU39:CX39)</f>
        <v>0</v>
      </c>
      <c r="CZ39" s="990"/>
      <c r="DA39" s="93"/>
      <c r="DB39" s="93"/>
      <c r="DC39" s="93"/>
      <c r="DD39" s="93"/>
      <c r="DE39" s="1101">
        <f t="shared" ref="DE39:DE45" si="29">SUM(DA39:DD39)</f>
        <v>0</v>
      </c>
      <c r="DF39" s="990"/>
      <c r="DG39" s="93"/>
      <c r="DH39" s="93"/>
      <c r="DI39" s="93"/>
      <c r="DJ39" s="93"/>
      <c r="DK39" s="1101">
        <f t="shared" ref="DK39:DK45" si="30">SUM(DG39:DJ39)</f>
        <v>0</v>
      </c>
      <c r="DL39" s="99"/>
      <c r="DM39" s="93"/>
      <c r="DN39" s="93"/>
      <c r="DO39" s="93"/>
      <c r="DP39" s="93"/>
      <c r="DQ39" s="1101">
        <f t="shared" ref="DQ39:DQ45" si="31">SUM(DM39:DP39)</f>
        <v>0</v>
      </c>
      <c r="DR39" s="990"/>
      <c r="DS39" s="93"/>
      <c r="DT39" s="93"/>
      <c r="DU39" s="93"/>
      <c r="DV39" s="93"/>
      <c r="DW39" s="1101">
        <f t="shared" ref="DW39:DW45" si="32">SUM(DS39:DV39)</f>
        <v>0</v>
      </c>
      <c r="DX39" s="990"/>
      <c r="DY39" s="93"/>
      <c r="DZ39" s="93"/>
      <c r="EA39" s="93"/>
      <c r="EB39" s="93"/>
      <c r="EC39" s="1101">
        <f t="shared" ref="EC39:EC45" si="33">SUM(DY39:EB39)</f>
        <v>0</v>
      </c>
      <c r="ED39" s="990"/>
      <c r="EE39" s="93"/>
      <c r="EF39" s="93"/>
      <c r="EG39" s="93"/>
      <c r="EH39" s="93"/>
      <c r="EI39" s="1101">
        <f t="shared" ref="EI39:EI45" si="34">SUM(EE39:EH39)</f>
        <v>0</v>
      </c>
      <c r="EJ39" s="990"/>
      <c r="EK39" s="93"/>
      <c r="EL39" s="93"/>
      <c r="EM39" s="93"/>
      <c r="EN39" s="93"/>
      <c r="EO39" s="1101">
        <f t="shared" ref="EO39:EO45" si="35">SUM(EK39:EN39)</f>
        <v>0</v>
      </c>
      <c r="EP39" s="990"/>
      <c r="EQ39" s="93"/>
      <c r="ER39" s="93"/>
      <c r="ES39" s="93"/>
      <c r="ET39" s="93"/>
      <c r="EU39" s="1101">
        <f t="shared" ref="EU39:EU45" si="36">SUM(EQ39:ET39)</f>
        <v>0</v>
      </c>
    </row>
    <row r="40" spans="1:151" hidden="1" outlineLevel="1">
      <c r="A40" s="201" t="s">
        <v>3816</v>
      </c>
      <c r="B40" s="90"/>
      <c r="C40" s="93"/>
      <c r="D40" s="93"/>
      <c r="E40" s="93"/>
      <c r="F40" s="93"/>
      <c r="G40" s="93"/>
      <c r="H40" s="90"/>
      <c r="I40" s="93"/>
      <c r="J40" s="93"/>
      <c r="K40" s="93"/>
      <c r="L40" s="93"/>
      <c r="M40" s="93"/>
      <c r="N40" s="90"/>
      <c r="O40" s="93"/>
      <c r="P40" s="93"/>
      <c r="Q40" s="93"/>
      <c r="R40" s="93"/>
      <c r="S40" s="93"/>
      <c r="T40" s="61"/>
      <c r="U40" s="93"/>
      <c r="V40" s="93"/>
      <c r="W40" s="93"/>
      <c r="X40" s="93"/>
      <c r="Y40" s="93"/>
      <c r="Z40" s="61"/>
      <c r="AA40" s="93"/>
      <c r="AB40" s="93"/>
      <c r="AC40" s="93"/>
      <c r="AD40" s="93"/>
      <c r="AE40" s="93"/>
      <c r="AF40" s="61"/>
      <c r="AG40" s="93"/>
      <c r="AH40" s="93"/>
      <c r="AI40" s="93"/>
      <c r="AJ40" s="93"/>
      <c r="AK40" s="93"/>
      <c r="AL40" s="61"/>
      <c r="AM40" s="93"/>
      <c r="AN40" s="93"/>
      <c r="AO40" s="93"/>
      <c r="AP40" s="93"/>
      <c r="AQ40" s="93"/>
      <c r="AR40" s="61"/>
      <c r="AS40" s="93"/>
      <c r="AT40" s="93"/>
      <c r="AU40" s="93"/>
      <c r="AV40" s="93"/>
      <c r="AW40" s="93"/>
      <c r="AX40" s="61"/>
      <c r="AY40" s="94"/>
      <c r="AZ40" s="94"/>
      <c r="BA40" s="94"/>
      <c r="BB40" s="94"/>
      <c r="BC40" s="94"/>
      <c r="BD40" s="99"/>
      <c r="BE40" s="94"/>
      <c r="BF40" s="94"/>
      <c r="BG40" s="94"/>
      <c r="BH40" s="836"/>
      <c r="BI40" s="94">
        <f t="shared" si="21"/>
        <v>0</v>
      </c>
      <c r="BJ40" s="99"/>
      <c r="BK40" s="836"/>
      <c r="BL40" s="836"/>
      <c r="BM40" s="836"/>
      <c r="BN40" s="385"/>
      <c r="BO40" s="1101">
        <f t="shared" si="22"/>
        <v>0</v>
      </c>
      <c r="BP40" s="99"/>
      <c r="BQ40" s="385"/>
      <c r="BR40" s="385"/>
      <c r="BS40" s="385"/>
      <c r="BT40" s="385"/>
      <c r="BU40" s="1101">
        <f t="shared" si="23"/>
        <v>0</v>
      </c>
      <c r="BV40" s="99"/>
      <c r="BW40" s="93"/>
      <c r="BX40" s="93"/>
      <c r="BY40" s="93"/>
      <c r="BZ40" s="93"/>
      <c r="CA40" s="1101">
        <f t="shared" si="24"/>
        <v>0</v>
      </c>
      <c r="CB40" s="99"/>
      <c r="CC40" s="93"/>
      <c r="CD40" s="93"/>
      <c r="CE40" s="93"/>
      <c r="CF40" s="93"/>
      <c r="CG40" s="1538">
        <f t="shared" si="25"/>
        <v>0</v>
      </c>
      <c r="CH40" s="99"/>
      <c r="CI40" s="93"/>
      <c r="CJ40" s="93"/>
      <c r="CK40" s="94"/>
      <c r="CL40" s="94"/>
      <c r="CM40" s="1101">
        <f t="shared" si="26"/>
        <v>0</v>
      </c>
      <c r="CN40" s="99"/>
      <c r="CO40" s="93"/>
      <c r="CP40" s="93"/>
      <c r="CQ40" s="93"/>
      <c r="CR40" s="93"/>
      <c r="CS40" s="1101">
        <f t="shared" si="27"/>
        <v>0</v>
      </c>
      <c r="CT40" s="990"/>
      <c r="CU40" s="93"/>
      <c r="CV40" s="93"/>
      <c r="CW40" s="93"/>
      <c r="CX40" s="93"/>
      <c r="CY40" s="1101">
        <f t="shared" si="28"/>
        <v>0</v>
      </c>
      <c r="CZ40" s="990"/>
      <c r="DA40" s="93"/>
      <c r="DB40" s="93"/>
      <c r="DC40" s="93"/>
      <c r="DD40" s="93"/>
      <c r="DE40" s="1101">
        <f t="shared" si="29"/>
        <v>0</v>
      </c>
      <c r="DF40" s="990"/>
      <c r="DG40" s="93"/>
      <c r="DH40" s="93"/>
      <c r="DI40" s="93"/>
      <c r="DJ40" s="93"/>
      <c r="DK40" s="1101">
        <f t="shared" si="30"/>
        <v>0</v>
      </c>
      <c r="DL40" s="99"/>
      <c r="DM40" s="93"/>
      <c r="DN40" s="93"/>
      <c r="DO40" s="93"/>
      <c r="DP40" s="93"/>
      <c r="DQ40" s="1101">
        <f t="shared" si="31"/>
        <v>0</v>
      </c>
      <c r="DR40" s="990"/>
      <c r="DS40" s="93"/>
      <c r="DT40" s="93"/>
      <c r="DU40" s="93"/>
      <c r="DV40" s="93"/>
      <c r="DW40" s="1101">
        <f t="shared" si="32"/>
        <v>0</v>
      </c>
      <c r="DX40" s="990"/>
      <c r="DY40" s="93"/>
      <c r="DZ40" s="93"/>
      <c r="EA40" s="93"/>
      <c r="EB40" s="93"/>
      <c r="EC40" s="1101">
        <f t="shared" si="33"/>
        <v>0</v>
      </c>
      <c r="ED40" s="990"/>
      <c r="EE40" s="93"/>
      <c r="EF40" s="93"/>
      <c r="EG40" s="93"/>
      <c r="EH40" s="93"/>
      <c r="EI40" s="1101">
        <f t="shared" si="34"/>
        <v>0</v>
      </c>
      <c r="EJ40" s="990"/>
      <c r="EK40" s="93"/>
      <c r="EL40" s="93"/>
      <c r="EM40" s="93"/>
      <c r="EN40" s="93"/>
      <c r="EO40" s="1101">
        <f t="shared" si="35"/>
        <v>0</v>
      </c>
      <c r="EP40" s="990"/>
      <c r="EQ40" s="93"/>
      <c r="ER40" s="93"/>
      <c r="ES40" s="93"/>
      <c r="ET40" s="93"/>
      <c r="EU40" s="1101">
        <f t="shared" si="36"/>
        <v>0</v>
      </c>
    </row>
    <row r="41" spans="1:151" hidden="1" outlineLevel="1">
      <c r="A41" s="201" t="s">
        <v>5617</v>
      </c>
      <c r="B41" s="90"/>
      <c r="C41" s="93"/>
      <c r="D41" s="93"/>
      <c r="E41" s="93"/>
      <c r="F41" s="93"/>
      <c r="G41" s="93"/>
      <c r="H41" s="90"/>
      <c r="I41" s="93"/>
      <c r="J41" s="93"/>
      <c r="K41" s="93"/>
      <c r="L41" s="93"/>
      <c r="M41" s="93"/>
      <c r="N41" s="90"/>
      <c r="O41" s="93"/>
      <c r="P41" s="93"/>
      <c r="Q41" s="93"/>
      <c r="R41" s="93"/>
      <c r="S41" s="93"/>
      <c r="T41" s="61"/>
      <c r="U41" s="93"/>
      <c r="V41" s="93"/>
      <c r="W41" s="93"/>
      <c r="X41" s="93"/>
      <c r="Y41" s="93"/>
      <c r="Z41" s="61"/>
      <c r="AA41" s="93"/>
      <c r="AB41" s="93"/>
      <c r="AC41" s="93"/>
      <c r="AD41" s="93"/>
      <c r="AE41" s="93"/>
      <c r="AF41" s="61"/>
      <c r="AG41" s="93"/>
      <c r="AH41" s="93"/>
      <c r="AI41" s="93"/>
      <c r="AJ41" s="93"/>
      <c r="AK41" s="93"/>
      <c r="AL41" s="61"/>
      <c r="AM41" s="93"/>
      <c r="AN41" s="93"/>
      <c r="AO41" s="93"/>
      <c r="AP41" s="93"/>
      <c r="AQ41" s="93"/>
      <c r="AR41" s="61"/>
      <c r="AS41" s="93"/>
      <c r="AT41" s="93"/>
      <c r="AU41" s="93"/>
      <c r="AV41" s="93"/>
      <c r="AW41" s="93"/>
      <c r="AX41" s="61"/>
      <c r="AY41" s="94"/>
      <c r="AZ41" s="94"/>
      <c r="BA41" s="94"/>
      <c r="BB41" s="94"/>
      <c r="BC41" s="94"/>
      <c r="BD41" s="99"/>
      <c r="BE41" s="94"/>
      <c r="BF41" s="94"/>
      <c r="BG41" s="94"/>
      <c r="BH41" s="836"/>
      <c r="BI41" s="94">
        <f t="shared" si="21"/>
        <v>0</v>
      </c>
      <c r="BJ41" s="99"/>
      <c r="BK41" s="836"/>
      <c r="BL41" s="836"/>
      <c r="BM41" s="836"/>
      <c r="BN41" s="836"/>
      <c r="BO41" s="1101">
        <f t="shared" si="22"/>
        <v>0</v>
      </c>
      <c r="BP41" s="99"/>
      <c r="BQ41" s="93"/>
      <c r="BR41" s="93"/>
      <c r="BS41" s="93"/>
      <c r="BT41" s="93"/>
      <c r="BU41" s="1101">
        <f t="shared" si="23"/>
        <v>0</v>
      </c>
      <c r="BV41" s="99"/>
      <c r="BW41" s="93"/>
      <c r="BX41" s="93"/>
      <c r="BY41" s="93"/>
      <c r="BZ41" s="93"/>
      <c r="CA41" s="1101">
        <f t="shared" si="24"/>
        <v>0</v>
      </c>
      <c r="CB41" s="99"/>
      <c r="CC41" s="93"/>
      <c r="CD41" s="93"/>
      <c r="CE41" s="93"/>
      <c r="CF41" s="93"/>
      <c r="CG41" s="1538">
        <f t="shared" si="25"/>
        <v>0</v>
      </c>
      <c r="CH41" s="99"/>
      <c r="CI41" s="93"/>
      <c r="CJ41" s="93"/>
      <c r="CK41" s="94"/>
      <c r="CL41" s="94"/>
      <c r="CM41" s="1101">
        <f t="shared" si="26"/>
        <v>0</v>
      </c>
      <c r="CN41" s="99"/>
      <c r="CO41" s="93"/>
      <c r="CP41" s="93"/>
      <c r="CQ41" s="93"/>
      <c r="CR41" s="93"/>
      <c r="CS41" s="1101">
        <f t="shared" si="27"/>
        <v>0</v>
      </c>
      <c r="CT41" s="990"/>
      <c r="CU41" s="93"/>
      <c r="CV41" s="93"/>
      <c r="CW41" s="93"/>
      <c r="CX41" s="93"/>
      <c r="CY41" s="1101">
        <f t="shared" si="28"/>
        <v>0</v>
      </c>
      <c r="CZ41" s="990"/>
      <c r="DA41" s="93"/>
      <c r="DB41" s="93"/>
      <c r="DC41" s="93"/>
      <c r="DD41" s="93"/>
      <c r="DE41" s="1101">
        <f t="shared" si="29"/>
        <v>0</v>
      </c>
      <c r="DF41" s="990"/>
      <c r="DG41" s="93"/>
      <c r="DH41" s="93"/>
      <c r="DI41" s="93"/>
      <c r="DJ41" s="93"/>
      <c r="DK41" s="1101">
        <f t="shared" si="30"/>
        <v>0</v>
      </c>
      <c r="DL41" s="99"/>
      <c r="DM41" s="93"/>
      <c r="DN41" s="93"/>
      <c r="DO41" s="93"/>
      <c r="DP41" s="93"/>
      <c r="DQ41" s="1101">
        <f t="shared" si="31"/>
        <v>0</v>
      </c>
      <c r="DR41" s="990"/>
      <c r="DS41" s="93"/>
      <c r="DT41" s="93"/>
      <c r="DU41" s="93"/>
      <c r="DV41" s="93"/>
      <c r="DW41" s="1101">
        <f t="shared" si="32"/>
        <v>0</v>
      </c>
      <c r="DX41" s="990"/>
      <c r="DY41" s="93"/>
      <c r="DZ41" s="93"/>
      <c r="EA41" s="93"/>
      <c r="EB41" s="93"/>
      <c r="EC41" s="1101">
        <f t="shared" si="33"/>
        <v>0</v>
      </c>
      <c r="ED41" s="990"/>
      <c r="EE41" s="93"/>
      <c r="EF41" s="93"/>
      <c r="EG41" s="93"/>
      <c r="EH41" s="93"/>
      <c r="EI41" s="1101">
        <f t="shared" si="34"/>
        <v>0</v>
      </c>
      <c r="EJ41" s="990"/>
      <c r="EK41" s="93"/>
      <c r="EL41" s="93"/>
      <c r="EM41" s="93"/>
      <c r="EN41" s="93"/>
      <c r="EO41" s="1101">
        <f t="shared" si="35"/>
        <v>0</v>
      </c>
      <c r="EP41" s="990"/>
      <c r="EQ41" s="93"/>
      <c r="ER41" s="93"/>
      <c r="ES41" s="93"/>
      <c r="ET41" s="93"/>
      <c r="EU41" s="1101">
        <f t="shared" si="36"/>
        <v>0</v>
      </c>
    </row>
    <row r="42" spans="1:151" hidden="1" outlineLevel="1">
      <c r="A42" s="201" t="s">
        <v>4242</v>
      </c>
      <c r="B42" s="90"/>
      <c r="C42" s="93"/>
      <c r="D42" s="93"/>
      <c r="E42" s="93"/>
      <c r="F42" s="93"/>
      <c r="G42" s="93"/>
      <c r="H42" s="90"/>
      <c r="I42" s="93"/>
      <c r="J42" s="93"/>
      <c r="K42" s="93"/>
      <c r="L42" s="93"/>
      <c r="M42" s="93"/>
      <c r="N42" s="90"/>
      <c r="O42" s="93"/>
      <c r="P42" s="93"/>
      <c r="Q42" s="93"/>
      <c r="R42" s="93"/>
      <c r="S42" s="93"/>
      <c r="T42" s="61"/>
      <c r="U42" s="93"/>
      <c r="V42" s="93"/>
      <c r="W42" s="93"/>
      <c r="X42" s="93"/>
      <c r="Y42" s="93"/>
      <c r="Z42" s="61"/>
      <c r="AA42" s="93"/>
      <c r="AB42" s="93"/>
      <c r="AC42" s="93"/>
      <c r="AD42" s="93"/>
      <c r="AE42" s="93"/>
      <c r="AF42" s="61"/>
      <c r="AG42" s="93"/>
      <c r="AH42" s="93"/>
      <c r="AI42" s="93"/>
      <c r="AJ42" s="93"/>
      <c r="AK42" s="93"/>
      <c r="AL42" s="61"/>
      <c r="AM42" s="93"/>
      <c r="AN42" s="93"/>
      <c r="AO42" s="93"/>
      <c r="AP42" s="93"/>
      <c r="AQ42" s="93"/>
      <c r="AR42" s="61"/>
      <c r="AS42" s="93"/>
      <c r="AT42" s="93"/>
      <c r="AU42" s="93"/>
      <c r="AV42" s="93"/>
      <c r="AW42" s="93"/>
      <c r="AX42" s="61"/>
      <c r="AY42" s="94"/>
      <c r="AZ42" s="94"/>
      <c r="BA42" s="94"/>
      <c r="BB42" s="94"/>
      <c r="BC42" s="94"/>
      <c r="BD42" s="99"/>
      <c r="BE42" s="94"/>
      <c r="BF42" s="94"/>
      <c r="BG42" s="94"/>
      <c r="BH42" s="836"/>
      <c r="BI42" s="94">
        <f t="shared" si="21"/>
        <v>0</v>
      </c>
      <c r="BJ42" s="99"/>
      <c r="BK42" s="836"/>
      <c r="BL42" s="836"/>
      <c r="BM42" s="836"/>
      <c r="BN42" s="836"/>
      <c r="BO42" s="1101">
        <f t="shared" si="22"/>
        <v>0</v>
      </c>
      <c r="BP42" s="99"/>
      <c r="BQ42" s="93"/>
      <c r="BR42" s="93"/>
      <c r="BS42" s="93"/>
      <c r="BT42" s="93"/>
      <c r="BU42" s="1101">
        <f t="shared" si="23"/>
        <v>0</v>
      </c>
      <c r="BV42" s="99"/>
      <c r="BW42" s="93"/>
      <c r="BX42" s="93"/>
      <c r="BY42" s="93"/>
      <c r="BZ42" s="93"/>
      <c r="CA42" s="1101">
        <f t="shared" si="24"/>
        <v>0</v>
      </c>
      <c r="CB42" s="99"/>
      <c r="CC42" s="93"/>
      <c r="CD42" s="93"/>
      <c r="CE42" s="93"/>
      <c r="CF42" s="93"/>
      <c r="CG42" s="1538">
        <f t="shared" si="25"/>
        <v>0</v>
      </c>
      <c r="CH42" s="99"/>
      <c r="CI42" s="93"/>
      <c r="CJ42" s="93"/>
      <c r="CK42" s="94"/>
      <c r="CL42" s="94"/>
      <c r="CM42" s="1101">
        <f t="shared" si="26"/>
        <v>0</v>
      </c>
      <c r="CN42" s="99"/>
      <c r="CO42" s="93"/>
      <c r="CP42" s="93"/>
      <c r="CQ42" s="93"/>
      <c r="CR42" s="93"/>
      <c r="CS42" s="1101">
        <f t="shared" si="27"/>
        <v>0</v>
      </c>
      <c r="CT42" s="990"/>
      <c r="CU42" s="93"/>
      <c r="CV42" s="93"/>
      <c r="CW42" s="93"/>
      <c r="CX42" s="93"/>
      <c r="CY42" s="1101">
        <f t="shared" si="28"/>
        <v>0</v>
      </c>
      <c r="CZ42" s="990"/>
      <c r="DA42" s="93"/>
      <c r="DB42" s="93"/>
      <c r="DC42" s="93"/>
      <c r="DD42" s="93"/>
      <c r="DE42" s="1101">
        <f t="shared" si="29"/>
        <v>0</v>
      </c>
      <c r="DF42" s="990"/>
      <c r="DG42" s="93"/>
      <c r="DH42" s="93"/>
      <c r="DI42" s="93"/>
      <c r="DJ42" s="93"/>
      <c r="DK42" s="1101">
        <f t="shared" si="30"/>
        <v>0</v>
      </c>
      <c r="DL42" s="99"/>
      <c r="DM42" s="93"/>
      <c r="DN42" s="93"/>
      <c r="DO42" s="93"/>
      <c r="DP42" s="93"/>
      <c r="DQ42" s="1101">
        <f t="shared" si="31"/>
        <v>0</v>
      </c>
      <c r="DR42" s="990"/>
      <c r="DS42" s="93"/>
      <c r="DT42" s="93"/>
      <c r="DU42" s="93"/>
      <c r="DV42" s="93"/>
      <c r="DW42" s="1101">
        <f t="shared" si="32"/>
        <v>0</v>
      </c>
      <c r="DX42" s="990"/>
      <c r="DY42" s="93"/>
      <c r="DZ42" s="93"/>
      <c r="EA42" s="93"/>
      <c r="EB42" s="93"/>
      <c r="EC42" s="1101">
        <f t="shared" si="33"/>
        <v>0</v>
      </c>
      <c r="ED42" s="990"/>
      <c r="EE42" s="93"/>
      <c r="EF42" s="93"/>
      <c r="EG42" s="93"/>
      <c r="EH42" s="93"/>
      <c r="EI42" s="1101">
        <f t="shared" si="34"/>
        <v>0</v>
      </c>
      <c r="EJ42" s="990"/>
      <c r="EK42" s="93"/>
      <c r="EL42" s="93"/>
      <c r="EM42" s="93"/>
      <c r="EN42" s="93"/>
      <c r="EO42" s="1101">
        <f t="shared" si="35"/>
        <v>0</v>
      </c>
      <c r="EP42" s="990"/>
      <c r="EQ42" s="93"/>
      <c r="ER42" s="93"/>
      <c r="ES42" s="93"/>
      <c r="ET42" s="93"/>
      <c r="EU42" s="1101">
        <f t="shared" si="36"/>
        <v>0</v>
      </c>
    </row>
    <row r="43" spans="1:151" hidden="1" outlineLevel="1">
      <c r="A43" s="201" t="s">
        <v>3815</v>
      </c>
      <c r="B43" s="90"/>
      <c r="C43" s="93"/>
      <c r="D43" s="93"/>
      <c r="E43" s="93"/>
      <c r="F43" s="93"/>
      <c r="G43" s="93"/>
      <c r="H43" s="90"/>
      <c r="I43" s="93"/>
      <c r="J43" s="93"/>
      <c r="K43" s="93"/>
      <c r="L43" s="93"/>
      <c r="M43" s="93"/>
      <c r="N43" s="90"/>
      <c r="O43" s="93"/>
      <c r="P43" s="93"/>
      <c r="Q43" s="93"/>
      <c r="R43" s="93"/>
      <c r="S43" s="93"/>
      <c r="T43" s="61"/>
      <c r="U43" s="93"/>
      <c r="V43" s="93"/>
      <c r="W43" s="93"/>
      <c r="X43" s="93"/>
      <c r="Y43" s="93"/>
      <c r="Z43" s="61"/>
      <c r="AA43" s="93"/>
      <c r="AB43" s="93"/>
      <c r="AC43" s="93"/>
      <c r="AD43" s="93"/>
      <c r="AE43" s="93"/>
      <c r="AF43" s="61"/>
      <c r="AG43" s="93"/>
      <c r="AH43" s="93"/>
      <c r="AI43" s="93"/>
      <c r="AJ43" s="93"/>
      <c r="AK43" s="93"/>
      <c r="AL43" s="61"/>
      <c r="AM43" s="93"/>
      <c r="AN43" s="93"/>
      <c r="AO43" s="93"/>
      <c r="AP43" s="93"/>
      <c r="AQ43" s="93"/>
      <c r="AR43" s="61"/>
      <c r="AS43" s="93"/>
      <c r="AT43" s="93"/>
      <c r="AU43" s="93"/>
      <c r="AV43" s="93"/>
      <c r="AW43" s="93"/>
      <c r="AX43" s="61"/>
      <c r="AY43" s="94"/>
      <c r="AZ43" s="94"/>
      <c r="BA43" s="94"/>
      <c r="BB43" s="94"/>
      <c r="BC43" s="94"/>
      <c r="BD43" s="99"/>
      <c r="BE43" s="94"/>
      <c r="BF43" s="94"/>
      <c r="BG43" s="94"/>
      <c r="BH43" s="836"/>
      <c r="BI43" s="94">
        <f t="shared" si="21"/>
        <v>0</v>
      </c>
      <c r="BJ43" s="99"/>
      <c r="BK43" s="836"/>
      <c r="BL43" s="836"/>
      <c r="BM43" s="836"/>
      <c r="BN43" s="836"/>
      <c r="BO43" s="1101">
        <f t="shared" si="22"/>
        <v>0</v>
      </c>
      <c r="BP43" s="99"/>
      <c r="BQ43" s="93"/>
      <c r="BR43" s="93"/>
      <c r="BS43" s="93"/>
      <c r="BT43" s="93"/>
      <c r="BU43" s="1101">
        <f t="shared" si="23"/>
        <v>0</v>
      </c>
      <c r="BV43" s="99"/>
      <c r="BW43" s="93"/>
      <c r="BX43" s="93"/>
      <c r="BY43" s="93"/>
      <c r="BZ43" s="93"/>
      <c r="CA43" s="1101">
        <f t="shared" si="24"/>
        <v>0</v>
      </c>
      <c r="CB43" s="99"/>
      <c r="CC43" s="93"/>
      <c r="CD43" s="93"/>
      <c r="CE43" s="93"/>
      <c r="CF43" s="93"/>
      <c r="CG43" s="1538">
        <f t="shared" si="25"/>
        <v>0</v>
      </c>
      <c r="CH43" s="99"/>
      <c r="CI43" s="93"/>
      <c r="CJ43" s="93"/>
      <c r="CK43" s="94"/>
      <c r="CL43" s="94"/>
      <c r="CM43" s="1101">
        <f t="shared" si="26"/>
        <v>0</v>
      </c>
      <c r="CN43" s="99"/>
      <c r="CO43" s="93"/>
      <c r="CP43" s="93"/>
      <c r="CQ43" s="93"/>
      <c r="CR43" s="93"/>
      <c r="CS43" s="1101">
        <f t="shared" si="27"/>
        <v>0</v>
      </c>
      <c r="CT43" s="990"/>
      <c r="CU43" s="93"/>
      <c r="CV43" s="93"/>
      <c r="CW43" s="93"/>
      <c r="CX43" s="93"/>
      <c r="CY43" s="1101">
        <f t="shared" si="28"/>
        <v>0</v>
      </c>
      <c r="CZ43" s="990"/>
      <c r="DA43" s="93"/>
      <c r="DB43" s="93"/>
      <c r="DC43" s="93"/>
      <c r="DD43" s="93"/>
      <c r="DE43" s="1101">
        <f t="shared" si="29"/>
        <v>0</v>
      </c>
      <c r="DF43" s="990"/>
      <c r="DG43" s="93"/>
      <c r="DH43" s="93"/>
      <c r="DI43" s="93"/>
      <c r="DJ43" s="93"/>
      <c r="DK43" s="1101">
        <f t="shared" si="30"/>
        <v>0</v>
      </c>
      <c r="DL43" s="99"/>
      <c r="DM43" s="93"/>
      <c r="DN43" s="93"/>
      <c r="DO43" s="93"/>
      <c r="DP43" s="93"/>
      <c r="DQ43" s="1101">
        <f t="shared" si="31"/>
        <v>0</v>
      </c>
      <c r="DR43" s="990"/>
      <c r="DS43" s="93"/>
      <c r="DT43" s="93"/>
      <c r="DU43" s="93"/>
      <c r="DV43" s="93"/>
      <c r="DW43" s="1101">
        <f t="shared" si="32"/>
        <v>0</v>
      </c>
      <c r="DX43" s="990"/>
      <c r="DY43" s="93"/>
      <c r="DZ43" s="93"/>
      <c r="EA43" s="93"/>
      <c r="EB43" s="93"/>
      <c r="EC43" s="1101">
        <f t="shared" si="33"/>
        <v>0</v>
      </c>
      <c r="ED43" s="990"/>
      <c r="EE43" s="93"/>
      <c r="EF43" s="93"/>
      <c r="EG43" s="93"/>
      <c r="EH43" s="93"/>
      <c r="EI43" s="1101">
        <f t="shared" si="34"/>
        <v>0</v>
      </c>
      <c r="EJ43" s="990"/>
      <c r="EK43" s="93"/>
      <c r="EL43" s="93"/>
      <c r="EM43" s="93"/>
      <c r="EN43" s="93"/>
      <c r="EO43" s="1101">
        <f t="shared" si="35"/>
        <v>0</v>
      </c>
      <c r="EP43" s="990"/>
      <c r="EQ43" s="93"/>
      <c r="ER43" s="93"/>
      <c r="ES43" s="93"/>
      <c r="ET43" s="93"/>
      <c r="EU43" s="1101">
        <f t="shared" si="36"/>
        <v>0</v>
      </c>
    </row>
    <row r="44" spans="1:151" hidden="1" outlineLevel="1">
      <c r="A44" s="201" t="s">
        <v>6800</v>
      </c>
      <c r="B44" s="90"/>
      <c r="C44" s="93"/>
      <c r="D44" s="93"/>
      <c r="E44" s="93"/>
      <c r="F44" s="93"/>
      <c r="G44" s="93"/>
      <c r="H44" s="90"/>
      <c r="I44" s="93"/>
      <c r="J44" s="93"/>
      <c r="K44" s="93"/>
      <c r="L44" s="93"/>
      <c r="M44" s="93"/>
      <c r="N44" s="90"/>
      <c r="O44" s="93"/>
      <c r="P44" s="93"/>
      <c r="Q44" s="93"/>
      <c r="R44" s="93"/>
      <c r="S44" s="93"/>
      <c r="T44" s="61"/>
      <c r="U44" s="93"/>
      <c r="V44" s="93"/>
      <c r="W44" s="93"/>
      <c r="X44" s="93"/>
      <c r="Y44" s="93"/>
      <c r="Z44" s="61"/>
      <c r="AA44" s="93"/>
      <c r="AB44" s="93"/>
      <c r="AC44" s="93"/>
      <c r="AD44" s="93"/>
      <c r="AE44" s="93"/>
      <c r="AF44" s="61"/>
      <c r="AG44" s="93"/>
      <c r="AH44" s="93"/>
      <c r="AI44" s="93"/>
      <c r="AJ44" s="93"/>
      <c r="AK44" s="93"/>
      <c r="AL44" s="61"/>
      <c r="AM44" s="93"/>
      <c r="AN44" s="93"/>
      <c r="AO44" s="93"/>
      <c r="AP44" s="93"/>
      <c r="AQ44" s="93">
        <f>SUM(AM44:AP44)</f>
        <v>0</v>
      </c>
      <c r="AR44" s="61"/>
      <c r="AS44" s="93"/>
      <c r="AT44" s="93"/>
      <c r="AU44" s="93"/>
      <c r="AV44" s="93"/>
      <c r="AW44" s="93">
        <f>SUM(AS44:AV44)</f>
        <v>0</v>
      </c>
      <c r="AX44" s="61"/>
      <c r="AY44" s="94"/>
      <c r="AZ44" s="94"/>
      <c r="BA44" s="94"/>
      <c r="BB44" s="94"/>
      <c r="BC44" s="94">
        <f>SUM(AY44:BB44)</f>
        <v>0</v>
      </c>
      <c r="BD44" s="99"/>
      <c r="BE44" s="94"/>
      <c r="BF44" s="94"/>
      <c r="BG44" s="94"/>
      <c r="BH44" s="94"/>
      <c r="BI44" s="94">
        <f t="shared" si="21"/>
        <v>0</v>
      </c>
      <c r="BJ44" s="99"/>
      <c r="BK44" s="93"/>
      <c r="BL44" s="93"/>
      <c r="BM44" s="93"/>
      <c r="BN44" s="93"/>
      <c r="BO44" s="1101">
        <f t="shared" si="22"/>
        <v>0</v>
      </c>
      <c r="BP44" s="99"/>
      <c r="BQ44" s="93"/>
      <c r="BR44" s="93"/>
      <c r="BS44" s="93"/>
      <c r="BT44" s="93"/>
      <c r="BU44" s="1101">
        <f t="shared" si="23"/>
        <v>0</v>
      </c>
      <c r="BV44" s="99"/>
      <c r="BW44" s="93"/>
      <c r="BX44" s="93"/>
      <c r="BY44" s="93"/>
      <c r="BZ44" s="93"/>
      <c r="CA44" s="1101">
        <f t="shared" si="24"/>
        <v>0</v>
      </c>
      <c r="CB44" s="99"/>
      <c r="CC44" s="93"/>
      <c r="CD44" s="93"/>
      <c r="CE44" s="93"/>
      <c r="CF44" s="93"/>
      <c r="CG44" s="1538">
        <f t="shared" si="25"/>
        <v>0</v>
      </c>
      <c r="CH44" s="99"/>
      <c r="CI44" s="93"/>
      <c r="CJ44" s="93"/>
      <c r="CK44" s="94"/>
      <c r="CL44" s="94"/>
      <c r="CM44" s="1101">
        <f t="shared" si="26"/>
        <v>0</v>
      </c>
      <c r="CN44" s="99"/>
      <c r="CO44" s="93"/>
      <c r="CP44" s="93"/>
      <c r="CQ44" s="93"/>
      <c r="CR44" s="93"/>
      <c r="CS44" s="1101">
        <f t="shared" si="27"/>
        <v>0</v>
      </c>
      <c r="CT44" s="990"/>
      <c r="CU44" s="93"/>
      <c r="CV44" s="93"/>
      <c r="CW44" s="93"/>
      <c r="CX44" s="93"/>
      <c r="CY44" s="1101">
        <f t="shared" si="28"/>
        <v>0</v>
      </c>
      <c r="CZ44" s="990"/>
      <c r="DA44" s="93"/>
      <c r="DB44" s="93"/>
      <c r="DC44" s="93"/>
      <c r="DD44" s="93"/>
      <c r="DE44" s="1101">
        <f t="shared" si="29"/>
        <v>0</v>
      </c>
      <c r="DF44" s="990"/>
      <c r="DG44" s="93"/>
      <c r="DH44" s="93"/>
      <c r="DI44" s="93"/>
      <c r="DJ44" s="93"/>
      <c r="DK44" s="1101">
        <f t="shared" si="30"/>
        <v>0</v>
      </c>
      <c r="DL44" s="99"/>
      <c r="DM44" s="93"/>
      <c r="DN44" s="93"/>
      <c r="DO44" s="93"/>
      <c r="DP44" s="93"/>
      <c r="DQ44" s="1101">
        <f t="shared" si="31"/>
        <v>0</v>
      </c>
      <c r="DR44" s="990"/>
      <c r="DS44" s="93"/>
      <c r="DT44" s="93"/>
      <c r="DU44" s="93"/>
      <c r="DV44" s="93"/>
      <c r="DW44" s="1101">
        <f t="shared" si="32"/>
        <v>0</v>
      </c>
      <c r="DX44" s="990"/>
      <c r="DY44" s="93"/>
      <c r="DZ44" s="93"/>
      <c r="EA44" s="93"/>
      <c r="EB44" s="93"/>
      <c r="EC44" s="1101">
        <f t="shared" si="33"/>
        <v>0</v>
      </c>
      <c r="ED44" s="990"/>
      <c r="EE44" s="93"/>
      <c r="EF44" s="93"/>
      <c r="EG44" s="93"/>
      <c r="EH44" s="93"/>
      <c r="EI44" s="1101">
        <f t="shared" si="34"/>
        <v>0</v>
      </c>
      <c r="EJ44" s="990"/>
      <c r="EK44" s="93"/>
      <c r="EL44" s="93"/>
      <c r="EM44" s="93"/>
      <c r="EN44" s="93"/>
      <c r="EO44" s="1101">
        <f t="shared" si="35"/>
        <v>0</v>
      </c>
      <c r="EP44" s="990"/>
      <c r="EQ44" s="93"/>
      <c r="ER44" s="93"/>
      <c r="ES44" s="93"/>
      <c r="ET44" s="93"/>
      <c r="EU44" s="1101">
        <f t="shared" si="36"/>
        <v>0</v>
      </c>
    </row>
    <row r="45" spans="1:151" hidden="1" outlineLevel="1">
      <c r="A45" s="201" t="s">
        <v>1803</v>
      </c>
      <c r="B45" s="90"/>
      <c r="C45" s="93"/>
      <c r="D45" s="93"/>
      <c r="E45" s="93"/>
      <c r="F45" s="93"/>
      <c r="G45" s="93"/>
      <c r="H45" s="90"/>
      <c r="I45" s="93"/>
      <c r="J45" s="93"/>
      <c r="K45" s="93"/>
      <c r="L45" s="93"/>
      <c r="M45" s="93"/>
      <c r="N45" s="90"/>
      <c r="O45" s="93"/>
      <c r="P45" s="93"/>
      <c r="Q45" s="93"/>
      <c r="R45" s="93"/>
      <c r="S45" s="93"/>
      <c r="T45" s="61"/>
      <c r="U45" s="93"/>
      <c r="V45" s="93"/>
      <c r="W45" s="93"/>
      <c r="X45" s="93"/>
      <c r="Y45" s="93"/>
      <c r="Z45" s="61"/>
      <c r="AA45" s="93"/>
      <c r="AB45" s="93"/>
      <c r="AC45" s="93"/>
      <c r="AD45" s="93"/>
      <c r="AE45" s="93"/>
      <c r="AF45" s="61"/>
      <c r="AG45" s="93"/>
      <c r="AH45" s="93"/>
      <c r="AI45" s="93"/>
      <c r="AJ45" s="93"/>
      <c r="AK45" s="93"/>
      <c r="AL45" s="61"/>
      <c r="AM45" s="93"/>
      <c r="AN45" s="93"/>
      <c r="AO45" s="93"/>
      <c r="AP45" s="93"/>
      <c r="AQ45" s="93"/>
      <c r="AR45" s="61"/>
      <c r="AS45" s="93"/>
      <c r="AT45" s="93"/>
      <c r="AU45" s="93"/>
      <c r="AV45" s="93"/>
      <c r="AW45" s="93"/>
      <c r="AX45" s="61"/>
      <c r="AY45" s="94"/>
      <c r="AZ45" s="94"/>
      <c r="BA45" s="94"/>
      <c r="BB45" s="94"/>
      <c r="BC45" s="94"/>
      <c r="BD45" s="99"/>
      <c r="BE45" s="94"/>
      <c r="BF45" s="94"/>
      <c r="BG45" s="94"/>
      <c r="BH45" s="94"/>
      <c r="BI45" s="94">
        <f t="shared" si="21"/>
        <v>0</v>
      </c>
      <c r="BJ45" s="99"/>
      <c r="BK45" s="93"/>
      <c r="BL45" s="93"/>
      <c r="BM45" s="93"/>
      <c r="BN45" s="93"/>
      <c r="BO45" s="1101">
        <f t="shared" si="22"/>
        <v>0</v>
      </c>
      <c r="BP45" s="99"/>
      <c r="BQ45" s="93"/>
      <c r="BR45" s="93"/>
      <c r="BS45" s="93"/>
      <c r="BT45" s="93"/>
      <c r="BU45" s="1101">
        <f t="shared" si="23"/>
        <v>0</v>
      </c>
      <c r="BV45" s="99"/>
      <c r="BW45" s="93"/>
      <c r="BX45" s="93"/>
      <c r="BY45" s="93"/>
      <c r="BZ45" s="93"/>
      <c r="CA45" s="1101">
        <f t="shared" si="24"/>
        <v>0</v>
      </c>
      <c r="CB45" s="99"/>
      <c r="CC45" s="93"/>
      <c r="CD45" s="93"/>
      <c r="CE45" s="93"/>
      <c r="CF45" s="93"/>
      <c r="CG45" s="1538">
        <f t="shared" si="25"/>
        <v>0</v>
      </c>
      <c r="CH45" s="99"/>
      <c r="CI45" s="93"/>
      <c r="CJ45" s="93"/>
      <c r="CK45" s="94"/>
      <c r="CL45" s="94"/>
      <c r="CM45" s="1101">
        <f t="shared" si="26"/>
        <v>0</v>
      </c>
      <c r="CN45" s="99"/>
      <c r="CO45" s="93"/>
      <c r="CP45" s="93"/>
      <c r="CQ45" s="93"/>
      <c r="CR45" s="93"/>
      <c r="CS45" s="1101">
        <f t="shared" si="27"/>
        <v>0</v>
      </c>
      <c r="CT45" s="990"/>
      <c r="CU45" s="93"/>
      <c r="CV45" s="93"/>
      <c r="CW45" s="93"/>
      <c r="CX45" s="93"/>
      <c r="CY45" s="1101">
        <f t="shared" si="28"/>
        <v>0</v>
      </c>
      <c r="CZ45" s="990"/>
      <c r="DA45" s="93"/>
      <c r="DB45" s="93"/>
      <c r="DC45" s="93"/>
      <c r="DD45" s="93"/>
      <c r="DE45" s="1101">
        <f t="shared" si="29"/>
        <v>0</v>
      </c>
      <c r="DF45" s="990"/>
      <c r="DG45" s="93"/>
      <c r="DH45" s="93"/>
      <c r="DI45" s="93"/>
      <c r="DJ45" s="93"/>
      <c r="DK45" s="1101">
        <f t="shared" si="30"/>
        <v>0</v>
      </c>
      <c r="DL45" s="99"/>
      <c r="DM45" s="93"/>
      <c r="DN45" s="93"/>
      <c r="DO45" s="93"/>
      <c r="DP45" s="93"/>
      <c r="DQ45" s="1101">
        <f t="shared" si="31"/>
        <v>0</v>
      </c>
      <c r="DR45" s="990"/>
      <c r="DS45" s="93"/>
      <c r="DT45" s="93"/>
      <c r="DU45" s="93"/>
      <c r="DV45" s="93"/>
      <c r="DW45" s="1101">
        <f t="shared" si="32"/>
        <v>0</v>
      </c>
      <c r="DX45" s="990"/>
      <c r="DY45" s="93"/>
      <c r="DZ45" s="93"/>
      <c r="EA45" s="93"/>
      <c r="EB45" s="93"/>
      <c r="EC45" s="1101">
        <f t="shared" si="33"/>
        <v>0</v>
      </c>
      <c r="ED45" s="990"/>
      <c r="EE45" s="93"/>
      <c r="EF45" s="93"/>
      <c r="EG45" s="93"/>
      <c r="EH45" s="93"/>
      <c r="EI45" s="1101">
        <f t="shared" si="34"/>
        <v>0</v>
      </c>
      <c r="EJ45" s="990"/>
      <c r="EK45" s="93"/>
      <c r="EL45" s="93"/>
      <c r="EM45" s="93"/>
      <c r="EN45" s="93"/>
      <c r="EO45" s="1101">
        <f t="shared" si="35"/>
        <v>0</v>
      </c>
      <c r="EP45" s="990"/>
      <c r="EQ45" s="93"/>
      <c r="ER45" s="93"/>
      <c r="ES45" s="93"/>
      <c r="ET45" s="93"/>
      <c r="EU45" s="1101">
        <f t="shared" si="36"/>
        <v>0</v>
      </c>
    </row>
    <row r="46" spans="1:151" hidden="1" outlineLevel="1">
      <c r="A46" s="201" t="s">
        <v>3814</v>
      </c>
      <c r="B46" s="90"/>
      <c r="C46" s="93"/>
      <c r="D46" s="93"/>
      <c r="E46" s="93"/>
      <c r="F46" s="93"/>
      <c r="G46" s="93"/>
      <c r="H46" s="90"/>
      <c r="I46" s="93"/>
      <c r="J46" s="93"/>
      <c r="K46" s="93"/>
      <c r="L46" s="93"/>
      <c r="M46" s="93"/>
      <c r="N46" s="90"/>
      <c r="O46" s="93"/>
      <c r="P46" s="93"/>
      <c r="Q46" s="93"/>
      <c r="R46" s="93"/>
      <c r="S46" s="93"/>
      <c r="T46" s="61"/>
      <c r="U46" s="93"/>
      <c r="V46" s="93"/>
      <c r="W46" s="93"/>
      <c r="X46" s="93"/>
      <c r="Y46" s="93"/>
      <c r="Z46" s="61"/>
      <c r="AA46" s="93"/>
      <c r="AB46" s="93"/>
      <c r="AC46" s="93"/>
      <c r="AD46" s="93"/>
      <c r="AE46" s="93"/>
      <c r="AF46" s="61"/>
      <c r="AG46" s="93"/>
      <c r="AH46" s="93"/>
      <c r="AI46" s="93"/>
      <c r="AJ46" s="93"/>
      <c r="AK46" s="93"/>
      <c r="AL46" s="61"/>
      <c r="AM46" s="93"/>
      <c r="AN46" s="93"/>
      <c r="AO46" s="93"/>
      <c r="AP46" s="93"/>
      <c r="AQ46" s="93">
        <f>SUM(AM46:AP46)</f>
        <v>0</v>
      </c>
      <c r="AR46" s="61"/>
      <c r="AS46" s="93"/>
      <c r="AT46" s="93"/>
      <c r="AU46" s="93"/>
      <c r="AV46" s="93"/>
      <c r="AW46" s="93">
        <f>SUM(AS46:AV46)</f>
        <v>0</v>
      </c>
      <c r="AX46" s="61"/>
      <c r="AY46" s="94"/>
      <c r="AZ46" s="94"/>
      <c r="BA46" s="94"/>
      <c r="BB46" s="94"/>
      <c r="BC46" s="94">
        <f>SUM(AY46:BB46)</f>
        <v>0</v>
      </c>
      <c r="BD46" s="99"/>
      <c r="BE46" s="94"/>
      <c r="BF46" s="94"/>
      <c r="BG46" s="94"/>
      <c r="BH46" s="94"/>
      <c r="BI46" s="94">
        <f>SUM(BE46:BH46)</f>
        <v>0</v>
      </c>
      <c r="BJ46" s="99"/>
      <c r="BK46" s="93"/>
      <c r="BL46" s="93"/>
      <c r="BM46" s="93"/>
      <c r="BN46" s="93"/>
      <c r="BO46" s="1101">
        <f>SUM(BK46:BN46)</f>
        <v>0</v>
      </c>
      <c r="BP46" s="99"/>
      <c r="BQ46" s="93"/>
      <c r="BR46" s="93"/>
      <c r="BS46" s="93"/>
      <c r="BT46" s="93"/>
      <c r="BU46" s="1101">
        <f>SUM(BQ46:BT46)</f>
        <v>0</v>
      </c>
      <c r="BV46" s="99"/>
      <c r="BW46" s="93"/>
      <c r="BX46" s="93"/>
      <c r="BY46" s="93"/>
      <c r="BZ46" s="93"/>
      <c r="CA46" s="1101">
        <f>SUM(BW46:BZ46)</f>
        <v>0</v>
      </c>
      <c r="CB46" s="99"/>
      <c r="CC46" s="93"/>
      <c r="CD46" s="93"/>
      <c r="CE46" s="93"/>
      <c r="CF46" s="93"/>
      <c r="CG46" s="1538">
        <f t="shared" si="25"/>
        <v>0</v>
      </c>
      <c r="CH46" s="99"/>
      <c r="CI46" s="93"/>
      <c r="CJ46" s="93"/>
      <c r="CK46" s="94"/>
      <c r="CL46" s="94"/>
      <c r="CM46" s="1101">
        <f>SUM(CI46:CL46)</f>
        <v>0</v>
      </c>
      <c r="CN46" s="99"/>
      <c r="CO46" s="93"/>
      <c r="CP46" s="93"/>
      <c r="CQ46" s="93"/>
      <c r="CR46" s="93"/>
      <c r="CS46" s="1101">
        <f>SUM(CO46:CR46)</f>
        <v>0</v>
      </c>
      <c r="CT46" s="990"/>
      <c r="CU46" s="93"/>
      <c r="CV46" s="93"/>
      <c r="CW46" s="93"/>
      <c r="CX46" s="93"/>
      <c r="CY46" s="1101">
        <f>SUM(CU46:CX46)</f>
        <v>0</v>
      </c>
      <c r="CZ46" s="990"/>
      <c r="DA46" s="93"/>
      <c r="DB46" s="93"/>
      <c r="DC46" s="93"/>
      <c r="DD46" s="93"/>
      <c r="DE46" s="1101">
        <f>SUM(DA46:DD46)</f>
        <v>0</v>
      </c>
      <c r="DF46" s="990"/>
      <c r="DG46" s="93"/>
      <c r="DH46" s="93"/>
      <c r="DI46" s="93"/>
      <c r="DJ46" s="93"/>
      <c r="DK46" s="1101">
        <f>SUM(DG46:DJ46)</f>
        <v>0</v>
      </c>
      <c r="DL46" s="99"/>
      <c r="DM46" s="93"/>
      <c r="DN46" s="93"/>
      <c r="DO46" s="93"/>
      <c r="DP46" s="93"/>
      <c r="DQ46" s="1101">
        <f>SUM(DM46:DP46)</f>
        <v>0</v>
      </c>
      <c r="DR46" s="990"/>
      <c r="DS46" s="93"/>
      <c r="DT46" s="93"/>
      <c r="DU46" s="93"/>
      <c r="DV46" s="93"/>
      <c r="DW46" s="1101">
        <f>SUM(DS46:DV46)</f>
        <v>0</v>
      </c>
      <c r="DX46" s="990"/>
      <c r="DY46" s="93"/>
      <c r="DZ46" s="93"/>
      <c r="EA46" s="93"/>
      <c r="EB46" s="93"/>
      <c r="EC46" s="1101">
        <f>SUM(DY46:EB46)</f>
        <v>0</v>
      </c>
      <c r="ED46" s="990"/>
      <c r="EE46" s="93"/>
      <c r="EF46" s="93"/>
      <c r="EG46" s="93"/>
      <c r="EH46" s="93"/>
      <c r="EI46" s="1101">
        <f>SUM(EE46:EH46)</f>
        <v>0</v>
      </c>
      <c r="EJ46" s="990"/>
      <c r="EK46" s="93"/>
      <c r="EL46" s="93"/>
      <c r="EM46" s="93"/>
      <c r="EN46" s="93"/>
      <c r="EO46" s="1101">
        <f>SUM(EK46:EN46)</f>
        <v>0</v>
      </c>
      <c r="EP46" s="990"/>
      <c r="EQ46" s="93"/>
      <c r="ER46" s="93"/>
      <c r="ES46" s="93"/>
      <c r="ET46" s="93"/>
      <c r="EU46" s="1101">
        <f>SUM(EQ46:ET46)</f>
        <v>0</v>
      </c>
    </row>
    <row r="47" spans="1:151" hidden="1" outlineLevel="1">
      <c r="A47" s="201" t="s">
        <v>6070</v>
      </c>
      <c r="B47" s="90"/>
      <c r="C47" s="93"/>
      <c r="D47" s="93"/>
      <c r="E47" s="93"/>
      <c r="F47" s="93"/>
      <c r="G47" s="93"/>
      <c r="H47" s="90"/>
      <c r="I47" s="93"/>
      <c r="J47" s="93"/>
      <c r="K47" s="93"/>
      <c r="L47" s="93"/>
      <c r="M47" s="93"/>
      <c r="N47" s="90"/>
      <c r="O47" s="93"/>
      <c r="P47" s="93"/>
      <c r="Q47" s="93"/>
      <c r="R47" s="93"/>
      <c r="S47" s="93"/>
      <c r="T47" s="61"/>
      <c r="U47" s="93"/>
      <c r="V47" s="93"/>
      <c r="W47" s="93"/>
      <c r="X47" s="93"/>
      <c r="Y47" s="93"/>
      <c r="Z47" s="61"/>
      <c r="AA47" s="93"/>
      <c r="AB47" s="93"/>
      <c r="AC47" s="93"/>
      <c r="AD47" s="93"/>
      <c r="AE47" s="93"/>
      <c r="AF47" s="61"/>
      <c r="AG47" s="93"/>
      <c r="AH47" s="93"/>
      <c r="AI47" s="93"/>
      <c r="AJ47" s="93"/>
      <c r="AK47" s="93"/>
      <c r="AL47" s="61"/>
      <c r="AM47" s="93"/>
      <c r="AN47" s="93"/>
      <c r="AO47" s="93"/>
      <c r="AP47" s="93"/>
      <c r="AQ47" s="93"/>
      <c r="AR47" s="61"/>
      <c r="AS47" s="93"/>
      <c r="AT47" s="93"/>
      <c r="AU47" s="93"/>
      <c r="AV47" s="93"/>
      <c r="AW47" s="93"/>
      <c r="AX47" s="61"/>
      <c r="AY47" s="94"/>
      <c r="AZ47" s="94"/>
      <c r="BA47" s="94"/>
      <c r="BB47" s="94"/>
      <c r="BC47" s="94"/>
      <c r="BD47" s="99"/>
      <c r="BE47" s="94"/>
      <c r="BF47" s="94"/>
      <c r="BG47" s="94"/>
      <c r="BH47" s="94"/>
      <c r="BI47" s="94"/>
      <c r="BJ47" s="99"/>
      <c r="BK47" s="93"/>
      <c r="BL47" s="93"/>
      <c r="BM47" s="93"/>
      <c r="BN47" s="93"/>
      <c r="BO47" s="1101"/>
      <c r="BP47" s="99"/>
      <c r="BQ47" s="93"/>
      <c r="BR47" s="93"/>
      <c r="BS47" s="93"/>
      <c r="BT47" s="93"/>
      <c r="BU47" s="1101"/>
      <c r="BV47" s="99"/>
      <c r="BW47" s="93"/>
      <c r="BX47" s="385">
        <f>BX23*0.5</f>
        <v>3.5</v>
      </c>
      <c r="BY47" s="385">
        <f>BY23*0.5</f>
        <v>6</v>
      </c>
      <c r="BZ47" s="385">
        <f>BZ23*0.5</f>
        <v>8.5</v>
      </c>
      <c r="CA47" s="1101">
        <f>SUM(BW47:BZ47)</f>
        <v>18</v>
      </c>
      <c r="CB47" s="1194"/>
      <c r="CC47" s="385">
        <f>CC23*0.5</f>
        <v>7</v>
      </c>
      <c r="CD47" s="385">
        <f>CD23*0.5</f>
        <v>4.5</v>
      </c>
      <c r="CE47" s="93"/>
      <c r="CF47" s="93"/>
      <c r="CG47" s="1538">
        <f t="shared" si="25"/>
        <v>11.5</v>
      </c>
      <c r="CH47" s="99"/>
      <c r="CI47" s="385"/>
      <c r="CJ47" s="385"/>
      <c r="CK47" s="94"/>
      <c r="CL47" s="94"/>
      <c r="CM47" s="1101"/>
      <c r="CN47" s="99"/>
      <c r="CO47" s="93"/>
      <c r="CP47" s="93"/>
      <c r="CQ47" s="93"/>
      <c r="CR47" s="93"/>
      <c r="CS47" s="1101"/>
      <c r="CT47" s="990"/>
      <c r="CU47" s="93"/>
      <c r="CV47" s="93"/>
      <c r="CW47" s="93"/>
      <c r="CX47" s="93"/>
      <c r="CY47" s="1101"/>
      <c r="CZ47" s="990"/>
      <c r="DA47" s="93"/>
      <c r="DB47" s="93"/>
      <c r="DC47" s="93"/>
      <c r="DD47" s="93"/>
      <c r="DE47" s="1101"/>
      <c r="DF47" s="990"/>
      <c r="DG47" s="93"/>
      <c r="DH47" s="93"/>
      <c r="DI47" s="93"/>
      <c r="DJ47" s="93"/>
      <c r="DK47" s="1101"/>
      <c r="DL47" s="99"/>
      <c r="DM47" s="93"/>
      <c r="DN47" s="93"/>
      <c r="DO47" s="93"/>
      <c r="DP47" s="93"/>
      <c r="DQ47" s="1101"/>
      <c r="DR47" s="990"/>
      <c r="DS47" s="93"/>
      <c r="DT47" s="93"/>
      <c r="DU47" s="93"/>
      <c r="DV47" s="93"/>
      <c r="DW47" s="1101"/>
      <c r="DX47" s="990"/>
      <c r="DY47" s="93"/>
      <c r="DZ47" s="93"/>
      <c r="EA47" s="93"/>
      <c r="EB47" s="93"/>
      <c r="EC47" s="1101"/>
      <c r="ED47" s="990"/>
      <c r="EE47" s="93"/>
      <c r="EF47" s="93"/>
      <c r="EG47" s="93"/>
      <c r="EH47" s="93"/>
      <c r="EI47" s="1101"/>
      <c r="EJ47" s="990"/>
      <c r="EK47" s="93"/>
      <c r="EL47" s="93"/>
      <c r="EM47" s="93"/>
      <c r="EN47" s="93"/>
      <c r="EO47" s="1101"/>
      <c r="EP47" s="990"/>
      <c r="EQ47" s="93"/>
      <c r="ER47" s="93"/>
      <c r="ES47" s="93"/>
      <c r="ET47" s="93"/>
      <c r="EU47" s="1101"/>
    </row>
    <row r="48" spans="1:151" hidden="1" outlineLevel="1">
      <c r="A48" s="201" t="s">
        <v>5254</v>
      </c>
      <c r="B48" s="90"/>
      <c r="C48" s="93"/>
      <c r="D48" s="93"/>
      <c r="E48" s="93"/>
      <c r="F48" s="93"/>
      <c r="G48" s="93"/>
      <c r="H48" s="90"/>
      <c r="I48" s="93"/>
      <c r="J48" s="93"/>
      <c r="K48" s="93"/>
      <c r="L48" s="93"/>
      <c r="M48" s="93"/>
      <c r="N48" s="90"/>
      <c r="O48" s="93"/>
      <c r="P48" s="93"/>
      <c r="Q48" s="93"/>
      <c r="R48" s="93"/>
      <c r="S48" s="93"/>
      <c r="T48" s="61"/>
      <c r="U48" s="93"/>
      <c r="V48" s="93"/>
      <c r="W48" s="93"/>
      <c r="X48" s="93"/>
      <c r="Y48" s="93"/>
      <c r="Z48" s="61"/>
      <c r="AA48" s="93"/>
      <c r="AB48" s="93"/>
      <c r="AC48" s="93"/>
      <c r="AD48" s="93"/>
      <c r="AE48" s="93"/>
      <c r="AF48" s="61"/>
      <c r="AG48" s="93"/>
      <c r="AH48" s="93"/>
      <c r="AI48" s="93"/>
      <c r="AJ48" s="93"/>
      <c r="AK48" s="93"/>
      <c r="AL48" s="61"/>
      <c r="AM48" s="93"/>
      <c r="AN48" s="93"/>
      <c r="AO48" s="93"/>
      <c r="AP48" s="93"/>
      <c r="AQ48" s="93"/>
      <c r="AR48" s="61"/>
      <c r="AS48" s="93"/>
      <c r="AT48" s="93"/>
      <c r="AU48" s="93"/>
      <c r="AV48" s="93"/>
      <c r="AW48" s="93"/>
      <c r="AX48" s="61"/>
      <c r="AY48" s="94"/>
      <c r="AZ48" s="94"/>
      <c r="BA48" s="94"/>
      <c r="BB48" s="94"/>
      <c r="BC48" s="94"/>
      <c r="BD48" s="99"/>
      <c r="BE48" s="94"/>
      <c r="BF48" s="94"/>
      <c r="BG48" s="94"/>
      <c r="BH48" s="94"/>
      <c r="BI48" s="94"/>
      <c r="BJ48" s="99"/>
      <c r="BK48" s="93"/>
      <c r="BL48" s="93"/>
      <c r="BM48" s="93"/>
      <c r="BN48" s="93"/>
      <c r="BO48" s="1101"/>
      <c r="BP48" s="99"/>
      <c r="BQ48" s="93"/>
      <c r="BR48" s="93"/>
      <c r="BS48" s="93"/>
      <c r="BT48" s="93"/>
      <c r="BU48" s="1101"/>
      <c r="BV48" s="99"/>
      <c r="BW48" s="93"/>
      <c r="BX48" s="385"/>
      <c r="BY48" s="385"/>
      <c r="BZ48" s="385">
        <f>BZ24*0.5</f>
        <v>2</v>
      </c>
      <c r="CA48" s="1101">
        <f>SUM(BW48:BZ48)</f>
        <v>2</v>
      </c>
      <c r="CB48" s="1194"/>
      <c r="CC48" s="385">
        <f>CC24*0.5</f>
        <v>2</v>
      </c>
      <c r="CD48" s="385">
        <f>CD24*0.5</f>
        <v>2.5</v>
      </c>
      <c r="CE48" s="385">
        <f>CE24*0.5</f>
        <v>2.5</v>
      </c>
      <c r="CF48" s="385"/>
      <c r="CG48" s="1538">
        <f t="shared" si="25"/>
        <v>7</v>
      </c>
      <c r="CH48" s="99"/>
      <c r="CI48" s="385"/>
      <c r="CJ48" s="385"/>
      <c r="CK48" s="836"/>
      <c r="CL48" s="836"/>
      <c r="CM48" s="1101"/>
      <c r="CN48" s="99"/>
      <c r="CO48" s="385"/>
      <c r="CP48" s="385"/>
      <c r="CQ48" s="385"/>
      <c r="CR48" s="93"/>
      <c r="CS48" s="1101"/>
      <c r="CT48" s="990"/>
      <c r="CU48" s="385"/>
      <c r="CV48" s="385"/>
      <c r="CW48" s="385"/>
      <c r="CX48" s="93"/>
      <c r="CY48" s="1101"/>
      <c r="CZ48" s="990"/>
      <c r="DA48" s="385"/>
      <c r="DB48" s="385"/>
      <c r="DC48" s="385"/>
      <c r="DD48" s="93"/>
      <c r="DE48" s="1101"/>
      <c r="DF48" s="990"/>
      <c r="DG48" s="385"/>
      <c r="DH48" s="385"/>
      <c r="DI48" s="385"/>
      <c r="DJ48" s="93"/>
      <c r="DK48" s="1101"/>
      <c r="DL48" s="99"/>
      <c r="DM48" s="385"/>
      <c r="DN48" s="385"/>
      <c r="DO48" s="385"/>
      <c r="DP48" s="93"/>
      <c r="DQ48" s="1101"/>
      <c r="DR48" s="990"/>
      <c r="DS48" s="385"/>
      <c r="DT48" s="385"/>
      <c r="DU48" s="385"/>
      <c r="DV48" s="93"/>
      <c r="DW48" s="1101"/>
      <c r="DX48" s="990"/>
      <c r="DY48" s="385"/>
      <c r="DZ48" s="385"/>
      <c r="EA48" s="385"/>
      <c r="EB48" s="93"/>
      <c r="EC48" s="1101"/>
      <c r="ED48" s="990"/>
      <c r="EE48" s="385"/>
      <c r="EF48" s="385"/>
      <c r="EG48" s="385"/>
      <c r="EH48" s="93"/>
      <c r="EI48" s="1101"/>
      <c r="EJ48" s="990"/>
      <c r="EK48" s="385"/>
      <c r="EL48" s="385"/>
      <c r="EM48" s="385"/>
      <c r="EN48" s="93"/>
      <c r="EO48" s="1101"/>
      <c r="EP48" s="990"/>
      <c r="EQ48" s="385"/>
      <c r="ER48" s="385"/>
      <c r="ES48" s="385"/>
      <c r="ET48" s="93"/>
      <c r="EU48" s="1101"/>
    </row>
    <row r="49" spans="1:151" hidden="1" outlineLevel="1">
      <c r="A49" s="201" t="s">
        <v>2336</v>
      </c>
      <c r="B49" s="90"/>
      <c r="C49" s="93"/>
      <c r="D49" s="93"/>
      <c r="E49" s="93"/>
      <c r="F49" s="93"/>
      <c r="G49" s="93"/>
      <c r="H49" s="90"/>
      <c r="I49" s="93"/>
      <c r="J49" s="93"/>
      <c r="K49" s="93"/>
      <c r="L49" s="93"/>
      <c r="M49" s="93"/>
      <c r="N49" s="90"/>
      <c r="O49" s="93"/>
      <c r="P49" s="93"/>
      <c r="Q49" s="93"/>
      <c r="R49" s="93"/>
      <c r="S49" s="93"/>
      <c r="T49" s="61"/>
      <c r="U49" s="93"/>
      <c r="V49" s="93"/>
      <c r="W49" s="93"/>
      <c r="X49" s="93"/>
      <c r="Y49" s="93"/>
      <c r="Z49" s="61"/>
      <c r="AA49" s="93"/>
      <c r="AB49" s="93"/>
      <c r="AC49" s="93"/>
      <c r="AD49" s="93"/>
      <c r="AE49" s="93"/>
      <c r="AF49" s="61"/>
      <c r="AG49" s="93"/>
      <c r="AH49" s="93"/>
      <c r="AI49" s="93"/>
      <c r="AJ49" s="93"/>
      <c r="AK49" s="93"/>
      <c r="AL49" s="61"/>
      <c r="AM49" s="93"/>
      <c r="AN49" s="93"/>
      <c r="AO49" s="93"/>
      <c r="AP49" s="93"/>
      <c r="AQ49" s="93"/>
      <c r="AR49" s="61"/>
      <c r="AS49" s="93"/>
      <c r="AT49" s="93"/>
      <c r="AU49" s="93"/>
      <c r="AV49" s="93"/>
      <c r="AW49" s="93"/>
      <c r="AX49" s="61"/>
      <c r="AY49" s="94"/>
      <c r="AZ49" s="94"/>
      <c r="BA49" s="94"/>
      <c r="BB49" s="94"/>
      <c r="BC49" s="94"/>
      <c r="BD49" s="99"/>
      <c r="BE49" s="94"/>
      <c r="BF49" s="94"/>
      <c r="BG49" s="94"/>
      <c r="BH49" s="94"/>
      <c r="BI49" s="94"/>
      <c r="BJ49" s="99"/>
      <c r="BK49" s="93"/>
      <c r="BL49" s="93"/>
      <c r="BM49" s="93"/>
      <c r="BN49" s="93"/>
      <c r="BO49" s="1101"/>
      <c r="BP49" s="99"/>
      <c r="BQ49" s="93"/>
      <c r="BR49" s="93"/>
      <c r="BS49" s="93"/>
      <c r="BT49" s="93"/>
      <c r="BU49" s="1101"/>
      <c r="BV49" s="99"/>
      <c r="BW49" s="93"/>
      <c r="BX49" s="385"/>
      <c r="BY49" s="385"/>
      <c r="BZ49" s="385">
        <f>BZ25</f>
        <v>-2</v>
      </c>
      <c r="CA49" s="1101">
        <f>SUM(BW49:BZ49)</f>
        <v>-2</v>
      </c>
      <c r="CB49" s="1194"/>
      <c r="CC49" s="385">
        <f>CC25</f>
        <v>-7</v>
      </c>
      <c r="CD49" s="385">
        <f>CD25</f>
        <v>-7</v>
      </c>
      <c r="CE49" s="385">
        <f>CE25</f>
        <v>-8</v>
      </c>
      <c r="CF49" s="385"/>
      <c r="CG49" s="1538">
        <f t="shared" si="25"/>
        <v>-22</v>
      </c>
      <c r="CH49" s="99"/>
      <c r="CI49" s="385"/>
      <c r="CJ49" s="385"/>
      <c r="CK49" s="836"/>
      <c r="CL49" s="836"/>
      <c r="CM49" s="1101"/>
      <c r="CN49" s="99"/>
      <c r="CO49" s="385"/>
      <c r="CP49" s="385"/>
      <c r="CQ49" s="385"/>
      <c r="CR49" s="93"/>
      <c r="CS49" s="1101"/>
      <c r="CT49" s="990"/>
      <c r="CU49" s="385"/>
      <c r="CV49" s="385"/>
      <c r="CW49" s="385"/>
      <c r="CX49" s="93"/>
      <c r="CY49" s="1101"/>
      <c r="CZ49" s="990"/>
      <c r="DA49" s="385"/>
      <c r="DB49" s="385"/>
      <c r="DC49" s="385"/>
      <c r="DD49" s="93"/>
      <c r="DE49" s="1101"/>
      <c r="DF49" s="990"/>
      <c r="DG49" s="385"/>
      <c r="DH49" s="385"/>
      <c r="DI49" s="385"/>
      <c r="DJ49" s="93"/>
      <c r="DK49" s="1101"/>
      <c r="DL49" s="99"/>
      <c r="DM49" s="385"/>
      <c r="DN49" s="385"/>
      <c r="DO49" s="385"/>
      <c r="DP49" s="93"/>
      <c r="DQ49" s="1101"/>
      <c r="DR49" s="990"/>
      <c r="DS49" s="385"/>
      <c r="DT49" s="385"/>
      <c r="DU49" s="385"/>
      <c r="DV49" s="93"/>
      <c r="DW49" s="1101"/>
      <c r="DX49" s="990"/>
      <c r="DY49" s="385"/>
      <c r="DZ49" s="385"/>
      <c r="EA49" s="385"/>
      <c r="EB49" s="93"/>
      <c r="EC49" s="1101"/>
      <c r="ED49" s="990"/>
      <c r="EE49" s="385"/>
      <c r="EF49" s="385"/>
      <c r="EG49" s="385"/>
      <c r="EH49" s="93"/>
      <c r="EI49" s="1101"/>
      <c r="EJ49" s="990"/>
      <c r="EK49" s="385"/>
      <c r="EL49" s="385"/>
      <c r="EM49" s="385"/>
      <c r="EN49" s="93"/>
      <c r="EO49" s="1101"/>
      <c r="EP49" s="990"/>
      <c r="EQ49" s="385"/>
      <c r="ER49" s="385"/>
      <c r="ES49" s="385"/>
      <c r="ET49" s="93"/>
      <c r="EU49" s="1101"/>
    </row>
    <row r="50" spans="1:151" hidden="1" outlineLevel="1">
      <c r="A50" s="201"/>
      <c r="B50" s="90"/>
      <c r="C50" s="93"/>
      <c r="D50" s="93"/>
      <c r="E50" s="93"/>
      <c r="F50" s="93"/>
      <c r="G50" s="93"/>
      <c r="H50" s="90"/>
      <c r="I50" s="93"/>
      <c r="J50" s="93"/>
      <c r="K50" s="93"/>
      <c r="L50" s="93"/>
      <c r="M50" s="93"/>
      <c r="N50" s="90"/>
      <c r="O50" s="93"/>
      <c r="P50" s="93"/>
      <c r="Q50" s="93"/>
      <c r="R50" s="93"/>
      <c r="S50" s="93"/>
      <c r="T50" s="61"/>
      <c r="U50" s="93"/>
      <c r="V50" s="93"/>
      <c r="W50" s="93"/>
      <c r="X50" s="93"/>
      <c r="Y50" s="93"/>
      <c r="Z50" s="61"/>
      <c r="AA50" s="93"/>
      <c r="AB50" s="93"/>
      <c r="AC50" s="93"/>
      <c r="AD50" s="93"/>
      <c r="AE50" s="93"/>
      <c r="AF50" s="61"/>
      <c r="AG50" s="93"/>
      <c r="AH50" s="93"/>
      <c r="AI50" s="93"/>
      <c r="AJ50" s="93"/>
      <c r="AK50" s="93"/>
      <c r="AL50" s="61"/>
      <c r="AM50" s="93"/>
      <c r="AN50" s="93"/>
      <c r="AO50" s="93"/>
      <c r="AP50" s="93"/>
      <c r="AQ50" s="93"/>
      <c r="AR50" s="61"/>
      <c r="AS50" s="93"/>
      <c r="AT50" s="93"/>
      <c r="AU50" s="93"/>
      <c r="AV50" s="93"/>
      <c r="AW50" s="93"/>
      <c r="AX50" s="61"/>
      <c r="AY50" s="94"/>
      <c r="AZ50" s="94"/>
      <c r="BA50" s="94"/>
      <c r="BB50" s="94"/>
      <c r="BC50" s="94"/>
      <c r="BD50" s="99"/>
      <c r="BE50" s="94"/>
      <c r="BF50" s="94"/>
      <c r="BG50" s="94"/>
      <c r="BH50" s="94"/>
      <c r="BI50" s="94"/>
      <c r="BJ50" s="99"/>
      <c r="BK50" s="93"/>
      <c r="BL50" s="93"/>
      <c r="BM50" s="93"/>
      <c r="BN50" s="93"/>
      <c r="BO50" s="1101"/>
      <c r="BP50" s="99"/>
      <c r="BQ50" s="93"/>
      <c r="BR50" s="93"/>
      <c r="BS50" s="93"/>
      <c r="BT50" s="93"/>
      <c r="BU50" s="1101"/>
      <c r="BV50" s="99"/>
      <c r="BW50" s="93"/>
      <c r="BX50" s="93"/>
      <c r="BY50" s="93"/>
      <c r="BZ50" s="93"/>
      <c r="CA50" s="1101"/>
      <c r="CB50" s="99"/>
      <c r="CC50" s="93"/>
      <c r="CD50" s="93"/>
      <c r="CE50" s="93"/>
      <c r="CF50" s="93"/>
      <c r="CG50" s="1538"/>
      <c r="CH50" s="99"/>
      <c r="CI50" s="93"/>
      <c r="CJ50" s="93"/>
      <c r="CK50" s="94"/>
      <c r="CL50" s="94"/>
      <c r="CM50" s="1101"/>
      <c r="CN50" s="99"/>
      <c r="CO50" s="93"/>
      <c r="CP50" s="93"/>
      <c r="CQ50" s="93"/>
      <c r="CR50" s="93"/>
      <c r="CS50" s="1101"/>
      <c r="CT50" s="990"/>
      <c r="CU50" s="93"/>
      <c r="CV50" s="93"/>
      <c r="CW50" s="93"/>
      <c r="CX50" s="93"/>
      <c r="CY50" s="1101"/>
      <c r="CZ50" s="990"/>
      <c r="DA50" s="93"/>
      <c r="DB50" s="93"/>
      <c r="DC50" s="93"/>
      <c r="DD50" s="93"/>
      <c r="DE50" s="1101"/>
      <c r="DF50" s="990"/>
      <c r="DG50" s="93"/>
      <c r="DH50" s="93"/>
      <c r="DI50" s="93"/>
      <c r="DJ50" s="93"/>
      <c r="DK50" s="1101"/>
      <c r="DL50" s="99"/>
      <c r="DM50" s="93"/>
      <c r="DN50" s="93"/>
      <c r="DO50" s="93"/>
      <c r="DP50" s="93"/>
      <c r="DQ50" s="1101"/>
      <c r="DR50" s="990"/>
      <c r="DS50" s="93"/>
      <c r="DT50" s="93"/>
      <c r="DU50" s="93"/>
      <c r="DV50" s="93"/>
      <c r="DW50" s="1101"/>
      <c r="DX50" s="990"/>
      <c r="DY50" s="93"/>
      <c r="DZ50" s="93"/>
      <c r="EA50" s="93"/>
      <c r="EB50" s="93"/>
      <c r="EC50" s="1101"/>
      <c r="ED50" s="990"/>
      <c r="EE50" s="93"/>
      <c r="EF50" s="93"/>
      <c r="EG50" s="93"/>
      <c r="EH50" s="93"/>
      <c r="EI50" s="1101"/>
      <c r="EJ50" s="990"/>
      <c r="EK50" s="93"/>
      <c r="EL50" s="93"/>
      <c r="EM50" s="93"/>
      <c r="EN50" s="93"/>
      <c r="EO50" s="1101"/>
      <c r="EP50" s="990"/>
      <c r="EQ50" s="93"/>
      <c r="ER50" s="93"/>
      <c r="ES50" s="93"/>
      <c r="ET50" s="93"/>
      <c r="EU50" s="1101"/>
    </row>
    <row r="51" spans="1:151" hidden="1" outlineLevel="1">
      <c r="A51" s="200" t="s">
        <v>4577</v>
      </c>
      <c r="B51" s="52"/>
      <c r="C51" s="118"/>
      <c r="D51" s="118"/>
      <c r="E51" s="118"/>
      <c r="F51" s="118"/>
      <c r="G51" s="118"/>
      <c r="H51" s="52"/>
      <c r="I51" s="118"/>
      <c r="J51" s="118"/>
      <c r="K51" s="118"/>
      <c r="L51" s="118"/>
      <c r="M51" s="118"/>
      <c r="N51" s="52"/>
      <c r="O51" s="118">
        <f>O36-SUM(O37:O46)</f>
        <v>0</v>
      </c>
      <c r="P51" s="118">
        <f>P36-SUM(P37:P46)</f>
        <v>0</v>
      </c>
      <c r="Q51" s="118">
        <f>Q36-SUM(Q37:Q46)</f>
        <v>0</v>
      </c>
      <c r="R51" s="118">
        <f>R36-SUM(R37:R46)</f>
        <v>0</v>
      </c>
      <c r="S51" s="118"/>
      <c r="T51" s="64"/>
      <c r="U51" s="118">
        <f>U36-SUM(U37:U46)</f>
        <v>0</v>
      </c>
      <c r="V51" s="118">
        <f>V36-SUM(V37:V46)</f>
        <v>0</v>
      </c>
      <c r="W51" s="118">
        <f>W36-SUM(W37:W46)</f>
        <v>0</v>
      </c>
      <c r="X51" s="118">
        <f>X36-SUM(X37:X46)</f>
        <v>0</v>
      </c>
      <c r="Y51" s="118"/>
      <c r="Z51" s="64"/>
      <c r="AA51" s="118">
        <f>AA36-SUM(AA37:AA46)</f>
        <v>0</v>
      </c>
      <c r="AB51" s="118">
        <f>AB36-SUM(AB37:AB46)</f>
        <v>0</v>
      </c>
      <c r="AC51" s="118">
        <f>AC36-SUM(AC37:AC46)</f>
        <v>0</v>
      </c>
      <c r="AD51" s="118">
        <f>AD36-SUM(AD37:AD46)</f>
        <v>0</v>
      </c>
      <c r="AE51" s="118"/>
      <c r="AF51" s="64"/>
      <c r="AG51" s="118">
        <f>AG36-SUM(AG37:AG46)</f>
        <v>236.78299999999999</v>
      </c>
      <c r="AH51" s="118">
        <f>AH36-SUM(AH37:AH46)</f>
        <v>220.23</v>
      </c>
      <c r="AI51" s="118">
        <f>AI36-SUM(AI37:AI46)</f>
        <v>204.541</v>
      </c>
      <c r="AJ51" s="118">
        <f>AJ36-SUM(AJ37:AJ46)</f>
        <v>240.25800000000001</v>
      </c>
      <c r="AK51" s="118"/>
      <c r="AL51" s="64"/>
      <c r="AM51" s="118">
        <f>AM36-SUM(AM37:AM46)</f>
        <v>213.66399999999999</v>
      </c>
      <c r="AN51" s="118">
        <f>AN36-SUM(AN37:AN46)</f>
        <v>193.33500000000001</v>
      </c>
      <c r="AO51" s="118">
        <f>AO36-SUM(AO37:AO46)</f>
        <v>168.27099999999999</v>
      </c>
      <c r="AP51" s="118">
        <f>AP36-SUM(AP37:AP46)</f>
        <v>173.67400000000001</v>
      </c>
      <c r="AQ51" s="118">
        <f>AQ36-SUM(AQ37:AQ46)</f>
        <v>748.94399999999996</v>
      </c>
      <c r="AR51" s="64"/>
      <c r="AS51" s="118">
        <f>AS36-SUM(AS37:AS46)</f>
        <v>186.881</v>
      </c>
      <c r="AT51" s="118">
        <f>AT36-SUM(AT37:AT46)</f>
        <v>183.434</v>
      </c>
      <c r="AU51" s="118">
        <f>AU36-SUM(AU37:AU46)</f>
        <v>204.303</v>
      </c>
      <c r="AV51" s="118">
        <f>AV36-SUM(AV37:AV46)</f>
        <v>262.11900000000003</v>
      </c>
      <c r="AW51" s="118">
        <f>AW36-SUM(AW37:AW46)</f>
        <v>836.73699999999997</v>
      </c>
      <c r="AX51" s="64"/>
      <c r="AY51" s="119">
        <f>AY36-SUM(AY37:AY46)</f>
        <v>261.8</v>
      </c>
      <c r="AZ51" s="119">
        <f>AZ36-SUM(AZ37:AZ46)</f>
        <v>240.2</v>
      </c>
      <c r="BA51" s="119">
        <f>BA36-SUM(BA37:BA46)</f>
        <v>256.60000000000002</v>
      </c>
      <c r="BB51" s="119">
        <f>BB36-SUM(BB37:BB46)</f>
        <v>306.7</v>
      </c>
      <c r="BC51" s="119">
        <f>BC36-SUM(BC37:BC46)</f>
        <v>1065.3</v>
      </c>
      <c r="BD51" s="98"/>
      <c r="BE51" s="119">
        <f>BE36-SUM(BE37:BE46)</f>
        <v>299.39999999999998</v>
      </c>
      <c r="BF51" s="119">
        <f>BF36-SUM(BF37:BF46)</f>
        <v>312.89999999999998</v>
      </c>
      <c r="BG51" s="119">
        <f>BG36-SUM(BG37:BG46)</f>
        <v>308.7</v>
      </c>
      <c r="BH51" s="119">
        <f>BH36-SUM(BH37:BH46)</f>
        <v>338.79900000000004</v>
      </c>
      <c r="BI51" s="119">
        <f>BI36-SUM(BI37:BI46)</f>
        <v>1259.799</v>
      </c>
      <c r="BJ51" s="98"/>
      <c r="BK51" s="118">
        <f>BK36-SUM(BK37:BK46)</f>
        <v>337.39400000000001</v>
      </c>
      <c r="BL51" s="118">
        <f>BL36-SUM(BL37:BL46)</f>
        <v>330.82600000000002</v>
      </c>
      <c r="BM51" s="118">
        <f>BM36-SUM(BM37:BM46)</f>
        <v>330.29200000000003</v>
      </c>
      <c r="BN51" s="118">
        <f>BN36-SUM(BN37:BN46)</f>
        <v>356.024</v>
      </c>
      <c r="BO51" s="1099">
        <f>BO36-SUM(BO37:BO46)</f>
        <v>1354.5360000000001</v>
      </c>
      <c r="BP51" s="98"/>
      <c r="BQ51" s="118">
        <f>BQ36-SUM(BQ37:BQ46)</f>
        <v>383.2</v>
      </c>
      <c r="BR51" s="118">
        <f>BR36-SUM(BR37:BR46)</f>
        <v>393.6</v>
      </c>
      <c r="BS51" s="118">
        <f>BS36-SUM(BS37:BS46)</f>
        <v>395.8</v>
      </c>
      <c r="BT51" s="118">
        <f>BT36-SUM(BT37:BT46)</f>
        <v>446</v>
      </c>
      <c r="BU51" s="1099">
        <f>BU36-SUM(BU37:BU46)</f>
        <v>1618.6</v>
      </c>
      <c r="BV51" s="98"/>
      <c r="BW51" s="118">
        <f>BW36-SUM(BW37:BW50)</f>
        <v>432.2</v>
      </c>
      <c r="BX51" s="118">
        <f>BX36-SUM(BX37:BX50)</f>
        <v>436.7</v>
      </c>
      <c r="BY51" s="118">
        <f>BY36-SUM(BY37:BY50)</f>
        <v>415</v>
      </c>
      <c r="BZ51" s="118">
        <f>BZ36-SUM(BZ37:BZ50)</f>
        <v>301.5</v>
      </c>
      <c r="CA51" s="1099">
        <f>CA36-SUM(CA37:CA50)</f>
        <v>1585.4</v>
      </c>
      <c r="CB51" s="98"/>
      <c r="CC51" s="118">
        <f>CC36-SUM(CC37:CC50)</f>
        <v>241.6</v>
      </c>
      <c r="CD51" s="118">
        <f>CD36-SUM(CD37:CD50)</f>
        <v>231</v>
      </c>
      <c r="CE51" s="118">
        <f>CE36-SUM(CE37:CE50)</f>
        <v>241.6</v>
      </c>
      <c r="CF51" s="118">
        <f>CF36-SUM(CF37:CF50)</f>
        <v>270</v>
      </c>
      <c r="CG51" s="1536">
        <f>CG36-SUM(CG37:CG50)</f>
        <v>984.2</v>
      </c>
      <c r="CH51" s="98"/>
      <c r="CI51" s="118">
        <f>CI36-SUM(CI37:CI46)</f>
        <v>279.8</v>
      </c>
      <c r="CJ51" s="118">
        <f>CJ36-SUM(CJ37:CJ46)</f>
        <v>280.7</v>
      </c>
      <c r="CK51" s="119">
        <f>CK36-SUM(CK37:CK46)</f>
        <v>282</v>
      </c>
      <c r="CL51" s="119">
        <f>CL36-SUM(CL37:CL46)</f>
        <v>329.6</v>
      </c>
      <c r="CM51" s="1099">
        <f>CM36-SUM(CM37:CM46)</f>
        <v>1172.0999999999999</v>
      </c>
      <c r="CN51" s="98"/>
      <c r="CO51" s="118">
        <f t="shared" ref="CO51:DE51" si="37">CO36-SUM(CO37:CO46)</f>
        <v>323</v>
      </c>
      <c r="CP51" s="118">
        <f t="shared" si="37"/>
        <v>333</v>
      </c>
      <c r="CQ51" s="118">
        <f t="shared" si="37"/>
        <v>331.4</v>
      </c>
      <c r="CR51" s="118">
        <f t="shared" si="37"/>
        <v>370.2</v>
      </c>
      <c r="CS51" s="1099">
        <f t="shared" si="37"/>
        <v>1357.6</v>
      </c>
      <c r="CT51" s="1773"/>
      <c r="CU51" s="118">
        <f t="shared" si="37"/>
        <v>323</v>
      </c>
      <c r="CV51" s="118">
        <f t="shared" si="37"/>
        <v>333</v>
      </c>
      <c r="CW51" s="118">
        <f t="shared" si="37"/>
        <v>331.4</v>
      </c>
      <c r="CX51" s="118">
        <f t="shared" si="37"/>
        <v>370.2</v>
      </c>
      <c r="CY51" s="1099">
        <f t="shared" si="37"/>
        <v>1357.6</v>
      </c>
      <c r="CZ51" s="1773"/>
      <c r="DA51" s="118">
        <f t="shared" si="37"/>
        <v>323</v>
      </c>
      <c r="DB51" s="118">
        <f t="shared" si="37"/>
        <v>333</v>
      </c>
      <c r="DC51" s="118">
        <f t="shared" si="37"/>
        <v>331.4</v>
      </c>
      <c r="DD51" s="118">
        <f t="shared" si="37"/>
        <v>370.2</v>
      </c>
      <c r="DE51" s="1099">
        <f t="shared" si="37"/>
        <v>1357.6</v>
      </c>
      <c r="DF51" s="1773"/>
      <c r="DG51" s="118">
        <f>DG36-SUM(DG37:DG46)</f>
        <v>323</v>
      </c>
      <c r="DH51" s="118">
        <f>DH36-SUM(DH37:DH46)</f>
        <v>333</v>
      </c>
      <c r="DI51" s="118">
        <f>DI36-SUM(DI37:DI46)</f>
        <v>331.4</v>
      </c>
      <c r="DJ51" s="118">
        <f>DJ36-SUM(DJ37:DJ46)</f>
        <v>370.2</v>
      </c>
      <c r="DK51" s="1099">
        <f>DK36-SUM(DK37:DK46)</f>
        <v>1357.6</v>
      </c>
      <c r="DL51" s="98"/>
      <c r="DM51" s="118">
        <f>DM36-SUM(DM37:DM46)</f>
        <v>323</v>
      </c>
      <c r="DN51" s="118">
        <f>DN36-SUM(DN37:DN46)</f>
        <v>333</v>
      </c>
      <c r="DO51" s="118">
        <f>DO36-SUM(DO37:DO46)</f>
        <v>331.4</v>
      </c>
      <c r="DP51" s="118">
        <f>DP36-SUM(DP37:DP46)</f>
        <v>370.2</v>
      </c>
      <c r="DQ51" s="1099">
        <f>DQ36-SUM(DQ37:DQ46)</f>
        <v>1357.6</v>
      </c>
      <c r="DS51" s="118">
        <f>DS36-SUM(DS37:DS46)</f>
        <v>323</v>
      </c>
      <c r="DT51" s="118">
        <f>DT36-SUM(DT37:DT46)</f>
        <v>333</v>
      </c>
      <c r="DU51" s="118">
        <f>DU36-SUM(DU37:DU46)</f>
        <v>331.4</v>
      </c>
      <c r="DV51" s="118">
        <f>DV36-SUM(DV37:DV46)</f>
        <v>370.2</v>
      </c>
      <c r="DW51" s="1099">
        <f>DW36-SUM(DW37:DW46)</f>
        <v>1357.6</v>
      </c>
      <c r="DY51" s="118">
        <f>DY36-SUM(DY37:DY46)</f>
        <v>323</v>
      </c>
      <c r="DZ51" s="118">
        <f>DZ36-SUM(DZ37:DZ46)</f>
        <v>333</v>
      </c>
      <c r="EA51" s="118">
        <f>EA36-SUM(EA37:EA46)</f>
        <v>331.4</v>
      </c>
      <c r="EB51" s="118">
        <f>EB36-SUM(EB37:EB46)</f>
        <v>370.2</v>
      </c>
      <c r="EC51" s="1099">
        <f>EC36-SUM(EC37:EC46)</f>
        <v>1357.6</v>
      </c>
      <c r="EE51" s="118">
        <f>EE36-SUM(EE37:EE46)</f>
        <v>323</v>
      </c>
      <c r="EF51" s="118">
        <f>EF36-SUM(EF37:EF46)</f>
        <v>333</v>
      </c>
      <c r="EG51" s="118">
        <f>EG36-SUM(EG37:EG46)</f>
        <v>331.4</v>
      </c>
      <c r="EH51" s="118">
        <f>EH36-SUM(EH37:EH46)</f>
        <v>370.2</v>
      </c>
      <c r="EI51" s="1099">
        <f>EI36-SUM(EI37:EI46)</f>
        <v>1357.6</v>
      </c>
      <c r="EK51" s="118">
        <f>EK36-SUM(EK37:EK46)</f>
        <v>323</v>
      </c>
      <c r="EL51" s="118">
        <f>EL36-SUM(EL37:EL46)</f>
        <v>333</v>
      </c>
      <c r="EM51" s="118">
        <f>EM36-SUM(EM37:EM46)</f>
        <v>331.4</v>
      </c>
      <c r="EN51" s="118">
        <f>EN36-SUM(EN37:EN46)</f>
        <v>370.2</v>
      </c>
      <c r="EO51" s="1099">
        <f>EO36-SUM(EO37:EO46)</f>
        <v>1357.6</v>
      </c>
      <c r="EQ51" s="118">
        <f>EQ36-SUM(EQ37:EQ46)</f>
        <v>323</v>
      </c>
      <c r="ER51" s="118">
        <f>ER36-SUM(ER37:ER46)</f>
        <v>333</v>
      </c>
      <c r="ES51" s="118">
        <f>ES36-SUM(ES37:ES46)</f>
        <v>331.4</v>
      </c>
      <c r="ET51" s="118">
        <f>ET36-SUM(ET37:ET46)</f>
        <v>370.2</v>
      </c>
      <c r="EU51" s="1099">
        <f>EU36-SUM(EU37:EU46)</f>
        <v>1357.6</v>
      </c>
    </row>
    <row r="52" spans="1:151" hidden="1" outlineLevel="1">
      <c r="A52" s="199" t="s">
        <v>4577</v>
      </c>
      <c r="B52" s="90"/>
      <c r="C52" s="43"/>
      <c r="D52" s="43"/>
      <c r="E52" s="38"/>
      <c r="F52" s="38"/>
      <c r="G52" s="38"/>
      <c r="H52" s="90"/>
      <c r="I52" s="43"/>
      <c r="J52" s="43"/>
      <c r="K52" s="43"/>
      <c r="L52" s="43"/>
      <c r="M52" s="38"/>
      <c r="N52" s="90"/>
      <c r="O52" s="43" t="str">
        <f>IF(ISERROR(O51/I36-1),"nm",O51/I36-1)</f>
        <v>nm</v>
      </c>
      <c r="P52" s="43" t="str">
        <f>IF(ISERROR(P51/J36-1),"nm",P51/J36-1)</f>
        <v>nm</v>
      </c>
      <c r="Q52" s="43" t="str">
        <f>IF(ISERROR(Q51/K36-1),"nm",Q51/K36-1)</f>
        <v>nm</v>
      </c>
      <c r="R52" s="43" t="str">
        <f>IF(ISERROR(R51/L36-1),"nm",R51/L36-1)</f>
        <v>nm</v>
      </c>
      <c r="S52" s="43"/>
      <c r="T52" s="62"/>
      <c r="U52" s="43" t="str">
        <f>IF(ISERROR(U51/O36-1),"nm",U51/O36-1)</f>
        <v>nm</v>
      </c>
      <c r="V52" s="43" t="str">
        <f>IF(ISERROR(V51/P36-1),"nm",V51/P36-1)</f>
        <v>nm</v>
      </c>
      <c r="W52" s="43" t="str">
        <f>IF(ISERROR(W51/Q36-1),"nm",W51/Q36-1)</f>
        <v>nm</v>
      </c>
      <c r="X52" s="43" t="str">
        <f>IF(ISERROR(X51/R36-1),"nm",X51/R36-1)</f>
        <v>nm</v>
      </c>
      <c r="Y52" s="43"/>
      <c r="Z52" s="62"/>
      <c r="AA52" s="43" t="str">
        <f>IF(ISERROR(AA51/U36-1),"nm",AA51/U36-1)</f>
        <v>nm</v>
      </c>
      <c r="AB52" s="43" t="str">
        <f>IF(ISERROR(AB51/V36-1),"nm",AB51/V36-1)</f>
        <v>nm</v>
      </c>
      <c r="AC52" s="43" t="str">
        <f>IF(ISERROR(AC51/W36-1),"nm",AC51/W36-1)</f>
        <v>nm</v>
      </c>
      <c r="AD52" s="43" t="str">
        <f>IF(ISERROR(AD51/X36-1),"nm",AD51/X36-1)</f>
        <v>nm</v>
      </c>
      <c r="AE52" s="43"/>
      <c r="AF52" s="62"/>
      <c r="AG52" s="43" t="str">
        <f>IF(ISERROR(AG51/AA36-1),"nm",AG51/AA36-1)</f>
        <v>nm</v>
      </c>
      <c r="AH52" s="43" t="str">
        <f>IF(ISERROR(AH51/AB36-1),"nm",AH51/AB36-1)</f>
        <v>nm</v>
      </c>
      <c r="AI52" s="43" t="str">
        <f>IF(ISERROR(AI51/AC36-1),"nm",AI51/AC36-1)</f>
        <v>nm</v>
      </c>
      <c r="AJ52" s="43" t="str">
        <f>IF(ISERROR(AJ51/AD36-1),"nm",AJ51/AD36-1)</f>
        <v>nm</v>
      </c>
      <c r="AK52" s="43"/>
      <c r="AL52" s="62"/>
      <c r="AM52" s="84">
        <f>IF(ISERROR(AM51/AG36-1),"nm",AM51/AG36-1)</f>
        <v>-9.7637921641334002E-2</v>
      </c>
      <c r="AN52" s="84">
        <f>IF(ISERROR(AN51/AH36-1),"nm",AN51/AH36-1)</f>
        <v>-0.12212232665849332</v>
      </c>
      <c r="AO52" s="84">
        <f>IF(ISERROR(AO51/AI36-1),"nm",AO51/AI36-1)</f>
        <v>-0.17732386171965531</v>
      </c>
      <c r="AP52" s="84">
        <f>IF(ISERROR(AP51/AJ36-1),"nm",AP51/AJ36-1)</f>
        <v>-0.2771354127646114</v>
      </c>
      <c r="AQ52" s="84" t="str">
        <f>IF(ISERROR(AQ51/AK36-1),"nm",AQ51/AK36-1)</f>
        <v>nm</v>
      </c>
      <c r="AR52" s="116"/>
      <c r="AS52" s="84">
        <f>IF(ISERROR(AS51/AM36-1),"nm",AS51/AM36-1)</f>
        <v>-0.12535101842144669</v>
      </c>
      <c r="AT52" s="84">
        <f>IF(ISERROR(AT51/AN36-1),"nm",AT51/AN36-1)</f>
        <v>-5.1211627485969968E-2</v>
      </c>
      <c r="AU52" s="84">
        <f>IF(ISERROR(AU51/AO36-1),"nm",AU51/AO36-1)</f>
        <v>0.21413077713925754</v>
      </c>
      <c r="AV52" s="84">
        <f>IF(ISERROR(AV51/AP36-1),"nm",AV51/AP36-1)</f>
        <v>0.50925872611905065</v>
      </c>
      <c r="AW52" s="84">
        <f>IF(ISERROR(AW51/AQ36-1),"nm",AW51/AQ36-1)</f>
        <v>0.1172223824478198</v>
      </c>
      <c r="AX52" s="116"/>
      <c r="AY52" s="84">
        <f>IF(ISERROR(AY51/AS36-1),"nm",AY51/AS36-1)</f>
        <v>0.40089147639406897</v>
      </c>
      <c r="AZ52" s="84">
        <f>IF(ISERROR(AZ51/AT36-1),"nm",AZ51/AT36-1)</f>
        <v>0.30946280406031601</v>
      </c>
      <c r="BA52" s="84">
        <f>IF(ISERROR(BA51/AU36-1),"nm",BA51/AU36-1)</f>
        <v>0.25597764105275012</v>
      </c>
      <c r="BB52" s="84">
        <f>IF(ISERROR(BB51/AV36-1),"nm",BB51/AV36-1)</f>
        <v>0.17007923881900955</v>
      </c>
      <c r="BC52" s="84">
        <f>IF(ISERROR(BC51/AW36-1),"nm",BC51/AW36-1)</f>
        <v>0.27315990568123549</v>
      </c>
      <c r="BD52" s="138"/>
      <c r="BE52" s="84">
        <f>BE51/AY36-1</f>
        <v>0.1436210847975552</v>
      </c>
      <c r="BF52" s="84">
        <f>BF51/AZ36-1</f>
        <v>0.30266444629475431</v>
      </c>
      <c r="BG52" s="84">
        <f>BG51/BA36-1</f>
        <v>0.20303975058456736</v>
      </c>
      <c r="BH52" s="84">
        <f>BH51/BB36-1</f>
        <v>0.10465927616563442</v>
      </c>
      <c r="BI52" s="84">
        <f>BI51/BC36-1</f>
        <v>0.18257673894677562</v>
      </c>
      <c r="BJ52" s="138"/>
      <c r="BK52" s="38">
        <f>BK51/BE36-1</f>
        <v>0.12690046760187057</v>
      </c>
      <c r="BL52" s="38">
        <f>BL51/BF36-1</f>
        <v>5.728986896772148E-2</v>
      </c>
      <c r="BM52" s="38">
        <f>BM51/BG36-1</f>
        <v>6.9944930353093682E-2</v>
      </c>
      <c r="BN52" s="38">
        <f>BN51/BH36-1</f>
        <v>4.4671361502347295E-2</v>
      </c>
      <c r="BO52" s="1098">
        <f>BO51/BI36-1</f>
        <v>7.3495007132667656E-2</v>
      </c>
      <c r="BP52" s="138"/>
      <c r="BQ52" s="38">
        <f>BQ51/BK36-1</f>
        <v>9.6737263880938729E-2</v>
      </c>
      <c r="BR52" s="38">
        <f>BR51/BL36-1</f>
        <v>0.13921852387843714</v>
      </c>
      <c r="BS52" s="38">
        <f>BS51/BM36-1</f>
        <v>0.14293964770430256</v>
      </c>
      <c r="BT52" s="38">
        <f>BT51/BN36-1</f>
        <v>0.19028556178275968</v>
      </c>
      <c r="BU52" s="1098">
        <f>BU51/BO36-1</f>
        <v>0.14315982767144564</v>
      </c>
      <c r="BV52" s="138"/>
      <c r="BW52" s="38">
        <f>BW51/BQ36-1</f>
        <v>0.12787056367432159</v>
      </c>
      <c r="BX52" s="38">
        <f>BX51/BR36-1</f>
        <v>0.10950203252032509</v>
      </c>
      <c r="BY52" s="38">
        <f>BY51/BS36-1</f>
        <v>4.8509348155634235E-2</v>
      </c>
      <c r="BZ52" s="38">
        <f>BZ51/BT36-1</f>
        <v>-0.32399103139013452</v>
      </c>
      <c r="CA52" s="1098">
        <f>CA51/BU36-1</f>
        <v>-2.0511553194118237E-2</v>
      </c>
      <c r="CB52" s="138"/>
      <c r="CC52" s="38">
        <f>CC51/BW36-1</f>
        <v>-0.44099953725127261</v>
      </c>
      <c r="CD52" s="38">
        <f>CD51/BX36-1</f>
        <v>-0.47523852794184462</v>
      </c>
      <c r="CE52" s="38">
        <f>CE51/BY36-1</f>
        <v>-0.42612826603325415</v>
      </c>
      <c r="CF52" s="38">
        <f>CF51/BZ36-1</f>
        <v>-0.12903225806451613</v>
      </c>
      <c r="CG52" s="1535">
        <f>CG51/CA36-1</f>
        <v>-0.3861793688412124</v>
      </c>
      <c r="CH52" s="138"/>
      <c r="CI52" s="38">
        <f>CI51/CC36-1</f>
        <v>0.14860426929392445</v>
      </c>
      <c r="CJ52" s="38">
        <f>CJ51/CD36-1</f>
        <v>0.21515151515151509</v>
      </c>
      <c r="CK52" s="84">
        <f>CK51/CE36-1</f>
        <v>0.19440914866581949</v>
      </c>
      <c r="CL52" s="84">
        <f>CL51/CF36-1</f>
        <v>0.2207407407407409</v>
      </c>
      <c r="CM52" s="1098">
        <f>CM51/CG36-1</f>
        <v>0.19516671765065752</v>
      </c>
      <c r="CN52" s="138"/>
      <c r="CO52" s="38">
        <f>CO51/CI36-1</f>
        <v>0.15439599714081487</v>
      </c>
      <c r="CP52" s="38">
        <f>CP51/CJ36-1</f>
        <v>0.18631991449946561</v>
      </c>
      <c r="CQ52" s="38">
        <f>CQ51/CK36-1</f>
        <v>0.17517730496453887</v>
      </c>
      <c r="CR52" s="38">
        <f>CR51/CL36-1</f>
        <v>0.1231796116504853</v>
      </c>
      <c r="CS52" s="1098">
        <f>CS51/CM36-1</f>
        <v>0.15826294684753872</v>
      </c>
      <c r="CT52" s="59"/>
      <c r="CU52" s="38">
        <f>CU51/CO36-1</f>
        <v>0</v>
      </c>
      <c r="CV52" s="38">
        <f>CV51/CP36-1</f>
        <v>0</v>
      </c>
      <c r="CW52" s="38">
        <f>CW51/CQ36-1</f>
        <v>0</v>
      </c>
      <c r="CX52" s="38">
        <f>CX51/CR36-1</f>
        <v>0</v>
      </c>
      <c r="CY52" s="1098">
        <f>CY51/CS36-1</f>
        <v>0</v>
      </c>
      <c r="CZ52" s="59"/>
      <c r="DA52" s="38">
        <f>DA51/CU36-1</f>
        <v>0</v>
      </c>
      <c r="DB52" s="38">
        <f>DB51/CV36-1</f>
        <v>0</v>
      </c>
      <c r="DC52" s="38">
        <f>DC51/CW36-1</f>
        <v>0</v>
      </c>
      <c r="DD52" s="38">
        <f>DD51/CX36-1</f>
        <v>0</v>
      </c>
      <c r="DE52" s="1098">
        <f>DE51/CY36-1</f>
        <v>0</v>
      </c>
      <c r="DF52" s="59"/>
      <c r="DG52" s="38">
        <f>DG51/DA36-1</f>
        <v>0</v>
      </c>
      <c r="DH52" s="38">
        <f>DH51/DB36-1</f>
        <v>0</v>
      </c>
      <c r="DI52" s="38">
        <f>DI51/DC36-1</f>
        <v>0</v>
      </c>
      <c r="DJ52" s="38">
        <f>DJ51/DD36-1</f>
        <v>0</v>
      </c>
      <c r="DK52" s="1098">
        <f>DK51/DE36-1</f>
        <v>0</v>
      </c>
      <c r="DL52" s="138"/>
      <c r="DM52" s="38">
        <f>DM51/DG36-1</f>
        <v>0</v>
      </c>
      <c r="DN52" s="38">
        <f>DN51/DH36-1</f>
        <v>0</v>
      </c>
      <c r="DO52" s="38">
        <f>DO51/DI36-1</f>
        <v>0</v>
      </c>
      <c r="DP52" s="38">
        <f>DP51/DJ36-1</f>
        <v>0</v>
      </c>
      <c r="DQ52" s="1098">
        <f>DQ51/DK36-1</f>
        <v>0</v>
      </c>
      <c r="DR52" s="59"/>
      <c r="DS52" s="38">
        <f>DS51/DM36-1</f>
        <v>0</v>
      </c>
      <c r="DT52" s="38">
        <f>DT51/DN36-1</f>
        <v>0</v>
      </c>
      <c r="DU52" s="38">
        <f>DU51/DO36-1</f>
        <v>0</v>
      </c>
      <c r="DV52" s="38">
        <f>DV51/DP36-1</f>
        <v>0</v>
      </c>
      <c r="DW52" s="1098">
        <f>DW51/DQ36-1</f>
        <v>0</v>
      </c>
      <c r="DX52" s="59"/>
      <c r="DY52" s="38">
        <f>DY51/DS36-1</f>
        <v>0</v>
      </c>
      <c r="DZ52" s="38">
        <f>DZ51/DT36-1</f>
        <v>0</v>
      </c>
      <c r="EA52" s="38">
        <f>EA51/DU36-1</f>
        <v>0</v>
      </c>
      <c r="EB52" s="38">
        <f>EB51/DV36-1</f>
        <v>0</v>
      </c>
      <c r="EC52" s="1098">
        <f>EC51/DW36-1</f>
        <v>0</v>
      </c>
      <c r="ED52" s="59"/>
      <c r="EE52" s="38">
        <f>EE51/DY36-1</f>
        <v>0</v>
      </c>
      <c r="EF52" s="38">
        <f>EF51/DZ36-1</f>
        <v>0</v>
      </c>
      <c r="EG52" s="38">
        <f>EG51/EA36-1</f>
        <v>0</v>
      </c>
      <c r="EH52" s="38">
        <f>EH51/EB36-1</f>
        <v>0</v>
      </c>
      <c r="EI52" s="1098">
        <f>EI51/EC36-1</f>
        <v>0</v>
      </c>
      <c r="EJ52" s="59"/>
      <c r="EK52" s="38">
        <f>EK51/EE36-1</f>
        <v>0</v>
      </c>
      <c r="EL52" s="38">
        <f>EL51/EF36-1</f>
        <v>0</v>
      </c>
      <c r="EM52" s="38">
        <f>EM51/EG36-1</f>
        <v>0</v>
      </c>
      <c r="EN52" s="38">
        <f>EN51/EH36-1</f>
        <v>0</v>
      </c>
      <c r="EO52" s="1098">
        <f>EO51/EI36-1</f>
        <v>0</v>
      </c>
      <c r="EP52" s="59"/>
      <c r="EQ52" s="38">
        <f>EQ51/EK36-1</f>
        <v>0</v>
      </c>
      <c r="ER52" s="38">
        <f>ER51/EL36-1</f>
        <v>0</v>
      </c>
      <c r="ES52" s="38">
        <f>ES51/EM36-1</f>
        <v>0</v>
      </c>
      <c r="ET52" s="38">
        <f>ET51/EN36-1</f>
        <v>0</v>
      </c>
      <c r="EU52" s="1098">
        <f>EU51/EO36-1</f>
        <v>0</v>
      </c>
    </row>
    <row r="53" spans="1:151" hidden="1" outlineLevel="1">
      <c r="A53" s="199" t="s">
        <v>3790</v>
      </c>
      <c r="B53" s="90"/>
      <c r="C53" s="43"/>
      <c r="D53" s="43"/>
      <c r="E53" s="38"/>
      <c r="F53" s="38"/>
      <c r="G53" s="38"/>
      <c r="H53" s="90"/>
      <c r="I53" s="43"/>
      <c r="J53" s="43"/>
      <c r="K53" s="43"/>
      <c r="L53" s="43"/>
      <c r="M53" s="38"/>
      <c r="N53" s="90"/>
      <c r="O53" s="84" t="str">
        <f>IF(ISERROR(O52-O28),"nm",O52-O28)</f>
        <v>nm</v>
      </c>
      <c r="P53" s="84" t="str">
        <f>IF(ISERROR(P52-P28),"nm",P52-P28)</f>
        <v>nm</v>
      </c>
      <c r="Q53" s="84" t="str">
        <f>IF(ISERROR(Q52-Q28),"nm",Q52-Q28)</f>
        <v>nm</v>
      </c>
      <c r="R53" s="84" t="str">
        <f>IF(ISERROR(R52-R28),"nm",R52-R28)</f>
        <v>nm</v>
      </c>
      <c r="S53" s="84"/>
      <c r="T53" s="116"/>
      <c r="U53" s="84" t="str">
        <f>IF(ISERROR(U52-U28),"nm",U52-U28)</f>
        <v>nm</v>
      </c>
      <c r="V53" s="84" t="str">
        <f>IF(ISERROR(V52-V28),"nm",V52-V28)</f>
        <v>nm</v>
      </c>
      <c r="W53" s="84" t="str">
        <f>IF(ISERROR(W52-W28),"nm",W52-W28)</f>
        <v>nm</v>
      </c>
      <c r="X53" s="84" t="str">
        <f>IF(ISERROR(X52-X28),"nm",X52-X28)</f>
        <v>nm</v>
      </c>
      <c r="Y53" s="84"/>
      <c r="Z53" s="116"/>
      <c r="AA53" s="84" t="str">
        <f>IF(ISERROR(AA52-AA28),"nm",AA52-AA28)</f>
        <v>nm</v>
      </c>
      <c r="AB53" s="84" t="str">
        <f>IF(ISERROR(AB52-AB28),"nm",AB52-AB28)</f>
        <v>nm</v>
      </c>
      <c r="AC53" s="84" t="str">
        <f>IF(ISERROR(AC52-AC28),"nm",AC52-AC28)</f>
        <v>nm</v>
      </c>
      <c r="AD53" s="84" t="str">
        <f>IF(ISERROR(AD52-AD28),"nm",AD52-AD28)</f>
        <v>nm</v>
      </c>
      <c r="AE53" s="84"/>
      <c r="AF53" s="116"/>
      <c r="AG53" s="84" t="str">
        <f>IF(ISERROR(AG52-AG28),"nm",AG52-AG28)</f>
        <v>nm</v>
      </c>
      <c r="AH53" s="84" t="str">
        <f>IF(ISERROR(AH52-AH28),"nm",AH52-AH28)</f>
        <v>nm</v>
      </c>
      <c r="AI53" s="84" t="str">
        <f>IF(ISERROR(AI52-AI28),"nm",AI52-AI28)</f>
        <v>nm</v>
      </c>
      <c r="AJ53" s="84" t="str">
        <f>IF(ISERROR(AJ52-AJ28),"nm",AJ52-AJ28)</f>
        <v>nm</v>
      </c>
      <c r="AK53" s="84"/>
      <c r="AL53" s="116"/>
      <c r="AM53" s="84">
        <f>IF(ISERROR(AM52-AM28),"nm",AM52-AM28)</f>
        <v>-8.3834854424725713E-2</v>
      </c>
      <c r="AN53" s="84">
        <f>IF(ISERROR(AN52-AN28),"nm",AN52-AN28)</f>
        <v>-0.15394453515012874</v>
      </c>
      <c r="AO53" s="84">
        <f>IF(ISERROR(AO52-AO28),"nm",AO52-AO28)</f>
        <v>-0.20017278458912513</v>
      </c>
      <c r="AP53" s="84">
        <f>IF(ISERROR(AP52-AP28),"nm",AP52-AP28)</f>
        <v>-0.3372189749335831</v>
      </c>
      <c r="AQ53" s="84" t="str">
        <f>IF(ISERROR(AQ52-AQ28),"nm",AQ52-AQ28)</f>
        <v>nm</v>
      </c>
      <c r="AR53" s="116"/>
      <c r="AS53" s="84">
        <f>IF(ISERROR(AS52-AS28),"nm",AS52-AS28)</f>
        <v>-0.20577074875175916</v>
      </c>
      <c r="AT53" s="84">
        <f>IF(ISERROR(AT52-AT28),"nm",AT52-AT28)</f>
        <v>-0.12090330560518747</v>
      </c>
      <c r="AU53" s="84">
        <f>IF(ISERROR(AU52-AU28),"nm",AU52-AU28)</f>
        <v>0.14073873498430256</v>
      </c>
      <c r="AV53" s="84">
        <f>IF(ISERROR(AV52-AV28),"nm",AV52-AV28)</f>
        <v>0.38496147895449662</v>
      </c>
      <c r="AW53" s="84">
        <f>IF(ISERROR(AW52-AW28),"nm",AW52-AW28)</f>
        <v>3.051064855249086E-2</v>
      </c>
      <c r="AX53" s="116"/>
      <c r="AY53" s="84">
        <f>IF(ISERROR(AY52-AY28),"nm",AY52-AY28)</f>
        <v>0.30802556668707681</v>
      </c>
      <c r="AZ53" s="84">
        <f>IF(ISERROR(AZ52-AZ28),"nm",AZ52-AZ28)</f>
        <v>0.26420806994709412</v>
      </c>
      <c r="BA53" s="84">
        <f>IF(ISERROR(BA52-BA28),"nm",BA52-BA28)</f>
        <v>0.21078080226954676</v>
      </c>
      <c r="BB53" s="84">
        <f>IF(ISERROR(BB52-BB28),"nm",BB52-BB28)</f>
        <v>0.12703617642763776</v>
      </c>
      <c r="BC53" s="84">
        <f>IF(ISERROR(BC52-BC28),"nm",BC52-BC28)</f>
        <v>0.21734046184040356</v>
      </c>
      <c r="BD53" s="138"/>
      <c r="BE53" s="84">
        <f>BE52-BE28</f>
        <v>0.11329270914742295</v>
      </c>
      <c r="BF53" s="84">
        <f>BF52-BF28</f>
        <v>0.29342863135044883</v>
      </c>
      <c r="BG53" s="84">
        <f>BG52-BG28</f>
        <v>0.21305292069295323</v>
      </c>
      <c r="BH53" s="84">
        <f>BH52-BH28</f>
        <v>0.18375199578297874</v>
      </c>
      <c r="BI53" s="84">
        <f>BI52-BI28</f>
        <v>0.19505974542070947</v>
      </c>
      <c r="BJ53" s="138"/>
      <c r="BK53" s="38">
        <f>BK52-BK28</f>
        <v>0.19599486019490953</v>
      </c>
      <c r="BL53" s="38">
        <f>BL52-BL28</f>
        <v>6.6996952848860758E-2</v>
      </c>
      <c r="BM53" s="38">
        <f>BM52-BM28</f>
        <v>7.3230267244485336E-2</v>
      </c>
      <c r="BN53" s="38">
        <f>BN52-BN28</f>
        <v>1.6097852183737826E-2</v>
      </c>
      <c r="BO53" s="1098">
        <f>BO52-BO28</f>
        <v>7.7127047177326435E-2</v>
      </c>
      <c r="BP53" s="138"/>
      <c r="BQ53" s="38">
        <f>BQ52-BQ28</f>
        <v>5.7600526547014752E-2</v>
      </c>
      <c r="BR53" s="38">
        <f>BR52-BR28</f>
        <v>0.1267062182669596</v>
      </c>
      <c r="BS53" s="38">
        <f>BS52-BS28</f>
        <v>0.10186929178557969</v>
      </c>
      <c r="BT53" s="38">
        <f>BT52-BT28</f>
        <v>0.12056620917148031</v>
      </c>
      <c r="BU53" s="1098">
        <f>BU52-BU28</f>
        <v>0.10230626959656863</v>
      </c>
      <c r="BV53" s="138"/>
      <c r="BW53" s="38">
        <f>BW52-BW28</f>
        <v>2.4912337516084238E-2</v>
      </c>
      <c r="BX53" s="38">
        <f>BX52-BX28</f>
        <v>7.2365620190850688E-3</v>
      </c>
      <c r="BY53" s="38">
        <f>BY52-BY28</f>
        <v>1.718385430852587E-2</v>
      </c>
      <c r="BZ53" s="38">
        <f>BZ52-BZ28</f>
        <v>-0.28782310347436835</v>
      </c>
      <c r="CA53" s="1098">
        <f>CA52-CA28</f>
        <v>-6.2365924587830746E-2</v>
      </c>
      <c r="CB53" s="138"/>
      <c r="CC53" s="38">
        <f>CC52-CC28</f>
        <v>-0.37061864832940938</v>
      </c>
      <c r="CD53" s="38">
        <f>CD52-CD28</f>
        <v>-0.43396795139165212</v>
      </c>
      <c r="CE53" s="38">
        <f>CE52-CE28</f>
        <v>-0.44057026787069498</v>
      </c>
      <c r="CF53" s="38">
        <f>CF52-CF28</f>
        <v>-0.17022866476112697</v>
      </c>
      <c r="CG53" s="1535">
        <f>CG52-CG28</f>
        <v>-0.37870714571574082</v>
      </c>
      <c r="CH53" s="138"/>
      <c r="CI53" s="38">
        <f>CI52-CI28</f>
        <v>0.10399647220608971</v>
      </c>
      <c r="CJ53" s="38">
        <f>CJ52-CJ28</f>
        <v>0.20407052515167501</v>
      </c>
      <c r="CK53" s="84">
        <f>CK52-CK28</f>
        <v>0.20731549160427387</v>
      </c>
      <c r="CL53" s="84">
        <f>CL52-CL28</f>
        <v>0.25143553266338214</v>
      </c>
      <c r="CM53" s="1098">
        <f>CM52-CM28</f>
        <v>0.19231462594495063</v>
      </c>
      <c r="CN53" s="138"/>
      <c r="CO53" s="38">
        <f t="shared" ref="CO53:DE53" si="38">CO52-CO28</f>
        <v>0.15398804331016613</v>
      </c>
      <c r="CP53" s="38">
        <f t="shared" si="38"/>
        <v>0.17277461938042316</v>
      </c>
      <c r="CQ53" s="38">
        <f t="shared" si="38"/>
        <v>0.14628139821758768</v>
      </c>
      <c r="CR53" s="38">
        <f t="shared" si="38"/>
        <v>0.12254112042785548</v>
      </c>
      <c r="CS53" s="1098">
        <f t="shared" si="38"/>
        <v>0.14843991971309478</v>
      </c>
      <c r="CT53" s="59"/>
      <c r="CU53" s="38">
        <f t="shared" si="38"/>
        <v>7.2894367756703993E-4</v>
      </c>
      <c r="CV53" s="38">
        <f t="shared" si="38"/>
        <v>-6.054637136752028E-4</v>
      </c>
      <c r="CW53" s="38">
        <f t="shared" si="38"/>
        <v>4.0112158267779918E-4</v>
      </c>
      <c r="CX53" s="38">
        <f t="shared" si="38"/>
        <v>1.1600371900775119E-3</v>
      </c>
      <c r="CY53" s="1098">
        <f t="shared" si="38"/>
        <v>0</v>
      </c>
      <c r="CZ53" s="59"/>
      <c r="DA53" s="38">
        <f t="shared" si="38"/>
        <v>3.8860759493670849E-2</v>
      </c>
      <c r="DB53" s="38">
        <f t="shared" si="38"/>
        <v>0.193321299638989</v>
      </c>
      <c r="DC53" s="38">
        <f t="shared" si="38"/>
        <v>4.9449838187702308E-2</v>
      </c>
      <c r="DD53" s="38">
        <f t="shared" si="38"/>
        <v>4.4526030695155136E-2</v>
      </c>
      <c r="DE53" s="1098">
        <f t="shared" si="38"/>
        <v>3.4619976124153906E-3</v>
      </c>
      <c r="DF53" s="59"/>
      <c r="DG53" s="38">
        <f>DG52-DG28</f>
        <v>0</v>
      </c>
      <c r="DH53" s="38">
        <f>DH52-DH28</f>
        <v>5.1181871459269335E-2</v>
      </c>
      <c r="DI53" s="38">
        <f>DI52-DI28</f>
        <v>8.8796077719266564E-2</v>
      </c>
      <c r="DJ53" s="38">
        <f>DJ52-DJ28</f>
        <v>7.5081699346405961E-3</v>
      </c>
      <c r="DK53" s="1098">
        <f>DK52-DK28</f>
        <v>0</v>
      </c>
      <c r="DL53" s="138"/>
      <c r="DM53" s="38">
        <f>DM52-DM28</f>
        <v>0</v>
      </c>
      <c r="DN53" s="38">
        <f>DN52-DN28</f>
        <v>0</v>
      </c>
      <c r="DO53" s="38">
        <f>DO52-DO28</f>
        <v>0</v>
      </c>
      <c r="DP53" s="38">
        <f>DP52-DP28</f>
        <v>0</v>
      </c>
      <c r="DQ53" s="1098">
        <f>DQ52-DQ28</f>
        <v>0</v>
      </c>
      <c r="DR53" s="59"/>
      <c r="DS53" s="38">
        <f>DS52-DS28</f>
        <v>0</v>
      </c>
      <c r="DT53" s="38">
        <f>DT52-DT28</f>
        <v>0</v>
      </c>
      <c r="DU53" s="38">
        <f>DU52-DU28</f>
        <v>0</v>
      </c>
      <c r="DV53" s="38">
        <f>DV52-DV28</f>
        <v>0</v>
      </c>
      <c r="DW53" s="1098">
        <f>DW52-DW28</f>
        <v>0</v>
      </c>
      <c r="DX53" s="59"/>
      <c r="DY53" s="38">
        <f>DY52-DY28</f>
        <v>0</v>
      </c>
      <c r="DZ53" s="38">
        <f>DZ52-DZ28</f>
        <v>0</v>
      </c>
      <c r="EA53" s="38">
        <f>EA52-EA28</f>
        <v>0</v>
      </c>
      <c r="EB53" s="38">
        <f>EB52-EB28</f>
        <v>0</v>
      </c>
      <c r="EC53" s="1098">
        <f>EC52-EC28</f>
        <v>0</v>
      </c>
      <c r="ED53" s="59"/>
      <c r="EE53" s="38">
        <f>EE52-EE28</f>
        <v>0</v>
      </c>
      <c r="EF53" s="38">
        <f>EF52-EF28</f>
        <v>0</v>
      </c>
      <c r="EG53" s="38">
        <f>EG52-EG28</f>
        <v>0</v>
      </c>
      <c r="EH53" s="38">
        <f>EH52-EH28</f>
        <v>0</v>
      </c>
      <c r="EI53" s="1098">
        <f>EI52-EI28</f>
        <v>0</v>
      </c>
      <c r="EJ53" s="59"/>
      <c r="EK53" s="38">
        <f>EK52-EK28</f>
        <v>0</v>
      </c>
      <c r="EL53" s="38">
        <f>EL52-EL28</f>
        <v>0</v>
      </c>
      <c r="EM53" s="38">
        <f>EM52-EM28</f>
        <v>0</v>
      </c>
      <c r="EN53" s="38">
        <f>EN52-EN28</f>
        <v>0</v>
      </c>
      <c r="EO53" s="1098">
        <f>EO52-EO28</f>
        <v>0</v>
      </c>
      <c r="EP53" s="59"/>
      <c r="EQ53" s="38">
        <f>EQ52-EQ28</f>
        <v>0</v>
      </c>
      <c r="ER53" s="38">
        <f>ER52-ER28</f>
        <v>0</v>
      </c>
      <c r="ES53" s="38">
        <f>ES52-ES28</f>
        <v>0</v>
      </c>
      <c r="ET53" s="38">
        <f>ET52-ET28</f>
        <v>0</v>
      </c>
      <c r="EU53" s="1098">
        <f>EU52-EU28</f>
        <v>0</v>
      </c>
    </row>
    <row r="54" spans="1:151" ht="6.75" customHeight="1" collapsed="1">
      <c r="A54" s="199"/>
      <c r="B54" s="90"/>
      <c r="C54" s="43"/>
      <c r="D54" s="43"/>
      <c r="E54" s="43"/>
      <c r="F54" s="43"/>
      <c r="G54" s="43"/>
      <c r="H54" s="90"/>
      <c r="I54" s="43"/>
      <c r="J54" s="43"/>
      <c r="K54" s="43"/>
      <c r="L54" s="43"/>
      <c r="M54" s="43"/>
      <c r="N54" s="90"/>
      <c r="O54" s="43"/>
      <c r="P54" s="43"/>
      <c r="Q54" s="43"/>
      <c r="R54" s="43"/>
      <c r="S54" s="43"/>
      <c r="T54" s="90"/>
      <c r="U54" s="43"/>
      <c r="V54" s="43"/>
      <c r="W54" s="43"/>
      <c r="X54" s="43"/>
      <c r="Y54" s="43"/>
      <c r="Z54" s="90"/>
      <c r="AA54" s="43"/>
      <c r="AB54" s="43"/>
      <c r="AC54" s="43"/>
      <c r="AD54" s="43"/>
      <c r="AE54" s="43"/>
      <c r="AF54" s="90"/>
      <c r="AG54" s="38"/>
      <c r="AH54" s="38"/>
      <c r="AI54" s="38"/>
      <c r="AJ54" s="38"/>
      <c r="AK54" s="38"/>
      <c r="AL54" s="90"/>
      <c r="AM54" s="38"/>
      <c r="AN54" s="38"/>
      <c r="AO54" s="38"/>
      <c r="AP54" s="38"/>
      <c r="AQ54" s="38"/>
      <c r="AR54" s="90"/>
      <c r="AS54" s="38"/>
      <c r="AT54" s="38"/>
      <c r="AU54" s="38"/>
      <c r="AV54" s="38"/>
      <c r="AW54" s="38"/>
      <c r="AX54" s="90"/>
      <c r="AY54" s="84"/>
      <c r="AZ54" s="84"/>
      <c r="BA54" s="84"/>
      <c r="BB54" s="84"/>
      <c r="BC54" s="84"/>
      <c r="BD54" s="138"/>
      <c r="BE54" s="84"/>
      <c r="BF54" s="84"/>
      <c r="BG54" s="84"/>
      <c r="BH54" s="84"/>
      <c r="BI54" s="84"/>
      <c r="BJ54" s="138"/>
      <c r="BK54" s="38"/>
      <c r="BL54" s="38"/>
      <c r="BM54" s="38"/>
      <c r="BN54" s="38"/>
      <c r="BO54" s="1098"/>
      <c r="BP54" s="138"/>
      <c r="BQ54" s="38"/>
      <c r="BR54" s="38"/>
      <c r="BS54" s="38"/>
      <c r="BT54" s="38"/>
      <c r="BU54" s="1098"/>
      <c r="BV54" s="138"/>
      <c r="BW54" s="38"/>
      <c r="BX54" s="38"/>
      <c r="BY54" s="38"/>
      <c r="BZ54" s="38"/>
      <c r="CA54" s="1098"/>
      <c r="CB54" s="138"/>
      <c r="CC54" s="38"/>
      <c r="CD54" s="38"/>
      <c r="CE54" s="38"/>
      <c r="CF54" s="38"/>
      <c r="CG54" s="1535"/>
      <c r="CH54" s="138"/>
      <c r="CI54" s="38"/>
      <c r="CJ54" s="38"/>
      <c r="CK54" s="84"/>
      <c r="CL54" s="84"/>
      <c r="CM54" s="1098"/>
      <c r="CN54" s="138"/>
      <c r="CO54" s="38"/>
      <c r="CP54" s="38"/>
      <c r="CQ54" s="38"/>
      <c r="CR54" s="38"/>
      <c r="CS54" s="1098"/>
      <c r="CT54" s="59"/>
      <c r="CU54" s="38"/>
      <c r="CV54" s="38"/>
      <c r="CW54" s="38"/>
      <c r="CX54" s="38"/>
      <c r="CY54" s="1098"/>
      <c r="CZ54" s="59"/>
      <c r="DA54" s="38"/>
      <c r="DB54" s="38"/>
      <c r="DC54" s="38"/>
      <c r="DD54" s="38"/>
      <c r="DE54" s="1098"/>
      <c r="DF54" s="59"/>
      <c r="DG54" s="38"/>
      <c r="DH54" s="38"/>
      <c r="DI54" s="38"/>
      <c r="DJ54" s="38"/>
      <c r="DK54" s="1098"/>
      <c r="DL54" s="138"/>
      <c r="DM54" s="38"/>
      <c r="DN54" s="38"/>
      <c r="DO54" s="38"/>
      <c r="DP54" s="38"/>
      <c r="DQ54" s="1098"/>
      <c r="DR54" s="59"/>
      <c r="DS54" s="38"/>
      <c r="DT54" s="38"/>
      <c r="DU54" s="38"/>
      <c r="DV54" s="38"/>
      <c r="DW54" s="1098"/>
      <c r="DX54" s="59"/>
      <c r="DY54" s="38"/>
      <c r="DZ54" s="38"/>
      <c r="EA54" s="38"/>
      <c r="EB54" s="38"/>
      <c r="EC54" s="1098"/>
      <c r="ED54" s="59"/>
      <c r="EE54" s="38"/>
      <c r="EF54" s="38"/>
      <c r="EG54" s="38"/>
      <c r="EH54" s="38"/>
      <c r="EI54" s="1098"/>
      <c r="EJ54" s="59"/>
      <c r="EK54" s="38"/>
      <c r="EL54" s="38"/>
      <c r="EM54" s="38"/>
      <c r="EN54" s="38"/>
      <c r="EO54" s="1098"/>
      <c r="EP54" s="59"/>
      <c r="EQ54" s="38"/>
      <c r="ER54" s="38"/>
      <c r="ES54" s="38"/>
      <c r="ET54" s="38"/>
      <c r="EU54" s="1098"/>
    </row>
    <row r="55" spans="1:151" ht="16.5" customHeight="1" collapsed="1">
      <c r="A55" s="1633" t="s">
        <v>4687</v>
      </c>
      <c r="B55" s="919"/>
      <c r="C55" s="919"/>
      <c r="D55" s="919"/>
      <c r="E55" s="919"/>
      <c r="F55" s="919"/>
      <c r="G55" s="919"/>
      <c r="H55" s="919"/>
      <c r="I55" s="919"/>
      <c r="J55" s="919"/>
      <c r="K55" s="919"/>
      <c r="L55" s="919"/>
      <c r="M55" s="919"/>
      <c r="N55" s="919"/>
      <c r="O55" s="919"/>
      <c r="P55" s="919"/>
      <c r="Q55" s="919"/>
      <c r="R55" s="919"/>
      <c r="S55" s="920"/>
      <c r="T55" s="920"/>
      <c r="U55" s="920"/>
      <c r="V55" s="920"/>
      <c r="W55" s="920"/>
      <c r="X55" s="920"/>
      <c r="Y55" s="920"/>
      <c r="Z55" s="920"/>
      <c r="AA55" s="920"/>
      <c r="AB55" s="920"/>
      <c r="AC55" s="920"/>
      <c r="AD55" s="920"/>
      <c r="AE55" s="921"/>
      <c r="AF55" s="919"/>
      <c r="AG55" s="919"/>
      <c r="AH55" s="919"/>
      <c r="AI55" s="921"/>
      <c r="AJ55" s="919"/>
      <c r="AK55" s="921"/>
      <c r="AL55" s="919"/>
      <c r="AM55" s="922"/>
      <c r="AN55" s="922"/>
      <c r="AO55" s="922"/>
      <c r="AP55" s="922"/>
      <c r="AQ55" s="922"/>
      <c r="AR55" s="919"/>
      <c r="AS55" s="922"/>
      <c r="AT55" s="922"/>
      <c r="AU55" s="922"/>
      <c r="AV55" s="922"/>
      <c r="AW55" s="922"/>
      <c r="AX55" s="919"/>
      <c r="AY55" s="922"/>
      <c r="AZ55" s="922"/>
      <c r="BA55" s="922"/>
      <c r="BB55" s="922"/>
      <c r="BC55" s="922"/>
      <c r="BD55" s="919"/>
      <c r="BE55" s="922"/>
      <c r="BF55" s="922"/>
      <c r="BG55" s="922"/>
      <c r="BH55" s="922"/>
      <c r="BI55" s="922"/>
      <c r="BJ55" s="919"/>
      <c r="BK55" s="919"/>
      <c r="BL55" s="919"/>
      <c r="BM55" s="919"/>
      <c r="BN55" s="919"/>
      <c r="BO55" s="1103"/>
      <c r="BP55" s="919"/>
      <c r="BQ55" s="919"/>
      <c r="BR55" s="919"/>
      <c r="BS55" s="919"/>
      <c r="BT55" s="919"/>
      <c r="BU55" s="1103"/>
      <c r="BV55" s="919"/>
      <c r="BW55" s="919"/>
      <c r="BX55" s="919"/>
      <c r="BY55" s="919"/>
      <c r="BZ55" s="919"/>
      <c r="CA55" s="1103"/>
      <c r="CB55" s="919"/>
      <c r="CC55" s="919"/>
      <c r="CD55" s="919"/>
      <c r="CE55" s="919"/>
      <c r="CF55" s="1491"/>
      <c r="CG55" s="1541"/>
      <c r="CH55" s="919"/>
      <c r="CI55" s="919"/>
      <c r="CJ55" s="919"/>
      <c r="CK55" s="922"/>
      <c r="CL55" s="922"/>
      <c r="CM55" s="1103"/>
      <c r="CN55" s="919"/>
      <c r="CO55" s="919"/>
      <c r="CP55" s="919"/>
      <c r="CQ55" s="919"/>
      <c r="CR55" s="919"/>
      <c r="CS55" s="1103"/>
      <c r="CT55" s="919"/>
      <c r="CU55" s="919"/>
      <c r="CV55" s="919"/>
      <c r="CW55" s="919"/>
      <c r="CX55" s="919"/>
      <c r="CY55" s="1103"/>
      <c r="CZ55" s="919"/>
      <c r="DA55" s="919"/>
      <c r="DB55" s="919"/>
      <c r="DC55" s="919"/>
      <c r="DD55" s="919"/>
      <c r="DE55" s="1103"/>
      <c r="DF55" s="919"/>
      <c r="DG55" s="919"/>
      <c r="DH55" s="919"/>
      <c r="DI55" s="919"/>
      <c r="DJ55" s="919"/>
      <c r="DK55" s="1103"/>
      <c r="DL55" s="919"/>
      <c r="DM55" s="919"/>
      <c r="DN55" s="919"/>
      <c r="DO55" s="919"/>
      <c r="DP55" s="919"/>
      <c r="DQ55" s="1103"/>
      <c r="DR55" s="919"/>
      <c r="DS55" s="919"/>
      <c r="DT55" s="919"/>
      <c r="DU55" s="919"/>
      <c r="DV55" s="919"/>
      <c r="DW55" s="1103"/>
      <c r="DX55" s="919"/>
      <c r="DY55" s="919"/>
      <c r="DZ55" s="919"/>
      <c r="EA55" s="919"/>
      <c r="EB55" s="919"/>
      <c r="EC55" s="1103"/>
      <c r="ED55" s="919"/>
      <c r="EE55" s="919"/>
      <c r="EF55" s="919"/>
      <c r="EG55" s="919"/>
      <c r="EH55" s="919"/>
      <c r="EI55" s="1103"/>
      <c r="EJ55" s="919"/>
      <c r="EK55" s="919"/>
      <c r="EL55" s="919"/>
      <c r="EM55" s="919"/>
      <c r="EN55" s="919"/>
      <c r="EO55" s="1103"/>
      <c r="EP55" s="919"/>
      <c r="EQ55" s="919"/>
      <c r="ER55" s="919"/>
      <c r="ES55" s="919"/>
      <c r="ET55" s="919"/>
      <c r="EU55" s="1103"/>
    </row>
    <row r="56" spans="1:151" ht="12.75" customHeight="1">
      <c r="A56" s="1492" t="s">
        <v>923</v>
      </c>
      <c r="B56" s="1493"/>
      <c r="C56" s="1493"/>
      <c r="D56" s="1493"/>
      <c r="E56" s="1493"/>
      <c r="F56" s="1493"/>
      <c r="G56" s="1493"/>
      <c r="H56" s="1493"/>
      <c r="I56" s="1493"/>
      <c r="J56" s="1493"/>
      <c r="K56" s="1493"/>
      <c r="L56" s="1493"/>
      <c r="M56" s="1493"/>
      <c r="N56" s="1493"/>
      <c r="O56" s="1493"/>
      <c r="P56" s="1493"/>
      <c r="Q56" s="1493"/>
      <c r="R56" s="1493"/>
      <c r="S56" s="1494"/>
      <c r="T56" s="1494"/>
      <c r="U56" s="1494">
        <v>177.7</v>
      </c>
      <c r="V56" s="1494"/>
      <c r="W56" s="1494"/>
      <c r="X56" s="1494"/>
      <c r="Y56" s="1494"/>
      <c r="Z56" s="1494"/>
      <c r="AA56" s="1494"/>
      <c r="AB56" s="1494"/>
      <c r="AC56" s="1494">
        <v>36.75</v>
      </c>
      <c r="AD56" s="1494"/>
      <c r="AE56" s="1494"/>
      <c r="AF56" s="1493"/>
      <c r="AG56" s="1495">
        <v>196.6</v>
      </c>
      <c r="AH56" s="1495">
        <v>191.7</v>
      </c>
      <c r="AI56" s="1495">
        <v>179.6</v>
      </c>
      <c r="AJ56" s="1495">
        <v>223.5</v>
      </c>
      <c r="AK56" s="1495"/>
      <c r="AL56" s="1496"/>
      <c r="AM56" s="1495">
        <v>193</v>
      </c>
      <c r="AN56" s="1495">
        <v>177.7</v>
      </c>
      <c r="AO56" s="1495">
        <v>158</v>
      </c>
      <c r="AP56" s="1495">
        <v>165.7</v>
      </c>
      <c r="AQ56" s="1495">
        <v>694.4</v>
      </c>
      <c r="AR56" s="1496"/>
      <c r="AS56" s="1495">
        <v>172.6</v>
      </c>
      <c r="AT56" s="1495">
        <v>180.8</v>
      </c>
      <c r="AU56" s="1495">
        <v>200.1</v>
      </c>
      <c r="AV56" s="1495">
        <v>258.2</v>
      </c>
      <c r="AW56" s="1495">
        <v>811.7</v>
      </c>
      <c r="AX56" s="1496"/>
      <c r="AY56" s="1495">
        <v>260.2</v>
      </c>
      <c r="AZ56" s="1495">
        <v>242.4</v>
      </c>
      <c r="BA56" s="1495">
        <v>256.39999999999998</v>
      </c>
      <c r="BB56" s="1495">
        <v>312.3</v>
      </c>
      <c r="BC56" s="1495">
        <v>1071.3</v>
      </c>
      <c r="BD56" s="1493"/>
      <c r="BE56" s="1495">
        <v>313.2</v>
      </c>
      <c r="BF56" s="1495">
        <v>325.8</v>
      </c>
      <c r="BG56" s="1495">
        <v>333.8</v>
      </c>
      <c r="BH56" s="1495">
        <v>371.7</v>
      </c>
      <c r="BI56" s="1495">
        <v>1344.5</v>
      </c>
      <c r="BJ56" s="1493"/>
      <c r="BK56" s="1495">
        <v>386.7</v>
      </c>
      <c r="BL56" s="1495">
        <v>388.6</v>
      </c>
      <c r="BM56" s="1495">
        <v>390</v>
      </c>
      <c r="BN56" s="1495">
        <v>430</v>
      </c>
      <c r="BO56" s="1497">
        <v>1595.3</v>
      </c>
      <c r="BP56" s="1493"/>
      <c r="BQ56" s="1498">
        <f>BQ60+BQ72+BQ76</f>
        <v>446</v>
      </c>
      <c r="BR56" s="1498">
        <f>BR60+BR72+BR76</f>
        <v>459</v>
      </c>
      <c r="BS56" s="1498">
        <f>BS60+BS72+BS76</f>
        <v>468</v>
      </c>
      <c r="BT56" s="1498">
        <f>BT60+BT72+BT76</f>
        <v>523</v>
      </c>
      <c r="BU56" s="1497">
        <f>SUM(BQ56:BT56)</f>
        <v>1896</v>
      </c>
      <c r="BV56" s="1493"/>
      <c r="BW56" s="1498">
        <f>BW60+BW72+BW76</f>
        <v>527</v>
      </c>
      <c r="BX56" s="1498">
        <f>BX60+BX72+BX76</f>
        <v>544</v>
      </c>
      <c r="BY56" s="1498">
        <f>BY60+BY72+BY76</f>
        <v>527</v>
      </c>
      <c r="BZ56" s="1498">
        <f>BZ60+BZ72+BZ76</f>
        <v>432</v>
      </c>
      <c r="CA56" s="1497">
        <f>SUM(BW56:BZ56)</f>
        <v>2030</v>
      </c>
      <c r="CB56" s="1493"/>
      <c r="CC56" s="1498">
        <f>CC60+CC72+CC76</f>
        <v>378</v>
      </c>
      <c r="CD56" s="1498">
        <f>CD60+CD72+CD76</f>
        <v>368</v>
      </c>
      <c r="CE56" s="1498">
        <f>CE60+CE72+CE76</f>
        <v>369</v>
      </c>
      <c r="CF56" s="1499">
        <f>CF60+CF72+CF76</f>
        <v>410</v>
      </c>
      <c r="CG56" s="1517">
        <f>SUM(CC56:CF56)</f>
        <v>1525</v>
      </c>
      <c r="CH56" s="961"/>
      <c r="CI56" s="1498">
        <f>CI60+CI72+CI76</f>
        <v>429</v>
      </c>
      <c r="CJ56" s="1495">
        <f>CJ60+CJ72+CJ76</f>
        <v>423.6</v>
      </c>
      <c r="CK56" s="1498">
        <f>CK60+CK72+CK76</f>
        <v>427</v>
      </c>
      <c r="CL56" s="1498">
        <f>CL60+CL72+CL76</f>
        <v>476</v>
      </c>
      <c r="CM56" s="1517">
        <f>SUM(CI56:CL56)</f>
        <v>1755.6</v>
      </c>
      <c r="CN56" s="961"/>
      <c r="CO56" s="1498">
        <f>CO60+CO72+CO76</f>
        <v>475</v>
      </c>
      <c r="CP56" s="1495">
        <f>CP60+CP72+CP76</f>
        <v>493</v>
      </c>
      <c r="CQ56" s="1495">
        <f>CQ60+CQ72+CQ76</f>
        <v>496</v>
      </c>
      <c r="CR56" s="1495">
        <f>CR60+CR72+CR76</f>
        <v>537</v>
      </c>
      <c r="CS56" s="1517">
        <f>SUM(CO56:CR56)</f>
        <v>2001</v>
      </c>
      <c r="CT56" s="1495"/>
      <c r="CU56" s="1498">
        <f>CU60+CU72+CU76</f>
        <v>539</v>
      </c>
      <c r="CV56" s="1498">
        <f>CV60+CV72+CV76</f>
        <v>520</v>
      </c>
      <c r="CW56" s="1498">
        <f>CW60+CW72+CW76</f>
        <v>500</v>
      </c>
      <c r="CX56" s="1495">
        <f>CX60+CX72+CX76</f>
        <v>560</v>
      </c>
      <c r="CY56" s="1517">
        <f>SUM(CU56:CX56)</f>
        <v>2119</v>
      </c>
      <c r="CZ56" s="1495"/>
      <c r="DA56" s="1498">
        <f>DA60+DA72+DA76</f>
        <v>524</v>
      </c>
      <c r="DB56" s="1498">
        <f>DB60+DB72+DB76</f>
        <v>518</v>
      </c>
      <c r="DC56" s="1498">
        <f>DC60+DC72+DC76</f>
        <v>511</v>
      </c>
      <c r="DD56" s="1498">
        <f>DD60+DD72+DD76</f>
        <v>546</v>
      </c>
      <c r="DE56" s="1517">
        <f>SUM(DA56:DD56)</f>
        <v>2099</v>
      </c>
      <c r="DF56" s="636"/>
      <c r="DG56" s="1498">
        <f>DG60+DG72+DG76</f>
        <v>555</v>
      </c>
      <c r="DH56" s="1498">
        <f>DH60+DH72+DH76</f>
        <v>594</v>
      </c>
      <c r="DI56" s="1498">
        <f>DI60+DI72+DI76</f>
        <v>575</v>
      </c>
      <c r="DJ56" s="1498">
        <f>DJ60+DJ72+DJ76</f>
        <v>621</v>
      </c>
      <c r="DK56" s="1517">
        <f>SUM(DG56:DJ56)</f>
        <v>2345</v>
      </c>
      <c r="DL56" s="961"/>
      <c r="DM56" s="1809">
        <f>DM60+DM72+DM76</f>
        <v>607</v>
      </c>
      <c r="DN56" s="1498">
        <f>DN60+DN72+DN76</f>
        <v>568</v>
      </c>
      <c r="DO56" s="1498">
        <f>DO60+DO72+DO76</f>
        <v>561</v>
      </c>
      <c r="DP56" s="1498">
        <f>DP60+DP72+DP76</f>
        <v>608</v>
      </c>
      <c r="DQ56" s="1517">
        <f>SUM(DM56:DP56)</f>
        <v>2344</v>
      </c>
      <c r="DR56" s="589"/>
      <c r="DS56" s="1809">
        <f>DS60+DS72+DS76</f>
        <v>477</v>
      </c>
      <c r="DT56" s="1498">
        <f>DT60+DT72+DT76</f>
        <v>516</v>
      </c>
      <c r="DU56" s="1498">
        <f>DU60+DU72+DU76</f>
        <v>455</v>
      </c>
      <c r="DV56" s="1498">
        <f>DV60+DV72+DV76</f>
        <v>444</v>
      </c>
      <c r="DW56" s="1174"/>
      <c r="DX56" s="589"/>
      <c r="DY56" s="1498">
        <f>DY60+DY72+DY76</f>
        <v>450</v>
      </c>
      <c r="DZ56" s="1498">
        <f>DZ60+DZ72+DZ76</f>
        <v>465</v>
      </c>
      <c r="EA56" s="1498">
        <f>EA60+EA72+EA76</f>
        <v>478</v>
      </c>
      <c r="EB56" s="1498">
        <f>EB60+EB72+EB76</f>
        <v>514</v>
      </c>
      <c r="EC56" s="1174"/>
      <c r="ED56" s="589"/>
      <c r="EE56" s="961"/>
      <c r="EF56" s="961"/>
      <c r="EG56" s="961"/>
      <c r="EH56" s="961"/>
      <c r="EI56" s="1174"/>
      <c r="EJ56" s="589"/>
      <c r="EK56" s="961"/>
      <c r="EL56" s="961"/>
      <c r="EM56" s="961"/>
      <c r="EN56" s="961"/>
      <c r="EO56" s="1174"/>
      <c r="EP56" s="589"/>
      <c r="EQ56" s="961"/>
      <c r="ER56" s="961"/>
      <c r="ES56" s="961"/>
      <c r="ET56" s="961"/>
      <c r="EU56" s="1174"/>
    </row>
    <row r="57" spans="1:151" ht="12.75" customHeight="1">
      <c r="A57" s="962" t="s">
        <v>345</v>
      </c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263" t="str">
        <f>IF(I56&lt;&gt;"",O56/I56-1,"-")</f>
        <v>-</v>
      </c>
      <c r="P57" s="263" t="str">
        <f>IF(J56&lt;&gt;"",P56/J56-1,"-")</f>
        <v>-</v>
      </c>
      <c r="Q57" s="263" t="str">
        <f>IF(K56&lt;&gt;"",Q56/K56-1,"-")</f>
        <v>-</v>
      </c>
      <c r="R57" s="263" t="str">
        <f>IF(L56&lt;&gt;"",R56/L56-1,"-")</f>
        <v>-</v>
      </c>
      <c r="S57" s="263"/>
      <c r="T57" s="280"/>
      <c r="U57" s="263" t="str">
        <f>IF(O56&lt;&gt;"",U56/O56-1,"-")</f>
        <v>-</v>
      </c>
      <c r="V57" s="263" t="str">
        <f>IF(P56&lt;&gt;"",V56/P56-1,"-")</f>
        <v>-</v>
      </c>
      <c r="W57" s="263" t="str">
        <f>IF(Q56&lt;&gt;"",W56/Q56-1,"-")</f>
        <v>-</v>
      </c>
      <c r="X57" s="263" t="str">
        <f>IF(R56&lt;&gt;"",X56/R56-1,"-")</f>
        <v>-</v>
      </c>
      <c r="Y57" s="263"/>
      <c r="Z57" s="280"/>
      <c r="AA57" s="263">
        <f>IF(U56&lt;&gt;"",AA56/U56-1,"-")</f>
        <v>-1</v>
      </c>
      <c r="AB57" s="263" t="str">
        <f>IF(V56&lt;&gt;"",AB56/V56-1,"-")</f>
        <v>-</v>
      </c>
      <c r="AC57" s="263" t="str">
        <f>IF(W56&lt;&gt;"",AC56/W56-1,"-")</f>
        <v>-</v>
      </c>
      <c r="AD57" s="263" t="str">
        <f>IF(X56&lt;&gt;"",AD56/X56-1,"-")</f>
        <v>-</v>
      </c>
      <c r="AE57" s="263"/>
      <c r="AF57" s="147"/>
      <c r="AG57" s="263" t="str">
        <f>IF(AA56&lt;&gt;"",AG56/AA56-1,"-")</f>
        <v>-</v>
      </c>
      <c r="AH57" s="263" t="str">
        <f>IF(AB56&lt;&gt;"",AH56/AB56-1,"-")</f>
        <v>-</v>
      </c>
      <c r="AI57" s="263">
        <f>IF(AC56&lt;&gt;"",AI56/AC56-1,"-")</f>
        <v>3.8870748299319731</v>
      </c>
      <c r="AJ57" s="263" t="str">
        <f>IF(AD56&lt;&gt;"",AJ56/AD56-1,"-")</f>
        <v>-</v>
      </c>
      <c r="AK57" s="263"/>
      <c r="AL57" s="147"/>
      <c r="AM57" s="263">
        <f>IF(AG56&lt;&gt;"",AM56/AG56-1,"-")</f>
        <v>-1.8311291963377441E-2</v>
      </c>
      <c r="AN57" s="263">
        <f>IF(AH56&lt;&gt;"",AN56/AH56-1,"-")</f>
        <v>-7.3030777256129387E-2</v>
      </c>
      <c r="AO57" s="263">
        <f>IF(AI56&lt;&gt;"",AO56/AI56-1,"-")</f>
        <v>-0.12026726057906456</v>
      </c>
      <c r="AP57" s="263">
        <f>IF(AJ56&lt;&gt;"",AP56/AJ56-1,"-")</f>
        <v>-0.25861297539149897</v>
      </c>
      <c r="AQ57" s="263" t="str">
        <f>IF(AK56&lt;&gt;"",AQ56/AK56-1,"-")</f>
        <v>-</v>
      </c>
      <c r="AR57" s="147"/>
      <c r="AS57" s="263">
        <f>IF(AM56&lt;&gt;"",AS56/AM56-1,"-")</f>
        <v>-0.10569948186528499</v>
      </c>
      <c r="AT57" s="263">
        <f>IF(AN56&lt;&gt;"",AT56/AN56-1,"-")</f>
        <v>1.7445132245357486E-2</v>
      </c>
      <c r="AU57" s="263">
        <f>IF(AO56&lt;&gt;"",AU56/AO56-1,"-")</f>
        <v>0.26645569620253151</v>
      </c>
      <c r="AV57" s="263">
        <f>IF(AP56&lt;&gt;"",AV56/AP56-1,"-")</f>
        <v>0.5582377791188895</v>
      </c>
      <c r="AW57" s="263">
        <f>IF(AQ56&lt;&gt;"",AW56/AQ56-1,"-")</f>
        <v>0.16892281105990792</v>
      </c>
      <c r="AX57" s="147"/>
      <c r="AY57" s="263">
        <f>IF(AS56&lt;&gt;"",AY56/AS56-1,"-")</f>
        <v>0.50753186558516794</v>
      </c>
      <c r="AZ57" s="263">
        <f>IF(AT56&lt;&gt;"",AZ56/AT56-1,"-")</f>
        <v>0.34070796460176989</v>
      </c>
      <c r="BA57" s="263">
        <f>IF(AU56&lt;&gt;"",BA56/AU56-1,"-")</f>
        <v>0.28135932033982991</v>
      </c>
      <c r="BB57" s="263">
        <f>IF(AV56&lt;&gt;"",BB56/AV56-1,"-")</f>
        <v>0.20952749806351667</v>
      </c>
      <c r="BC57" s="263">
        <f>IF(AW56&lt;&gt;"",BC56/AW56-1,"-")</f>
        <v>0.31982259455463824</v>
      </c>
      <c r="BD57" s="147"/>
      <c r="BE57" s="263">
        <f>IF(AY56&lt;&gt;"",BE56/AY56-1,"-")</f>
        <v>0.20368946963873946</v>
      </c>
      <c r="BF57" s="263">
        <f>IF(AZ56&lt;&gt;"",BF56/AZ56-1,"-")</f>
        <v>0.34405940594059414</v>
      </c>
      <c r="BG57" s="263">
        <f>IF(BA56&lt;&gt;"",BG56/BA56-1,"-")</f>
        <v>0.3018720748829955</v>
      </c>
      <c r="BH57" s="263">
        <f>IF(BB56&lt;&gt;"",BH56/BB56-1,"-")</f>
        <v>0.19020172910662825</v>
      </c>
      <c r="BI57" s="263">
        <f>IF(BC56&lt;&gt;"",BI56/BC56-1,"-")</f>
        <v>0.25501726873891539</v>
      </c>
      <c r="BJ57" s="147"/>
      <c r="BK57" s="263">
        <f>IF(BE56&lt;&gt;"",BK56/BE56-1,"-")</f>
        <v>0.2346743295019158</v>
      </c>
      <c r="BL57" s="263">
        <f>IF(BF56&lt;&gt;"",BL56/BF56-1,"-")</f>
        <v>0.19275629220380597</v>
      </c>
      <c r="BM57" s="263">
        <f>IF(BG56&lt;&gt;"",BM56/BG56-1,"-")</f>
        <v>0.16836428999400832</v>
      </c>
      <c r="BN57" s="263">
        <f>IF(BH56&lt;&gt;"",BN56/BH56-1,"-")</f>
        <v>0.15684691955878405</v>
      </c>
      <c r="BO57" s="1104">
        <f>IF(BI56&lt;&gt;"",BO56/BI56-1,"-")</f>
        <v>0.18653774637411669</v>
      </c>
      <c r="BP57" s="147"/>
      <c r="BQ57" s="263">
        <f>IF(BK56&lt;&gt;"",BQ56/BK56-1,"-")</f>
        <v>0.15334884923713465</v>
      </c>
      <c r="BR57" s="263">
        <f>IF(BL56&lt;&gt;"",BR56/BL56-1,"-")</f>
        <v>0.18116314976839942</v>
      </c>
      <c r="BS57" s="263">
        <f>IF(BM56&lt;&gt;"",BS56/BM56-1,"-")</f>
        <v>0.19999999999999996</v>
      </c>
      <c r="BT57" s="263">
        <f>IF(BN56&lt;&gt;"",BT56/BN56-1,"-")</f>
        <v>0.21627906976744193</v>
      </c>
      <c r="BU57" s="1104">
        <f>IF(BO56&lt;&gt;"",BU56/BO56-1,"-")</f>
        <v>0.18849119287908245</v>
      </c>
      <c r="BV57" s="147"/>
      <c r="BW57" s="263">
        <f>IF(BQ56&lt;&gt;"",BW56/BQ56-1,"-")</f>
        <v>0.18161434977578472</v>
      </c>
      <c r="BX57" s="263">
        <f>IF(BR56&lt;&gt;"",BX56/BR56-1,"-")</f>
        <v>0.18518518518518512</v>
      </c>
      <c r="BY57" s="263">
        <f>IF(BS56&lt;&gt;"",BY56/BS56-1,"-")</f>
        <v>0.12606837606837606</v>
      </c>
      <c r="BZ57" s="263">
        <f>IF(BT56&lt;&gt;"",BZ56/BT56-1,"-")</f>
        <v>-0.17399617590822181</v>
      </c>
      <c r="CA57" s="1104">
        <f>IF(BU56&lt;&gt;"",CA56/BU56-1,"-")</f>
        <v>7.0675105485232148E-2</v>
      </c>
      <c r="CB57" s="147"/>
      <c r="CC57" s="263">
        <f>IF(BW56&lt;&gt;"",CC56/BW56-1,"-")</f>
        <v>-0.2827324478178368</v>
      </c>
      <c r="CD57" s="263">
        <f>IF(BX56&lt;&gt;"",CD56/BX56-1,"-")</f>
        <v>-0.32352941176470584</v>
      </c>
      <c r="CE57" s="263">
        <f>IF(BY56&lt;&gt;"",CE56/BY56-1,"-")</f>
        <v>-0.29981024667931688</v>
      </c>
      <c r="CF57" s="1500">
        <f>IF(BZ56&lt;&gt;"",CF56/BZ56-1,"-")</f>
        <v>-5.092592592592593E-2</v>
      </c>
      <c r="CG57" s="1518">
        <f>IF(CA56&lt;&gt;"",CG56/CA56-1,"-")</f>
        <v>-0.24876847290640391</v>
      </c>
      <c r="CH57" s="147"/>
      <c r="CI57" s="263">
        <f>IF(CC56&lt;&gt;"",CI56/CC56-1,"-")</f>
        <v>0.13492063492063489</v>
      </c>
      <c r="CJ57" s="263">
        <f>IF(CD56&lt;&gt;"",CJ56/CD56-1,"-")</f>
        <v>0.1510869565217392</v>
      </c>
      <c r="CK57" s="263">
        <f>IF(CE56&lt;&gt;"",CK56/CE56-1,"-")</f>
        <v>0.15718157181571812</v>
      </c>
      <c r="CL57" s="263">
        <f>IF(CF56&lt;&gt;"",CL56/CF56-1,"-")</f>
        <v>0.16097560975609748</v>
      </c>
      <c r="CM57" s="1518">
        <f>IF(CG56&lt;&gt;"",CM56/CG56-1,"-")</f>
        <v>0.15121311475409827</v>
      </c>
      <c r="CN57" s="147"/>
      <c r="CO57" s="263">
        <f>IF(CI56&lt;&gt;"",CO56/CI56-1,"-")</f>
        <v>0.10722610722610715</v>
      </c>
      <c r="CP57" s="263">
        <f>IF(CJ56&lt;&gt;"",CP56/CJ56-1,"-")</f>
        <v>0.16383380547686488</v>
      </c>
      <c r="CQ57" s="263">
        <f>IF(CK56&lt;&gt;"",CQ56/CK56-1,"-")</f>
        <v>0.16159250585480089</v>
      </c>
      <c r="CR57" s="263">
        <f>IF(CL56&lt;&gt;"",CR56/CL56-1,"-")</f>
        <v>0.12815126050420167</v>
      </c>
      <c r="CS57" s="1518">
        <f>IF(CM56&lt;&gt;"",CS56/CM56-1,"-")</f>
        <v>0.13978127136021889</v>
      </c>
      <c r="CT57" s="263"/>
      <c r="CU57" s="263">
        <f>IF(CO56&lt;&gt;"",CU56/CO56-1,"-")</f>
        <v>0.13473684210526327</v>
      </c>
      <c r="CV57" s="263">
        <f>IF(CP56&lt;&gt;"",CV56/CP56-1,"-")</f>
        <v>5.476673427991896E-2</v>
      </c>
      <c r="CW57" s="263">
        <f>IF(CQ56&lt;&gt;"",CW56/CQ56-1,"-")</f>
        <v>8.0645161290322509E-3</v>
      </c>
      <c r="CX57" s="263">
        <f>IF(CR56&lt;&gt;"",CX56/CR56-1,"-")</f>
        <v>4.2830540037243958E-2</v>
      </c>
      <c r="CY57" s="1518">
        <f>IF(CS56&lt;&gt;"",CY56/CS56-1,"-")</f>
        <v>5.897051474262871E-2</v>
      </c>
      <c r="CZ57" s="263"/>
      <c r="DA57" s="263">
        <f>IF(CU56&lt;&gt;"",DA56/CU56-1,"-")</f>
        <v>-2.7829313543599299E-2</v>
      </c>
      <c r="DB57" s="263">
        <f>IF(CV56&lt;&gt;"",DB56/CV56-1,"-")</f>
        <v>-3.8461538461538325E-3</v>
      </c>
      <c r="DC57" s="263">
        <f>IF(CW56&lt;&gt;"",DC56/CW56-1,"-")</f>
        <v>2.200000000000002E-2</v>
      </c>
      <c r="DD57" s="263">
        <f>IF(CX56&lt;&gt;"",DD56/CX56-1,"-")</f>
        <v>-2.5000000000000022E-2</v>
      </c>
      <c r="DE57" s="1518">
        <f>IF(CY56&lt;&gt;"",DE56/CY56-1,"-")</f>
        <v>-9.4384143463898118E-3</v>
      </c>
      <c r="DF57" s="263"/>
      <c r="DG57" s="263">
        <f>IF(DA56&lt;&gt;"",DG56/DA56-1,"-")</f>
        <v>5.9160305343511466E-2</v>
      </c>
      <c r="DH57" s="263">
        <f>IF(DB56&lt;&gt;"",DH56/DB56-1,"-")</f>
        <v>0.14671814671814665</v>
      </c>
      <c r="DI57" s="263">
        <f>IF(DC56&lt;&gt;"",DI56/DC56-1,"-")</f>
        <v>0.12524461839530332</v>
      </c>
      <c r="DJ57" s="263">
        <f>IF(DD56&lt;&gt;"",DJ56/DD56-1,"-")</f>
        <v>0.13736263736263732</v>
      </c>
      <c r="DK57" s="1518">
        <f>IF(DE56&lt;&gt;"",DK56/DE56-1,"-")</f>
        <v>0.11719866603144347</v>
      </c>
      <c r="DL57" s="147"/>
      <c r="DM57" s="1810">
        <f>IF(DG56&lt;&gt;"",DM56/DG56-1,"-")</f>
        <v>9.3693693693693625E-2</v>
      </c>
      <c r="DN57" s="263">
        <f>IF(DH56&lt;&gt;"",DN56/DH56-1,"-")</f>
        <v>-4.3771043771043794E-2</v>
      </c>
      <c r="DO57" s="263">
        <f>IF(DI56&lt;&gt;"",DO56/DI56-1,"-")</f>
        <v>-2.4347826086956514E-2</v>
      </c>
      <c r="DP57" s="263">
        <f>IF(DJ56&lt;&gt;"",DP56/DJ56-1,"-")</f>
        <v>-2.0933977455716568E-2</v>
      </c>
      <c r="DQ57" s="1518">
        <f>IF(DK56&lt;&gt;"",DQ56/DK56-1,"-")</f>
        <v>-4.2643923240937021E-4</v>
      </c>
      <c r="DR57" s="147"/>
      <c r="DS57" s="1810">
        <f>IF(DM56&lt;&gt;"",DS56/DM56-1,"-")</f>
        <v>-0.21416803953871499</v>
      </c>
      <c r="DT57" s="263">
        <f>IF(DN56&lt;&gt;"",DT56/DN56-1,"-")</f>
        <v>-9.1549295774647876E-2</v>
      </c>
      <c r="DU57" s="263">
        <f>IF(DO56&lt;&gt;"",DU56/DO56-1,"-")</f>
        <v>-0.18894830659536543</v>
      </c>
      <c r="DV57" s="263">
        <f>IF(DP56&lt;&gt;"",DV56/DP56-1,"-")</f>
        <v>-0.26973684210526316</v>
      </c>
      <c r="DW57" s="1096"/>
      <c r="DX57" s="147"/>
      <c r="DY57" s="263">
        <f>IF(DS56&lt;&gt;"",DY56/DS56-1,"-")</f>
        <v>-5.6603773584905648E-2</v>
      </c>
      <c r="DZ57" s="263">
        <f>IF(DT56&lt;&gt;"",DZ56/DT56-1,"-")</f>
        <v>-9.8837209302325535E-2</v>
      </c>
      <c r="EA57" s="263">
        <f>IF(DU56&lt;&gt;"",EA56/DU56-1,"-")</f>
        <v>5.0549450549450592E-2</v>
      </c>
      <c r="EB57" s="263">
        <f>IF(DV56&lt;&gt;"",EB56/DV56-1,"-")</f>
        <v>0.1576576576576576</v>
      </c>
      <c r="EC57" s="1096"/>
      <c r="ED57" s="147"/>
      <c r="EE57" s="147"/>
      <c r="EF57" s="147"/>
      <c r="EG57" s="147"/>
      <c r="EH57" s="147"/>
      <c r="EI57" s="1096"/>
      <c r="EJ57" s="147"/>
      <c r="EK57" s="147"/>
      <c r="EL57" s="147"/>
      <c r="EM57" s="147"/>
      <c r="EN57" s="147"/>
      <c r="EO57" s="1096"/>
      <c r="EP57" s="147"/>
      <c r="EQ57" s="147"/>
      <c r="ER57" s="147"/>
      <c r="ES57" s="147"/>
      <c r="ET57" s="147"/>
      <c r="EU57" s="1096"/>
    </row>
    <row r="58" spans="1:151" ht="12.75" customHeight="1">
      <c r="A58" s="962" t="s">
        <v>344</v>
      </c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263" t="str">
        <f>IF(L56&lt;&gt;"",O56/L56-1,"-")</f>
        <v>-</v>
      </c>
      <c r="P58" s="263" t="str">
        <f>IF(O56&lt;&gt;"",P56/O56-1,"-")</f>
        <v>-</v>
      </c>
      <c r="Q58" s="263" t="str">
        <f>IF(P56&lt;&gt;"",Q56/P56-1,"-")</f>
        <v>-</v>
      </c>
      <c r="R58" s="263" t="str">
        <f>IF(Q56&lt;&gt;"",R56/Q56-1,"-")</f>
        <v>-</v>
      </c>
      <c r="S58" s="141"/>
      <c r="T58" s="280"/>
      <c r="U58" s="263" t="str">
        <f>IF(R56&lt;&gt;"",U56/R56-1,"-")</f>
        <v>-</v>
      </c>
      <c r="V58" s="263">
        <f>IF(U56&lt;&gt;"",V56/U56-1,"-")</f>
        <v>-1</v>
      </c>
      <c r="W58" s="263" t="str">
        <f>IF(V56&lt;&gt;"",W56/V56-1,"-")</f>
        <v>-</v>
      </c>
      <c r="X58" s="263" t="str">
        <f>IF(W56&lt;&gt;"",X56/W56-1,"-")</f>
        <v>-</v>
      </c>
      <c r="Y58" s="141"/>
      <c r="Z58" s="280"/>
      <c r="AA58" s="263" t="str">
        <f>IF(X56&lt;&gt;"",AA56/X56-1,"-")</f>
        <v>-</v>
      </c>
      <c r="AB58" s="263" t="str">
        <f>IF(AA56&lt;&gt;"",AB56/AA56-1,"-")</f>
        <v>-</v>
      </c>
      <c r="AC58" s="263" t="str">
        <f>IF(AB56&lt;&gt;"",AC56/AB56-1,"-")</f>
        <v>-</v>
      </c>
      <c r="AD58" s="263">
        <f>IF(AC56&lt;&gt;"",AD56/AC56-1,"-")</f>
        <v>-1</v>
      </c>
      <c r="AE58" s="141"/>
      <c r="AF58" s="147"/>
      <c r="AG58" s="263" t="str">
        <f>IF(AD56&lt;&gt;"",AG56/AD56-1,"-")</f>
        <v>-</v>
      </c>
      <c r="AH58" s="263">
        <f>IF(AG56&lt;&gt;"",AH56/AG56-1,"-")</f>
        <v>-2.4923702950152671E-2</v>
      </c>
      <c r="AI58" s="263">
        <f>IF(AH56&lt;&gt;"",AI56/AH56-1,"-")</f>
        <v>-6.3119457485654618E-2</v>
      </c>
      <c r="AJ58" s="263">
        <f>IF(AI56&lt;&gt;"",AJ56/AI56-1,"-")</f>
        <v>0.24443207126948785</v>
      </c>
      <c r="AK58" s="141"/>
      <c r="AL58" s="147"/>
      <c r="AM58" s="263">
        <f>IF(AJ56&lt;&gt;"",AM56/AJ56-1,"-")</f>
        <v>-0.13646532438478742</v>
      </c>
      <c r="AN58" s="263">
        <f>IF(AM56&lt;&gt;"",AN56/AM56-1,"-")</f>
        <v>-7.9274611398963746E-2</v>
      </c>
      <c r="AO58" s="263">
        <f>IF(AN56&lt;&gt;"",AO56/AN56-1,"-")</f>
        <v>-0.11086100168823854</v>
      </c>
      <c r="AP58" s="263">
        <f>IF(AO56&lt;&gt;"",AP56/AO56-1,"-")</f>
        <v>4.8734177215189911E-2</v>
      </c>
      <c r="AQ58" s="141" t="s">
        <v>6442</v>
      </c>
      <c r="AR58" s="147"/>
      <c r="AS58" s="263">
        <f>IF(AP56&lt;&gt;"",AS56/AP56-1,"-")</f>
        <v>4.1641520820760558E-2</v>
      </c>
      <c r="AT58" s="263">
        <f>IF(AS56&lt;&gt;"",AT56/AS56-1,"-")</f>
        <v>4.7508690614136873E-2</v>
      </c>
      <c r="AU58" s="263">
        <f>IF(AT56&lt;&gt;"",AU56/AT56-1,"-")</f>
        <v>0.10674778761061932</v>
      </c>
      <c r="AV58" s="263">
        <f>IF(AU56&lt;&gt;"",AV56/AU56-1,"-")</f>
        <v>0.2903548225887056</v>
      </c>
      <c r="AW58" s="141" t="s">
        <v>6442</v>
      </c>
      <c r="AX58" s="147"/>
      <c r="AY58" s="263">
        <f>IF(AV56&lt;&gt;"",AY56/AV56-1,"-")</f>
        <v>7.7459333849729806E-3</v>
      </c>
      <c r="AZ58" s="263">
        <f>IF(AY56&lt;&gt;"",AZ56/AY56-1,"-")</f>
        <v>-6.8408916218293592E-2</v>
      </c>
      <c r="BA58" s="263">
        <f>IF(AZ56&lt;&gt;"",BA56/AZ56-1,"-")</f>
        <v>5.7755775577557733E-2</v>
      </c>
      <c r="BB58" s="263">
        <f>IF(BA56&lt;&gt;"",BB56/BA56-1,"-")</f>
        <v>0.21801872074883</v>
      </c>
      <c r="BC58" s="141" t="s">
        <v>6442</v>
      </c>
      <c r="BD58" s="147"/>
      <c r="BE58" s="263">
        <f>IF(BB56&lt;&gt;"",BE56/BB56-1,"-")</f>
        <v>2.8818443804032867E-3</v>
      </c>
      <c r="BF58" s="263">
        <f>IF(BE56&lt;&gt;"",BF56/BE56-1,"-")</f>
        <v>4.0229885057471382E-2</v>
      </c>
      <c r="BG58" s="263">
        <f>IF(BF56&lt;&gt;"",BG56/BF56-1,"-")</f>
        <v>2.4554941682013443E-2</v>
      </c>
      <c r="BH58" s="263">
        <f>IF(BG56&lt;&gt;"",BH56/BG56-1,"-")</f>
        <v>0.11354104254044328</v>
      </c>
      <c r="BI58" s="141" t="s">
        <v>6442</v>
      </c>
      <c r="BJ58" s="147"/>
      <c r="BK58" s="263">
        <f>IF(BH56&lt;&gt;"",BK56/BH56-1,"-")</f>
        <v>4.035512510088779E-2</v>
      </c>
      <c r="BL58" s="263">
        <f>IF(BK56&lt;&gt;"",BL56/BK56-1,"-")</f>
        <v>4.9133695371088582E-3</v>
      </c>
      <c r="BM58" s="263">
        <f>IF(BL56&lt;&gt;"",BM56/BL56-1,"-")</f>
        <v>3.6026762738032847E-3</v>
      </c>
      <c r="BN58" s="263">
        <f>IF(BM56&lt;&gt;"",BN56/BM56-1,"-")</f>
        <v>0.10256410256410264</v>
      </c>
      <c r="BO58" s="1105" t="s">
        <v>6442</v>
      </c>
      <c r="BP58" s="147"/>
      <c r="BQ58" s="263">
        <f>IF(BN56&lt;&gt;"",BQ56/BN56-1,"-")</f>
        <v>3.7209302325581506E-2</v>
      </c>
      <c r="BR58" s="263">
        <f>IF(BQ56&lt;&gt;"",BR56/BQ56-1,"-")</f>
        <v>2.9147982062780242E-2</v>
      </c>
      <c r="BS58" s="263">
        <f>IF(BR56&lt;&gt;"",BS56/BR56-1,"-")</f>
        <v>1.9607843137254832E-2</v>
      </c>
      <c r="BT58" s="263">
        <f>IF(BS56&lt;&gt;"",BT56/BS56-1,"-")</f>
        <v>0.11752136752136755</v>
      </c>
      <c r="BU58" s="1105" t="s">
        <v>6442</v>
      </c>
      <c r="BV58" s="147"/>
      <c r="BW58" s="263">
        <f>IF(BT56&lt;&gt;"",BW56/BT56-1,"-")</f>
        <v>7.6481835564052858E-3</v>
      </c>
      <c r="BX58" s="263">
        <f>IF(BU56&lt;&gt;"",BX56/BU56-1,"-")</f>
        <v>-0.71308016877637126</v>
      </c>
      <c r="BY58" s="263">
        <f>IF(BX56&lt;&gt;"",BY56/BX56-1,"-")</f>
        <v>-3.125E-2</v>
      </c>
      <c r="BZ58" s="263">
        <f>IF(BW56&lt;&gt;"",BZ56/BW56-1,"-")</f>
        <v>-0.18026565464895639</v>
      </c>
      <c r="CA58" s="1105" t="s">
        <v>6442</v>
      </c>
      <c r="CB58" s="147"/>
      <c r="CC58" s="263">
        <f>IF(BZ56&lt;&gt;"",CC56/BZ56-1,"-")</f>
        <v>-0.125</v>
      </c>
      <c r="CD58" s="263">
        <f>IF(CA56&lt;&gt;"",CD56/CA56-1,"-")</f>
        <v>-0.81871921182266005</v>
      </c>
      <c r="CE58" s="263">
        <f>IF(CD56&lt;&gt;"",CE56/CD56-1,"-")</f>
        <v>2.7173913043478937E-3</v>
      </c>
      <c r="CF58" s="1500">
        <f>IF(CE56&lt;&gt;"",CF56/CE56-1,"-")</f>
        <v>0.11111111111111116</v>
      </c>
      <c r="CG58" s="1519" t="s">
        <v>6442</v>
      </c>
      <c r="CH58" s="147"/>
      <c r="CI58" s="263">
        <f>IF(CF56&lt;&gt;"",CI56/CF56-1,"-")</f>
        <v>4.6341463414634188E-2</v>
      </c>
      <c r="CJ58" s="263">
        <f>CJ56/CI56-1</f>
        <v>-1.2587412587412583E-2</v>
      </c>
      <c r="CK58" s="263">
        <f>CK56/CJ56-1</f>
        <v>8.0264400377714207E-3</v>
      </c>
      <c r="CL58" s="263">
        <f>IF(CK56&lt;&gt;"",CL56/CK56-1,"-")</f>
        <v>0.11475409836065564</v>
      </c>
      <c r="CM58" s="1519" t="s">
        <v>6442</v>
      </c>
      <c r="CN58" s="147"/>
      <c r="CO58" s="263">
        <f>IF(CL56&lt;&gt;"",CO56/CL56-1,"-")</f>
        <v>-2.1008403361344463E-3</v>
      </c>
      <c r="CP58" s="263">
        <f>IF(CO56&lt;&gt;"",CP56/CO56-1,"-")</f>
        <v>3.7894736842105203E-2</v>
      </c>
      <c r="CQ58" s="263">
        <f>IF(CP56&lt;&gt;"",CQ56/CP56-1,"-")</f>
        <v>6.0851926977687487E-3</v>
      </c>
      <c r="CR58" s="263">
        <f>IF(CQ56&lt;&gt;"",CR56/CQ56-1,"-")</f>
        <v>8.2661290322580738E-2</v>
      </c>
      <c r="CS58" s="1519" t="s">
        <v>6442</v>
      </c>
      <c r="CT58" s="141"/>
      <c r="CU58" s="263">
        <f>IF(CR56&lt;&gt;"",CU56/CR56-1,"-")</f>
        <v>3.7243947858474069E-3</v>
      </c>
      <c r="CV58" s="263">
        <f>IF(CU56&lt;&gt;"",CV56/CU56-1,"-")</f>
        <v>-3.5250463821892342E-2</v>
      </c>
      <c r="CW58" s="263">
        <f>IF(CV56&lt;&gt;"",CW56/CV56-1,"-")</f>
        <v>-3.8461538461538436E-2</v>
      </c>
      <c r="CX58" s="263">
        <f>IF(CW56&lt;&gt;"",CX56/CW56-1,"-")</f>
        <v>0.12000000000000011</v>
      </c>
      <c r="CY58" s="1519" t="s">
        <v>6442</v>
      </c>
      <c r="CZ58" s="141"/>
      <c r="DA58" s="263">
        <f>IF(CX56&lt;&gt;"",DA56/CX56-1,"-")</f>
        <v>-6.4285714285714279E-2</v>
      </c>
      <c r="DB58" s="263">
        <f>IF(DA56&lt;&gt;"",DB56/DA56-1,"-")</f>
        <v>-1.1450381679389277E-2</v>
      </c>
      <c r="DC58" s="263">
        <f>IF(DB56&lt;&gt;"",DC56/DB56-1,"-")</f>
        <v>-1.3513513513513487E-2</v>
      </c>
      <c r="DD58" s="263">
        <f>IF(DC56&lt;&gt;"",DD56/DC56-1,"-")</f>
        <v>6.8493150684931559E-2</v>
      </c>
      <c r="DE58" s="1519" t="s">
        <v>6442</v>
      </c>
      <c r="DF58" s="141"/>
      <c r="DG58" s="263">
        <f>IF(DD56&lt;&gt;"",DG56/DD56-1,"-")</f>
        <v>1.6483516483516425E-2</v>
      </c>
      <c r="DH58" s="263">
        <f>IF(DG56&lt;&gt;"",DH56/DG56-1,"-")</f>
        <v>7.0270270270270219E-2</v>
      </c>
      <c r="DI58" s="263">
        <f>IF(DH56&lt;&gt;"",DI56/DH56-1,"-")</f>
        <v>-3.1986531986532007E-2</v>
      </c>
      <c r="DJ58" s="263">
        <f>IF(DI56&lt;&gt;"",DJ56/DI56-1,"-")</f>
        <v>8.0000000000000071E-2</v>
      </c>
      <c r="DK58" s="1519" t="s">
        <v>6442</v>
      </c>
      <c r="DL58" s="147"/>
      <c r="DM58" s="1810">
        <f>IF(DJ56&lt;&gt;"",DM56/DJ56-1,"-")</f>
        <v>-2.254428341384862E-2</v>
      </c>
      <c r="DN58" s="263">
        <f>IF(DM56&lt;&gt;"",DN56/DM56-1,"-")</f>
        <v>-6.4250411861614509E-2</v>
      </c>
      <c r="DO58" s="263">
        <f>IF(DN56&lt;&gt;"",DO56/DN56-1,"-")</f>
        <v>-1.232394366197187E-2</v>
      </c>
      <c r="DP58" s="263">
        <f>IF(DO56&lt;&gt;"",DP56/DO56-1,"-")</f>
        <v>8.3778966131907273E-2</v>
      </c>
      <c r="DQ58" s="1519" t="s">
        <v>6442</v>
      </c>
      <c r="DR58" s="147"/>
      <c r="DS58" s="1810">
        <f>IF(DP56&lt;&gt;"",DS56/DP56-1,"-")</f>
        <v>-0.21546052631578949</v>
      </c>
      <c r="DT58" s="263">
        <f>IF(DS56&lt;&gt;"",DT56/DS56-1,"-")</f>
        <v>8.1761006289308158E-2</v>
      </c>
      <c r="DU58" s="263">
        <f>IF(DT56&lt;&gt;"",DU56/DT56-1,"-")</f>
        <v>-0.11821705426356588</v>
      </c>
      <c r="DV58" s="263">
        <f>IF(DU56&lt;&gt;"",DV56/DU56-1,"-")</f>
        <v>-2.4175824175824201E-2</v>
      </c>
      <c r="DW58" s="1096"/>
      <c r="DX58" s="147"/>
      <c r="DY58" s="1810">
        <f>IF(DV56&lt;&gt;"",DY56/DV56-1,"-")</f>
        <v>1.3513513513513598E-2</v>
      </c>
      <c r="DZ58" s="263">
        <f>IF(DY56&lt;&gt;"",DZ56/DY56-1,"-")</f>
        <v>3.3333333333333437E-2</v>
      </c>
      <c r="EA58" s="263">
        <f>IF(DZ56&lt;&gt;"",EA56/DZ56-1,"-")</f>
        <v>2.7956989247311936E-2</v>
      </c>
      <c r="EB58" s="263">
        <f>IF(EA56&lt;&gt;"",EB56/EA56-1,"-")</f>
        <v>7.5313807531380839E-2</v>
      </c>
      <c r="EC58" s="1096"/>
      <c r="ED58" s="147"/>
      <c r="EE58" s="147"/>
      <c r="EF58" s="147"/>
      <c r="EG58" s="147"/>
      <c r="EH58" s="147"/>
      <c r="EI58" s="1096"/>
      <c r="EJ58" s="147"/>
      <c r="EK58" s="147"/>
      <c r="EL58" s="147"/>
      <c r="EM58" s="147"/>
      <c r="EN58" s="147"/>
      <c r="EO58" s="1096"/>
      <c r="EP58" s="147"/>
      <c r="EQ58" s="147"/>
      <c r="ER58" s="147"/>
      <c r="ES58" s="147"/>
      <c r="ET58" s="147"/>
      <c r="EU58" s="1096"/>
    </row>
    <row r="59" spans="1:151" ht="12.75" customHeight="1">
      <c r="A59" s="963" t="s">
        <v>5579</v>
      </c>
      <c r="B59" s="1581"/>
      <c r="C59" s="1581"/>
      <c r="D59" s="1581"/>
      <c r="E59" s="1581"/>
      <c r="F59" s="1581"/>
      <c r="G59" s="1581"/>
      <c r="H59" s="1581"/>
      <c r="I59" s="1581"/>
      <c r="J59" s="1581"/>
      <c r="K59" s="1581"/>
      <c r="L59" s="1581"/>
      <c r="M59" s="1581"/>
      <c r="N59" s="1581"/>
      <c r="O59" s="1582"/>
      <c r="P59" s="1582"/>
      <c r="Q59" s="1582"/>
      <c r="R59" s="1582"/>
      <c r="S59" s="1583"/>
      <c r="T59" s="1584"/>
      <c r="U59" s="1582"/>
      <c r="V59" s="1582"/>
      <c r="W59" s="1582"/>
      <c r="X59" s="1582"/>
      <c r="Y59" s="1583"/>
      <c r="Z59" s="1584"/>
      <c r="AA59" s="1582"/>
      <c r="AB59" s="1582"/>
      <c r="AC59" s="1582"/>
      <c r="AD59" s="1582"/>
      <c r="AE59" s="1583"/>
      <c r="AF59" s="1581"/>
      <c r="AG59" s="1582"/>
      <c r="AH59" s="1582"/>
      <c r="AI59" s="1582"/>
      <c r="AJ59" s="1582"/>
      <c r="AK59" s="1583"/>
      <c r="AL59" s="1581"/>
      <c r="AM59" s="1582"/>
      <c r="AN59" s="1582"/>
      <c r="AO59" s="1582"/>
      <c r="AP59" s="1582"/>
      <c r="AQ59" s="1583"/>
      <c r="AR59" s="1583"/>
      <c r="AS59" s="1582"/>
      <c r="AT59" s="1582"/>
      <c r="AU59" s="1582"/>
      <c r="AV59" s="1582"/>
      <c r="AW59" s="1583"/>
      <c r="AX59" s="1581"/>
      <c r="AY59" s="1582"/>
      <c r="AZ59" s="1582"/>
      <c r="BA59" s="1582"/>
      <c r="BB59" s="1582"/>
      <c r="BC59" s="1583"/>
      <c r="BD59" s="1581"/>
      <c r="BE59" s="1582"/>
      <c r="BF59" s="1582"/>
      <c r="BG59" s="1582"/>
      <c r="BH59" s="1582"/>
      <c r="BI59" s="1583"/>
      <c r="BJ59" s="1581"/>
      <c r="BK59" s="1582">
        <f>BK56/BK$90</f>
        <v>0.88692660550458713</v>
      </c>
      <c r="BL59" s="1582">
        <f>BL56/BL$90</f>
        <v>0.86432384341637014</v>
      </c>
      <c r="BM59" s="1582">
        <f>BM56/BM$90</f>
        <v>0.85339168490153172</v>
      </c>
      <c r="BN59" s="1582">
        <f>BN56/BN$90</f>
        <v>0.86519114688128773</v>
      </c>
      <c r="BO59" s="1585">
        <f>BO56/BO$90</f>
        <v>0.86719939117199396</v>
      </c>
      <c r="BP59" s="1581"/>
      <c r="BQ59" s="1582">
        <f>BQ56/BQ$90</f>
        <v>0.8769170271333071</v>
      </c>
      <c r="BR59" s="1582">
        <f>BR56/BR$90</f>
        <v>0.87278950370792907</v>
      </c>
      <c r="BS59" s="1582">
        <f>BS56/BS$90</f>
        <v>0.86827458256029688</v>
      </c>
      <c r="BT59" s="1582">
        <f>BT56/BT$90</f>
        <v>0.87312186978297157</v>
      </c>
      <c r="BU59" s="1585">
        <f>BU56/BU$90</f>
        <v>0.87272727272727268</v>
      </c>
      <c r="BV59" s="964"/>
      <c r="BW59" s="965">
        <f>BW56/BW$90</f>
        <v>0.88009352037408162</v>
      </c>
      <c r="BX59" s="965">
        <f>BX56/BX$90</f>
        <v>0.87812752219531875</v>
      </c>
      <c r="BY59" s="965">
        <f>BY56/BY$90</f>
        <v>0.86806127491352325</v>
      </c>
      <c r="BZ59" s="965">
        <f>BZ56/BZ$90</f>
        <v>0.88199265006124949</v>
      </c>
      <c r="CA59" s="1106">
        <f>CA56/CA$90</f>
        <v>0.87681409813407041</v>
      </c>
      <c r="CB59" s="964"/>
      <c r="CC59" s="965">
        <f>CC56/CC$90</f>
        <v>0.88732394366197187</v>
      </c>
      <c r="CD59" s="965">
        <f>CD56/CD$90</f>
        <v>0.88674698795180718</v>
      </c>
      <c r="CE59" s="965">
        <f>CE56/CE$90</f>
        <v>0.8848920863309353</v>
      </c>
      <c r="CF59" s="1501">
        <f>CF56/CF$90</f>
        <v>0.89912280701754388</v>
      </c>
      <c r="CG59" s="1520">
        <f>CG56/CG$90</f>
        <v>0.88967971530249113</v>
      </c>
      <c r="CH59" s="964"/>
      <c r="CI59" s="965">
        <f>CI56/CI$90</f>
        <v>0.90315789473684216</v>
      </c>
      <c r="CJ59" s="965">
        <f>CJ56/CJ$90</f>
        <v>0.89537095751426765</v>
      </c>
      <c r="CK59" s="965">
        <f>CK56/CK$90</f>
        <v>0.89517819706498947</v>
      </c>
      <c r="CL59" s="965">
        <f>CL56/CL$90</f>
        <v>0.90151515151515149</v>
      </c>
      <c r="CM59" s="1520">
        <f>CM56/CM$90</f>
        <v>0.90276135136524904</v>
      </c>
      <c r="CN59" s="964"/>
      <c r="CO59" s="965">
        <f t="shared" ref="CO59:DE59" si="39">CO56/CO$90</f>
        <v>0.89962121212121215</v>
      </c>
      <c r="CP59" s="965">
        <f t="shared" si="39"/>
        <v>0.90127970749542963</v>
      </c>
      <c r="CQ59" s="965">
        <f t="shared" si="39"/>
        <v>0.90346083788706744</v>
      </c>
      <c r="CR59" s="965">
        <f t="shared" si="39"/>
        <v>0.90709459459459463</v>
      </c>
      <c r="CS59" s="1520">
        <f t="shared" si="39"/>
        <v>0.90297833935018046</v>
      </c>
      <c r="CT59" s="965"/>
      <c r="CU59" s="965">
        <f t="shared" si="39"/>
        <v>0.91355932203389834</v>
      </c>
      <c r="CV59" s="965">
        <f t="shared" si="39"/>
        <v>0.91388400702987693</v>
      </c>
      <c r="CW59" s="965">
        <f t="shared" si="39"/>
        <v>0.91240875912408759</v>
      </c>
      <c r="CX59" s="965">
        <f t="shared" si="39"/>
        <v>0.92257001647446457</v>
      </c>
      <c r="CY59" s="1520">
        <f t="shared" si="39"/>
        <v>0.9157303370786517</v>
      </c>
      <c r="CZ59" s="965"/>
      <c r="DA59" s="965">
        <f t="shared" si="39"/>
        <v>0.91768826619964972</v>
      </c>
      <c r="DB59" s="965">
        <f t="shared" si="39"/>
        <v>0.92335115864527628</v>
      </c>
      <c r="DC59" s="965">
        <f t="shared" si="39"/>
        <v>0.92072072072072075</v>
      </c>
      <c r="DD59" s="965">
        <f t="shared" si="39"/>
        <v>0.93015332197614986</v>
      </c>
      <c r="DE59" s="1520">
        <f t="shared" si="39"/>
        <v>0.92304309586631483</v>
      </c>
      <c r="DF59" s="965"/>
      <c r="DG59" s="965">
        <f>DG56/DG$90</f>
        <v>0.93591905564924116</v>
      </c>
      <c r="DH59" s="965">
        <f>DH56/DH$90</f>
        <v>0.93103448275862066</v>
      </c>
      <c r="DI59" s="965">
        <f>DI56/DI$90</f>
        <v>0.93042071197411003</v>
      </c>
      <c r="DJ59" s="965">
        <f>DJ56/DJ$90</f>
        <v>0.93524096385542166</v>
      </c>
      <c r="DK59" s="1520">
        <f>DK56/DK$90</f>
        <v>0.93314763231197773</v>
      </c>
      <c r="DL59" s="964"/>
      <c r="DM59" s="1811">
        <f>DM56/DM$90</f>
        <v>0.9381761978361669</v>
      </c>
      <c r="DN59" s="965">
        <f>DN56/DN$90</f>
        <v>0.93267651888341541</v>
      </c>
      <c r="DO59" s="965">
        <f>DO56/DO$90</f>
        <v>0.93500000000000005</v>
      </c>
      <c r="DP59" s="965">
        <f>DP56/DP$90</f>
        <v>0.93827160493827155</v>
      </c>
      <c r="DQ59" s="1520">
        <f>DQ56/DQ$90</f>
        <v>0.93610223642172519</v>
      </c>
      <c r="DR59" s="147"/>
      <c r="DS59" s="1811">
        <f>DS56/DS$90</f>
        <v>0.931640625</v>
      </c>
      <c r="DT59" s="965">
        <f>DT56/DT$90</f>
        <v>0.93818181818181823</v>
      </c>
      <c r="DU59" s="965">
        <f>DU56/DU$90</f>
        <v>0.93047034764826175</v>
      </c>
      <c r="DV59" s="965">
        <f>DV56/DV$90</f>
        <v>0.92693110647181631</v>
      </c>
      <c r="DW59" s="1175"/>
      <c r="DX59" s="147"/>
      <c r="DY59" s="965">
        <f>DY56/DY$90</f>
        <v>0.92402464065708423</v>
      </c>
      <c r="DZ59" s="965">
        <f>DZ56/DZ$90</f>
        <v>0.92445328031809149</v>
      </c>
      <c r="EA59" s="965">
        <f>EA56/EA$90</f>
        <v>0.9263565891472868</v>
      </c>
      <c r="EB59" s="965">
        <f>EB56/EB$90</f>
        <v>0.92779783393501802</v>
      </c>
      <c r="EC59" s="1175"/>
      <c r="ED59" s="147"/>
      <c r="EE59" s="964"/>
      <c r="EF59" s="964"/>
      <c r="EG59" s="964"/>
      <c r="EH59" s="964"/>
      <c r="EI59" s="1175"/>
      <c r="EJ59" s="147"/>
      <c r="EK59" s="964"/>
      <c r="EL59" s="964"/>
      <c r="EM59" s="964"/>
      <c r="EN59" s="964"/>
      <c r="EO59" s="1175"/>
      <c r="EP59" s="147"/>
      <c r="EQ59" s="964"/>
      <c r="ER59" s="964"/>
      <c r="ES59" s="964"/>
      <c r="ET59" s="964"/>
      <c r="EU59" s="1175"/>
    </row>
    <row r="60" spans="1:151" ht="12.75" customHeight="1">
      <c r="A60" s="267" t="s">
        <v>4743</v>
      </c>
      <c r="B60" s="875"/>
      <c r="C60" s="875"/>
      <c r="D60" s="875"/>
      <c r="E60" s="875"/>
      <c r="F60" s="875"/>
      <c r="G60" s="875"/>
      <c r="H60" s="875"/>
      <c r="I60" s="875"/>
      <c r="J60" s="875"/>
      <c r="K60" s="875"/>
      <c r="L60" s="875"/>
      <c r="M60" s="875"/>
      <c r="N60" s="875"/>
      <c r="O60" s="875"/>
      <c r="P60" s="875"/>
      <c r="Q60" s="875"/>
      <c r="R60" s="875"/>
      <c r="S60" s="1549"/>
      <c r="T60" s="1549"/>
      <c r="U60" s="1549"/>
      <c r="V60" s="1549"/>
      <c r="W60" s="1549"/>
      <c r="X60" s="1549"/>
      <c r="Y60" s="1549"/>
      <c r="Z60" s="1549"/>
      <c r="AA60" s="1549"/>
      <c r="AB60" s="1549"/>
      <c r="AC60" s="1549"/>
      <c r="AD60" s="1549"/>
      <c r="AE60" s="1549"/>
      <c r="AF60" s="875"/>
      <c r="AG60" s="1549"/>
      <c r="AH60" s="1549"/>
      <c r="AI60" s="1549"/>
      <c r="AJ60" s="1549"/>
      <c r="AK60" s="1549"/>
      <c r="AL60" s="875"/>
      <c r="AM60" s="1549"/>
      <c r="AN60" s="1549"/>
      <c r="AO60" s="1549"/>
      <c r="AP60" s="1549"/>
      <c r="AQ60" s="1549"/>
      <c r="AR60" s="980"/>
      <c r="AS60" s="1549"/>
      <c r="AT60" s="1549"/>
      <c r="AU60" s="1549"/>
      <c r="AV60" s="1549"/>
      <c r="AW60" s="1549"/>
      <c r="AX60" s="875"/>
      <c r="AY60" s="1549"/>
      <c r="AZ60" s="1549"/>
      <c r="BA60" s="1549"/>
      <c r="BB60" s="1549"/>
      <c r="BC60" s="1549"/>
      <c r="BD60" s="875"/>
      <c r="BE60" s="1549"/>
      <c r="BF60" s="1549"/>
      <c r="BG60" s="1549"/>
      <c r="BH60" s="1549"/>
      <c r="BI60" s="1549"/>
      <c r="BJ60" s="875"/>
      <c r="BK60" s="980">
        <v>224</v>
      </c>
      <c r="BL60" s="980">
        <v>223</v>
      </c>
      <c r="BM60" s="893">
        <v>212</v>
      </c>
      <c r="BN60" s="893">
        <v>220</v>
      </c>
      <c r="BO60" s="1116">
        <f>SUM(BK60:BN60)</f>
        <v>879</v>
      </c>
      <c r="BP60" s="875"/>
      <c r="BQ60" s="980">
        <v>252</v>
      </c>
      <c r="BR60" s="980">
        <v>241</v>
      </c>
      <c r="BS60" s="980">
        <v>242</v>
      </c>
      <c r="BT60" s="980">
        <v>263</v>
      </c>
      <c r="BU60" s="1107">
        <f>SUM(BQ60:BT60)</f>
        <v>998</v>
      </c>
      <c r="BV60" s="147"/>
      <c r="BW60" s="980">
        <v>253</v>
      </c>
      <c r="BX60" s="980">
        <v>237</v>
      </c>
      <c r="BY60" s="980">
        <v>239</v>
      </c>
      <c r="BZ60" s="980">
        <v>172</v>
      </c>
      <c r="CA60" s="1116">
        <v>900.8</v>
      </c>
      <c r="CB60" s="875"/>
      <c r="CC60" s="980">
        <v>156</v>
      </c>
      <c r="CD60" s="980">
        <v>150</v>
      </c>
      <c r="CE60" s="980">
        <v>154</v>
      </c>
      <c r="CF60" s="1502">
        <v>165</v>
      </c>
      <c r="CG60" s="1523">
        <f>SUM(CC60:CF60)</f>
        <v>625</v>
      </c>
      <c r="CH60" s="147"/>
      <c r="CI60" s="980">
        <v>184</v>
      </c>
      <c r="CJ60" s="893">
        <v>177.5</v>
      </c>
      <c r="CK60" s="980">
        <v>174</v>
      </c>
      <c r="CL60" s="980">
        <v>181</v>
      </c>
      <c r="CM60" s="1523">
        <f>SUM(CI60:CL60)</f>
        <v>716.5</v>
      </c>
      <c r="CN60" s="147"/>
      <c r="CO60" s="980">
        <v>211</v>
      </c>
      <c r="CP60" s="893">
        <v>199</v>
      </c>
      <c r="CQ60" s="893">
        <v>210</v>
      </c>
      <c r="CR60" s="980">
        <v>214</v>
      </c>
      <c r="CS60" s="1523">
        <f>SUM(CO60:CR60)</f>
        <v>834</v>
      </c>
      <c r="CT60" s="142"/>
      <c r="CU60" s="980">
        <v>227</v>
      </c>
      <c r="CV60" s="980">
        <v>216</v>
      </c>
      <c r="CW60" s="980">
        <v>203</v>
      </c>
      <c r="CX60" s="980">
        <v>197</v>
      </c>
      <c r="CY60" s="1523">
        <f>SUM(CU60:CX60)</f>
        <v>843</v>
      </c>
      <c r="CZ60" s="142"/>
      <c r="DA60" s="980">
        <v>213</v>
      </c>
      <c r="DB60" s="980">
        <v>197</v>
      </c>
      <c r="DC60" s="980">
        <v>183</v>
      </c>
      <c r="DD60" s="980">
        <v>196</v>
      </c>
      <c r="DE60" s="1523">
        <f>SUM(DA60:DD60)</f>
        <v>789</v>
      </c>
      <c r="DF60" s="142"/>
      <c r="DG60" s="980">
        <v>212</v>
      </c>
      <c r="DH60" s="980">
        <v>208</v>
      </c>
      <c r="DI60" s="980">
        <v>188</v>
      </c>
      <c r="DJ60" s="980">
        <v>189</v>
      </c>
      <c r="DK60" s="1523">
        <f>SUM(DG60:DJ60)</f>
        <v>797</v>
      </c>
      <c r="DL60" s="147"/>
      <c r="DM60" s="1812">
        <v>185</v>
      </c>
      <c r="DN60" s="980">
        <v>164</v>
      </c>
      <c r="DO60" s="980">
        <v>161</v>
      </c>
      <c r="DP60" s="980">
        <v>160</v>
      </c>
      <c r="DQ60" s="1523">
        <f>SUM(DM60:DP60)</f>
        <v>670</v>
      </c>
      <c r="DR60" s="147"/>
      <c r="DS60" s="1812">
        <v>100</v>
      </c>
      <c r="DT60" s="980">
        <v>86</v>
      </c>
      <c r="DU60" s="141">
        <f>DU64+DU68</f>
        <v>96</v>
      </c>
      <c r="DV60" s="141">
        <f>DV64+DV68</f>
        <v>103</v>
      </c>
      <c r="DW60" s="1096"/>
      <c r="DX60" s="147"/>
      <c r="DY60" s="141">
        <f>DY64+DY68</f>
        <v>103</v>
      </c>
      <c r="DZ60" s="141">
        <f>DZ64+DZ68</f>
        <v>109</v>
      </c>
      <c r="EA60" s="141">
        <f>EA64+EA68</f>
        <v>116</v>
      </c>
      <c r="EB60" s="141">
        <f>EB64+EB68</f>
        <v>123</v>
      </c>
      <c r="EC60" s="1096"/>
      <c r="ED60" s="147"/>
      <c r="EE60" s="147"/>
      <c r="EF60" s="147"/>
      <c r="EG60" s="147"/>
      <c r="EH60" s="147"/>
      <c r="EI60" s="1096"/>
      <c r="EJ60" s="147"/>
      <c r="EK60" s="147"/>
      <c r="EL60" s="147"/>
      <c r="EM60" s="147"/>
      <c r="EN60" s="147"/>
      <c r="EO60" s="1096"/>
      <c r="EP60" s="147"/>
      <c r="EQ60" s="147"/>
      <c r="ER60" s="147"/>
      <c r="ES60" s="147"/>
      <c r="ET60" s="147"/>
      <c r="EU60" s="1096"/>
    </row>
    <row r="61" spans="1:151" ht="12.75" customHeight="1">
      <c r="A61" s="266" t="s">
        <v>345</v>
      </c>
      <c r="B61" s="875"/>
      <c r="C61" s="875"/>
      <c r="D61" s="875"/>
      <c r="E61" s="875"/>
      <c r="F61" s="875"/>
      <c r="G61" s="875"/>
      <c r="H61" s="875"/>
      <c r="I61" s="875"/>
      <c r="J61" s="875"/>
      <c r="K61" s="875"/>
      <c r="L61" s="875"/>
      <c r="M61" s="875"/>
      <c r="N61" s="875"/>
      <c r="O61" s="632" t="str">
        <f>IF(I60&lt;&gt;"",O60/I60-1,"-")</f>
        <v>-</v>
      </c>
      <c r="P61" s="632" t="str">
        <f>IF(J60&lt;&gt;"",P60/J60-1,"-")</f>
        <v>-</v>
      </c>
      <c r="Q61" s="632" t="str">
        <f>IF(K60&lt;&gt;"",Q60/K60-1,"-")</f>
        <v>-</v>
      </c>
      <c r="R61" s="632" t="str">
        <f>IF(L60&lt;&gt;"",R60/L60-1,"-")</f>
        <v>-</v>
      </c>
      <c r="S61" s="632"/>
      <c r="T61" s="1549"/>
      <c r="U61" s="632" t="str">
        <f>IF(O60&lt;&gt;"",U60/O60-1,"-")</f>
        <v>-</v>
      </c>
      <c r="V61" s="632" t="str">
        <f>IF(P60&lt;&gt;"",V60/P60-1,"-")</f>
        <v>-</v>
      </c>
      <c r="W61" s="632" t="str">
        <f>IF(Q60&lt;&gt;"",W60/Q60-1,"-")</f>
        <v>-</v>
      </c>
      <c r="X61" s="632" t="str">
        <f>IF(R60&lt;&gt;"",X60/R60-1,"-")</f>
        <v>-</v>
      </c>
      <c r="Y61" s="632"/>
      <c r="Z61" s="1549"/>
      <c r="AA61" s="632" t="str">
        <f>IF(U60&lt;&gt;"",AA60/U60-1,"-")</f>
        <v>-</v>
      </c>
      <c r="AB61" s="632" t="str">
        <f>IF(V60&lt;&gt;"",AB60/V60-1,"-")</f>
        <v>-</v>
      </c>
      <c r="AC61" s="632" t="str">
        <f>IF(W60&lt;&gt;"",AC60/W60-1,"-")</f>
        <v>-</v>
      </c>
      <c r="AD61" s="632" t="str">
        <f>IF(X60&lt;&gt;"",AD60/X60-1,"-")</f>
        <v>-</v>
      </c>
      <c r="AE61" s="632"/>
      <c r="AF61" s="875"/>
      <c r="AG61" s="632" t="str">
        <f>IF(AA60&lt;&gt;"",AG60/AA60-1,"-")</f>
        <v>-</v>
      </c>
      <c r="AH61" s="632" t="str">
        <f>IF(AB60&lt;&gt;"",AH60/AB60-1,"-")</f>
        <v>-</v>
      </c>
      <c r="AI61" s="632" t="str">
        <f>IF(AC60&lt;&gt;"",AI60/AC60-1,"-")</f>
        <v>-</v>
      </c>
      <c r="AJ61" s="632" t="str">
        <f>IF(AD60&lt;&gt;"",AJ60/AD60-1,"-")</f>
        <v>-</v>
      </c>
      <c r="AK61" s="632"/>
      <c r="AL61" s="875"/>
      <c r="AM61" s="632" t="str">
        <f>IF(AG60&lt;&gt;"",AM60/AG60-1,"-")</f>
        <v>-</v>
      </c>
      <c r="AN61" s="632" t="str">
        <f>IF(AH60&lt;&gt;"",AN60/AH60-1,"-")</f>
        <v>-</v>
      </c>
      <c r="AO61" s="632" t="str">
        <f>IF(AI60&lt;&gt;"",AO60/AI60-1,"-")</f>
        <v>-</v>
      </c>
      <c r="AP61" s="632" t="str">
        <f>IF(AJ60&lt;&gt;"",AP60/AJ60-1,"-")</f>
        <v>-</v>
      </c>
      <c r="AQ61" s="632"/>
      <c r="AR61" s="980"/>
      <c r="AS61" s="632" t="str">
        <f>IF(AM60&lt;&gt;"",AS60/AM60-1,"-")</f>
        <v>-</v>
      </c>
      <c r="AT61" s="632" t="str">
        <f>IF(AN60&lt;&gt;"",AT60/AN60-1,"-")</f>
        <v>-</v>
      </c>
      <c r="AU61" s="632" t="str">
        <f>IF(AO60&lt;&gt;"",AU60/AO60-1,"-")</f>
        <v>-</v>
      </c>
      <c r="AV61" s="632" t="str">
        <f>IF(AP60&lt;&gt;"",AV60/AP60-1,"-")</f>
        <v>-</v>
      </c>
      <c r="AW61" s="632"/>
      <c r="AX61" s="875"/>
      <c r="AY61" s="632" t="str">
        <f>IF(AS60&lt;&gt;"",AY60/AS60-1,"-")</f>
        <v>-</v>
      </c>
      <c r="AZ61" s="632" t="str">
        <f>IF(AT60&lt;&gt;"",AZ60/AT60-1,"-")</f>
        <v>-</v>
      </c>
      <c r="BA61" s="632" t="str">
        <f>IF(AU60&lt;&gt;"",BA60/AU60-1,"-")</f>
        <v>-</v>
      </c>
      <c r="BB61" s="632" t="str">
        <f>IF(AV60&lt;&gt;"",BB60/AV60-1,"-")</f>
        <v>-</v>
      </c>
      <c r="BC61" s="632"/>
      <c r="BD61" s="875"/>
      <c r="BE61" s="632" t="str">
        <f>IF(AY60&lt;&gt;"",BE60/AY60-1,"-")</f>
        <v>-</v>
      </c>
      <c r="BF61" s="632" t="str">
        <f>IF(AZ60&lt;&gt;"",BF60/AZ60-1,"-")</f>
        <v>-</v>
      </c>
      <c r="BG61" s="632" t="str">
        <f>IF(BA60&lt;&gt;"",BG60/BA60-1,"-")</f>
        <v>-</v>
      </c>
      <c r="BH61" s="632" t="str">
        <f>IF(BB60&lt;&gt;"",BH60/BB60-1,"-")</f>
        <v>-</v>
      </c>
      <c r="BI61" s="632"/>
      <c r="BJ61" s="875"/>
      <c r="BK61" s="632" t="str">
        <f>IF(BE60&lt;&gt;"",BK60/BE60-1,"-")</f>
        <v>-</v>
      </c>
      <c r="BL61" s="632" t="str">
        <f>IF(BF60&lt;&gt;"",BL60/BF60-1,"-")</f>
        <v>-</v>
      </c>
      <c r="BM61" s="632" t="str">
        <f>IF(BG60&lt;&gt;"",BM60/BG60-1,"-")</f>
        <v>-</v>
      </c>
      <c r="BN61" s="632" t="str">
        <f>IF(BH60&lt;&gt;"",BN60/BH60-1,"-")</f>
        <v>-</v>
      </c>
      <c r="BO61" s="1115" t="str">
        <f>IF(BI60&lt;&gt;"",BO60/BI60-1,"-")</f>
        <v>-</v>
      </c>
      <c r="BP61" s="875"/>
      <c r="BQ61" s="632">
        <f>IF(BK60&lt;&gt;"",BQ60/BK60-1,"-")</f>
        <v>0.125</v>
      </c>
      <c r="BR61" s="632">
        <f>IF(BL60&lt;&gt;"",BR60/BL60-1,"-")</f>
        <v>8.0717488789237679E-2</v>
      </c>
      <c r="BS61" s="632">
        <f>IF(BM60&lt;&gt;"",BS60/BM60-1,"-")</f>
        <v>0.14150943396226423</v>
      </c>
      <c r="BT61" s="632">
        <f>IF(BN60&lt;&gt;"",BT60/BN60-1,"-")</f>
        <v>0.19545454545454555</v>
      </c>
      <c r="BU61" s="1115">
        <f>IF(BO60&lt;&gt;"",BU60/BO60-1,"-")</f>
        <v>0.13538111490329929</v>
      </c>
      <c r="BV61" s="147"/>
      <c r="BW61" s="632">
        <f>IF(BQ60&lt;&gt;"",BW60/BQ60-1,"-")</f>
        <v>3.9682539682539542E-3</v>
      </c>
      <c r="BX61" s="632">
        <f>IF(BR60&lt;&gt;"",BX60/BR60-1,"-")</f>
        <v>-1.6597510373444035E-2</v>
      </c>
      <c r="BY61" s="632">
        <f>IF(BS60&lt;&gt;"",BY60/BS60-1,"-")</f>
        <v>-1.2396694214875992E-2</v>
      </c>
      <c r="BZ61" s="632">
        <f>IF(BT60&lt;&gt;"",BZ60/BT60-1,"-")</f>
        <v>-0.3460076045627376</v>
      </c>
      <c r="CA61" s="1115">
        <f>IF(BU60&lt;&gt;"",CA60/BU60-1,"-")</f>
        <v>-9.739478957915837E-2</v>
      </c>
      <c r="CB61" s="875"/>
      <c r="CC61" s="632">
        <f>IF(BW60&lt;&gt;"",CC60/BW60-1,"-")</f>
        <v>-0.38339920948616601</v>
      </c>
      <c r="CD61" s="632">
        <f>IF(BX60&lt;&gt;"",CD60/BX60-1,"-")</f>
        <v>-0.36708860759493667</v>
      </c>
      <c r="CE61" s="632">
        <f>IF(BY60&lt;&gt;"",CE60/BY60-1,"-")</f>
        <v>-0.35564853556485354</v>
      </c>
      <c r="CF61" s="1503">
        <f>IF(BZ60&lt;&gt;"",CF60/BZ60-1,"-")</f>
        <v>-4.0697674418604612E-2</v>
      </c>
      <c r="CG61" s="1522">
        <f>IF(CA60&lt;&gt;"",CG60/CA60-1,"-")</f>
        <v>-0.30617229129662515</v>
      </c>
      <c r="CH61" s="147"/>
      <c r="CI61" s="632">
        <f>IF(CC60&lt;&gt;"",CI60/CC60-1,"-")</f>
        <v>0.17948717948717952</v>
      </c>
      <c r="CJ61" s="632">
        <f>IF(CD60&lt;&gt;"",CJ60/CD60-1,"-")</f>
        <v>0.18333333333333335</v>
      </c>
      <c r="CK61" s="632">
        <f>IF(CE60&lt;&gt;"",CK60/CE60-1,"-")</f>
        <v>0.12987012987012991</v>
      </c>
      <c r="CL61" s="632">
        <f>IF(CF60&lt;&gt;"",CL60/CF60-1,"-")</f>
        <v>9.6969696969696928E-2</v>
      </c>
      <c r="CM61" s="1522">
        <f>IF(CG60&lt;&gt;"",CM60/CG60-1,"-")</f>
        <v>0.14640000000000009</v>
      </c>
      <c r="CN61" s="147"/>
      <c r="CO61" s="632">
        <f>IF(CI60&lt;&gt;"",CO60/CI60-1,"-")</f>
        <v>0.14673913043478271</v>
      </c>
      <c r="CP61" s="632">
        <f>IF(CJ60&lt;&gt;"",CP60/CJ60-1,"-")</f>
        <v>0.12112676056338034</v>
      </c>
      <c r="CQ61" s="632">
        <f>IF(CK60&lt;&gt;"",CQ60/CK60-1,"-")</f>
        <v>0.2068965517241379</v>
      </c>
      <c r="CR61" s="632">
        <f>IF(CL60&lt;&gt;"",CR60/CL60-1,"-")</f>
        <v>0.18232044198895037</v>
      </c>
      <c r="CS61" s="1522">
        <f>IF(CM60&lt;&gt;"",CS60/CM60-1,"-")</f>
        <v>0.16399162595952554</v>
      </c>
      <c r="CT61" s="632"/>
      <c r="CU61" s="632">
        <f>IF(CO60&lt;&gt;"",CU60/CO60-1,"-")</f>
        <v>7.5829383886255819E-2</v>
      </c>
      <c r="CV61" s="632">
        <f>IF(CP60&lt;&gt;"",CV60/CP60-1,"-")</f>
        <v>8.5427135678391997E-2</v>
      </c>
      <c r="CW61" s="632">
        <f>IF(CQ60&lt;&gt;"",CW60/CQ60-1,"-")</f>
        <v>-3.3333333333333326E-2</v>
      </c>
      <c r="CX61" s="632">
        <f>IF(CR60&lt;&gt;"",CX60/CR60-1,"-")</f>
        <v>-7.9439252336448551E-2</v>
      </c>
      <c r="CY61" s="1522">
        <f>IF(CS60&lt;&gt;"",CY60/CS60-1,"-")</f>
        <v>1.0791366906474753E-2</v>
      </c>
      <c r="CZ61" s="632"/>
      <c r="DA61" s="632">
        <f>IF(CU60&lt;&gt;"",DA60/CU60-1,"-")</f>
        <v>-6.1674008810572722E-2</v>
      </c>
      <c r="DB61" s="632">
        <f>IF(CV60&lt;&gt;"",DB60/CV60-1,"-")</f>
        <v>-8.796296296296291E-2</v>
      </c>
      <c r="DC61" s="632">
        <f>IF(CW60&lt;&gt;"",DC60/CW60-1,"-")</f>
        <v>-9.852216748768472E-2</v>
      </c>
      <c r="DD61" s="632">
        <f>IF(CX60&lt;&gt;"",DD60/CX60-1,"-")</f>
        <v>-5.0761421319797106E-3</v>
      </c>
      <c r="DE61" s="1522">
        <f>IF(CY60&lt;&gt;"",DE60/CY60-1,"-")</f>
        <v>-6.4056939501779375E-2</v>
      </c>
      <c r="DF61" s="632"/>
      <c r="DG61" s="632">
        <f>IF(DA60&lt;&gt;"",DG60/DA60-1,"-")</f>
        <v>-4.6948356807511304E-3</v>
      </c>
      <c r="DH61" s="632">
        <f>IF(DB60&lt;&gt;"",DH60/DB60-1,"-")</f>
        <v>5.5837563451776706E-2</v>
      </c>
      <c r="DI61" s="632">
        <f>IF(DC60&lt;&gt;"",DI60/DC60-1,"-")</f>
        <v>2.732240437158473E-2</v>
      </c>
      <c r="DJ61" s="632">
        <f>IF(DD60&lt;&gt;"",DJ60/DD60-1,"-")</f>
        <v>-3.5714285714285698E-2</v>
      </c>
      <c r="DK61" s="1522">
        <f>IF(DE60&lt;&gt;"",DK60/DE60-1,"-")</f>
        <v>1.0139416983523386E-2</v>
      </c>
      <c r="DL61" s="147"/>
      <c r="DM61" s="1810">
        <f>IF(DG60&lt;&gt;"",DM60/DG60-1,"-")</f>
        <v>-0.12735849056603776</v>
      </c>
      <c r="DN61" s="632">
        <f>IF(DH60&lt;&gt;"",DN60/DH60-1,"-")</f>
        <v>-0.21153846153846156</v>
      </c>
      <c r="DO61" s="632">
        <f>IF(DI60&lt;&gt;"",DO60/DI60-1,"-")</f>
        <v>-0.1436170212765957</v>
      </c>
      <c r="DP61" s="632">
        <f>IF(DJ60&lt;&gt;"",DP60/DJ60-1,"-")</f>
        <v>-0.15343915343915349</v>
      </c>
      <c r="DQ61" s="1522">
        <f>IF(DK60&lt;&gt;"",DQ60/DK60-1,"-")</f>
        <v>-0.15934755332496864</v>
      </c>
      <c r="DR61" s="147"/>
      <c r="DS61" s="1810">
        <f>IF(DM60&lt;&gt;"",DS60/DM60-1,"-")</f>
        <v>-0.45945945945945943</v>
      </c>
      <c r="DT61" s="632">
        <f>IF(DN60&lt;&gt;"",DT60/DN60-1,"-")</f>
        <v>-0.47560975609756095</v>
      </c>
      <c r="DU61" s="632">
        <f>IF(DO60&lt;&gt;"",DU60/DO60-1,"-")</f>
        <v>-0.40372670807453415</v>
      </c>
      <c r="DV61" s="632">
        <f>IF(DP60&lt;&gt;"",DV60/DP60-1,"-")</f>
        <v>-0.35624999999999996</v>
      </c>
      <c r="DW61" s="1096"/>
      <c r="DX61" s="147"/>
      <c r="DY61" s="632">
        <f>IF(DS60&lt;&gt;"",DY60/DS60-1,"-")</f>
        <v>3.0000000000000027E-2</v>
      </c>
      <c r="DZ61" s="632">
        <f>IF(DT60&lt;&gt;"",DZ60/DT60-1,"-")</f>
        <v>0.26744186046511631</v>
      </c>
      <c r="EA61" s="632">
        <f>IF(DU60&lt;&gt;"",EA60/DU60-1,"-")</f>
        <v>0.20833333333333326</v>
      </c>
      <c r="EB61" s="632">
        <f>IF(DV60&lt;&gt;"",EB60/DV60-1,"-")</f>
        <v>0.19417475728155331</v>
      </c>
      <c r="EC61" s="1096"/>
      <c r="ED61" s="147"/>
      <c r="EE61" s="147"/>
      <c r="EF61" s="147"/>
      <c r="EG61" s="147"/>
      <c r="EH61" s="147"/>
      <c r="EI61" s="1096"/>
      <c r="EJ61" s="147"/>
      <c r="EK61" s="147"/>
      <c r="EL61" s="147"/>
      <c r="EM61" s="147"/>
      <c r="EN61" s="147"/>
      <c r="EO61" s="1096"/>
      <c r="EP61" s="147"/>
      <c r="EQ61" s="147"/>
      <c r="ER61" s="147"/>
      <c r="ES61" s="147"/>
      <c r="ET61" s="147"/>
      <c r="EU61" s="1096"/>
    </row>
    <row r="62" spans="1:151" ht="12.75" customHeight="1">
      <c r="A62" s="266" t="s">
        <v>344</v>
      </c>
      <c r="B62" s="875"/>
      <c r="C62" s="875"/>
      <c r="D62" s="875"/>
      <c r="E62" s="875"/>
      <c r="F62" s="875"/>
      <c r="G62" s="875"/>
      <c r="H62" s="875"/>
      <c r="I62" s="875"/>
      <c r="J62" s="875"/>
      <c r="K62" s="875"/>
      <c r="L62" s="875"/>
      <c r="M62" s="875"/>
      <c r="N62" s="875"/>
      <c r="O62" s="632" t="str">
        <f>IF(L60&lt;&gt;"",O60/L60-1,"-")</f>
        <v>-</v>
      </c>
      <c r="P62" s="632" t="str">
        <f>IF(O60&lt;&gt;"",P60/O60-1,"-")</f>
        <v>-</v>
      </c>
      <c r="Q62" s="632" t="str">
        <f>IF(P60&lt;&gt;"",Q60/P60-1,"-")</f>
        <v>-</v>
      </c>
      <c r="R62" s="632" t="str">
        <f>IF(Q60&lt;&gt;"",R60/Q60-1,"-")</f>
        <v>-</v>
      </c>
      <c r="S62" s="980"/>
      <c r="T62" s="1549"/>
      <c r="U62" s="632" t="str">
        <f>IF(R60&lt;&gt;"",U60/R60-1,"-")</f>
        <v>-</v>
      </c>
      <c r="V62" s="632" t="str">
        <f>IF(U60&lt;&gt;"",V60/U60-1,"-")</f>
        <v>-</v>
      </c>
      <c r="W62" s="632" t="str">
        <f>IF(V60&lt;&gt;"",W60/V60-1,"-")</f>
        <v>-</v>
      </c>
      <c r="X62" s="632" t="str">
        <f>IF(W60&lt;&gt;"",X60/W60-1,"-")</f>
        <v>-</v>
      </c>
      <c r="Y62" s="980"/>
      <c r="Z62" s="1549"/>
      <c r="AA62" s="632" t="str">
        <f>IF(X60&lt;&gt;"",AA60/X60-1,"-")</f>
        <v>-</v>
      </c>
      <c r="AB62" s="632" t="str">
        <f>IF(AA60&lt;&gt;"",AB60/AA60-1,"-")</f>
        <v>-</v>
      </c>
      <c r="AC62" s="632" t="str">
        <f>IF(AB60&lt;&gt;"",AC60/AB60-1,"-")</f>
        <v>-</v>
      </c>
      <c r="AD62" s="632" t="str">
        <f>IF(AC60&lt;&gt;"",AD60/AC60-1,"-")</f>
        <v>-</v>
      </c>
      <c r="AE62" s="980"/>
      <c r="AF62" s="875"/>
      <c r="AG62" s="632" t="str">
        <f>IF(AD60&lt;&gt;"",AG60/AD60-1,"-")</f>
        <v>-</v>
      </c>
      <c r="AH62" s="632" t="str">
        <f>IF(AG60&lt;&gt;"",AH60/AG60-1,"-")</f>
        <v>-</v>
      </c>
      <c r="AI62" s="632" t="str">
        <f>IF(AH60&lt;&gt;"",AI60/AH60-1,"-")</f>
        <v>-</v>
      </c>
      <c r="AJ62" s="632" t="str">
        <f>IF(AI60&lt;&gt;"",AJ60/AI60-1,"-")</f>
        <v>-</v>
      </c>
      <c r="AK62" s="980"/>
      <c r="AL62" s="875"/>
      <c r="AM62" s="632" t="str">
        <f>IF(AJ60&lt;&gt;"",AM60/AJ60-1,"-")</f>
        <v>-</v>
      </c>
      <c r="AN62" s="632" t="str">
        <f>IF(AM60&lt;&gt;"",AN60/AM60-1,"-")</f>
        <v>-</v>
      </c>
      <c r="AO62" s="632" t="str">
        <f>IF(AN60&lt;&gt;"",AO60/AN60-1,"-")</f>
        <v>-</v>
      </c>
      <c r="AP62" s="632" t="str">
        <f>IF(AO60&lt;&gt;"",AP60/AO60-1,"-")</f>
        <v>-</v>
      </c>
      <c r="AQ62" s="980"/>
      <c r="AR62" s="980"/>
      <c r="AS62" s="632" t="str">
        <f>IF(AP60&lt;&gt;"",AS60/AP60-1,"-")</f>
        <v>-</v>
      </c>
      <c r="AT62" s="632" t="str">
        <f>IF(AS60&lt;&gt;"",AT60/AS60-1,"-")</f>
        <v>-</v>
      </c>
      <c r="AU62" s="632" t="str">
        <f>IF(AT60&lt;&gt;"",AU60/AT60-1,"-")</f>
        <v>-</v>
      </c>
      <c r="AV62" s="632" t="str">
        <f>IF(AU60&lt;&gt;"",AV60/AU60-1,"-")</f>
        <v>-</v>
      </c>
      <c r="AW62" s="980"/>
      <c r="AX62" s="875"/>
      <c r="AY62" s="632" t="str">
        <f>IF(AV60&lt;&gt;"",AY60/AV60-1,"-")</f>
        <v>-</v>
      </c>
      <c r="AZ62" s="632" t="str">
        <f>IF(AY60&lt;&gt;"",AZ60/AY60-1,"-")</f>
        <v>-</v>
      </c>
      <c r="BA62" s="632" t="str">
        <f>IF(AZ60&lt;&gt;"",BA60/AZ60-1,"-")</f>
        <v>-</v>
      </c>
      <c r="BB62" s="632" t="str">
        <f>IF(BA60&lt;&gt;"",BB60/BA60-1,"-")</f>
        <v>-</v>
      </c>
      <c r="BC62" s="980"/>
      <c r="BD62" s="875"/>
      <c r="BE62" s="632" t="str">
        <f>IF(BB60&lt;&gt;"",BE60/BB60-1,"-")</f>
        <v>-</v>
      </c>
      <c r="BF62" s="632" t="str">
        <f>IF(BE60&lt;&gt;"",BF60/BE60-1,"-")</f>
        <v>-</v>
      </c>
      <c r="BG62" s="632" t="str">
        <f>IF(BF60&lt;&gt;"",BG60/BF60-1,"-")</f>
        <v>-</v>
      </c>
      <c r="BH62" s="632" t="str">
        <f>IF(BG60&lt;&gt;"",BH60/BG60-1,"-")</f>
        <v>-</v>
      </c>
      <c r="BI62" s="980"/>
      <c r="BJ62" s="875"/>
      <c r="BK62" s="632" t="str">
        <f>IF(BH60&lt;&gt;"",BK60/BH60-1,"-")</f>
        <v>-</v>
      </c>
      <c r="BL62" s="632">
        <f>IF(BK60&lt;&gt;"",BL60/BK60-1,"-")</f>
        <v>-4.4642857142856984E-3</v>
      </c>
      <c r="BM62" s="632">
        <f>IF(BL60&lt;&gt;"",BM60/BL60-1,"-")</f>
        <v>-4.9327354260089717E-2</v>
      </c>
      <c r="BN62" s="632">
        <f>IF(BM60&lt;&gt;"",BN60/BM60-1,"-")</f>
        <v>3.7735849056603765E-2</v>
      </c>
      <c r="BO62" s="1116" t="s">
        <v>6442</v>
      </c>
      <c r="BP62" s="875"/>
      <c r="BQ62" s="632">
        <f>IF(BN60&lt;&gt;"",BQ60/BN60-1,"-")</f>
        <v>0.1454545454545455</v>
      </c>
      <c r="BR62" s="632">
        <f>IF(BQ60&lt;&gt;"",BR60/BQ60-1,"-")</f>
        <v>-4.3650793650793607E-2</v>
      </c>
      <c r="BS62" s="632">
        <f>IF(BR60&lt;&gt;"",BS60/BR60-1,"-")</f>
        <v>4.1493775933609811E-3</v>
      </c>
      <c r="BT62" s="632">
        <f>IF(BS60&lt;&gt;"",BT60/BS60-1,"-")</f>
        <v>8.6776859504132275E-2</v>
      </c>
      <c r="BU62" s="1116" t="s">
        <v>6442</v>
      </c>
      <c r="BV62" s="147"/>
      <c r="BW62" s="632">
        <f>IF(BT60&lt;&gt;"",BW60/BT60-1,"-")</f>
        <v>-3.802281368821292E-2</v>
      </c>
      <c r="BX62" s="632">
        <f>IF(BU60&lt;&gt;"",BX60/BU60-1,"-")</f>
        <v>-0.76252505010020044</v>
      </c>
      <c r="BY62" s="263">
        <f>IF(BX60&lt;&gt;"",BY60/BX60-1,"-")</f>
        <v>8.4388185654007408E-3</v>
      </c>
      <c r="BZ62" s="632">
        <f>IF(BW60&lt;&gt;"",BZ60/BW60-1,"-")</f>
        <v>-0.32015810276679846</v>
      </c>
      <c r="CA62" s="1116" t="s">
        <v>6442</v>
      </c>
      <c r="CB62" s="875"/>
      <c r="CC62" s="632">
        <f>IF(BZ60&lt;&gt;"",CC60/BZ60-1,"-")</f>
        <v>-9.3023255813953543E-2</v>
      </c>
      <c r="CD62" s="632">
        <f>IF(CC60&lt;&gt;"",CD60/CC60-1,"-")</f>
        <v>-3.8461538461538436E-2</v>
      </c>
      <c r="CE62" s="632">
        <f>IF(CD60&lt;&gt;"",CE60/CD60-1,"-")</f>
        <v>2.6666666666666616E-2</v>
      </c>
      <c r="CF62" s="1503">
        <f>IF(CE60&lt;&gt;"",CF60/CE60-1,"-")</f>
        <v>7.1428571428571397E-2</v>
      </c>
      <c r="CG62" s="1521" t="s">
        <v>6442</v>
      </c>
      <c r="CH62" s="147"/>
      <c r="CI62" s="632">
        <f>IF(CF60&lt;&gt;"",CI60/CF60-1,"-")</f>
        <v>0.11515151515151523</v>
      </c>
      <c r="CJ62" s="632">
        <f>IF(CI60&lt;&gt;"",CJ60/CI60-1,"-")</f>
        <v>-3.5326086956521729E-2</v>
      </c>
      <c r="CK62" s="632">
        <f>IF(CJ60&lt;&gt;"",CK60/CJ60-1,"-")</f>
        <v>-1.9718309859154903E-2</v>
      </c>
      <c r="CL62" s="632">
        <f>IF(CK60&lt;&gt;"",CL60/CK60-1,"-")</f>
        <v>4.022988505747116E-2</v>
      </c>
      <c r="CM62" s="1521" t="s">
        <v>6442</v>
      </c>
      <c r="CN62" s="147"/>
      <c r="CO62" s="632">
        <f>IF(CL60&lt;&gt;"",CO60/CL60-1,"-")</f>
        <v>0.16574585635359118</v>
      </c>
      <c r="CP62" s="263">
        <f>IF(CO60&lt;&gt;"",CP60/CO60-1,"-")</f>
        <v>-5.6872037914691975E-2</v>
      </c>
      <c r="CQ62" s="263">
        <f>IF(CP60&lt;&gt;"",CQ60/CP60-1,"-")</f>
        <v>5.5276381909547645E-2</v>
      </c>
      <c r="CR62" s="263">
        <f>IF(CQ60&lt;&gt;"",CR60/CQ60-1,"-")</f>
        <v>1.904761904761898E-2</v>
      </c>
      <c r="CS62" s="1521" t="s">
        <v>6442</v>
      </c>
      <c r="CT62" s="980"/>
      <c r="CU62" s="632">
        <f>IF(CR60&lt;&gt;"",CU60/CR60-1,"-")</f>
        <v>6.0747663551401931E-2</v>
      </c>
      <c r="CV62" s="632">
        <f>IF(CU60&lt;&gt;"",CV60/CU60-1,"-")</f>
        <v>-4.8458149779735726E-2</v>
      </c>
      <c r="CW62" s="632">
        <f>IF(CV60&lt;&gt;"",CW60/CV60-1,"-")</f>
        <v>-6.018518518518523E-2</v>
      </c>
      <c r="CX62" s="263">
        <f>IF(CW60&lt;&gt;"",CX60/CW60-1,"-")</f>
        <v>-2.9556650246305383E-2</v>
      </c>
      <c r="CY62" s="1521" t="s">
        <v>6442</v>
      </c>
      <c r="CZ62" s="980"/>
      <c r="DA62" s="263">
        <f>IF(CX60&lt;&gt;"",DA60/CX60-1,"-")</f>
        <v>8.1218274111675148E-2</v>
      </c>
      <c r="DB62" s="263">
        <f>IF(DA60&lt;&gt;"",DB60/DA60-1,"-")</f>
        <v>-7.5117370892018753E-2</v>
      </c>
      <c r="DC62" s="263">
        <f>IF(DB60&lt;&gt;"",DC60/DB60-1,"-")</f>
        <v>-7.1065989847715727E-2</v>
      </c>
      <c r="DD62" s="263">
        <f>IF(DC60&lt;&gt;"",DD60/DC60-1,"-")</f>
        <v>7.1038251366120297E-2</v>
      </c>
      <c r="DE62" s="1521" t="s">
        <v>6442</v>
      </c>
      <c r="DF62" s="980"/>
      <c r="DG62" s="263">
        <f>IF(DD60&lt;&gt;"",DG60/DD60-1,"-")</f>
        <v>8.163265306122458E-2</v>
      </c>
      <c r="DH62" s="263">
        <f>IF(DG60&lt;&gt;"",DH60/DG60-1,"-")</f>
        <v>-1.8867924528301883E-2</v>
      </c>
      <c r="DI62" s="263">
        <f>IF(DH60&lt;&gt;"",DI60/DH60-1,"-")</f>
        <v>-9.6153846153846145E-2</v>
      </c>
      <c r="DJ62" s="263">
        <f>IF(DI60&lt;&gt;"",DJ60/DI60-1,"-")</f>
        <v>5.3191489361701372E-3</v>
      </c>
      <c r="DK62" s="1521" t="s">
        <v>6442</v>
      </c>
      <c r="DL62" s="147"/>
      <c r="DM62" s="1810">
        <f>IF(DJ60&lt;&gt;"",DM60/DJ60-1,"-")</f>
        <v>-2.1164021164021163E-2</v>
      </c>
      <c r="DN62" s="263">
        <f>IF(DM60&lt;&gt;"",DN60/DM60-1,"-")</f>
        <v>-0.11351351351351346</v>
      </c>
      <c r="DO62" s="263">
        <f>IF(DN60&lt;&gt;"",DO60/DN60-1,"-")</f>
        <v>-1.8292682926829285E-2</v>
      </c>
      <c r="DP62" s="263">
        <f>IF(DO60&lt;&gt;"",DP60/DO60-1,"-")</f>
        <v>-6.2111801242236142E-3</v>
      </c>
      <c r="DQ62" s="1521" t="s">
        <v>6442</v>
      </c>
      <c r="DR62" s="147"/>
      <c r="DS62" s="1810">
        <f>IF(DP60&lt;&gt;"",DS60/DP60-1,"-")</f>
        <v>-0.375</v>
      </c>
      <c r="DT62" s="263">
        <f>IF(DS60&lt;&gt;"",DT60/DS60-1,"-")</f>
        <v>-0.14000000000000001</v>
      </c>
      <c r="DU62" s="263">
        <f>IF(DT60&lt;&gt;"",DU60/DT60-1,"-")</f>
        <v>0.11627906976744184</v>
      </c>
      <c r="DV62" s="263">
        <f>IF(DU60&lt;&gt;"",DV60/DU60-1,"-")</f>
        <v>7.2916666666666741E-2</v>
      </c>
      <c r="DW62" s="1096"/>
      <c r="DX62" s="147"/>
      <c r="DY62" s="1810">
        <f>IF(DV60&lt;&gt;"",DY60/DV60-1,"-")</f>
        <v>0</v>
      </c>
      <c r="DZ62" s="263">
        <f>IF(DY60&lt;&gt;"",DZ60/DY60-1,"-")</f>
        <v>5.8252427184465994E-2</v>
      </c>
      <c r="EA62" s="263">
        <f>IF(DZ60&lt;&gt;"",EA60/DZ60-1,"-")</f>
        <v>6.4220183486238591E-2</v>
      </c>
      <c r="EB62" s="263">
        <f>IF(EA60&lt;&gt;"",EB60/EA60-1,"-")</f>
        <v>6.0344827586206851E-2</v>
      </c>
      <c r="EC62" s="1096"/>
      <c r="ED62" s="147"/>
      <c r="EE62" s="147"/>
      <c r="EF62" s="147"/>
      <c r="EG62" s="147"/>
      <c r="EH62" s="147"/>
      <c r="EI62" s="1096"/>
      <c r="EJ62" s="147"/>
      <c r="EK62" s="147"/>
      <c r="EL62" s="147"/>
      <c r="EM62" s="147"/>
      <c r="EN62" s="147"/>
      <c r="EO62" s="1096"/>
      <c r="EP62" s="147"/>
      <c r="EQ62" s="147"/>
      <c r="ER62" s="147"/>
      <c r="ES62" s="147"/>
      <c r="ET62" s="147"/>
      <c r="EU62" s="1096"/>
    </row>
    <row r="63" spans="1:151" ht="12.75" customHeight="1">
      <c r="A63" s="266" t="s">
        <v>5579</v>
      </c>
      <c r="B63" s="875"/>
      <c r="C63" s="875"/>
      <c r="D63" s="875"/>
      <c r="E63" s="875"/>
      <c r="F63" s="875"/>
      <c r="G63" s="875"/>
      <c r="H63" s="875"/>
      <c r="I63" s="875"/>
      <c r="J63" s="875"/>
      <c r="K63" s="875"/>
      <c r="L63" s="875"/>
      <c r="M63" s="875"/>
      <c r="N63" s="875"/>
      <c r="O63" s="632"/>
      <c r="P63" s="632"/>
      <c r="Q63" s="632"/>
      <c r="R63" s="632"/>
      <c r="S63" s="980"/>
      <c r="T63" s="1549"/>
      <c r="U63" s="632"/>
      <c r="V63" s="632"/>
      <c r="W63" s="632"/>
      <c r="X63" s="632"/>
      <c r="Y63" s="980"/>
      <c r="Z63" s="1549"/>
      <c r="AA63" s="632"/>
      <c r="AB63" s="632"/>
      <c r="AC63" s="632"/>
      <c r="AD63" s="632"/>
      <c r="AE63" s="980"/>
      <c r="AF63" s="875"/>
      <c r="AG63" s="632"/>
      <c r="AH63" s="632"/>
      <c r="AI63" s="632"/>
      <c r="AJ63" s="632"/>
      <c r="AK63" s="980"/>
      <c r="AL63" s="875"/>
      <c r="AM63" s="632"/>
      <c r="AN63" s="632"/>
      <c r="AO63" s="632"/>
      <c r="AP63" s="632"/>
      <c r="AQ63" s="980"/>
      <c r="AR63" s="980"/>
      <c r="AS63" s="632"/>
      <c r="AT63" s="632"/>
      <c r="AU63" s="632"/>
      <c r="AV63" s="632"/>
      <c r="AW63" s="980"/>
      <c r="AX63" s="875"/>
      <c r="AY63" s="632"/>
      <c r="AZ63" s="632"/>
      <c r="BA63" s="632"/>
      <c r="BB63" s="632"/>
      <c r="BC63" s="980"/>
      <c r="BD63" s="875"/>
      <c r="BE63" s="632"/>
      <c r="BF63" s="632"/>
      <c r="BG63" s="632"/>
      <c r="BH63" s="632"/>
      <c r="BI63" s="980"/>
      <c r="BJ63" s="875"/>
      <c r="BK63" s="632">
        <f>BK60/BK$90</f>
        <v>0.51376146788990829</v>
      </c>
      <c r="BL63" s="632">
        <f>BL60/BL$90</f>
        <v>0.49599644128113879</v>
      </c>
      <c r="BM63" s="632">
        <f>BM60/BM$90</f>
        <v>0.46389496717724288</v>
      </c>
      <c r="BN63" s="632">
        <f>BN60/BN$90</f>
        <v>0.44265593561368211</v>
      </c>
      <c r="BO63" s="1115">
        <f>BO60/BO$90</f>
        <v>0.47782126549249837</v>
      </c>
      <c r="BP63" s="875"/>
      <c r="BQ63" s="632">
        <f>BQ60/BQ$90</f>
        <v>0.49547778214707039</v>
      </c>
      <c r="BR63" s="632">
        <f>BR60/BR$90</f>
        <v>0.45826202700133095</v>
      </c>
      <c r="BS63" s="632">
        <f>BS60/BS$90</f>
        <v>0.44897959183673469</v>
      </c>
      <c r="BT63" s="632">
        <f>BT60/BT$90</f>
        <v>0.43906510851419034</v>
      </c>
      <c r="BU63" s="1115">
        <f>BU60/BU$90</f>
        <v>0.45937859608745685</v>
      </c>
      <c r="BV63" s="147"/>
      <c r="BW63" s="632">
        <f>BW60/BW$90</f>
        <v>0.4225116900467602</v>
      </c>
      <c r="BX63" s="632">
        <f>BX60/BX$90</f>
        <v>0.38256658595641646</v>
      </c>
      <c r="BY63" s="632">
        <f>BY60/BY$90</f>
        <v>0.39367484763630373</v>
      </c>
      <c r="BZ63" s="632">
        <f>BZ60/BZ$90</f>
        <v>0.35116374030216413</v>
      </c>
      <c r="CA63" s="1115">
        <f>CA60/CA$90</f>
        <v>0.38908085694540423</v>
      </c>
      <c r="CB63" s="875"/>
      <c r="CC63" s="632">
        <f>CC60/CC$90</f>
        <v>0.36619718309859156</v>
      </c>
      <c r="CD63" s="632">
        <f>CD60/CD$90</f>
        <v>0.36144578313253012</v>
      </c>
      <c r="CE63" s="632">
        <f>CE60/CE$90</f>
        <v>0.36930455635491605</v>
      </c>
      <c r="CF63" s="1503">
        <f>CF60/CF$90</f>
        <v>0.36184210526315791</v>
      </c>
      <c r="CG63" s="1522">
        <f>CG60/CG$90</f>
        <v>0.36462283414036523</v>
      </c>
      <c r="CH63" s="147"/>
      <c r="CI63" s="632">
        <f>CI60/CI$90</f>
        <v>0.38736842105263158</v>
      </c>
      <c r="CJ63" s="632">
        <f>CJ60/CJ$90</f>
        <v>0.37518495032762628</v>
      </c>
      <c r="CK63" s="632">
        <f>CK60/CK$90</f>
        <v>0.36477987421383645</v>
      </c>
      <c r="CL63" s="632">
        <f>CL60/CL$90</f>
        <v>0.34280303030303028</v>
      </c>
      <c r="CM63" s="1522">
        <f>CM60/CM$90</f>
        <v>0.36843729109888412</v>
      </c>
      <c r="CN63" s="147"/>
      <c r="CO63" s="632">
        <f t="shared" ref="CO63:DE63" si="40">CO60/CO$90</f>
        <v>0.3996212121212121</v>
      </c>
      <c r="CP63" s="632">
        <f t="shared" si="40"/>
        <v>0.36380255941499084</v>
      </c>
      <c r="CQ63" s="632">
        <f t="shared" si="40"/>
        <v>0.38251366120218577</v>
      </c>
      <c r="CR63" s="632">
        <f t="shared" si="40"/>
        <v>0.36148648648648651</v>
      </c>
      <c r="CS63" s="1522">
        <f t="shared" si="40"/>
        <v>0.37635379061371843</v>
      </c>
      <c r="CT63" s="632"/>
      <c r="CU63" s="632">
        <f t="shared" si="40"/>
        <v>0.38474576271186439</v>
      </c>
      <c r="CV63" s="632">
        <f t="shared" si="40"/>
        <v>0.37961335676625657</v>
      </c>
      <c r="CW63" s="632">
        <f t="shared" si="40"/>
        <v>0.37043795620437958</v>
      </c>
      <c r="CX63" s="632">
        <f t="shared" si="40"/>
        <v>0.32454695222405272</v>
      </c>
      <c r="CY63" s="1522">
        <f t="shared" si="40"/>
        <v>0.36430423509075194</v>
      </c>
      <c r="CZ63" s="632"/>
      <c r="DA63" s="632">
        <f t="shared" si="40"/>
        <v>0.37302977232924694</v>
      </c>
      <c r="DB63" s="632">
        <f t="shared" si="40"/>
        <v>0.35115864527629231</v>
      </c>
      <c r="DC63" s="632">
        <f t="shared" si="40"/>
        <v>0.32972972972972975</v>
      </c>
      <c r="DD63" s="632">
        <f t="shared" si="40"/>
        <v>0.33390119250425893</v>
      </c>
      <c r="DE63" s="1522">
        <f t="shared" si="40"/>
        <v>0.34696569920844328</v>
      </c>
      <c r="DF63" s="632"/>
      <c r="DG63" s="632">
        <f>DG60/DG$90</f>
        <v>0.35750421585160203</v>
      </c>
      <c r="DH63" s="632">
        <f>DH60/DH$90</f>
        <v>0.32601880877742945</v>
      </c>
      <c r="DI63" s="632">
        <f>DI60/DI$90</f>
        <v>0.30420711974110032</v>
      </c>
      <c r="DJ63" s="632">
        <f>DJ60/DJ$90</f>
        <v>0.28463855421686746</v>
      </c>
      <c r="DK63" s="1522">
        <f>DK60/DK$90</f>
        <v>0.31715081575805809</v>
      </c>
      <c r="DL63" s="147"/>
      <c r="DM63" s="1810">
        <f>DM60/DM$90</f>
        <v>0.28593508500772796</v>
      </c>
      <c r="DN63" s="632">
        <f>DN60/DN$90</f>
        <v>0.26929392446633826</v>
      </c>
      <c r="DO63" s="632">
        <f>DO60/DO$90</f>
        <v>0.26833333333333331</v>
      </c>
      <c r="DP63" s="632">
        <f>DP60/DP$90</f>
        <v>0.24691358024691357</v>
      </c>
      <c r="DQ63" s="1522">
        <f>DQ60/DQ$90</f>
        <v>0.26757188498402557</v>
      </c>
      <c r="DR63" s="147"/>
      <c r="DS63" s="1810">
        <f>DS60/DS$90</f>
        <v>0.1953125</v>
      </c>
      <c r="DT63" s="632">
        <f>DT60/DT$90</f>
        <v>0.15636363636363637</v>
      </c>
      <c r="DU63" s="632">
        <f>DU60/DU$90</f>
        <v>0.19631901840490798</v>
      </c>
      <c r="DV63" s="632">
        <f>DV60/DV$90</f>
        <v>0.21503131524008351</v>
      </c>
      <c r="DW63" s="1096"/>
      <c r="DX63" s="147"/>
      <c r="DY63" s="632">
        <f>DY60/DY$90</f>
        <v>0.21149897330595482</v>
      </c>
      <c r="DZ63" s="632">
        <f>DZ60/DZ$90</f>
        <v>0.21669980119284293</v>
      </c>
      <c r="EA63" s="632">
        <f>EA60/EA$90</f>
        <v>0.22480620155038761</v>
      </c>
      <c r="EB63" s="632">
        <f>EB60/EB$90</f>
        <v>0.22202166064981949</v>
      </c>
      <c r="EC63" s="1096"/>
      <c r="ED63" s="147"/>
      <c r="EE63" s="147"/>
      <c r="EF63" s="147"/>
      <c r="EG63" s="147"/>
      <c r="EH63" s="147"/>
      <c r="EI63" s="1096"/>
      <c r="EJ63" s="147"/>
      <c r="EK63" s="147"/>
      <c r="EL63" s="147"/>
      <c r="EM63" s="147"/>
      <c r="EN63" s="147"/>
      <c r="EO63" s="1096"/>
      <c r="EP63" s="147"/>
      <c r="EQ63" s="147"/>
      <c r="ER63" s="147"/>
      <c r="ES63" s="147"/>
      <c r="ET63" s="147"/>
      <c r="EU63" s="1096"/>
    </row>
    <row r="64" spans="1:151" s="2075" customFormat="1" ht="12.75" customHeight="1">
      <c r="A64" s="267" t="s">
        <v>7116</v>
      </c>
      <c r="B64" s="875"/>
      <c r="C64" s="875"/>
      <c r="D64" s="875"/>
      <c r="E64" s="875"/>
      <c r="F64" s="875"/>
      <c r="G64" s="875"/>
      <c r="H64" s="875"/>
      <c r="I64" s="875"/>
      <c r="J64" s="875"/>
      <c r="K64" s="875"/>
      <c r="L64" s="875"/>
      <c r="M64" s="875"/>
      <c r="N64" s="875"/>
      <c r="O64" s="632"/>
      <c r="P64" s="632"/>
      <c r="Q64" s="632"/>
      <c r="R64" s="632"/>
      <c r="S64" s="980"/>
      <c r="T64" s="1549"/>
      <c r="U64" s="632"/>
      <c r="V64" s="632"/>
      <c r="W64" s="632"/>
      <c r="X64" s="632"/>
      <c r="Y64" s="980"/>
      <c r="Z64" s="1549"/>
      <c r="AA64" s="632"/>
      <c r="AB64" s="632"/>
      <c r="AC64" s="632"/>
      <c r="AD64" s="632"/>
      <c r="AE64" s="980"/>
      <c r="AF64" s="875"/>
      <c r="AG64" s="632"/>
      <c r="AH64" s="632"/>
      <c r="AI64" s="632"/>
      <c r="AJ64" s="632"/>
      <c r="AK64" s="980"/>
      <c r="AL64" s="875"/>
      <c r="AM64" s="632"/>
      <c r="AN64" s="632"/>
      <c r="AO64" s="632"/>
      <c r="AP64" s="632"/>
      <c r="AQ64" s="980"/>
      <c r="AR64" s="980"/>
      <c r="AS64" s="632"/>
      <c r="AT64" s="632"/>
      <c r="AU64" s="632"/>
      <c r="AV64" s="632"/>
      <c r="AW64" s="980"/>
      <c r="AX64" s="875"/>
      <c r="AY64" s="632"/>
      <c r="AZ64" s="632"/>
      <c r="BA64" s="632"/>
      <c r="BB64" s="632"/>
      <c r="BC64" s="980"/>
      <c r="BD64" s="875"/>
      <c r="BE64" s="632"/>
      <c r="BF64" s="632"/>
      <c r="BG64" s="632"/>
      <c r="BH64" s="632"/>
      <c r="BI64" s="980"/>
      <c r="BJ64" s="875"/>
      <c r="BK64" s="632"/>
      <c r="BL64" s="632"/>
      <c r="BM64" s="632"/>
      <c r="BN64" s="632"/>
      <c r="BO64" s="1115"/>
      <c r="BP64" s="875"/>
      <c r="BQ64" s="632"/>
      <c r="BR64" s="632"/>
      <c r="BS64" s="632"/>
      <c r="BT64" s="632"/>
      <c r="BU64" s="1115"/>
      <c r="BV64" s="147"/>
      <c r="BW64" s="632"/>
      <c r="BX64" s="632"/>
      <c r="BY64" s="632"/>
      <c r="BZ64" s="632"/>
      <c r="CA64" s="1115"/>
      <c r="CB64" s="875"/>
      <c r="CC64" s="632"/>
      <c r="CD64" s="632"/>
      <c r="CE64" s="632"/>
      <c r="CF64" s="1503"/>
      <c r="CG64" s="1522"/>
      <c r="CH64" s="147"/>
      <c r="CI64" s="632"/>
      <c r="CJ64" s="632"/>
      <c r="CK64" s="632"/>
      <c r="CL64" s="632"/>
      <c r="CM64" s="1522"/>
      <c r="CN64" s="147"/>
      <c r="CO64" s="632"/>
      <c r="CP64" s="632"/>
      <c r="CQ64" s="632"/>
      <c r="CR64" s="632"/>
      <c r="CS64" s="1522"/>
      <c r="CT64" s="632"/>
      <c r="CU64" s="632"/>
      <c r="CV64" s="632"/>
      <c r="CW64" s="632"/>
      <c r="CX64" s="632"/>
      <c r="CY64" s="1522"/>
      <c r="CZ64" s="632"/>
      <c r="DA64" s="632"/>
      <c r="DB64" s="632"/>
      <c r="DC64" s="632"/>
      <c r="DD64" s="632"/>
      <c r="DE64" s="1522"/>
      <c r="DF64" s="632"/>
      <c r="DG64" s="632"/>
      <c r="DH64" s="632"/>
      <c r="DI64" s="632"/>
      <c r="DJ64" s="632"/>
      <c r="DK64" s="1522"/>
      <c r="DL64" s="147"/>
      <c r="DM64" s="1810"/>
      <c r="DN64" s="632"/>
      <c r="DO64" s="980">
        <v>144</v>
      </c>
      <c r="DP64" s="980">
        <v>143</v>
      </c>
      <c r="DQ64" s="1522"/>
      <c r="DR64" s="147"/>
      <c r="DS64" s="1812">
        <v>86</v>
      </c>
      <c r="DT64" s="980">
        <v>73</v>
      </c>
      <c r="DU64" s="980">
        <v>80</v>
      </c>
      <c r="DV64" s="980">
        <v>88</v>
      </c>
      <c r="DW64" s="1096"/>
      <c r="DX64" s="147"/>
      <c r="DY64" s="980">
        <v>92</v>
      </c>
      <c r="DZ64" s="980">
        <v>97</v>
      </c>
      <c r="EA64" s="980">
        <v>103</v>
      </c>
      <c r="EB64" s="980">
        <v>111</v>
      </c>
      <c r="EC64" s="1096"/>
      <c r="ED64" s="147"/>
      <c r="EE64" s="147"/>
      <c r="EF64" s="147"/>
      <c r="EG64" s="147"/>
      <c r="EH64" s="147"/>
      <c r="EI64" s="1096"/>
      <c r="EJ64" s="147"/>
      <c r="EK64" s="147"/>
      <c r="EL64" s="147"/>
      <c r="EM64" s="147"/>
      <c r="EN64" s="147"/>
      <c r="EO64" s="1096"/>
      <c r="EP64" s="147"/>
      <c r="EQ64" s="147"/>
      <c r="ER64" s="147"/>
      <c r="ES64" s="147"/>
      <c r="ET64" s="147"/>
      <c r="EU64" s="1096"/>
    </row>
    <row r="65" spans="1:196" s="2075" customFormat="1" ht="12.75" customHeight="1">
      <c r="A65" s="266" t="s">
        <v>345</v>
      </c>
      <c r="B65" s="875"/>
      <c r="C65" s="875"/>
      <c r="D65" s="875"/>
      <c r="E65" s="875"/>
      <c r="F65" s="875"/>
      <c r="G65" s="875"/>
      <c r="H65" s="875"/>
      <c r="I65" s="875"/>
      <c r="J65" s="875"/>
      <c r="K65" s="875"/>
      <c r="L65" s="875"/>
      <c r="M65" s="875"/>
      <c r="N65" s="875"/>
      <c r="O65" s="632"/>
      <c r="P65" s="632"/>
      <c r="Q65" s="632"/>
      <c r="R65" s="632"/>
      <c r="S65" s="980"/>
      <c r="T65" s="1549"/>
      <c r="U65" s="632"/>
      <c r="V65" s="632"/>
      <c r="W65" s="632"/>
      <c r="X65" s="632"/>
      <c r="Y65" s="980"/>
      <c r="Z65" s="1549"/>
      <c r="AA65" s="632"/>
      <c r="AB65" s="632"/>
      <c r="AC65" s="632"/>
      <c r="AD65" s="632"/>
      <c r="AE65" s="980"/>
      <c r="AF65" s="875"/>
      <c r="AG65" s="632"/>
      <c r="AH65" s="632"/>
      <c r="AI65" s="632"/>
      <c r="AJ65" s="632"/>
      <c r="AK65" s="980"/>
      <c r="AL65" s="875"/>
      <c r="AM65" s="632"/>
      <c r="AN65" s="632"/>
      <c r="AO65" s="632"/>
      <c r="AP65" s="632"/>
      <c r="AQ65" s="980"/>
      <c r="AR65" s="980"/>
      <c r="AS65" s="632"/>
      <c r="AT65" s="632"/>
      <c r="AU65" s="632"/>
      <c r="AV65" s="632"/>
      <c r="AW65" s="980"/>
      <c r="AX65" s="875"/>
      <c r="AY65" s="632"/>
      <c r="AZ65" s="632"/>
      <c r="BA65" s="632"/>
      <c r="BB65" s="632"/>
      <c r="BC65" s="980"/>
      <c r="BD65" s="875"/>
      <c r="BE65" s="632"/>
      <c r="BF65" s="632"/>
      <c r="BG65" s="632"/>
      <c r="BH65" s="632"/>
      <c r="BI65" s="980"/>
      <c r="BJ65" s="875"/>
      <c r="BK65" s="632"/>
      <c r="BL65" s="632"/>
      <c r="BM65" s="632"/>
      <c r="BN65" s="632"/>
      <c r="BO65" s="1115"/>
      <c r="BP65" s="875"/>
      <c r="BQ65" s="632"/>
      <c r="BR65" s="632"/>
      <c r="BS65" s="632"/>
      <c r="BT65" s="632"/>
      <c r="BU65" s="1115"/>
      <c r="BV65" s="147"/>
      <c r="BW65" s="632"/>
      <c r="BX65" s="632"/>
      <c r="BY65" s="632"/>
      <c r="BZ65" s="632"/>
      <c r="CA65" s="1115"/>
      <c r="CB65" s="875"/>
      <c r="CC65" s="632"/>
      <c r="CD65" s="632"/>
      <c r="CE65" s="632"/>
      <c r="CF65" s="1503"/>
      <c r="CG65" s="1522"/>
      <c r="CH65" s="147"/>
      <c r="CI65" s="632"/>
      <c r="CJ65" s="632"/>
      <c r="CK65" s="632"/>
      <c r="CL65" s="632"/>
      <c r="CM65" s="1522"/>
      <c r="CN65" s="147"/>
      <c r="CO65" s="632"/>
      <c r="CP65" s="632"/>
      <c r="CQ65" s="632"/>
      <c r="CR65" s="632"/>
      <c r="CS65" s="1522"/>
      <c r="CT65" s="632"/>
      <c r="CU65" s="632"/>
      <c r="CV65" s="632"/>
      <c r="CW65" s="632"/>
      <c r="CX65" s="632"/>
      <c r="CY65" s="1522"/>
      <c r="CZ65" s="632"/>
      <c r="DA65" s="632"/>
      <c r="DB65" s="632"/>
      <c r="DC65" s="632"/>
      <c r="DD65" s="632"/>
      <c r="DE65" s="1522"/>
      <c r="DF65" s="632"/>
      <c r="DG65" s="632"/>
      <c r="DH65" s="632"/>
      <c r="DI65" s="632"/>
      <c r="DJ65" s="632"/>
      <c r="DK65" s="1522"/>
      <c r="DL65" s="147"/>
      <c r="DM65" s="1810"/>
      <c r="DN65" s="632"/>
      <c r="DO65" s="632"/>
      <c r="DP65" s="632"/>
      <c r="DQ65" s="1522"/>
      <c r="DR65" s="147"/>
      <c r="DS65" s="1810"/>
      <c r="DT65" s="632"/>
      <c r="DU65" s="632">
        <f>IF(DO64&lt;&gt;"",DU64/DO64-1,"-")</f>
        <v>-0.44444444444444442</v>
      </c>
      <c r="DV65" s="632">
        <f>IF(DP64&lt;&gt;"",DV64/DP64-1,"-")</f>
        <v>-0.38461538461538458</v>
      </c>
      <c r="DW65" s="1096"/>
      <c r="DX65" s="147"/>
      <c r="DY65" s="632">
        <f>IF(DS64&lt;&gt;"",DY64/DS64-1,"-")</f>
        <v>6.9767441860465018E-2</v>
      </c>
      <c r="DZ65" s="632">
        <f>IF(DT64&lt;&gt;"",DZ64/DT64-1,"-")</f>
        <v>0.32876712328767121</v>
      </c>
      <c r="EA65" s="632">
        <f>IF(DU64&lt;&gt;"",EA64/DU64-1,"-")</f>
        <v>0.28750000000000009</v>
      </c>
      <c r="EB65" s="632">
        <f>IF(DV64&lt;&gt;"",EB64/DV64-1,"-")</f>
        <v>0.26136363636363646</v>
      </c>
      <c r="EC65" s="1096"/>
      <c r="ED65" s="147"/>
      <c r="EE65" s="147"/>
      <c r="EF65" s="147"/>
      <c r="EG65" s="147"/>
      <c r="EH65" s="147"/>
      <c r="EI65" s="1096"/>
      <c r="EJ65" s="147"/>
      <c r="EK65" s="147"/>
      <c r="EL65" s="147"/>
      <c r="EM65" s="147"/>
      <c r="EN65" s="147"/>
      <c r="EO65" s="1096"/>
      <c r="EP65" s="147"/>
      <c r="EQ65" s="147"/>
      <c r="ER65" s="147"/>
      <c r="ES65" s="147"/>
      <c r="ET65" s="147"/>
      <c r="EU65" s="1096"/>
    </row>
    <row r="66" spans="1:196" s="2075" customFormat="1" ht="12.75" customHeight="1">
      <c r="A66" s="266" t="s">
        <v>344</v>
      </c>
      <c r="B66" s="875"/>
      <c r="C66" s="875"/>
      <c r="D66" s="875"/>
      <c r="E66" s="875"/>
      <c r="F66" s="875"/>
      <c r="G66" s="875"/>
      <c r="H66" s="875"/>
      <c r="I66" s="875"/>
      <c r="J66" s="875"/>
      <c r="K66" s="875"/>
      <c r="L66" s="875"/>
      <c r="M66" s="875"/>
      <c r="N66" s="875"/>
      <c r="O66" s="632"/>
      <c r="P66" s="632"/>
      <c r="Q66" s="632"/>
      <c r="R66" s="632"/>
      <c r="S66" s="980"/>
      <c r="T66" s="1549"/>
      <c r="U66" s="632"/>
      <c r="V66" s="632"/>
      <c r="W66" s="632"/>
      <c r="X66" s="632"/>
      <c r="Y66" s="980"/>
      <c r="Z66" s="1549"/>
      <c r="AA66" s="632"/>
      <c r="AB66" s="632"/>
      <c r="AC66" s="632"/>
      <c r="AD66" s="632"/>
      <c r="AE66" s="980"/>
      <c r="AF66" s="875"/>
      <c r="AG66" s="632"/>
      <c r="AH66" s="632"/>
      <c r="AI66" s="632"/>
      <c r="AJ66" s="632"/>
      <c r="AK66" s="980"/>
      <c r="AL66" s="875"/>
      <c r="AM66" s="632"/>
      <c r="AN66" s="632"/>
      <c r="AO66" s="632"/>
      <c r="AP66" s="632"/>
      <c r="AQ66" s="980"/>
      <c r="AR66" s="980"/>
      <c r="AS66" s="632"/>
      <c r="AT66" s="632"/>
      <c r="AU66" s="632"/>
      <c r="AV66" s="632"/>
      <c r="AW66" s="980"/>
      <c r="AX66" s="875"/>
      <c r="AY66" s="632"/>
      <c r="AZ66" s="632"/>
      <c r="BA66" s="632"/>
      <c r="BB66" s="632"/>
      <c r="BC66" s="980"/>
      <c r="BD66" s="875"/>
      <c r="BE66" s="632"/>
      <c r="BF66" s="632"/>
      <c r="BG66" s="632"/>
      <c r="BH66" s="632"/>
      <c r="BI66" s="980"/>
      <c r="BJ66" s="875"/>
      <c r="BK66" s="632"/>
      <c r="BL66" s="632"/>
      <c r="BM66" s="632"/>
      <c r="BN66" s="632"/>
      <c r="BO66" s="1115"/>
      <c r="BP66" s="875"/>
      <c r="BQ66" s="632"/>
      <c r="BR66" s="632"/>
      <c r="BS66" s="632"/>
      <c r="BT66" s="632"/>
      <c r="BU66" s="1115"/>
      <c r="BV66" s="147"/>
      <c r="BW66" s="632"/>
      <c r="BX66" s="632"/>
      <c r="BY66" s="632"/>
      <c r="BZ66" s="632"/>
      <c r="CA66" s="1115"/>
      <c r="CB66" s="875"/>
      <c r="CC66" s="632"/>
      <c r="CD66" s="632"/>
      <c r="CE66" s="632"/>
      <c r="CF66" s="1503"/>
      <c r="CG66" s="1522"/>
      <c r="CH66" s="147"/>
      <c r="CI66" s="632"/>
      <c r="CJ66" s="632"/>
      <c r="CK66" s="632"/>
      <c r="CL66" s="632"/>
      <c r="CM66" s="1522"/>
      <c r="CN66" s="147"/>
      <c r="CO66" s="632"/>
      <c r="CP66" s="632"/>
      <c r="CQ66" s="632"/>
      <c r="CR66" s="632"/>
      <c r="CS66" s="1522"/>
      <c r="CT66" s="632"/>
      <c r="CU66" s="632"/>
      <c r="CV66" s="632"/>
      <c r="CW66" s="632"/>
      <c r="CX66" s="632"/>
      <c r="CY66" s="1522"/>
      <c r="CZ66" s="632"/>
      <c r="DA66" s="632"/>
      <c r="DB66" s="632"/>
      <c r="DC66" s="632"/>
      <c r="DD66" s="632"/>
      <c r="DE66" s="1522"/>
      <c r="DF66" s="632"/>
      <c r="DG66" s="632"/>
      <c r="DH66" s="632"/>
      <c r="DI66" s="632"/>
      <c r="DJ66" s="632"/>
      <c r="DK66" s="1522"/>
      <c r="DL66" s="147"/>
      <c r="DM66" s="1810"/>
      <c r="DN66" s="632"/>
      <c r="DO66" s="263"/>
      <c r="DP66" s="263">
        <f>IF(DO64&lt;&gt;"",DP64/DO64-1,"-")</f>
        <v>-6.9444444444444198E-3</v>
      </c>
      <c r="DQ66" s="1522"/>
      <c r="DR66" s="147"/>
      <c r="DS66" s="1810">
        <f>IF(DP64&lt;&gt;"",DS64/DP64-1,"-")</f>
        <v>-0.39860139860139865</v>
      </c>
      <c r="DT66" s="263">
        <f>IF(DS64&lt;&gt;"",DT64/DS64-1,"-")</f>
        <v>-0.15116279069767447</v>
      </c>
      <c r="DU66" s="263">
        <f>IF(DT64&lt;&gt;"",DU64/DT64-1,"-")</f>
        <v>9.5890410958904049E-2</v>
      </c>
      <c r="DV66" s="263">
        <f>IF(DU64&lt;&gt;"",DV64/DU64-1,"-")</f>
        <v>0.10000000000000009</v>
      </c>
      <c r="DW66" s="1096"/>
      <c r="DX66" s="147"/>
      <c r="DY66" s="263">
        <f>IF(DV64&lt;&gt;"",DY64/DV64-1,"-")</f>
        <v>4.5454545454545414E-2</v>
      </c>
      <c r="DZ66" s="263">
        <f>IF(DY64&lt;&gt;"",DZ64/DY64-1,"-")</f>
        <v>5.4347826086956541E-2</v>
      </c>
      <c r="EA66" s="263">
        <f>IF(DZ64&lt;&gt;"",EA64/DZ64-1,"-")</f>
        <v>6.1855670103092786E-2</v>
      </c>
      <c r="EB66" s="263">
        <f>IF(EA64&lt;&gt;"",EB64/EA64-1,"-")</f>
        <v>7.7669902912621325E-2</v>
      </c>
      <c r="EC66" s="1096"/>
      <c r="ED66" s="147"/>
      <c r="EE66" s="147"/>
      <c r="EF66" s="147"/>
      <c r="EG66" s="147"/>
      <c r="EH66" s="147"/>
      <c r="EI66" s="1096"/>
      <c r="EJ66" s="147"/>
      <c r="EK66" s="147"/>
      <c r="EL66" s="147"/>
      <c r="EM66" s="147"/>
      <c r="EN66" s="147"/>
      <c r="EO66" s="1096"/>
      <c r="EP66" s="147"/>
      <c r="EQ66" s="147"/>
      <c r="ER66" s="147"/>
      <c r="ES66" s="147"/>
      <c r="ET66" s="147"/>
      <c r="EU66" s="1096"/>
    </row>
    <row r="67" spans="1:196" s="2075" customFormat="1" ht="12.75" customHeight="1">
      <c r="A67" s="266" t="s">
        <v>5579</v>
      </c>
      <c r="B67" s="875"/>
      <c r="C67" s="875"/>
      <c r="D67" s="875"/>
      <c r="E67" s="875"/>
      <c r="F67" s="875"/>
      <c r="G67" s="875"/>
      <c r="H67" s="875"/>
      <c r="I67" s="875"/>
      <c r="J67" s="875"/>
      <c r="K67" s="875"/>
      <c r="L67" s="875"/>
      <c r="M67" s="875"/>
      <c r="N67" s="875"/>
      <c r="O67" s="632"/>
      <c r="P67" s="632"/>
      <c r="Q67" s="632"/>
      <c r="R67" s="632"/>
      <c r="S67" s="980"/>
      <c r="T67" s="1549"/>
      <c r="U67" s="632"/>
      <c r="V67" s="632"/>
      <c r="W67" s="632"/>
      <c r="X67" s="632"/>
      <c r="Y67" s="980"/>
      <c r="Z67" s="1549"/>
      <c r="AA67" s="632"/>
      <c r="AB67" s="632"/>
      <c r="AC67" s="632"/>
      <c r="AD67" s="632"/>
      <c r="AE67" s="980"/>
      <c r="AF67" s="875"/>
      <c r="AG67" s="632"/>
      <c r="AH67" s="632"/>
      <c r="AI67" s="632"/>
      <c r="AJ67" s="632"/>
      <c r="AK67" s="980"/>
      <c r="AL67" s="875"/>
      <c r="AM67" s="632"/>
      <c r="AN67" s="632"/>
      <c r="AO67" s="632"/>
      <c r="AP67" s="632"/>
      <c r="AQ67" s="980"/>
      <c r="AR67" s="980"/>
      <c r="AS67" s="632"/>
      <c r="AT67" s="632"/>
      <c r="AU67" s="632"/>
      <c r="AV67" s="632"/>
      <c r="AW67" s="980"/>
      <c r="AX67" s="875"/>
      <c r="AY67" s="632"/>
      <c r="AZ67" s="632"/>
      <c r="BA67" s="632"/>
      <c r="BB67" s="632"/>
      <c r="BC67" s="980"/>
      <c r="BD67" s="875"/>
      <c r="BE67" s="632"/>
      <c r="BF67" s="632"/>
      <c r="BG67" s="632"/>
      <c r="BH67" s="632"/>
      <c r="BI67" s="980"/>
      <c r="BJ67" s="875"/>
      <c r="BK67" s="632"/>
      <c r="BL67" s="632"/>
      <c r="BM67" s="632"/>
      <c r="BN67" s="632"/>
      <c r="BO67" s="1115"/>
      <c r="BP67" s="875"/>
      <c r="BQ67" s="632"/>
      <c r="BR67" s="632"/>
      <c r="BS67" s="632"/>
      <c r="BT67" s="632"/>
      <c r="BU67" s="1115"/>
      <c r="BV67" s="147"/>
      <c r="BW67" s="632"/>
      <c r="BX67" s="632"/>
      <c r="BY67" s="632"/>
      <c r="BZ67" s="632"/>
      <c r="CA67" s="1115"/>
      <c r="CB67" s="875"/>
      <c r="CC67" s="632"/>
      <c r="CD67" s="632"/>
      <c r="CE67" s="632"/>
      <c r="CF67" s="1503"/>
      <c r="CG67" s="1522"/>
      <c r="CH67" s="147"/>
      <c r="CI67" s="632"/>
      <c r="CJ67" s="632"/>
      <c r="CK67" s="632"/>
      <c r="CL67" s="632"/>
      <c r="CM67" s="1522"/>
      <c r="CN67" s="147"/>
      <c r="CO67" s="632"/>
      <c r="CP67" s="632"/>
      <c r="CQ67" s="632"/>
      <c r="CR67" s="632"/>
      <c r="CS67" s="1522"/>
      <c r="CT67" s="632"/>
      <c r="CU67" s="632"/>
      <c r="CV67" s="632"/>
      <c r="CW67" s="632"/>
      <c r="CX67" s="632"/>
      <c r="CY67" s="1522"/>
      <c r="CZ67" s="632"/>
      <c r="DA67" s="632"/>
      <c r="DB67" s="632"/>
      <c r="DC67" s="632"/>
      <c r="DD67" s="632"/>
      <c r="DE67" s="1522"/>
      <c r="DF67" s="632"/>
      <c r="DG67" s="632"/>
      <c r="DH67" s="632"/>
      <c r="DI67" s="632"/>
      <c r="DJ67" s="632"/>
      <c r="DK67" s="1522"/>
      <c r="DL67" s="147"/>
      <c r="DM67" s="1810"/>
      <c r="DN67" s="632"/>
      <c r="DO67" s="632">
        <f>DO64/DO$90</f>
        <v>0.24</v>
      </c>
      <c r="DP67" s="632">
        <f>DP64/DP$90</f>
        <v>0.22067901234567902</v>
      </c>
      <c r="DQ67" s="1522"/>
      <c r="DR67" s="147"/>
      <c r="DS67" s="1810">
        <f>DS64/DS$90</f>
        <v>0.16796875</v>
      </c>
      <c r="DT67" s="632">
        <f>DT64/DT$90</f>
        <v>0.13272727272727272</v>
      </c>
      <c r="DU67" s="632">
        <f>DU64/DU$90</f>
        <v>0.16359918200408999</v>
      </c>
      <c r="DV67" s="632">
        <f>DV64/DV$90</f>
        <v>0.1837160751565762</v>
      </c>
      <c r="DW67" s="1096"/>
      <c r="DX67" s="147"/>
      <c r="DY67" s="632">
        <f>DY64/DY$90</f>
        <v>0.18891170431211499</v>
      </c>
      <c r="DZ67" s="632">
        <f>DZ64/DZ$90</f>
        <v>0.19284294234592445</v>
      </c>
      <c r="EA67" s="632">
        <f>EA64/EA$90</f>
        <v>0.19961240310077519</v>
      </c>
      <c r="EB67" s="632">
        <f>EB64/EB$90</f>
        <v>0.2003610108303249</v>
      </c>
      <c r="EC67" s="1096"/>
      <c r="ED67" s="147"/>
      <c r="EE67" s="147"/>
      <c r="EF67" s="147"/>
      <c r="EG67" s="147"/>
      <c r="EH67" s="147"/>
      <c r="EI67" s="1096"/>
      <c r="EJ67" s="147"/>
      <c r="EK67" s="147"/>
      <c r="EL67" s="147"/>
      <c r="EM67" s="147"/>
      <c r="EN67" s="147"/>
      <c r="EO67" s="1096"/>
      <c r="EP67" s="147"/>
      <c r="EQ67" s="147"/>
      <c r="ER67" s="147"/>
      <c r="ES67" s="147"/>
      <c r="ET67" s="147"/>
      <c r="EU67" s="1096"/>
    </row>
    <row r="68" spans="1:196" s="2075" customFormat="1" ht="12.75" customHeight="1">
      <c r="A68" s="267" t="s">
        <v>7117</v>
      </c>
      <c r="B68" s="875"/>
      <c r="C68" s="875"/>
      <c r="D68" s="875"/>
      <c r="E68" s="875"/>
      <c r="F68" s="875"/>
      <c r="G68" s="875"/>
      <c r="H68" s="875"/>
      <c r="I68" s="875"/>
      <c r="J68" s="875"/>
      <c r="K68" s="875"/>
      <c r="L68" s="875"/>
      <c r="M68" s="875"/>
      <c r="N68" s="875"/>
      <c r="O68" s="632"/>
      <c r="P68" s="632"/>
      <c r="Q68" s="632"/>
      <c r="R68" s="632"/>
      <c r="S68" s="980"/>
      <c r="T68" s="1549"/>
      <c r="U68" s="632"/>
      <c r="V68" s="632"/>
      <c r="W68" s="632"/>
      <c r="X68" s="632"/>
      <c r="Y68" s="980"/>
      <c r="Z68" s="1549"/>
      <c r="AA68" s="632"/>
      <c r="AB68" s="632"/>
      <c r="AC68" s="632"/>
      <c r="AD68" s="632"/>
      <c r="AE68" s="980"/>
      <c r="AF68" s="875"/>
      <c r="AG68" s="632"/>
      <c r="AH68" s="632"/>
      <c r="AI68" s="632"/>
      <c r="AJ68" s="632"/>
      <c r="AK68" s="980"/>
      <c r="AL68" s="875"/>
      <c r="AM68" s="632"/>
      <c r="AN68" s="632"/>
      <c r="AO68" s="632"/>
      <c r="AP68" s="632"/>
      <c r="AQ68" s="980"/>
      <c r="AR68" s="980"/>
      <c r="AS68" s="632"/>
      <c r="AT68" s="632"/>
      <c r="AU68" s="632"/>
      <c r="AV68" s="632"/>
      <c r="AW68" s="980"/>
      <c r="AX68" s="875"/>
      <c r="AY68" s="632"/>
      <c r="AZ68" s="632"/>
      <c r="BA68" s="632"/>
      <c r="BB68" s="632"/>
      <c r="BC68" s="980"/>
      <c r="BD68" s="875"/>
      <c r="BE68" s="632"/>
      <c r="BF68" s="632"/>
      <c r="BG68" s="632"/>
      <c r="BH68" s="632"/>
      <c r="BI68" s="980"/>
      <c r="BJ68" s="875"/>
      <c r="BK68" s="632"/>
      <c r="BL68" s="632"/>
      <c r="BM68" s="632"/>
      <c r="BN68" s="632"/>
      <c r="BO68" s="1115"/>
      <c r="BP68" s="875"/>
      <c r="BQ68" s="632"/>
      <c r="BR68" s="632"/>
      <c r="BS68" s="632"/>
      <c r="BT68" s="632"/>
      <c r="BU68" s="1115"/>
      <c r="BV68" s="147"/>
      <c r="BW68" s="632"/>
      <c r="BX68" s="632"/>
      <c r="BY68" s="632"/>
      <c r="BZ68" s="632"/>
      <c r="CA68" s="1115"/>
      <c r="CB68" s="875"/>
      <c r="CC68" s="632"/>
      <c r="CD68" s="632"/>
      <c r="CE68" s="632"/>
      <c r="CF68" s="1503"/>
      <c r="CG68" s="1522"/>
      <c r="CH68" s="147"/>
      <c r="CI68" s="632"/>
      <c r="CJ68" s="632"/>
      <c r="CK68" s="632"/>
      <c r="CL68" s="632"/>
      <c r="CM68" s="1522"/>
      <c r="CN68" s="147"/>
      <c r="CO68" s="632"/>
      <c r="CP68" s="632"/>
      <c r="CQ68" s="632"/>
      <c r="CR68" s="632"/>
      <c r="CS68" s="1522"/>
      <c r="CT68" s="632"/>
      <c r="CU68" s="632"/>
      <c r="CV68" s="632"/>
      <c r="CW68" s="632"/>
      <c r="CX68" s="632"/>
      <c r="CY68" s="1522"/>
      <c r="CZ68" s="632"/>
      <c r="DA68" s="632"/>
      <c r="DB68" s="632"/>
      <c r="DC68" s="632"/>
      <c r="DD68" s="632"/>
      <c r="DE68" s="1522"/>
      <c r="DF68" s="632"/>
      <c r="DG68" s="632"/>
      <c r="DH68" s="632"/>
      <c r="DI68" s="632"/>
      <c r="DJ68" s="632"/>
      <c r="DK68" s="1522"/>
      <c r="DL68" s="147"/>
      <c r="DM68" s="1810"/>
      <c r="DN68" s="632"/>
      <c r="DO68" s="980">
        <v>17</v>
      </c>
      <c r="DP68" s="980">
        <v>17</v>
      </c>
      <c r="DQ68" s="1522"/>
      <c r="DR68" s="147"/>
      <c r="DS68" s="1812">
        <v>14</v>
      </c>
      <c r="DT68" s="980">
        <v>13</v>
      </c>
      <c r="DU68" s="980">
        <v>16</v>
      </c>
      <c r="DV68" s="980">
        <v>15</v>
      </c>
      <c r="DW68" s="1096"/>
      <c r="DX68" s="147"/>
      <c r="DY68" s="980">
        <v>11</v>
      </c>
      <c r="DZ68" s="980">
        <v>12</v>
      </c>
      <c r="EA68" s="980">
        <v>13</v>
      </c>
      <c r="EB68" s="980">
        <v>12</v>
      </c>
      <c r="EC68" s="1096"/>
      <c r="ED68" s="147"/>
      <c r="EE68" s="147"/>
      <c r="EF68" s="147"/>
      <c r="EG68" s="147"/>
      <c r="EH68" s="147"/>
      <c r="EI68" s="1096"/>
      <c r="EJ68" s="147"/>
      <c r="EK68" s="147"/>
      <c r="EL68" s="147"/>
      <c r="EM68" s="147"/>
      <c r="EN68" s="147"/>
      <c r="EO68" s="1096"/>
      <c r="EP68" s="147"/>
      <c r="EQ68" s="147"/>
      <c r="ER68" s="147"/>
      <c r="ES68" s="147"/>
      <c r="ET68" s="147"/>
      <c r="EU68" s="1096"/>
    </row>
    <row r="69" spans="1:196" s="2075" customFormat="1" ht="12.75" customHeight="1">
      <c r="A69" s="266" t="s">
        <v>345</v>
      </c>
      <c r="B69" s="875"/>
      <c r="C69" s="875"/>
      <c r="D69" s="875"/>
      <c r="E69" s="875"/>
      <c r="F69" s="875"/>
      <c r="G69" s="875"/>
      <c r="H69" s="875"/>
      <c r="I69" s="875"/>
      <c r="J69" s="875"/>
      <c r="K69" s="875"/>
      <c r="L69" s="875"/>
      <c r="M69" s="875"/>
      <c r="N69" s="875"/>
      <c r="O69" s="632"/>
      <c r="P69" s="632"/>
      <c r="Q69" s="632"/>
      <c r="R69" s="632"/>
      <c r="S69" s="980"/>
      <c r="T69" s="1549"/>
      <c r="U69" s="632"/>
      <c r="V69" s="632"/>
      <c r="W69" s="632"/>
      <c r="X69" s="632"/>
      <c r="Y69" s="980"/>
      <c r="Z69" s="1549"/>
      <c r="AA69" s="632"/>
      <c r="AB69" s="632"/>
      <c r="AC69" s="632"/>
      <c r="AD69" s="632"/>
      <c r="AE69" s="980"/>
      <c r="AF69" s="875"/>
      <c r="AG69" s="632"/>
      <c r="AH69" s="632"/>
      <c r="AI69" s="632"/>
      <c r="AJ69" s="632"/>
      <c r="AK69" s="980"/>
      <c r="AL69" s="875"/>
      <c r="AM69" s="632"/>
      <c r="AN69" s="632"/>
      <c r="AO69" s="632"/>
      <c r="AP69" s="632"/>
      <c r="AQ69" s="980"/>
      <c r="AR69" s="980"/>
      <c r="AS69" s="632"/>
      <c r="AT69" s="632"/>
      <c r="AU69" s="632"/>
      <c r="AV69" s="632"/>
      <c r="AW69" s="980"/>
      <c r="AX69" s="875"/>
      <c r="AY69" s="632"/>
      <c r="AZ69" s="632"/>
      <c r="BA69" s="632"/>
      <c r="BB69" s="632"/>
      <c r="BC69" s="980"/>
      <c r="BD69" s="875"/>
      <c r="BE69" s="632"/>
      <c r="BF69" s="632"/>
      <c r="BG69" s="632"/>
      <c r="BH69" s="632"/>
      <c r="BI69" s="980"/>
      <c r="BJ69" s="875"/>
      <c r="BK69" s="632"/>
      <c r="BL69" s="632"/>
      <c r="BM69" s="632"/>
      <c r="BN69" s="632"/>
      <c r="BO69" s="1115"/>
      <c r="BP69" s="875"/>
      <c r="BQ69" s="632"/>
      <c r="BR69" s="632"/>
      <c r="BS69" s="632"/>
      <c r="BT69" s="632"/>
      <c r="BU69" s="1115"/>
      <c r="BV69" s="147"/>
      <c r="BW69" s="632"/>
      <c r="BX69" s="632"/>
      <c r="BY69" s="632"/>
      <c r="BZ69" s="632"/>
      <c r="CA69" s="1115"/>
      <c r="CB69" s="875"/>
      <c r="CC69" s="632"/>
      <c r="CD69" s="632"/>
      <c r="CE69" s="632"/>
      <c r="CF69" s="1503"/>
      <c r="CG69" s="1522"/>
      <c r="CH69" s="147"/>
      <c r="CI69" s="632"/>
      <c r="CJ69" s="632"/>
      <c r="CK69" s="632"/>
      <c r="CL69" s="632"/>
      <c r="CM69" s="1522"/>
      <c r="CN69" s="147"/>
      <c r="CO69" s="632"/>
      <c r="CP69" s="632"/>
      <c r="CQ69" s="632"/>
      <c r="CR69" s="632"/>
      <c r="CS69" s="1522"/>
      <c r="CT69" s="632"/>
      <c r="CU69" s="632"/>
      <c r="CV69" s="632"/>
      <c r="CW69" s="632"/>
      <c r="CX69" s="632"/>
      <c r="CY69" s="1522"/>
      <c r="CZ69" s="632"/>
      <c r="DA69" s="632"/>
      <c r="DB69" s="632"/>
      <c r="DC69" s="632"/>
      <c r="DD69" s="632"/>
      <c r="DE69" s="1522"/>
      <c r="DF69" s="632"/>
      <c r="DG69" s="632"/>
      <c r="DH69" s="632"/>
      <c r="DI69" s="632"/>
      <c r="DJ69" s="632"/>
      <c r="DK69" s="1522"/>
      <c r="DL69" s="147"/>
      <c r="DM69" s="1810"/>
      <c r="DN69" s="632"/>
      <c r="DO69" s="632"/>
      <c r="DP69" s="632"/>
      <c r="DQ69" s="1522"/>
      <c r="DR69" s="147"/>
      <c r="DS69" s="1810"/>
      <c r="DT69" s="632"/>
      <c r="DU69" s="632">
        <f>IF(DO68&lt;&gt;"",DU68/DO68-1,"-")</f>
        <v>-5.8823529411764719E-2</v>
      </c>
      <c r="DV69" s="632">
        <f>IF(DP68&lt;&gt;"",DV68/DP68-1,"-")</f>
        <v>-0.11764705882352944</v>
      </c>
      <c r="DW69" s="1096"/>
      <c r="DX69" s="147"/>
      <c r="DY69" s="632">
        <f>IF(DS68&lt;&gt;"",DY68/DS68-1,"-")</f>
        <v>-0.2142857142857143</v>
      </c>
      <c r="DZ69" s="632">
        <f>IF(DT68&lt;&gt;"",DZ68/DT68-1,"-")</f>
        <v>-7.6923076923076872E-2</v>
      </c>
      <c r="EA69" s="632">
        <f>IF(DU68&lt;&gt;"",EA68/DU68-1,"-")</f>
        <v>-0.1875</v>
      </c>
      <c r="EB69" s="632">
        <f>IF(DV68&lt;&gt;"",EB68/DV68-1,"-")</f>
        <v>-0.19999999999999996</v>
      </c>
      <c r="EC69" s="1096"/>
      <c r="ED69" s="147"/>
      <c r="EE69" s="147"/>
      <c r="EF69" s="147"/>
      <c r="EG69" s="147"/>
      <c r="EH69" s="147"/>
      <c r="EI69" s="1096"/>
      <c r="EJ69" s="147"/>
      <c r="EK69" s="147"/>
      <c r="EL69" s="147"/>
      <c r="EM69" s="147"/>
      <c r="EN69" s="147"/>
      <c r="EO69" s="1096"/>
      <c r="EP69" s="147"/>
      <c r="EQ69" s="147"/>
      <c r="ER69" s="147"/>
      <c r="ES69" s="147"/>
      <c r="ET69" s="147"/>
      <c r="EU69" s="1096"/>
    </row>
    <row r="70" spans="1:196" s="2075" customFormat="1" ht="12.75" customHeight="1">
      <c r="A70" s="266" t="s">
        <v>344</v>
      </c>
      <c r="B70" s="875"/>
      <c r="C70" s="875"/>
      <c r="D70" s="875"/>
      <c r="E70" s="875"/>
      <c r="F70" s="875"/>
      <c r="G70" s="875"/>
      <c r="H70" s="875"/>
      <c r="I70" s="875"/>
      <c r="J70" s="875"/>
      <c r="K70" s="875"/>
      <c r="L70" s="875"/>
      <c r="M70" s="875"/>
      <c r="N70" s="875"/>
      <c r="O70" s="632"/>
      <c r="P70" s="632"/>
      <c r="Q70" s="632"/>
      <c r="R70" s="632"/>
      <c r="S70" s="980"/>
      <c r="T70" s="1549"/>
      <c r="U70" s="632"/>
      <c r="V70" s="632"/>
      <c r="W70" s="632"/>
      <c r="X70" s="632"/>
      <c r="Y70" s="980"/>
      <c r="Z70" s="1549"/>
      <c r="AA70" s="632"/>
      <c r="AB70" s="632"/>
      <c r="AC70" s="632"/>
      <c r="AD70" s="632"/>
      <c r="AE70" s="980"/>
      <c r="AF70" s="875"/>
      <c r="AG70" s="632"/>
      <c r="AH70" s="632"/>
      <c r="AI70" s="632"/>
      <c r="AJ70" s="632"/>
      <c r="AK70" s="980"/>
      <c r="AL70" s="875"/>
      <c r="AM70" s="632"/>
      <c r="AN70" s="632"/>
      <c r="AO70" s="632"/>
      <c r="AP70" s="632"/>
      <c r="AQ70" s="980"/>
      <c r="AR70" s="980"/>
      <c r="AS70" s="632"/>
      <c r="AT70" s="632"/>
      <c r="AU70" s="632"/>
      <c r="AV70" s="632"/>
      <c r="AW70" s="980"/>
      <c r="AX70" s="875"/>
      <c r="AY70" s="632"/>
      <c r="AZ70" s="632"/>
      <c r="BA70" s="632"/>
      <c r="BB70" s="632"/>
      <c r="BC70" s="980"/>
      <c r="BD70" s="875"/>
      <c r="BE70" s="632"/>
      <c r="BF70" s="632"/>
      <c r="BG70" s="632"/>
      <c r="BH70" s="632"/>
      <c r="BI70" s="980"/>
      <c r="BJ70" s="875"/>
      <c r="BK70" s="632"/>
      <c r="BL70" s="632"/>
      <c r="BM70" s="632"/>
      <c r="BN70" s="632"/>
      <c r="BO70" s="1115"/>
      <c r="BP70" s="875"/>
      <c r="BQ70" s="632"/>
      <c r="BR70" s="632"/>
      <c r="BS70" s="632"/>
      <c r="BT70" s="632"/>
      <c r="BU70" s="1115"/>
      <c r="BV70" s="147"/>
      <c r="BW70" s="632"/>
      <c r="BX70" s="632"/>
      <c r="BY70" s="632"/>
      <c r="BZ70" s="632"/>
      <c r="CA70" s="1115"/>
      <c r="CB70" s="875"/>
      <c r="CC70" s="632"/>
      <c r="CD70" s="632"/>
      <c r="CE70" s="632"/>
      <c r="CF70" s="1503"/>
      <c r="CG70" s="1522"/>
      <c r="CH70" s="147"/>
      <c r="CI70" s="632"/>
      <c r="CJ70" s="632"/>
      <c r="CK70" s="632"/>
      <c r="CL70" s="632"/>
      <c r="CM70" s="1522"/>
      <c r="CN70" s="147"/>
      <c r="CO70" s="632"/>
      <c r="CP70" s="632"/>
      <c r="CQ70" s="632"/>
      <c r="CR70" s="632"/>
      <c r="CS70" s="1522"/>
      <c r="CT70" s="632"/>
      <c r="CU70" s="632"/>
      <c r="CV70" s="632"/>
      <c r="CW70" s="632"/>
      <c r="CX70" s="632"/>
      <c r="CY70" s="1522"/>
      <c r="CZ70" s="632"/>
      <c r="DA70" s="632"/>
      <c r="DB70" s="632"/>
      <c r="DC70" s="632"/>
      <c r="DD70" s="632"/>
      <c r="DE70" s="1522"/>
      <c r="DF70" s="632"/>
      <c r="DG70" s="632"/>
      <c r="DH70" s="632"/>
      <c r="DI70" s="632"/>
      <c r="DJ70" s="632"/>
      <c r="DK70" s="1522"/>
      <c r="DL70" s="147"/>
      <c r="DM70" s="1810"/>
      <c r="DN70" s="632"/>
      <c r="DO70" s="263"/>
      <c r="DP70" s="263">
        <f>IF(DO68&lt;&gt;"",DP68/DO68-1,"-")</f>
        <v>0</v>
      </c>
      <c r="DQ70" s="1522"/>
      <c r="DR70" s="147"/>
      <c r="DS70" s="1810">
        <f>IF(DP68&lt;&gt;"",DS68/DP68-1,"-")</f>
        <v>-0.17647058823529416</v>
      </c>
      <c r="DT70" s="263">
        <f>IF(DS68&lt;&gt;"",DT68/DS68-1,"-")</f>
        <v>-7.1428571428571397E-2</v>
      </c>
      <c r="DU70" s="263">
        <f>IF(DT68&lt;&gt;"",DU68/DT68-1,"-")</f>
        <v>0.23076923076923084</v>
      </c>
      <c r="DV70" s="263">
        <f>IF(DU68&lt;&gt;"",DV68/DU68-1,"-")</f>
        <v>-6.25E-2</v>
      </c>
      <c r="DW70" s="1096"/>
      <c r="DX70" s="147"/>
      <c r="DY70" s="1810">
        <f>IF(DV68&lt;&gt;"",DY68/DV68-1,"-")</f>
        <v>-0.26666666666666672</v>
      </c>
      <c r="DZ70" s="263">
        <f>IF(DY68&lt;&gt;"",DZ68/DY68-1,"-")</f>
        <v>9.0909090909090828E-2</v>
      </c>
      <c r="EA70" s="263">
        <f>IF(DZ68&lt;&gt;"",EA68/DZ68-1,"-")</f>
        <v>8.3333333333333259E-2</v>
      </c>
      <c r="EB70" s="263">
        <f>IF(EA68&lt;&gt;"",EB68/EA68-1,"-")</f>
        <v>-7.6923076923076872E-2</v>
      </c>
      <c r="EC70" s="1096"/>
      <c r="ED70" s="147"/>
      <c r="EE70" s="147"/>
      <c r="EF70" s="147"/>
      <c r="EG70" s="147"/>
      <c r="EH70" s="147"/>
      <c r="EI70" s="1096"/>
      <c r="EJ70" s="147"/>
      <c r="EK70" s="147"/>
      <c r="EL70" s="147"/>
      <c r="EM70" s="147"/>
      <c r="EN70" s="147"/>
      <c r="EO70" s="1096"/>
      <c r="EP70" s="147"/>
      <c r="EQ70" s="147"/>
      <c r="ER70" s="147"/>
      <c r="ES70" s="147"/>
      <c r="ET70" s="147"/>
      <c r="EU70" s="1096"/>
    </row>
    <row r="71" spans="1:196" s="2075" customFormat="1" ht="12.75" customHeight="1">
      <c r="A71" s="266" t="s">
        <v>5579</v>
      </c>
      <c r="B71" s="875"/>
      <c r="C71" s="875"/>
      <c r="D71" s="875"/>
      <c r="E71" s="875"/>
      <c r="F71" s="875"/>
      <c r="G71" s="875"/>
      <c r="H71" s="875"/>
      <c r="I71" s="875"/>
      <c r="J71" s="875"/>
      <c r="K71" s="875"/>
      <c r="L71" s="875"/>
      <c r="M71" s="875"/>
      <c r="N71" s="875"/>
      <c r="O71" s="632"/>
      <c r="P71" s="632"/>
      <c r="Q71" s="632"/>
      <c r="R71" s="632"/>
      <c r="S71" s="980"/>
      <c r="T71" s="1549"/>
      <c r="U71" s="632"/>
      <c r="V71" s="632"/>
      <c r="W71" s="632"/>
      <c r="X71" s="632"/>
      <c r="Y71" s="980"/>
      <c r="Z71" s="1549"/>
      <c r="AA71" s="632"/>
      <c r="AB71" s="632"/>
      <c r="AC71" s="632"/>
      <c r="AD71" s="632"/>
      <c r="AE71" s="980"/>
      <c r="AF71" s="875"/>
      <c r="AG71" s="632"/>
      <c r="AH71" s="632"/>
      <c r="AI71" s="632"/>
      <c r="AJ71" s="632"/>
      <c r="AK71" s="980"/>
      <c r="AL71" s="875"/>
      <c r="AM71" s="632"/>
      <c r="AN71" s="632"/>
      <c r="AO71" s="632"/>
      <c r="AP71" s="632"/>
      <c r="AQ71" s="980"/>
      <c r="AR71" s="980"/>
      <c r="AS71" s="632"/>
      <c r="AT71" s="632"/>
      <c r="AU71" s="632"/>
      <c r="AV71" s="632"/>
      <c r="AW71" s="980"/>
      <c r="AX71" s="875"/>
      <c r="AY71" s="632"/>
      <c r="AZ71" s="632"/>
      <c r="BA71" s="632"/>
      <c r="BB71" s="632"/>
      <c r="BC71" s="980"/>
      <c r="BD71" s="875"/>
      <c r="BE71" s="632"/>
      <c r="BF71" s="632"/>
      <c r="BG71" s="632"/>
      <c r="BH71" s="632"/>
      <c r="BI71" s="980"/>
      <c r="BJ71" s="875"/>
      <c r="BK71" s="632"/>
      <c r="BL71" s="632"/>
      <c r="BM71" s="632"/>
      <c r="BN71" s="632"/>
      <c r="BO71" s="1115"/>
      <c r="BP71" s="875"/>
      <c r="BQ71" s="632"/>
      <c r="BR71" s="632"/>
      <c r="BS71" s="632"/>
      <c r="BT71" s="632"/>
      <c r="BU71" s="1115"/>
      <c r="BV71" s="147"/>
      <c r="BW71" s="632"/>
      <c r="BX71" s="632"/>
      <c r="BY71" s="632"/>
      <c r="BZ71" s="632"/>
      <c r="CA71" s="1115"/>
      <c r="CB71" s="875"/>
      <c r="CC71" s="632"/>
      <c r="CD71" s="632"/>
      <c r="CE71" s="632"/>
      <c r="CF71" s="1503"/>
      <c r="CG71" s="1522"/>
      <c r="CH71" s="147"/>
      <c r="CI71" s="632"/>
      <c r="CJ71" s="632"/>
      <c r="CK71" s="632"/>
      <c r="CL71" s="632"/>
      <c r="CM71" s="1522"/>
      <c r="CN71" s="147"/>
      <c r="CO71" s="632"/>
      <c r="CP71" s="632"/>
      <c r="CQ71" s="632"/>
      <c r="CR71" s="632"/>
      <c r="CS71" s="1522"/>
      <c r="CT71" s="632"/>
      <c r="CU71" s="632"/>
      <c r="CV71" s="632"/>
      <c r="CW71" s="632"/>
      <c r="CX71" s="632"/>
      <c r="CY71" s="1522"/>
      <c r="CZ71" s="632"/>
      <c r="DA71" s="632"/>
      <c r="DB71" s="632"/>
      <c r="DC71" s="632"/>
      <c r="DD71" s="632"/>
      <c r="DE71" s="1522"/>
      <c r="DF71" s="632"/>
      <c r="DG71" s="632"/>
      <c r="DH71" s="632"/>
      <c r="DI71" s="632"/>
      <c r="DJ71" s="632"/>
      <c r="DK71" s="1522"/>
      <c r="DL71" s="147"/>
      <c r="DM71" s="1810"/>
      <c r="DN71" s="632"/>
      <c r="DO71" s="632">
        <f>DO68/DO$90</f>
        <v>2.8333333333333332E-2</v>
      </c>
      <c r="DP71" s="632">
        <f>DP68/DP$90</f>
        <v>2.6234567901234566E-2</v>
      </c>
      <c r="DQ71" s="1522"/>
      <c r="DR71" s="147"/>
      <c r="DS71" s="1810">
        <f>DS68/DS$90</f>
        <v>2.734375E-2</v>
      </c>
      <c r="DT71" s="632">
        <f>DT68/DT$90</f>
        <v>2.3636363636363636E-2</v>
      </c>
      <c r="DU71" s="632">
        <f>DU68/DU$90</f>
        <v>3.2719836400817999E-2</v>
      </c>
      <c r="DV71" s="632">
        <f>DV68/DV$90</f>
        <v>3.1315240083507306E-2</v>
      </c>
      <c r="DW71" s="1096"/>
      <c r="DX71" s="147"/>
      <c r="DY71" s="632">
        <f>DY68/DY$90</f>
        <v>2.2587268993839837E-2</v>
      </c>
      <c r="DZ71" s="632">
        <f>DZ68/DZ$90</f>
        <v>2.3856858846918488E-2</v>
      </c>
      <c r="EA71" s="632">
        <f>EA68/EA$90</f>
        <v>2.5193798449612403E-2</v>
      </c>
      <c r="EB71" s="632">
        <f>EB68/EB$90</f>
        <v>2.1660649819494584E-2</v>
      </c>
      <c r="EC71" s="1096"/>
      <c r="ED71" s="147"/>
      <c r="EE71" s="147"/>
      <c r="EF71" s="147"/>
      <c r="EG71" s="147"/>
      <c r="EH71" s="147"/>
      <c r="EI71" s="1096"/>
      <c r="EJ71" s="147"/>
      <c r="EK71" s="147"/>
      <c r="EL71" s="147"/>
      <c r="EM71" s="147"/>
      <c r="EN71" s="147"/>
      <c r="EO71" s="1096"/>
      <c r="EP71" s="147"/>
      <c r="EQ71" s="147"/>
      <c r="ER71" s="147"/>
      <c r="ES71" s="147"/>
      <c r="ET71" s="147"/>
      <c r="EU71" s="1096"/>
    </row>
    <row r="72" spans="1:196" ht="12.75" customHeight="1">
      <c r="A72" s="267" t="s">
        <v>5580</v>
      </c>
      <c r="B72" s="875"/>
      <c r="C72" s="875"/>
      <c r="D72" s="875"/>
      <c r="E72" s="875"/>
      <c r="F72" s="875"/>
      <c r="G72" s="875"/>
      <c r="H72" s="875"/>
      <c r="I72" s="875"/>
      <c r="J72" s="875"/>
      <c r="K72" s="875"/>
      <c r="L72" s="875"/>
      <c r="M72" s="875"/>
      <c r="N72" s="875"/>
      <c r="O72" s="875"/>
      <c r="P72" s="875"/>
      <c r="Q72" s="875"/>
      <c r="R72" s="875"/>
      <c r="S72" s="1549"/>
      <c r="T72" s="1549"/>
      <c r="U72" s="1549"/>
      <c r="V72" s="1549"/>
      <c r="W72" s="1549"/>
      <c r="X72" s="1549"/>
      <c r="Y72" s="1549"/>
      <c r="Z72" s="1549"/>
      <c r="AA72" s="1549"/>
      <c r="AB72" s="1549"/>
      <c r="AC72" s="1549"/>
      <c r="AD72" s="1549"/>
      <c r="AE72" s="1549"/>
      <c r="AF72" s="875"/>
      <c r="AG72" s="1549"/>
      <c r="AH72" s="1549"/>
      <c r="AI72" s="1549"/>
      <c r="AJ72" s="1549"/>
      <c r="AK72" s="1549"/>
      <c r="AL72" s="875"/>
      <c r="AM72" s="1549"/>
      <c r="AN72" s="1549"/>
      <c r="AO72" s="1549"/>
      <c r="AP72" s="1549"/>
      <c r="AQ72" s="1549"/>
      <c r="AR72" s="980"/>
      <c r="AS72" s="1549"/>
      <c r="AT72" s="1549"/>
      <c r="AU72" s="1549"/>
      <c r="AV72" s="1549"/>
      <c r="AW72" s="1549"/>
      <c r="AX72" s="875"/>
      <c r="AY72" s="1549"/>
      <c r="AZ72" s="1549"/>
      <c r="BA72" s="1549"/>
      <c r="BB72" s="1549"/>
      <c r="BC72" s="1549"/>
      <c r="BD72" s="875"/>
      <c r="BE72" s="1549"/>
      <c r="BF72" s="1549"/>
      <c r="BG72" s="1549"/>
      <c r="BH72" s="1549"/>
      <c r="BI72" s="1549"/>
      <c r="BJ72" s="875"/>
      <c r="BK72" s="893">
        <v>88</v>
      </c>
      <c r="BL72" s="893">
        <v>90</v>
      </c>
      <c r="BM72" s="893">
        <v>93</v>
      </c>
      <c r="BN72" s="893">
        <v>112</v>
      </c>
      <c r="BO72" s="1348">
        <f>SUM(BK72:BN72)</f>
        <v>383</v>
      </c>
      <c r="BP72" s="875"/>
      <c r="BQ72" s="980">
        <v>100</v>
      </c>
      <c r="BR72" s="980">
        <v>119</v>
      </c>
      <c r="BS72" s="980">
        <v>124</v>
      </c>
      <c r="BT72" s="980">
        <v>137</v>
      </c>
      <c r="BU72" s="1107">
        <f>SUM(BQ72:BT72)</f>
        <v>480</v>
      </c>
      <c r="BV72" s="147"/>
      <c r="BW72" s="980">
        <v>155</v>
      </c>
      <c r="BX72" s="980">
        <v>176</v>
      </c>
      <c r="BY72" s="980">
        <v>164</v>
      </c>
      <c r="BZ72" s="980">
        <v>146</v>
      </c>
      <c r="CA72" s="1348">
        <v>641.4</v>
      </c>
      <c r="CB72" s="875"/>
      <c r="CC72" s="980">
        <v>128</v>
      </c>
      <c r="CD72" s="980">
        <v>123</v>
      </c>
      <c r="CE72" s="980">
        <v>125</v>
      </c>
      <c r="CF72" s="1502">
        <v>137</v>
      </c>
      <c r="CG72" s="1523">
        <f>SUM(CC72:CF72)</f>
        <v>513</v>
      </c>
      <c r="CH72" s="147"/>
      <c r="CI72" s="980">
        <v>137</v>
      </c>
      <c r="CJ72" s="893">
        <v>133.1</v>
      </c>
      <c r="CK72" s="980">
        <v>136</v>
      </c>
      <c r="CL72" s="980">
        <v>162</v>
      </c>
      <c r="CM72" s="1523">
        <f>SUM(CI72:CL72)</f>
        <v>568.1</v>
      </c>
      <c r="CN72" s="147"/>
      <c r="CO72" s="980">
        <v>141</v>
      </c>
      <c r="CP72" s="893">
        <v>158</v>
      </c>
      <c r="CQ72" s="893">
        <v>152</v>
      </c>
      <c r="CR72" s="980">
        <v>175</v>
      </c>
      <c r="CS72" s="1523">
        <f>SUM(CO72:CR72)</f>
        <v>626</v>
      </c>
      <c r="CT72" s="142"/>
      <c r="CU72" s="980">
        <v>166</v>
      </c>
      <c r="CV72" s="980">
        <v>163</v>
      </c>
      <c r="CW72" s="980">
        <v>165</v>
      </c>
      <c r="CX72" s="980">
        <v>208</v>
      </c>
      <c r="CY72" s="1523">
        <f>SUM(CU72:CX72)</f>
        <v>702</v>
      </c>
      <c r="CZ72" s="142"/>
      <c r="DA72" s="980">
        <v>172</v>
      </c>
      <c r="DB72" s="980">
        <v>177</v>
      </c>
      <c r="DC72" s="980">
        <v>186</v>
      </c>
      <c r="DD72" s="980">
        <v>196</v>
      </c>
      <c r="DE72" s="1523">
        <f>SUM(DA72:DD72)</f>
        <v>731</v>
      </c>
      <c r="DF72" s="142"/>
      <c r="DG72" s="980">
        <v>196</v>
      </c>
      <c r="DH72" s="980">
        <v>218</v>
      </c>
      <c r="DI72" s="980">
        <v>217</v>
      </c>
      <c r="DJ72" s="980">
        <v>242</v>
      </c>
      <c r="DK72" s="1523">
        <f>SUM(DG72:DJ72)</f>
        <v>873</v>
      </c>
      <c r="DL72" s="147"/>
      <c r="DM72" s="1812">
        <v>237</v>
      </c>
      <c r="DN72" s="980">
        <v>233</v>
      </c>
      <c r="DO72" s="980">
        <v>225</v>
      </c>
      <c r="DP72" s="980">
        <v>254</v>
      </c>
      <c r="DQ72" s="1523">
        <f>SUM(DM72:DP72)</f>
        <v>949</v>
      </c>
      <c r="DR72" s="147"/>
      <c r="DS72" s="1812">
        <v>219</v>
      </c>
      <c r="DT72" s="980">
        <v>253</v>
      </c>
      <c r="DU72" s="141">
        <v>212</v>
      </c>
      <c r="DV72" s="141">
        <v>197</v>
      </c>
      <c r="DW72" s="1096"/>
      <c r="DX72" s="147"/>
      <c r="DY72" s="141">
        <v>205</v>
      </c>
      <c r="DZ72" s="980">
        <v>209</v>
      </c>
      <c r="EA72" s="141">
        <v>215</v>
      </c>
      <c r="EB72" s="141">
        <v>238</v>
      </c>
      <c r="EC72" s="1096"/>
      <c r="ED72" s="147"/>
      <c r="EE72" s="147"/>
      <c r="EF72" s="147"/>
      <c r="EG72" s="147"/>
      <c r="EH72" s="147"/>
      <c r="EI72" s="1096"/>
      <c r="EJ72" s="147"/>
      <c r="EK72" s="147"/>
      <c r="EL72" s="147"/>
      <c r="EM72" s="147"/>
      <c r="EN72" s="147"/>
      <c r="EO72" s="1096"/>
      <c r="EP72" s="147"/>
      <c r="EQ72" s="147"/>
      <c r="ER72" s="147"/>
      <c r="ES72" s="147"/>
      <c r="ET72" s="147"/>
      <c r="EU72" s="1096"/>
    </row>
    <row r="73" spans="1:196" ht="12.75" customHeight="1">
      <c r="A73" s="266" t="s">
        <v>345</v>
      </c>
      <c r="B73" s="875"/>
      <c r="C73" s="875"/>
      <c r="D73" s="875"/>
      <c r="E73" s="875"/>
      <c r="F73" s="875"/>
      <c r="G73" s="875"/>
      <c r="H73" s="875"/>
      <c r="I73" s="875"/>
      <c r="J73" s="875"/>
      <c r="K73" s="875"/>
      <c r="L73" s="875"/>
      <c r="M73" s="875"/>
      <c r="N73" s="875"/>
      <c r="O73" s="632" t="str">
        <f>IF(I72&lt;&gt;"",O72/I72-1,"-")</f>
        <v>-</v>
      </c>
      <c r="P73" s="632" t="str">
        <f>IF(J72&lt;&gt;"",P72/J72-1,"-")</f>
        <v>-</v>
      </c>
      <c r="Q73" s="632" t="str">
        <f>IF(K72&lt;&gt;"",Q72/K72-1,"-")</f>
        <v>-</v>
      </c>
      <c r="R73" s="632" t="str">
        <f>IF(L72&lt;&gt;"",R72/L72-1,"-")</f>
        <v>-</v>
      </c>
      <c r="S73" s="632"/>
      <c r="T73" s="1549"/>
      <c r="U73" s="632" t="str">
        <f>IF(O72&lt;&gt;"",U72/O72-1,"-")</f>
        <v>-</v>
      </c>
      <c r="V73" s="632" t="str">
        <f>IF(P72&lt;&gt;"",V72/P72-1,"-")</f>
        <v>-</v>
      </c>
      <c r="W73" s="632" t="str">
        <f>IF(Q72&lt;&gt;"",W72/Q72-1,"-")</f>
        <v>-</v>
      </c>
      <c r="X73" s="632" t="str">
        <f>IF(R72&lt;&gt;"",X72/R72-1,"-")</f>
        <v>-</v>
      </c>
      <c r="Y73" s="632"/>
      <c r="Z73" s="1549"/>
      <c r="AA73" s="632" t="str">
        <f>IF(U72&lt;&gt;"",AA72/U72-1,"-")</f>
        <v>-</v>
      </c>
      <c r="AB73" s="632" t="str">
        <f>IF(V72&lt;&gt;"",AB72/V72-1,"-")</f>
        <v>-</v>
      </c>
      <c r="AC73" s="632" t="str">
        <f>IF(W72&lt;&gt;"",AC72/W72-1,"-")</f>
        <v>-</v>
      </c>
      <c r="AD73" s="632" t="str">
        <f>IF(X72&lt;&gt;"",AD72/X72-1,"-")</f>
        <v>-</v>
      </c>
      <c r="AE73" s="632"/>
      <c r="AF73" s="875"/>
      <c r="AG73" s="632" t="str">
        <f>IF(AA72&lt;&gt;"",AG72/AA72-1,"-")</f>
        <v>-</v>
      </c>
      <c r="AH73" s="632" t="str">
        <f>IF(AB72&lt;&gt;"",AH72/AB72-1,"-")</f>
        <v>-</v>
      </c>
      <c r="AI73" s="632" t="str">
        <f>IF(AC72&lt;&gt;"",AI72/AC72-1,"-")</f>
        <v>-</v>
      </c>
      <c r="AJ73" s="632" t="str">
        <f>IF(AD72&lt;&gt;"",AJ72/AD72-1,"-")</f>
        <v>-</v>
      </c>
      <c r="AK73" s="632"/>
      <c r="AL73" s="875"/>
      <c r="AM73" s="632" t="str">
        <f>IF(AG72&lt;&gt;"",AM72/AG72-1,"-")</f>
        <v>-</v>
      </c>
      <c r="AN73" s="632" t="str">
        <f>IF(AH72&lt;&gt;"",AN72/AH72-1,"-")</f>
        <v>-</v>
      </c>
      <c r="AO73" s="632" t="str">
        <f>IF(AI72&lt;&gt;"",AO72/AI72-1,"-")</f>
        <v>-</v>
      </c>
      <c r="AP73" s="632" t="str">
        <f>IF(AJ72&lt;&gt;"",AP72/AJ72-1,"-")</f>
        <v>-</v>
      </c>
      <c r="AQ73" s="632"/>
      <c r="AR73" s="980"/>
      <c r="AS73" s="632" t="str">
        <f>IF(AM72&lt;&gt;"",AS72/AM72-1,"-")</f>
        <v>-</v>
      </c>
      <c r="AT73" s="632" t="str">
        <f>IF(AN72&lt;&gt;"",AT72/AN72-1,"-")</f>
        <v>-</v>
      </c>
      <c r="AU73" s="632" t="str">
        <f>IF(AO72&lt;&gt;"",AU72/AO72-1,"-")</f>
        <v>-</v>
      </c>
      <c r="AV73" s="632" t="str">
        <f>IF(AP72&lt;&gt;"",AV72/AP72-1,"-")</f>
        <v>-</v>
      </c>
      <c r="AW73" s="632"/>
      <c r="AX73" s="875"/>
      <c r="AY73" s="632" t="str">
        <f>IF(AS72&lt;&gt;"",AY72/AS72-1,"-")</f>
        <v>-</v>
      </c>
      <c r="AZ73" s="632" t="str">
        <f>IF(AT72&lt;&gt;"",AZ72/AT72-1,"-")</f>
        <v>-</v>
      </c>
      <c r="BA73" s="632" t="str">
        <f>IF(AU72&lt;&gt;"",BA72/AU72-1,"-")</f>
        <v>-</v>
      </c>
      <c r="BB73" s="632" t="str">
        <f>IF(AV72&lt;&gt;"",BB72/AV72-1,"-")</f>
        <v>-</v>
      </c>
      <c r="BC73" s="632"/>
      <c r="BD73" s="875"/>
      <c r="BE73" s="632" t="str">
        <f>IF(AY72&lt;&gt;"",BE72/AY72-1,"-")</f>
        <v>-</v>
      </c>
      <c r="BF73" s="632" t="str">
        <f>IF(AZ72&lt;&gt;"",BF72/AZ72-1,"-")</f>
        <v>-</v>
      </c>
      <c r="BG73" s="632" t="str">
        <f>IF(BA72&lt;&gt;"",BG72/BA72-1,"-")</f>
        <v>-</v>
      </c>
      <c r="BH73" s="632" t="str">
        <f>IF(BB72&lt;&gt;"",BH72/BB72-1,"-")</f>
        <v>-</v>
      </c>
      <c r="BI73" s="632"/>
      <c r="BJ73" s="875"/>
      <c r="BK73" s="632" t="str">
        <f>IF(BE72&lt;&gt;"",BK72/BE72-1,"-")</f>
        <v>-</v>
      </c>
      <c r="BL73" s="632" t="str">
        <f>IF(BF72&lt;&gt;"",BL72/BF72-1,"-")</f>
        <v>-</v>
      </c>
      <c r="BM73" s="632" t="str">
        <f>IF(BG72&lt;&gt;"",BM72/BG72-1,"-")</f>
        <v>-</v>
      </c>
      <c r="BN73" s="632" t="str">
        <f>IF(BH72&lt;&gt;"",BN72/BH72-1,"-")</f>
        <v>-</v>
      </c>
      <c r="BO73" s="1115" t="str">
        <f>IF(BI72&lt;&gt;"",BO72/BI72-1,"-")</f>
        <v>-</v>
      </c>
      <c r="BP73" s="875"/>
      <c r="BQ73" s="632">
        <f>IF(BK72&lt;&gt;"",BQ72/BK72-1,"-")</f>
        <v>0.13636363636363646</v>
      </c>
      <c r="BR73" s="632">
        <f>IF(BL72&lt;&gt;"",BR72/BL72-1,"-")</f>
        <v>0.32222222222222219</v>
      </c>
      <c r="BS73" s="632">
        <f>IF(BM72&lt;&gt;"",BS72/BM72-1,"-")</f>
        <v>0.33333333333333326</v>
      </c>
      <c r="BT73" s="632">
        <f>IF(BN72&lt;&gt;"",BT72/BN72-1,"-")</f>
        <v>0.22321428571428581</v>
      </c>
      <c r="BU73" s="1115">
        <f>IF(BO72&lt;&gt;"",BU72/BO72-1,"-")</f>
        <v>0.25326370757180161</v>
      </c>
      <c r="BV73" s="147"/>
      <c r="BW73" s="632">
        <f>IF(BQ72&lt;&gt;"",BW72/BQ72-1,"-")</f>
        <v>0.55000000000000004</v>
      </c>
      <c r="BX73" s="632">
        <f>IF(BR72&lt;&gt;"",BX72/BR72-1,"-")</f>
        <v>0.47899159663865554</v>
      </c>
      <c r="BY73" s="632">
        <f>IF(BS72&lt;&gt;"",BY72/BS72-1,"-")</f>
        <v>0.32258064516129026</v>
      </c>
      <c r="BZ73" s="632">
        <f>IF(BT72&lt;&gt;"",BZ72/BT72-1,"-")</f>
        <v>6.5693430656934337E-2</v>
      </c>
      <c r="CA73" s="1115">
        <f>IF(BU72&lt;&gt;"",CA72/BU72-1,"-")</f>
        <v>0.33624999999999994</v>
      </c>
      <c r="CB73" s="875"/>
      <c r="CC73" s="632">
        <f>IF(BW72&lt;&gt;"",CC72/BW72-1,"-")</f>
        <v>-0.17419354838709677</v>
      </c>
      <c r="CD73" s="632">
        <f>IF(BX72&lt;&gt;"",CD72/BX72-1,"-")</f>
        <v>-0.30113636363636365</v>
      </c>
      <c r="CE73" s="632">
        <f>IF(BY72&lt;&gt;"",CE72/BY72-1,"-")</f>
        <v>-0.23780487804878048</v>
      </c>
      <c r="CF73" s="1503">
        <f>IF(BZ72&lt;&gt;"",CF72/BZ72-1,"-")</f>
        <v>-6.164383561643838E-2</v>
      </c>
      <c r="CG73" s="1522">
        <f>IF(CA72&lt;&gt;"",CG72/CA72-1,"-")</f>
        <v>-0.20018709073900842</v>
      </c>
      <c r="CH73" s="147"/>
      <c r="CI73" s="632">
        <f>IF(CC72&lt;&gt;"",CI72/CC72-1,"-")</f>
        <v>7.03125E-2</v>
      </c>
      <c r="CJ73" s="632">
        <f>IF(CD72&lt;&gt;"",CJ72/CD72-1,"-")</f>
        <v>8.2113821138211307E-2</v>
      </c>
      <c r="CK73" s="632">
        <f>IF(CE72&lt;&gt;"",CK72/CE72-1,"-")</f>
        <v>8.8000000000000078E-2</v>
      </c>
      <c r="CL73" s="632">
        <f>IF(CF72&lt;&gt;"",CL72/CF72-1,"-")</f>
        <v>0.18248175182481763</v>
      </c>
      <c r="CM73" s="1522">
        <f>IF(CG72&lt;&gt;"",CM72/CG72-1,"-")</f>
        <v>0.1074074074074074</v>
      </c>
      <c r="CN73" s="147"/>
      <c r="CO73" s="632">
        <f>IF(CI72&lt;&gt;"",CO72/CI72-1,"-")</f>
        <v>2.9197080291970767E-2</v>
      </c>
      <c r="CP73" s="632">
        <f>IF(CJ72&lt;&gt;"",CP72/CJ72-1,"-")</f>
        <v>0.18707738542449293</v>
      </c>
      <c r="CQ73" s="632">
        <f>IF(CK72&lt;&gt;"",CQ72/CK72-1,"-")</f>
        <v>0.11764705882352944</v>
      </c>
      <c r="CR73" s="632">
        <f>IF(CL72&lt;&gt;"",CR72/CL72-1,"-")</f>
        <v>8.0246913580246826E-2</v>
      </c>
      <c r="CS73" s="1522">
        <f>IF(CM72&lt;&gt;"",CS72/CM72-1,"-")</f>
        <v>0.10191867628938556</v>
      </c>
      <c r="CT73" s="632"/>
      <c r="CU73" s="632">
        <f>IF(CO72&lt;&gt;"",CU72/CO72-1,"-")</f>
        <v>0.17730496453900702</v>
      </c>
      <c r="CV73" s="632">
        <f>IF(CP72&lt;&gt;"",CV72/CP72-1,"-")</f>
        <v>3.1645569620253111E-2</v>
      </c>
      <c r="CW73" s="632">
        <f>IF(CQ72&lt;&gt;"",CW72/CQ72-1,"-")</f>
        <v>8.5526315789473673E-2</v>
      </c>
      <c r="CX73" s="632">
        <f>IF(CR72&lt;&gt;"",CX72/CR72-1,"-")</f>
        <v>0.18857142857142861</v>
      </c>
      <c r="CY73" s="1522">
        <f>IF(CS72&lt;&gt;"",CY72/CS72-1,"-")</f>
        <v>0.12140575079872207</v>
      </c>
      <c r="CZ73" s="632"/>
      <c r="DA73" s="632">
        <f>IF(CU72&lt;&gt;"",DA72/CU72-1,"-")</f>
        <v>3.6144578313253017E-2</v>
      </c>
      <c r="DB73" s="632">
        <f>IF(CV72&lt;&gt;"",DB72/CV72-1,"-")</f>
        <v>8.5889570552147187E-2</v>
      </c>
      <c r="DC73" s="632">
        <f>IF(CW72&lt;&gt;"",DC72/CW72-1,"-")</f>
        <v>0.1272727272727272</v>
      </c>
      <c r="DD73" s="632">
        <f>IF(CX72&lt;&gt;"",DD72/CX72-1,"-")</f>
        <v>-5.7692307692307709E-2</v>
      </c>
      <c r="DE73" s="1522">
        <f>IF(CY72&lt;&gt;"",DE72/CY72-1,"-")</f>
        <v>4.1310541310541238E-2</v>
      </c>
      <c r="DF73" s="632"/>
      <c r="DG73" s="632">
        <f>IF(DA72&lt;&gt;"",DG72/DA72-1,"-")</f>
        <v>0.13953488372093026</v>
      </c>
      <c r="DH73" s="632">
        <f>IF(DB72&lt;&gt;"",DH72/DB72-1,"-")</f>
        <v>0.23163841807909602</v>
      </c>
      <c r="DI73" s="632">
        <f>IF(DC72&lt;&gt;"",DI72/DC72-1,"-")</f>
        <v>0.16666666666666674</v>
      </c>
      <c r="DJ73" s="632">
        <f>IF(DD72&lt;&gt;"",DJ72/DD72-1,"-")</f>
        <v>0.23469387755102034</v>
      </c>
      <c r="DK73" s="1522">
        <f>IF(DE72&lt;&gt;"",DK72/DE72-1,"-")</f>
        <v>0.1942544459644322</v>
      </c>
      <c r="DL73" s="147"/>
      <c r="DM73" s="1810">
        <f>IF(DG72&lt;&gt;"",DM72/DG72-1,"-")</f>
        <v>0.20918367346938771</v>
      </c>
      <c r="DN73" s="632">
        <f>IF(DH72&lt;&gt;"",DN72/DH72-1,"-")</f>
        <v>6.8807339449541205E-2</v>
      </c>
      <c r="DO73" s="632">
        <f>IF(DI72&lt;&gt;"",DO72/DI72-1,"-")</f>
        <v>3.6866359447004671E-2</v>
      </c>
      <c r="DP73" s="632">
        <f>IF(DJ72&lt;&gt;"",DP72/DJ72-1,"-")</f>
        <v>4.9586776859504189E-2</v>
      </c>
      <c r="DQ73" s="1522">
        <f>IF(DK72&lt;&gt;"",DQ72/DK72-1,"-")</f>
        <v>8.7056128293241608E-2</v>
      </c>
      <c r="DR73" s="147"/>
      <c r="DS73" s="1810">
        <f>IF(DM72&lt;&gt;"",DS72/DM72-1,"-")</f>
        <v>-7.5949367088607556E-2</v>
      </c>
      <c r="DT73" s="632">
        <f>IF(DN72&lt;&gt;"",DT72/DN72-1,"-")</f>
        <v>8.5836909871244593E-2</v>
      </c>
      <c r="DU73" s="263">
        <f>IF(DO72&lt;&gt;"",DU72/DO72-1,"-")</f>
        <v>-5.7777777777777817E-2</v>
      </c>
      <c r="DV73" s="263">
        <f>IF(DP72&lt;&gt;"",DV72/DP72-1,"-")</f>
        <v>-0.22440944881889768</v>
      </c>
      <c r="DW73" s="1096"/>
      <c r="DX73" s="147"/>
      <c r="DY73" s="263">
        <f>IF(DS72&lt;&gt;"",DY72/DS72-1,"-")</f>
        <v>-6.3926940639269403E-2</v>
      </c>
      <c r="DZ73" s="632">
        <f>IF(DT72&lt;&gt;"",DZ72/DT72-1,"-")</f>
        <v>-0.17391304347826086</v>
      </c>
      <c r="EA73" s="263">
        <f>IF(DU72&lt;&gt;"",EA72/DU72-1,"-")</f>
        <v>1.4150943396226356E-2</v>
      </c>
      <c r="EB73" s="263">
        <f>IF(DV72&lt;&gt;"",EB72/DV72-1,"-")</f>
        <v>0.20812182741116758</v>
      </c>
      <c r="EC73" s="1096"/>
      <c r="ED73" s="147"/>
      <c r="EE73" s="147"/>
      <c r="EF73" s="147"/>
      <c r="EG73" s="147"/>
      <c r="EH73" s="147"/>
      <c r="EI73" s="1096"/>
      <c r="EJ73" s="147"/>
      <c r="EK73" s="147"/>
      <c r="EL73" s="147"/>
      <c r="EM73" s="147"/>
      <c r="EN73" s="147"/>
      <c r="EO73" s="1096"/>
      <c r="EP73" s="147"/>
      <c r="EQ73" s="147"/>
      <c r="ER73" s="147"/>
      <c r="ES73" s="147"/>
      <c r="ET73" s="147"/>
      <c r="EU73" s="1096"/>
    </row>
    <row r="74" spans="1:196" ht="9" customHeight="1">
      <c r="A74" s="266" t="s">
        <v>344</v>
      </c>
      <c r="B74" s="875"/>
      <c r="C74" s="875"/>
      <c r="D74" s="875"/>
      <c r="E74" s="875"/>
      <c r="F74" s="875"/>
      <c r="G74" s="875"/>
      <c r="H74" s="875"/>
      <c r="I74" s="875"/>
      <c r="J74" s="875"/>
      <c r="K74" s="875"/>
      <c r="L74" s="875"/>
      <c r="M74" s="875"/>
      <c r="N74" s="875"/>
      <c r="O74" s="632" t="str">
        <f>IF(L72&lt;&gt;"",O72/L72-1,"-")</f>
        <v>-</v>
      </c>
      <c r="P74" s="632" t="str">
        <f>IF(O72&lt;&gt;"",P72/O72-1,"-")</f>
        <v>-</v>
      </c>
      <c r="Q74" s="632" t="str">
        <f>IF(P72&lt;&gt;"",Q72/P72-1,"-")</f>
        <v>-</v>
      </c>
      <c r="R74" s="632" t="str">
        <f>IF(Q72&lt;&gt;"",R72/Q72-1,"-")</f>
        <v>-</v>
      </c>
      <c r="S74" s="980"/>
      <c r="T74" s="1549"/>
      <c r="U74" s="632" t="str">
        <f>IF(R72&lt;&gt;"",U72/R72-1,"-")</f>
        <v>-</v>
      </c>
      <c r="V74" s="632" t="str">
        <f>IF(U72&lt;&gt;"",V72/U72-1,"-")</f>
        <v>-</v>
      </c>
      <c r="W74" s="632" t="str">
        <f>IF(V72&lt;&gt;"",W72/V72-1,"-")</f>
        <v>-</v>
      </c>
      <c r="X74" s="632" t="str">
        <f>IF(W72&lt;&gt;"",X72/W72-1,"-")</f>
        <v>-</v>
      </c>
      <c r="Y74" s="980"/>
      <c r="Z74" s="1549"/>
      <c r="AA74" s="632" t="str">
        <f>IF(X72&lt;&gt;"",AA72/X72-1,"-")</f>
        <v>-</v>
      </c>
      <c r="AB74" s="632" t="str">
        <f>IF(AA72&lt;&gt;"",AB72/AA72-1,"-")</f>
        <v>-</v>
      </c>
      <c r="AC74" s="632" t="str">
        <f>IF(AB72&lt;&gt;"",AC72/AB72-1,"-")</f>
        <v>-</v>
      </c>
      <c r="AD74" s="632" t="str">
        <f>IF(AC72&lt;&gt;"",AD72/AC72-1,"-")</f>
        <v>-</v>
      </c>
      <c r="AE74" s="980"/>
      <c r="AF74" s="875"/>
      <c r="AG74" s="632" t="str">
        <f>IF(AD72&lt;&gt;"",AG72/AD72-1,"-")</f>
        <v>-</v>
      </c>
      <c r="AH74" s="632" t="str">
        <f>IF(AG72&lt;&gt;"",AH72/AG72-1,"-")</f>
        <v>-</v>
      </c>
      <c r="AI74" s="632" t="str">
        <f>IF(AH72&lt;&gt;"",AI72/AH72-1,"-")</f>
        <v>-</v>
      </c>
      <c r="AJ74" s="632" t="str">
        <f>IF(AI72&lt;&gt;"",AJ72/AI72-1,"-")</f>
        <v>-</v>
      </c>
      <c r="AK74" s="980"/>
      <c r="AL74" s="875"/>
      <c r="AM74" s="632" t="str">
        <f>IF(AJ72&lt;&gt;"",AM72/AJ72-1,"-")</f>
        <v>-</v>
      </c>
      <c r="AN74" s="632" t="str">
        <f>IF(AM72&lt;&gt;"",AN72/AM72-1,"-")</f>
        <v>-</v>
      </c>
      <c r="AO74" s="632" t="str">
        <f>IF(AN72&lt;&gt;"",AO72/AN72-1,"-")</f>
        <v>-</v>
      </c>
      <c r="AP74" s="632" t="str">
        <f>IF(AO72&lt;&gt;"",AP72/AO72-1,"-")</f>
        <v>-</v>
      </c>
      <c r="AQ74" s="980"/>
      <c r="AR74" s="980"/>
      <c r="AS74" s="632" t="str">
        <f>IF(AP72&lt;&gt;"",AS72/AP72-1,"-")</f>
        <v>-</v>
      </c>
      <c r="AT74" s="632" t="str">
        <f>IF(AS72&lt;&gt;"",AT72/AS72-1,"-")</f>
        <v>-</v>
      </c>
      <c r="AU74" s="632" t="str">
        <f>IF(AT72&lt;&gt;"",AU72/AT72-1,"-")</f>
        <v>-</v>
      </c>
      <c r="AV74" s="632" t="str">
        <f>IF(AU72&lt;&gt;"",AV72/AU72-1,"-")</f>
        <v>-</v>
      </c>
      <c r="AW74" s="980"/>
      <c r="AX74" s="875"/>
      <c r="AY74" s="632" t="str">
        <f>IF(AV72&lt;&gt;"",AY72/AV72-1,"-")</f>
        <v>-</v>
      </c>
      <c r="AZ74" s="632" t="str">
        <f>IF(AY72&lt;&gt;"",AZ72/AY72-1,"-")</f>
        <v>-</v>
      </c>
      <c r="BA74" s="632" t="str">
        <f>IF(AZ72&lt;&gt;"",BA72/AZ72-1,"-")</f>
        <v>-</v>
      </c>
      <c r="BB74" s="632" t="str">
        <f>IF(BA72&lt;&gt;"",BB72/BA72-1,"-")</f>
        <v>-</v>
      </c>
      <c r="BC74" s="980"/>
      <c r="BD74" s="875"/>
      <c r="BE74" s="632" t="str">
        <f>IF(BB72&lt;&gt;"",BE72/BB72-1,"-")</f>
        <v>-</v>
      </c>
      <c r="BF74" s="632" t="str">
        <f>IF(BE72&lt;&gt;"",BF72/BE72-1,"-")</f>
        <v>-</v>
      </c>
      <c r="BG74" s="632" t="str">
        <f>IF(BF72&lt;&gt;"",BG72/BF72-1,"-")</f>
        <v>-</v>
      </c>
      <c r="BH74" s="632" t="str">
        <f>IF(BG72&lt;&gt;"",BH72/BG72-1,"-")</f>
        <v>-</v>
      </c>
      <c r="BI74" s="980"/>
      <c r="BJ74" s="875"/>
      <c r="BK74" s="632" t="str">
        <f>IF(BH72&lt;&gt;"",BK72/BH72-1,"-")</f>
        <v>-</v>
      </c>
      <c r="BL74" s="632">
        <f>IF(BK72&lt;&gt;"",BL72/BK72-1,"-")</f>
        <v>2.2727272727272707E-2</v>
      </c>
      <c r="BM74" s="632">
        <f>IF(BL72&lt;&gt;"",BM72/BL72-1,"-")</f>
        <v>3.3333333333333437E-2</v>
      </c>
      <c r="BN74" s="632">
        <f>IF(BM72&lt;&gt;"",BN72/BM72-1,"-")</f>
        <v>0.20430107526881724</v>
      </c>
      <c r="BO74" s="1116" t="s">
        <v>6442</v>
      </c>
      <c r="BP74" s="875"/>
      <c r="BQ74" s="632">
        <f>IF(BN72&lt;&gt;"",BQ72/BN72-1,"-")</f>
        <v>-0.1071428571428571</v>
      </c>
      <c r="BR74" s="632">
        <f>IF(BQ72&lt;&gt;"",BR72/BQ72-1,"-")</f>
        <v>0.18999999999999995</v>
      </c>
      <c r="BS74" s="632">
        <f>IF(BR72&lt;&gt;"",BS72/BR72-1,"-")</f>
        <v>4.2016806722689148E-2</v>
      </c>
      <c r="BT74" s="632">
        <f>IF(BS72&lt;&gt;"",BT72/BS72-1,"-")</f>
        <v>0.10483870967741926</v>
      </c>
      <c r="BU74" s="1116" t="s">
        <v>6442</v>
      </c>
      <c r="BV74" s="147"/>
      <c r="BW74" s="632">
        <f>IF(BT72&lt;&gt;"",BW72/BT72-1,"-")</f>
        <v>0.13138686131386867</v>
      </c>
      <c r="BX74" s="632">
        <f>IF(BU72&lt;&gt;"",BX72/BU72-1,"-")</f>
        <v>-0.6333333333333333</v>
      </c>
      <c r="BY74" s="263">
        <f>IF(BX72&lt;&gt;"",BY72/BX72-1,"-")</f>
        <v>-6.8181818181818232E-2</v>
      </c>
      <c r="BZ74" s="632">
        <f>IF(BW72&lt;&gt;"",BZ72/BW72-1,"-")</f>
        <v>-5.8064516129032295E-2</v>
      </c>
      <c r="CA74" s="1116" t="s">
        <v>6442</v>
      </c>
      <c r="CB74" s="875"/>
      <c r="CC74" s="632">
        <f>IF(BZ72&lt;&gt;"",CC72/BZ72-1,"-")</f>
        <v>-0.12328767123287676</v>
      </c>
      <c r="CD74" s="632">
        <f>IF(CC72&lt;&gt;"",CD72/CC72-1,"-")</f>
        <v>-3.90625E-2</v>
      </c>
      <c r="CE74" s="632">
        <f>IF(CD72&lt;&gt;"",CE72/CD72-1,"-")</f>
        <v>1.6260162601626105E-2</v>
      </c>
      <c r="CF74" s="1503">
        <f>IF(CE72&lt;&gt;"",CF72/CE72-1,"-")</f>
        <v>9.6000000000000085E-2</v>
      </c>
      <c r="CG74" s="1521" t="s">
        <v>6442</v>
      </c>
      <c r="CH74" s="147"/>
      <c r="CI74" s="632">
        <f>IF(CF72&lt;&gt;"",CI72/CF72-1,"-")</f>
        <v>0</v>
      </c>
      <c r="CJ74" s="632">
        <f>IF(CI72&lt;&gt;"",CJ72/CI72-1,"-")</f>
        <v>-2.8467153284671531E-2</v>
      </c>
      <c r="CK74" s="632">
        <f>IF(CJ72&lt;&gt;"",CK72/CJ72-1,"-")</f>
        <v>2.1788129226145703E-2</v>
      </c>
      <c r="CL74" s="632">
        <f>IF(CK72&lt;&gt;"",CL72/CK72-1,"-")</f>
        <v>0.19117647058823528</v>
      </c>
      <c r="CM74" s="1521" t="s">
        <v>6442</v>
      </c>
      <c r="CN74" s="147"/>
      <c r="CO74" s="632">
        <f>IF(CL72&lt;&gt;"",CO72/CL72-1,"-")</f>
        <v>-0.12962962962962965</v>
      </c>
      <c r="CP74" s="263">
        <f>IF(CO72&lt;&gt;"",CP72/CO72-1,"-")</f>
        <v>0.12056737588652489</v>
      </c>
      <c r="CQ74" s="263">
        <f>IF(CP72&lt;&gt;"",CQ72/CP72-1,"-")</f>
        <v>-3.7974683544303778E-2</v>
      </c>
      <c r="CR74" s="263">
        <f>IF(CQ72&lt;&gt;"",CR72/CQ72-1,"-")</f>
        <v>0.15131578947368429</v>
      </c>
      <c r="CS74" s="1521" t="s">
        <v>6442</v>
      </c>
      <c r="CT74" s="980"/>
      <c r="CU74" s="632">
        <f>IF(CR72&lt;&gt;"",CU72/CR72-1,"-")</f>
        <v>-5.1428571428571379E-2</v>
      </c>
      <c r="CV74" s="632">
        <f>IF(CU72&lt;&gt;"",CV72/CU72-1,"-")</f>
        <v>-1.8072289156626509E-2</v>
      </c>
      <c r="CW74" s="632">
        <f>IF(CV72&lt;&gt;"",CW72/CV72-1,"-")</f>
        <v>1.2269938650306678E-2</v>
      </c>
      <c r="CX74" s="263">
        <f>IF(CW72&lt;&gt;"",CX72/CW72-1,"-")</f>
        <v>0.26060606060606051</v>
      </c>
      <c r="CY74" s="1521" t="s">
        <v>6442</v>
      </c>
      <c r="CZ74" s="980"/>
      <c r="DA74" s="263">
        <f>IF(CX72&lt;&gt;"",DA72/CX72-1,"-")</f>
        <v>-0.17307692307692313</v>
      </c>
      <c r="DB74" s="263">
        <f>IF(DA72&lt;&gt;"",DB72/DA72-1,"-")</f>
        <v>2.9069767441860517E-2</v>
      </c>
      <c r="DC74" s="263">
        <f>IF(DB72&lt;&gt;"",DC72/DB72-1,"-")</f>
        <v>5.0847457627118731E-2</v>
      </c>
      <c r="DD74" s="263">
        <f>IF(DC72&lt;&gt;"",DD72/DC72-1,"-")</f>
        <v>5.3763440860215006E-2</v>
      </c>
      <c r="DE74" s="1521" t="s">
        <v>6442</v>
      </c>
      <c r="DF74" s="980"/>
      <c r="DG74" s="263">
        <f>IF(DD72&lt;&gt;"",DG72/DD72-1,"-")</f>
        <v>0</v>
      </c>
      <c r="DH74" s="263">
        <f>IF(DG72&lt;&gt;"",DH72/DG72-1,"-")</f>
        <v>0.11224489795918369</v>
      </c>
      <c r="DI74" s="263">
        <f>IF(DH72&lt;&gt;"",DI72/DH72-1,"-")</f>
        <v>-4.5871559633027248E-3</v>
      </c>
      <c r="DJ74" s="263">
        <f>IF(DI72&lt;&gt;"",DJ72/DI72-1,"-")</f>
        <v>0.11520737327188946</v>
      </c>
      <c r="DK74" s="1521" t="s">
        <v>6442</v>
      </c>
      <c r="DL74" s="147"/>
      <c r="DM74" s="1810">
        <f>IF(DJ72&lt;&gt;"",DM72/DJ72-1,"-")</f>
        <v>-2.0661157024793431E-2</v>
      </c>
      <c r="DN74" s="263">
        <f>IF(DM72&lt;&gt;"",DN72/DM72-1,"-")</f>
        <v>-1.6877637130801704E-2</v>
      </c>
      <c r="DO74" s="263">
        <f>IF(DN72&lt;&gt;"",DO72/DN72-1,"-")</f>
        <v>-3.4334763948497882E-2</v>
      </c>
      <c r="DP74" s="263">
        <f>IF(DO72&lt;&gt;"",DP72/DO72-1,"-")</f>
        <v>0.12888888888888883</v>
      </c>
      <c r="DQ74" s="1521" t="s">
        <v>6442</v>
      </c>
      <c r="DR74" s="147"/>
      <c r="DS74" s="1810">
        <f>IF(DP72&lt;&gt;"",DS72/DP72-1,"-")</f>
        <v>-0.13779527559055116</v>
      </c>
      <c r="DT74" s="263">
        <f>IF(DS72&lt;&gt;"",DT72/DS72-1,"-")</f>
        <v>0.15525114155251152</v>
      </c>
      <c r="DU74" s="263">
        <f>IF(DT72&lt;&gt;"",DU72/DT72-1,"-")</f>
        <v>-0.1620553359683794</v>
      </c>
      <c r="DV74" s="263">
        <f>IF(DU72&lt;&gt;"",DV72/DU72-1,"-")</f>
        <v>-7.0754716981132115E-2</v>
      </c>
      <c r="DW74" s="1096"/>
      <c r="DX74" s="147"/>
      <c r="DY74" s="1810">
        <f>IF(DV72&lt;&gt;"",DY72/DV72-1,"-")</f>
        <v>4.0609137055837463E-2</v>
      </c>
      <c r="DZ74" s="263">
        <f>IF(DY72&lt;&gt;"",DZ72/DY72-1,"-")</f>
        <v>1.9512195121951237E-2</v>
      </c>
      <c r="EA74" s="263">
        <f>IF(DZ72&lt;&gt;"",EA72/DZ72-1,"-")</f>
        <v>2.8708133971291794E-2</v>
      </c>
      <c r="EB74" s="263">
        <f>IF(EA72&lt;&gt;"",EB72/EA72-1,"-")</f>
        <v>0.10697674418604652</v>
      </c>
      <c r="EC74" s="1096"/>
      <c r="ED74" s="147"/>
      <c r="EE74" s="147"/>
      <c r="EF74" s="147"/>
      <c r="EG74" s="147"/>
      <c r="EH74" s="147"/>
      <c r="EI74" s="1096"/>
      <c r="EJ74" s="147"/>
      <c r="EK74" s="147"/>
      <c r="EL74" s="147"/>
      <c r="EM74" s="147"/>
      <c r="EN74" s="147"/>
      <c r="EO74" s="1096"/>
      <c r="EP74" s="147"/>
      <c r="EQ74" s="147"/>
      <c r="ER74" s="147"/>
      <c r="ES74" s="147"/>
      <c r="ET74" s="147"/>
      <c r="EU74" s="1096"/>
    </row>
    <row r="75" spans="1:196" ht="12.75" customHeight="1">
      <c r="A75" s="266" t="s">
        <v>5579</v>
      </c>
      <c r="B75" s="875"/>
      <c r="C75" s="875"/>
      <c r="D75" s="875"/>
      <c r="E75" s="875"/>
      <c r="F75" s="875"/>
      <c r="G75" s="875"/>
      <c r="H75" s="875"/>
      <c r="I75" s="875"/>
      <c r="J75" s="875"/>
      <c r="K75" s="875"/>
      <c r="L75" s="875"/>
      <c r="M75" s="875"/>
      <c r="N75" s="875"/>
      <c r="O75" s="632"/>
      <c r="P75" s="632"/>
      <c r="Q75" s="632"/>
      <c r="R75" s="632"/>
      <c r="S75" s="980"/>
      <c r="T75" s="1549"/>
      <c r="U75" s="632"/>
      <c r="V75" s="632"/>
      <c r="W75" s="632"/>
      <c r="X75" s="632"/>
      <c r="Y75" s="980"/>
      <c r="Z75" s="1549"/>
      <c r="AA75" s="632"/>
      <c r="AB75" s="632"/>
      <c r="AC75" s="632"/>
      <c r="AD75" s="632"/>
      <c r="AE75" s="980"/>
      <c r="AF75" s="875"/>
      <c r="AG75" s="632"/>
      <c r="AH75" s="632"/>
      <c r="AI75" s="632"/>
      <c r="AJ75" s="632"/>
      <c r="AK75" s="980"/>
      <c r="AL75" s="875"/>
      <c r="AM75" s="632"/>
      <c r="AN75" s="632"/>
      <c r="AO75" s="632"/>
      <c r="AP75" s="632"/>
      <c r="AQ75" s="980"/>
      <c r="AR75" s="980"/>
      <c r="AS75" s="632"/>
      <c r="AT75" s="632"/>
      <c r="AU75" s="632"/>
      <c r="AV75" s="632"/>
      <c r="AW75" s="980"/>
      <c r="AX75" s="875"/>
      <c r="AY75" s="632"/>
      <c r="AZ75" s="632"/>
      <c r="BA75" s="632"/>
      <c r="BB75" s="632"/>
      <c r="BC75" s="980"/>
      <c r="BD75" s="875"/>
      <c r="BE75" s="632"/>
      <c r="BF75" s="632"/>
      <c r="BG75" s="632"/>
      <c r="BH75" s="632"/>
      <c r="BI75" s="980"/>
      <c r="BJ75" s="875"/>
      <c r="BK75" s="632">
        <f>BK72/BK$90</f>
        <v>0.20183486238532111</v>
      </c>
      <c r="BL75" s="632">
        <f>BL72/BL$90</f>
        <v>0.20017793594306049</v>
      </c>
      <c r="BM75" s="632">
        <f>BM72/BM$90</f>
        <v>0.20350109409190373</v>
      </c>
      <c r="BN75" s="632">
        <f>BN72/BN$90</f>
        <v>0.22535211267605634</v>
      </c>
      <c r="BO75" s="1115">
        <f>BO72/BO$90</f>
        <v>0.2081974342248315</v>
      </c>
      <c r="BP75" s="875"/>
      <c r="BQ75" s="632">
        <f>BQ72/BQ$90</f>
        <v>0.19661816751867872</v>
      </c>
      <c r="BR75" s="632">
        <f>BR72/BR$90</f>
        <v>0.22627876022057422</v>
      </c>
      <c r="BS75" s="632">
        <f>BS72/BS$90</f>
        <v>0.23005565862708721</v>
      </c>
      <c r="BT75" s="632">
        <f>BT72/BT$90</f>
        <v>0.22871452420701169</v>
      </c>
      <c r="BU75" s="1115">
        <f>BU72/BU$90</f>
        <v>0.22094361334867663</v>
      </c>
      <c r="BV75" s="147"/>
      <c r="BW75" s="632">
        <f>BW72/BW$90</f>
        <v>0.25885103540414162</v>
      </c>
      <c r="BX75" s="632">
        <f>BX72/BX$90</f>
        <v>0.28410008071025022</v>
      </c>
      <c r="BY75" s="632">
        <f>BY72/BY$90</f>
        <v>0.27013671553286112</v>
      </c>
      <c r="BZ75" s="632">
        <f>BZ72/BZ$90</f>
        <v>0.29808084932625561</v>
      </c>
      <c r="CA75" s="1115">
        <f>CA72/CA$90</f>
        <v>0.27703870076019343</v>
      </c>
      <c r="CB75" s="875"/>
      <c r="CC75" s="632">
        <f>CC72/CC$90</f>
        <v>0.30046948356807512</v>
      </c>
      <c r="CD75" s="632">
        <f>CD72/CD$90</f>
        <v>0.29638554216867469</v>
      </c>
      <c r="CE75" s="632">
        <f>CE72/CE$90</f>
        <v>0.29976019184652281</v>
      </c>
      <c r="CF75" s="1503">
        <f>CF72/CF$90</f>
        <v>0.30043859649122806</v>
      </c>
      <c r="CG75" s="1522">
        <f>CG72/CG$90</f>
        <v>0.29928242226241175</v>
      </c>
      <c r="CH75" s="147"/>
      <c r="CI75" s="632">
        <f>CI72/CI$90</f>
        <v>0.28842105263157897</v>
      </c>
      <c r="CJ75" s="632">
        <f>CJ72/CJ$90</f>
        <v>0.28133586979496933</v>
      </c>
      <c r="CK75" s="632">
        <f>CK72/CK$90</f>
        <v>0.28511530398322849</v>
      </c>
      <c r="CL75" s="632">
        <f>CL72/CL$90</f>
        <v>0.30681818181818182</v>
      </c>
      <c r="CM75" s="1522">
        <f>CM72/CM$90</f>
        <v>0.29212732040931766</v>
      </c>
      <c r="CN75" s="147"/>
      <c r="CO75" s="632">
        <f t="shared" ref="CO75:DE75" si="41">CO72/CO$90</f>
        <v>0.26704545454545453</v>
      </c>
      <c r="CP75" s="632">
        <f t="shared" si="41"/>
        <v>0.28884826325411334</v>
      </c>
      <c r="CQ75" s="632">
        <f t="shared" si="41"/>
        <v>0.27686703096539161</v>
      </c>
      <c r="CR75" s="632">
        <f t="shared" si="41"/>
        <v>0.29560810810810811</v>
      </c>
      <c r="CS75" s="1522">
        <f t="shared" si="41"/>
        <v>0.28249097472924189</v>
      </c>
      <c r="CT75" s="632"/>
      <c r="CU75" s="632">
        <f t="shared" si="41"/>
        <v>0.28135593220338984</v>
      </c>
      <c r="CV75" s="632">
        <f t="shared" si="41"/>
        <v>0.28646748681898065</v>
      </c>
      <c r="CW75" s="632">
        <f t="shared" si="41"/>
        <v>0.3010948905109489</v>
      </c>
      <c r="CX75" s="632">
        <f t="shared" si="41"/>
        <v>0.34266886326194401</v>
      </c>
      <c r="CY75" s="1522">
        <f t="shared" si="41"/>
        <v>0.30337078651685395</v>
      </c>
      <c r="CZ75" s="632"/>
      <c r="DA75" s="632">
        <f t="shared" si="41"/>
        <v>0.30122591943957966</v>
      </c>
      <c r="DB75" s="632">
        <f t="shared" si="41"/>
        <v>0.31550802139037432</v>
      </c>
      <c r="DC75" s="632">
        <f t="shared" si="41"/>
        <v>0.33513513513513515</v>
      </c>
      <c r="DD75" s="632">
        <f t="shared" si="41"/>
        <v>0.33390119250425893</v>
      </c>
      <c r="DE75" s="1522">
        <f t="shared" si="41"/>
        <v>0.32145998240985046</v>
      </c>
      <c r="DF75" s="632"/>
      <c r="DG75" s="632">
        <f>DG72/DG$90</f>
        <v>0.3305227655986509</v>
      </c>
      <c r="DH75" s="632">
        <f>DH72/DH$90</f>
        <v>0.34169278996865204</v>
      </c>
      <c r="DI75" s="632">
        <f>DI72/DI$90</f>
        <v>0.35113268608414239</v>
      </c>
      <c r="DJ75" s="632">
        <f>DJ72/DJ$90</f>
        <v>0.36445783132530118</v>
      </c>
      <c r="DK75" s="1522">
        <f>DK72/DK$90</f>
        <v>0.34739355352168722</v>
      </c>
      <c r="DL75" s="147"/>
      <c r="DM75" s="1810">
        <f>DM72/DM$90</f>
        <v>0.36630602782071098</v>
      </c>
      <c r="DN75" s="632">
        <f>DN72/DN$90</f>
        <v>0.38259441707717567</v>
      </c>
      <c r="DO75" s="632">
        <f>DO72/DO$90</f>
        <v>0.375</v>
      </c>
      <c r="DP75" s="632">
        <f>DP72/DP$90</f>
        <v>0.39197530864197533</v>
      </c>
      <c r="DQ75" s="1522">
        <f>DQ72/DQ$90</f>
        <v>0.3789936102236422</v>
      </c>
      <c r="DR75" s="147"/>
      <c r="DS75" s="1810">
        <f>DS72/DS$90</f>
        <v>0.427734375</v>
      </c>
      <c r="DT75" s="632">
        <f>DT72/DT$90</f>
        <v>0.46</v>
      </c>
      <c r="DU75" s="263">
        <f>DU72/DU$90</f>
        <v>0.43353783231083842</v>
      </c>
      <c r="DV75" s="263">
        <f>DV72/DV$90</f>
        <v>0.41127348643006262</v>
      </c>
      <c r="DW75" s="1096"/>
      <c r="DX75" s="147"/>
      <c r="DY75" s="263">
        <f>DY72/DY$90</f>
        <v>0.4209445585215606</v>
      </c>
      <c r="DZ75" s="632">
        <f>DZ72/DZ$90</f>
        <v>0.41550695825049699</v>
      </c>
      <c r="EA75" s="263">
        <f>EA72/EA$90</f>
        <v>0.41666666666666669</v>
      </c>
      <c r="EB75" s="263">
        <f>EB72/EB$90</f>
        <v>0.4296028880866426</v>
      </c>
      <c r="EC75" s="1096"/>
      <c r="ED75" s="147"/>
      <c r="EE75" s="147"/>
      <c r="EF75" s="147"/>
      <c r="EG75" s="147"/>
      <c r="EH75" s="147"/>
      <c r="EI75" s="1096"/>
      <c r="EJ75" s="147"/>
      <c r="EK75" s="147"/>
      <c r="EL75" s="147"/>
      <c r="EM75" s="147"/>
      <c r="EN75" s="147"/>
      <c r="EO75" s="1096"/>
      <c r="EP75" s="147"/>
      <c r="EQ75" s="147"/>
      <c r="ER75" s="147"/>
      <c r="ES75" s="147"/>
      <c r="ET75" s="147"/>
      <c r="EU75" s="1096"/>
    </row>
    <row r="76" spans="1:196" ht="12.75" customHeight="1">
      <c r="A76" s="267" t="s">
        <v>5554</v>
      </c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280"/>
      <c r="T76" s="280"/>
      <c r="U76" s="280"/>
      <c r="V76" s="280"/>
      <c r="W76" s="280"/>
      <c r="X76" s="280"/>
      <c r="Y76" s="280"/>
      <c r="Z76" s="280"/>
      <c r="AA76" s="280"/>
      <c r="AB76" s="280"/>
      <c r="AC76" s="280"/>
      <c r="AD76" s="280"/>
      <c r="AE76" s="280"/>
      <c r="AF76" s="147"/>
      <c r="AG76" s="280"/>
      <c r="AH76" s="280"/>
      <c r="AI76" s="280"/>
      <c r="AJ76" s="280"/>
      <c r="AK76" s="280"/>
      <c r="AL76" s="147"/>
      <c r="AM76" s="280"/>
      <c r="AN76" s="280"/>
      <c r="AO76" s="280"/>
      <c r="AP76" s="280"/>
      <c r="AQ76" s="280"/>
      <c r="AR76" s="141"/>
      <c r="AS76" s="280"/>
      <c r="AT76" s="280"/>
      <c r="AU76" s="280"/>
      <c r="AV76" s="280"/>
      <c r="AW76" s="280"/>
      <c r="AX76" s="147"/>
      <c r="AY76" s="280"/>
      <c r="AZ76" s="280"/>
      <c r="BA76" s="280"/>
      <c r="BB76" s="280"/>
      <c r="BC76" s="280"/>
      <c r="BD76" s="147"/>
      <c r="BE76" s="280"/>
      <c r="BF76" s="280"/>
      <c r="BG76" s="280"/>
      <c r="BH76" s="280"/>
      <c r="BI76" s="280"/>
      <c r="BJ76" s="147"/>
      <c r="BK76" s="142">
        <v>75</v>
      </c>
      <c r="BL76" s="142">
        <v>75</v>
      </c>
      <c r="BM76" s="142">
        <v>85</v>
      </c>
      <c r="BN76" s="142">
        <v>97</v>
      </c>
      <c r="BO76" s="1107">
        <f>SUM(BK76:BN76)</f>
        <v>332</v>
      </c>
      <c r="BP76" s="147"/>
      <c r="BQ76" s="141">
        <v>94</v>
      </c>
      <c r="BR76" s="141">
        <v>99</v>
      </c>
      <c r="BS76" s="141">
        <v>102</v>
      </c>
      <c r="BT76" s="141">
        <v>123</v>
      </c>
      <c r="BU76" s="1107">
        <f>SUM(BQ76:BT76)</f>
        <v>418</v>
      </c>
      <c r="BV76" s="147"/>
      <c r="BW76" s="141">
        <v>119</v>
      </c>
      <c r="BX76" s="141">
        <v>131</v>
      </c>
      <c r="BY76" s="141">
        <v>124</v>
      </c>
      <c r="BZ76" s="141">
        <v>114</v>
      </c>
      <c r="CA76" s="1107">
        <v>488.4</v>
      </c>
      <c r="CB76" s="147"/>
      <c r="CC76" s="141">
        <v>94</v>
      </c>
      <c r="CD76" s="141">
        <v>95</v>
      </c>
      <c r="CE76" s="141">
        <v>90</v>
      </c>
      <c r="CF76" s="1504">
        <v>108</v>
      </c>
      <c r="CG76" s="1523">
        <f>SUM(CC76:CF76)</f>
        <v>387</v>
      </c>
      <c r="CH76" s="147"/>
      <c r="CI76" s="141">
        <v>108</v>
      </c>
      <c r="CJ76" s="142">
        <v>113</v>
      </c>
      <c r="CK76" s="141">
        <v>117</v>
      </c>
      <c r="CL76" s="141">
        <v>133</v>
      </c>
      <c r="CM76" s="1523">
        <f>SUM(CI76:CL76)</f>
        <v>471</v>
      </c>
      <c r="CN76" s="147"/>
      <c r="CO76" s="141">
        <v>123</v>
      </c>
      <c r="CP76" s="142">
        <v>136</v>
      </c>
      <c r="CQ76" s="142">
        <v>134</v>
      </c>
      <c r="CR76" s="141">
        <v>148</v>
      </c>
      <c r="CS76" s="1523">
        <f>SUM(CO76:CR76)</f>
        <v>541</v>
      </c>
      <c r="CT76" s="142"/>
      <c r="CU76" s="141">
        <v>146</v>
      </c>
      <c r="CV76" s="141">
        <v>141</v>
      </c>
      <c r="CW76" s="141">
        <v>132</v>
      </c>
      <c r="CX76" s="141">
        <v>155</v>
      </c>
      <c r="CY76" s="1523">
        <f>SUM(CU76:CX76)</f>
        <v>574</v>
      </c>
      <c r="CZ76" s="142"/>
      <c r="DA76" s="141">
        <v>139</v>
      </c>
      <c r="DB76" s="141">
        <v>144</v>
      </c>
      <c r="DC76" s="141">
        <v>142</v>
      </c>
      <c r="DD76" s="141">
        <v>154</v>
      </c>
      <c r="DE76" s="1523">
        <f>SUM(DA76:DD76)</f>
        <v>579</v>
      </c>
      <c r="DF76" s="142"/>
      <c r="DG76" s="141">
        <v>147</v>
      </c>
      <c r="DH76" s="141">
        <f>168</f>
        <v>168</v>
      </c>
      <c r="DI76" s="141">
        <f>170</f>
        <v>170</v>
      </c>
      <c r="DJ76" s="141">
        <v>190</v>
      </c>
      <c r="DK76" s="1523">
        <f>SUM(DG76:DJ76)</f>
        <v>675</v>
      </c>
      <c r="DL76" s="147"/>
      <c r="DM76" s="1812">
        <v>185</v>
      </c>
      <c r="DN76" s="141">
        <v>171</v>
      </c>
      <c r="DO76" s="141">
        <v>175</v>
      </c>
      <c r="DP76" s="141">
        <v>194</v>
      </c>
      <c r="DQ76" s="1523">
        <f>SUM(DM76:DP76)</f>
        <v>725</v>
      </c>
      <c r="DR76" s="147"/>
      <c r="DS76" s="1812">
        <v>158</v>
      </c>
      <c r="DT76" s="141">
        <v>177</v>
      </c>
      <c r="DU76" s="141">
        <v>147</v>
      </c>
      <c r="DV76" s="141">
        <v>144</v>
      </c>
      <c r="DW76" s="1096"/>
      <c r="DX76" s="147"/>
      <c r="DY76" s="141">
        <v>142</v>
      </c>
      <c r="DZ76" s="141">
        <v>147</v>
      </c>
      <c r="EA76" s="141">
        <v>147</v>
      </c>
      <c r="EB76" s="141">
        <v>153</v>
      </c>
      <c r="EC76" s="1096"/>
      <c r="ED76" s="147"/>
      <c r="EE76" s="147"/>
      <c r="EF76" s="147"/>
      <c r="EG76" s="147"/>
      <c r="EH76" s="147"/>
      <c r="EI76" s="1096"/>
      <c r="EJ76" s="147"/>
      <c r="EK76" s="147"/>
      <c r="EL76" s="147"/>
      <c r="EM76" s="147"/>
      <c r="EN76" s="147"/>
      <c r="EO76" s="1096"/>
      <c r="EP76" s="147"/>
      <c r="EQ76" s="147"/>
      <c r="ER76" s="147"/>
      <c r="ES76" s="147"/>
      <c r="ET76" s="147"/>
      <c r="EU76" s="1096"/>
    </row>
    <row r="77" spans="1:196" ht="12.75" customHeight="1">
      <c r="A77" s="266" t="s">
        <v>345</v>
      </c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263" t="str">
        <f>IF(I76&lt;&gt;"",O76/I76-1,"-")</f>
        <v>-</v>
      </c>
      <c r="P77" s="263" t="str">
        <f>IF(J76&lt;&gt;"",P76/J76-1,"-")</f>
        <v>-</v>
      </c>
      <c r="Q77" s="263" t="str">
        <f>IF(K76&lt;&gt;"",Q76/K76-1,"-")</f>
        <v>-</v>
      </c>
      <c r="R77" s="263" t="str">
        <f>IF(L76&lt;&gt;"",R76/L76-1,"-")</f>
        <v>-</v>
      </c>
      <c r="S77" s="263"/>
      <c r="T77" s="147"/>
      <c r="U77" s="263" t="str">
        <f>IF(O76&lt;&gt;"",U76/O76-1,"-")</f>
        <v>-</v>
      </c>
      <c r="V77" s="263" t="str">
        <f>IF(P76&lt;&gt;"",V76/P76-1,"-")</f>
        <v>-</v>
      </c>
      <c r="W77" s="263" t="str">
        <f>IF(Q76&lt;&gt;"",W76/Q76-1,"-")</f>
        <v>-</v>
      </c>
      <c r="X77" s="263" t="str">
        <f>IF(R76&lt;&gt;"",X76/R76-1,"-")</f>
        <v>-</v>
      </c>
      <c r="Y77" s="263"/>
      <c r="Z77" s="141"/>
      <c r="AA77" s="263" t="str">
        <f>IF(U76&lt;&gt;"",AA76/U76-1,"-")</f>
        <v>-</v>
      </c>
      <c r="AB77" s="263" t="str">
        <f>IF(V76&lt;&gt;"",AB76/V76-1,"-")</f>
        <v>-</v>
      </c>
      <c r="AC77" s="263" t="str">
        <f>IF(W76&lt;&gt;"",AC76/W76-1,"-")</f>
        <v>-</v>
      </c>
      <c r="AD77" s="263" t="str">
        <f>IF(X76&lt;&gt;"",AD76/X76-1,"-")</f>
        <v>-</v>
      </c>
      <c r="AE77" s="263"/>
      <c r="AF77" s="147"/>
      <c r="AG77" s="263" t="str">
        <f>IF(AA76&lt;&gt;"",AG76/AA76-1,"-")</f>
        <v>-</v>
      </c>
      <c r="AH77" s="263" t="str">
        <f>IF(AB76&lt;&gt;"",AH76/AB76-1,"-")</f>
        <v>-</v>
      </c>
      <c r="AI77" s="263" t="str">
        <f>IF(AC76&lt;&gt;"",AI76/AC76-1,"-")</f>
        <v>-</v>
      </c>
      <c r="AJ77" s="263" t="str">
        <f>IF(AD76&lt;&gt;"",AJ76/AD76-1,"-")</f>
        <v>-</v>
      </c>
      <c r="AK77" s="263"/>
      <c r="AL77" s="147"/>
      <c r="AM77" s="263" t="str">
        <f>IF(AG76&lt;&gt;"",AM76/AG76-1,"-")</f>
        <v>-</v>
      </c>
      <c r="AN77" s="263" t="str">
        <f>IF(AH76&lt;&gt;"",AN76/AH76-1,"-")</f>
        <v>-</v>
      </c>
      <c r="AO77" s="263" t="str">
        <f>IF(AI76&lt;&gt;"",AO76/AI76-1,"-")</f>
        <v>-</v>
      </c>
      <c r="AP77" s="263" t="str">
        <f>IF(AJ76&lt;&gt;"",AP76/AJ76-1,"-")</f>
        <v>-</v>
      </c>
      <c r="AQ77" s="263"/>
      <c r="AR77" s="141"/>
      <c r="AS77" s="263" t="str">
        <f>IF(AM76&lt;&gt;"",AS76/AM76-1,"-")</f>
        <v>-</v>
      </c>
      <c r="AT77" s="263" t="str">
        <f>IF(AN76&lt;&gt;"",AT76/AN76-1,"-")</f>
        <v>-</v>
      </c>
      <c r="AU77" s="263" t="str">
        <f>IF(AO76&lt;&gt;"",AU76/AO76-1,"-")</f>
        <v>-</v>
      </c>
      <c r="AV77" s="263" t="str">
        <f>IF(AP76&lt;&gt;"",AV76/AP76-1,"-")</f>
        <v>-</v>
      </c>
      <c r="AW77" s="263"/>
      <c r="AX77" s="147"/>
      <c r="AY77" s="263" t="str">
        <f>IF(AS76&lt;&gt;"",AY76/AS76-1,"-")</f>
        <v>-</v>
      </c>
      <c r="AZ77" s="263" t="str">
        <f>IF(AT76&lt;&gt;"",AZ76/AT76-1,"-")</f>
        <v>-</v>
      </c>
      <c r="BA77" s="263" t="str">
        <f>IF(AU76&lt;&gt;"",BA76/AU76-1,"-")</f>
        <v>-</v>
      </c>
      <c r="BB77" s="263" t="str">
        <f>IF(AV76&lt;&gt;"",BB76/AV76-1,"-")</f>
        <v>-</v>
      </c>
      <c r="BC77" s="263"/>
      <c r="BD77" s="147"/>
      <c r="BE77" s="263" t="str">
        <f>IF(AY76&lt;&gt;"",BE76/AY76-1,"-")</f>
        <v>-</v>
      </c>
      <c r="BF77" s="263" t="str">
        <f>IF(AZ76&lt;&gt;"",BF76/AZ76-1,"-")</f>
        <v>-</v>
      </c>
      <c r="BG77" s="263" t="str">
        <f>IF(BA76&lt;&gt;"",BG76/BA76-1,"-")</f>
        <v>-</v>
      </c>
      <c r="BH77" s="263" t="str">
        <f>IF(BB76&lt;&gt;"",BH76/BB76-1,"-")</f>
        <v>-</v>
      </c>
      <c r="BI77" s="263"/>
      <c r="BJ77" s="147"/>
      <c r="BK77" s="263" t="str">
        <f>IF(BE76&lt;&gt;"",BK76/BE76-1,"-")</f>
        <v>-</v>
      </c>
      <c r="BL77" s="263" t="str">
        <f>IF(BF76&lt;&gt;"",BL76/BF76-1,"-")</f>
        <v>-</v>
      </c>
      <c r="BM77" s="263" t="str">
        <f>IF(BG76&lt;&gt;"",BM76/BG76-1,"-")</f>
        <v>-</v>
      </c>
      <c r="BN77" s="263" t="str">
        <f>IF(BH76&lt;&gt;"",BN76/BH76-1,"-")</f>
        <v>-</v>
      </c>
      <c r="BO77" s="1104" t="str">
        <f>IF(BI76&lt;&gt;"",BO76/BI76-1,"-")</f>
        <v>-</v>
      </c>
      <c r="BP77" s="147"/>
      <c r="BQ77" s="263">
        <f>IF(BK76&lt;&gt;"",BQ76/BK76-1,"-")</f>
        <v>0.25333333333333341</v>
      </c>
      <c r="BR77" s="263">
        <f>IF(BL76&lt;&gt;"",BR76/BL76-1,"-")</f>
        <v>0.32000000000000006</v>
      </c>
      <c r="BS77" s="263">
        <f>IF(BM76&lt;&gt;"",BS76/BM76-1,"-")</f>
        <v>0.19999999999999996</v>
      </c>
      <c r="BT77" s="263">
        <f>IF(BN76&lt;&gt;"",BT76/BN76-1,"-")</f>
        <v>0.268041237113402</v>
      </c>
      <c r="BU77" s="1104">
        <f>IF(BO76&lt;&gt;"",BU76/BO76-1,"-")</f>
        <v>0.25903614457831314</v>
      </c>
      <c r="BV77" s="147"/>
      <c r="BW77" s="263">
        <f>IF(BQ76&lt;&gt;"",BW76/BQ76-1,"-")</f>
        <v>0.26595744680851063</v>
      </c>
      <c r="BX77" s="263">
        <f>IF(BR76&lt;&gt;"",BX76/BR76-1,"-")</f>
        <v>0.32323232323232332</v>
      </c>
      <c r="BY77" s="263">
        <f>IF(BS76&lt;&gt;"",BY76/BS76-1,"-")</f>
        <v>0.21568627450980382</v>
      </c>
      <c r="BZ77" s="263">
        <f>IF(BT76&lt;&gt;"",BZ76/BT76-1,"-")</f>
        <v>-7.3170731707317027E-2</v>
      </c>
      <c r="CA77" s="1104">
        <f>IF(BU76&lt;&gt;"",CA76/BU76-1,"-")</f>
        <v>0.1684210526315788</v>
      </c>
      <c r="CB77" s="147"/>
      <c r="CC77" s="263">
        <f>IF(BW76&lt;&gt;"",CC76/BW76-1,"-")</f>
        <v>-0.21008403361344541</v>
      </c>
      <c r="CD77" s="263">
        <f>IF(BX76&lt;&gt;"",CD76/BX76-1,"-")</f>
        <v>-0.27480916030534353</v>
      </c>
      <c r="CE77" s="263">
        <f>IF(BY76&lt;&gt;"",CE76/BY76-1,"-")</f>
        <v>-0.27419354838709675</v>
      </c>
      <c r="CF77" s="1500">
        <f>IF(BZ76&lt;&gt;"",CF76/BZ76-1,"-")</f>
        <v>-5.2631578947368474E-2</v>
      </c>
      <c r="CG77" s="1518">
        <f>IF(CA76&lt;&gt;"",CG76/CA76-1,"-")</f>
        <v>-0.20761670761670759</v>
      </c>
      <c r="CH77" s="147"/>
      <c r="CI77" s="263">
        <f>IF(CC76&lt;&gt;"",CI76/CC76-1,"-")</f>
        <v>0.14893617021276606</v>
      </c>
      <c r="CJ77" s="632">
        <f>IF(CD76&lt;&gt;"",CJ76/CD76-1,"-")</f>
        <v>0.18947368421052624</v>
      </c>
      <c r="CK77" s="632">
        <f>IF(CE76&lt;&gt;"",CK76/CE76-1,"-")</f>
        <v>0.30000000000000004</v>
      </c>
      <c r="CL77" s="632">
        <f>IF(CF76&lt;&gt;"",CL76/CF76-1,"-")</f>
        <v>0.2314814814814814</v>
      </c>
      <c r="CM77" s="1518">
        <f>IF(CG76&lt;&gt;"",CM76/CG76-1,"-")</f>
        <v>0.21705426356589141</v>
      </c>
      <c r="CN77" s="147"/>
      <c r="CO77" s="263">
        <f>IF(CI76&lt;&gt;"",CO76/CI76-1,"-")</f>
        <v>0.13888888888888884</v>
      </c>
      <c r="CP77" s="632">
        <f>IF(CJ76&lt;&gt;"",CP76/CJ76-1,"-")</f>
        <v>0.20353982300884965</v>
      </c>
      <c r="CQ77" s="632">
        <f>IF(CK76&lt;&gt;"",CQ76/CK76-1,"-")</f>
        <v>0.14529914529914523</v>
      </c>
      <c r="CR77" s="632">
        <f>IF(CL76&lt;&gt;"",CR76/CL76-1,"-")</f>
        <v>0.11278195488721798</v>
      </c>
      <c r="CS77" s="1518">
        <f>IF(CM76&lt;&gt;"",CS76/CM76-1,"-")</f>
        <v>0.14861995753715496</v>
      </c>
      <c r="CT77" s="263"/>
      <c r="CU77" s="263">
        <f>IF(CO76&lt;&gt;"",CU76/CO76-1,"-")</f>
        <v>0.18699186991869921</v>
      </c>
      <c r="CV77" s="263">
        <f>IF(CP76&lt;&gt;"",CV76/CP76-1,"-")</f>
        <v>3.6764705882353033E-2</v>
      </c>
      <c r="CW77" s="263">
        <f>IF(CQ76&lt;&gt;"",CW76/CQ76-1,"-")</f>
        <v>-1.4925373134328401E-2</v>
      </c>
      <c r="CX77" s="632">
        <f>IF(CR76&lt;&gt;"",CX76/CR76-1,"-")</f>
        <v>4.7297297297297369E-2</v>
      </c>
      <c r="CY77" s="1518">
        <f>IF(CS76&lt;&gt;"",CY76/CS76-1,"-")</f>
        <v>6.0998151571164616E-2</v>
      </c>
      <c r="CZ77" s="263"/>
      <c r="DA77" s="263">
        <f>IF(CU76&lt;&gt;"",DA76/CU76-1,"-")</f>
        <v>-4.7945205479452024E-2</v>
      </c>
      <c r="DB77" s="263">
        <f>IF(CV76&lt;&gt;"",DB76/CV76-1,"-")</f>
        <v>2.1276595744680771E-2</v>
      </c>
      <c r="DC77" s="263">
        <f>IF(CW76&lt;&gt;"",DC76/CW76-1,"-")</f>
        <v>7.575757575757569E-2</v>
      </c>
      <c r="DD77" s="263">
        <f>IF(CX76&lt;&gt;"",DD76/CX76-1,"-")</f>
        <v>-6.4516129032258229E-3</v>
      </c>
      <c r="DE77" s="1518">
        <f>IF(CY76&lt;&gt;"",DE76/CY76-1,"-")</f>
        <v>8.7108013937282625E-3</v>
      </c>
      <c r="DF77" s="263"/>
      <c r="DG77" s="263">
        <f>IF(DA76&lt;&gt;"",DG76/DA76-1,"-")</f>
        <v>5.755395683453246E-2</v>
      </c>
      <c r="DH77" s="263">
        <f>IF(DB76&lt;&gt;"",DH76/DB76-1,"-")</f>
        <v>0.16666666666666674</v>
      </c>
      <c r="DI77" s="263">
        <f>IF(DC76&lt;&gt;"",DI76/DC76-1,"-")</f>
        <v>0.19718309859154926</v>
      </c>
      <c r="DJ77" s="263">
        <f>IF(DD76&lt;&gt;"",DJ76/DD76-1,"-")</f>
        <v>0.23376623376623384</v>
      </c>
      <c r="DK77" s="1518">
        <f>IF(DE76&lt;&gt;"",DK76/DE76-1,"-")</f>
        <v>0.16580310880829008</v>
      </c>
      <c r="DL77" s="147"/>
      <c r="DM77" s="1810">
        <f>IF(DG76&lt;&gt;"",DM76/DG76-1,"-")</f>
        <v>0.25850340136054428</v>
      </c>
      <c r="DN77" s="263">
        <f>IF(DH76&lt;&gt;"",DN76/DH76-1,"-")</f>
        <v>1.7857142857142794E-2</v>
      </c>
      <c r="DO77" s="263">
        <f>IF(DI76&lt;&gt;"",DO76/DI76-1,"-")</f>
        <v>2.9411764705882248E-2</v>
      </c>
      <c r="DP77" s="263">
        <f>IF(DJ76&lt;&gt;"",DP76/DJ76-1,"-")</f>
        <v>2.1052631578947434E-2</v>
      </c>
      <c r="DQ77" s="1518">
        <f>IF(DK76&lt;&gt;"",DQ76/DK76-1,"-")</f>
        <v>7.4074074074074181E-2</v>
      </c>
      <c r="DR77" s="147"/>
      <c r="DS77" s="1810">
        <f>IF(DM76&lt;&gt;"",DS76/DM76-1,"-")</f>
        <v>-0.1459459459459459</v>
      </c>
      <c r="DT77" s="263">
        <f>IF(DN76&lt;&gt;"",DT76/DN76-1,"-")</f>
        <v>3.5087719298245723E-2</v>
      </c>
      <c r="DU77" s="263">
        <f>IF(DO76&lt;&gt;"",DU76/DO76-1,"-")</f>
        <v>-0.16000000000000003</v>
      </c>
      <c r="DV77" s="263">
        <f>IF(DP76&lt;&gt;"",DV76/DP76-1,"-")</f>
        <v>-0.25773195876288657</v>
      </c>
      <c r="DW77" s="1096"/>
      <c r="DX77" s="147"/>
      <c r="DY77" s="263">
        <f>IF(DS76&lt;&gt;"",DY76/DS76-1,"-")</f>
        <v>-0.10126582278481011</v>
      </c>
      <c r="DZ77" s="263">
        <f>IF(DT76&lt;&gt;"",DZ76/DT76-1,"-")</f>
        <v>-0.16949152542372881</v>
      </c>
      <c r="EA77" s="263">
        <f>IF(DU76&lt;&gt;"",EA76/DU76-1,"-")</f>
        <v>0</v>
      </c>
      <c r="EB77" s="263">
        <f>IF(DV76&lt;&gt;"",EB76/DV76-1,"-")</f>
        <v>6.25E-2</v>
      </c>
      <c r="EC77" s="1096"/>
      <c r="ED77" s="147"/>
      <c r="EE77" s="147"/>
      <c r="EF77" s="147"/>
      <c r="EG77" s="147"/>
      <c r="EH77" s="147"/>
      <c r="EI77" s="1096"/>
      <c r="EJ77" s="147"/>
      <c r="EK77" s="147"/>
      <c r="EL77" s="147"/>
      <c r="EM77" s="147"/>
      <c r="EN77" s="147"/>
      <c r="EO77" s="1096"/>
      <c r="EP77" s="147"/>
      <c r="EQ77" s="147"/>
      <c r="ER77" s="147"/>
      <c r="ES77" s="147"/>
      <c r="ET77" s="147"/>
      <c r="EU77" s="1096"/>
    </row>
    <row r="78" spans="1:196" ht="12.75" customHeight="1">
      <c r="A78" s="266" t="s">
        <v>344</v>
      </c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263" t="str">
        <f>IF(L76&lt;&gt;"",O76/L76-1,"-")</f>
        <v>-</v>
      </c>
      <c r="P78" s="263" t="str">
        <f>IF(O76&lt;&gt;"",P76/O76-1,"-")</f>
        <v>-</v>
      </c>
      <c r="Q78" s="263" t="str">
        <f>IF(P76&lt;&gt;"",Q76/P76-1,"-")</f>
        <v>-</v>
      </c>
      <c r="R78" s="263" t="str">
        <f>IF(Q76&lt;&gt;"",R76/Q76-1,"-")</f>
        <v>-</v>
      </c>
      <c r="S78" s="141"/>
      <c r="T78" s="147"/>
      <c r="U78" s="263" t="str">
        <f>IF(R76&lt;&gt;"",U76/R76-1,"-")</f>
        <v>-</v>
      </c>
      <c r="V78" s="263" t="str">
        <f>IF(U76&lt;&gt;"",V76/U76-1,"-")</f>
        <v>-</v>
      </c>
      <c r="W78" s="263" t="str">
        <f>IF(V76&lt;&gt;"",W76/V76-1,"-")</f>
        <v>-</v>
      </c>
      <c r="X78" s="263" t="str">
        <f>IF(W76&lt;&gt;"",X76/W76-1,"-")</f>
        <v>-</v>
      </c>
      <c r="Y78" s="141"/>
      <c r="Z78" s="141"/>
      <c r="AA78" s="263" t="str">
        <f>IF(X76&lt;&gt;"",AA76/X76-1,"-")</f>
        <v>-</v>
      </c>
      <c r="AB78" s="263" t="str">
        <f>IF(AA76&lt;&gt;"",AB76/AA76-1,"-")</f>
        <v>-</v>
      </c>
      <c r="AC78" s="263" t="str">
        <f>IF(AB76&lt;&gt;"",AC76/AB76-1,"-")</f>
        <v>-</v>
      </c>
      <c r="AD78" s="263" t="str">
        <f>IF(AC76&lt;&gt;"",AD76/AC76-1,"-")</f>
        <v>-</v>
      </c>
      <c r="AE78" s="141"/>
      <c r="AF78" s="147"/>
      <c r="AG78" s="263" t="str">
        <f>IF(AD76&lt;&gt;"",AG76/AD76-1,"-")</f>
        <v>-</v>
      </c>
      <c r="AH78" s="263" t="str">
        <f>IF(AG76&lt;&gt;"",AH76/AG76-1,"-")</f>
        <v>-</v>
      </c>
      <c r="AI78" s="263" t="str">
        <f>IF(AH76&lt;&gt;"",AI76/AH76-1,"-")</f>
        <v>-</v>
      </c>
      <c r="AJ78" s="263" t="str">
        <f>IF(AI76&lt;&gt;"",AJ76/AI76-1,"-")</f>
        <v>-</v>
      </c>
      <c r="AK78" s="141"/>
      <c r="AL78" s="147"/>
      <c r="AM78" s="263" t="str">
        <f>IF(AJ76&lt;&gt;"",AM76/AJ76-1,"-")</f>
        <v>-</v>
      </c>
      <c r="AN78" s="263" t="str">
        <f>IF(AM76&lt;&gt;"",AN76/AM76-1,"-")</f>
        <v>-</v>
      </c>
      <c r="AO78" s="263" t="str">
        <f>IF(AN76&lt;&gt;"",AO76/AN76-1,"-")</f>
        <v>-</v>
      </c>
      <c r="AP78" s="263" t="str">
        <f>IF(AO76&lt;&gt;"",AP76/AO76-1,"-")</f>
        <v>-</v>
      </c>
      <c r="AQ78" s="141"/>
      <c r="AR78" s="141"/>
      <c r="AS78" s="263" t="str">
        <f>IF(AP76&lt;&gt;"",AS76/AP76-1,"-")</f>
        <v>-</v>
      </c>
      <c r="AT78" s="263" t="str">
        <f>IF(AS76&lt;&gt;"",AT76/AS76-1,"-")</f>
        <v>-</v>
      </c>
      <c r="AU78" s="263" t="str">
        <f>IF(AT76&lt;&gt;"",AU76/AT76-1,"-")</f>
        <v>-</v>
      </c>
      <c r="AV78" s="263" t="str">
        <f>IF(AU76&lt;&gt;"",AV76/AU76-1,"-")</f>
        <v>-</v>
      </c>
      <c r="AW78" s="141"/>
      <c r="AX78" s="147"/>
      <c r="AY78" s="263" t="str">
        <f>IF(AV76&lt;&gt;"",AY76/AV76-1,"-")</f>
        <v>-</v>
      </c>
      <c r="AZ78" s="263" t="str">
        <f>IF(AY76&lt;&gt;"",AZ76/AY76-1,"-")</f>
        <v>-</v>
      </c>
      <c r="BA78" s="263" t="str">
        <f>IF(AZ76&lt;&gt;"",BA76/AZ76-1,"-")</f>
        <v>-</v>
      </c>
      <c r="BB78" s="263" t="str">
        <f>IF(BA76&lt;&gt;"",BB76/BA76-1,"-")</f>
        <v>-</v>
      </c>
      <c r="BC78" s="141"/>
      <c r="BD78" s="147"/>
      <c r="BE78" s="263" t="str">
        <f>IF(BB76&lt;&gt;"",BE76/BB76-1,"-")</f>
        <v>-</v>
      </c>
      <c r="BF78" s="263" t="str">
        <f>IF(BE76&lt;&gt;"",BF76/BE76-1,"-")</f>
        <v>-</v>
      </c>
      <c r="BG78" s="263" t="str">
        <f>IF(BF76&lt;&gt;"",BG76/BF76-1,"-")</f>
        <v>-</v>
      </c>
      <c r="BH78" s="263" t="str">
        <f>IF(BG76&lt;&gt;"",BH76/BG76-1,"-")</f>
        <v>-</v>
      </c>
      <c r="BI78" s="141"/>
      <c r="BJ78" s="147"/>
      <c r="BK78" s="263" t="str">
        <f>IF(BH76&lt;&gt;"",BK76/BH76-1,"-")</f>
        <v>-</v>
      </c>
      <c r="BL78" s="263">
        <f>IF(BK76&lt;&gt;"",BL76/BK76-1,"-")</f>
        <v>0</v>
      </c>
      <c r="BM78" s="263">
        <f>IF(BL76&lt;&gt;"",BM76/BL76-1,"-")</f>
        <v>0.1333333333333333</v>
      </c>
      <c r="BN78" s="263">
        <f>IF(BM76&lt;&gt;"",BN76/BM76-1,"-")</f>
        <v>0.14117647058823524</v>
      </c>
      <c r="BO78" s="1105" t="s">
        <v>6442</v>
      </c>
      <c r="BP78" s="147"/>
      <c r="BQ78" s="263">
        <f>IF(BN76&lt;&gt;"",BQ76/BN76-1,"-")</f>
        <v>-3.0927835051546393E-2</v>
      </c>
      <c r="BR78" s="263">
        <f>IF(BQ76&lt;&gt;"",BR76/BQ76-1,"-")</f>
        <v>5.3191489361702038E-2</v>
      </c>
      <c r="BS78" s="263">
        <f>IF(BR76&lt;&gt;"",BS76/BR76-1,"-")</f>
        <v>3.0303030303030276E-2</v>
      </c>
      <c r="BT78" s="263">
        <f>IF(BS76&lt;&gt;"",BT76/BS76-1,"-")</f>
        <v>0.20588235294117641</v>
      </c>
      <c r="BU78" s="1105" t="s">
        <v>6442</v>
      </c>
      <c r="BV78" s="147"/>
      <c r="BW78" s="263">
        <f>IF(BT76&lt;&gt;"",BW76/BT76-1,"-")</f>
        <v>-3.2520325203251987E-2</v>
      </c>
      <c r="BX78" s="263">
        <f>IF(BU76&lt;&gt;"",BX76/BU76-1,"-")</f>
        <v>-0.6866028708133971</v>
      </c>
      <c r="BY78" s="263">
        <f>IF(BX76&lt;&gt;"",BY76/BX76-1,"-")</f>
        <v>-5.3435114503816772E-2</v>
      </c>
      <c r="BZ78" s="263">
        <f>IF(BW76&lt;&gt;"",BZ76/BW76-1,"-")</f>
        <v>-4.2016806722689037E-2</v>
      </c>
      <c r="CA78" s="1105" t="s">
        <v>6442</v>
      </c>
      <c r="CB78" s="147"/>
      <c r="CC78" s="263">
        <f>IF(BZ76&lt;&gt;"",CC76/BZ76-1,"-")</f>
        <v>-0.17543859649122806</v>
      </c>
      <c r="CD78" s="263">
        <f>IF(CC76&lt;&gt;"",CD76/CC76-1,"-")</f>
        <v>1.0638297872340496E-2</v>
      </c>
      <c r="CE78" s="263">
        <f>IF(CD76&lt;&gt;"",CE76/CD76-1,"-")</f>
        <v>-5.2631578947368474E-2</v>
      </c>
      <c r="CF78" s="1500">
        <f>IF(CE76&lt;&gt;"",CF76/CE76-1,"-")</f>
        <v>0.19999999999999996</v>
      </c>
      <c r="CG78" s="1519" t="s">
        <v>6442</v>
      </c>
      <c r="CH78" s="147"/>
      <c r="CI78" s="263">
        <f>IF(CF76&lt;&gt;"",CI76/CF76-1,"-")</f>
        <v>0</v>
      </c>
      <c r="CJ78" s="632">
        <f>IF(CI76&lt;&gt;"",CJ76/CI76-1,"-")</f>
        <v>4.629629629629628E-2</v>
      </c>
      <c r="CK78" s="632">
        <f>IF(CJ76&lt;&gt;"",CK76/CJ76-1,"-")</f>
        <v>3.539823008849563E-2</v>
      </c>
      <c r="CL78" s="632">
        <f>IF(CK76&lt;&gt;"",CL76/CK76-1,"-")</f>
        <v>0.13675213675213671</v>
      </c>
      <c r="CM78" s="1519" t="s">
        <v>6442</v>
      </c>
      <c r="CN78" s="147"/>
      <c r="CO78" s="263">
        <f>IF(CL76&lt;&gt;"",CO76/CL76-1,"-")</f>
        <v>-7.5187969924812026E-2</v>
      </c>
      <c r="CP78" s="632">
        <f>IF(CO76&lt;&gt;"",CP76/CO76-1,"-")</f>
        <v>0.10569105691056913</v>
      </c>
      <c r="CQ78" s="632">
        <f>IF(CP76&lt;&gt;"",CQ76/CP76-1,"-")</f>
        <v>-1.4705882352941124E-2</v>
      </c>
      <c r="CR78" s="632">
        <f>IF(CQ76&lt;&gt;"",CR76/CQ76-1,"-")</f>
        <v>0.10447761194029859</v>
      </c>
      <c r="CS78" s="1519" t="s">
        <v>6442</v>
      </c>
      <c r="CT78" s="141"/>
      <c r="CU78" s="263">
        <f>IF(CR76&lt;&gt;"",CU76/CR76-1,"-")</f>
        <v>-1.3513513513513487E-2</v>
      </c>
      <c r="CV78" s="263">
        <f>IF(CU76&lt;&gt;"",CV76/CU76-1,"-")</f>
        <v>-3.4246575342465779E-2</v>
      </c>
      <c r="CW78" s="263">
        <f>IF(CV76&lt;&gt;"",CW76/CV76-1,"-")</f>
        <v>-6.3829787234042534E-2</v>
      </c>
      <c r="CX78" s="632">
        <f>IF(CW76&lt;&gt;"",CX76/CW76-1,"-")</f>
        <v>0.17424242424242431</v>
      </c>
      <c r="CY78" s="1519" t="s">
        <v>6442</v>
      </c>
      <c r="CZ78" s="141"/>
      <c r="DA78" s="263">
        <f>IF(CX76&lt;&gt;"",DA76/CX76-1,"-")</f>
        <v>-0.10322580645161294</v>
      </c>
      <c r="DB78" s="263">
        <f>IF(DA76&lt;&gt;"",DB76/DA76-1,"-")</f>
        <v>3.5971223021582732E-2</v>
      </c>
      <c r="DC78" s="263">
        <f>IF(DB76&lt;&gt;"",DC76/DB76-1,"-")</f>
        <v>-1.388888888888884E-2</v>
      </c>
      <c r="DD78" s="263">
        <f>IF(DC76&lt;&gt;"",DD76/DC76-1,"-")</f>
        <v>8.4507042253521236E-2</v>
      </c>
      <c r="DE78" s="1519" t="s">
        <v>6442</v>
      </c>
      <c r="DF78" s="141"/>
      <c r="DG78" s="263">
        <f>IF(DD76&lt;&gt;"",DG76/DD76-1,"-")</f>
        <v>-4.5454545454545414E-2</v>
      </c>
      <c r="DH78" s="263">
        <f>IF(DG76&lt;&gt;"",DH76/DG76-1,"-")</f>
        <v>0.14285714285714279</v>
      </c>
      <c r="DI78" s="263">
        <f>IF(DH76&lt;&gt;"",DI76/DH76-1,"-")</f>
        <v>1.1904761904761862E-2</v>
      </c>
      <c r="DJ78" s="263">
        <f>IF(DI76&lt;&gt;"",DJ76/DI76-1,"-")</f>
        <v>0.11764705882352944</v>
      </c>
      <c r="DK78" s="1519" t="s">
        <v>6442</v>
      </c>
      <c r="DL78" s="147"/>
      <c r="DM78" s="1810">
        <f>IF(DJ76&lt;&gt;"",DM76/DJ76-1,"-")</f>
        <v>-2.6315789473684181E-2</v>
      </c>
      <c r="DN78" s="263">
        <f>IF(DM76&lt;&gt;"",DN76/DM76-1,"-")</f>
        <v>-7.567567567567568E-2</v>
      </c>
      <c r="DO78" s="263">
        <f>IF(DN76&lt;&gt;"",DO76/DN76-1,"-")</f>
        <v>2.3391812865497075E-2</v>
      </c>
      <c r="DP78" s="263">
        <f>IF(DO76&lt;&gt;"",DP76/DO76-1,"-")</f>
        <v>0.10857142857142854</v>
      </c>
      <c r="DQ78" s="1519" t="s">
        <v>6442</v>
      </c>
      <c r="DR78" s="147"/>
      <c r="DS78" s="1810">
        <f>IF(DP76&lt;&gt;"",DS76/DP76-1,"-")</f>
        <v>-0.18556701030927836</v>
      </c>
      <c r="DT78" s="263">
        <f>IF(DS76&lt;&gt;"",DT76/DS76-1,"-")</f>
        <v>0.120253164556962</v>
      </c>
      <c r="DU78" s="263">
        <f>IF(DT76&lt;&gt;"",DU76/DT76-1,"-")</f>
        <v>-0.16949152542372881</v>
      </c>
      <c r="DV78" s="263">
        <f>IF(DU76&lt;&gt;"",DV76/DU76-1,"-")</f>
        <v>-2.0408163265306145E-2</v>
      </c>
      <c r="DW78" s="1096"/>
      <c r="DX78" s="147"/>
      <c r="DY78" s="1810">
        <f>IF(DV76&lt;&gt;"",DY76/DV76-1,"-")</f>
        <v>-1.388888888888884E-2</v>
      </c>
      <c r="DZ78" s="263">
        <f>IF(DY76&lt;&gt;"",DZ76/DY76-1,"-")</f>
        <v>3.5211267605633756E-2</v>
      </c>
      <c r="EA78" s="263">
        <f>IF(DZ76&lt;&gt;"",EA76/DZ76-1,"-")</f>
        <v>0</v>
      </c>
      <c r="EB78" s="263">
        <f>IF(EA76&lt;&gt;"",EB76/EA76-1,"-")</f>
        <v>4.081632653061229E-2</v>
      </c>
      <c r="EC78" s="1096"/>
      <c r="ED78" s="147"/>
      <c r="EE78" s="147"/>
      <c r="EF78" s="147"/>
      <c r="EG78" s="147"/>
      <c r="EH78" s="147"/>
      <c r="EI78" s="1096"/>
      <c r="EJ78" s="147"/>
      <c r="EK78" s="147"/>
      <c r="EL78" s="147"/>
      <c r="EM78" s="147"/>
      <c r="EN78" s="147"/>
      <c r="EO78" s="1096"/>
      <c r="EP78" s="147"/>
      <c r="EQ78" s="147"/>
      <c r="ER78" s="147"/>
      <c r="ES78" s="147"/>
      <c r="ET78" s="147"/>
      <c r="EU78" s="1096"/>
    </row>
    <row r="79" spans="1:196" ht="12.75" customHeight="1">
      <c r="A79" s="266" t="s">
        <v>5579</v>
      </c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263"/>
      <c r="P79" s="263"/>
      <c r="Q79" s="263"/>
      <c r="R79" s="263"/>
      <c r="S79" s="141"/>
      <c r="T79" s="280"/>
      <c r="U79" s="263"/>
      <c r="V79" s="263"/>
      <c r="W79" s="263"/>
      <c r="X79" s="263"/>
      <c r="Y79" s="141"/>
      <c r="Z79" s="280"/>
      <c r="AA79" s="263"/>
      <c r="AB79" s="263"/>
      <c r="AC79" s="263"/>
      <c r="AD79" s="263"/>
      <c r="AE79" s="141"/>
      <c r="AF79" s="147"/>
      <c r="AG79" s="263"/>
      <c r="AH79" s="263"/>
      <c r="AI79" s="263"/>
      <c r="AJ79" s="263"/>
      <c r="AK79" s="141"/>
      <c r="AL79" s="147"/>
      <c r="AM79" s="263"/>
      <c r="AN79" s="263"/>
      <c r="AO79" s="263"/>
      <c r="AP79" s="263"/>
      <c r="AQ79" s="141"/>
      <c r="AR79" s="141"/>
      <c r="AS79" s="263"/>
      <c r="AT79" s="263"/>
      <c r="AU79" s="263"/>
      <c r="AV79" s="263"/>
      <c r="AW79" s="141"/>
      <c r="AX79" s="147"/>
      <c r="AY79" s="263"/>
      <c r="AZ79" s="263"/>
      <c r="BA79" s="263"/>
      <c r="BB79" s="263"/>
      <c r="BC79" s="141"/>
      <c r="BD79" s="147"/>
      <c r="BE79" s="263"/>
      <c r="BF79" s="263"/>
      <c r="BG79" s="263"/>
      <c r="BH79" s="263"/>
      <c r="BI79" s="141"/>
      <c r="BJ79" s="147"/>
      <c r="BK79" s="263">
        <f>BK76/BK$90</f>
        <v>0.17201834862385321</v>
      </c>
      <c r="BL79" s="263">
        <f>BL76/BL$90</f>
        <v>0.16681494661921709</v>
      </c>
      <c r="BM79" s="263">
        <f>BM76/BM$90</f>
        <v>0.18599562363238512</v>
      </c>
      <c r="BN79" s="263">
        <f>BN76/BN$90</f>
        <v>0.19517102615694165</v>
      </c>
      <c r="BO79" s="1104">
        <f>BO76/BO$90</f>
        <v>0.18047401609045446</v>
      </c>
      <c r="BP79" s="147"/>
      <c r="BQ79" s="263">
        <f>BQ76/BQ$90</f>
        <v>0.18482107746755799</v>
      </c>
      <c r="BR79" s="263">
        <f>BR76/BR$90</f>
        <v>0.18824871648602393</v>
      </c>
      <c r="BS79" s="263">
        <f>BS76/BS$90</f>
        <v>0.18923933209647495</v>
      </c>
      <c r="BT79" s="263">
        <f>BT76/BT$90</f>
        <v>0.20534223706176963</v>
      </c>
      <c r="BU79" s="1104">
        <f>BU76/BU$90</f>
        <v>0.19240506329113924</v>
      </c>
      <c r="BV79" s="147"/>
      <c r="BW79" s="263">
        <f>BW76/BW$90</f>
        <v>0.19873079492317972</v>
      </c>
      <c r="BX79" s="263">
        <f>BX76/BX$90</f>
        <v>0.21146085552865213</v>
      </c>
      <c r="BY79" s="263">
        <f>BY76/BY$90</f>
        <v>0.20424971174435841</v>
      </c>
      <c r="BZ79" s="263">
        <f>BZ76/BZ$90</f>
        <v>0.23274806043282972</v>
      </c>
      <c r="CA79" s="1104">
        <f>CA76/CA$90</f>
        <v>0.21095369730476846</v>
      </c>
      <c r="CB79" s="147"/>
      <c r="CC79" s="263">
        <f>CC76/CC$90</f>
        <v>0.22065727699530516</v>
      </c>
      <c r="CD79" s="263">
        <f>CD76/CD$90</f>
        <v>0.2289156626506024</v>
      </c>
      <c r="CE79" s="263">
        <f>CE76/CE$90</f>
        <v>0.21582733812949639</v>
      </c>
      <c r="CF79" s="1500">
        <f>CF76/CF$90</f>
        <v>0.23684210526315788</v>
      </c>
      <c r="CG79" s="1518">
        <f>CG76/CG$90</f>
        <v>0.22577445889971415</v>
      </c>
      <c r="CH79" s="147"/>
      <c r="CI79" s="263">
        <f>CI76/CI$90</f>
        <v>0.22736842105263158</v>
      </c>
      <c r="CJ79" s="632">
        <f>CJ76/CJ$90</f>
        <v>0.23885013739167194</v>
      </c>
      <c r="CK79" s="632">
        <f>CK76/CK$90</f>
        <v>0.24528301886792453</v>
      </c>
      <c r="CL79" s="632">
        <f>CL76/CL$90</f>
        <v>0.25189393939393939</v>
      </c>
      <c r="CM79" s="1518">
        <f>CM76/CM$90</f>
        <v>0.24219673985704734</v>
      </c>
      <c r="CN79" s="147"/>
      <c r="CO79" s="263">
        <f t="shared" ref="CO79:DE79" si="42">CO76/CO$90</f>
        <v>0.23295454545454544</v>
      </c>
      <c r="CP79" s="632">
        <f t="shared" si="42"/>
        <v>0.24862888482632542</v>
      </c>
      <c r="CQ79" s="632">
        <f t="shared" si="42"/>
        <v>0.24408014571948999</v>
      </c>
      <c r="CR79" s="632">
        <f t="shared" si="42"/>
        <v>0.25</v>
      </c>
      <c r="CS79" s="1518">
        <f t="shared" si="42"/>
        <v>0.24413357400722022</v>
      </c>
      <c r="CT79" s="263"/>
      <c r="CU79" s="263">
        <f t="shared" si="42"/>
        <v>0.24745762711864408</v>
      </c>
      <c r="CV79" s="263">
        <f t="shared" si="42"/>
        <v>0.24780316344463971</v>
      </c>
      <c r="CW79" s="263">
        <f t="shared" si="42"/>
        <v>0.24087591240875914</v>
      </c>
      <c r="CX79" s="632">
        <f t="shared" si="42"/>
        <v>0.25535420098846789</v>
      </c>
      <c r="CY79" s="1518">
        <f t="shared" si="42"/>
        <v>0.24805531547104581</v>
      </c>
      <c r="CZ79" s="263"/>
      <c r="DA79" s="263">
        <f t="shared" si="42"/>
        <v>0.24343257443082311</v>
      </c>
      <c r="DB79" s="263">
        <f t="shared" si="42"/>
        <v>0.25668449197860965</v>
      </c>
      <c r="DC79" s="263">
        <f t="shared" si="42"/>
        <v>0.25585585585585585</v>
      </c>
      <c r="DD79" s="263">
        <f t="shared" si="42"/>
        <v>0.26235093696763201</v>
      </c>
      <c r="DE79" s="1518">
        <f t="shared" si="42"/>
        <v>0.25461741424802109</v>
      </c>
      <c r="DF79" s="263"/>
      <c r="DG79" s="263">
        <f>DG76/DG$90</f>
        <v>0.2478920741989882</v>
      </c>
      <c r="DH79" s="263">
        <f>DH76/DH$90</f>
        <v>0.26332288401253917</v>
      </c>
      <c r="DI79" s="263">
        <f>DI76/DI$90</f>
        <v>0.27508090614886732</v>
      </c>
      <c r="DJ79" s="263">
        <f>DJ76/DJ$90</f>
        <v>0.28614457831325302</v>
      </c>
      <c r="DK79" s="1518">
        <f>DK76/DK$90</f>
        <v>0.26860326303223236</v>
      </c>
      <c r="DL79" s="147"/>
      <c r="DM79" s="1810">
        <f>DM76/DM$90</f>
        <v>0.28593508500772796</v>
      </c>
      <c r="DN79" s="263">
        <f>DN76/DN$90</f>
        <v>0.28078817733990147</v>
      </c>
      <c r="DO79" s="263">
        <f>DO76/DO$90</f>
        <v>0.29166666666666669</v>
      </c>
      <c r="DP79" s="263">
        <f>DP76/DP$90</f>
        <v>0.29938271604938271</v>
      </c>
      <c r="DQ79" s="1518">
        <f>DQ76/DQ$90</f>
        <v>0.28953674121405748</v>
      </c>
      <c r="DR79" s="147"/>
      <c r="DS79" s="1810">
        <f>DS76/DS$90</f>
        <v>0.30859375</v>
      </c>
      <c r="DT79" s="263">
        <f>DT76/DT$90</f>
        <v>0.32181818181818184</v>
      </c>
      <c r="DU79" s="263">
        <f>DU76/DU$90</f>
        <v>0.30061349693251532</v>
      </c>
      <c r="DV79" s="263">
        <f>DV76/DV$90</f>
        <v>0.30062630480167013</v>
      </c>
      <c r="DW79" s="1096"/>
      <c r="DX79" s="147"/>
      <c r="DY79" s="263">
        <f>DY76/DY$90</f>
        <v>0.29158110882956878</v>
      </c>
      <c r="DZ79" s="263">
        <f>DZ76/DZ$90</f>
        <v>0.2922465208747515</v>
      </c>
      <c r="EA79" s="263">
        <f>EA76/EA$90</f>
        <v>0.28488372093023256</v>
      </c>
      <c r="EB79" s="263">
        <f>EB76/EB$90</f>
        <v>0.27617328519855594</v>
      </c>
      <c r="EC79" s="1096"/>
      <c r="ED79" s="147"/>
      <c r="EE79" s="147"/>
      <c r="EF79" s="147"/>
      <c r="EG79" s="147"/>
      <c r="EH79" s="147"/>
      <c r="EI79" s="1096"/>
      <c r="EJ79" s="147"/>
      <c r="EK79" s="147"/>
      <c r="EL79" s="147"/>
      <c r="EM79" s="147"/>
      <c r="EN79" s="147"/>
      <c r="EO79" s="1096"/>
      <c r="EP79" s="147"/>
      <c r="EQ79" s="147"/>
      <c r="ER79" s="147"/>
      <c r="ES79" s="147"/>
      <c r="ET79" s="147"/>
      <c r="EU79" s="1096"/>
    </row>
    <row r="80" spans="1:196" ht="5.25" customHeight="1">
      <c r="A80" s="266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280"/>
      <c r="T80" s="280"/>
      <c r="U80" s="280"/>
      <c r="V80" s="280"/>
      <c r="W80" s="280"/>
      <c r="X80" s="280"/>
      <c r="Y80" s="280"/>
      <c r="Z80" s="280"/>
      <c r="AA80" s="280"/>
      <c r="AB80" s="280"/>
      <c r="AC80" s="280"/>
      <c r="AD80" s="280"/>
      <c r="AE80" s="280"/>
      <c r="AF80" s="147"/>
      <c r="AG80" s="147"/>
      <c r="AH80" s="147"/>
      <c r="AI80" s="147"/>
      <c r="AJ80" s="147"/>
      <c r="AK80" s="281"/>
      <c r="AL80" s="147"/>
      <c r="AM80" s="281"/>
      <c r="AN80" s="281"/>
      <c r="AO80" s="281"/>
      <c r="AP80" s="281"/>
      <c r="AQ80" s="281"/>
      <c r="AR80" s="281"/>
      <c r="AS80" s="281"/>
      <c r="AT80" s="281"/>
      <c r="AU80" s="281"/>
      <c r="AV80" s="281"/>
      <c r="AW80" s="281"/>
      <c r="AX80" s="281"/>
      <c r="AY80" s="281"/>
      <c r="AZ80" s="281"/>
      <c r="BA80" s="281"/>
      <c r="BB80" s="281"/>
      <c r="BC80" s="281"/>
      <c r="BD80" s="147"/>
      <c r="BE80" s="281"/>
      <c r="BF80" s="141"/>
      <c r="BG80" s="141"/>
      <c r="BH80" s="141"/>
      <c r="BI80" s="281"/>
      <c r="BJ80" s="147"/>
      <c r="BK80" s="281"/>
      <c r="BL80" s="147"/>
      <c r="BM80" s="147"/>
      <c r="BN80" s="147"/>
      <c r="BO80" s="1113"/>
      <c r="BP80" s="147"/>
      <c r="BQ80" s="281"/>
      <c r="BR80" s="147"/>
      <c r="BS80" s="147"/>
      <c r="BT80" s="147"/>
      <c r="BU80" s="1113"/>
      <c r="BV80" s="147"/>
      <c r="BW80" s="281"/>
      <c r="BX80" s="281"/>
      <c r="BY80" s="281"/>
      <c r="BZ80" s="281"/>
      <c r="CA80" s="1113"/>
      <c r="CB80" s="147"/>
      <c r="CC80" s="147"/>
      <c r="CD80" s="281"/>
      <c r="CE80" s="281"/>
      <c r="CF80" s="1509"/>
      <c r="CG80" s="1529"/>
      <c r="CH80" s="147"/>
      <c r="CI80" s="147"/>
      <c r="CJ80" s="147"/>
      <c r="CK80" s="141"/>
      <c r="CL80" s="141"/>
      <c r="CM80" s="1529"/>
      <c r="CN80" s="147"/>
      <c r="CO80" s="147"/>
      <c r="CP80" s="147"/>
      <c r="CQ80" s="147"/>
      <c r="CR80" s="141"/>
      <c r="CS80" s="1529"/>
      <c r="CT80" s="281"/>
      <c r="CU80" s="147"/>
      <c r="CV80" s="875"/>
      <c r="CW80" s="875"/>
      <c r="CX80" s="141"/>
      <c r="CY80" s="1529"/>
      <c r="CZ80" s="281"/>
      <c r="DA80" s="147"/>
      <c r="DB80" s="147"/>
      <c r="DC80" s="875"/>
      <c r="DD80" s="875"/>
      <c r="DE80" s="1529"/>
      <c r="DF80" s="281"/>
      <c r="DG80" s="147"/>
      <c r="DH80" s="147"/>
      <c r="DI80" s="147"/>
      <c r="DJ80" s="147"/>
      <c r="DK80" s="1529"/>
      <c r="DL80" s="147"/>
      <c r="DM80" s="1813"/>
      <c r="DN80" s="147"/>
      <c r="DO80" s="147"/>
      <c r="DP80" s="147"/>
      <c r="DQ80" s="1529"/>
      <c r="DR80" s="147"/>
      <c r="DS80" s="1813"/>
      <c r="DT80" s="147"/>
      <c r="DU80" s="147"/>
      <c r="DV80" s="147"/>
      <c r="DW80" s="1096"/>
      <c r="DX80" s="147"/>
      <c r="DY80" s="147"/>
      <c r="DZ80" s="147"/>
      <c r="EA80" s="147"/>
      <c r="EB80" s="147"/>
      <c r="EC80" s="1096"/>
      <c r="ED80" s="147"/>
      <c r="EE80" s="147"/>
      <c r="EF80" s="147"/>
      <c r="EG80" s="147"/>
      <c r="EH80" s="147"/>
      <c r="EI80" s="1096"/>
      <c r="EJ80" s="147"/>
      <c r="EK80" s="147"/>
      <c r="EL80" s="147"/>
      <c r="EM80" s="147"/>
      <c r="EN80" s="147"/>
      <c r="EO80" s="1096"/>
      <c r="EP80" s="147"/>
      <c r="EQ80" s="147"/>
      <c r="ER80" s="147"/>
      <c r="ES80" s="147"/>
      <c r="ET80" s="147"/>
      <c r="EU80" s="1096"/>
    </row>
    <row r="81" spans="1:196" ht="12.75" customHeight="1">
      <c r="A81" s="953" t="s">
        <v>5555</v>
      </c>
      <c r="B81" s="954"/>
      <c r="C81" s="954"/>
      <c r="D81" s="954"/>
      <c r="E81" s="954"/>
      <c r="F81" s="954"/>
      <c r="G81" s="954"/>
      <c r="H81" s="954"/>
      <c r="I81" s="954"/>
      <c r="J81" s="954"/>
      <c r="K81" s="954"/>
      <c r="L81" s="954"/>
      <c r="M81" s="954"/>
      <c r="N81" s="954"/>
      <c r="O81" s="954"/>
      <c r="P81" s="954"/>
      <c r="Q81" s="954"/>
      <c r="R81" s="954"/>
      <c r="S81" s="955"/>
      <c r="T81" s="955"/>
      <c r="U81" s="955">
        <v>25</v>
      </c>
      <c r="V81" s="955"/>
      <c r="W81" s="955"/>
      <c r="X81" s="955"/>
      <c r="Y81" s="955"/>
      <c r="Z81" s="955"/>
      <c r="AA81" s="955"/>
      <c r="AB81" s="955"/>
      <c r="AC81" s="956">
        <v>50.561999999999998</v>
      </c>
      <c r="AD81" s="956"/>
      <c r="AE81" s="956"/>
      <c r="AF81" s="957"/>
      <c r="AG81" s="958">
        <v>49.1</v>
      </c>
      <c r="AH81" s="958">
        <v>39.700000000000003</v>
      </c>
      <c r="AI81" s="958">
        <v>36.799999999999997</v>
      </c>
      <c r="AJ81" s="958">
        <v>30.5</v>
      </c>
      <c r="AK81" s="958"/>
      <c r="AL81" s="957"/>
      <c r="AM81" s="958">
        <v>35.4</v>
      </c>
      <c r="AN81" s="958">
        <v>32.799999999999997</v>
      </c>
      <c r="AO81" s="958">
        <v>30.5</v>
      </c>
      <c r="AP81" s="958">
        <v>29.8</v>
      </c>
      <c r="AQ81" s="958">
        <f>SUM(AM81:AP81)</f>
        <v>128.5</v>
      </c>
      <c r="AR81" s="958"/>
      <c r="AS81" s="958">
        <v>38.200000000000003</v>
      </c>
      <c r="AT81" s="958">
        <v>30.8</v>
      </c>
      <c r="AU81" s="958">
        <v>33.5</v>
      </c>
      <c r="AV81" s="958">
        <v>37.1</v>
      </c>
      <c r="AW81" s="958">
        <f>SUM(AS81:AV81)</f>
        <v>139.6</v>
      </c>
      <c r="AX81" s="957"/>
      <c r="AY81" s="959">
        <v>37.6</v>
      </c>
      <c r="AZ81" s="959">
        <v>36.700000000000003</v>
      </c>
      <c r="BA81" s="959">
        <v>43.1</v>
      </c>
      <c r="BB81" s="959">
        <v>42.6</v>
      </c>
      <c r="BC81" s="958">
        <f>SUM(AY81:BB81)</f>
        <v>160</v>
      </c>
      <c r="BD81" s="957"/>
      <c r="BE81" s="958">
        <v>41.2</v>
      </c>
      <c r="BF81" s="958">
        <v>45.1</v>
      </c>
      <c r="BG81" s="958">
        <v>42.9</v>
      </c>
      <c r="BH81" s="958">
        <v>43</v>
      </c>
      <c r="BI81" s="958">
        <f>SUM(BE81:BH81)</f>
        <v>172.20000000000002</v>
      </c>
      <c r="BJ81" s="957"/>
      <c r="BK81" s="958">
        <v>46.8</v>
      </c>
      <c r="BL81" s="958">
        <v>58.5</v>
      </c>
      <c r="BM81" s="958">
        <v>64</v>
      </c>
      <c r="BN81" s="958">
        <v>65</v>
      </c>
      <c r="BO81" s="1114">
        <f>SUM(BK81:BN81)</f>
        <v>234.3</v>
      </c>
      <c r="BP81" s="957"/>
      <c r="BQ81" s="958">
        <v>59</v>
      </c>
      <c r="BR81" s="958">
        <v>62</v>
      </c>
      <c r="BS81" s="958">
        <v>67</v>
      </c>
      <c r="BT81" s="958">
        <v>71</v>
      </c>
      <c r="BU81" s="1114">
        <f>SUM(BQ81:BT81)</f>
        <v>259</v>
      </c>
      <c r="BV81" s="954"/>
      <c r="BW81" s="958">
        <v>67</v>
      </c>
      <c r="BX81" s="958">
        <v>69</v>
      </c>
      <c r="BY81" s="958">
        <v>73</v>
      </c>
      <c r="BZ81" s="958">
        <v>53</v>
      </c>
      <c r="CA81" s="1114">
        <f>SUM(BW81:BZ81)</f>
        <v>262</v>
      </c>
      <c r="CB81" s="954"/>
      <c r="CC81" s="958">
        <v>48</v>
      </c>
      <c r="CD81" s="958">
        <v>47</v>
      </c>
      <c r="CE81" s="958">
        <v>48</v>
      </c>
      <c r="CF81" s="1510">
        <v>46</v>
      </c>
      <c r="CG81" s="1530">
        <v>189.1</v>
      </c>
      <c r="CH81" s="954"/>
      <c r="CI81" s="958">
        <v>46</v>
      </c>
      <c r="CJ81" s="958">
        <v>49.5</v>
      </c>
      <c r="CK81" s="958">
        <v>50</v>
      </c>
      <c r="CL81" s="958">
        <v>52</v>
      </c>
      <c r="CM81" s="1530">
        <v>189.1</v>
      </c>
      <c r="CN81" s="954"/>
      <c r="CO81" s="958">
        <v>53</v>
      </c>
      <c r="CP81" s="958">
        <v>54</v>
      </c>
      <c r="CQ81" s="958">
        <v>53</v>
      </c>
      <c r="CR81" s="958">
        <v>55</v>
      </c>
      <c r="CS81" s="1530">
        <f>SUM(CO81:CR81)</f>
        <v>215</v>
      </c>
      <c r="CT81" s="958"/>
      <c r="CU81" s="958">
        <v>51</v>
      </c>
      <c r="CV81" s="958">
        <v>49</v>
      </c>
      <c r="CW81" s="958">
        <v>48</v>
      </c>
      <c r="CX81" s="958">
        <v>47</v>
      </c>
      <c r="CY81" s="1530">
        <f>SUM(CU81:CX81)</f>
        <v>195</v>
      </c>
      <c r="CZ81" s="958"/>
      <c r="DA81" s="958">
        <v>47</v>
      </c>
      <c r="DB81" s="958">
        <v>43</v>
      </c>
      <c r="DC81" s="958">
        <v>44</v>
      </c>
      <c r="DD81" s="958">
        <v>41</v>
      </c>
      <c r="DE81" s="1530">
        <f>SUM(DA81:DD81)</f>
        <v>175</v>
      </c>
      <c r="DF81" s="958"/>
      <c r="DG81" s="958">
        <v>38</v>
      </c>
      <c r="DH81" s="958">
        <v>44</v>
      </c>
      <c r="DI81" s="958">
        <v>43</v>
      </c>
      <c r="DJ81" s="958">
        <v>43</v>
      </c>
      <c r="DK81" s="1530">
        <f>SUM(DG81:DJ81)</f>
        <v>168</v>
      </c>
      <c r="DL81" s="954"/>
      <c r="DM81" s="1814">
        <v>40</v>
      </c>
      <c r="DN81" s="958">
        <v>41</v>
      </c>
      <c r="DO81" s="958">
        <v>39</v>
      </c>
      <c r="DP81" s="958">
        <v>40</v>
      </c>
      <c r="DQ81" s="1530">
        <f>SUM(DM81:DP81)</f>
        <v>160</v>
      </c>
      <c r="DS81" s="1814">
        <v>35</v>
      </c>
      <c r="DT81" s="958">
        <v>34</v>
      </c>
      <c r="DU81" s="2081">
        <v>34</v>
      </c>
      <c r="DV81" s="2081">
        <v>35</v>
      </c>
      <c r="DW81" s="1179"/>
      <c r="DY81" s="2081">
        <v>37</v>
      </c>
      <c r="DZ81" s="958">
        <v>38</v>
      </c>
      <c r="EA81" s="2081">
        <v>38</v>
      </c>
      <c r="EB81" s="2081">
        <v>40</v>
      </c>
      <c r="EC81" s="1179"/>
      <c r="EE81" s="954"/>
      <c r="EF81" s="954"/>
      <c r="EG81" s="954"/>
      <c r="EH81" s="954"/>
      <c r="EI81" s="1179"/>
      <c r="EK81" s="954"/>
      <c r="EL81" s="954"/>
      <c r="EM81" s="954"/>
      <c r="EN81" s="954"/>
      <c r="EO81" s="1179"/>
      <c r="EQ81" s="954"/>
      <c r="ER81" s="954"/>
      <c r="ES81" s="954"/>
      <c r="ET81" s="954"/>
      <c r="EU81" s="1179"/>
    </row>
    <row r="82" spans="1:196">
      <c r="A82" s="960" t="s">
        <v>345</v>
      </c>
      <c r="B82" s="875"/>
      <c r="C82" s="875"/>
      <c r="D82" s="875"/>
      <c r="E82" s="875"/>
      <c r="F82" s="875"/>
      <c r="G82" s="875"/>
      <c r="H82" s="875"/>
      <c r="I82" s="875"/>
      <c r="J82" s="875"/>
      <c r="K82" s="875"/>
      <c r="L82" s="875"/>
      <c r="M82" s="875"/>
      <c r="N82" s="875"/>
      <c r="O82" s="632" t="str">
        <f>IF(I81&lt;&gt;"",O81/I81-1,"-")</f>
        <v>-</v>
      </c>
      <c r="P82" s="632" t="str">
        <f>IF(J81&lt;&gt;"",P81/J81-1,"-")</f>
        <v>-</v>
      </c>
      <c r="Q82" s="632" t="str">
        <f>IF(K81&lt;&gt;"",Q81/K81-1,"-")</f>
        <v>-</v>
      </c>
      <c r="R82" s="632" t="str">
        <f>IF(L81&lt;&gt;"",R81/L81-1,"-")</f>
        <v>-</v>
      </c>
      <c r="S82" s="632"/>
      <c r="T82" s="875"/>
      <c r="U82" s="632" t="str">
        <f>IF(O81&lt;&gt;"",U81/O81-1,"-")</f>
        <v>-</v>
      </c>
      <c r="V82" s="632" t="str">
        <f>IF(P81&lt;&gt;"",V81/P81-1,"-")</f>
        <v>-</v>
      </c>
      <c r="W82" s="632" t="str">
        <f>IF(Q81&lt;&gt;"",W81/Q81-1,"-")</f>
        <v>-</v>
      </c>
      <c r="X82" s="632" t="str">
        <f>IF(R81&lt;&gt;"",X81/R81-1,"-")</f>
        <v>-</v>
      </c>
      <c r="Y82" s="632"/>
      <c r="Z82" s="875"/>
      <c r="AA82" s="632">
        <f>IF(U81&lt;&gt;"",AA81/U81-1,"-")</f>
        <v>-1</v>
      </c>
      <c r="AB82" s="632" t="str">
        <f>IF(V81&lt;&gt;"",AB81/V81-1,"-")</f>
        <v>-</v>
      </c>
      <c r="AC82" s="632" t="str">
        <f>IF(W81&lt;&gt;"",AC81/W81-1,"-")</f>
        <v>-</v>
      </c>
      <c r="AD82" s="632" t="str">
        <f>IF(X81&lt;&gt;"",AD81/X81-1,"-")</f>
        <v>-</v>
      </c>
      <c r="AE82" s="632"/>
      <c r="AF82" s="875"/>
      <c r="AG82" s="632" t="str">
        <f>IF(AA81&lt;&gt;"",AG81/AA81-1,"-")</f>
        <v>-</v>
      </c>
      <c r="AH82" s="632" t="str">
        <f>IF(AB81&lt;&gt;"",AH81/AB81-1,"-")</f>
        <v>-</v>
      </c>
      <c r="AI82" s="632">
        <f>IF(AC81&lt;&gt;"",AI81/AC81-1,"-")</f>
        <v>-0.27218068905502157</v>
      </c>
      <c r="AJ82" s="632" t="str">
        <f>IF(AD81&lt;&gt;"",AJ81/AD81-1,"-")</f>
        <v>-</v>
      </c>
      <c r="AK82" s="632"/>
      <c r="AL82" s="875"/>
      <c r="AM82" s="632">
        <f>IF(AG81&lt;&gt;"",AM81/AG81-1,"-")</f>
        <v>-0.2790224032586559</v>
      </c>
      <c r="AN82" s="632">
        <f>IF(AH81&lt;&gt;"",AN81/AH81-1,"-")</f>
        <v>-0.17380352644836283</v>
      </c>
      <c r="AO82" s="632">
        <f>IF(AI81&lt;&gt;"",AO81/AI81-1,"-")</f>
        <v>-0.17119565217391297</v>
      </c>
      <c r="AP82" s="632">
        <f>IF(AJ81&lt;&gt;"",AP81/AJ81-1,"-")</f>
        <v>-2.2950819672131084E-2</v>
      </c>
      <c r="AQ82" s="632" t="str">
        <f>IF(AK81&lt;&gt;"",AQ81/AK81-1,"-")</f>
        <v>-</v>
      </c>
      <c r="AR82" s="875"/>
      <c r="AS82" s="632">
        <f>IF(AM81&lt;&gt;"",AS81/AM81-1,"-")</f>
        <v>7.9096045197740272E-2</v>
      </c>
      <c r="AT82" s="632">
        <f>IF(AN81&lt;&gt;"",AT81/AN81-1,"-")</f>
        <v>-6.0975609756097504E-2</v>
      </c>
      <c r="AU82" s="632">
        <f>IF(AO81&lt;&gt;"",AU81/AO81-1,"-")</f>
        <v>9.8360655737705027E-2</v>
      </c>
      <c r="AV82" s="632">
        <f>IF(AP81&lt;&gt;"",AV81/AP81-1,"-")</f>
        <v>0.24496644295302006</v>
      </c>
      <c r="AW82" s="632">
        <f>IF(AQ81&lt;&gt;"",AW81/AQ81-1,"-")</f>
        <v>8.6381322957198359E-2</v>
      </c>
      <c r="AX82" s="875"/>
      <c r="AY82" s="632">
        <f>IF(AS81&lt;&gt;"",AY81/AS81-1,"-")</f>
        <v>-1.5706806282722585E-2</v>
      </c>
      <c r="AZ82" s="632">
        <f>IF(AT81&lt;&gt;"",AZ81/AT81-1,"-")</f>
        <v>0.19155844155844171</v>
      </c>
      <c r="BA82" s="632">
        <f>IF(AU81&lt;&gt;"",BA81/AU81-1,"-")</f>
        <v>0.28656716417910455</v>
      </c>
      <c r="BB82" s="632">
        <f>IF(AV81&lt;&gt;"",BB81/AV81-1,"-")</f>
        <v>0.14824797843665771</v>
      </c>
      <c r="BC82" s="632">
        <f>IF(AW81&lt;&gt;"",BC81/AW81-1,"-")</f>
        <v>0.14613180515759328</v>
      </c>
      <c r="BD82" s="875"/>
      <c r="BE82" s="632">
        <f>IF(AY81&lt;&gt;"",BE81/AY81-1,"-")</f>
        <v>9.5744680851063801E-2</v>
      </c>
      <c r="BF82" s="632">
        <f>IF(AZ81&lt;&gt;"",BF81/AZ81-1,"-")</f>
        <v>0.22888283378746599</v>
      </c>
      <c r="BG82" s="632">
        <f>IF(BA81&lt;&gt;"",BG81/BA81-1,"-")</f>
        <v>-4.6403712296984034E-3</v>
      </c>
      <c r="BH82" s="632">
        <f>IF(BB81&lt;&gt;"",BH81/BB81-1,"-")</f>
        <v>9.3896713615022609E-3</v>
      </c>
      <c r="BI82" s="632">
        <f>IF(BC81&lt;&gt;"",BI81/BC81-1,"-")</f>
        <v>7.6250000000000151E-2</v>
      </c>
      <c r="BJ82" s="875"/>
      <c r="BK82" s="632">
        <f>IF(BE81&lt;&gt;"",BK81/BE81-1,"-")</f>
        <v>0.13592233009708732</v>
      </c>
      <c r="BL82" s="632">
        <f>IF(BF81&lt;&gt;"",BL81/BF81-1,"-")</f>
        <v>0.29711751662971175</v>
      </c>
      <c r="BM82" s="632">
        <f>IF(BG81&lt;&gt;"",BM81/BG81-1,"-")</f>
        <v>0.49184149184149195</v>
      </c>
      <c r="BN82" s="632">
        <f>IF(BH81&lt;&gt;"",BN81/BH81-1,"-")</f>
        <v>0.51162790697674421</v>
      </c>
      <c r="BO82" s="1115">
        <f>IF(BI81&lt;&gt;"",BO81/BI81-1,"-")</f>
        <v>0.36062717770034847</v>
      </c>
      <c r="BP82" s="875"/>
      <c r="BQ82" s="632">
        <f>IF(BK81&lt;&gt;"",BQ81/BK81-1,"-")</f>
        <v>0.26068376068376087</v>
      </c>
      <c r="BR82" s="632">
        <f>IF(BL81&lt;&gt;"",BR81/BL81-1,"-")</f>
        <v>5.9829059829059839E-2</v>
      </c>
      <c r="BS82" s="632">
        <f>IF(BM81&lt;&gt;"",BS81/BM81-1,"-")</f>
        <v>4.6875E-2</v>
      </c>
      <c r="BT82" s="632">
        <f>IF(BN81&lt;&gt;"",BT81/BN81-1,"-")</f>
        <v>9.2307692307692202E-2</v>
      </c>
      <c r="BU82" s="1115">
        <f>IF(BO81&lt;&gt;"",BU81/BO81-1,"-")</f>
        <v>0.10542040119504903</v>
      </c>
      <c r="BV82" s="875"/>
      <c r="BW82" s="632">
        <f>IF(BQ81&lt;&gt;"",BW81/BQ81-1,"-")</f>
        <v>0.13559322033898313</v>
      </c>
      <c r="BX82" s="632">
        <f>IF(BR81&lt;&gt;"",BX81/BR81-1,"-")</f>
        <v>0.11290322580645151</v>
      </c>
      <c r="BY82" s="632">
        <f>IF(BS81&lt;&gt;"",BY81/BS81-1,"-")</f>
        <v>8.9552238805970186E-2</v>
      </c>
      <c r="BZ82" s="632">
        <f>IF(BT81&lt;&gt;"",BZ81/BT81-1,"-")</f>
        <v>-0.25352112676056338</v>
      </c>
      <c r="CA82" s="1115">
        <f>IF(BU81&lt;&gt;"",CA81/BU81-1,"-")</f>
        <v>1.158301158301156E-2</v>
      </c>
      <c r="CB82" s="875"/>
      <c r="CC82" s="632">
        <f>IF(BW81&lt;&gt;"",CC81/BW81-1,"-")</f>
        <v>-0.28358208955223885</v>
      </c>
      <c r="CD82" s="632">
        <f>IF(BX81&lt;&gt;"",CD81/BX81-1,"-")</f>
        <v>-0.3188405797101449</v>
      </c>
      <c r="CE82" s="632">
        <f>IF(BY81&lt;&gt;"",CE81/BY81-1,"-")</f>
        <v>-0.34246575342465757</v>
      </c>
      <c r="CF82" s="1503">
        <f>IF(BZ81&lt;&gt;"",CF81/BZ81-1,"-")</f>
        <v>-0.13207547169811318</v>
      </c>
      <c r="CG82" s="1522">
        <f>IF(CA81&lt;&gt;"",CG81/CA81-1,"-")</f>
        <v>-0.27824427480916036</v>
      </c>
      <c r="CH82" s="875"/>
      <c r="CI82" s="632">
        <f>IF(CC81&lt;&gt;"",CI81/CC81-1,"-")</f>
        <v>-4.166666666666663E-2</v>
      </c>
      <c r="CJ82" s="632">
        <f>IF(CD81&lt;&gt;"",CJ81/CD81-1,"-")</f>
        <v>5.3191489361702038E-2</v>
      </c>
      <c r="CK82" s="632">
        <f>IF(CE81&lt;&gt;"",CK81/CE81-1,"-")</f>
        <v>4.1666666666666741E-2</v>
      </c>
      <c r="CL82" s="632">
        <f>IF(CF81&lt;&gt;"",CL81/CF81-1,"-")</f>
        <v>0.13043478260869557</v>
      </c>
      <c r="CM82" s="1522">
        <f>IF(CG81&lt;&gt;"",CM81/CG81-1,"-")</f>
        <v>0</v>
      </c>
      <c r="CN82" s="875"/>
      <c r="CO82" s="632">
        <f>IF(CI81&lt;&gt;"",CO81/CI81-1,"-")</f>
        <v>0.15217391304347827</v>
      </c>
      <c r="CP82" s="632">
        <f>IF(CJ81&lt;&gt;"",CP81/CJ81-1,"-")</f>
        <v>9.0909090909090828E-2</v>
      </c>
      <c r="CQ82" s="632">
        <f>IF(CK81&lt;&gt;"",CQ81/CK81-1,"-")</f>
        <v>6.0000000000000053E-2</v>
      </c>
      <c r="CR82" s="632">
        <f>IF(CL81&lt;&gt;"",CR81/CL81-1,"-")</f>
        <v>5.7692307692307709E-2</v>
      </c>
      <c r="CS82" s="1522">
        <f>IF(CM81&lt;&gt;"",CS81/CM81-1,"-")</f>
        <v>0.13696456901110521</v>
      </c>
      <c r="CT82" s="632"/>
      <c r="CU82" s="632">
        <f>IF(CO81&lt;&gt;"",CU81/CO81-1,"-")</f>
        <v>-3.7735849056603765E-2</v>
      </c>
      <c r="CV82" s="632">
        <f>IF(CP81&lt;&gt;"",CV81/CP81-1,"-")</f>
        <v>-9.259259259259256E-2</v>
      </c>
      <c r="CW82" s="632">
        <f>IF(CQ81&lt;&gt;"",CW81/CQ81-1,"-")</f>
        <v>-9.4339622641509413E-2</v>
      </c>
      <c r="CX82" s="632">
        <f>IF(CR81&lt;&gt;"",CX81/CR81-1,"-")</f>
        <v>-0.1454545454545455</v>
      </c>
      <c r="CY82" s="1522">
        <f>IF(CS81&lt;&gt;"",CY81/CS81-1,"-")</f>
        <v>-9.3023255813953543E-2</v>
      </c>
      <c r="CZ82" s="632"/>
      <c r="DA82" s="632">
        <f>IF(CU81&lt;&gt;"",DA81/CU81-1,"-")</f>
        <v>-7.8431372549019662E-2</v>
      </c>
      <c r="DB82" s="632">
        <f>IF(CV81&lt;&gt;"",DB81/CV81-1,"-")</f>
        <v>-0.12244897959183676</v>
      </c>
      <c r="DC82" s="632">
        <f>IF(CW81&lt;&gt;"",DC81/CW81-1,"-")</f>
        <v>-8.333333333333337E-2</v>
      </c>
      <c r="DD82" s="632">
        <f>IF(CX81&lt;&gt;"",DD81/CX81-1,"-")</f>
        <v>-0.12765957446808507</v>
      </c>
      <c r="DE82" s="1522">
        <f>IF(CY81&lt;&gt;"",DE81/CY81-1,"-")</f>
        <v>-0.10256410256410253</v>
      </c>
      <c r="DF82" s="632"/>
      <c r="DG82" s="632">
        <f>IF(DA81&lt;&gt;"",DG81/DA81-1,"-")</f>
        <v>-0.19148936170212771</v>
      </c>
      <c r="DH82" s="632">
        <f>IF(DB81&lt;&gt;"",DH81/DB81-1,"-")</f>
        <v>2.3255813953488413E-2</v>
      </c>
      <c r="DI82" s="632">
        <f>IF(DC81&lt;&gt;"",DI81/DC81-1,"-")</f>
        <v>-2.2727272727272707E-2</v>
      </c>
      <c r="DJ82" s="632">
        <f>IF(DD81&lt;&gt;"",DJ81/DD81-1,"-")</f>
        <v>4.8780487804878092E-2</v>
      </c>
      <c r="DK82" s="1522">
        <f>IF(DE81&lt;&gt;"",DK81/DE81-1,"-")</f>
        <v>-4.0000000000000036E-2</v>
      </c>
      <c r="DL82" s="875"/>
      <c r="DM82" s="1810">
        <f>IF(DG81&lt;&gt;"",DM81/DG81-1,"-")</f>
        <v>5.2631578947368363E-2</v>
      </c>
      <c r="DN82" s="632">
        <f>IF(DH81&lt;&gt;"",DN81/DH81-1,"-")</f>
        <v>-6.8181818181818232E-2</v>
      </c>
      <c r="DO82" s="632">
        <f>IF(DI81&lt;&gt;"",DO81/DI81-1,"-")</f>
        <v>-9.3023255813953543E-2</v>
      </c>
      <c r="DP82" s="632">
        <f>IF(DJ81&lt;&gt;"",DP81/DJ81-1,"-")</f>
        <v>-6.9767441860465129E-2</v>
      </c>
      <c r="DQ82" s="1522">
        <f>IF(DK81&lt;&gt;"",DQ81/DK81-1,"-")</f>
        <v>-4.7619047619047672E-2</v>
      </c>
      <c r="DR82" s="875"/>
      <c r="DS82" s="1810">
        <f>IF(DM81&lt;&gt;"",DS81/DM81-1,"-")</f>
        <v>-0.125</v>
      </c>
      <c r="DT82" s="632">
        <f>IF(DN81&lt;&gt;"",DT81/DN81-1,"-")</f>
        <v>-0.17073170731707321</v>
      </c>
      <c r="DU82" s="632">
        <f>IF(DO81&lt;&gt;"",DU81/DO81-1,"-")</f>
        <v>-0.12820512820512819</v>
      </c>
      <c r="DV82" s="632">
        <f>IF(DP81&lt;&gt;"",DV81/DP81-1,"-")</f>
        <v>-0.125</v>
      </c>
      <c r="DW82" s="1180"/>
      <c r="DX82" s="875"/>
      <c r="DY82" s="632">
        <f>IF(DS81&lt;&gt;"",DY81/DS81-1,"-")</f>
        <v>5.7142857142857162E-2</v>
      </c>
      <c r="DZ82" s="632">
        <f>IF(DT81&lt;&gt;"",DZ81/DT81-1,"-")</f>
        <v>0.11764705882352944</v>
      </c>
      <c r="EA82" s="632">
        <f>IF(DU81&lt;&gt;"",EA81/DU81-1,"-")</f>
        <v>0.11764705882352944</v>
      </c>
      <c r="EB82" s="632">
        <f>IF(DV81&lt;&gt;"",EB81/DV81-1,"-")</f>
        <v>0.14285714285714279</v>
      </c>
      <c r="EC82" s="1180"/>
      <c r="ED82" s="875"/>
      <c r="EE82" s="875"/>
      <c r="EF82" s="875"/>
      <c r="EG82" s="875"/>
      <c r="EH82" s="875"/>
      <c r="EI82" s="1180"/>
      <c r="EJ82" s="875"/>
      <c r="EK82" s="875"/>
      <c r="EL82" s="875"/>
      <c r="EM82" s="875"/>
      <c r="EN82" s="875"/>
      <c r="EO82" s="1180"/>
      <c r="EP82" s="875"/>
      <c r="EQ82" s="875"/>
      <c r="ER82" s="875"/>
      <c r="ES82" s="875"/>
      <c r="ET82" s="875"/>
      <c r="EU82" s="1180"/>
    </row>
    <row r="83" spans="1:196" ht="12.75" customHeight="1">
      <c r="A83" s="960" t="s">
        <v>344</v>
      </c>
      <c r="B83" s="875"/>
      <c r="C83" s="875"/>
      <c r="D83" s="875"/>
      <c r="E83" s="875"/>
      <c r="F83" s="875"/>
      <c r="G83" s="875"/>
      <c r="H83" s="875"/>
      <c r="I83" s="875"/>
      <c r="J83" s="875"/>
      <c r="K83" s="875"/>
      <c r="L83" s="875"/>
      <c r="M83" s="875"/>
      <c r="N83" s="875"/>
      <c r="O83" s="632" t="str">
        <f>IF(L81&lt;&gt;"",O81/L81-1,"-")</f>
        <v>-</v>
      </c>
      <c r="P83" s="632" t="str">
        <f>IF(O81&lt;&gt;"",P81/O81-1,"-")</f>
        <v>-</v>
      </c>
      <c r="Q83" s="632" t="str">
        <f>IF(P81&lt;&gt;"",Q81/P81-1,"-")</f>
        <v>-</v>
      </c>
      <c r="R83" s="632" t="str">
        <f>IF(Q81&lt;&gt;"",R81/Q81-1,"-")</f>
        <v>-</v>
      </c>
      <c r="S83" s="980"/>
      <c r="T83" s="875"/>
      <c r="U83" s="632" t="str">
        <f>IF(R81&lt;&gt;"",U81/R81-1,"-")</f>
        <v>-</v>
      </c>
      <c r="V83" s="632">
        <f>IF(U81&lt;&gt;"",V81/U81-1,"-")</f>
        <v>-1</v>
      </c>
      <c r="W83" s="632" t="str">
        <f>IF(V81&lt;&gt;"",W81/V81-1,"-")</f>
        <v>-</v>
      </c>
      <c r="X83" s="632" t="str">
        <f>IF(W81&lt;&gt;"",X81/W81-1,"-")</f>
        <v>-</v>
      </c>
      <c r="Y83" s="980"/>
      <c r="Z83" s="875"/>
      <c r="AA83" s="632" t="str">
        <f>IF(X81&lt;&gt;"",AA81/X81-1,"-")</f>
        <v>-</v>
      </c>
      <c r="AB83" s="632" t="str">
        <f>IF(AA81&lt;&gt;"",AB81/AA81-1,"-")</f>
        <v>-</v>
      </c>
      <c r="AC83" s="632" t="str">
        <f>IF(AB81&lt;&gt;"",AC81/AB81-1,"-")</f>
        <v>-</v>
      </c>
      <c r="AD83" s="632">
        <f>IF(AC81&lt;&gt;"",AD81/AC81-1,"-")</f>
        <v>-1</v>
      </c>
      <c r="AE83" s="980"/>
      <c r="AF83" s="875"/>
      <c r="AG83" s="632" t="str">
        <f>IF(AD81&lt;&gt;"",AG81/AD81-1,"-")</f>
        <v>-</v>
      </c>
      <c r="AH83" s="632">
        <f>IF(AG81&lt;&gt;"",AH81/AG81-1,"-")</f>
        <v>-0.19144602851323822</v>
      </c>
      <c r="AI83" s="632">
        <f>IF(AH81&lt;&gt;"",AI81/AH81-1,"-")</f>
        <v>-7.3047858942065669E-2</v>
      </c>
      <c r="AJ83" s="632">
        <f>IF(AI81&lt;&gt;"",AJ81/AI81-1,"-")</f>
        <v>-0.17119565217391297</v>
      </c>
      <c r="AK83" s="980"/>
      <c r="AL83" s="875"/>
      <c r="AM83" s="632">
        <f>IF(AJ81&lt;&gt;"",AM81/AJ81-1,"-")</f>
        <v>0.16065573770491803</v>
      </c>
      <c r="AN83" s="632">
        <f>IF(AM81&lt;&gt;"",AN81/AM81-1,"-")</f>
        <v>-7.3446327683615809E-2</v>
      </c>
      <c r="AO83" s="632">
        <f>IF(AN81&lt;&gt;"",AO81/AN81-1,"-")</f>
        <v>-7.0121951219512146E-2</v>
      </c>
      <c r="AP83" s="632">
        <f>IF(AO81&lt;&gt;"",AP81/AO81-1,"-")</f>
        <v>-2.2950819672131084E-2</v>
      </c>
      <c r="AQ83" s="980" t="s">
        <v>6442</v>
      </c>
      <c r="AR83" s="875"/>
      <c r="AS83" s="632">
        <f>IF(AP81&lt;&gt;"",AS81/AP81-1,"-")</f>
        <v>0.28187919463087252</v>
      </c>
      <c r="AT83" s="632">
        <f>IF(AS81&lt;&gt;"",AT81/AS81-1,"-")</f>
        <v>-0.19371727748691103</v>
      </c>
      <c r="AU83" s="632">
        <f>IF(AT81&lt;&gt;"",AU81/AT81-1,"-")</f>
        <v>8.7662337662337553E-2</v>
      </c>
      <c r="AV83" s="632">
        <f>IF(AU81&lt;&gt;"",AV81/AU81-1,"-")</f>
        <v>0.10746268656716418</v>
      </c>
      <c r="AW83" s="980" t="s">
        <v>6442</v>
      </c>
      <c r="AX83" s="875"/>
      <c r="AY83" s="632">
        <f>IF(AV81&lt;&gt;"",AY81/AV81-1,"-")</f>
        <v>1.3477088948786964E-2</v>
      </c>
      <c r="AZ83" s="632">
        <f>IF(AY81&lt;&gt;"",AZ81/AY81-1,"-")</f>
        <v>-2.393617021276595E-2</v>
      </c>
      <c r="BA83" s="632">
        <f>IF(AZ81&lt;&gt;"",BA81/AZ81-1,"-")</f>
        <v>0.17438692098092634</v>
      </c>
      <c r="BB83" s="632">
        <f>IF(BA81&lt;&gt;"",BB81/BA81-1,"-")</f>
        <v>-1.1600928074245953E-2</v>
      </c>
      <c r="BC83" s="980" t="s">
        <v>6442</v>
      </c>
      <c r="BD83" s="875"/>
      <c r="BE83" s="632">
        <f>IF(BB81&lt;&gt;"",BE81/BB81-1,"-")</f>
        <v>-3.2863849765258135E-2</v>
      </c>
      <c r="BF83" s="632">
        <f>IF(BE81&lt;&gt;"",BF81/BE81-1,"-")</f>
        <v>9.4660194174757351E-2</v>
      </c>
      <c r="BG83" s="632">
        <f>IF(BF81&lt;&gt;"",BG81/BF81-1,"-")</f>
        <v>-4.8780487804878092E-2</v>
      </c>
      <c r="BH83" s="632">
        <f>IF(BG81&lt;&gt;"",BH81/BG81-1,"-")</f>
        <v>2.3310023310023631E-3</v>
      </c>
      <c r="BI83" s="980" t="s">
        <v>6442</v>
      </c>
      <c r="BJ83" s="875"/>
      <c r="BK83" s="632">
        <f>IF(BH81&lt;&gt;"",BK81/BH81-1,"-")</f>
        <v>8.837209302325566E-2</v>
      </c>
      <c r="BL83" s="632">
        <f>IF(BK81&lt;&gt;"",BL81/BK81-1,"-")</f>
        <v>0.25</v>
      </c>
      <c r="BM83" s="632">
        <f>IF(BL81&lt;&gt;"",BM81/BL81-1,"-")</f>
        <v>9.4017094017094127E-2</v>
      </c>
      <c r="BN83" s="632">
        <f>IF(BM81&lt;&gt;"",BN81/BM81-1,"-")</f>
        <v>1.5625E-2</v>
      </c>
      <c r="BO83" s="1116" t="s">
        <v>6442</v>
      </c>
      <c r="BP83" s="875"/>
      <c r="BQ83" s="632">
        <f>IF(BN81&lt;&gt;"",BQ81/BN81-1,"-")</f>
        <v>-9.2307692307692313E-2</v>
      </c>
      <c r="BR83" s="632">
        <f>IF(BQ81&lt;&gt;"",BR81/BQ81-1,"-")</f>
        <v>5.0847457627118731E-2</v>
      </c>
      <c r="BS83" s="632">
        <f>IF(BR81&lt;&gt;"",BS81/BR81-1,"-")</f>
        <v>8.0645161290322509E-2</v>
      </c>
      <c r="BT83" s="632">
        <f>IF(BS81&lt;&gt;"",BT81/BS81-1,"-")</f>
        <v>5.9701492537313383E-2</v>
      </c>
      <c r="BU83" s="1116" t="s">
        <v>6442</v>
      </c>
      <c r="BV83" s="875"/>
      <c r="BW83" s="632">
        <f>IF(BT81&lt;&gt;"",BW81/BT81-1,"-")</f>
        <v>-5.633802816901412E-2</v>
      </c>
      <c r="BX83" s="632">
        <f>IF(BU81&lt;&gt;"",BX81/BU81-1,"-")</f>
        <v>-0.73359073359073357</v>
      </c>
      <c r="BY83" s="263">
        <f>IF(BX81&lt;&gt;"",BY81/BX81-1,"-")</f>
        <v>5.7971014492753659E-2</v>
      </c>
      <c r="BZ83" s="632">
        <f>IF(BW81&lt;&gt;"",BZ81/BW81-1,"-")</f>
        <v>-0.20895522388059706</v>
      </c>
      <c r="CA83" s="1116" t="s">
        <v>6442</v>
      </c>
      <c r="CB83" s="875"/>
      <c r="CC83" s="632">
        <f>IF(BZ81&lt;&gt;"",CC81/BZ81-1,"-")</f>
        <v>-9.4339622641509413E-2</v>
      </c>
      <c r="CD83" s="632">
        <f>IF(CC81&lt;&gt;"",CD81/CC81-1,"-")</f>
        <v>-2.083333333333337E-2</v>
      </c>
      <c r="CE83" s="632">
        <f>IF(CD81&lt;&gt;"",CE81/CD81-1,"-")</f>
        <v>2.1276595744680771E-2</v>
      </c>
      <c r="CF83" s="1503">
        <f>IF(CE81&lt;&gt;"",CF81/CE81-1,"-")</f>
        <v>-4.166666666666663E-2</v>
      </c>
      <c r="CG83" s="1521" t="s">
        <v>6442</v>
      </c>
      <c r="CH83" s="875"/>
      <c r="CI83" s="632">
        <f>IF(CF81&lt;&gt;"",CI81/CF81-1,"-")</f>
        <v>0</v>
      </c>
      <c r="CJ83" s="632">
        <f>IF(CI81&lt;&gt;"",CJ81/CI81-1,"-")</f>
        <v>7.6086956521739024E-2</v>
      </c>
      <c r="CK83" s="632">
        <f>IF(CJ81&lt;&gt;"",CK81/CJ81-1,"-")</f>
        <v>1.0101010101010166E-2</v>
      </c>
      <c r="CL83" s="632">
        <f>IF(CK81&lt;&gt;"",CL81/CK81-1,"-")</f>
        <v>4.0000000000000036E-2</v>
      </c>
      <c r="CM83" s="1521" t="s">
        <v>6442</v>
      </c>
      <c r="CN83" s="875"/>
      <c r="CO83" s="632">
        <f>IF(CL81&lt;&gt;"",CO81/CL81-1,"-")</f>
        <v>1.9230769230769162E-2</v>
      </c>
      <c r="CP83" s="632">
        <f>IF(CO81&lt;&gt;"",CP81/CO81-1,"-")</f>
        <v>1.8867924528301883E-2</v>
      </c>
      <c r="CQ83" s="632">
        <f>IF(CP81&lt;&gt;"",CQ81/CP81-1,"-")</f>
        <v>-1.851851851851849E-2</v>
      </c>
      <c r="CR83" s="632">
        <f>IF(CQ81&lt;&gt;"",CR81/CQ81-1,"-")</f>
        <v>3.7735849056603765E-2</v>
      </c>
      <c r="CS83" s="1521" t="s">
        <v>6442</v>
      </c>
      <c r="CT83" s="980"/>
      <c r="CU83" s="632">
        <f>IF(CR81&lt;&gt;"",CU81/CR81-1,"-")</f>
        <v>-7.2727272727272751E-2</v>
      </c>
      <c r="CV83" s="632">
        <f>IF(CU81&lt;&gt;"",CV81/CU81-1,"-")</f>
        <v>-3.9215686274509776E-2</v>
      </c>
      <c r="CW83" s="632">
        <f>IF(CV81&lt;&gt;"",CW81/CV81-1,"-")</f>
        <v>-2.0408163265306145E-2</v>
      </c>
      <c r="CX83" s="632">
        <f>IF(CW81&lt;&gt;"",CX81/CW81-1,"-")</f>
        <v>-2.083333333333337E-2</v>
      </c>
      <c r="CY83" s="1521" t="s">
        <v>6442</v>
      </c>
      <c r="CZ83" s="980"/>
      <c r="DA83" s="632">
        <f>IF(CX81&lt;&gt;"",DA81/CX81-1,"-")</f>
        <v>0</v>
      </c>
      <c r="DB83" s="632">
        <f>IF(DA81&lt;&gt;"",DB81/DA81-1,"-")</f>
        <v>-8.5106382978723416E-2</v>
      </c>
      <c r="DC83" s="632">
        <f>IF(DB81&lt;&gt;"",DC81/DB81-1,"-")</f>
        <v>2.3255813953488413E-2</v>
      </c>
      <c r="DD83" s="632">
        <f>IF(DC81&lt;&gt;"",DD81/DC81-1,"-")</f>
        <v>-6.8181818181818232E-2</v>
      </c>
      <c r="DE83" s="1521" t="s">
        <v>6442</v>
      </c>
      <c r="DF83" s="980"/>
      <c r="DG83" s="263">
        <f>IF(DD81&lt;&gt;"",DG81/DD81-1,"-")</f>
        <v>-7.3170731707317027E-2</v>
      </c>
      <c r="DH83" s="263">
        <f>IF(DG81&lt;&gt;"",DH81/DG81-1,"-")</f>
        <v>0.15789473684210531</v>
      </c>
      <c r="DI83" s="263">
        <f>IF(DH81&lt;&gt;"",DI81/DH81-1,"-")</f>
        <v>-2.2727272727272707E-2</v>
      </c>
      <c r="DJ83" s="263">
        <f>IF(DI81&lt;&gt;"",DJ81/DI81-1,"-")</f>
        <v>0</v>
      </c>
      <c r="DK83" s="1521" t="s">
        <v>6442</v>
      </c>
      <c r="DL83" s="875"/>
      <c r="DM83" s="1810">
        <f>IF(DJ81&lt;&gt;"",DM81/DJ81-1,"-")</f>
        <v>-6.9767441860465129E-2</v>
      </c>
      <c r="DN83" s="263">
        <f>IF(DM81&lt;&gt;"",DN81/DM81-1,"-")</f>
        <v>2.4999999999999911E-2</v>
      </c>
      <c r="DO83" s="263">
        <f>IF(DN81&lt;&gt;"",DO81/DN81-1,"-")</f>
        <v>-4.8780487804878092E-2</v>
      </c>
      <c r="DP83" s="263">
        <f>IF(DO81&lt;&gt;"",DP81/DO81-1,"-")</f>
        <v>2.564102564102555E-2</v>
      </c>
      <c r="DQ83" s="1521" t="s">
        <v>6442</v>
      </c>
      <c r="DR83" s="875"/>
      <c r="DS83" s="1810">
        <f>IF(DP81&lt;&gt;"",DS81/DP81-1,"-")</f>
        <v>-0.125</v>
      </c>
      <c r="DT83" s="263">
        <f>IF(DS81&lt;&gt;"",DT81/DS81-1,"-")</f>
        <v>-2.8571428571428581E-2</v>
      </c>
      <c r="DU83" s="263">
        <f>IF(DT81&lt;&gt;"",DU81/DT81-1,"-")</f>
        <v>0</v>
      </c>
      <c r="DV83" s="263">
        <f>IF(DU81&lt;&gt;"",DV81/DU81-1,"-")</f>
        <v>2.9411764705882248E-2</v>
      </c>
      <c r="DW83" s="1180"/>
      <c r="DX83" s="875"/>
      <c r="DY83" s="1810">
        <f>IF(DV81&lt;&gt;"",DY81/DV81-1,"-")</f>
        <v>5.7142857142857162E-2</v>
      </c>
      <c r="DZ83" s="263">
        <f>IF(DY81&lt;&gt;"",DZ81/DY81-1,"-")</f>
        <v>2.7027027027026973E-2</v>
      </c>
      <c r="EA83" s="263">
        <f>IF(DZ81&lt;&gt;"",EA81/DZ81-1,"-")</f>
        <v>0</v>
      </c>
      <c r="EB83" s="263">
        <f>IF(EA81&lt;&gt;"",EB81/EA81-1,"-")</f>
        <v>5.2631578947368363E-2</v>
      </c>
      <c r="EC83" s="1180"/>
      <c r="ED83" s="875"/>
      <c r="EE83" s="875"/>
      <c r="EF83" s="875"/>
      <c r="EG83" s="875"/>
      <c r="EH83" s="875"/>
      <c r="EI83" s="1180"/>
      <c r="EJ83" s="875"/>
      <c r="EK83" s="875"/>
      <c r="EL83" s="875"/>
      <c r="EM83" s="875"/>
      <c r="EN83" s="875"/>
      <c r="EO83" s="1180"/>
      <c r="EP83" s="875"/>
      <c r="EQ83" s="875"/>
      <c r="ER83" s="875"/>
      <c r="ES83" s="875"/>
      <c r="ET83" s="875"/>
      <c r="EU83" s="1180"/>
    </row>
    <row r="84" spans="1:196" ht="12.75" customHeight="1">
      <c r="A84" s="963" t="s">
        <v>5579</v>
      </c>
      <c r="B84" s="964"/>
      <c r="C84" s="964"/>
      <c r="D84" s="964"/>
      <c r="E84" s="964"/>
      <c r="F84" s="964"/>
      <c r="G84" s="964"/>
      <c r="H84" s="964"/>
      <c r="I84" s="964"/>
      <c r="J84" s="964"/>
      <c r="K84" s="964"/>
      <c r="L84" s="964"/>
      <c r="M84" s="964"/>
      <c r="N84" s="964"/>
      <c r="O84" s="965"/>
      <c r="P84" s="965"/>
      <c r="Q84" s="965"/>
      <c r="R84" s="965"/>
      <c r="S84" s="966"/>
      <c r="T84" s="967"/>
      <c r="U84" s="965"/>
      <c r="V84" s="965"/>
      <c r="W84" s="965"/>
      <c r="X84" s="965"/>
      <c r="Y84" s="966"/>
      <c r="Z84" s="967"/>
      <c r="AA84" s="965"/>
      <c r="AB84" s="965"/>
      <c r="AC84" s="965"/>
      <c r="AD84" s="965"/>
      <c r="AE84" s="966"/>
      <c r="AF84" s="964"/>
      <c r="AG84" s="965"/>
      <c r="AH84" s="965"/>
      <c r="AI84" s="965"/>
      <c r="AJ84" s="965"/>
      <c r="AK84" s="966"/>
      <c r="AL84" s="964"/>
      <c r="AM84" s="965"/>
      <c r="AN84" s="965"/>
      <c r="AO84" s="965"/>
      <c r="AP84" s="965"/>
      <c r="AQ84" s="966"/>
      <c r="AR84" s="966"/>
      <c r="AS84" s="965"/>
      <c r="AT84" s="965"/>
      <c r="AU84" s="965"/>
      <c r="AV84" s="965"/>
      <c r="AW84" s="966"/>
      <c r="AX84" s="964"/>
      <c r="AY84" s="965"/>
      <c r="AZ84" s="965"/>
      <c r="BA84" s="965"/>
      <c r="BB84" s="965"/>
      <c r="BC84" s="966"/>
      <c r="BD84" s="964"/>
      <c r="BE84" s="965"/>
      <c r="BF84" s="965"/>
      <c r="BG84" s="965"/>
      <c r="BH84" s="965"/>
      <c r="BI84" s="966"/>
      <c r="BJ84" s="964"/>
      <c r="BK84" s="965">
        <f>BK81/BK$90</f>
        <v>0.1073394495412844</v>
      </c>
      <c r="BL84" s="965">
        <f>BL81/BL$90</f>
        <v>0.13011565836298933</v>
      </c>
      <c r="BM84" s="965">
        <f>BM81/BM$90</f>
        <v>0.14004376367614879</v>
      </c>
      <c r="BN84" s="965">
        <f>BN81/BN$90</f>
        <v>0.13078470824949698</v>
      </c>
      <c r="BO84" s="1106">
        <f>BO81/BO$90</f>
        <v>0.12736464448793217</v>
      </c>
      <c r="BP84" s="964"/>
      <c r="BQ84" s="965">
        <f>BQ81/BQ$90</f>
        <v>0.11600471883602044</v>
      </c>
      <c r="BR84" s="965">
        <f>BR81/BR$90</f>
        <v>0.11789313557710589</v>
      </c>
      <c r="BS84" s="965">
        <f>BS81/BS$90</f>
        <v>0.12430426716141002</v>
      </c>
      <c r="BT84" s="965">
        <f>BT81/BT$90</f>
        <v>0.11853088480801335</v>
      </c>
      <c r="BU84" s="1106">
        <f>BU81/BU$90</f>
        <v>0.1192174913693901</v>
      </c>
      <c r="BV84" s="964"/>
      <c r="BW84" s="965">
        <f>BW81/BW$90</f>
        <v>0.11189044756179026</v>
      </c>
      <c r="BX84" s="965">
        <f>BX81/BX$90</f>
        <v>0.11138014527845036</v>
      </c>
      <c r="BY84" s="965">
        <f>BY81/BY$90</f>
        <v>0.12024378191401745</v>
      </c>
      <c r="BZ84" s="965">
        <f>BZ81/BZ$90</f>
        <v>0.10820743160473663</v>
      </c>
      <c r="CA84" s="1106">
        <f>CA81/CA$90</f>
        <v>0.11316516931582583</v>
      </c>
      <c r="CB84" s="964"/>
      <c r="CC84" s="965">
        <f>CC81/CC$90</f>
        <v>0.11267605633802817</v>
      </c>
      <c r="CD84" s="965">
        <f>CD81/CD$90</f>
        <v>0.11325301204819277</v>
      </c>
      <c r="CE84" s="965">
        <f>CE81/CE$90</f>
        <v>0.11510791366906475</v>
      </c>
      <c r="CF84" s="1501">
        <f>CF81/CF$90</f>
        <v>0.10087719298245613</v>
      </c>
      <c r="CG84" s="1520">
        <f>CG81/CG$90</f>
        <v>0.1103202846975089</v>
      </c>
      <c r="CH84" s="964"/>
      <c r="CI84" s="965">
        <f>CI81/CI$90</f>
        <v>9.6842105263157896E-2</v>
      </c>
      <c r="CJ84" s="965">
        <f>CJ81/CJ$90</f>
        <v>0.1046290424857324</v>
      </c>
      <c r="CK84" s="965">
        <f>CK81/CK$90</f>
        <v>0.10482180293501048</v>
      </c>
      <c r="CL84" s="965">
        <f>CL81/CL$90</f>
        <v>9.8484848484848481E-2</v>
      </c>
      <c r="CM84" s="1520">
        <f>CM81/CM$90</f>
        <v>9.723864863475086E-2</v>
      </c>
      <c r="CN84" s="964"/>
      <c r="CO84" s="965">
        <f t="shared" ref="CO84:DE84" si="43">CO81/CO$90</f>
        <v>0.10037878787878787</v>
      </c>
      <c r="CP84" s="965">
        <f t="shared" si="43"/>
        <v>9.8720292504570387E-2</v>
      </c>
      <c r="CQ84" s="965">
        <f t="shared" si="43"/>
        <v>9.6539162112932606E-2</v>
      </c>
      <c r="CR84" s="965">
        <f t="shared" si="43"/>
        <v>9.29054054054054E-2</v>
      </c>
      <c r="CS84" s="1520">
        <f t="shared" si="43"/>
        <v>9.7021660649819499E-2</v>
      </c>
      <c r="CT84" s="965"/>
      <c r="CU84" s="965">
        <f t="shared" si="43"/>
        <v>8.6440677966101692E-2</v>
      </c>
      <c r="CV84" s="965">
        <f t="shared" si="43"/>
        <v>8.6115992970123026E-2</v>
      </c>
      <c r="CW84" s="965">
        <f t="shared" si="43"/>
        <v>8.7591240875912413E-2</v>
      </c>
      <c r="CX84" s="965">
        <f t="shared" si="43"/>
        <v>7.7429983525535415E-2</v>
      </c>
      <c r="CY84" s="1520">
        <f t="shared" si="43"/>
        <v>8.4269662921348312E-2</v>
      </c>
      <c r="CZ84" s="965"/>
      <c r="DA84" s="965">
        <f t="shared" si="43"/>
        <v>8.2311733800350256E-2</v>
      </c>
      <c r="DB84" s="965">
        <f t="shared" si="43"/>
        <v>7.6648841354723704E-2</v>
      </c>
      <c r="DC84" s="965">
        <f t="shared" si="43"/>
        <v>7.9279279279279274E-2</v>
      </c>
      <c r="DD84" s="965">
        <f t="shared" si="43"/>
        <v>6.9846678023850084E-2</v>
      </c>
      <c r="DE84" s="1520">
        <f t="shared" si="43"/>
        <v>7.6956904133685139E-2</v>
      </c>
      <c r="DF84" s="965"/>
      <c r="DG84" s="965">
        <f>DG81/DG$90</f>
        <v>6.4080944350758853E-2</v>
      </c>
      <c r="DH84" s="965">
        <f>DH81/DH$90</f>
        <v>6.8965517241379309E-2</v>
      </c>
      <c r="DI84" s="965">
        <f>DI81/DI$90</f>
        <v>6.9579288025889974E-2</v>
      </c>
      <c r="DJ84" s="965">
        <f>DJ81/DJ$90</f>
        <v>6.4759036144578314E-2</v>
      </c>
      <c r="DK84" s="1520">
        <f>DK81/DK$90</f>
        <v>6.6852367688022288E-2</v>
      </c>
      <c r="DL84" s="964"/>
      <c r="DM84" s="1811">
        <f>DM81/DM$90</f>
        <v>6.1823802163833076E-2</v>
      </c>
      <c r="DN84" s="965">
        <f>DN81/DN$90</f>
        <v>6.7323481116584566E-2</v>
      </c>
      <c r="DO84" s="965">
        <f>DO81/DO$90</f>
        <v>6.5000000000000002E-2</v>
      </c>
      <c r="DP84" s="965">
        <f>DP81/DP$90</f>
        <v>6.1728395061728392E-2</v>
      </c>
      <c r="DQ84" s="1520">
        <f>DQ81/DQ$90</f>
        <v>6.3897763578274758E-2</v>
      </c>
      <c r="DR84" s="147"/>
      <c r="DS84" s="1811">
        <f>DS81/DS$90</f>
        <v>6.8359375E-2</v>
      </c>
      <c r="DT84" s="965">
        <f>DT81/DT$90</f>
        <v>6.1818181818181821E-2</v>
      </c>
      <c r="DU84" s="965">
        <f>DU81/DU$90</f>
        <v>6.9529652351738247E-2</v>
      </c>
      <c r="DV84" s="965">
        <f>DV81/DV$90</f>
        <v>7.3068893528183715E-2</v>
      </c>
      <c r="DW84" s="1175"/>
      <c r="DX84" s="147"/>
      <c r="DY84" s="965">
        <f>DY81/DY$90</f>
        <v>7.5975359342915813E-2</v>
      </c>
      <c r="DZ84" s="965">
        <f>DZ81/DZ$90</f>
        <v>7.5546719681908542E-2</v>
      </c>
      <c r="EA84" s="965">
        <f>EA81/EA$90</f>
        <v>7.3643410852713184E-2</v>
      </c>
      <c r="EB84" s="965">
        <f>EB81/EB$90</f>
        <v>7.2202166064981949E-2</v>
      </c>
      <c r="EC84" s="1175"/>
      <c r="ED84" s="147"/>
      <c r="EE84" s="964"/>
      <c r="EF84" s="964"/>
      <c r="EG84" s="964"/>
      <c r="EH84" s="964"/>
      <c r="EI84" s="1175"/>
      <c r="EJ84" s="147"/>
      <c r="EK84" s="964"/>
      <c r="EL84" s="964"/>
      <c r="EM84" s="964"/>
      <c r="EN84" s="964"/>
      <c r="EO84" s="1175"/>
      <c r="EP84" s="147"/>
      <c r="EQ84" s="964"/>
      <c r="ER84" s="964"/>
      <c r="ES84" s="964"/>
      <c r="ET84" s="964"/>
      <c r="EU84" s="1175"/>
    </row>
    <row r="85" spans="1:196" ht="5.25" hidden="1" customHeight="1" outlineLevel="1">
      <c r="A85" s="266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147"/>
      <c r="AG85" s="147"/>
      <c r="AH85" s="147"/>
      <c r="AI85" s="147"/>
      <c r="AJ85" s="147"/>
      <c r="AK85" s="281"/>
      <c r="AL85" s="147"/>
      <c r="AM85" s="281"/>
      <c r="AN85" s="281"/>
      <c r="AO85" s="281"/>
      <c r="AP85" s="281"/>
      <c r="AQ85" s="281"/>
      <c r="AR85" s="281"/>
      <c r="AS85" s="281"/>
      <c r="AT85" s="281"/>
      <c r="AU85" s="281"/>
      <c r="AV85" s="281"/>
      <c r="AW85" s="281"/>
      <c r="AX85" s="281"/>
      <c r="AY85" s="281"/>
      <c r="AZ85" s="281"/>
      <c r="BA85" s="281"/>
      <c r="BB85" s="281"/>
      <c r="BC85" s="281"/>
      <c r="BD85" s="147"/>
      <c r="BE85" s="281"/>
      <c r="BF85" s="141"/>
      <c r="BG85" s="141"/>
      <c r="BH85" s="141"/>
      <c r="BI85" s="281"/>
      <c r="BJ85" s="147"/>
      <c r="BK85" s="281"/>
      <c r="BL85" s="147"/>
      <c r="BM85" s="147"/>
      <c r="BN85" s="147"/>
      <c r="BO85" s="1113"/>
      <c r="BP85" s="147"/>
      <c r="BQ85" s="281"/>
      <c r="BR85" s="147"/>
      <c r="BS85" s="147"/>
      <c r="BT85" s="147"/>
      <c r="BU85" s="1113"/>
      <c r="BV85" s="147"/>
      <c r="BW85" s="281"/>
      <c r="BX85" s="281"/>
      <c r="BY85" s="281"/>
      <c r="BZ85" s="281"/>
      <c r="CA85" s="1113"/>
      <c r="CB85" s="147"/>
      <c r="CC85" s="147"/>
      <c r="CD85" s="281"/>
      <c r="CE85" s="281"/>
      <c r="CF85" s="1509"/>
      <c r="CG85" s="1529"/>
      <c r="CH85" s="147"/>
      <c r="CI85" s="147"/>
      <c r="CJ85" s="147"/>
      <c r="CK85" s="141"/>
      <c r="CL85" s="147"/>
      <c r="CM85" s="1096"/>
      <c r="CN85" s="147"/>
      <c r="CO85" s="147"/>
      <c r="CP85" s="147"/>
      <c r="CQ85" s="147"/>
      <c r="CR85" s="147"/>
      <c r="CS85" s="1096"/>
      <c r="CT85" s="147"/>
      <c r="CU85" s="147"/>
      <c r="CV85" s="147"/>
      <c r="CW85" s="147"/>
      <c r="CX85" s="147"/>
      <c r="CY85" s="1096"/>
      <c r="CZ85" s="147"/>
      <c r="DA85" s="147"/>
      <c r="DB85" s="147"/>
      <c r="DC85" s="147"/>
      <c r="DD85" s="147"/>
      <c r="DE85" s="1096"/>
      <c r="DF85" s="147"/>
      <c r="DG85" s="147"/>
      <c r="DH85" s="147"/>
      <c r="DI85" s="147"/>
      <c r="DJ85" s="147"/>
      <c r="DK85" s="1096"/>
      <c r="DL85" s="147"/>
      <c r="DM85" s="147"/>
      <c r="DN85" s="147"/>
      <c r="DO85" s="147"/>
      <c r="DP85" s="147"/>
      <c r="DQ85" s="1096"/>
      <c r="DR85" s="147"/>
      <c r="DS85" s="147"/>
      <c r="DT85" s="147"/>
      <c r="DU85" s="147"/>
      <c r="DV85" s="147"/>
      <c r="DW85" s="1096"/>
      <c r="DX85" s="147"/>
      <c r="DY85" s="147"/>
      <c r="DZ85" s="147"/>
      <c r="EA85" s="147"/>
      <c r="EB85" s="147"/>
      <c r="EC85" s="1096"/>
      <c r="ED85" s="147"/>
      <c r="EE85" s="147"/>
      <c r="EF85" s="147"/>
      <c r="EG85" s="147"/>
      <c r="EH85" s="147"/>
      <c r="EI85" s="1096"/>
      <c r="EJ85" s="147"/>
      <c r="EK85" s="147"/>
      <c r="EL85" s="147"/>
      <c r="EM85" s="147"/>
      <c r="EN85" s="147"/>
      <c r="EO85" s="1096"/>
      <c r="EP85" s="147"/>
      <c r="EQ85" s="147"/>
      <c r="ER85" s="147"/>
      <c r="ES85" s="147"/>
      <c r="ET85" s="147"/>
      <c r="EU85" s="1096"/>
    </row>
    <row r="86" spans="1:196" ht="12.75" hidden="1" customHeight="1" outlineLevel="1">
      <c r="A86" s="951" t="s">
        <v>5166</v>
      </c>
      <c r="B86" s="589"/>
      <c r="C86" s="589"/>
      <c r="D86" s="589"/>
      <c r="E86" s="589"/>
      <c r="F86" s="589"/>
      <c r="G86" s="589"/>
      <c r="H86" s="589"/>
      <c r="I86" s="589"/>
      <c r="J86" s="589"/>
      <c r="K86" s="589"/>
      <c r="L86" s="589"/>
      <c r="M86" s="589"/>
      <c r="N86" s="589"/>
      <c r="O86" s="589"/>
      <c r="P86" s="589"/>
      <c r="Q86" s="589"/>
      <c r="R86" s="589"/>
      <c r="S86" s="952"/>
      <c r="T86" s="952"/>
      <c r="U86" s="952"/>
      <c r="V86" s="952"/>
      <c r="W86" s="952"/>
      <c r="X86" s="952"/>
      <c r="Y86" s="952"/>
      <c r="Z86" s="952"/>
      <c r="AA86" s="952"/>
      <c r="AB86" s="952"/>
      <c r="AC86" s="952"/>
      <c r="AD86" s="952"/>
      <c r="AE86" s="952"/>
      <c r="AF86" s="589"/>
      <c r="AG86" s="981"/>
      <c r="AH86" s="981"/>
      <c r="AI86" s="981"/>
      <c r="AJ86" s="981"/>
      <c r="AK86" s="981"/>
      <c r="AL86" s="589"/>
      <c r="AM86" s="636">
        <f>Model!AM31-Metrics!AM81-Metrics!AM95</f>
        <v>0.9269999999999925</v>
      </c>
      <c r="AN86" s="636">
        <f>Model!AN31-Metrics!AN81-Metrics!AN95</f>
        <v>0.90100000000001046</v>
      </c>
      <c r="AO86" s="636">
        <f>Model!AO31-Metrics!AO81-Metrics!AO95</f>
        <v>0.20099999999999341</v>
      </c>
      <c r="AP86" s="636">
        <f>Model!AP31-Metrics!AP81-Metrics!AP95</f>
        <v>1.6000000000019554E-2</v>
      </c>
      <c r="AQ86" s="636">
        <f>SUM(AM86:AP86)</f>
        <v>2.0450000000000159</v>
      </c>
      <c r="AR86" s="636"/>
      <c r="AS86" s="636">
        <f>Model!AS31-Metrics!AS81-Metrics!AS95</f>
        <v>-3.4000000000048658E-2</v>
      </c>
      <c r="AT86" s="636">
        <f>Model!AT31-Metrics!AT81-Metrics!AT95</f>
        <v>0.10499999999996135</v>
      </c>
      <c r="AU86" s="636">
        <f>Model!AU31-Metrics!AU81-Metrics!AU95</f>
        <v>0.26199999999997203</v>
      </c>
      <c r="AV86" s="636">
        <f>Model!AV31-Metrics!AV81-Metrics!AV95</f>
        <v>1.0000000000047748E-2</v>
      </c>
      <c r="AW86" s="636">
        <f>SUM(AS86:AV86)</f>
        <v>0.34299999999993247</v>
      </c>
      <c r="AX86" s="375"/>
      <c r="AY86" s="636">
        <f>Model!AY31-Metrics!AY81-Metrics!AY95</f>
        <v>1.3000000000000114</v>
      </c>
      <c r="AZ86" s="636">
        <f>Model!AZ31-Metrics!AZ81-Metrics!AZ95</f>
        <v>1.6999999999999886</v>
      </c>
      <c r="BA86" s="636">
        <f>Model!BA31-Metrics!BA81-Metrics!BA95</f>
        <v>1.9000000000000341</v>
      </c>
      <c r="BB86" s="636">
        <f>Model!BB31-Metrics!BB81-Metrics!BB95</f>
        <v>2.6999999999999886</v>
      </c>
      <c r="BC86" s="636">
        <f>SUM(AY86:BB86)</f>
        <v>7.6000000000000227</v>
      </c>
      <c r="BD86" s="375"/>
      <c r="BE86" s="636">
        <f>Model!BE31-Metrics!BE81-Metrics!BE95</f>
        <v>4.6999999999999886</v>
      </c>
      <c r="BF86" s="636">
        <f>Model!BF31-Metrics!BF81-Metrics!BF95</f>
        <v>5.8999999999999204</v>
      </c>
      <c r="BG86" s="636">
        <f>Model!BG31-Metrics!BG81-Metrics!BG95</f>
        <v>4.8000000000000114</v>
      </c>
      <c r="BH86" s="636">
        <f>Model!BH31-Metrics!BH81-Metrics!BH95</f>
        <v>5.1000000000000227</v>
      </c>
      <c r="BI86" s="636">
        <f>SUM(BE86:BH86)</f>
        <v>20.499999999999943</v>
      </c>
      <c r="BJ86" s="375"/>
      <c r="BK86" s="636">
        <f>Model!BK31-Metrics!BK81-Metrics!BK95</f>
        <v>2.4999999999999432</v>
      </c>
      <c r="BL86" s="636">
        <f>Model!BL31-Metrics!BL81-Metrics!BL95</f>
        <v>2.5</v>
      </c>
      <c r="BM86" s="636">
        <v>3</v>
      </c>
      <c r="BN86" s="636">
        <f>497-BN95-BN81</f>
        <v>2</v>
      </c>
      <c r="BO86" s="1117">
        <f>SUM(BK86:BN86)</f>
        <v>9.9999999999999432</v>
      </c>
      <c r="BP86" s="375"/>
      <c r="BQ86" s="636">
        <f>Model!BQ31-Metrics!BQ81-Metrics!BQ56</f>
        <v>3.6000000000000227</v>
      </c>
      <c r="BR86" s="636">
        <f>Model!BR31-Metrics!BR81-Metrics!BR56</f>
        <v>4.9000000000000909</v>
      </c>
      <c r="BS86" s="636">
        <v>4</v>
      </c>
      <c r="BT86" s="636">
        <v>5</v>
      </c>
      <c r="BU86" s="1117">
        <f>SUM(BQ86:BT86)</f>
        <v>17.500000000000114</v>
      </c>
      <c r="BV86" s="589"/>
      <c r="BW86" s="636">
        <f>Model!BW31-Metrics!BW81-Metrics!BW56</f>
        <v>4.7999999999999545</v>
      </c>
      <c r="BX86" s="636">
        <f>Model!BX31-Metrics!BX81-Metrics!BX56</f>
        <v>6.5</v>
      </c>
      <c r="BY86" s="636">
        <f>Model!BY31-Metrics!BY81-Metrics!BY56</f>
        <v>7.1000000000000227</v>
      </c>
      <c r="BZ86" s="636">
        <f>Model!BZ31-Metrics!BZ81-Metrics!BZ56</f>
        <v>4.8000000000000114</v>
      </c>
      <c r="CA86" s="1117">
        <f>SUM(BW86:BZ86)</f>
        <v>23.199999999999989</v>
      </c>
      <c r="CB86" s="589"/>
      <c r="CC86" s="636"/>
      <c r="CD86" s="636"/>
      <c r="CE86" s="981"/>
      <c r="CF86" s="589"/>
      <c r="CG86" s="1117"/>
      <c r="CH86" s="589"/>
      <c r="CI86" s="636"/>
      <c r="CJ86" s="636"/>
      <c r="CK86" s="981"/>
      <c r="CL86" s="589"/>
      <c r="CM86" s="1181"/>
      <c r="CN86" s="589"/>
      <c r="CO86" s="636"/>
      <c r="CP86" s="636"/>
      <c r="CQ86" s="589"/>
      <c r="CR86" s="589"/>
      <c r="CS86" s="1181"/>
      <c r="CT86" s="589"/>
      <c r="CU86" s="636"/>
      <c r="CV86" s="589"/>
      <c r="CW86" s="589"/>
      <c r="CX86" s="589"/>
      <c r="CY86" s="1181"/>
      <c r="CZ86" s="589"/>
      <c r="DA86" s="636"/>
      <c r="DB86" s="589"/>
      <c r="DC86" s="589"/>
      <c r="DD86" s="589"/>
      <c r="DE86" s="1181"/>
      <c r="DF86" s="589"/>
      <c r="DG86" s="589"/>
      <c r="DH86" s="589"/>
      <c r="DI86" s="589"/>
      <c r="DJ86" s="589"/>
      <c r="DK86" s="1181"/>
      <c r="DL86" s="589"/>
      <c r="DM86" s="589"/>
      <c r="DN86" s="589"/>
      <c r="DO86" s="589"/>
      <c r="DP86" s="589"/>
      <c r="DQ86" s="1181"/>
      <c r="DR86" s="589"/>
      <c r="DS86" s="589"/>
      <c r="DT86" s="589"/>
      <c r="DU86" s="589"/>
      <c r="DV86" s="589"/>
      <c r="DW86" s="1181"/>
      <c r="DX86" s="589"/>
      <c r="DY86" s="589"/>
      <c r="DZ86" s="589"/>
      <c r="EA86" s="589"/>
      <c r="EB86" s="589"/>
      <c r="EC86" s="1181"/>
      <c r="ED86" s="589"/>
      <c r="EE86" s="589"/>
      <c r="EF86" s="589"/>
      <c r="EG86" s="589"/>
      <c r="EH86" s="589"/>
      <c r="EI86" s="1181"/>
      <c r="EJ86" s="589"/>
      <c r="EK86" s="589"/>
      <c r="EL86" s="589"/>
      <c r="EM86" s="589"/>
      <c r="EN86" s="589"/>
      <c r="EO86" s="1181"/>
      <c r="EP86" s="589"/>
      <c r="EQ86" s="589"/>
      <c r="ER86" s="589"/>
      <c r="ES86" s="589"/>
      <c r="ET86" s="589"/>
      <c r="EU86" s="1181"/>
    </row>
    <row r="87" spans="1:196" hidden="1" outlineLevel="1">
      <c r="A87" s="583" t="s">
        <v>345</v>
      </c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263" t="str">
        <f>IF(I86&lt;&gt;"",O86/I86-1,"-")</f>
        <v>-</v>
      </c>
      <c r="P87" s="263" t="str">
        <f>IF(J86&lt;&gt;"",P86/J86-1,"-")</f>
        <v>-</v>
      </c>
      <c r="Q87" s="263" t="str">
        <f>IF(K86&lt;&gt;"",Q86/K86-1,"-")</f>
        <v>-</v>
      </c>
      <c r="R87" s="263" t="str">
        <f>IF(L86&lt;&gt;"",R86/L86-1,"-")</f>
        <v>-</v>
      </c>
      <c r="S87" s="263"/>
      <c r="T87" s="147"/>
      <c r="U87" s="263" t="str">
        <f>IF(O86&lt;&gt;"",U86/O86-1,"-")</f>
        <v>-</v>
      </c>
      <c r="V87" s="263" t="str">
        <f>IF(P86&lt;&gt;"",V86/P86-1,"-")</f>
        <v>-</v>
      </c>
      <c r="W87" s="263" t="str">
        <f>IF(Q86&lt;&gt;"",W86/Q86-1,"-")</f>
        <v>-</v>
      </c>
      <c r="X87" s="263" t="str">
        <f>IF(R86&lt;&gt;"",X86/R86-1,"-")</f>
        <v>-</v>
      </c>
      <c r="Y87" s="263"/>
      <c r="Z87" s="147"/>
      <c r="AA87" s="263" t="str">
        <f>IF(U86&lt;&gt;"",AA86/U86-1,"-")</f>
        <v>-</v>
      </c>
      <c r="AB87" s="263" t="str">
        <f>IF(V86&lt;&gt;"",AB86/V86-1,"-")</f>
        <v>-</v>
      </c>
      <c r="AC87" s="263" t="str">
        <f>IF(W86&lt;&gt;"",AC86/W86-1,"-")</f>
        <v>-</v>
      </c>
      <c r="AD87" s="263" t="str">
        <f>IF(X86&lt;&gt;"",AD86/X86-1,"-")</f>
        <v>-</v>
      </c>
      <c r="AE87" s="263"/>
      <c r="AF87" s="147"/>
      <c r="AG87" s="263" t="str">
        <f>IF(AA86&lt;&gt;"",AG86/AA86-1,"-")</f>
        <v>-</v>
      </c>
      <c r="AH87" s="263" t="str">
        <f>IF(AB86&lt;&gt;"",AH86/AB86-1,"-")</f>
        <v>-</v>
      </c>
      <c r="AI87" s="263" t="str">
        <f>IF(AC86&lt;&gt;"",AI86/AC86-1,"-")</f>
        <v>-</v>
      </c>
      <c r="AJ87" s="263" t="str">
        <f>IF(AD86&lt;&gt;"",AJ86/AD86-1,"-")</f>
        <v>-</v>
      </c>
      <c r="AK87" s="263"/>
      <c r="AL87" s="147"/>
      <c r="AM87" s="263" t="str">
        <f>IF(AG86&lt;&gt;"",AM86/AG86-1,"-")</f>
        <v>-</v>
      </c>
      <c r="AN87" s="263" t="str">
        <f>IF(AH86&lt;&gt;"",AN86/AH86-1,"-")</f>
        <v>-</v>
      </c>
      <c r="AO87" s="263" t="str">
        <f>IF(AI86&lt;&gt;"",AO86/AI86-1,"-")</f>
        <v>-</v>
      </c>
      <c r="AP87" s="263" t="str">
        <f>IF(AJ86&lt;&gt;"",AP86/AJ86-1,"-")</f>
        <v>-</v>
      </c>
      <c r="AQ87" s="263" t="str">
        <f>IF(AK86&lt;&gt;"",AQ86/AK86-1,"-")</f>
        <v>-</v>
      </c>
      <c r="AR87" s="147"/>
      <c r="AS87" s="263" t="s">
        <v>5646</v>
      </c>
      <c r="AT87" s="263" t="s">
        <v>5646</v>
      </c>
      <c r="AU87" s="263" t="s">
        <v>5646</v>
      </c>
      <c r="AV87" s="263" t="s">
        <v>5646</v>
      </c>
      <c r="AW87" s="263" t="s">
        <v>5646</v>
      </c>
      <c r="AX87" s="147"/>
      <c r="AY87" s="263" t="s">
        <v>5646</v>
      </c>
      <c r="AZ87" s="263" t="s">
        <v>5646</v>
      </c>
      <c r="BA87" s="263" t="s">
        <v>5646</v>
      </c>
      <c r="BB87" s="263" t="s">
        <v>5646</v>
      </c>
      <c r="BC87" s="263" t="s">
        <v>5646</v>
      </c>
      <c r="BD87" s="147"/>
      <c r="BE87" s="263">
        <f>IF(AY86&lt;&gt;"",BE86/AY86-1,"-")</f>
        <v>2.615384615384575</v>
      </c>
      <c r="BF87" s="263">
        <f>IF(AZ86&lt;&gt;"",BF86/AZ86-1,"-")</f>
        <v>2.4705882352940942</v>
      </c>
      <c r="BG87" s="263">
        <f>IF(BA86&lt;&gt;"",BG86/BA86-1,"-")</f>
        <v>1.526315789473645</v>
      </c>
      <c r="BH87" s="263">
        <f>IF(BB86&lt;&gt;"",BH86/BB86-1,"-")</f>
        <v>0.88888888888890527</v>
      </c>
      <c r="BI87" s="263">
        <f>IF(BC86&lt;&gt;"",BI86/BC86-1,"-")</f>
        <v>1.6973684210526159</v>
      </c>
      <c r="BJ87" s="147"/>
      <c r="BK87" s="263">
        <f>IF(BE86&lt;&gt;"",BK86/BE86-1,"-")</f>
        <v>-0.4680851063829895</v>
      </c>
      <c r="BL87" s="263">
        <f>IF(BF86&lt;&gt;"",BL86/BF86-1,"-")</f>
        <v>-0.57627118644067221</v>
      </c>
      <c r="BM87" s="263">
        <f>IF(BG86&lt;&gt;"",BM86/BG86-1,"-")</f>
        <v>-0.37500000000000144</v>
      </c>
      <c r="BN87" s="263">
        <f>IF(BH86&lt;&gt;"",BN86/BH86-1,"-")</f>
        <v>-0.60784313725490369</v>
      </c>
      <c r="BO87" s="1104">
        <f>IF(BI86&lt;&gt;"",BO86/BI86-1,"-")</f>
        <v>-0.51219512195122086</v>
      </c>
      <c r="BP87" s="147"/>
      <c r="BQ87" s="263">
        <f>IF(BK86&lt;&gt;"",BQ86/BK86-1,"-")</f>
        <v>0.44000000000004191</v>
      </c>
      <c r="BR87" s="263">
        <f>IF(BL86&lt;&gt;"",BR86/BL86-1,"-")</f>
        <v>0.96000000000003638</v>
      </c>
      <c r="BS87" s="263">
        <f>IF(BM86&lt;&gt;"",BS86/BM86-1,"-")</f>
        <v>0.33333333333333326</v>
      </c>
      <c r="BT87" s="263">
        <f>IF(BN86&lt;&gt;"",BT86/BN86-1,"-")</f>
        <v>1.5</v>
      </c>
      <c r="BU87" s="1104">
        <f>IF(BO86&lt;&gt;"",BU86/BO86-1,"-")</f>
        <v>0.75000000000002132</v>
      </c>
      <c r="BV87" s="147"/>
      <c r="BW87" s="263">
        <f>IF(BQ86&lt;&gt;"",BW86/BQ86-1,"-")</f>
        <v>0.33333333333331239</v>
      </c>
      <c r="BX87" s="263">
        <f>IF(BR86&lt;&gt;"",BX86/BR86-1,"-")</f>
        <v>0.32653061224487323</v>
      </c>
      <c r="BY87" s="263">
        <f>IF(BS86&lt;&gt;"",BY86/BS86-1,"-")</f>
        <v>0.77500000000000568</v>
      </c>
      <c r="BZ87" s="263">
        <f>IF(BT86&lt;&gt;"",BZ86/BT86-1,"-")</f>
        <v>-3.9999999999997704E-2</v>
      </c>
      <c r="CA87" s="1104">
        <f>IF(BU86&lt;&gt;"",CA86/BU86-1,"-")</f>
        <v>0.32571428571427652</v>
      </c>
      <c r="CB87" s="147"/>
      <c r="CC87" s="263"/>
      <c r="CD87" s="263"/>
      <c r="CE87" s="263"/>
      <c r="CF87" s="147"/>
      <c r="CG87" s="1104"/>
      <c r="CH87" s="147"/>
      <c r="CI87" s="263"/>
      <c r="CJ87" s="263"/>
      <c r="CK87" s="487"/>
      <c r="CL87" s="147"/>
      <c r="CM87" s="1096"/>
      <c r="CN87" s="147"/>
      <c r="CO87" s="263"/>
      <c r="CP87" s="263"/>
      <c r="CQ87" s="147"/>
      <c r="CR87" s="147"/>
      <c r="CS87" s="1096"/>
      <c r="CT87" s="147"/>
      <c r="CU87" s="263"/>
      <c r="CV87" s="147"/>
      <c r="CW87" s="147"/>
      <c r="CX87" s="147"/>
      <c r="CY87" s="1096"/>
      <c r="CZ87" s="147"/>
      <c r="DA87" s="263"/>
      <c r="DB87" s="147"/>
      <c r="DC87" s="147"/>
      <c r="DD87" s="147"/>
      <c r="DE87" s="1096"/>
      <c r="DF87" s="147"/>
      <c r="DG87" s="147"/>
      <c r="DH87" s="147"/>
      <c r="DI87" s="147"/>
      <c r="DJ87" s="147"/>
      <c r="DK87" s="1096"/>
      <c r="DL87" s="147"/>
      <c r="DM87" s="147"/>
      <c r="DN87" s="147"/>
      <c r="DO87" s="147"/>
      <c r="DP87" s="147"/>
      <c r="DQ87" s="1096"/>
      <c r="DR87" s="147"/>
      <c r="DS87" s="147"/>
      <c r="DT87" s="147"/>
      <c r="DU87" s="147"/>
      <c r="DV87" s="147"/>
      <c r="DW87" s="1096"/>
      <c r="DX87" s="147"/>
      <c r="DY87" s="147"/>
      <c r="DZ87" s="147"/>
      <c r="EA87" s="147"/>
      <c r="EB87" s="147"/>
      <c r="EC87" s="1096"/>
      <c r="ED87" s="147"/>
      <c r="EE87" s="147"/>
      <c r="EF87" s="147"/>
      <c r="EG87" s="147"/>
      <c r="EH87" s="147"/>
      <c r="EI87" s="1096"/>
      <c r="EJ87" s="147"/>
      <c r="EK87" s="147"/>
      <c r="EL87" s="147"/>
      <c r="EM87" s="147"/>
      <c r="EN87" s="147"/>
      <c r="EO87" s="1096"/>
      <c r="EP87" s="147"/>
      <c r="EQ87" s="147"/>
      <c r="ER87" s="147"/>
      <c r="ES87" s="147"/>
      <c r="ET87" s="147"/>
      <c r="EU87" s="1096"/>
    </row>
    <row r="88" spans="1:196" ht="12.75" hidden="1" customHeight="1" outlineLevel="1">
      <c r="A88" s="963" t="s">
        <v>344</v>
      </c>
      <c r="B88" s="964"/>
      <c r="C88" s="964"/>
      <c r="D88" s="964"/>
      <c r="E88" s="964"/>
      <c r="F88" s="964"/>
      <c r="G88" s="964"/>
      <c r="H88" s="964"/>
      <c r="I88" s="964"/>
      <c r="J88" s="964"/>
      <c r="K88" s="964"/>
      <c r="L88" s="964"/>
      <c r="M88" s="964"/>
      <c r="N88" s="964"/>
      <c r="O88" s="965" t="str">
        <f>IF(L86&lt;&gt;"",O86/L86-1,"-")</f>
        <v>-</v>
      </c>
      <c r="P88" s="965" t="str">
        <f>IF(O86&lt;&gt;"",P86/O86-1,"-")</f>
        <v>-</v>
      </c>
      <c r="Q88" s="965" t="str">
        <f>IF(P86&lt;&gt;"",Q86/P86-1,"-")</f>
        <v>-</v>
      </c>
      <c r="R88" s="965" t="str">
        <f>IF(Q86&lt;&gt;"",R86/Q86-1,"-")</f>
        <v>-</v>
      </c>
      <c r="S88" s="966"/>
      <c r="T88" s="964"/>
      <c r="U88" s="965" t="str">
        <f>IF(R86&lt;&gt;"",U86/R86-1,"-")</f>
        <v>-</v>
      </c>
      <c r="V88" s="965" t="str">
        <f>IF(U86&lt;&gt;"",V86/U86-1,"-")</f>
        <v>-</v>
      </c>
      <c r="W88" s="965" t="str">
        <f>IF(V86&lt;&gt;"",W86/V86-1,"-")</f>
        <v>-</v>
      </c>
      <c r="X88" s="965" t="str">
        <f>IF(W86&lt;&gt;"",X86/W86-1,"-")</f>
        <v>-</v>
      </c>
      <c r="Y88" s="966"/>
      <c r="Z88" s="964"/>
      <c r="AA88" s="965" t="str">
        <f>IF(X86&lt;&gt;"",AA86/X86-1,"-")</f>
        <v>-</v>
      </c>
      <c r="AB88" s="965" t="str">
        <f>IF(AA86&lt;&gt;"",AB86/AA86-1,"-")</f>
        <v>-</v>
      </c>
      <c r="AC88" s="965" t="str">
        <f>IF(AB86&lt;&gt;"",AC86/AB86-1,"-")</f>
        <v>-</v>
      </c>
      <c r="AD88" s="965" t="str">
        <f>IF(AC86&lt;&gt;"",AD86/AC86-1,"-")</f>
        <v>-</v>
      </c>
      <c r="AE88" s="966"/>
      <c r="AF88" s="964"/>
      <c r="AG88" s="965" t="str">
        <f>IF(AD86&lt;&gt;"",AG86/AD86-1,"-")</f>
        <v>-</v>
      </c>
      <c r="AH88" s="965" t="str">
        <f>IF(AG86&lt;&gt;"",AH86/AG86-1,"-")</f>
        <v>-</v>
      </c>
      <c r="AI88" s="965" t="str">
        <f>IF(AH86&lt;&gt;"",AI86/AH86-1,"-")</f>
        <v>-</v>
      </c>
      <c r="AJ88" s="965" t="str">
        <f>IF(AI86&lt;&gt;"",AJ86/AI86-1,"-")</f>
        <v>-</v>
      </c>
      <c r="AK88" s="966"/>
      <c r="AL88" s="964"/>
      <c r="AM88" s="965" t="str">
        <f>IF(AJ86&lt;&gt;"",AM86/AJ86-1,"-")</f>
        <v>-</v>
      </c>
      <c r="AN88" s="965">
        <f>IF(AM86&lt;&gt;"",AN86/AM86-1,"-")</f>
        <v>-2.8047464940649691E-2</v>
      </c>
      <c r="AO88" s="965">
        <f>IF(AN86&lt;&gt;"",AO86/AN86-1,"-")</f>
        <v>-0.77691453940067579</v>
      </c>
      <c r="AP88" s="965">
        <f>IF(AO86&lt;&gt;"",AP86/AO86-1,"-")</f>
        <v>-0.92039800995014887</v>
      </c>
      <c r="AQ88" s="966" t="s">
        <v>6442</v>
      </c>
      <c r="AR88" s="964"/>
      <c r="AS88" s="965" t="s">
        <v>5646</v>
      </c>
      <c r="AT88" s="965" t="s">
        <v>5646</v>
      </c>
      <c r="AU88" s="965" t="s">
        <v>5646</v>
      </c>
      <c r="AV88" s="965" t="s">
        <v>5646</v>
      </c>
      <c r="AW88" s="966" t="s">
        <v>6442</v>
      </c>
      <c r="AX88" s="964"/>
      <c r="AY88" s="965" t="s">
        <v>5646</v>
      </c>
      <c r="AZ88" s="965">
        <f>IF(AY86&lt;&gt;"",AZ86/AY86-1,"-")</f>
        <v>0.3076923076922875</v>
      </c>
      <c r="BA88" s="965">
        <f>IF(AZ86&lt;&gt;"",BA86/AZ86-1,"-")</f>
        <v>0.11764705882355697</v>
      </c>
      <c r="BB88" s="965">
        <f>IF(BA86&lt;&gt;"",BB86/BA86-1,"-")</f>
        <v>0.42105263157891581</v>
      </c>
      <c r="BC88" s="966" t="s">
        <v>6442</v>
      </c>
      <c r="BD88" s="964"/>
      <c r="BE88" s="965">
        <f>IF(BB86&lt;&gt;"",BE86/BB86-1,"-")</f>
        <v>0.74074074074074381</v>
      </c>
      <c r="BF88" s="965">
        <f>IF(BE86&lt;&gt;"",BF86/BE86-1,"-")</f>
        <v>0.25531914893615637</v>
      </c>
      <c r="BG88" s="965">
        <f>IF(BF86&lt;&gt;"",BG86/BF86-1,"-")</f>
        <v>-0.18644067796608876</v>
      </c>
      <c r="BH88" s="965">
        <f>IF(BG86&lt;&gt;"",BH86/BG86-1,"-")</f>
        <v>6.250000000000222E-2</v>
      </c>
      <c r="BI88" s="966" t="s">
        <v>6442</v>
      </c>
      <c r="BJ88" s="964"/>
      <c r="BK88" s="965">
        <f>IF(BH86&lt;&gt;"",BK86/BH86-1,"-")</f>
        <v>-0.50980392156864074</v>
      </c>
      <c r="BL88" s="965">
        <f>IF(BK86&lt;&gt;"",BL86/BK86-1,"-")</f>
        <v>2.2648549702353193E-14</v>
      </c>
      <c r="BM88" s="965">
        <f>IF(BL86&lt;&gt;"",BM86/BL86-1,"-")</f>
        <v>0.19999999999999996</v>
      </c>
      <c r="BN88" s="965">
        <f>IF(BM86&lt;&gt;"",BN86/BM86-1,"-")</f>
        <v>-0.33333333333333337</v>
      </c>
      <c r="BO88" s="1118" t="s">
        <v>6442</v>
      </c>
      <c r="BP88" s="964"/>
      <c r="BQ88" s="965">
        <f>IF(BN86&lt;&gt;"",BQ86/BN86-1,"-")</f>
        <v>0.80000000000001137</v>
      </c>
      <c r="BR88" s="965">
        <f>IF(BQ86&lt;&gt;"",BR86/BQ86-1,"-")</f>
        <v>0.36111111111112781</v>
      </c>
      <c r="BS88" s="965">
        <f>IF(BR86&lt;&gt;"",BS86/BR86-1,"-")</f>
        <v>-0.18367346938777029</v>
      </c>
      <c r="BT88" s="965">
        <f>IF(BS86&lt;&gt;"",BT86/BS86-1,"-")</f>
        <v>0.25</v>
      </c>
      <c r="BU88" s="1118" t="s">
        <v>6442</v>
      </c>
      <c r="BV88" s="964"/>
      <c r="BW88" s="965">
        <f>IF(BT86&lt;&gt;"",BW86/BT86-1,"-")</f>
        <v>-4.0000000000009139E-2</v>
      </c>
      <c r="BX88" s="965">
        <f>IF(BU86&lt;&gt;"",BX86/BU86-1,"-")</f>
        <v>-0.628571428571431</v>
      </c>
      <c r="BY88" s="965" t="str">
        <f>IF(BV86&lt;&gt;"",BY86/BV86-1,"-")</f>
        <v>-</v>
      </c>
      <c r="BZ88" s="965"/>
      <c r="CA88" s="1118" t="s">
        <v>6442</v>
      </c>
      <c r="CB88" s="964"/>
      <c r="CC88" s="965"/>
      <c r="CD88" s="965"/>
      <c r="CE88" s="966"/>
      <c r="CF88" s="964"/>
      <c r="CG88" s="1118"/>
      <c r="CH88" s="964"/>
      <c r="CI88" s="965"/>
      <c r="CJ88" s="965"/>
      <c r="CK88" s="966"/>
      <c r="CL88" s="964"/>
      <c r="CM88" s="1175"/>
      <c r="CN88" s="964"/>
      <c r="CO88" s="965"/>
      <c r="CP88" s="965"/>
      <c r="CQ88" s="964"/>
      <c r="CR88" s="964"/>
      <c r="CS88" s="1175"/>
      <c r="CT88" s="964"/>
      <c r="CU88" s="965"/>
      <c r="CV88" s="964"/>
      <c r="CW88" s="964"/>
      <c r="CX88" s="964"/>
      <c r="CY88" s="1175"/>
      <c r="CZ88" s="964"/>
      <c r="DA88" s="965"/>
      <c r="DB88" s="964"/>
      <c r="DC88" s="964"/>
      <c r="DD88" s="964"/>
      <c r="DE88" s="1175"/>
      <c r="DF88" s="964"/>
      <c r="DG88" s="964"/>
      <c r="DH88" s="964"/>
      <c r="DI88" s="964"/>
      <c r="DJ88" s="964"/>
      <c r="DK88" s="1175"/>
      <c r="DL88" s="964"/>
      <c r="DM88" s="964"/>
      <c r="DN88" s="964"/>
      <c r="DO88" s="964"/>
      <c r="DP88" s="964"/>
      <c r="DQ88" s="1175"/>
      <c r="DR88" s="147"/>
      <c r="DS88" s="964"/>
      <c r="DT88" s="964"/>
      <c r="DU88" s="964"/>
      <c r="DV88" s="964"/>
      <c r="DW88" s="1175"/>
      <c r="DX88" s="147"/>
      <c r="DY88" s="964"/>
      <c r="DZ88" s="964"/>
      <c r="EA88" s="964"/>
      <c r="EB88" s="964"/>
      <c r="EC88" s="1175"/>
      <c r="ED88" s="147"/>
      <c r="EE88" s="964"/>
      <c r="EF88" s="964"/>
      <c r="EG88" s="964"/>
      <c r="EH88" s="964"/>
      <c r="EI88" s="1175"/>
      <c r="EJ88" s="147"/>
      <c r="EK88" s="964"/>
      <c r="EL88" s="964"/>
      <c r="EM88" s="964"/>
      <c r="EN88" s="964"/>
      <c r="EO88" s="1175"/>
      <c r="EP88" s="147"/>
      <c r="EQ88" s="964"/>
      <c r="ER88" s="964"/>
      <c r="ES88" s="964"/>
      <c r="ET88" s="964"/>
      <c r="EU88" s="1175"/>
    </row>
    <row r="89" spans="1:196" ht="5.25" customHeight="1" collapsed="1" thickBot="1">
      <c r="A89" s="266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280"/>
      <c r="T89" s="280"/>
      <c r="U89" s="280"/>
      <c r="V89" s="280"/>
      <c r="W89" s="280"/>
      <c r="X89" s="280"/>
      <c r="Y89" s="280"/>
      <c r="Z89" s="280"/>
      <c r="AA89" s="280"/>
      <c r="AB89" s="280"/>
      <c r="AC89" s="280"/>
      <c r="AD89" s="280"/>
      <c r="AE89" s="280"/>
      <c r="AF89" s="147"/>
      <c r="AG89" s="147"/>
      <c r="AH89" s="147"/>
      <c r="AI89" s="147"/>
      <c r="AJ89" s="147"/>
      <c r="AK89" s="281"/>
      <c r="AL89" s="147"/>
      <c r="AM89" s="281"/>
      <c r="AN89" s="281"/>
      <c r="AO89" s="281"/>
      <c r="AP89" s="281"/>
      <c r="AQ89" s="281"/>
      <c r="AR89" s="281"/>
      <c r="AS89" s="281"/>
      <c r="AT89" s="281"/>
      <c r="AU89" s="281"/>
      <c r="AV89" s="281"/>
      <c r="AW89" s="281"/>
      <c r="AX89" s="281"/>
      <c r="AY89" s="281"/>
      <c r="AZ89" s="281"/>
      <c r="BA89" s="281"/>
      <c r="BB89" s="281"/>
      <c r="BC89" s="281"/>
      <c r="BD89" s="147"/>
      <c r="BE89" s="281"/>
      <c r="BF89" s="141"/>
      <c r="BG89" s="141"/>
      <c r="BH89" s="141"/>
      <c r="BI89" s="281"/>
      <c r="BJ89" s="147"/>
      <c r="BK89" s="281"/>
      <c r="BL89" s="147"/>
      <c r="BM89" s="147"/>
      <c r="BN89" s="147"/>
      <c r="BO89" s="1113"/>
      <c r="BP89" s="147"/>
      <c r="BQ89" s="281"/>
      <c r="BR89" s="147"/>
      <c r="BS89" s="147"/>
      <c r="BT89" s="147"/>
      <c r="BU89" s="1113"/>
      <c r="BV89" s="147"/>
      <c r="BW89" s="281"/>
      <c r="BX89" s="281"/>
      <c r="BY89" s="281"/>
      <c r="BZ89" s="147"/>
      <c r="CA89" s="1113"/>
      <c r="CB89" s="147"/>
      <c r="CC89" s="281"/>
      <c r="CD89" s="281"/>
      <c r="CE89" s="281"/>
      <c r="CF89" s="147"/>
      <c r="CG89" s="1113"/>
      <c r="CH89" s="147"/>
      <c r="CI89" s="281"/>
      <c r="CJ89" s="281"/>
      <c r="CK89" s="141"/>
      <c r="CL89" s="147"/>
      <c r="CM89" s="1096"/>
      <c r="CN89" s="147"/>
      <c r="CO89" s="281"/>
      <c r="CP89" s="281"/>
      <c r="CQ89" s="147"/>
      <c r="CR89" s="147"/>
      <c r="CS89" s="1096"/>
      <c r="CT89" s="147"/>
      <c r="CU89" s="281"/>
      <c r="CV89" s="147"/>
      <c r="CW89" s="147"/>
      <c r="CX89" s="147"/>
      <c r="CY89" s="1096"/>
      <c r="CZ89" s="147"/>
      <c r="DA89" s="281"/>
      <c r="DB89" s="147"/>
      <c r="DC89" s="147"/>
      <c r="DD89" s="147"/>
      <c r="DE89" s="1096"/>
      <c r="DF89" s="147"/>
      <c r="DG89" s="147"/>
      <c r="DH89" s="147"/>
      <c r="DI89" s="147"/>
      <c r="DJ89" s="147"/>
      <c r="DK89" s="1096"/>
      <c r="DL89" s="147"/>
      <c r="DM89" s="147"/>
      <c r="DN89" s="147"/>
      <c r="DO89" s="147"/>
      <c r="DP89" s="147"/>
      <c r="DQ89" s="1096"/>
      <c r="DR89" s="147"/>
      <c r="DS89" s="147"/>
      <c r="DT89" s="147"/>
      <c r="DU89" s="147"/>
      <c r="DV89" s="147"/>
      <c r="DW89" s="1096"/>
      <c r="DX89" s="147"/>
      <c r="DY89" s="147"/>
      <c r="DZ89" s="147"/>
      <c r="EA89" s="147"/>
      <c r="EB89" s="147"/>
      <c r="EC89" s="1096"/>
      <c r="ED89" s="147"/>
      <c r="EE89" s="147"/>
      <c r="EF89" s="147"/>
      <c r="EG89" s="147"/>
      <c r="EH89" s="147"/>
      <c r="EI89" s="1096"/>
      <c r="EJ89" s="147"/>
      <c r="EK89" s="147"/>
      <c r="EL89" s="147"/>
      <c r="EM89" s="147"/>
      <c r="EN89" s="147"/>
      <c r="EO89" s="1096"/>
      <c r="EP89" s="147"/>
      <c r="EQ89" s="147"/>
      <c r="ER89" s="147"/>
      <c r="ES89" s="147"/>
      <c r="ET89" s="147"/>
      <c r="EU89" s="1096"/>
    </row>
    <row r="90" spans="1:196" ht="12.75" customHeight="1">
      <c r="A90" s="968" t="s">
        <v>1876</v>
      </c>
      <c r="B90" s="969"/>
      <c r="C90" s="970"/>
      <c r="D90" s="970"/>
      <c r="E90" s="970"/>
      <c r="F90" s="970"/>
      <c r="G90" s="970"/>
      <c r="H90" s="970"/>
      <c r="I90" s="970"/>
      <c r="J90" s="970"/>
      <c r="K90" s="970"/>
      <c r="L90" s="970"/>
      <c r="M90" s="970"/>
      <c r="N90" s="970"/>
      <c r="O90" s="970"/>
      <c r="P90" s="970"/>
      <c r="Q90" s="970"/>
      <c r="R90" s="970"/>
      <c r="S90" s="971"/>
      <c r="T90" s="971"/>
      <c r="U90" s="971">
        <f>U81+U95</f>
        <v>202.7</v>
      </c>
      <c r="V90" s="971"/>
      <c r="W90" s="971"/>
      <c r="X90" s="971"/>
      <c r="Y90" s="971"/>
      <c r="Z90" s="971"/>
      <c r="AA90" s="971"/>
      <c r="AB90" s="971"/>
      <c r="AC90" s="972">
        <f>AC81+AC95</f>
        <v>87.311999999999998</v>
      </c>
      <c r="AD90" s="972"/>
      <c r="AE90" s="972"/>
      <c r="AF90" s="973"/>
      <c r="AG90" s="972">
        <f>AG81+AG95</f>
        <v>245.7</v>
      </c>
      <c r="AH90" s="972">
        <f>AH81+AH95</f>
        <v>231.39999999999998</v>
      </c>
      <c r="AI90" s="972">
        <f>AI81+AI95</f>
        <v>216.40000000000003</v>
      </c>
      <c r="AJ90" s="972">
        <f>AJ81+AJ95</f>
        <v>254</v>
      </c>
      <c r="AK90" s="972"/>
      <c r="AL90" s="973"/>
      <c r="AM90" s="974">
        <f>AM81+AM95+AM86</f>
        <v>229.327</v>
      </c>
      <c r="AN90" s="974">
        <f>AN81+AN95+AN86</f>
        <v>211.40100000000001</v>
      </c>
      <c r="AO90" s="974">
        <f>AO81+AO95+AO86</f>
        <v>188.70099999999999</v>
      </c>
      <c r="AP90" s="974">
        <f>AP81+AP95+AP86</f>
        <v>195.51600000000002</v>
      </c>
      <c r="AQ90" s="974">
        <f>SUM(AM90:AP90)</f>
        <v>824.94499999999994</v>
      </c>
      <c r="AR90" s="973"/>
      <c r="AS90" s="974">
        <f>AS81+AS95+AS86</f>
        <v>210.76599999999996</v>
      </c>
      <c r="AT90" s="974">
        <f>AT81+AT95+AT86</f>
        <v>211.70499999999998</v>
      </c>
      <c r="AU90" s="974">
        <f>AU81+AU95+AU86</f>
        <v>233.86199999999999</v>
      </c>
      <c r="AV90" s="974">
        <f>AV81+AV95+AV86</f>
        <v>295.31000000000006</v>
      </c>
      <c r="AW90" s="974">
        <f>SUM(AS90:AV90)</f>
        <v>951.64300000000003</v>
      </c>
      <c r="AX90" s="973"/>
      <c r="AY90" s="974">
        <f>AY81+AY95+AY86</f>
        <v>299.10000000000002</v>
      </c>
      <c r="AZ90" s="974">
        <f>AZ81+AZ95+AZ86</f>
        <v>280.8</v>
      </c>
      <c r="BA90" s="974">
        <f>BA81+BA95+BA86</f>
        <v>301.40000000000003</v>
      </c>
      <c r="BB90" s="974">
        <f>BB81+BB95+BB86</f>
        <v>357.59999999999997</v>
      </c>
      <c r="BC90" s="974">
        <f>SUM(AY90:BB90)</f>
        <v>1238.9000000000001</v>
      </c>
      <c r="BD90" s="975"/>
      <c r="BE90" s="974">
        <f>BE81+BE95+BE86</f>
        <v>359.09999999999997</v>
      </c>
      <c r="BF90" s="974">
        <f>BF81+BF95+BF86</f>
        <v>376.79999999999995</v>
      </c>
      <c r="BG90" s="974">
        <f>BG81+BG95+BG86</f>
        <v>381.5</v>
      </c>
      <c r="BH90" s="974">
        <f>BH81+BH95+BH86</f>
        <v>419.8</v>
      </c>
      <c r="BI90" s="974">
        <f>SUM(BE90:BH90)</f>
        <v>1537.1999999999998</v>
      </c>
      <c r="BJ90" s="975"/>
      <c r="BK90" s="974">
        <f>BK81+BK95+BK86</f>
        <v>436</v>
      </c>
      <c r="BL90" s="974">
        <f>BL81+BL95+BL86</f>
        <v>449.6</v>
      </c>
      <c r="BM90" s="974">
        <f>BM81+BM95+BM86</f>
        <v>457</v>
      </c>
      <c r="BN90" s="974">
        <f>BN81+BN95+BN86</f>
        <v>497</v>
      </c>
      <c r="BO90" s="1119">
        <f>SUM(BK90:BN90)</f>
        <v>1839.6</v>
      </c>
      <c r="BP90" s="975"/>
      <c r="BQ90" s="974">
        <f>BQ81+BQ56+BQ86</f>
        <v>508.6</v>
      </c>
      <c r="BR90" s="974">
        <f>BR81+BR56+BR86</f>
        <v>525.90000000000009</v>
      </c>
      <c r="BS90" s="974">
        <f>BS81+BS56+BS86</f>
        <v>539</v>
      </c>
      <c r="BT90" s="974">
        <f>BT81+BT56+BT86</f>
        <v>599</v>
      </c>
      <c r="BU90" s="1119">
        <f>SUM(BQ90:BT90)</f>
        <v>2172.5</v>
      </c>
      <c r="BV90" s="969"/>
      <c r="BW90" s="974">
        <f>BW81+BW56+BW86</f>
        <v>598.79999999999995</v>
      </c>
      <c r="BX90" s="974">
        <f>BX81+BX56+BX86</f>
        <v>619.5</v>
      </c>
      <c r="BY90" s="974">
        <f>BY81+BY56+BY86</f>
        <v>607.1</v>
      </c>
      <c r="BZ90" s="974">
        <f>BZ81+BZ56+BZ86</f>
        <v>489.8</v>
      </c>
      <c r="CA90" s="1119">
        <f>SUM(BW90:BZ90)</f>
        <v>2315.2000000000003</v>
      </c>
      <c r="CB90" s="969"/>
      <c r="CC90" s="974">
        <f>CC81+CC56+CC86</f>
        <v>426</v>
      </c>
      <c r="CD90" s="974">
        <f>CD81+CD56+CD86</f>
        <v>415</v>
      </c>
      <c r="CE90" s="974">
        <f>CE81+CE56+CE86</f>
        <v>417</v>
      </c>
      <c r="CF90" s="974">
        <f>CF81+CF56+CF86</f>
        <v>456</v>
      </c>
      <c r="CG90" s="1119">
        <f>SUM(CG81,CG86,CG76,CG72,CG60,)</f>
        <v>1714.1</v>
      </c>
      <c r="CH90" s="969"/>
      <c r="CI90" s="974">
        <f>CI81+CI56+CI86</f>
        <v>475</v>
      </c>
      <c r="CJ90" s="974">
        <f>CJ81+CJ56+CJ86</f>
        <v>473.1</v>
      </c>
      <c r="CK90" s="974">
        <f>CK81+CK56+CK86</f>
        <v>477</v>
      </c>
      <c r="CL90" s="974">
        <f>CL81+CL56+CL86</f>
        <v>528</v>
      </c>
      <c r="CM90" s="1577">
        <f>SUM(CM81,CM86,CM76,CM72,CM60,)</f>
        <v>1944.7</v>
      </c>
      <c r="CN90" s="969"/>
      <c r="CO90" s="974">
        <f>CO81+CO56+CO86</f>
        <v>528</v>
      </c>
      <c r="CP90" s="974">
        <f>CP81+CP56+CP86</f>
        <v>547</v>
      </c>
      <c r="CQ90" s="974">
        <f>CQ81+CQ56+CQ86</f>
        <v>549</v>
      </c>
      <c r="CR90" s="974">
        <f>CR81+CR56+CR86</f>
        <v>592</v>
      </c>
      <c r="CS90" s="1577">
        <f>SUM(CS81,CS86,CS76,CS72,CS60,)</f>
        <v>2216</v>
      </c>
      <c r="CT90" s="1775"/>
      <c r="CU90" s="974">
        <f>CU81+CU56+CU86</f>
        <v>590</v>
      </c>
      <c r="CV90" s="974">
        <f>CV81+CV56+CV86</f>
        <v>569</v>
      </c>
      <c r="CW90" s="974">
        <f>CW81+CW56+CW86</f>
        <v>548</v>
      </c>
      <c r="CX90" s="974">
        <f>CX81+CX56+CX86</f>
        <v>607</v>
      </c>
      <c r="CY90" s="1119">
        <f>SUM(CY81,CY86,CY76,CY72,CY60,)</f>
        <v>2314</v>
      </c>
      <c r="CZ90" s="1775"/>
      <c r="DA90" s="974">
        <f>DA81+DA56+DA86</f>
        <v>571</v>
      </c>
      <c r="DB90" s="974">
        <f>DB81+DB56+DB86</f>
        <v>561</v>
      </c>
      <c r="DC90" s="974">
        <f>DC81+DC56+DC86</f>
        <v>555</v>
      </c>
      <c r="DD90" s="974">
        <f>DD81+DD56+DD86</f>
        <v>587</v>
      </c>
      <c r="DE90" s="1119">
        <f>SUM(DE81,DE86,DE76,DE72,DE60,)</f>
        <v>2274</v>
      </c>
      <c r="DF90" s="1775"/>
      <c r="DG90" s="974">
        <f>DG81+DG56+DG86</f>
        <v>593</v>
      </c>
      <c r="DH90" s="974">
        <f>DH81+DH56+DH86</f>
        <v>638</v>
      </c>
      <c r="DI90" s="974">
        <f>DI81+DI56+DI86</f>
        <v>618</v>
      </c>
      <c r="DJ90" s="974">
        <f>DJ81+DJ56+DJ86</f>
        <v>664</v>
      </c>
      <c r="DK90" s="1119">
        <f>SUM(DK81,DK86,DK76,DK72,DK60,)</f>
        <v>2513</v>
      </c>
      <c r="DL90" s="969"/>
      <c r="DM90" s="974">
        <f>DM81+DM56+DM86</f>
        <v>647</v>
      </c>
      <c r="DN90" s="974">
        <f>DN81+DN56+DN86</f>
        <v>609</v>
      </c>
      <c r="DO90" s="974">
        <f>DO81+DO56+DO86</f>
        <v>600</v>
      </c>
      <c r="DP90" s="974">
        <f>DP81+DP56+DP86</f>
        <v>648</v>
      </c>
      <c r="DQ90" s="1119">
        <f>SUM(DQ81,DQ86,DQ76,DQ72,DQ60,)</f>
        <v>2504</v>
      </c>
      <c r="DR90" s="977"/>
      <c r="DS90" s="974">
        <f>DS81+DS56+DS86</f>
        <v>512</v>
      </c>
      <c r="DT90" s="974">
        <f>DT81+DT56+DT86</f>
        <v>550</v>
      </c>
      <c r="DU90" s="974">
        <f>DU81+DU56+DU86</f>
        <v>489</v>
      </c>
      <c r="DV90" s="974">
        <f>DV81+DV56+DV86</f>
        <v>479</v>
      </c>
      <c r="DW90" s="1182"/>
      <c r="DX90" s="977"/>
      <c r="DY90" s="974">
        <f>DY81+DY56+DY86</f>
        <v>487</v>
      </c>
      <c r="DZ90" s="974">
        <f>DZ81+DZ56+DZ86</f>
        <v>503</v>
      </c>
      <c r="EA90" s="974">
        <f>EA81+EA56+EA86</f>
        <v>516</v>
      </c>
      <c r="EB90" s="974">
        <f>EB81+EB56+EB86</f>
        <v>554</v>
      </c>
      <c r="EC90" s="1182"/>
      <c r="ED90" s="977"/>
      <c r="EE90" s="969"/>
      <c r="EF90" s="969"/>
      <c r="EG90" s="969"/>
      <c r="EH90" s="969"/>
      <c r="EI90" s="1182"/>
      <c r="EJ90" s="977"/>
      <c r="EK90" s="969"/>
      <c r="EL90" s="969"/>
      <c r="EM90" s="969"/>
      <c r="EN90" s="969"/>
      <c r="EO90" s="1182"/>
      <c r="EP90" s="977"/>
      <c r="EQ90" s="969"/>
      <c r="ER90" s="969"/>
      <c r="ES90" s="969"/>
      <c r="ET90" s="969"/>
      <c r="EU90" s="1182"/>
    </row>
    <row r="91" spans="1:196" ht="10.5" customHeight="1">
      <c r="A91" s="976" t="s">
        <v>345</v>
      </c>
      <c r="B91" s="977"/>
      <c r="C91" s="977"/>
      <c r="D91" s="977"/>
      <c r="E91" s="977"/>
      <c r="F91" s="977"/>
      <c r="G91" s="977"/>
      <c r="H91" s="977"/>
      <c r="I91" s="977"/>
      <c r="J91" s="977"/>
      <c r="K91" s="977"/>
      <c r="L91" s="977"/>
      <c r="M91" s="977"/>
      <c r="N91" s="977"/>
      <c r="O91" s="977"/>
      <c r="P91" s="977"/>
      <c r="Q91" s="977"/>
      <c r="R91" s="977"/>
      <c r="S91" s="977"/>
      <c r="T91" s="977"/>
      <c r="U91" s="977"/>
      <c r="V91" s="977"/>
      <c r="W91" s="977"/>
      <c r="X91" s="977"/>
      <c r="Y91" s="977"/>
      <c r="Z91" s="977"/>
      <c r="AA91" s="977"/>
      <c r="AB91" s="977"/>
      <c r="AC91" s="977"/>
      <c r="AD91" s="977"/>
      <c r="AE91" s="977"/>
      <c r="AF91" s="977"/>
      <c r="AG91" s="978" t="str">
        <f>IF(AA90&lt;&gt;"",AG90/AA90-1,"-")</f>
        <v>-</v>
      </c>
      <c r="AH91" s="978" t="str">
        <f>IF(AB90&lt;&gt;"",AH90/AB90-1,"-")</f>
        <v>-</v>
      </c>
      <c r="AI91" s="978">
        <f>IF(AC90&lt;&gt;"",AI90/AC90-1,"-")</f>
        <v>1.4784680227231082</v>
      </c>
      <c r="AJ91" s="978" t="str">
        <f>IF(AD90&lt;&gt;"",AJ90/AD90-1,"-")</f>
        <v>-</v>
      </c>
      <c r="AK91" s="978"/>
      <c r="AL91" s="977"/>
      <c r="AM91" s="978">
        <f>IF(AG90&lt;&gt;"",AM90/AG90-1,"-")</f>
        <v>-6.6638176638176616E-2</v>
      </c>
      <c r="AN91" s="978">
        <f>IF(AH90&lt;&gt;"",AN90/AH90-1,"-")</f>
        <v>-8.6426101987899573E-2</v>
      </c>
      <c r="AO91" s="978">
        <f>IF(AI90&lt;&gt;"",AO90/AI90-1,"-")</f>
        <v>-0.12799907578558245</v>
      </c>
      <c r="AP91" s="978">
        <f>IF(AJ90&lt;&gt;"",AP90/AJ90-1,"-")</f>
        <v>-0.23025196850393692</v>
      </c>
      <c r="AQ91" s="978" t="str">
        <f>IF(AK90&lt;&gt;"",AQ90/AK90-1,"-")</f>
        <v>-</v>
      </c>
      <c r="AR91" s="977"/>
      <c r="AS91" s="978">
        <f>IF(AM90&lt;&gt;"",AS90/AM90-1,"-")</f>
        <v>-8.0936828197290533E-2</v>
      </c>
      <c r="AT91" s="978">
        <f>IF(AN90&lt;&gt;"",AT90/AN90-1,"-")</f>
        <v>1.4380253641184115E-3</v>
      </c>
      <c r="AU91" s="978">
        <f>IF(AO90&lt;&gt;"",AU90/AO90-1,"-")</f>
        <v>0.23932570574612755</v>
      </c>
      <c r="AV91" s="978">
        <f>IF(AP90&lt;&gt;"",AV90/AP90-1,"-")</f>
        <v>0.51041346999734061</v>
      </c>
      <c r="AW91" s="978">
        <f>IF(AQ90&lt;&gt;"",AW90/AQ90-1,"-")</f>
        <v>0.15358357223814934</v>
      </c>
      <c r="AX91" s="977"/>
      <c r="AY91" s="978">
        <f>IF(AS90&lt;&gt;"",AY90/AS90-1,"-")</f>
        <v>0.41910934401184297</v>
      </c>
      <c r="AZ91" s="978">
        <f>IF(AT90&lt;&gt;"",AZ90/AT90-1,"-")</f>
        <v>0.32637396377034089</v>
      </c>
      <c r="BA91" s="978">
        <f>IF(AU90&lt;&gt;"",BA90/AU90-1,"-")</f>
        <v>0.28879424617937088</v>
      </c>
      <c r="BB91" s="978">
        <f>IF(AV90&lt;&gt;"",BB90/AV90-1,"-")</f>
        <v>0.21093088618739597</v>
      </c>
      <c r="BC91" s="978">
        <f>IF(AW90&lt;&gt;"",BC90/AW90-1,"-")</f>
        <v>0.30185374137150167</v>
      </c>
      <c r="BD91" s="977"/>
      <c r="BE91" s="978">
        <f>IF(AY90&lt;&gt;"",BE90/AY90-1,"-")</f>
        <v>0.20060180541624861</v>
      </c>
      <c r="BF91" s="978">
        <f>IF(AZ90&lt;&gt;"",BF90/AZ90-1,"-")</f>
        <v>0.34188034188034155</v>
      </c>
      <c r="BG91" s="978">
        <f>IF(BA90&lt;&gt;"",BG90/BA90-1,"-")</f>
        <v>0.26575978765759767</v>
      </c>
      <c r="BH91" s="978">
        <f>IF(BB90&lt;&gt;"",BH90/BB90-1,"-")</f>
        <v>0.1739373601789711</v>
      </c>
      <c r="BI91" s="978">
        <f>IF(BC90&lt;&gt;"",BI90/BC90-1,"-")</f>
        <v>0.24077810961336654</v>
      </c>
      <c r="BJ91" s="977"/>
      <c r="BK91" s="978">
        <f>IF(BE90&lt;&gt;"",BK90/BE90-1,"-")</f>
        <v>0.2141464773043722</v>
      </c>
      <c r="BL91" s="978">
        <f>IF(BF90&lt;&gt;"",BL90/BF90-1,"-")</f>
        <v>0.19320594479830167</v>
      </c>
      <c r="BM91" s="978">
        <f>IF(BG90&lt;&gt;"",BM90/BG90-1,"-")</f>
        <v>0.19790301441677594</v>
      </c>
      <c r="BN91" s="978">
        <f>IF(BH90&lt;&gt;"",BN90/BH90-1,"-")</f>
        <v>0.18389709385421615</v>
      </c>
      <c r="BO91" s="1120">
        <f>IF(BI90&lt;&gt;"",BO90/BI90-1,"-")</f>
        <v>0.19672131147540983</v>
      </c>
      <c r="BP91" s="977"/>
      <c r="BQ91" s="978">
        <f>IF(BK90&lt;&gt;"",BQ90/BK90-1,"-")</f>
        <v>0.16651376146788999</v>
      </c>
      <c r="BR91" s="978">
        <f>IF(BL90&lt;&gt;"",BR90/BL90-1,"-")</f>
        <v>0.16970640569395035</v>
      </c>
      <c r="BS91" s="978">
        <f>IF(BM90&lt;&gt;"",BS90/BM90-1,"-")</f>
        <v>0.1794310722100656</v>
      </c>
      <c r="BT91" s="978">
        <f>IF(BN90&lt;&gt;"",BT90/BN90-1,"-")</f>
        <v>0.20523138832997989</v>
      </c>
      <c r="BU91" s="1120">
        <f>IF(BO90&lt;&gt;"",BU90/BO90-1,"-")</f>
        <v>0.18096325288106119</v>
      </c>
      <c r="BV91" s="977"/>
      <c r="BW91" s="978">
        <f>IF(BQ90&lt;&gt;"",BW90/BQ90-1,"-")</f>
        <v>0.17734958710184801</v>
      </c>
      <c r="BX91" s="978">
        <f>IF(BR90&lt;&gt;"",BX90/BR90-1,"-")</f>
        <v>0.17798060467769528</v>
      </c>
      <c r="BY91" s="978">
        <f>IF(BS90&lt;&gt;"",BY90/BS90-1,"-")</f>
        <v>0.12634508348794071</v>
      </c>
      <c r="BZ91" s="978">
        <f>IF(BT90&lt;&gt;"",BZ90/BT90-1,"-")</f>
        <v>-0.18230383973288811</v>
      </c>
      <c r="CA91" s="1120">
        <f>IF(BU90&lt;&gt;"",CA90/BU90-1,"-")</f>
        <v>6.5684695051783759E-2</v>
      </c>
      <c r="CB91" s="977"/>
      <c r="CC91" s="978">
        <f>IF(BW90&lt;&gt;"",CC90/BW90-1,"-")</f>
        <v>-0.28857715430861719</v>
      </c>
      <c r="CD91" s="978">
        <f>IF(BX90&lt;&gt;"",CD90/BX90-1,"-")</f>
        <v>-0.33010492332526231</v>
      </c>
      <c r="CE91" s="978">
        <f>IF(BY90&lt;&gt;"",CE90/BY90-1,"-")</f>
        <v>-0.31312798550485921</v>
      </c>
      <c r="CF91" s="978">
        <f>IF(BZ90&lt;&gt;"",CF90/BZ90-1,"-")</f>
        <v>-6.9007758268681108E-2</v>
      </c>
      <c r="CG91" s="1120">
        <f>IF(CA90&lt;&gt;"",CG90/CA90-1,"-")</f>
        <v>-0.25963199723566011</v>
      </c>
      <c r="CH91" s="977"/>
      <c r="CI91" s="978">
        <f>IF(CC90&lt;&gt;"",CI90/CC90-1,"-")</f>
        <v>0.11502347417840375</v>
      </c>
      <c r="CJ91" s="978">
        <f>IF(CD90&lt;&gt;"",CJ90/CD90-1,"-")</f>
        <v>0.14000000000000012</v>
      </c>
      <c r="CK91" s="978">
        <f>IF(CE90&lt;&gt;"",CK90/CE90-1,"-")</f>
        <v>0.14388489208633093</v>
      </c>
      <c r="CL91" s="978">
        <f>IF(CF90&lt;&gt;"",CL90/CF90-1,"-")</f>
        <v>0.15789473684210531</v>
      </c>
      <c r="CM91" s="1120">
        <f>IF(CG90&lt;&gt;"",CM90/CG90-1,"-")</f>
        <v>0.13453124088442925</v>
      </c>
      <c r="CN91" s="977"/>
      <c r="CO91" s="978">
        <f>IF(CI90&lt;&gt;"",CO90/CI90-1,"-")</f>
        <v>0.111578947368421</v>
      </c>
      <c r="CP91" s="978">
        <f>IF(CJ90&lt;&gt;"",CP90/CJ90-1,"-")</f>
        <v>0.15620376241809342</v>
      </c>
      <c r="CQ91" s="978">
        <f>IF(CK90&lt;&gt;"",CQ90/CK90-1,"-")</f>
        <v>0.15094339622641506</v>
      </c>
      <c r="CR91" s="978">
        <f>IF(CL90&lt;&gt;"",CR90/CL90-1,"-")</f>
        <v>0.1212121212121211</v>
      </c>
      <c r="CS91" s="1120">
        <f>IF(CM90&lt;&gt;"",CS90/CM90-1,"-")</f>
        <v>0.13950737903018462</v>
      </c>
      <c r="CT91" s="978"/>
      <c r="CU91" s="978">
        <f>IF(CO90&lt;&gt;"",CU90/CO90-1,"-")</f>
        <v>0.11742424242424243</v>
      </c>
      <c r="CV91" s="978">
        <f>IF(CP90&lt;&gt;"",CV90/CP90-1,"-")</f>
        <v>4.0219378427788E-2</v>
      </c>
      <c r="CW91" s="978">
        <f>IF(CQ90&lt;&gt;"",CW90/CQ90-1,"-")</f>
        <v>-1.8214936247723523E-3</v>
      </c>
      <c r="CX91" s="978">
        <f>IF(CR90&lt;&gt;"",CX90/CR90-1,"-")</f>
        <v>2.533783783783794E-2</v>
      </c>
      <c r="CY91" s="1120">
        <f>IF(CS90&lt;&gt;"",CY90/CS90-1,"-")</f>
        <v>4.4223826714801406E-2</v>
      </c>
      <c r="CZ91" s="978"/>
      <c r="DA91" s="978">
        <f>IF(CU90&lt;&gt;"",DA90/CU90-1,"-")</f>
        <v>-3.2203389830508522E-2</v>
      </c>
      <c r="DB91" s="978">
        <f>IF(CV90&lt;&gt;"",DB90/CV90-1,"-")</f>
        <v>-1.4059753954305809E-2</v>
      </c>
      <c r="DC91" s="978">
        <f>IF(CW90&lt;&gt;"",DC90/CW90-1,"-")</f>
        <v>1.2773722627737127E-2</v>
      </c>
      <c r="DD91" s="978">
        <f>IF(CX90&lt;&gt;"",DD90/CX90-1,"-")</f>
        <v>-3.2948929159802298E-2</v>
      </c>
      <c r="DE91" s="1120">
        <f>IF(CY90&lt;&gt;"",DE90/CY90-1,"-")</f>
        <v>-1.728608470181503E-2</v>
      </c>
      <c r="DF91" s="978"/>
      <c r="DG91" s="978">
        <f>IF(DA90&lt;&gt;"",DG90/DA90-1,"-")</f>
        <v>3.8528896672504365E-2</v>
      </c>
      <c r="DH91" s="978">
        <f>IF(DB90&lt;&gt;"",DH90/DB90-1,"-")</f>
        <v>0.13725490196078427</v>
      </c>
      <c r="DI91" s="978">
        <f>IF(DC90&lt;&gt;"",DI90/DC90-1,"-")</f>
        <v>0.11351351351351346</v>
      </c>
      <c r="DJ91" s="978">
        <f>IF(DD90&lt;&gt;"",DJ90/DD90-1,"-")</f>
        <v>0.131175468483816</v>
      </c>
      <c r="DK91" s="1120">
        <f>IF(DE90&lt;&gt;"",DK90/DE90-1,"-")</f>
        <v>0.10510114335971865</v>
      </c>
      <c r="DL91" s="977"/>
      <c r="DM91" s="978">
        <f>IF(DG90&lt;&gt;"",DM90/DG90-1,"-")</f>
        <v>9.1062394603709906E-2</v>
      </c>
      <c r="DN91" s="978">
        <f>IF(DH90&lt;&gt;"",DN90/DH90-1,"-")</f>
        <v>-4.5454545454545414E-2</v>
      </c>
      <c r="DO91" s="978">
        <f>IF(DI90&lt;&gt;"",DO90/DI90-1,"-")</f>
        <v>-2.9126213592232997E-2</v>
      </c>
      <c r="DP91" s="978">
        <f>IF(DJ90&lt;&gt;"",DP90/DJ90-1,"-")</f>
        <v>-2.4096385542168641E-2</v>
      </c>
      <c r="DQ91" s="1120">
        <f>IF(DK90&lt;&gt;"",DQ90/DK90-1,"-")</f>
        <v>-3.5813768404298063E-3</v>
      </c>
      <c r="DR91" s="977"/>
      <c r="DS91" s="978">
        <f>IF(DM90&lt;&gt;"",DS90/DM90-1,"-")</f>
        <v>-0.20865533230293665</v>
      </c>
      <c r="DT91" s="978">
        <f>IF(DN90&lt;&gt;"",DT90/DN90-1,"-")</f>
        <v>-9.6880131362889976E-2</v>
      </c>
      <c r="DU91" s="978">
        <f>IF(DO90&lt;&gt;"",DU90/DO90-1,"-")</f>
        <v>-0.18500000000000005</v>
      </c>
      <c r="DV91" s="978">
        <f>IF(DP90&lt;&gt;"",DV90/DP90-1,"-")</f>
        <v>-0.26080246913580252</v>
      </c>
      <c r="DW91" s="1183"/>
      <c r="DX91" s="977"/>
      <c r="DY91" s="978">
        <f>IF(DS90&lt;&gt;"",DY90/DS90-1,"-")</f>
        <v>-4.8828125E-2</v>
      </c>
      <c r="DZ91" s="978">
        <f>IF(DT90&lt;&gt;"",DZ90/DT90-1,"-")</f>
        <v>-8.545454545454545E-2</v>
      </c>
      <c r="EA91" s="978">
        <f>IF(DU90&lt;&gt;"",EA90/DU90-1,"-")</f>
        <v>5.5214723926380271E-2</v>
      </c>
      <c r="EB91" s="978">
        <f>IF(DV90&lt;&gt;"",EB90/DV90-1,"-")</f>
        <v>0.15657620041753662</v>
      </c>
      <c r="EC91" s="1183"/>
      <c r="ED91" s="977"/>
      <c r="EE91" s="977"/>
      <c r="EF91" s="977"/>
      <c r="EG91" s="977"/>
      <c r="EH91" s="977"/>
      <c r="EI91" s="1183"/>
      <c r="EJ91" s="977"/>
      <c r="EK91" s="977"/>
      <c r="EL91" s="977"/>
      <c r="EM91" s="977"/>
      <c r="EN91" s="977"/>
      <c r="EO91" s="1183"/>
      <c r="EP91" s="977"/>
      <c r="EQ91" s="977"/>
      <c r="ER91" s="977"/>
      <c r="ES91" s="977"/>
      <c r="ET91" s="977"/>
      <c r="EU91" s="1183"/>
    </row>
    <row r="92" spans="1:196" ht="10.5" customHeight="1" thickBot="1">
      <c r="A92" s="1436" t="s">
        <v>344</v>
      </c>
      <c r="B92" s="1437"/>
      <c r="C92" s="1437"/>
      <c r="D92" s="1437"/>
      <c r="E92" s="1437"/>
      <c r="F92" s="1437"/>
      <c r="G92" s="1437"/>
      <c r="H92" s="1437"/>
      <c r="I92" s="1437"/>
      <c r="J92" s="1437"/>
      <c r="K92" s="1437"/>
      <c r="L92" s="1437"/>
      <c r="M92" s="1437"/>
      <c r="N92" s="1437"/>
      <c r="O92" s="1437"/>
      <c r="P92" s="1437"/>
      <c r="Q92" s="1437"/>
      <c r="R92" s="1437"/>
      <c r="S92" s="1437"/>
      <c r="T92" s="1437"/>
      <c r="U92" s="1437"/>
      <c r="V92" s="1437"/>
      <c r="W92" s="1437"/>
      <c r="X92" s="1437"/>
      <c r="Y92" s="1437"/>
      <c r="Z92" s="1437"/>
      <c r="AA92" s="1437"/>
      <c r="AB92" s="1437"/>
      <c r="AC92" s="1437"/>
      <c r="AD92" s="1437"/>
      <c r="AE92" s="1437"/>
      <c r="AF92" s="1437"/>
      <c r="AG92" s="1438" t="str">
        <f>IF(AD90&lt;&gt;"",AG90/AD90-1,"-")</f>
        <v>-</v>
      </c>
      <c r="AH92" s="1438">
        <f>IF(AG90&lt;&gt;"",AH90/AG90-1,"-")</f>
        <v>-5.8201058201058253E-2</v>
      </c>
      <c r="AI92" s="1438">
        <f>IF(AH90&lt;&gt;"",AI90/AH90-1,"-")</f>
        <v>-6.4822817631806195E-2</v>
      </c>
      <c r="AJ92" s="1438">
        <f>IF(AI90&lt;&gt;"",AJ90/AI90-1,"-")</f>
        <v>0.17375231053604412</v>
      </c>
      <c r="AK92" s="1439"/>
      <c r="AL92" s="1437"/>
      <c r="AM92" s="1438">
        <f>IF(AJ90&lt;&gt;"",AM90/AJ90-1,"-")</f>
        <v>-9.7137795275590522E-2</v>
      </c>
      <c r="AN92" s="1438">
        <f>IF(AM90&lt;&gt;"",AN90/AM90-1,"-")</f>
        <v>-7.8167856379754652E-2</v>
      </c>
      <c r="AO92" s="1438">
        <f>IF(AN90&lt;&gt;"",AO90/AN90-1,"-")</f>
        <v>-0.10737886764963278</v>
      </c>
      <c r="AP92" s="1438">
        <f>IF(AO90&lt;&gt;"",AP90/AO90-1,"-")</f>
        <v>3.611533590177074E-2</v>
      </c>
      <c r="AQ92" s="1439" t="s">
        <v>6442</v>
      </c>
      <c r="AR92" s="1437"/>
      <c r="AS92" s="1438">
        <f>IF(AP90&lt;&gt;"",AS90/AP90-1,"-")</f>
        <v>7.7998731561611079E-2</v>
      </c>
      <c r="AT92" s="1438">
        <f>IF(AS90&lt;&gt;"",AT90/AS90-1,"-")</f>
        <v>4.4551777800974079E-3</v>
      </c>
      <c r="AU92" s="1438">
        <f>IF(AT90&lt;&gt;"",AU90/AT90-1,"-")</f>
        <v>0.10465978602300385</v>
      </c>
      <c r="AV92" s="1438">
        <f>IF(AU90&lt;&gt;"",AV90/AU90-1,"-")</f>
        <v>0.26275324764177199</v>
      </c>
      <c r="AW92" s="1439" t="s">
        <v>6442</v>
      </c>
      <c r="AX92" s="1437"/>
      <c r="AY92" s="1438">
        <f>IF(AV90&lt;&gt;"",AY90/AV90-1,"-")</f>
        <v>1.2833971081236628E-2</v>
      </c>
      <c r="AZ92" s="1438">
        <f>IF(AY90&lt;&gt;"",AZ90/AY90-1,"-")</f>
        <v>-6.1183550651955909E-2</v>
      </c>
      <c r="BA92" s="1438">
        <f>IF(AZ90&lt;&gt;"",BA90/AZ90-1,"-")</f>
        <v>7.3361823361823397E-2</v>
      </c>
      <c r="BB92" s="1438">
        <f>IF(BA90&lt;&gt;"",BB90/BA90-1,"-")</f>
        <v>0.18646317186463146</v>
      </c>
      <c r="BC92" s="1439" t="s">
        <v>6442</v>
      </c>
      <c r="BD92" s="1437"/>
      <c r="BE92" s="1438">
        <f>IF(BB90&lt;&gt;"",BE90/BB90-1,"-")</f>
        <v>4.1946308724831738E-3</v>
      </c>
      <c r="BF92" s="1438">
        <f>IF(BE90&lt;&gt;"",BF90/BE90-1,"-")</f>
        <v>4.9289891395154495E-2</v>
      </c>
      <c r="BG92" s="1438">
        <f>IF(BF90&lt;&gt;"",BG90/BF90-1,"-")</f>
        <v>1.247346072186839E-2</v>
      </c>
      <c r="BH92" s="1438">
        <f>IF(BG90&lt;&gt;"",BH90/BG90-1,"-")</f>
        <v>0.10039318479685466</v>
      </c>
      <c r="BI92" s="1439" t="s">
        <v>6442</v>
      </c>
      <c r="BJ92" s="1437"/>
      <c r="BK92" s="1438">
        <f>IF(BH90&lt;&gt;"",BK90/BH90-1,"-")</f>
        <v>3.8589804668889949E-2</v>
      </c>
      <c r="BL92" s="1438">
        <f>IF(BK90&lt;&gt;"",BL90/BK90-1,"-")</f>
        <v>3.1192660550458662E-2</v>
      </c>
      <c r="BM92" s="1438">
        <f>IF(BL90&lt;&gt;"",BM90/BL90-1,"-")</f>
        <v>1.6459074733095935E-2</v>
      </c>
      <c r="BN92" s="1438">
        <f>IF(BM90&lt;&gt;"",BN90/BM90-1,"-")</f>
        <v>8.7527352297593009E-2</v>
      </c>
      <c r="BO92" s="1440" t="s">
        <v>6442</v>
      </c>
      <c r="BP92" s="1437"/>
      <c r="BQ92" s="1438">
        <f>IF(BN90&lt;&gt;"",BQ90/BN90-1,"-")</f>
        <v>2.3340040241448756E-2</v>
      </c>
      <c r="BR92" s="1438">
        <f>IF(BQ90&lt;&gt;"",BR90/BQ90-1,"-")</f>
        <v>3.4014942980731488E-2</v>
      </c>
      <c r="BS92" s="1438">
        <f>IF(BR90&lt;&gt;"",BS90/BR90-1,"-")</f>
        <v>2.4909678646130251E-2</v>
      </c>
      <c r="BT92" s="1438">
        <f>IF(BS90&lt;&gt;"",BT90/BS90-1,"-")</f>
        <v>0.11131725417439697</v>
      </c>
      <c r="BU92" s="1440" t="s">
        <v>6442</v>
      </c>
      <c r="BV92" s="1437"/>
      <c r="BW92" s="1438">
        <f>IF(BT90&lt;&gt;"",BW90/BT90-1,"-")</f>
        <v>-3.3388981636062187E-4</v>
      </c>
      <c r="BX92" s="1438">
        <f>IF(BW90&lt;&gt;"",BX90/BW90-1,"-")</f>
        <v>3.4569138276553169E-2</v>
      </c>
      <c r="BY92" s="1438">
        <f>IF(BX90&lt;&gt;"",BY90/BX90-1,"-")</f>
        <v>-2.001614205004032E-2</v>
      </c>
      <c r="BZ92" s="1438">
        <f>IF(BY90&lt;&gt;"",BZ90/BY90-1,"-")</f>
        <v>-0.19321363860978424</v>
      </c>
      <c r="CA92" s="1440" t="s">
        <v>6442</v>
      </c>
      <c r="CB92" s="1437"/>
      <c r="CC92" s="1438">
        <f>IF(BZ90&lt;&gt;"",CC90/BZ90-1,"-")</f>
        <v>-0.13025724785626791</v>
      </c>
      <c r="CD92" s="1438">
        <f>IF(CC90&lt;&gt;"",CD90/CC90-1,"-")</f>
        <v>-2.5821596244131495E-2</v>
      </c>
      <c r="CE92" s="1438">
        <f>IF(CD90&lt;&gt;"",CE90/CD90-1,"-")</f>
        <v>4.8192771084336616E-3</v>
      </c>
      <c r="CF92" s="1438">
        <f>IF(CE90&lt;&gt;"",CF90/CE90-1,"-")</f>
        <v>9.3525179856115193E-2</v>
      </c>
      <c r="CG92" s="1440" t="s">
        <v>6442</v>
      </c>
      <c r="CH92" s="979"/>
      <c r="CI92" s="1438">
        <f>IF(CF90&lt;&gt;"",CI90/CF90-1,"-")</f>
        <v>4.1666666666666741E-2</v>
      </c>
      <c r="CJ92" s="1438">
        <f>IF(CI90&lt;&gt;"",CJ90/CI90-1,"-")</f>
        <v>-4.0000000000000036E-3</v>
      </c>
      <c r="CK92" s="1438">
        <f>IF(CJ90&lt;&gt;"",CK90/CJ90-1,"-")</f>
        <v>8.2435003170575616E-3</v>
      </c>
      <c r="CL92" s="1438">
        <f>IF(CK90&lt;&gt;"",CL90/CK90-1,"-")</f>
        <v>0.10691823899371067</v>
      </c>
      <c r="CM92" s="1440" t="s">
        <v>6442</v>
      </c>
      <c r="CN92" s="979"/>
      <c r="CO92" s="1438">
        <f>IF(CL90&lt;&gt;"",CO90/CL90-1,"-")</f>
        <v>0</v>
      </c>
      <c r="CP92" s="1438">
        <f>IF(CO90&lt;&gt;"",CP90/CO90-1,"-")</f>
        <v>3.5984848484848397E-2</v>
      </c>
      <c r="CQ92" s="1438">
        <f>IF(CP90&lt;&gt;"",CQ90/CP90-1,"-")</f>
        <v>3.6563071297988081E-3</v>
      </c>
      <c r="CR92" s="1438">
        <f>IF(CQ90&lt;&gt;"",CR90/CQ90-1,"-")</f>
        <v>7.8324225865209485E-2</v>
      </c>
      <c r="CS92" s="1440" t="s">
        <v>6442</v>
      </c>
      <c r="CT92" s="1439"/>
      <c r="CU92" s="1438">
        <f>IF(CR90&lt;&gt;"",CU90/CR90-1,"-")</f>
        <v>-3.3783783783783994E-3</v>
      </c>
      <c r="CV92" s="1438">
        <f>IF(CU90&lt;&gt;"",CV90/CU90-1,"-")</f>
        <v>-3.5593220338983045E-2</v>
      </c>
      <c r="CW92" s="1438">
        <f>IF(CV90&lt;&gt;"",CW90/CV90-1,"-")</f>
        <v>-3.690685413005268E-2</v>
      </c>
      <c r="CX92" s="1438">
        <f>IF(CW90&lt;&gt;"",CX90/CW90-1,"-")</f>
        <v>0.10766423357664223</v>
      </c>
      <c r="CY92" s="1440" t="s">
        <v>6442</v>
      </c>
      <c r="CZ92" s="1439"/>
      <c r="DA92" s="1438">
        <f>IF(CX90&lt;&gt;"",DA90/CX90-1,"-")</f>
        <v>-5.9308072487644137E-2</v>
      </c>
      <c r="DB92" s="1438">
        <f>IF(DA90&lt;&gt;"",DB90/DA90-1,"-")</f>
        <v>-1.7513134851138368E-2</v>
      </c>
      <c r="DC92" s="1438">
        <f>IF(DB90&lt;&gt;"",DC90/DB90-1,"-")</f>
        <v>-1.0695187165775444E-2</v>
      </c>
      <c r="DD92" s="1438">
        <f>IF(DC90&lt;&gt;"",DD90/DC90-1,"-")</f>
        <v>5.7657657657657735E-2</v>
      </c>
      <c r="DE92" s="1184"/>
      <c r="DF92" s="979"/>
      <c r="DG92" s="1438">
        <f>IF(DD90&lt;&gt;"",DG90/DD90-1,"-")</f>
        <v>1.0221465076660996E-2</v>
      </c>
      <c r="DH92" s="1438">
        <f>IF(DG90&lt;&gt;"",DH90/DG90-1,"-")</f>
        <v>7.5885328836424959E-2</v>
      </c>
      <c r="DI92" s="1438">
        <f>IF(DH90&lt;&gt;"",DI90/DH90-1,"-")</f>
        <v>-3.1347962382445194E-2</v>
      </c>
      <c r="DJ92" s="1438">
        <f>IF(DI90&lt;&gt;"",DJ90/DI90-1,"-")</f>
        <v>7.4433656957928696E-2</v>
      </c>
      <c r="DK92" s="1184"/>
      <c r="DL92" s="979"/>
      <c r="DM92" s="1438">
        <f>IF(DJ90&lt;&gt;"",DM90/DJ90-1,"-")</f>
        <v>-2.5602409638554202E-2</v>
      </c>
      <c r="DN92" s="1438">
        <f>IF(DM90&lt;&gt;"",DN90/DM90-1,"-")</f>
        <v>-5.8732612055641398E-2</v>
      </c>
      <c r="DO92" s="1438">
        <f>IF(DN90&lt;&gt;"",DO90/DN90-1,"-")</f>
        <v>-1.4778325123152691E-2</v>
      </c>
      <c r="DP92" s="1438">
        <f>IF(DO90&lt;&gt;"",DP90/DO90-1,"-")</f>
        <v>8.0000000000000071E-2</v>
      </c>
      <c r="DQ92" s="1184"/>
      <c r="DR92" s="977"/>
      <c r="DS92" s="1438">
        <f>IF(DP90&lt;&gt;"",DS90/DP90-1,"-")</f>
        <v>-0.20987654320987659</v>
      </c>
      <c r="DT92" s="1438">
        <f>IF(DS90&lt;&gt;"",DT90/DS90-1,"-")</f>
        <v>7.421875E-2</v>
      </c>
      <c r="DU92" s="1438">
        <f>IF(DT90&lt;&gt;"",DU90/DT90-1,"-")</f>
        <v>-0.11090909090909096</v>
      </c>
      <c r="DV92" s="1438">
        <f>IF(DU90&lt;&gt;"",DV90/DU90-1,"-")</f>
        <v>-2.0449897750511203E-2</v>
      </c>
      <c r="DW92" s="1184"/>
      <c r="DX92" s="977"/>
      <c r="DY92" s="1438" t="str">
        <f>IF(DX90&lt;&gt;"",DY90/DX90-1,"-")</f>
        <v>-</v>
      </c>
      <c r="DZ92" s="1438">
        <f>IF(DY90&lt;&gt;"",DZ90/DY90-1,"-")</f>
        <v>3.2854209445585258E-2</v>
      </c>
      <c r="EA92" s="1438">
        <f>IF(DZ90&lt;&gt;"",EA90/DZ90-1,"-")</f>
        <v>2.5844930417495027E-2</v>
      </c>
      <c r="EB92" s="1438">
        <f>IF(EA90&lt;&gt;"",EB90/EA90-1,"-")</f>
        <v>7.3643410852713087E-2</v>
      </c>
      <c r="EC92" s="1184"/>
      <c r="ED92" s="977"/>
      <c r="EE92" s="979"/>
      <c r="EF92" s="979"/>
      <c r="EG92" s="979"/>
      <c r="EH92" s="979"/>
      <c r="EI92" s="1184"/>
      <c r="EJ92" s="977"/>
      <c r="EK92" s="979"/>
      <c r="EL92" s="979"/>
      <c r="EM92" s="979"/>
      <c r="EN92" s="979"/>
      <c r="EO92" s="1184"/>
      <c r="EP92" s="977"/>
      <c r="EQ92" s="979"/>
      <c r="ER92" s="979"/>
      <c r="ES92" s="979"/>
      <c r="ET92" s="979"/>
      <c r="EU92" s="1184"/>
    </row>
    <row r="93" spans="1:196" ht="5.25" hidden="1" customHeight="1" outlineLevel="2">
      <c r="A93" s="266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147"/>
      <c r="AG93" s="147"/>
      <c r="AH93" s="147"/>
      <c r="AI93" s="147"/>
      <c r="AJ93" s="147"/>
      <c r="AK93" s="281"/>
      <c r="AL93" s="147"/>
      <c r="AM93" s="281"/>
      <c r="AN93" s="281"/>
      <c r="AO93" s="281"/>
      <c r="AP93" s="281"/>
      <c r="AQ93" s="281"/>
      <c r="AR93" s="281"/>
      <c r="AS93" s="281"/>
      <c r="AT93" s="281"/>
      <c r="AU93" s="281"/>
      <c r="AV93" s="281"/>
      <c r="AW93" s="281"/>
      <c r="AX93" s="281"/>
      <c r="AY93" s="281"/>
      <c r="AZ93" s="281"/>
      <c r="BA93" s="281"/>
      <c r="BB93" s="281"/>
      <c r="BC93" s="281"/>
      <c r="BD93" s="147"/>
      <c r="BE93" s="281"/>
      <c r="BF93" s="141"/>
      <c r="BG93" s="141"/>
      <c r="BH93" s="141"/>
      <c r="BI93" s="281"/>
      <c r="BJ93" s="147"/>
      <c r="BK93" s="281"/>
      <c r="BL93" s="147"/>
      <c r="BM93" s="147"/>
      <c r="BN93" s="147"/>
      <c r="BO93" s="1113"/>
      <c r="BP93" s="147"/>
      <c r="BQ93" s="281"/>
      <c r="BR93" s="281"/>
      <c r="BS93" s="281"/>
      <c r="BT93" s="281"/>
      <c r="BU93" s="1113"/>
      <c r="BV93" s="147"/>
      <c r="BW93" s="281"/>
      <c r="BX93" s="281"/>
      <c r="BY93" s="281"/>
      <c r="BZ93" s="281"/>
      <c r="CA93" s="1113"/>
      <c r="CB93" s="147"/>
      <c r="CC93" s="281"/>
      <c r="CD93" s="281"/>
      <c r="CE93" s="281"/>
      <c r="CF93" s="147"/>
      <c r="CG93" s="1096"/>
      <c r="CH93" s="147"/>
      <c r="CI93" s="281"/>
      <c r="CJ93" s="281"/>
      <c r="CK93" s="141"/>
      <c r="CL93" s="147"/>
      <c r="CM93" s="1096"/>
      <c r="CN93" s="147"/>
      <c r="CO93" s="147"/>
      <c r="CP93" s="147"/>
      <c r="CQ93" s="147"/>
      <c r="CR93" s="147"/>
      <c r="CS93" s="1096"/>
      <c r="CT93" s="147"/>
      <c r="CU93" s="147"/>
      <c r="CV93" s="147"/>
      <c r="CW93" s="147"/>
      <c r="CX93" s="147"/>
      <c r="CY93" s="1096"/>
      <c r="CZ93" s="147"/>
      <c r="DA93" s="147"/>
      <c r="DB93" s="147"/>
      <c r="DC93" s="147"/>
      <c r="DD93" s="147"/>
      <c r="DE93" s="1096"/>
      <c r="DF93" s="147"/>
      <c r="DG93" s="147"/>
      <c r="DH93" s="147"/>
      <c r="DI93" s="147"/>
      <c r="DJ93" s="147"/>
      <c r="DK93" s="1096"/>
      <c r="DL93" s="147"/>
      <c r="DM93" s="147"/>
      <c r="DN93" s="147"/>
      <c r="DO93" s="147"/>
      <c r="DP93" s="147"/>
      <c r="DQ93" s="1096"/>
      <c r="DR93" s="147"/>
      <c r="DS93" s="147"/>
      <c r="DT93" s="147"/>
      <c r="DU93" s="147"/>
      <c r="DV93" s="147"/>
      <c r="DW93" s="1096"/>
      <c r="DX93" s="147"/>
      <c r="DY93" s="147"/>
      <c r="DZ93" s="147"/>
      <c r="EA93" s="147"/>
      <c r="EB93" s="147"/>
      <c r="EC93" s="1096"/>
      <c r="ED93" s="147"/>
      <c r="EE93" s="147"/>
      <c r="EF93" s="147"/>
      <c r="EG93" s="147"/>
      <c r="EH93" s="147"/>
      <c r="EI93" s="1096"/>
      <c r="EJ93" s="147"/>
      <c r="EK93" s="147"/>
      <c r="EL93" s="147"/>
      <c r="EM93" s="147"/>
      <c r="EN93" s="147"/>
      <c r="EO93" s="1096"/>
      <c r="EP93" s="147"/>
      <c r="EQ93" s="147"/>
      <c r="ER93" s="147"/>
      <c r="ES93" s="147"/>
      <c r="ET93" s="147"/>
      <c r="EU93" s="1096"/>
    </row>
    <row r="94" spans="1:196" ht="12.75" hidden="1" customHeight="1" outlineLevel="3" thickBot="1">
      <c r="A94" s="266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263"/>
      <c r="P94" s="263"/>
      <c r="Q94" s="263"/>
      <c r="R94" s="263"/>
      <c r="S94" s="141"/>
      <c r="T94" s="147"/>
      <c r="U94" s="263"/>
      <c r="V94" s="263"/>
      <c r="W94" s="263"/>
      <c r="X94" s="263"/>
      <c r="Y94" s="141"/>
      <c r="Z94" s="141"/>
      <c r="AA94" s="263"/>
      <c r="AB94" s="263"/>
      <c r="AC94" s="263"/>
      <c r="AD94" s="263"/>
      <c r="AE94" s="141"/>
      <c r="AF94" s="147"/>
      <c r="AG94" s="263"/>
      <c r="AH94" s="263"/>
      <c r="AI94" s="263"/>
      <c r="AJ94" s="263"/>
      <c r="AK94" s="141"/>
      <c r="AL94" s="147"/>
      <c r="AM94" s="263"/>
      <c r="AN94" s="263"/>
      <c r="AO94" s="263"/>
      <c r="AP94" s="263"/>
      <c r="AQ94" s="141"/>
      <c r="AR94" s="141"/>
      <c r="AS94" s="263"/>
      <c r="AT94" s="263"/>
      <c r="AU94" s="263"/>
      <c r="AV94" s="263"/>
      <c r="AW94" s="141"/>
      <c r="AX94" s="147"/>
      <c r="AY94" s="263"/>
      <c r="AZ94" s="263"/>
      <c r="BA94" s="263"/>
      <c r="BB94" s="263"/>
      <c r="BC94" s="141"/>
      <c r="BD94" s="147"/>
      <c r="BE94" s="263"/>
      <c r="BF94" s="263"/>
      <c r="BG94" s="263"/>
      <c r="BH94" s="263"/>
      <c r="BI94" s="141"/>
      <c r="BJ94" s="147"/>
      <c r="BK94" s="263"/>
      <c r="BL94" s="263"/>
      <c r="BM94" s="263"/>
      <c r="BN94" s="263"/>
      <c r="BO94" s="1105"/>
      <c r="BP94" s="147"/>
      <c r="BQ94" s="263"/>
      <c r="BR94" s="263"/>
      <c r="BS94" s="263"/>
      <c r="BT94" s="263"/>
      <c r="BU94" s="1105"/>
      <c r="BV94" s="147"/>
      <c r="BW94" s="263"/>
      <c r="BX94" s="263"/>
      <c r="BY94" s="263"/>
      <c r="BZ94" s="263"/>
      <c r="CA94" s="1105"/>
      <c r="CB94" s="147"/>
      <c r="CC94" s="147"/>
      <c r="CD94" s="263"/>
      <c r="CE94" s="263"/>
      <c r="CF94" s="1500"/>
      <c r="CG94" s="1519"/>
      <c r="CH94" s="147"/>
      <c r="CI94" s="147"/>
      <c r="CJ94" s="147"/>
      <c r="CK94" s="141"/>
      <c r="CL94" s="147"/>
      <c r="CM94" s="1096"/>
      <c r="CN94" s="147"/>
      <c r="CO94" s="147"/>
      <c r="CP94" s="147"/>
      <c r="CQ94" s="147"/>
      <c r="CR94" s="147"/>
      <c r="CS94" s="1096"/>
      <c r="CT94" s="147"/>
      <c r="CU94" s="147"/>
      <c r="CV94" s="147"/>
      <c r="CW94" s="147"/>
      <c r="CX94" s="147"/>
      <c r="CY94" s="1096"/>
      <c r="CZ94" s="147"/>
      <c r="DA94" s="147"/>
      <c r="DB94" s="147"/>
      <c r="DC94" s="147"/>
      <c r="DD94" s="147"/>
      <c r="DE94" s="1096"/>
      <c r="DF94" s="147"/>
      <c r="DG94" s="147"/>
      <c r="DH94" s="147"/>
      <c r="DI94" s="147"/>
      <c r="DJ94" s="147"/>
      <c r="DK94" s="1096"/>
      <c r="DL94" s="147"/>
      <c r="DM94" s="147"/>
      <c r="DN94" s="147"/>
      <c r="DO94" s="147"/>
      <c r="DP94" s="147"/>
      <c r="DQ94" s="1096"/>
      <c r="DR94" s="147"/>
      <c r="DS94" s="147"/>
      <c r="DT94" s="147"/>
      <c r="DU94" s="147"/>
      <c r="DV94" s="147"/>
      <c r="DW94" s="1096"/>
      <c r="DX94" s="147"/>
      <c r="DY94" s="147"/>
      <c r="DZ94" s="147"/>
      <c r="EA94" s="147"/>
      <c r="EB94" s="147"/>
      <c r="EC94" s="1096"/>
      <c r="ED94" s="147"/>
      <c r="EE94" s="147"/>
      <c r="EF94" s="147"/>
      <c r="EG94" s="147"/>
      <c r="EH94" s="147"/>
      <c r="EI94" s="1096"/>
      <c r="EJ94" s="147"/>
      <c r="EK94" s="147"/>
      <c r="EL94" s="147"/>
      <c r="EM94" s="147"/>
      <c r="EN94" s="147"/>
      <c r="EO94" s="1096"/>
      <c r="EP94" s="147"/>
      <c r="EQ94" s="147"/>
      <c r="ER94" s="147"/>
      <c r="ES94" s="147"/>
      <c r="ET94" s="147"/>
      <c r="EU94" s="1096"/>
    </row>
    <row r="95" spans="1:196" ht="12.75" hidden="1" customHeight="1" outlineLevel="3">
      <c r="A95" s="861" t="s">
        <v>3341</v>
      </c>
      <c r="B95" s="862"/>
      <c r="C95" s="862"/>
      <c r="D95" s="862"/>
      <c r="E95" s="862"/>
      <c r="F95" s="862"/>
      <c r="G95" s="862"/>
      <c r="H95" s="862"/>
      <c r="I95" s="862"/>
      <c r="J95" s="862"/>
      <c r="K95" s="862"/>
      <c r="L95" s="862"/>
      <c r="M95" s="862"/>
      <c r="N95" s="862"/>
      <c r="O95" s="862"/>
      <c r="P95" s="862"/>
      <c r="Q95" s="862"/>
      <c r="R95" s="862"/>
      <c r="S95" s="863"/>
      <c r="T95" s="863"/>
      <c r="U95" s="863">
        <v>177.7</v>
      </c>
      <c r="V95" s="863"/>
      <c r="W95" s="863"/>
      <c r="X95" s="863"/>
      <c r="Y95" s="863"/>
      <c r="Z95" s="863"/>
      <c r="AA95" s="863"/>
      <c r="AB95" s="863"/>
      <c r="AC95" s="863">
        <v>36.75</v>
      </c>
      <c r="AD95" s="863"/>
      <c r="AE95" s="863"/>
      <c r="AF95" s="862"/>
      <c r="AG95" s="864">
        <f>AG98+AG101+AG104+AG107</f>
        <v>196.6</v>
      </c>
      <c r="AH95" s="864">
        <f>AH98+AH101+AH104+AH107</f>
        <v>191.7</v>
      </c>
      <c r="AI95" s="864">
        <f>AI98+AI101+AI104+AI107</f>
        <v>179.60000000000002</v>
      </c>
      <c r="AJ95" s="864">
        <f>AJ98+AJ101+AJ104+AJ107</f>
        <v>223.5</v>
      </c>
      <c r="AK95" s="864"/>
      <c r="AL95" s="862"/>
      <c r="AM95" s="864">
        <f>AM98+AM101+AM104+AM107</f>
        <v>193</v>
      </c>
      <c r="AN95" s="864">
        <f>AN98+AN101+AN104+AN107</f>
        <v>177.7</v>
      </c>
      <c r="AO95" s="864">
        <f>AO98+AO101+AO104+AO107</f>
        <v>158</v>
      </c>
      <c r="AP95" s="864">
        <f>AP98+AP101+AP104+AP107</f>
        <v>165.7</v>
      </c>
      <c r="AQ95" s="864">
        <f>SUM(AM95:AP95)</f>
        <v>694.40000000000009</v>
      </c>
      <c r="AR95" s="862"/>
      <c r="AS95" s="864">
        <f>AS98+AS101+AS104+AS107</f>
        <v>172.60000000000002</v>
      </c>
      <c r="AT95" s="864">
        <f>AT98+AT101+AT104+AT107</f>
        <v>180.8</v>
      </c>
      <c r="AU95" s="864">
        <f>AU98+AU101+AU104+AU107</f>
        <v>200.10000000000002</v>
      </c>
      <c r="AV95" s="864">
        <f>AV98+AV101+AV104+AV107</f>
        <v>258.2</v>
      </c>
      <c r="AW95" s="864">
        <f>SUM(AS95:AV95)</f>
        <v>811.7</v>
      </c>
      <c r="AX95" s="862"/>
      <c r="AY95" s="864">
        <f>AY98+AY101+AY104+AY107</f>
        <v>260.2</v>
      </c>
      <c r="AZ95" s="864">
        <f>AZ98+AZ101+AZ104+AZ107</f>
        <v>242.40000000000003</v>
      </c>
      <c r="BA95" s="864">
        <f>BA98+BA101+BA104+BA107</f>
        <v>256.39999999999998</v>
      </c>
      <c r="BB95" s="864">
        <f>BB98+BB101+BB104+BB107</f>
        <v>312.29999999999995</v>
      </c>
      <c r="BC95" s="864">
        <f>SUM(AY95:BB95)</f>
        <v>1071.3</v>
      </c>
      <c r="BD95" s="862"/>
      <c r="BE95" s="864">
        <f>BE98+BE101+BE104+BE107</f>
        <v>313.2</v>
      </c>
      <c r="BF95" s="864">
        <v>325.8</v>
      </c>
      <c r="BG95" s="864">
        <v>333.8</v>
      </c>
      <c r="BH95" s="864">
        <v>371.7</v>
      </c>
      <c r="BI95" s="864">
        <f>SUM(BE95:BH95)</f>
        <v>1344.5</v>
      </c>
      <c r="BJ95" s="862"/>
      <c r="BK95" s="864">
        <f>BK98+BK101+BK104+BK107</f>
        <v>386.70000000000005</v>
      </c>
      <c r="BL95" s="864">
        <f>BL98+BL101+BL104+BL107</f>
        <v>388.6</v>
      </c>
      <c r="BM95" s="865">
        <f>BM98+BM101+BM104+BM107</f>
        <v>390</v>
      </c>
      <c r="BN95" s="865">
        <f>BN98+BN101+BN104+BN107</f>
        <v>430</v>
      </c>
      <c r="BO95" s="1108">
        <f>SUM(BK95:BN95)</f>
        <v>1595.3000000000002</v>
      </c>
      <c r="BP95" s="862"/>
      <c r="BQ95" s="928" t="s">
        <v>5551</v>
      </c>
      <c r="BR95" s="862"/>
      <c r="BS95" s="862"/>
      <c r="BT95" s="862"/>
      <c r="BU95" s="1108"/>
      <c r="BV95" s="862"/>
      <c r="BW95" s="928"/>
      <c r="BX95" s="928"/>
      <c r="BY95" s="928"/>
      <c r="BZ95" s="928"/>
      <c r="CA95" s="1108"/>
      <c r="CB95" s="862"/>
      <c r="CC95" s="862"/>
      <c r="CD95" s="928"/>
      <c r="CE95" s="928"/>
      <c r="CF95" s="1505"/>
      <c r="CG95" s="1524"/>
      <c r="CH95" s="862"/>
      <c r="CI95" s="862"/>
      <c r="CJ95" s="862"/>
      <c r="CK95" s="864"/>
      <c r="CL95" s="862"/>
      <c r="CM95" s="1176"/>
      <c r="CN95" s="862"/>
      <c r="CO95" s="862"/>
      <c r="CP95" s="862"/>
      <c r="CQ95" s="862"/>
      <c r="CR95" s="862"/>
      <c r="CS95" s="1176"/>
      <c r="CT95" s="862"/>
      <c r="CU95" s="862"/>
      <c r="CV95" s="862"/>
      <c r="CW95" s="862"/>
      <c r="CX95" s="862"/>
      <c r="CY95" s="1176"/>
      <c r="CZ95" s="862"/>
      <c r="DA95" s="862"/>
      <c r="DB95" s="862"/>
      <c r="DC95" s="862"/>
      <c r="DD95" s="862"/>
      <c r="DE95" s="1176"/>
      <c r="DF95" s="862"/>
      <c r="DG95" s="862"/>
      <c r="DH95" s="862"/>
      <c r="DI95" s="862"/>
      <c r="DJ95" s="862"/>
      <c r="DK95" s="1176"/>
      <c r="DL95" s="862"/>
      <c r="DM95" s="862"/>
      <c r="DN95" s="862"/>
      <c r="DO95" s="862"/>
      <c r="DP95" s="862"/>
      <c r="DQ95" s="1176"/>
      <c r="DS95" s="862"/>
      <c r="DT95" s="862"/>
      <c r="DU95" s="862"/>
      <c r="DV95" s="862"/>
      <c r="DW95" s="1176"/>
      <c r="DY95" s="862"/>
      <c r="DZ95" s="862"/>
      <c r="EA95" s="862"/>
      <c r="EB95" s="862"/>
      <c r="EC95" s="1176"/>
      <c r="EE95" s="862"/>
      <c r="EF95" s="862"/>
      <c r="EG95" s="862"/>
      <c r="EH95" s="862"/>
      <c r="EI95" s="1176"/>
      <c r="EK95" s="862"/>
      <c r="EL95" s="862"/>
      <c r="EM95" s="862"/>
      <c r="EN95" s="862"/>
      <c r="EO95" s="1176"/>
      <c r="EQ95" s="862"/>
      <c r="ER95" s="862"/>
      <c r="ES95" s="862"/>
      <c r="ET95" s="862"/>
      <c r="EU95" s="1176"/>
    </row>
    <row r="96" spans="1:196" ht="12.75" hidden="1" customHeight="1" outlineLevel="3">
      <c r="A96" s="866" t="s">
        <v>345</v>
      </c>
      <c r="B96" s="782"/>
      <c r="C96" s="782"/>
      <c r="D96" s="782"/>
      <c r="E96" s="782"/>
      <c r="F96" s="782"/>
      <c r="G96" s="782"/>
      <c r="H96" s="782"/>
      <c r="I96" s="782"/>
      <c r="J96" s="782"/>
      <c r="K96" s="782"/>
      <c r="L96" s="782"/>
      <c r="M96" s="782"/>
      <c r="N96" s="782"/>
      <c r="O96" s="508" t="str">
        <f>IF(I95&lt;&gt;"",O95/I95-1,"-")</f>
        <v>-</v>
      </c>
      <c r="P96" s="508" t="str">
        <f>IF(J95&lt;&gt;"",P95/J95-1,"-")</f>
        <v>-</v>
      </c>
      <c r="Q96" s="508" t="str">
        <f>IF(K95&lt;&gt;"",Q95/K95-1,"-")</f>
        <v>-</v>
      </c>
      <c r="R96" s="508" t="str">
        <f>IF(L95&lt;&gt;"",R95/L95-1,"-")</f>
        <v>-</v>
      </c>
      <c r="S96" s="508"/>
      <c r="T96" s="867"/>
      <c r="U96" s="508" t="str">
        <f>IF(O95&lt;&gt;"",U95/O95-1,"-")</f>
        <v>-</v>
      </c>
      <c r="V96" s="508" t="str">
        <f>IF(P95&lt;&gt;"",V95/P95-1,"-")</f>
        <v>-</v>
      </c>
      <c r="W96" s="508" t="str">
        <f>IF(Q95&lt;&gt;"",W95/Q95-1,"-")</f>
        <v>-</v>
      </c>
      <c r="X96" s="508" t="str">
        <f>IF(R95&lt;&gt;"",X95/R95-1,"-")</f>
        <v>-</v>
      </c>
      <c r="Y96" s="508"/>
      <c r="Z96" s="867"/>
      <c r="AA96" s="508">
        <f>IF(U95&lt;&gt;"",AA95/U95-1,"-")</f>
        <v>-1</v>
      </c>
      <c r="AB96" s="508" t="str">
        <f>IF(V95&lt;&gt;"",AB95/V95-1,"-")</f>
        <v>-</v>
      </c>
      <c r="AC96" s="508" t="str">
        <f>IF(W95&lt;&gt;"",AC95/W95-1,"-")</f>
        <v>-</v>
      </c>
      <c r="AD96" s="508" t="str">
        <f>IF(X95&lt;&gt;"",AD95/X95-1,"-")</f>
        <v>-</v>
      </c>
      <c r="AE96" s="508"/>
      <c r="AF96" s="782"/>
      <c r="AG96" s="508" t="str">
        <f>IF(AA95&lt;&gt;"",AG95/AA95-1,"-")</f>
        <v>-</v>
      </c>
      <c r="AH96" s="508" t="str">
        <f>IF(AB95&lt;&gt;"",AH95/AB95-1,"-")</f>
        <v>-</v>
      </c>
      <c r="AI96" s="508">
        <f>IF(AC95&lt;&gt;"",AI95/AC95-1,"-")</f>
        <v>3.8870748299319731</v>
      </c>
      <c r="AJ96" s="508" t="str">
        <f>IF(AD95&lt;&gt;"",AJ95/AD95-1,"-")</f>
        <v>-</v>
      </c>
      <c r="AK96" s="508"/>
      <c r="AL96" s="782"/>
      <c r="AM96" s="508">
        <f>IF(AG95&lt;&gt;"",AM95/AG95-1,"-")</f>
        <v>-1.8311291963377441E-2</v>
      </c>
      <c r="AN96" s="508">
        <f>IF(AH95&lt;&gt;"",AN95/AH95-1,"-")</f>
        <v>-7.3030777256129387E-2</v>
      </c>
      <c r="AO96" s="508">
        <f>IF(AI95&lt;&gt;"",AO95/AI95-1,"-")</f>
        <v>-0.12026726057906467</v>
      </c>
      <c r="AP96" s="508">
        <f>IF(AJ95&lt;&gt;"",AP95/AJ95-1,"-")</f>
        <v>-0.25861297539149897</v>
      </c>
      <c r="AQ96" s="508" t="str">
        <f>IF(AK95&lt;&gt;"",AQ95/AK95-1,"-")</f>
        <v>-</v>
      </c>
      <c r="AR96" s="782"/>
      <c r="AS96" s="508">
        <f>IF(AM95&lt;&gt;"",AS95/AM95-1,"-")</f>
        <v>-0.10569948186528488</v>
      </c>
      <c r="AT96" s="508">
        <f>IF(AN95&lt;&gt;"",AT95/AN95-1,"-")</f>
        <v>1.7445132245357486E-2</v>
      </c>
      <c r="AU96" s="508">
        <f>IF(AO95&lt;&gt;"",AU95/AO95-1,"-")</f>
        <v>0.26645569620253173</v>
      </c>
      <c r="AV96" s="508">
        <f>IF(AP95&lt;&gt;"",AV95/AP95-1,"-")</f>
        <v>0.5582377791188895</v>
      </c>
      <c r="AW96" s="508">
        <f>IF(AQ95&lt;&gt;"",AW95/AQ95-1,"-")</f>
        <v>0.1689228110599077</v>
      </c>
      <c r="AX96" s="782"/>
      <c r="AY96" s="508">
        <f>IF(AS95&lt;&gt;"",AY95/AS95-1,"-")</f>
        <v>0.50753186558516772</v>
      </c>
      <c r="AZ96" s="508">
        <f>IF(AT95&lt;&gt;"",AZ95/AT95-1,"-")</f>
        <v>0.34070796460177011</v>
      </c>
      <c r="BA96" s="508">
        <f>IF(AU95&lt;&gt;"",BA95/AU95-1,"-")</f>
        <v>0.28135932033982991</v>
      </c>
      <c r="BB96" s="508">
        <f>IF(AV95&lt;&gt;"",BB95/AV95-1,"-")</f>
        <v>0.20952749806351645</v>
      </c>
      <c r="BC96" s="508">
        <f>IF(AW95&lt;&gt;"",BC95/AW95-1,"-")</f>
        <v>0.31982259455463824</v>
      </c>
      <c r="BD96" s="782"/>
      <c r="BE96" s="508">
        <f>IF(AY95&lt;&gt;"",BE95/AY95-1,"-")</f>
        <v>0.20368946963873946</v>
      </c>
      <c r="BF96" s="508">
        <f>IF(AZ95&lt;&gt;"",BF95/AZ95-1,"-")</f>
        <v>0.34405940594059392</v>
      </c>
      <c r="BG96" s="508">
        <f>IF(BA95&lt;&gt;"",BG95/BA95-1,"-")</f>
        <v>0.3018720748829955</v>
      </c>
      <c r="BH96" s="508">
        <f>IF(BB95&lt;&gt;"",BH95/BB95-1,"-")</f>
        <v>0.19020172910662847</v>
      </c>
      <c r="BI96" s="508">
        <f>IF(BC95&lt;&gt;"",BI95/BC95-1,"-")</f>
        <v>0.25501726873891539</v>
      </c>
      <c r="BJ96" s="782"/>
      <c r="BK96" s="508">
        <f>IF(BE95&lt;&gt;"",BK95/BE95-1,"-")</f>
        <v>0.2346743295019158</v>
      </c>
      <c r="BL96" s="508">
        <f>IF(BF95&lt;&gt;"",BL95/BF95-1,"-")</f>
        <v>0.19275629220380597</v>
      </c>
      <c r="BM96" s="508">
        <f>IF(BG95&lt;&gt;"",BM95/BG95-1,"-")</f>
        <v>0.16836428999400832</v>
      </c>
      <c r="BN96" s="508">
        <f>IF(BH95&lt;&gt;"",BN95/BH95-1,"-")</f>
        <v>0.15684691955878405</v>
      </c>
      <c r="BO96" s="1109">
        <f>IF(BI95&lt;&gt;"",BO95/BI95-1,"-")</f>
        <v>0.18653774637411691</v>
      </c>
      <c r="BP96" s="782"/>
      <c r="BQ96" s="508"/>
      <c r="BR96" s="782"/>
      <c r="BS96" s="782"/>
      <c r="BT96" s="782"/>
      <c r="BU96" s="1109"/>
      <c r="BV96" s="782"/>
      <c r="BW96" s="508"/>
      <c r="BX96" s="508"/>
      <c r="BY96" s="508"/>
      <c r="BZ96" s="508"/>
      <c r="CA96" s="1109"/>
      <c r="CB96" s="782"/>
      <c r="CC96" s="782"/>
      <c r="CD96" s="508"/>
      <c r="CE96" s="508"/>
      <c r="CF96" s="1506"/>
      <c r="CG96" s="1525"/>
      <c r="CH96" s="782"/>
      <c r="CI96" s="782"/>
      <c r="CJ96" s="782"/>
      <c r="CK96" s="783"/>
      <c r="CL96" s="782"/>
      <c r="CM96" s="1177"/>
      <c r="CN96" s="782"/>
      <c r="CO96" s="782"/>
      <c r="CP96" s="782"/>
      <c r="CQ96" s="782"/>
      <c r="CR96" s="782"/>
      <c r="CS96" s="1177"/>
      <c r="CT96" s="782"/>
      <c r="CU96" s="782"/>
      <c r="CV96" s="782"/>
      <c r="CW96" s="782"/>
      <c r="CX96" s="782"/>
      <c r="CY96" s="1177"/>
      <c r="CZ96" s="782"/>
      <c r="DA96" s="782"/>
      <c r="DB96" s="782"/>
      <c r="DC96" s="782"/>
      <c r="DD96" s="782"/>
      <c r="DE96" s="1177"/>
      <c r="DF96" s="782"/>
      <c r="DG96" s="782"/>
      <c r="DH96" s="782"/>
      <c r="DI96" s="782"/>
      <c r="DJ96" s="782"/>
      <c r="DK96" s="1177"/>
      <c r="DL96" s="782"/>
      <c r="DM96" s="782"/>
      <c r="DN96" s="782"/>
      <c r="DO96" s="782"/>
      <c r="DP96" s="782"/>
      <c r="DQ96" s="1177"/>
      <c r="DR96" s="782"/>
      <c r="DS96" s="782"/>
      <c r="DT96" s="782"/>
      <c r="DU96" s="782"/>
      <c r="DV96" s="782"/>
      <c r="DW96" s="1177"/>
      <c r="DX96" s="782"/>
      <c r="DY96" s="782"/>
      <c r="DZ96" s="782"/>
      <c r="EA96" s="782"/>
      <c r="EB96" s="782"/>
      <c r="EC96" s="1177"/>
      <c r="ED96" s="782"/>
      <c r="EE96" s="782"/>
      <c r="EF96" s="782"/>
      <c r="EG96" s="782"/>
      <c r="EH96" s="782"/>
      <c r="EI96" s="1177"/>
      <c r="EJ96" s="782"/>
      <c r="EK96" s="782"/>
      <c r="EL96" s="782"/>
      <c r="EM96" s="782"/>
      <c r="EN96" s="782"/>
      <c r="EO96" s="1177"/>
      <c r="EP96" s="782"/>
      <c r="EQ96" s="782"/>
      <c r="ER96" s="782"/>
      <c r="ES96" s="782"/>
      <c r="ET96" s="782"/>
      <c r="EU96" s="1177"/>
    </row>
    <row r="97" spans="1:186" ht="12.75" hidden="1" customHeight="1" outlineLevel="3" thickBot="1">
      <c r="A97" s="868" t="s">
        <v>344</v>
      </c>
      <c r="B97" s="869"/>
      <c r="C97" s="869"/>
      <c r="D97" s="869"/>
      <c r="E97" s="869"/>
      <c r="F97" s="869"/>
      <c r="G97" s="869"/>
      <c r="H97" s="869"/>
      <c r="I97" s="869"/>
      <c r="J97" s="869"/>
      <c r="K97" s="869"/>
      <c r="L97" s="869"/>
      <c r="M97" s="869"/>
      <c r="N97" s="869"/>
      <c r="O97" s="870" t="str">
        <f>IF(L95&lt;&gt;"",O95/L95-1,"-")</f>
        <v>-</v>
      </c>
      <c r="P97" s="870" t="str">
        <f>IF(O95&lt;&gt;"",P95/O95-1,"-")</f>
        <v>-</v>
      </c>
      <c r="Q97" s="870" t="str">
        <f>IF(P95&lt;&gt;"",Q95/P95-1,"-")</f>
        <v>-</v>
      </c>
      <c r="R97" s="870" t="str">
        <f>IF(Q95&lt;&gt;"",R95/Q95-1,"-")</f>
        <v>-</v>
      </c>
      <c r="S97" s="871"/>
      <c r="T97" s="872"/>
      <c r="U97" s="870" t="str">
        <f>IF(R95&lt;&gt;"",U95/R95-1,"-")</f>
        <v>-</v>
      </c>
      <c r="V97" s="870">
        <f>IF(U95&lt;&gt;"",V95/U95-1,"-")</f>
        <v>-1</v>
      </c>
      <c r="W97" s="870" t="str">
        <f>IF(V95&lt;&gt;"",W95/V95-1,"-")</f>
        <v>-</v>
      </c>
      <c r="X97" s="870" t="str">
        <f>IF(W95&lt;&gt;"",X95/W95-1,"-")</f>
        <v>-</v>
      </c>
      <c r="Y97" s="871"/>
      <c r="Z97" s="872"/>
      <c r="AA97" s="870" t="str">
        <f>IF(X95&lt;&gt;"",AA95/X95-1,"-")</f>
        <v>-</v>
      </c>
      <c r="AB97" s="870" t="str">
        <f>IF(AA95&lt;&gt;"",AB95/AA95-1,"-")</f>
        <v>-</v>
      </c>
      <c r="AC97" s="870" t="str">
        <f>IF(AB95&lt;&gt;"",AC95/AB95-1,"-")</f>
        <v>-</v>
      </c>
      <c r="AD97" s="870">
        <f>IF(AC95&lt;&gt;"",AD95/AC95-1,"-")</f>
        <v>-1</v>
      </c>
      <c r="AE97" s="871"/>
      <c r="AF97" s="869"/>
      <c r="AG97" s="870" t="str">
        <f>IF(AD95&lt;&gt;"",AG95/AD95-1,"-")</f>
        <v>-</v>
      </c>
      <c r="AH97" s="870">
        <f>IF(AG95&lt;&gt;"",AH95/AG95-1,"-")</f>
        <v>-2.4923702950152671E-2</v>
      </c>
      <c r="AI97" s="870">
        <f>IF(AH95&lt;&gt;"",AI95/AH95-1,"-")</f>
        <v>-6.3119457485654507E-2</v>
      </c>
      <c r="AJ97" s="870">
        <f>IF(AI95&lt;&gt;"",AJ95/AI95-1,"-")</f>
        <v>0.24443207126948763</v>
      </c>
      <c r="AK97" s="871"/>
      <c r="AL97" s="869"/>
      <c r="AM97" s="870">
        <f>IF(AJ95&lt;&gt;"",AM95/AJ95-1,"-")</f>
        <v>-0.13646532438478742</v>
      </c>
      <c r="AN97" s="870">
        <f>IF(AM95&lt;&gt;"",AN95/AM95-1,"-")</f>
        <v>-7.9274611398963746E-2</v>
      </c>
      <c r="AO97" s="870">
        <f>IF(AN95&lt;&gt;"",AO95/AN95-1,"-")</f>
        <v>-0.11086100168823854</v>
      </c>
      <c r="AP97" s="870">
        <f>IF(AO95&lt;&gt;"",AP95/AO95-1,"-")</f>
        <v>4.8734177215189911E-2</v>
      </c>
      <c r="AQ97" s="871" t="s">
        <v>6442</v>
      </c>
      <c r="AR97" s="869"/>
      <c r="AS97" s="870">
        <f>IF(AP95&lt;&gt;"",AS95/AP95-1,"-")</f>
        <v>4.1641520820760558E-2</v>
      </c>
      <c r="AT97" s="870">
        <f>IF(AS95&lt;&gt;"",AT95/AS95-1,"-")</f>
        <v>4.7508690614136651E-2</v>
      </c>
      <c r="AU97" s="870">
        <f>IF(AT95&lt;&gt;"",AU95/AT95-1,"-")</f>
        <v>0.10674778761061954</v>
      </c>
      <c r="AV97" s="870">
        <f>IF(AU95&lt;&gt;"",AV95/AU95-1,"-")</f>
        <v>0.29035482258870537</v>
      </c>
      <c r="AW97" s="871" t="s">
        <v>6442</v>
      </c>
      <c r="AX97" s="869"/>
      <c r="AY97" s="870">
        <f>IF(AV95&lt;&gt;"",AY95/AV95-1,"-")</f>
        <v>7.7459333849729806E-3</v>
      </c>
      <c r="AZ97" s="870">
        <f>IF(AY95&lt;&gt;"",AZ95/AY95-1,"-")</f>
        <v>-6.8408916218293481E-2</v>
      </c>
      <c r="BA97" s="870">
        <f>IF(AZ95&lt;&gt;"",BA95/AZ95-1,"-")</f>
        <v>5.7755775577557511E-2</v>
      </c>
      <c r="BB97" s="870">
        <f>IF(BA95&lt;&gt;"",BB95/BA95-1,"-")</f>
        <v>0.21801872074882978</v>
      </c>
      <c r="BC97" s="871" t="s">
        <v>6442</v>
      </c>
      <c r="BD97" s="869"/>
      <c r="BE97" s="870">
        <f>IF(BB95&lt;&gt;"",BE95/BB95-1,"-")</f>
        <v>2.8818443804035088E-3</v>
      </c>
      <c r="BF97" s="870">
        <f>IF(BE95&lt;&gt;"",BF95/BE95-1,"-")</f>
        <v>4.0229885057471382E-2</v>
      </c>
      <c r="BG97" s="870">
        <f>IF(BF95&lt;&gt;"",BG95/BF95-1,"-")</f>
        <v>2.4554941682013443E-2</v>
      </c>
      <c r="BH97" s="870">
        <f>IF(BG95&lt;&gt;"",BH95/BG95-1,"-")</f>
        <v>0.11354104254044328</v>
      </c>
      <c r="BI97" s="871" t="s">
        <v>6442</v>
      </c>
      <c r="BJ97" s="869"/>
      <c r="BK97" s="870">
        <f>IF(BH95&lt;&gt;"",BK95/BH95-1,"-")</f>
        <v>4.0355125100888012E-2</v>
      </c>
      <c r="BL97" s="870">
        <f>IF(BK95&lt;&gt;"",BL95/BK95-1,"-")</f>
        <v>4.9133695371088582E-3</v>
      </c>
      <c r="BM97" s="870">
        <f>IF(BL95&lt;&gt;"",BM95/BL95-1,"-")</f>
        <v>3.6026762738032847E-3</v>
      </c>
      <c r="BN97" s="870">
        <f>IF(BM95&lt;&gt;"",BN95/BM95-1,"-")</f>
        <v>0.10256410256410264</v>
      </c>
      <c r="BO97" s="1110" t="s">
        <v>6442</v>
      </c>
      <c r="BP97" s="869"/>
      <c r="BQ97" s="870"/>
      <c r="BR97" s="869"/>
      <c r="BS97" s="869"/>
      <c r="BT97" s="869"/>
      <c r="BU97" s="1110"/>
      <c r="BV97" s="869"/>
      <c r="BW97" s="870"/>
      <c r="BX97" s="870"/>
      <c r="BY97" s="870"/>
      <c r="BZ97" s="870"/>
      <c r="CA97" s="1110"/>
      <c r="CB97" s="869"/>
      <c r="CC97" s="869"/>
      <c r="CD97" s="870"/>
      <c r="CE97" s="870"/>
      <c r="CF97" s="1507"/>
      <c r="CG97" s="1526"/>
      <c r="CH97" s="869"/>
      <c r="CI97" s="869"/>
      <c r="CJ97" s="869"/>
      <c r="CK97" s="871"/>
      <c r="CL97" s="869"/>
      <c r="CM97" s="1178"/>
      <c r="CN97" s="869"/>
      <c r="CO97" s="869"/>
      <c r="CP97" s="869"/>
      <c r="CQ97" s="869"/>
      <c r="CR97" s="869"/>
      <c r="CS97" s="1178"/>
      <c r="CT97" s="869"/>
      <c r="CU97" s="869"/>
      <c r="CV97" s="869"/>
      <c r="CW97" s="869"/>
      <c r="CX97" s="869"/>
      <c r="CY97" s="1178"/>
      <c r="CZ97" s="869"/>
      <c r="DA97" s="869"/>
      <c r="DB97" s="869"/>
      <c r="DC97" s="869"/>
      <c r="DD97" s="869"/>
      <c r="DE97" s="1178"/>
      <c r="DF97" s="869"/>
      <c r="DG97" s="869"/>
      <c r="DH97" s="869"/>
      <c r="DI97" s="869"/>
      <c r="DJ97" s="869"/>
      <c r="DK97" s="1178"/>
      <c r="DL97" s="869"/>
      <c r="DM97" s="869"/>
      <c r="DN97" s="869"/>
      <c r="DO97" s="869"/>
      <c r="DP97" s="869"/>
      <c r="DQ97" s="1178"/>
      <c r="DR97" s="782"/>
      <c r="DS97" s="869"/>
      <c r="DT97" s="869"/>
      <c r="DU97" s="869"/>
      <c r="DV97" s="869"/>
      <c r="DW97" s="1178"/>
      <c r="DX97" s="782"/>
      <c r="DY97" s="869"/>
      <c r="DZ97" s="869"/>
      <c r="EA97" s="869"/>
      <c r="EB97" s="869"/>
      <c r="EC97" s="1178"/>
      <c r="ED97" s="782"/>
      <c r="EE97" s="869"/>
      <c r="EF97" s="869"/>
      <c r="EG97" s="869"/>
      <c r="EH97" s="869"/>
      <c r="EI97" s="1178"/>
      <c r="EJ97" s="782"/>
      <c r="EK97" s="869"/>
      <c r="EL97" s="869"/>
      <c r="EM97" s="869"/>
      <c r="EN97" s="869"/>
      <c r="EO97" s="1178"/>
      <c r="EP97" s="782"/>
      <c r="EQ97" s="869"/>
      <c r="ER97" s="869"/>
      <c r="ES97" s="869"/>
      <c r="ET97" s="869"/>
      <c r="EU97" s="1178"/>
    </row>
    <row r="98" spans="1:186" ht="12.75" hidden="1" customHeight="1" outlineLevel="3">
      <c r="A98" s="873" t="s">
        <v>6068</v>
      </c>
      <c r="B98" s="782"/>
      <c r="C98" s="782"/>
      <c r="D98" s="782"/>
      <c r="E98" s="782"/>
      <c r="F98" s="782"/>
      <c r="G98" s="782"/>
      <c r="H98" s="782"/>
      <c r="I98" s="782"/>
      <c r="J98" s="782"/>
      <c r="K98" s="782"/>
      <c r="L98" s="782"/>
      <c r="M98" s="782"/>
      <c r="N98" s="782"/>
      <c r="O98" s="782"/>
      <c r="P98" s="782"/>
      <c r="Q98" s="782"/>
      <c r="R98" s="782"/>
      <c r="S98" s="867"/>
      <c r="T98" s="867"/>
      <c r="U98" s="867"/>
      <c r="V98" s="867"/>
      <c r="W98" s="867"/>
      <c r="X98" s="867"/>
      <c r="Y98" s="867"/>
      <c r="Z98" s="867"/>
      <c r="AA98" s="867"/>
      <c r="AB98" s="867"/>
      <c r="AC98" s="867"/>
      <c r="AD98" s="867"/>
      <c r="AE98" s="783"/>
      <c r="AF98" s="782"/>
      <c r="AG98" s="783">
        <v>34.299999999999997</v>
      </c>
      <c r="AH98" s="783">
        <v>27.5</v>
      </c>
      <c r="AI98" s="783">
        <v>28.1</v>
      </c>
      <c r="AJ98" s="783">
        <v>40.299999999999997</v>
      </c>
      <c r="AK98" s="783"/>
      <c r="AL98" s="782"/>
      <c r="AM98" s="783">
        <v>34</v>
      </c>
      <c r="AN98" s="783">
        <v>34</v>
      </c>
      <c r="AO98" s="783">
        <v>25.2</v>
      </c>
      <c r="AP98" s="783">
        <v>27.6</v>
      </c>
      <c r="AQ98" s="783">
        <f>SUM(AM98:AP98)</f>
        <v>120.80000000000001</v>
      </c>
      <c r="AR98" s="783"/>
      <c r="AS98" s="783">
        <v>30.6</v>
      </c>
      <c r="AT98" s="783">
        <v>29.6</v>
      </c>
      <c r="AU98" s="783">
        <v>33.700000000000003</v>
      </c>
      <c r="AV98" s="783">
        <v>47.5</v>
      </c>
      <c r="AW98" s="783">
        <f>SUM(AS98:AV98)</f>
        <v>141.4</v>
      </c>
      <c r="AX98" s="782"/>
      <c r="AY98" s="783">
        <v>44.8</v>
      </c>
      <c r="AZ98" s="783">
        <v>44.2</v>
      </c>
      <c r="BA98" s="783">
        <v>50.4</v>
      </c>
      <c r="BB98" s="783">
        <v>60.3</v>
      </c>
      <c r="BC98" s="783">
        <f>SUM(AY98:BB98)</f>
        <v>199.7</v>
      </c>
      <c r="BD98" s="782"/>
      <c r="BE98" s="783">
        <v>59.1</v>
      </c>
      <c r="BF98" s="783">
        <v>60.2</v>
      </c>
      <c r="BG98" s="783">
        <v>63.3</v>
      </c>
      <c r="BH98" s="783">
        <v>74.400000000000006</v>
      </c>
      <c r="BI98" s="783">
        <f>SUM(BE98:BH98)</f>
        <v>257</v>
      </c>
      <c r="BJ98" s="782"/>
      <c r="BK98" s="783">
        <v>75</v>
      </c>
      <c r="BL98" s="783">
        <v>75.7</v>
      </c>
      <c r="BM98" s="502">
        <v>85</v>
      </c>
      <c r="BN98" s="502">
        <v>98</v>
      </c>
      <c r="BO98" s="1111">
        <f>SUM(BK98:BN98)</f>
        <v>333.7</v>
      </c>
      <c r="BP98" s="782"/>
      <c r="BQ98" s="783"/>
      <c r="BR98" s="782"/>
      <c r="BS98" s="782"/>
      <c r="BT98" s="782"/>
      <c r="BU98" s="1111"/>
      <c r="BV98" s="782"/>
      <c r="BW98" s="783"/>
      <c r="BX98" s="783"/>
      <c r="BY98" s="783"/>
      <c r="BZ98" s="783"/>
      <c r="CA98" s="1111"/>
      <c r="CB98" s="782"/>
      <c r="CC98" s="782"/>
      <c r="CD98" s="783"/>
      <c r="CE98" s="783"/>
      <c r="CF98" s="1508"/>
      <c r="CG98" s="1527"/>
      <c r="CH98" s="782"/>
      <c r="CI98" s="782"/>
      <c r="CJ98" s="782"/>
      <c r="CK98" s="783"/>
      <c r="CL98" s="782"/>
      <c r="CM98" s="1177"/>
      <c r="CN98" s="782"/>
      <c r="CO98" s="782"/>
      <c r="CP98" s="782"/>
      <c r="CQ98" s="782"/>
      <c r="CR98" s="782"/>
      <c r="CS98" s="1177"/>
      <c r="CT98" s="782"/>
      <c r="CU98" s="782"/>
      <c r="CV98" s="782"/>
      <c r="CW98" s="782"/>
      <c r="CX98" s="782"/>
      <c r="CY98" s="1177"/>
      <c r="CZ98" s="782"/>
      <c r="DA98" s="782"/>
      <c r="DB98" s="782"/>
      <c r="DC98" s="782"/>
      <c r="DD98" s="782"/>
      <c r="DE98" s="1177"/>
      <c r="DF98" s="782"/>
      <c r="DG98" s="782"/>
      <c r="DH98" s="782"/>
      <c r="DI98" s="782"/>
      <c r="DJ98" s="782"/>
      <c r="DK98" s="1177"/>
      <c r="DL98" s="782"/>
      <c r="DM98" s="782"/>
      <c r="DN98" s="782"/>
      <c r="DO98" s="782"/>
      <c r="DP98" s="782"/>
      <c r="DQ98" s="1177"/>
      <c r="DR98" s="782"/>
      <c r="DS98" s="782"/>
      <c r="DT98" s="782"/>
      <c r="DU98" s="782"/>
      <c r="DV98" s="782"/>
      <c r="DW98" s="1177"/>
      <c r="DX98" s="782"/>
      <c r="DY98" s="782"/>
      <c r="DZ98" s="782"/>
      <c r="EA98" s="782"/>
      <c r="EB98" s="782"/>
      <c r="EC98" s="1177"/>
      <c r="ED98" s="782"/>
      <c r="EE98" s="782"/>
      <c r="EF98" s="782"/>
      <c r="EG98" s="782"/>
      <c r="EH98" s="782"/>
      <c r="EI98" s="1177"/>
      <c r="EJ98" s="782"/>
      <c r="EK98" s="782"/>
      <c r="EL98" s="782"/>
      <c r="EM98" s="782"/>
      <c r="EN98" s="782"/>
      <c r="EO98" s="1177"/>
      <c r="EP98" s="782"/>
      <c r="EQ98" s="782"/>
      <c r="ER98" s="782"/>
      <c r="ES98" s="782"/>
      <c r="ET98" s="782"/>
      <c r="EU98" s="1177"/>
    </row>
    <row r="99" spans="1:186" ht="12.75" hidden="1" customHeight="1" outlineLevel="3">
      <c r="A99" s="874" t="s">
        <v>345</v>
      </c>
      <c r="B99" s="782"/>
      <c r="C99" s="782"/>
      <c r="D99" s="782"/>
      <c r="E99" s="782"/>
      <c r="F99" s="782"/>
      <c r="G99" s="782"/>
      <c r="H99" s="782"/>
      <c r="I99" s="782"/>
      <c r="J99" s="782"/>
      <c r="K99" s="782"/>
      <c r="L99" s="782"/>
      <c r="M99" s="782"/>
      <c r="N99" s="782"/>
      <c r="O99" s="508" t="str">
        <f>IF(I98&lt;&gt;"",O98/I98-1,"-")</f>
        <v>-</v>
      </c>
      <c r="P99" s="508" t="str">
        <f>IF(J98&lt;&gt;"",P98/J98-1,"-")</f>
        <v>-</v>
      </c>
      <c r="Q99" s="508" t="str">
        <f>IF(K98&lt;&gt;"",Q98/K98-1,"-")</f>
        <v>-</v>
      </c>
      <c r="R99" s="508" t="str">
        <f>IF(L98&lt;&gt;"",R98/L98-1,"-")</f>
        <v>-</v>
      </c>
      <c r="S99" s="508"/>
      <c r="T99" s="867"/>
      <c r="U99" s="508" t="str">
        <f>IF(O98&lt;&gt;"",U98/O98-1,"-")</f>
        <v>-</v>
      </c>
      <c r="V99" s="508" t="str">
        <f>IF(P98&lt;&gt;"",V98/P98-1,"-")</f>
        <v>-</v>
      </c>
      <c r="W99" s="508" t="str">
        <f>IF(Q98&lt;&gt;"",W98/Q98-1,"-")</f>
        <v>-</v>
      </c>
      <c r="X99" s="508" t="str">
        <f>IF(R98&lt;&gt;"",X98/R98-1,"-")</f>
        <v>-</v>
      </c>
      <c r="Y99" s="508"/>
      <c r="Z99" s="867"/>
      <c r="AA99" s="508" t="str">
        <f>IF(U98&lt;&gt;"",AA98/U98-1,"-")</f>
        <v>-</v>
      </c>
      <c r="AB99" s="508" t="str">
        <f>IF(V98&lt;&gt;"",AB98/V98-1,"-")</f>
        <v>-</v>
      </c>
      <c r="AC99" s="508" t="str">
        <f>IF(W98&lt;&gt;"",AC98/W98-1,"-")</f>
        <v>-</v>
      </c>
      <c r="AD99" s="508" t="str">
        <f>IF(X98&lt;&gt;"",AD98/X98-1,"-")</f>
        <v>-</v>
      </c>
      <c r="AE99" s="508"/>
      <c r="AF99" s="782"/>
      <c r="AG99" s="508" t="str">
        <f>IF(AA98&lt;&gt;"",AG98/AA98-1,"-")</f>
        <v>-</v>
      </c>
      <c r="AH99" s="508" t="str">
        <f>IF(AB98&lt;&gt;"",AH98/AB98-1,"-")</f>
        <v>-</v>
      </c>
      <c r="AI99" s="508" t="str">
        <f>IF(AC98&lt;&gt;"",AI98/AC98-1,"-")</f>
        <v>-</v>
      </c>
      <c r="AJ99" s="508" t="str">
        <f>IF(AD98&lt;&gt;"",AJ98/AD98-1,"-")</f>
        <v>-</v>
      </c>
      <c r="AK99" s="508"/>
      <c r="AL99" s="782"/>
      <c r="AM99" s="508">
        <f>IF(AG98&lt;&gt;"",AM98/AG98-1,"-")</f>
        <v>-8.7463556851311575E-3</v>
      </c>
      <c r="AN99" s="508">
        <f>IF(AH98&lt;&gt;"",AN98/AH98-1,"-")</f>
        <v>0.23636363636363633</v>
      </c>
      <c r="AO99" s="508">
        <f>IF(AI98&lt;&gt;"",AO98/AI98-1,"-")</f>
        <v>-0.10320284697508908</v>
      </c>
      <c r="AP99" s="508">
        <f>IF(AJ98&lt;&gt;"",AP98/AJ98-1,"-")</f>
        <v>-0.31513647642679887</v>
      </c>
      <c r="AQ99" s="508" t="str">
        <f>IF(AK98&lt;&gt;"",AQ98/AK98-1,"-")</f>
        <v>-</v>
      </c>
      <c r="AR99" s="783"/>
      <c r="AS99" s="508">
        <f>IF(AM98&lt;&gt;"",AS98/AM98-1,"-")</f>
        <v>-9.9999999999999978E-2</v>
      </c>
      <c r="AT99" s="508">
        <f>IF(AN98&lt;&gt;"",AT98/AN98-1,"-")</f>
        <v>-0.12941176470588234</v>
      </c>
      <c r="AU99" s="508">
        <f>IF(AO98&lt;&gt;"",AU98/AO98-1,"-")</f>
        <v>0.33730158730158744</v>
      </c>
      <c r="AV99" s="508">
        <f>IF(AP98&lt;&gt;"",AV98/AP98-1,"-")</f>
        <v>0.72101449275362306</v>
      </c>
      <c r="AW99" s="508">
        <f>IF(AQ98&lt;&gt;"",AW98/AQ98-1,"-")</f>
        <v>0.17052980132450335</v>
      </c>
      <c r="AX99" s="782"/>
      <c r="AY99" s="508">
        <f>IF(AS98&lt;&gt;"",AY98/AS98-1,"-")</f>
        <v>0.46405228758169925</v>
      </c>
      <c r="AZ99" s="508">
        <f>IF(AT98&lt;&gt;"",AZ98/AT98-1,"-")</f>
        <v>0.4932432432432432</v>
      </c>
      <c r="BA99" s="508">
        <f>IF(AU98&lt;&gt;"",BA98/AU98-1,"-")</f>
        <v>0.49554896142433225</v>
      </c>
      <c r="BB99" s="508">
        <f>IF(AV98&lt;&gt;"",BB98/AV98-1,"-")</f>
        <v>0.26947368421052631</v>
      </c>
      <c r="BC99" s="508">
        <f>IF(AW98&lt;&gt;"",BC98/AW98-1,"-")</f>
        <v>0.41230551626591216</v>
      </c>
      <c r="BD99" s="782"/>
      <c r="BE99" s="508">
        <f>IF(AY98&lt;&gt;"",BE98/AY98-1,"-")</f>
        <v>0.3191964285714286</v>
      </c>
      <c r="BF99" s="508">
        <f>IF(AZ98&lt;&gt;"",BF98/AZ98-1,"-")</f>
        <v>0.36199095022624439</v>
      </c>
      <c r="BG99" s="508">
        <f>IF(BA98&lt;&gt;"",BG98/BA98-1,"-")</f>
        <v>0.25595238095238093</v>
      </c>
      <c r="BH99" s="508">
        <f>IF(BB98&lt;&gt;"",BH98/BB98-1,"-")</f>
        <v>0.23383084577114444</v>
      </c>
      <c r="BI99" s="508">
        <f>IF(BC98&lt;&gt;"",BI98/BC98-1,"-")</f>
        <v>0.28693039559339018</v>
      </c>
      <c r="BJ99" s="782"/>
      <c r="BK99" s="508">
        <f>IF(BE98&lt;&gt;"",BK98/BE98-1,"-")</f>
        <v>0.26903553299492389</v>
      </c>
      <c r="BL99" s="508">
        <f>IF(BF98&lt;&gt;"",BL98/BF98-1,"-")</f>
        <v>0.25747508305647848</v>
      </c>
      <c r="BM99" s="508">
        <f>IF(BG98&lt;&gt;"",BM98/BG98-1,"-")</f>
        <v>0.34281200631911535</v>
      </c>
      <c r="BN99" s="508">
        <f>IF(BH98&lt;&gt;"",BN98/BH98-1,"-")</f>
        <v>0.31720430107526876</v>
      </c>
      <c r="BO99" s="1109">
        <f>IF(BI98&lt;&gt;"",BO98/BI98-1,"-")</f>
        <v>0.29844357976653701</v>
      </c>
      <c r="BP99" s="782"/>
      <c r="BQ99" s="508"/>
      <c r="BR99" s="782"/>
      <c r="BS99" s="782"/>
      <c r="BT99" s="782"/>
      <c r="BU99" s="1109"/>
      <c r="BV99" s="782"/>
      <c r="BW99" s="508"/>
      <c r="BX99" s="508"/>
      <c r="BY99" s="508"/>
      <c r="BZ99" s="508"/>
      <c r="CA99" s="1109"/>
      <c r="CB99" s="782"/>
      <c r="CC99" s="782"/>
      <c r="CD99" s="508"/>
      <c r="CE99" s="508"/>
      <c r="CF99" s="1506"/>
      <c r="CG99" s="1525"/>
      <c r="CH99" s="782"/>
      <c r="CI99" s="782"/>
      <c r="CJ99" s="782"/>
      <c r="CK99" s="783"/>
      <c r="CL99" s="782"/>
      <c r="CM99" s="1177"/>
      <c r="CN99" s="782"/>
      <c r="CO99" s="782"/>
      <c r="CP99" s="782"/>
      <c r="CQ99" s="782"/>
      <c r="CR99" s="782"/>
      <c r="CS99" s="1177"/>
      <c r="CT99" s="782"/>
      <c r="CU99" s="782"/>
      <c r="CV99" s="782"/>
      <c r="CW99" s="782"/>
      <c r="CX99" s="782"/>
      <c r="CY99" s="1177"/>
      <c r="CZ99" s="782"/>
      <c r="DA99" s="782"/>
      <c r="DB99" s="782"/>
      <c r="DC99" s="782"/>
      <c r="DD99" s="782"/>
      <c r="DE99" s="1177"/>
      <c r="DF99" s="782"/>
      <c r="DG99" s="782"/>
      <c r="DH99" s="782"/>
      <c r="DI99" s="782"/>
      <c r="DJ99" s="782"/>
      <c r="DK99" s="1177"/>
      <c r="DL99" s="782"/>
      <c r="DM99" s="782"/>
      <c r="DN99" s="782"/>
      <c r="DO99" s="782"/>
      <c r="DP99" s="782"/>
      <c r="DQ99" s="1177"/>
      <c r="DR99" s="782"/>
      <c r="DS99" s="782"/>
      <c r="DT99" s="782"/>
      <c r="DU99" s="782"/>
      <c r="DV99" s="782"/>
      <c r="DW99" s="1177"/>
      <c r="DX99" s="782"/>
      <c r="DY99" s="782"/>
      <c r="DZ99" s="782"/>
      <c r="EA99" s="782"/>
      <c r="EB99" s="782"/>
      <c r="EC99" s="1177"/>
      <c r="ED99" s="782"/>
      <c r="EE99" s="782"/>
      <c r="EF99" s="782"/>
      <c r="EG99" s="782"/>
      <c r="EH99" s="782"/>
      <c r="EI99" s="1177"/>
      <c r="EJ99" s="782"/>
      <c r="EK99" s="782"/>
      <c r="EL99" s="782"/>
      <c r="EM99" s="782"/>
      <c r="EN99" s="782"/>
      <c r="EO99" s="1177"/>
      <c r="EP99" s="782"/>
      <c r="EQ99" s="782"/>
      <c r="ER99" s="782"/>
      <c r="ES99" s="782"/>
      <c r="ET99" s="782"/>
      <c r="EU99" s="1177"/>
    </row>
    <row r="100" spans="1:186" ht="12.75" hidden="1" customHeight="1" outlineLevel="3">
      <c r="A100" s="874" t="s">
        <v>344</v>
      </c>
      <c r="B100" s="782"/>
      <c r="C100" s="782"/>
      <c r="D100" s="782"/>
      <c r="E100" s="782"/>
      <c r="F100" s="782"/>
      <c r="G100" s="782"/>
      <c r="H100" s="782"/>
      <c r="I100" s="782"/>
      <c r="J100" s="782"/>
      <c r="K100" s="782"/>
      <c r="L100" s="782"/>
      <c r="M100" s="782"/>
      <c r="N100" s="782"/>
      <c r="O100" s="508" t="str">
        <f>IF(L98&lt;&gt;"",O98/L98-1,"-")</f>
        <v>-</v>
      </c>
      <c r="P100" s="508" t="str">
        <f>IF(O98&lt;&gt;"",P98/O98-1,"-")</f>
        <v>-</v>
      </c>
      <c r="Q100" s="508" t="str">
        <f>IF(P98&lt;&gt;"",Q98/P98-1,"-")</f>
        <v>-</v>
      </c>
      <c r="R100" s="508" t="str">
        <f>IF(Q98&lt;&gt;"",R98/Q98-1,"-")</f>
        <v>-</v>
      </c>
      <c r="S100" s="783"/>
      <c r="T100" s="867"/>
      <c r="U100" s="508" t="str">
        <f>IF(R98&lt;&gt;"",U98/R98-1,"-")</f>
        <v>-</v>
      </c>
      <c r="V100" s="508" t="str">
        <f>IF(U98&lt;&gt;"",V98/U98-1,"-")</f>
        <v>-</v>
      </c>
      <c r="W100" s="508" t="str">
        <f>IF(V98&lt;&gt;"",W98/V98-1,"-")</f>
        <v>-</v>
      </c>
      <c r="X100" s="508" t="str">
        <f>IF(W98&lt;&gt;"",X98/W98-1,"-")</f>
        <v>-</v>
      </c>
      <c r="Y100" s="783"/>
      <c r="Z100" s="867"/>
      <c r="AA100" s="508" t="str">
        <f>IF(X98&lt;&gt;"",AA98/X98-1,"-")</f>
        <v>-</v>
      </c>
      <c r="AB100" s="508" t="str">
        <f>IF(AA98&lt;&gt;"",AB98/AA98-1,"-")</f>
        <v>-</v>
      </c>
      <c r="AC100" s="508" t="str">
        <f>IF(AB98&lt;&gt;"",AC98/AB98-1,"-")</f>
        <v>-</v>
      </c>
      <c r="AD100" s="508" t="str">
        <f>IF(AC98&lt;&gt;"",AD98/AC98-1,"-")</f>
        <v>-</v>
      </c>
      <c r="AE100" s="783"/>
      <c r="AF100" s="782"/>
      <c r="AG100" s="508" t="str">
        <f>IF(AD98&lt;&gt;"",AG98/AD98-1,"-")</f>
        <v>-</v>
      </c>
      <c r="AH100" s="508">
        <f>IF(AG98&lt;&gt;"",AH98/AG98-1,"-")</f>
        <v>-0.19825072886297368</v>
      </c>
      <c r="AI100" s="508">
        <f>IF(AH98&lt;&gt;"",AI98/AH98-1,"-")</f>
        <v>2.1818181818181959E-2</v>
      </c>
      <c r="AJ100" s="508">
        <f>IF(AI98&lt;&gt;"",AJ98/AI98-1,"-")</f>
        <v>0.43416370106761559</v>
      </c>
      <c r="AK100" s="783"/>
      <c r="AL100" s="782"/>
      <c r="AM100" s="508">
        <f>IF(AJ98&lt;&gt;"",AM98/AJ98-1,"-")</f>
        <v>-0.15632754342431754</v>
      </c>
      <c r="AN100" s="508">
        <f>IF(AM98&lt;&gt;"",AN98/AM98-1,"-")</f>
        <v>0</v>
      </c>
      <c r="AO100" s="508">
        <f>IF(AN98&lt;&gt;"",AO98/AN98-1,"-")</f>
        <v>-0.25882352941176467</v>
      </c>
      <c r="AP100" s="508">
        <f>IF(AO98&lt;&gt;"",AP98/AO98-1,"-")</f>
        <v>9.5238095238095344E-2</v>
      </c>
      <c r="AQ100" s="783" t="s">
        <v>6442</v>
      </c>
      <c r="AR100" s="783"/>
      <c r="AS100" s="508">
        <f>IF(AP98&lt;&gt;"",AS98/AP98-1,"-")</f>
        <v>0.10869565217391308</v>
      </c>
      <c r="AT100" s="508">
        <f>IF(AS98&lt;&gt;"",AT98/AS98-1,"-")</f>
        <v>-3.2679738562091498E-2</v>
      </c>
      <c r="AU100" s="508">
        <f>IF(AT98&lt;&gt;"",AU98/AT98-1,"-")</f>
        <v>0.1385135135135136</v>
      </c>
      <c r="AV100" s="508">
        <f>IF(AU98&lt;&gt;"",AV98/AU98-1,"-")</f>
        <v>0.40949554896142426</v>
      </c>
      <c r="AW100" s="783" t="s">
        <v>6442</v>
      </c>
      <c r="AX100" s="782"/>
      <c r="AY100" s="508">
        <f>IF(AV98&lt;&gt;"",AY98/AV98-1,"-")</f>
        <v>-5.6842105263157916E-2</v>
      </c>
      <c r="AZ100" s="508">
        <f>IF(AY98&lt;&gt;"",AZ98/AY98-1,"-")</f>
        <v>-1.3392857142856984E-2</v>
      </c>
      <c r="BA100" s="508">
        <f>IF(AZ98&lt;&gt;"",BA98/AZ98-1,"-")</f>
        <v>0.14027149321266963</v>
      </c>
      <c r="BB100" s="508">
        <f>IF(BA98&lt;&gt;"",BB98/BA98-1,"-")</f>
        <v>0.1964285714285714</v>
      </c>
      <c r="BC100" s="783" t="s">
        <v>6442</v>
      </c>
      <c r="BD100" s="782"/>
      <c r="BE100" s="508">
        <f>IF(BB98&lt;&gt;"",BE98/BB98-1,"-")</f>
        <v>-1.990049751243772E-2</v>
      </c>
      <c r="BF100" s="508">
        <f>IF(BE98&lt;&gt;"",BF98/BE98-1,"-")</f>
        <v>1.8612521150592309E-2</v>
      </c>
      <c r="BG100" s="508">
        <f>IF(BF98&lt;&gt;"",BG98/BF98-1,"-")</f>
        <v>5.1495016611295519E-2</v>
      </c>
      <c r="BH100" s="508">
        <f>IF(BG98&lt;&gt;"",BH98/BG98-1,"-")</f>
        <v>0.17535545023696697</v>
      </c>
      <c r="BI100" s="783" t="s">
        <v>6442</v>
      </c>
      <c r="BJ100" s="782"/>
      <c r="BK100" s="508">
        <f>IF(BH98&lt;&gt;"",BK98/BH98-1,"-")</f>
        <v>8.0645161290322509E-3</v>
      </c>
      <c r="BL100" s="508">
        <f>IF(BK98&lt;&gt;"",BL98/BK98-1,"-")</f>
        <v>9.3333333333334156E-3</v>
      </c>
      <c r="BM100" s="508">
        <f>IF(BL98&lt;&gt;"",BM98/BL98-1,"-")</f>
        <v>0.12285336856010565</v>
      </c>
      <c r="BN100" s="508">
        <f>IF(BM98&lt;&gt;"",BN98/BM98-1,"-")</f>
        <v>0.15294117647058814</v>
      </c>
      <c r="BO100" s="1111" t="s">
        <v>6442</v>
      </c>
      <c r="BP100" s="782"/>
      <c r="BQ100" s="508"/>
      <c r="BR100" s="782"/>
      <c r="BS100" s="782"/>
      <c r="BT100" s="782"/>
      <c r="BU100" s="1111"/>
      <c r="BV100" s="782"/>
      <c r="BW100" s="508"/>
      <c r="BX100" s="508"/>
      <c r="BY100" s="508"/>
      <c r="BZ100" s="508"/>
      <c r="CA100" s="1111"/>
      <c r="CB100" s="782"/>
      <c r="CC100" s="782"/>
      <c r="CD100" s="508"/>
      <c r="CE100" s="508"/>
      <c r="CF100" s="1506"/>
      <c r="CG100" s="1527"/>
      <c r="CH100" s="782"/>
      <c r="CI100" s="782"/>
      <c r="CJ100" s="782"/>
      <c r="CK100" s="783"/>
      <c r="CL100" s="782"/>
      <c r="CM100" s="1177"/>
      <c r="CN100" s="782"/>
      <c r="CO100" s="782"/>
      <c r="CP100" s="782"/>
      <c r="CQ100" s="782"/>
      <c r="CR100" s="782"/>
      <c r="CS100" s="1177"/>
      <c r="CT100" s="782"/>
      <c r="CU100" s="782"/>
      <c r="CV100" s="782"/>
      <c r="CW100" s="782"/>
      <c r="CX100" s="782"/>
      <c r="CY100" s="1177"/>
      <c r="CZ100" s="782"/>
      <c r="DA100" s="782"/>
      <c r="DB100" s="782"/>
      <c r="DC100" s="782"/>
      <c r="DD100" s="782"/>
      <c r="DE100" s="1177"/>
      <c r="DF100" s="782"/>
      <c r="DG100" s="782"/>
      <c r="DH100" s="782"/>
      <c r="DI100" s="782"/>
      <c r="DJ100" s="782"/>
      <c r="DK100" s="1177"/>
      <c r="DL100" s="782"/>
      <c r="DM100" s="782"/>
      <c r="DN100" s="782"/>
      <c r="DO100" s="782"/>
      <c r="DP100" s="782"/>
      <c r="DQ100" s="1177"/>
      <c r="DR100" s="782"/>
      <c r="DS100" s="782"/>
      <c r="DT100" s="782"/>
      <c r="DU100" s="782"/>
      <c r="DV100" s="782"/>
      <c r="DW100" s="1177"/>
      <c r="DX100" s="782"/>
      <c r="DY100" s="782"/>
      <c r="DZ100" s="782"/>
      <c r="EA100" s="782"/>
      <c r="EB100" s="782"/>
      <c r="EC100" s="1177"/>
      <c r="ED100" s="782"/>
      <c r="EE100" s="782"/>
      <c r="EF100" s="782"/>
      <c r="EG100" s="782"/>
      <c r="EH100" s="782"/>
      <c r="EI100" s="1177"/>
      <c r="EJ100" s="782"/>
      <c r="EK100" s="782"/>
      <c r="EL100" s="782"/>
      <c r="EM100" s="782"/>
      <c r="EN100" s="782"/>
      <c r="EO100" s="1177"/>
      <c r="EP100" s="782"/>
      <c r="EQ100" s="782"/>
      <c r="ER100" s="782"/>
      <c r="ES100" s="782"/>
      <c r="ET100" s="782"/>
      <c r="EU100" s="1177"/>
    </row>
    <row r="101" spans="1:186" ht="12.75" hidden="1" customHeight="1" outlineLevel="3">
      <c r="A101" s="873" t="s">
        <v>3817</v>
      </c>
      <c r="B101" s="782"/>
      <c r="C101" s="782"/>
      <c r="D101" s="782"/>
      <c r="E101" s="782"/>
      <c r="F101" s="782"/>
      <c r="G101" s="782"/>
      <c r="H101" s="782"/>
      <c r="I101" s="782"/>
      <c r="J101" s="782"/>
      <c r="K101" s="782"/>
      <c r="L101" s="782"/>
      <c r="M101" s="782"/>
      <c r="N101" s="782"/>
      <c r="O101" s="782"/>
      <c r="P101" s="782"/>
      <c r="Q101" s="782"/>
      <c r="R101" s="782"/>
      <c r="S101" s="867"/>
      <c r="T101" s="867"/>
      <c r="U101" s="867"/>
      <c r="V101" s="867"/>
      <c r="W101" s="867"/>
      <c r="X101" s="867"/>
      <c r="Y101" s="867"/>
      <c r="Z101" s="867"/>
      <c r="AA101" s="867"/>
      <c r="AB101" s="867"/>
      <c r="AC101" s="867"/>
      <c r="AD101" s="867"/>
      <c r="AE101" s="783"/>
      <c r="AF101" s="782"/>
      <c r="AG101" s="783">
        <v>21.4</v>
      </c>
      <c r="AH101" s="783">
        <v>27</v>
      </c>
      <c r="AI101" s="783">
        <v>28.5</v>
      </c>
      <c r="AJ101" s="783">
        <v>39.5</v>
      </c>
      <c r="AK101" s="783"/>
      <c r="AL101" s="782"/>
      <c r="AM101" s="783">
        <v>26.8</v>
      </c>
      <c r="AN101" s="783">
        <v>25.7</v>
      </c>
      <c r="AO101" s="783">
        <v>24.1</v>
      </c>
      <c r="AP101" s="783">
        <v>26.4</v>
      </c>
      <c r="AQ101" s="783">
        <f>SUM(AM101:AP101)</f>
        <v>103</v>
      </c>
      <c r="AR101" s="783"/>
      <c r="AS101" s="783">
        <v>23.1</v>
      </c>
      <c r="AT101" s="783">
        <v>26.1</v>
      </c>
      <c r="AU101" s="783">
        <v>29.5</v>
      </c>
      <c r="AV101" s="783">
        <v>39.299999999999997</v>
      </c>
      <c r="AW101" s="783">
        <f>SUM(AS101:AV101)</f>
        <v>118</v>
      </c>
      <c r="AX101" s="782"/>
      <c r="AY101" s="783">
        <v>35.5</v>
      </c>
      <c r="AZ101" s="783">
        <v>33.6</v>
      </c>
      <c r="BA101" s="783">
        <v>35.799999999999997</v>
      </c>
      <c r="BB101" s="783">
        <v>42.9</v>
      </c>
      <c r="BC101" s="783">
        <f>SUM(AY101:BB101)</f>
        <v>147.79999999999998</v>
      </c>
      <c r="BD101" s="782"/>
      <c r="BE101" s="783">
        <v>39.299999999999997</v>
      </c>
      <c r="BF101" s="783">
        <v>42.4</v>
      </c>
      <c r="BG101" s="783">
        <v>44.1</v>
      </c>
      <c r="BH101" s="783">
        <v>52.5</v>
      </c>
      <c r="BI101" s="783">
        <f>SUM(BE101:BH101)</f>
        <v>178.29999999999998</v>
      </c>
      <c r="BJ101" s="782"/>
      <c r="BK101" s="783">
        <v>51.2</v>
      </c>
      <c r="BL101" s="783">
        <v>55.2</v>
      </c>
      <c r="BM101" s="502">
        <v>50</v>
      </c>
      <c r="BN101" s="502">
        <v>57</v>
      </c>
      <c r="BO101" s="1111">
        <f>SUM(BK101:BN101)</f>
        <v>213.4</v>
      </c>
      <c r="BP101" s="782"/>
      <c r="BQ101" s="783">
        <f>BO101/BO95</f>
        <v>0.13376794333354228</v>
      </c>
      <c r="BR101" s="782"/>
      <c r="BS101" s="782"/>
      <c r="BT101" s="782"/>
      <c r="BU101" s="1111"/>
      <c r="BV101" s="782"/>
      <c r="BW101" s="783"/>
      <c r="BX101" s="783"/>
      <c r="BY101" s="783"/>
      <c r="BZ101" s="783"/>
      <c r="CA101" s="1111"/>
      <c r="CB101" s="782"/>
      <c r="CC101" s="782"/>
      <c r="CD101" s="783"/>
      <c r="CE101" s="783"/>
      <c r="CF101" s="1508"/>
      <c r="CG101" s="1527"/>
      <c r="CH101" s="782"/>
      <c r="CI101" s="782"/>
      <c r="CJ101" s="782"/>
      <c r="CK101" s="783"/>
      <c r="CL101" s="782"/>
      <c r="CM101" s="1177"/>
      <c r="CN101" s="782"/>
      <c r="CO101" s="782"/>
      <c r="CP101" s="782"/>
      <c r="CQ101" s="782"/>
      <c r="CR101" s="782"/>
      <c r="CS101" s="1177"/>
      <c r="CT101" s="782"/>
      <c r="CU101" s="782"/>
      <c r="CV101" s="782"/>
      <c r="CW101" s="782"/>
      <c r="CX101" s="782"/>
      <c r="CY101" s="1177"/>
      <c r="CZ101" s="782"/>
      <c r="DA101" s="782"/>
      <c r="DB101" s="782"/>
      <c r="DC101" s="782"/>
      <c r="DD101" s="782"/>
      <c r="DE101" s="1177"/>
      <c r="DF101" s="782"/>
      <c r="DG101" s="782"/>
      <c r="DH101" s="782"/>
      <c r="DI101" s="782"/>
      <c r="DJ101" s="782"/>
      <c r="DK101" s="1177"/>
      <c r="DL101" s="782"/>
      <c r="DM101" s="782"/>
      <c r="DN101" s="782"/>
      <c r="DO101" s="782"/>
      <c r="DP101" s="782"/>
      <c r="DQ101" s="1177"/>
      <c r="DR101" s="782"/>
      <c r="DS101" s="782"/>
      <c r="DT101" s="782"/>
      <c r="DU101" s="782"/>
      <c r="DV101" s="782"/>
      <c r="DW101" s="1177"/>
      <c r="DX101" s="782"/>
      <c r="DY101" s="782"/>
      <c r="DZ101" s="782"/>
      <c r="EA101" s="782"/>
      <c r="EB101" s="782"/>
      <c r="EC101" s="1177"/>
      <c r="ED101" s="782"/>
      <c r="EE101" s="782"/>
      <c r="EF101" s="782"/>
      <c r="EG101" s="782"/>
      <c r="EH101" s="782"/>
      <c r="EI101" s="1177"/>
      <c r="EJ101" s="782"/>
      <c r="EK101" s="782"/>
      <c r="EL101" s="782"/>
      <c r="EM101" s="782"/>
      <c r="EN101" s="782"/>
      <c r="EO101" s="1177"/>
      <c r="EP101" s="782"/>
      <c r="EQ101" s="782"/>
      <c r="ER101" s="782"/>
      <c r="ES101" s="782"/>
      <c r="ET101" s="782"/>
      <c r="EU101" s="1177"/>
    </row>
    <row r="102" spans="1:186" ht="12.75" hidden="1" customHeight="1" outlineLevel="3">
      <c r="A102" s="874" t="s">
        <v>345</v>
      </c>
      <c r="B102" s="782"/>
      <c r="C102" s="782"/>
      <c r="D102" s="782"/>
      <c r="E102" s="782"/>
      <c r="F102" s="782"/>
      <c r="G102" s="782"/>
      <c r="H102" s="782"/>
      <c r="I102" s="782"/>
      <c r="J102" s="782"/>
      <c r="K102" s="782"/>
      <c r="L102" s="782"/>
      <c r="M102" s="782"/>
      <c r="N102" s="782"/>
      <c r="O102" s="508" t="str">
        <f>IF(I101&lt;&gt;"",O101/I101-1,"-")</f>
        <v>-</v>
      </c>
      <c r="P102" s="508" t="str">
        <f>IF(J101&lt;&gt;"",P101/J101-1,"-")</f>
        <v>-</v>
      </c>
      <c r="Q102" s="508" t="str">
        <f>IF(K101&lt;&gt;"",Q101/K101-1,"-")</f>
        <v>-</v>
      </c>
      <c r="R102" s="508" t="str">
        <f>IF(L101&lt;&gt;"",R101/L101-1,"-")</f>
        <v>-</v>
      </c>
      <c r="S102" s="508"/>
      <c r="T102" s="867"/>
      <c r="U102" s="508" t="str">
        <f>IF(O101&lt;&gt;"",U101/O101-1,"-")</f>
        <v>-</v>
      </c>
      <c r="V102" s="508" t="str">
        <f>IF(P101&lt;&gt;"",V101/P101-1,"-")</f>
        <v>-</v>
      </c>
      <c r="W102" s="508" t="str">
        <f>IF(Q101&lt;&gt;"",W101/Q101-1,"-")</f>
        <v>-</v>
      </c>
      <c r="X102" s="508" t="str">
        <f>IF(R101&lt;&gt;"",X101/R101-1,"-")</f>
        <v>-</v>
      </c>
      <c r="Y102" s="508"/>
      <c r="Z102" s="867"/>
      <c r="AA102" s="508" t="str">
        <f>IF(U101&lt;&gt;"",AA101/U101-1,"-")</f>
        <v>-</v>
      </c>
      <c r="AB102" s="508" t="str">
        <f>IF(V101&lt;&gt;"",AB101/V101-1,"-")</f>
        <v>-</v>
      </c>
      <c r="AC102" s="508" t="str">
        <f>IF(W101&lt;&gt;"",AC101/W101-1,"-")</f>
        <v>-</v>
      </c>
      <c r="AD102" s="508" t="str">
        <f>IF(X101&lt;&gt;"",AD101/X101-1,"-")</f>
        <v>-</v>
      </c>
      <c r="AE102" s="508"/>
      <c r="AF102" s="782"/>
      <c r="AG102" s="508" t="str">
        <f>IF(AA101&lt;&gt;"",AG101/AA101-1,"-")</f>
        <v>-</v>
      </c>
      <c r="AH102" s="508" t="str">
        <f>IF(AB101&lt;&gt;"",AH101/AB101-1,"-")</f>
        <v>-</v>
      </c>
      <c r="AI102" s="508" t="str">
        <f>IF(AC101&lt;&gt;"",AI101/AC101-1,"-")</f>
        <v>-</v>
      </c>
      <c r="AJ102" s="508" t="str">
        <f>IF(AD101&lt;&gt;"",AJ101/AD101-1,"-")</f>
        <v>-</v>
      </c>
      <c r="AK102" s="508"/>
      <c r="AL102" s="782"/>
      <c r="AM102" s="508">
        <f>IF(AG101&lt;&gt;"",AM101/AG101-1,"-")</f>
        <v>0.25233644859813098</v>
      </c>
      <c r="AN102" s="508">
        <f>IF(AH101&lt;&gt;"",AN101/AH101-1,"-")</f>
        <v>-4.8148148148148162E-2</v>
      </c>
      <c r="AO102" s="508">
        <f>IF(AI101&lt;&gt;"",AO101/AI101-1,"-")</f>
        <v>-0.15438596491228063</v>
      </c>
      <c r="AP102" s="508">
        <f>IF(AJ101&lt;&gt;"",AP101/AJ101-1,"-")</f>
        <v>-0.33164556962025316</v>
      </c>
      <c r="AQ102" s="508" t="str">
        <f>IF(AK101&lt;&gt;"",AQ101/AK101-1,"-")</f>
        <v>-</v>
      </c>
      <c r="AR102" s="783"/>
      <c r="AS102" s="508">
        <f>IF(AM101&lt;&gt;"",AS101/AM101-1,"-")</f>
        <v>-0.13805970149253732</v>
      </c>
      <c r="AT102" s="508">
        <f>IF(AN101&lt;&gt;"",AT101/AN101-1,"-")</f>
        <v>1.5564202334630517E-2</v>
      </c>
      <c r="AU102" s="508">
        <f>IF(AO101&lt;&gt;"",AU101/AO101-1,"-")</f>
        <v>0.22406639004149365</v>
      </c>
      <c r="AV102" s="508">
        <f>IF(AP101&lt;&gt;"",AV101/AP101-1,"-")</f>
        <v>0.48863636363636354</v>
      </c>
      <c r="AW102" s="508">
        <f>IF(AQ101&lt;&gt;"",AW101/AQ101-1,"-")</f>
        <v>0.14563106796116498</v>
      </c>
      <c r="AX102" s="782"/>
      <c r="AY102" s="508">
        <f>IF(AS101&lt;&gt;"",AY101/AS101-1,"-")</f>
        <v>0.53679653679653661</v>
      </c>
      <c r="AZ102" s="508">
        <f>IF(AT101&lt;&gt;"",AZ101/AT101-1,"-")</f>
        <v>0.28735632183908044</v>
      </c>
      <c r="BA102" s="508">
        <f>IF(AU101&lt;&gt;"",BA101/AU101-1,"-")</f>
        <v>0.21355932203389827</v>
      </c>
      <c r="BB102" s="508">
        <f>IF(AV101&lt;&gt;"",BB101/AV101-1,"-")</f>
        <v>9.1603053435114656E-2</v>
      </c>
      <c r="BC102" s="508">
        <f>IF(AW101&lt;&gt;"",BC101/AW101-1,"-")</f>
        <v>0.25254237288135584</v>
      </c>
      <c r="BD102" s="782"/>
      <c r="BE102" s="508">
        <f>IF(AY101&lt;&gt;"",BE101/AY101-1,"-")</f>
        <v>0.10704225352112662</v>
      </c>
      <c r="BF102" s="508">
        <f>IF(AZ101&lt;&gt;"",BF101/AZ101-1,"-")</f>
        <v>0.26190476190476186</v>
      </c>
      <c r="BG102" s="508">
        <f>IF(BA101&lt;&gt;"",BG101/BA101-1,"-")</f>
        <v>0.23184357541899447</v>
      </c>
      <c r="BH102" s="508">
        <f>IF(BB101&lt;&gt;"",BH101/BB101-1,"-")</f>
        <v>0.22377622377622375</v>
      </c>
      <c r="BI102" s="508">
        <f>IF(BC101&lt;&gt;"",BI101/BC101-1,"-")</f>
        <v>0.20635994587280115</v>
      </c>
      <c r="BJ102" s="782"/>
      <c r="BK102" s="508">
        <f>IF(BE101&lt;&gt;"",BK101/BE101-1,"-")</f>
        <v>0.30279898218829526</v>
      </c>
      <c r="BL102" s="508">
        <f>IF(BF101&lt;&gt;"",BL101/BF101-1,"-")</f>
        <v>0.30188679245283034</v>
      </c>
      <c r="BM102" s="508">
        <f>IF(BG101&lt;&gt;"",BM101/BG101-1,"-")</f>
        <v>0.13378684807256236</v>
      </c>
      <c r="BN102" s="508">
        <f>IF(BH101&lt;&gt;"",BN101/BH101-1,"-")</f>
        <v>8.5714285714285632E-2</v>
      </c>
      <c r="BO102" s="1109">
        <f>IF(BI101&lt;&gt;"",BO101/BI101-1,"-")</f>
        <v>0.19685922602355599</v>
      </c>
      <c r="BP102" s="782"/>
      <c r="BQ102" s="508"/>
      <c r="BR102" s="782"/>
      <c r="BS102" s="782"/>
      <c r="BT102" s="782"/>
      <c r="BU102" s="1109"/>
      <c r="BV102" s="782"/>
      <c r="BW102" s="508"/>
      <c r="BX102" s="508"/>
      <c r="BY102" s="508"/>
      <c r="BZ102" s="508"/>
      <c r="CA102" s="1109"/>
      <c r="CB102" s="782"/>
      <c r="CC102" s="782"/>
      <c r="CD102" s="508"/>
      <c r="CE102" s="508"/>
      <c r="CF102" s="1506"/>
      <c r="CG102" s="1525"/>
      <c r="CH102" s="782"/>
      <c r="CI102" s="782"/>
      <c r="CJ102" s="782"/>
      <c r="CK102" s="783"/>
      <c r="CL102" s="782"/>
      <c r="CM102" s="1177"/>
      <c r="CN102" s="782"/>
      <c r="CO102" s="782"/>
      <c r="CP102" s="782"/>
      <c r="CQ102" s="782"/>
      <c r="CR102" s="782"/>
      <c r="CS102" s="1177"/>
      <c r="CT102" s="782"/>
      <c r="CU102" s="782"/>
      <c r="CV102" s="782"/>
      <c r="CW102" s="782"/>
      <c r="CX102" s="782"/>
      <c r="CY102" s="1177"/>
      <c r="CZ102" s="782"/>
      <c r="DA102" s="782"/>
      <c r="DB102" s="782"/>
      <c r="DC102" s="782"/>
      <c r="DD102" s="782"/>
      <c r="DE102" s="1177"/>
      <c r="DF102" s="782"/>
      <c r="DG102" s="782"/>
      <c r="DH102" s="782"/>
      <c r="DI102" s="782"/>
      <c r="DJ102" s="782"/>
      <c r="DK102" s="1177"/>
      <c r="DL102" s="782"/>
      <c r="DM102" s="782"/>
      <c r="DN102" s="782"/>
      <c r="DO102" s="782"/>
      <c r="DP102" s="782"/>
      <c r="DQ102" s="1177"/>
      <c r="DR102" s="782"/>
      <c r="DS102" s="782"/>
      <c r="DT102" s="782"/>
      <c r="DU102" s="782"/>
      <c r="DV102" s="782"/>
      <c r="DW102" s="1177"/>
      <c r="DX102" s="782"/>
      <c r="DY102" s="782"/>
      <c r="DZ102" s="782"/>
      <c r="EA102" s="782"/>
      <c r="EB102" s="782"/>
      <c r="EC102" s="1177"/>
      <c r="ED102" s="782"/>
      <c r="EE102" s="782"/>
      <c r="EF102" s="782"/>
      <c r="EG102" s="782"/>
      <c r="EH102" s="782"/>
      <c r="EI102" s="1177"/>
      <c r="EJ102" s="782"/>
      <c r="EK102" s="782"/>
      <c r="EL102" s="782"/>
      <c r="EM102" s="782"/>
      <c r="EN102" s="782"/>
      <c r="EO102" s="1177"/>
      <c r="EP102" s="782"/>
      <c r="EQ102" s="782"/>
      <c r="ER102" s="782"/>
      <c r="ES102" s="782"/>
      <c r="ET102" s="782"/>
      <c r="EU102" s="1177"/>
    </row>
    <row r="103" spans="1:186" ht="12.75" hidden="1" customHeight="1" outlineLevel="3">
      <c r="A103" s="874" t="s">
        <v>344</v>
      </c>
      <c r="B103" s="782"/>
      <c r="C103" s="782"/>
      <c r="D103" s="782"/>
      <c r="E103" s="782"/>
      <c r="F103" s="782"/>
      <c r="G103" s="782"/>
      <c r="H103" s="782"/>
      <c r="I103" s="782"/>
      <c r="J103" s="782"/>
      <c r="K103" s="782"/>
      <c r="L103" s="782"/>
      <c r="M103" s="782"/>
      <c r="N103" s="782"/>
      <c r="O103" s="508" t="str">
        <f>IF(L101&lt;&gt;"",O101/L101-1,"-")</f>
        <v>-</v>
      </c>
      <c r="P103" s="508" t="str">
        <f>IF(O101&lt;&gt;"",P101/O101-1,"-")</f>
        <v>-</v>
      </c>
      <c r="Q103" s="508" t="str">
        <f>IF(P101&lt;&gt;"",Q101/P101-1,"-")</f>
        <v>-</v>
      </c>
      <c r="R103" s="508" t="str">
        <f>IF(Q101&lt;&gt;"",R101/Q101-1,"-")</f>
        <v>-</v>
      </c>
      <c r="S103" s="783"/>
      <c r="T103" s="867"/>
      <c r="U103" s="508" t="str">
        <f>IF(R101&lt;&gt;"",U101/R101-1,"-")</f>
        <v>-</v>
      </c>
      <c r="V103" s="508" t="str">
        <f>IF(U101&lt;&gt;"",V101/U101-1,"-")</f>
        <v>-</v>
      </c>
      <c r="W103" s="508" t="str">
        <f>IF(V101&lt;&gt;"",W101/V101-1,"-")</f>
        <v>-</v>
      </c>
      <c r="X103" s="508" t="str">
        <f>IF(W101&lt;&gt;"",X101/W101-1,"-")</f>
        <v>-</v>
      </c>
      <c r="Y103" s="783"/>
      <c r="Z103" s="867"/>
      <c r="AA103" s="508" t="str">
        <f>IF(X101&lt;&gt;"",AA101/X101-1,"-")</f>
        <v>-</v>
      </c>
      <c r="AB103" s="508" t="str">
        <f>IF(AA101&lt;&gt;"",AB101/AA101-1,"-")</f>
        <v>-</v>
      </c>
      <c r="AC103" s="508" t="str">
        <f>IF(AB101&lt;&gt;"",AC101/AB101-1,"-")</f>
        <v>-</v>
      </c>
      <c r="AD103" s="508" t="str">
        <f>IF(AC101&lt;&gt;"",AD101/AC101-1,"-")</f>
        <v>-</v>
      </c>
      <c r="AE103" s="783"/>
      <c r="AF103" s="782"/>
      <c r="AG103" s="508" t="str">
        <f>IF(AD101&lt;&gt;"",AG101/AD101-1,"-")</f>
        <v>-</v>
      </c>
      <c r="AH103" s="508">
        <f>IF(AG101&lt;&gt;"",AH101/AG101-1,"-")</f>
        <v>0.26168224299065423</v>
      </c>
      <c r="AI103" s="508">
        <f>IF(AH101&lt;&gt;"",AI101/AH101-1,"-")</f>
        <v>5.555555555555558E-2</v>
      </c>
      <c r="AJ103" s="508">
        <f>IF(AI101&lt;&gt;"",AJ101/AI101-1,"-")</f>
        <v>0.38596491228070184</v>
      </c>
      <c r="AK103" s="783"/>
      <c r="AL103" s="782"/>
      <c r="AM103" s="508">
        <f>IF(AJ101&lt;&gt;"",AM101/AJ101-1,"-")</f>
        <v>-0.32151898734177209</v>
      </c>
      <c r="AN103" s="508">
        <f>IF(AM101&lt;&gt;"",AN101/AM101-1,"-")</f>
        <v>-4.1044776119403048E-2</v>
      </c>
      <c r="AO103" s="508">
        <f>IF(AN101&lt;&gt;"",AO101/AN101-1,"-")</f>
        <v>-6.2256809338521291E-2</v>
      </c>
      <c r="AP103" s="508">
        <f>IF(AO101&lt;&gt;"",AP101/AO101-1,"-")</f>
        <v>9.5435684647302788E-2</v>
      </c>
      <c r="AQ103" s="783" t="s">
        <v>6442</v>
      </c>
      <c r="AR103" s="783"/>
      <c r="AS103" s="508">
        <f>IF(AP101&lt;&gt;"",AS101/AP101-1,"-")</f>
        <v>-0.12499999999999989</v>
      </c>
      <c r="AT103" s="508">
        <f>IF(AS101&lt;&gt;"",AT101/AS101-1,"-")</f>
        <v>0.12987012987012991</v>
      </c>
      <c r="AU103" s="508">
        <f>IF(AT101&lt;&gt;"",AU101/AT101-1,"-")</f>
        <v>0.13026819923371646</v>
      </c>
      <c r="AV103" s="508">
        <f>IF(AU101&lt;&gt;"",AV101/AU101-1,"-")</f>
        <v>0.33220338983050834</v>
      </c>
      <c r="AW103" s="783" t="s">
        <v>6442</v>
      </c>
      <c r="AX103" s="782"/>
      <c r="AY103" s="508">
        <f>IF(AV101&lt;&gt;"",AY101/AV101-1,"-")</f>
        <v>-9.6692111959287508E-2</v>
      </c>
      <c r="AZ103" s="508">
        <f>IF(AY101&lt;&gt;"",AZ101/AY101-1,"-")</f>
        <v>-5.3521126760563309E-2</v>
      </c>
      <c r="BA103" s="508">
        <f>IF(AZ101&lt;&gt;"",BA101/AZ101-1,"-")</f>
        <v>6.5476190476190244E-2</v>
      </c>
      <c r="BB103" s="508">
        <f>IF(BA101&lt;&gt;"",BB101/BA101-1,"-")</f>
        <v>0.1983240223463687</v>
      </c>
      <c r="BC103" s="783" t="s">
        <v>6442</v>
      </c>
      <c r="BD103" s="782"/>
      <c r="BE103" s="508">
        <f>IF(BB101&lt;&gt;"",BE101/BB101-1,"-")</f>
        <v>-8.3916083916083961E-2</v>
      </c>
      <c r="BF103" s="508">
        <f>IF(BE101&lt;&gt;"",BF101/BE101-1,"-")</f>
        <v>7.8880407124682028E-2</v>
      </c>
      <c r="BG103" s="508">
        <f>IF(BF101&lt;&gt;"",BG101/BF101-1,"-")</f>
        <v>4.0094339622641639E-2</v>
      </c>
      <c r="BH103" s="508">
        <f>IF(BG101&lt;&gt;"",BH101/BG101-1,"-")</f>
        <v>0.19047619047619047</v>
      </c>
      <c r="BI103" s="783" t="s">
        <v>6442</v>
      </c>
      <c r="BJ103" s="782"/>
      <c r="BK103" s="508">
        <f>IF(BH101&lt;&gt;"",BK101/BH101-1,"-")</f>
        <v>-2.4761904761904763E-2</v>
      </c>
      <c r="BL103" s="508">
        <f>IF(BK101&lt;&gt;"",BL101/BK101-1,"-")</f>
        <v>7.8125E-2</v>
      </c>
      <c r="BM103" s="508">
        <f>IF(BL101&lt;&gt;"",BM101/BL101-1,"-")</f>
        <v>-9.4202898550724723E-2</v>
      </c>
      <c r="BN103" s="508">
        <f>IF(BM101&lt;&gt;"",BN101/BM101-1,"-")</f>
        <v>0.1399999999999999</v>
      </c>
      <c r="BO103" s="1111" t="s">
        <v>6442</v>
      </c>
      <c r="BP103" s="782"/>
      <c r="BQ103" s="508"/>
      <c r="BR103" s="782"/>
      <c r="BS103" s="782"/>
      <c r="BT103" s="782"/>
      <c r="BU103" s="1111"/>
      <c r="BV103" s="782"/>
      <c r="BW103" s="508"/>
      <c r="BX103" s="508"/>
      <c r="BY103" s="508"/>
      <c r="BZ103" s="508"/>
      <c r="CA103" s="1111"/>
      <c r="CB103" s="782"/>
      <c r="CC103" s="782"/>
      <c r="CD103" s="508"/>
      <c r="CE103" s="508"/>
      <c r="CF103" s="1506"/>
      <c r="CG103" s="1527"/>
      <c r="CH103" s="782"/>
      <c r="CI103" s="782"/>
      <c r="CJ103" s="782"/>
      <c r="CK103" s="783"/>
      <c r="CL103" s="782"/>
      <c r="CM103" s="1177"/>
      <c r="CN103" s="782"/>
      <c r="CO103" s="782"/>
      <c r="CP103" s="782"/>
      <c r="CQ103" s="782"/>
      <c r="CR103" s="782"/>
      <c r="CS103" s="1177"/>
      <c r="CT103" s="782"/>
      <c r="CU103" s="782"/>
      <c r="CV103" s="782"/>
      <c r="CW103" s="782"/>
      <c r="CX103" s="782"/>
      <c r="CY103" s="1177"/>
      <c r="CZ103" s="782"/>
      <c r="DA103" s="782"/>
      <c r="DB103" s="782"/>
      <c r="DC103" s="782"/>
      <c r="DD103" s="782"/>
      <c r="DE103" s="1177"/>
      <c r="DF103" s="782"/>
      <c r="DG103" s="782"/>
      <c r="DH103" s="782"/>
      <c r="DI103" s="782"/>
      <c r="DJ103" s="782"/>
      <c r="DK103" s="1177"/>
      <c r="DL103" s="782"/>
      <c r="DM103" s="782"/>
      <c r="DN103" s="782"/>
      <c r="DO103" s="782"/>
      <c r="DP103" s="782"/>
      <c r="DQ103" s="1177"/>
      <c r="DR103" s="782"/>
      <c r="DS103" s="782"/>
      <c r="DT103" s="782"/>
      <c r="DU103" s="782"/>
      <c r="DV103" s="782"/>
      <c r="DW103" s="1177"/>
      <c r="DX103" s="782"/>
      <c r="DY103" s="782"/>
      <c r="DZ103" s="782"/>
      <c r="EA103" s="782"/>
      <c r="EB103" s="782"/>
      <c r="EC103" s="1177"/>
      <c r="ED103" s="782"/>
      <c r="EE103" s="782"/>
      <c r="EF103" s="782"/>
      <c r="EG103" s="782"/>
      <c r="EH103" s="782"/>
      <c r="EI103" s="1177"/>
      <c r="EJ103" s="782"/>
      <c r="EK103" s="782"/>
      <c r="EL103" s="782"/>
      <c r="EM103" s="782"/>
      <c r="EN103" s="782"/>
      <c r="EO103" s="1177"/>
      <c r="EP103" s="782"/>
      <c r="EQ103" s="782"/>
      <c r="ER103" s="782"/>
      <c r="ES103" s="782"/>
      <c r="ET103" s="782"/>
      <c r="EU103" s="1177"/>
    </row>
    <row r="104" spans="1:186" ht="12.75" hidden="1" customHeight="1" outlineLevel="3">
      <c r="A104" s="873" t="s">
        <v>2388</v>
      </c>
      <c r="B104" s="782"/>
      <c r="C104" s="782"/>
      <c r="D104" s="782"/>
      <c r="E104" s="782"/>
      <c r="F104" s="782"/>
      <c r="G104" s="782"/>
      <c r="H104" s="782"/>
      <c r="I104" s="782"/>
      <c r="J104" s="782"/>
      <c r="K104" s="782"/>
      <c r="L104" s="782"/>
      <c r="M104" s="782"/>
      <c r="N104" s="782"/>
      <c r="O104" s="782"/>
      <c r="P104" s="782"/>
      <c r="Q104" s="782"/>
      <c r="R104" s="782"/>
      <c r="S104" s="867"/>
      <c r="T104" s="867"/>
      <c r="U104" s="867"/>
      <c r="V104" s="867"/>
      <c r="W104" s="867"/>
      <c r="X104" s="867"/>
      <c r="Y104" s="867"/>
      <c r="Z104" s="867"/>
      <c r="AA104" s="867"/>
      <c r="AB104" s="867"/>
      <c r="AC104" s="867"/>
      <c r="AD104" s="867"/>
      <c r="AE104" s="867"/>
      <c r="AF104" s="782"/>
      <c r="AG104" s="783">
        <v>17.7</v>
      </c>
      <c r="AH104" s="783">
        <v>18.399999999999999</v>
      </c>
      <c r="AI104" s="783">
        <v>18.600000000000001</v>
      </c>
      <c r="AJ104" s="783">
        <v>28.2</v>
      </c>
      <c r="AK104" s="783"/>
      <c r="AL104" s="782"/>
      <c r="AM104" s="783">
        <v>21.9</v>
      </c>
      <c r="AN104" s="783">
        <v>16.2</v>
      </c>
      <c r="AO104" s="783">
        <v>17.2</v>
      </c>
      <c r="AP104" s="783">
        <v>18.600000000000001</v>
      </c>
      <c r="AQ104" s="783">
        <f>SUM(AM104:AP104)</f>
        <v>73.900000000000006</v>
      </c>
      <c r="AR104" s="783"/>
      <c r="AS104" s="783">
        <v>16.100000000000001</v>
      </c>
      <c r="AT104" s="783">
        <v>16.5</v>
      </c>
      <c r="AU104" s="783">
        <v>21.1</v>
      </c>
      <c r="AV104" s="783">
        <v>27.5</v>
      </c>
      <c r="AW104" s="783">
        <f>SUM(AS104:AV104)</f>
        <v>81.2</v>
      </c>
      <c r="AX104" s="782"/>
      <c r="AY104" s="783">
        <v>27.2</v>
      </c>
      <c r="AZ104" s="783">
        <v>28.8</v>
      </c>
      <c r="BA104" s="783">
        <v>29.1</v>
      </c>
      <c r="BB104" s="783">
        <v>39.200000000000003</v>
      </c>
      <c r="BC104" s="783">
        <f>SUM(AY104:BB104)</f>
        <v>124.3</v>
      </c>
      <c r="BD104" s="782"/>
      <c r="BE104" s="783">
        <v>37.1</v>
      </c>
      <c r="BF104" s="502">
        <v>43</v>
      </c>
      <c r="BG104" s="783">
        <v>45.1</v>
      </c>
      <c r="BH104" s="783">
        <v>52.4</v>
      </c>
      <c r="BI104" s="783">
        <f>SUM(BE104:BH104)</f>
        <v>177.6</v>
      </c>
      <c r="BJ104" s="782"/>
      <c r="BK104" s="783">
        <v>53.2</v>
      </c>
      <c r="BL104" s="502">
        <v>56.8</v>
      </c>
      <c r="BM104" s="502">
        <v>58</v>
      </c>
      <c r="BN104" s="502">
        <v>74</v>
      </c>
      <c r="BO104" s="1112">
        <f>SUM(BK104:BN104)</f>
        <v>242</v>
      </c>
      <c r="BP104" s="782"/>
      <c r="BQ104" s="783">
        <f>BO104/BO95</f>
        <v>0.15169560584216132</v>
      </c>
      <c r="BR104" s="782"/>
      <c r="BS104" s="782"/>
      <c r="BT104" s="782"/>
      <c r="BU104" s="1112"/>
      <c r="BV104" s="782"/>
      <c r="BW104" s="783"/>
      <c r="BX104" s="783"/>
      <c r="BY104" s="783"/>
      <c r="BZ104" s="783"/>
      <c r="CA104" s="1112"/>
      <c r="CB104" s="782"/>
      <c r="CC104" s="782"/>
      <c r="CD104" s="783"/>
      <c r="CE104" s="783"/>
      <c r="CF104" s="1508"/>
      <c r="CG104" s="1528"/>
      <c r="CH104" s="782"/>
      <c r="CI104" s="782"/>
      <c r="CJ104" s="782"/>
      <c r="CK104" s="783"/>
      <c r="CL104" s="782"/>
      <c r="CM104" s="1177"/>
      <c r="CN104" s="782"/>
      <c r="CO104" s="782"/>
      <c r="CP104" s="782"/>
      <c r="CQ104" s="782"/>
      <c r="CR104" s="782"/>
      <c r="CS104" s="1177"/>
      <c r="CT104" s="782"/>
      <c r="CU104" s="782"/>
      <c r="CV104" s="782"/>
      <c r="CW104" s="782"/>
      <c r="CX104" s="782"/>
      <c r="CY104" s="1177"/>
      <c r="CZ104" s="782"/>
      <c r="DA104" s="782"/>
      <c r="DB104" s="782"/>
      <c r="DC104" s="782"/>
      <c r="DD104" s="782"/>
      <c r="DE104" s="1177"/>
      <c r="DF104" s="782"/>
      <c r="DG104" s="782"/>
      <c r="DH104" s="782"/>
      <c r="DI104" s="782"/>
      <c r="DJ104" s="782"/>
      <c r="DK104" s="1177"/>
      <c r="DL104" s="782"/>
      <c r="DM104" s="782"/>
      <c r="DN104" s="782"/>
      <c r="DO104" s="782"/>
      <c r="DP104" s="782"/>
      <c r="DQ104" s="1177"/>
      <c r="DR104" s="782"/>
      <c r="DS104" s="782"/>
      <c r="DT104" s="782"/>
      <c r="DU104" s="782"/>
      <c r="DV104" s="782"/>
      <c r="DW104" s="1177"/>
      <c r="DX104" s="782"/>
      <c r="DY104" s="782"/>
      <c r="DZ104" s="782"/>
      <c r="EA104" s="782"/>
      <c r="EB104" s="782"/>
      <c r="EC104" s="1177"/>
      <c r="ED104" s="782"/>
      <c r="EE104" s="782"/>
      <c r="EF104" s="782"/>
      <c r="EG104" s="782"/>
      <c r="EH104" s="782"/>
      <c r="EI104" s="1177"/>
      <c r="EJ104" s="782"/>
      <c r="EK104" s="782"/>
      <c r="EL104" s="782"/>
      <c r="EM104" s="782"/>
      <c r="EN104" s="782"/>
      <c r="EO104" s="1177"/>
      <c r="EP104" s="782"/>
      <c r="EQ104" s="782"/>
      <c r="ER104" s="782"/>
      <c r="ES104" s="782"/>
      <c r="ET104" s="782"/>
      <c r="EU104" s="1177"/>
    </row>
    <row r="105" spans="1:186" ht="12.75" hidden="1" customHeight="1" outlineLevel="3">
      <c r="A105" s="874" t="s">
        <v>345</v>
      </c>
      <c r="B105" s="782"/>
      <c r="C105" s="782"/>
      <c r="D105" s="782"/>
      <c r="E105" s="782"/>
      <c r="F105" s="782"/>
      <c r="G105" s="782"/>
      <c r="H105" s="782"/>
      <c r="I105" s="782"/>
      <c r="J105" s="782"/>
      <c r="K105" s="782"/>
      <c r="L105" s="782"/>
      <c r="M105" s="782"/>
      <c r="N105" s="782"/>
      <c r="O105" s="508" t="str">
        <f>IF(I104&lt;&gt;"",O104/I104-1,"-")</f>
        <v>-</v>
      </c>
      <c r="P105" s="508" t="str">
        <f>IF(J104&lt;&gt;"",P104/J104-1,"-")</f>
        <v>-</v>
      </c>
      <c r="Q105" s="508" t="str">
        <f>IF(K104&lt;&gt;"",Q104/K104-1,"-")</f>
        <v>-</v>
      </c>
      <c r="R105" s="508" t="str">
        <f>IF(L104&lt;&gt;"",R104/L104-1,"-")</f>
        <v>-</v>
      </c>
      <c r="S105" s="508"/>
      <c r="T105" s="782"/>
      <c r="U105" s="508" t="str">
        <f>IF(O104&lt;&gt;"",U104/O104-1,"-")</f>
        <v>-</v>
      </c>
      <c r="V105" s="508" t="str">
        <f>IF(P104&lt;&gt;"",V104/P104-1,"-")</f>
        <v>-</v>
      </c>
      <c r="W105" s="508" t="str">
        <f>IF(Q104&lt;&gt;"",W104/Q104-1,"-")</f>
        <v>-</v>
      </c>
      <c r="X105" s="508" t="str">
        <f>IF(R104&lt;&gt;"",X104/R104-1,"-")</f>
        <v>-</v>
      </c>
      <c r="Y105" s="508"/>
      <c r="Z105" s="783"/>
      <c r="AA105" s="508" t="str">
        <f>IF(U104&lt;&gt;"",AA104/U104-1,"-")</f>
        <v>-</v>
      </c>
      <c r="AB105" s="508" t="str">
        <f>IF(V104&lt;&gt;"",AB104/V104-1,"-")</f>
        <v>-</v>
      </c>
      <c r="AC105" s="508" t="str">
        <f>IF(W104&lt;&gt;"",AC104/W104-1,"-")</f>
        <v>-</v>
      </c>
      <c r="AD105" s="508" t="str">
        <f>IF(X104&lt;&gt;"",AD104/X104-1,"-")</f>
        <v>-</v>
      </c>
      <c r="AE105" s="508"/>
      <c r="AF105" s="782"/>
      <c r="AG105" s="508" t="str">
        <f>IF(AA104&lt;&gt;"",AG104/AA104-1,"-")</f>
        <v>-</v>
      </c>
      <c r="AH105" s="508" t="str">
        <f>IF(AB104&lt;&gt;"",AH104/AB104-1,"-")</f>
        <v>-</v>
      </c>
      <c r="AI105" s="508" t="str">
        <f>IF(AC104&lt;&gt;"",AI104/AC104-1,"-")</f>
        <v>-</v>
      </c>
      <c r="AJ105" s="508" t="str">
        <f>IF(AD104&lt;&gt;"",AJ104/AD104-1,"-")</f>
        <v>-</v>
      </c>
      <c r="AK105" s="508"/>
      <c r="AL105" s="782"/>
      <c r="AM105" s="508">
        <f>IF(AG104&lt;&gt;"",AM104/AG104-1,"-")</f>
        <v>0.23728813559322037</v>
      </c>
      <c r="AN105" s="508">
        <f>IF(AH104&lt;&gt;"",AN104/AH104-1,"-")</f>
        <v>-0.11956521739130432</v>
      </c>
      <c r="AO105" s="508">
        <f>IF(AI104&lt;&gt;"",AO104/AI104-1,"-")</f>
        <v>-7.526881720430123E-2</v>
      </c>
      <c r="AP105" s="508">
        <f>IF(AJ104&lt;&gt;"",AP104/AJ104-1,"-")</f>
        <v>-0.34042553191489355</v>
      </c>
      <c r="AQ105" s="508" t="str">
        <f>IF(AK104&lt;&gt;"",AQ104/AK104-1,"-")</f>
        <v>-</v>
      </c>
      <c r="AR105" s="783"/>
      <c r="AS105" s="508">
        <f>IF(AM104&lt;&gt;"",AS104/AM104-1,"-")</f>
        <v>-0.2648401826484017</v>
      </c>
      <c r="AT105" s="508">
        <f>IF(AN104&lt;&gt;"",AT104/AN104-1,"-")</f>
        <v>1.8518518518518601E-2</v>
      </c>
      <c r="AU105" s="508">
        <f>IF(AO104&lt;&gt;"",AU104/AO104-1,"-")</f>
        <v>0.22674418604651181</v>
      </c>
      <c r="AV105" s="508">
        <f>IF(AP104&lt;&gt;"",AV104/AP104-1,"-")</f>
        <v>0.47849462365591378</v>
      </c>
      <c r="AW105" s="508">
        <f>IF(AQ104&lt;&gt;"",AW104/AQ104-1,"-")</f>
        <v>9.8782138024357202E-2</v>
      </c>
      <c r="AX105" s="782"/>
      <c r="AY105" s="508">
        <f>IF(AS104&lt;&gt;"",AY104/AS104-1,"-")</f>
        <v>0.68944099378881973</v>
      </c>
      <c r="AZ105" s="508">
        <f>IF(AT104&lt;&gt;"",AZ104/AT104-1,"-")</f>
        <v>0.74545454545454559</v>
      </c>
      <c r="BA105" s="508">
        <f>IF(AU104&lt;&gt;"",BA104/AU104-1,"-")</f>
        <v>0.37914691943127954</v>
      </c>
      <c r="BB105" s="508">
        <f>IF(AV104&lt;&gt;"",BB104/AV104-1,"-")</f>
        <v>0.42545454545454553</v>
      </c>
      <c r="BC105" s="508">
        <f>IF(AW104&lt;&gt;"",BC104/AW104-1,"-")</f>
        <v>0.53078817733990147</v>
      </c>
      <c r="BD105" s="782"/>
      <c r="BE105" s="508">
        <f>IF(AY104&lt;&gt;"",BE104/AY104-1,"-")</f>
        <v>0.36397058823529416</v>
      </c>
      <c r="BF105" s="508">
        <f>IF(AZ104&lt;&gt;"",BF104/AZ104-1,"-")</f>
        <v>0.49305555555555558</v>
      </c>
      <c r="BG105" s="508">
        <f>IF(BA104&lt;&gt;"",BG104/BA104-1,"-")</f>
        <v>0.54982817869415812</v>
      </c>
      <c r="BH105" s="508">
        <f>IF(BB104&lt;&gt;"",BH104/BB104-1,"-")</f>
        <v>0.33673469387755084</v>
      </c>
      <c r="BI105" s="508">
        <f>IF(BC104&lt;&gt;"",BI104/BC104-1,"-")</f>
        <v>0.42880128720836685</v>
      </c>
      <c r="BJ105" s="782"/>
      <c r="BK105" s="508">
        <f>IF(BE104&lt;&gt;"",BK104/BE104-1,"-")</f>
        <v>0.43396226415094352</v>
      </c>
      <c r="BL105" s="508">
        <f>IF(BF104&lt;&gt;"",BL104/BF104-1,"-")</f>
        <v>0.32093023255813957</v>
      </c>
      <c r="BM105" s="508">
        <f>IF(BG104&lt;&gt;"",BM104/BG104-1,"-")</f>
        <v>0.28603104212860297</v>
      </c>
      <c r="BN105" s="508">
        <f>IF(BH104&lt;&gt;"",BN104/BH104-1,"-")</f>
        <v>0.41221374045801529</v>
      </c>
      <c r="BO105" s="1109">
        <f>IF(BI104&lt;&gt;"",BO104/BI104-1,"-")</f>
        <v>0.36261261261261257</v>
      </c>
      <c r="BP105" s="782"/>
      <c r="BQ105" s="508"/>
      <c r="BR105" s="782"/>
      <c r="BS105" s="782"/>
      <c r="BT105" s="782"/>
      <c r="BU105" s="1109"/>
      <c r="BV105" s="782"/>
      <c r="BW105" s="508"/>
      <c r="BX105" s="508"/>
      <c r="BY105" s="508"/>
      <c r="BZ105" s="508"/>
      <c r="CA105" s="1109"/>
      <c r="CB105" s="782"/>
      <c r="CC105" s="782"/>
      <c r="CD105" s="508"/>
      <c r="CE105" s="508"/>
      <c r="CF105" s="1506"/>
      <c r="CG105" s="1525"/>
      <c r="CH105" s="782"/>
      <c r="CI105" s="782"/>
      <c r="CJ105" s="782"/>
      <c r="CK105" s="783"/>
      <c r="CL105" s="782"/>
      <c r="CM105" s="1177"/>
      <c r="CN105" s="782"/>
      <c r="CO105" s="782"/>
      <c r="CP105" s="782"/>
      <c r="CQ105" s="782"/>
      <c r="CR105" s="782"/>
      <c r="CS105" s="1177"/>
      <c r="CT105" s="782"/>
      <c r="CU105" s="782"/>
      <c r="CV105" s="782"/>
      <c r="CW105" s="782"/>
      <c r="CX105" s="782"/>
      <c r="CY105" s="1177"/>
      <c r="CZ105" s="782"/>
      <c r="DA105" s="782"/>
      <c r="DB105" s="782"/>
      <c r="DC105" s="782"/>
      <c r="DD105" s="782"/>
      <c r="DE105" s="1177"/>
      <c r="DF105" s="782"/>
      <c r="DG105" s="782"/>
      <c r="DH105" s="782"/>
      <c r="DI105" s="782"/>
      <c r="DJ105" s="782"/>
      <c r="DK105" s="1177"/>
      <c r="DL105" s="782"/>
      <c r="DM105" s="782"/>
      <c r="DN105" s="782"/>
      <c r="DO105" s="782"/>
      <c r="DP105" s="782"/>
      <c r="DQ105" s="1177"/>
      <c r="DR105" s="782"/>
      <c r="DS105" s="782"/>
      <c r="DT105" s="782"/>
      <c r="DU105" s="782"/>
      <c r="DV105" s="782"/>
      <c r="DW105" s="1177"/>
      <c r="DX105" s="782"/>
      <c r="DY105" s="782"/>
      <c r="DZ105" s="782"/>
      <c r="EA105" s="782"/>
      <c r="EB105" s="782"/>
      <c r="EC105" s="1177"/>
      <c r="ED105" s="782"/>
      <c r="EE105" s="782"/>
      <c r="EF105" s="782"/>
      <c r="EG105" s="782"/>
      <c r="EH105" s="782"/>
      <c r="EI105" s="1177"/>
      <c r="EJ105" s="782"/>
      <c r="EK105" s="782"/>
      <c r="EL105" s="782"/>
      <c r="EM105" s="782"/>
      <c r="EN105" s="782"/>
      <c r="EO105" s="1177"/>
      <c r="EP105" s="782"/>
      <c r="EQ105" s="782"/>
      <c r="ER105" s="782"/>
      <c r="ES105" s="782"/>
      <c r="ET105" s="782"/>
      <c r="EU105" s="1177"/>
    </row>
    <row r="106" spans="1:186" ht="12.75" hidden="1" customHeight="1" outlineLevel="3">
      <c r="A106" s="874" t="s">
        <v>344</v>
      </c>
      <c r="B106" s="782"/>
      <c r="C106" s="782"/>
      <c r="D106" s="782"/>
      <c r="E106" s="782"/>
      <c r="F106" s="782"/>
      <c r="G106" s="782"/>
      <c r="H106" s="782"/>
      <c r="I106" s="782"/>
      <c r="J106" s="782"/>
      <c r="K106" s="782"/>
      <c r="L106" s="782"/>
      <c r="M106" s="782"/>
      <c r="N106" s="782"/>
      <c r="O106" s="508" t="str">
        <f>IF(L104&lt;&gt;"",O104/L104-1,"-")</f>
        <v>-</v>
      </c>
      <c r="P106" s="508" t="str">
        <f>IF(O104&lt;&gt;"",P104/O104-1,"-")</f>
        <v>-</v>
      </c>
      <c r="Q106" s="508" t="str">
        <f>IF(P104&lt;&gt;"",Q104/P104-1,"-")</f>
        <v>-</v>
      </c>
      <c r="R106" s="508" t="str">
        <f>IF(Q104&lt;&gt;"",R104/Q104-1,"-")</f>
        <v>-</v>
      </c>
      <c r="S106" s="783"/>
      <c r="T106" s="782"/>
      <c r="U106" s="508" t="str">
        <f>IF(R104&lt;&gt;"",U104/R104-1,"-")</f>
        <v>-</v>
      </c>
      <c r="V106" s="508" t="str">
        <f>IF(U104&lt;&gt;"",V104/U104-1,"-")</f>
        <v>-</v>
      </c>
      <c r="W106" s="508" t="str">
        <f>IF(V104&lt;&gt;"",W104/V104-1,"-")</f>
        <v>-</v>
      </c>
      <c r="X106" s="508" t="str">
        <f>IF(W104&lt;&gt;"",X104/W104-1,"-")</f>
        <v>-</v>
      </c>
      <c r="Y106" s="783"/>
      <c r="Z106" s="783"/>
      <c r="AA106" s="508" t="str">
        <f>IF(X104&lt;&gt;"",AA104/X104-1,"-")</f>
        <v>-</v>
      </c>
      <c r="AB106" s="508" t="str">
        <f>IF(AA104&lt;&gt;"",AB104/AA104-1,"-")</f>
        <v>-</v>
      </c>
      <c r="AC106" s="508" t="str">
        <f>IF(AB104&lt;&gt;"",AC104/AB104-1,"-")</f>
        <v>-</v>
      </c>
      <c r="AD106" s="508" t="str">
        <f>IF(AC104&lt;&gt;"",AD104/AC104-1,"-")</f>
        <v>-</v>
      </c>
      <c r="AE106" s="783"/>
      <c r="AF106" s="782"/>
      <c r="AG106" s="508" t="str">
        <f>IF(AD104&lt;&gt;"",AG104/AD104-1,"-")</f>
        <v>-</v>
      </c>
      <c r="AH106" s="508">
        <f>IF(AG104&lt;&gt;"",AH104/AG104-1,"-")</f>
        <v>3.9548022598870025E-2</v>
      </c>
      <c r="AI106" s="508">
        <f>IF(AH104&lt;&gt;"",AI104/AH104-1,"-")</f>
        <v>1.0869565217391353E-2</v>
      </c>
      <c r="AJ106" s="508">
        <f>IF(AI104&lt;&gt;"",AJ104/AI104-1,"-")</f>
        <v>0.51612903225806428</v>
      </c>
      <c r="AK106" s="783"/>
      <c r="AL106" s="782"/>
      <c r="AM106" s="508">
        <f>IF(AJ104&lt;&gt;"",AM104/AJ104-1,"-")</f>
        <v>-0.22340425531914898</v>
      </c>
      <c r="AN106" s="508">
        <f>IF(AM104&lt;&gt;"",AN104/AM104-1,"-")</f>
        <v>-0.26027397260273966</v>
      </c>
      <c r="AO106" s="508">
        <f>IF(AN104&lt;&gt;"",AO104/AN104-1,"-")</f>
        <v>6.1728395061728447E-2</v>
      </c>
      <c r="AP106" s="508">
        <f>IF(AO104&lt;&gt;"",AP104/AO104-1,"-")</f>
        <v>8.1395348837209447E-2</v>
      </c>
      <c r="AQ106" s="783" t="s">
        <v>6442</v>
      </c>
      <c r="AR106" s="783"/>
      <c r="AS106" s="508">
        <f>IF(AP104&lt;&gt;"",AS104/AP104-1,"-")</f>
        <v>-0.13440860215053763</v>
      </c>
      <c r="AT106" s="508">
        <f>IF(AS104&lt;&gt;"",AT104/AS104-1,"-")</f>
        <v>2.4844720496894235E-2</v>
      </c>
      <c r="AU106" s="508">
        <f>IF(AT104&lt;&gt;"",AU104/AT104-1,"-")</f>
        <v>0.27878787878787881</v>
      </c>
      <c r="AV106" s="508">
        <f>IF(AU104&lt;&gt;"",AV104/AU104-1,"-")</f>
        <v>0.30331753554502372</v>
      </c>
      <c r="AW106" s="783" t="s">
        <v>6442</v>
      </c>
      <c r="AX106" s="782"/>
      <c r="AY106" s="508">
        <f>IF(AV104&lt;&gt;"",AY104/AV104-1,"-")</f>
        <v>-1.0909090909090979E-2</v>
      </c>
      <c r="AZ106" s="508">
        <f>IF(AY104&lt;&gt;"",AZ104/AY104-1,"-")</f>
        <v>5.8823529411764719E-2</v>
      </c>
      <c r="BA106" s="508">
        <f>IF(AZ104&lt;&gt;"",BA104/AZ104-1,"-")</f>
        <v>1.0416666666666741E-2</v>
      </c>
      <c r="BB106" s="508">
        <f>IF(BA104&lt;&gt;"",BB104/BA104-1,"-")</f>
        <v>0.34707903780068738</v>
      </c>
      <c r="BC106" s="783" t="s">
        <v>6442</v>
      </c>
      <c r="BD106" s="782"/>
      <c r="BE106" s="508">
        <f>IF(BB104&lt;&gt;"",BE104/BB104-1,"-")</f>
        <v>-5.3571428571428603E-2</v>
      </c>
      <c r="BF106" s="508">
        <f>IF(BE104&lt;&gt;"",BF104/BE104-1,"-")</f>
        <v>0.15902964959568733</v>
      </c>
      <c r="BG106" s="508">
        <f>IF(BF104&lt;&gt;"",BG104/BF104-1,"-")</f>
        <v>4.8837209302325713E-2</v>
      </c>
      <c r="BH106" s="508">
        <f>IF(BG104&lt;&gt;"",BH104/BG104-1,"-")</f>
        <v>0.16186252771618626</v>
      </c>
      <c r="BI106" s="783" t="s">
        <v>6442</v>
      </c>
      <c r="BJ106" s="782"/>
      <c r="BK106" s="508">
        <f>IF(BH104&lt;&gt;"",BK104/BH104-1,"-")</f>
        <v>1.5267175572519109E-2</v>
      </c>
      <c r="BL106" s="508">
        <f>IF(BK104&lt;&gt;"",BL104/BK104-1,"-")</f>
        <v>6.7669172932330657E-2</v>
      </c>
      <c r="BM106" s="508">
        <f>IF(BL104&lt;&gt;"",BM104/BL104-1,"-")</f>
        <v>2.1126760563380254E-2</v>
      </c>
      <c r="BN106" s="508">
        <f>IF(BM104&lt;&gt;"",BN104/BM104-1,"-")</f>
        <v>0.27586206896551735</v>
      </c>
      <c r="BO106" s="1111" t="s">
        <v>6442</v>
      </c>
      <c r="BP106" s="782"/>
      <c r="BQ106" s="508"/>
      <c r="BR106" s="782"/>
      <c r="BS106" s="782"/>
      <c r="BT106" s="782"/>
      <c r="BU106" s="1111"/>
      <c r="BV106" s="782"/>
      <c r="BW106" s="508"/>
      <c r="BX106" s="508"/>
      <c r="BY106" s="508"/>
      <c r="BZ106" s="508"/>
      <c r="CA106" s="1111"/>
      <c r="CB106" s="782"/>
      <c r="CC106" s="782"/>
      <c r="CD106" s="508"/>
      <c r="CE106" s="508"/>
      <c r="CF106" s="1506"/>
      <c r="CG106" s="1527"/>
      <c r="CH106" s="782"/>
      <c r="CI106" s="782"/>
      <c r="CJ106" s="782"/>
      <c r="CK106" s="783"/>
      <c r="CL106" s="782"/>
      <c r="CM106" s="1177"/>
      <c r="CN106" s="782"/>
      <c r="CO106" s="782"/>
      <c r="CP106" s="782"/>
      <c r="CQ106" s="782"/>
      <c r="CR106" s="782"/>
      <c r="CS106" s="1177"/>
      <c r="CT106" s="782"/>
      <c r="CU106" s="782"/>
      <c r="CV106" s="782"/>
      <c r="CW106" s="782"/>
      <c r="CX106" s="782"/>
      <c r="CY106" s="1177"/>
      <c r="CZ106" s="782"/>
      <c r="DA106" s="782"/>
      <c r="DB106" s="782"/>
      <c r="DC106" s="782"/>
      <c r="DD106" s="782"/>
      <c r="DE106" s="1177"/>
      <c r="DF106" s="782"/>
      <c r="DG106" s="782"/>
      <c r="DH106" s="782"/>
      <c r="DI106" s="782"/>
      <c r="DJ106" s="782"/>
      <c r="DK106" s="1177"/>
      <c r="DL106" s="782"/>
      <c r="DM106" s="782"/>
      <c r="DN106" s="782"/>
      <c r="DO106" s="782"/>
      <c r="DP106" s="782"/>
      <c r="DQ106" s="1177"/>
      <c r="DR106" s="782"/>
      <c r="DS106" s="782"/>
      <c r="DT106" s="782"/>
      <c r="DU106" s="782"/>
      <c r="DV106" s="782"/>
      <c r="DW106" s="1177"/>
      <c r="DX106" s="782"/>
      <c r="DY106" s="782"/>
      <c r="DZ106" s="782"/>
      <c r="EA106" s="782"/>
      <c r="EB106" s="782"/>
      <c r="EC106" s="1177"/>
      <c r="ED106" s="782"/>
      <c r="EE106" s="782"/>
      <c r="EF106" s="782"/>
      <c r="EG106" s="782"/>
      <c r="EH106" s="782"/>
      <c r="EI106" s="1177"/>
      <c r="EJ106" s="782"/>
      <c r="EK106" s="782"/>
      <c r="EL106" s="782"/>
      <c r="EM106" s="782"/>
      <c r="EN106" s="782"/>
      <c r="EO106" s="1177"/>
      <c r="EP106" s="782"/>
      <c r="EQ106" s="782"/>
      <c r="ER106" s="782"/>
      <c r="ES106" s="782"/>
      <c r="ET106" s="782"/>
      <c r="EU106" s="1177"/>
    </row>
    <row r="107" spans="1:186" ht="12.75" hidden="1" customHeight="1" outlineLevel="3">
      <c r="A107" s="873" t="s">
        <v>6691</v>
      </c>
      <c r="B107" s="782"/>
      <c r="C107" s="782"/>
      <c r="D107" s="782"/>
      <c r="E107" s="782"/>
      <c r="F107" s="782"/>
      <c r="G107" s="782"/>
      <c r="H107" s="782"/>
      <c r="I107" s="782"/>
      <c r="J107" s="782"/>
      <c r="K107" s="782"/>
      <c r="L107" s="782"/>
      <c r="M107" s="782"/>
      <c r="N107" s="782"/>
      <c r="O107" s="782"/>
      <c r="P107" s="782"/>
      <c r="Q107" s="782"/>
      <c r="R107" s="782"/>
      <c r="S107" s="867"/>
      <c r="T107" s="867"/>
      <c r="U107" s="867"/>
      <c r="V107" s="867"/>
      <c r="W107" s="867"/>
      <c r="X107" s="867"/>
      <c r="Y107" s="867"/>
      <c r="Z107" s="867"/>
      <c r="AA107" s="867"/>
      <c r="AB107" s="867"/>
      <c r="AC107" s="867"/>
      <c r="AD107" s="867"/>
      <c r="AE107" s="867"/>
      <c r="AF107" s="782"/>
      <c r="AG107" s="783">
        <v>123.2</v>
      </c>
      <c r="AH107" s="783">
        <v>118.8</v>
      </c>
      <c r="AI107" s="783">
        <v>104.4</v>
      </c>
      <c r="AJ107" s="783">
        <v>115.5</v>
      </c>
      <c r="AK107" s="783"/>
      <c r="AL107" s="782"/>
      <c r="AM107" s="783">
        <v>110.3</v>
      </c>
      <c r="AN107" s="783">
        <v>101.8</v>
      </c>
      <c r="AO107" s="783">
        <v>91.5</v>
      </c>
      <c r="AP107" s="783">
        <v>93.1</v>
      </c>
      <c r="AQ107" s="783">
        <f>SUM(AM107:AP107)</f>
        <v>396.70000000000005</v>
      </c>
      <c r="AR107" s="783"/>
      <c r="AS107" s="783">
        <v>102.8</v>
      </c>
      <c r="AT107" s="783">
        <v>108.6</v>
      </c>
      <c r="AU107" s="783">
        <v>115.8</v>
      </c>
      <c r="AV107" s="783">
        <v>143.9</v>
      </c>
      <c r="AW107" s="783">
        <f>SUM(AS107:AV107)</f>
        <v>471.1</v>
      </c>
      <c r="AX107" s="782"/>
      <c r="AY107" s="783">
        <v>152.69999999999999</v>
      </c>
      <c r="AZ107" s="783">
        <v>135.80000000000001</v>
      </c>
      <c r="BA107" s="783">
        <v>141.1</v>
      </c>
      <c r="BB107" s="783">
        <v>169.9</v>
      </c>
      <c r="BC107" s="783">
        <f>SUM(AY107:BB107)</f>
        <v>599.5</v>
      </c>
      <c r="BD107" s="782"/>
      <c r="BE107" s="783">
        <v>177.7</v>
      </c>
      <c r="BF107" s="783">
        <v>180.2</v>
      </c>
      <c r="BG107" s="783">
        <v>181.3</v>
      </c>
      <c r="BH107" s="783">
        <v>192.4</v>
      </c>
      <c r="BI107" s="783">
        <f>SUM(BE107:BH107)</f>
        <v>731.6</v>
      </c>
      <c r="BJ107" s="782"/>
      <c r="BK107" s="783">
        <v>207.3</v>
      </c>
      <c r="BL107" s="783">
        <v>200.9</v>
      </c>
      <c r="BM107" s="502">
        <v>197</v>
      </c>
      <c r="BN107" s="502">
        <v>201</v>
      </c>
      <c r="BO107" s="1111">
        <f>SUM(BK107:BN107)</f>
        <v>806.2</v>
      </c>
      <c r="BP107" s="782"/>
      <c r="BQ107" s="783">
        <f>BO107/BO95</f>
        <v>0.505359493512192</v>
      </c>
      <c r="BR107" s="782"/>
      <c r="BS107" s="782"/>
      <c r="BT107" s="782"/>
      <c r="BU107" s="1111"/>
      <c r="BV107" s="782"/>
      <c r="BW107" s="783"/>
      <c r="BX107" s="783"/>
      <c r="BY107" s="783"/>
      <c r="BZ107" s="783"/>
      <c r="CA107" s="1111"/>
      <c r="CB107" s="782"/>
      <c r="CC107" s="782"/>
      <c r="CD107" s="783"/>
      <c r="CE107" s="783"/>
      <c r="CF107" s="1508"/>
      <c r="CG107" s="1527"/>
      <c r="CH107" s="782"/>
      <c r="CI107" s="782"/>
      <c r="CJ107" s="782"/>
      <c r="CK107" s="783"/>
      <c r="CL107" s="782"/>
      <c r="CM107" s="1177"/>
      <c r="CN107" s="782"/>
      <c r="CO107" s="782"/>
      <c r="CP107" s="782"/>
      <c r="CQ107" s="782"/>
      <c r="CR107" s="782"/>
      <c r="CS107" s="1177"/>
      <c r="CT107" s="782"/>
      <c r="CU107" s="782"/>
      <c r="CV107" s="782"/>
      <c r="CW107" s="782"/>
      <c r="CX107" s="782"/>
      <c r="CY107" s="1177"/>
      <c r="CZ107" s="782"/>
      <c r="DA107" s="782"/>
      <c r="DB107" s="782"/>
      <c r="DC107" s="782"/>
      <c r="DD107" s="782"/>
      <c r="DE107" s="1177"/>
      <c r="DF107" s="782"/>
      <c r="DG107" s="782"/>
      <c r="DH107" s="782"/>
      <c r="DI107" s="782"/>
      <c r="DJ107" s="782"/>
      <c r="DK107" s="1177"/>
      <c r="DL107" s="782"/>
      <c r="DM107" s="782"/>
      <c r="DN107" s="782"/>
      <c r="DO107" s="782"/>
      <c r="DP107" s="782"/>
      <c r="DQ107" s="1177"/>
      <c r="DR107" s="782"/>
      <c r="DS107" s="782"/>
      <c r="DT107" s="782"/>
      <c r="DU107" s="782"/>
      <c r="DV107" s="782"/>
      <c r="DW107" s="1177"/>
      <c r="DX107" s="782"/>
      <c r="DY107" s="782"/>
      <c r="DZ107" s="782"/>
      <c r="EA107" s="782"/>
      <c r="EB107" s="782"/>
      <c r="EC107" s="1177"/>
      <c r="ED107" s="782"/>
      <c r="EE107" s="782"/>
      <c r="EF107" s="782"/>
      <c r="EG107" s="782"/>
      <c r="EH107" s="782"/>
      <c r="EI107" s="1177"/>
      <c r="EJ107" s="782"/>
      <c r="EK107" s="782"/>
      <c r="EL107" s="782"/>
      <c r="EM107" s="782"/>
      <c r="EN107" s="782"/>
      <c r="EO107" s="1177"/>
      <c r="EP107" s="782"/>
      <c r="EQ107" s="782"/>
      <c r="ER107" s="782"/>
      <c r="ES107" s="782"/>
      <c r="ET107" s="782"/>
      <c r="EU107" s="1177"/>
    </row>
    <row r="108" spans="1:186" ht="12.75" hidden="1" customHeight="1" outlineLevel="3">
      <c r="A108" s="874" t="s">
        <v>345</v>
      </c>
      <c r="B108" s="782"/>
      <c r="C108" s="782"/>
      <c r="D108" s="782"/>
      <c r="E108" s="782"/>
      <c r="F108" s="782"/>
      <c r="G108" s="782"/>
      <c r="H108" s="782"/>
      <c r="I108" s="782"/>
      <c r="J108" s="782"/>
      <c r="K108" s="782"/>
      <c r="L108" s="782"/>
      <c r="M108" s="782"/>
      <c r="N108" s="782"/>
      <c r="O108" s="508" t="str">
        <f>IF(I107&lt;&gt;"",O107/I107-1,"-")</f>
        <v>-</v>
      </c>
      <c r="P108" s="508" t="str">
        <f>IF(J107&lt;&gt;"",P107/J107-1,"-")</f>
        <v>-</v>
      </c>
      <c r="Q108" s="508" t="str">
        <f>IF(K107&lt;&gt;"",Q107/K107-1,"-")</f>
        <v>-</v>
      </c>
      <c r="R108" s="508" t="str">
        <f>IF(L107&lt;&gt;"",R107/L107-1,"-")</f>
        <v>-</v>
      </c>
      <c r="S108" s="508"/>
      <c r="T108" s="782"/>
      <c r="U108" s="508" t="str">
        <f>IF(O107&lt;&gt;"",U107/O107-1,"-")</f>
        <v>-</v>
      </c>
      <c r="V108" s="508" t="str">
        <f>IF(P107&lt;&gt;"",V107/P107-1,"-")</f>
        <v>-</v>
      </c>
      <c r="W108" s="508" t="str">
        <f>IF(Q107&lt;&gt;"",W107/Q107-1,"-")</f>
        <v>-</v>
      </c>
      <c r="X108" s="508" t="str">
        <f>IF(R107&lt;&gt;"",X107/R107-1,"-")</f>
        <v>-</v>
      </c>
      <c r="Y108" s="508"/>
      <c r="Z108" s="783"/>
      <c r="AA108" s="508" t="str">
        <f>IF(U107&lt;&gt;"",AA107/U107-1,"-")</f>
        <v>-</v>
      </c>
      <c r="AB108" s="508" t="str">
        <f>IF(V107&lt;&gt;"",AB107/V107-1,"-")</f>
        <v>-</v>
      </c>
      <c r="AC108" s="508" t="str">
        <f>IF(W107&lt;&gt;"",AC107/W107-1,"-")</f>
        <v>-</v>
      </c>
      <c r="AD108" s="508" t="str">
        <f>IF(X107&lt;&gt;"",AD107/X107-1,"-")</f>
        <v>-</v>
      </c>
      <c r="AE108" s="508"/>
      <c r="AF108" s="782"/>
      <c r="AG108" s="508" t="str">
        <f>IF(AA107&lt;&gt;"",AG107/AA107-1,"-")</f>
        <v>-</v>
      </c>
      <c r="AH108" s="508" t="str">
        <f>IF(AB107&lt;&gt;"",AH107/AB107-1,"-")</f>
        <v>-</v>
      </c>
      <c r="AI108" s="508" t="str">
        <f>IF(AC107&lt;&gt;"",AI107/AC107-1,"-")</f>
        <v>-</v>
      </c>
      <c r="AJ108" s="508" t="str">
        <f>IF(AD107&lt;&gt;"",AJ107/AD107-1,"-")</f>
        <v>-</v>
      </c>
      <c r="AK108" s="508"/>
      <c r="AL108" s="782"/>
      <c r="AM108" s="508">
        <f>IF(AG107&lt;&gt;"",AM107/AG107-1,"-")</f>
        <v>-0.10470779220779225</v>
      </c>
      <c r="AN108" s="508">
        <f>IF(AH107&lt;&gt;"",AN107/AH107-1,"-")</f>
        <v>-0.14309764309764306</v>
      </c>
      <c r="AO108" s="508">
        <f>IF(AI107&lt;&gt;"",AO107/AI107-1,"-")</f>
        <v>-0.12356321839080464</v>
      </c>
      <c r="AP108" s="508">
        <f>IF(AJ107&lt;&gt;"",AP107/AJ107-1,"-")</f>
        <v>-0.19393939393939397</v>
      </c>
      <c r="AQ108" s="508" t="str">
        <f>IF(AK107&lt;&gt;"",AQ107/AK107-1,"-")</f>
        <v>-</v>
      </c>
      <c r="AR108" s="783"/>
      <c r="AS108" s="508">
        <f>IF(AM107&lt;&gt;"",AS107/AM107-1,"-")</f>
        <v>-6.7996373526745257E-2</v>
      </c>
      <c r="AT108" s="508">
        <f>IF(AN107&lt;&gt;"",AT107/AN107-1,"-")</f>
        <v>6.6797642436149385E-2</v>
      </c>
      <c r="AU108" s="508">
        <f>IF(AO107&lt;&gt;"",AU107/AO107-1,"-")</f>
        <v>0.26557377049180331</v>
      </c>
      <c r="AV108" s="508">
        <f>IF(AP107&lt;&gt;"",AV107/AP107-1,"-")</f>
        <v>0.54564983888292184</v>
      </c>
      <c r="AW108" s="508">
        <f>IF(AQ107&lt;&gt;"",AW107/AQ107-1,"-")</f>
        <v>0.18754726493571972</v>
      </c>
      <c r="AX108" s="782"/>
      <c r="AY108" s="508">
        <f>IF(AS107&lt;&gt;"",AY107/AS107-1,"-")</f>
        <v>0.48540856031128388</v>
      </c>
      <c r="AZ108" s="508">
        <f>IF(AT107&lt;&gt;"",AZ107/AT107-1,"-")</f>
        <v>0.250460405156538</v>
      </c>
      <c r="BA108" s="508">
        <f>IF(AU107&lt;&gt;"",BA107/AU107-1,"-")</f>
        <v>0.21848013816925738</v>
      </c>
      <c r="BB108" s="508">
        <f>IF(AV107&lt;&gt;"",BB107/AV107-1,"-")</f>
        <v>0.1806810284920084</v>
      </c>
      <c r="BC108" s="508">
        <f>IF(AW107&lt;&gt;"",BC107/AW107-1,"-")</f>
        <v>0.27255359796221601</v>
      </c>
      <c r="BD108" s="782"/>
      <c r="BE108" s="508">
        <f>IF(AY107&lt;&gt;"",BE107/AY107-1,"-")</f>
        <v>0.16371971185330714</v>
      </c>
      <c r="BF108" s="508">
        <f>IF(AZ107&lt;&gt;"",BF107/AZ107-1,"-")</f>
        <v>0.3269513991163473</v>
      </c>
      <c r="BG108" s="508">
        <f>IF(BA107&lt;&gt;"",BG107/BA107-1,"-")</f>
        <v>0.28490432317505321</v>
      </c>
      <c r="BH108" s="508">
        <f>IF(BB107&lt;&gt;"",BH107/BB107-1,"-")</f>
        <v>0.1324308416715716</v>
      </c>
      <c r="BI108" s="508">
        <f>IF(BC107&lt;&gt;"",BI107/BC107-1,"-")</f>
        <v>0.22035029190992494</v>
      </c>
      <c r="BJ108" s="782"/>
      <c r="BK108" s="508">
        <f>IF(BE107&lt;&gt;"",BK107/BE107-1,"-")</f>
        <v>0.16657287563308953</v>
      </c>
      <c r="BL108" s="508">
        <f>IF(BF107&lt;&gt;"",BL107/BF107-1,"-")</f>
        <v>0.1148723640399556</v>
      </c>
      <c r="BM108" s="508">
        <f>IF(BG107&lt;&gt;"",BM107/BG107-1,"-")</f>
        <v>8.659680088251509E-2</v>
      </c>
      <c r="BN108" s="508">
        <f>IF(BH107&lt;&gt;"",BN107/BH107-1,"-")</f>
        <v>4.4698544698544618E-2</v>
      </c>
      <c r="BO108" s="1109">
        <f>IF(BI107&lt;&gt;"",BO107/BI107-1,"-")</f>
        <v>0.10196828868234009</v>
      </c>
      <c r="BP108" s="782"/>
      <c r="BQ108" s="508"/>
      <c r="BR108" s="782"/>
      <c r="BS108" s="782"/>
      <c r="BT108" s="782"/>
      <c r="BU108" s="1109"/>
      <c r="BV108" s="782"/>
      <c r="BW108" s="508"/>
      <c r="BX108" s="508"/>
      <c r="BY108" s="508"/>
      <c r="BZ108" s="508"/>
      <c r="CA108" s="1109"/>
      <c r="CB108" s="782"/>
      <c r="CC108" s="782"/>
      <c r="CD108" s="508"/>
      <c r="CE108" s="508"/>
      <c r="CF108" s="1506"/>
      <c r="CG108" s="1525"/>
      <c r="CH108" s="782"/>
      <c r="CI108" s="782"/>
      <c r="CJ108" s="782"/>
      <c r="CK108" s="783"/>
      <c r="CL108" s="782"/>
      <c r="CM108" s="1177"/>
      <c r="CN108" s="782"/>
      <c r="CO108" s="782"/>
      <c r="CP108" s="782"/>
      <c r="CQ108" s="782"/>
      <c r="CR108" s="782"/>
      <c r="CS108" s="1177"/>
      <c r="CT108" s="782"/>
      <c r="CU108" s="782"/>
      <c r="CV108" s="782"/>
      <c r="CW108" s="782"/>
      <c r="CX108" s="782"/>
      <c r="CY108" s="1177"/>
      <c r="CZ108" s="782"/>
      <c r="DA108" s="782"/>
      <c r="DB108" s="782"/>
      <c r="DC108" s="782"/>
      <c r="DD108" s="782"/>
      <c r="DE108" s="1177"/>
      <c r="DF108" s="782"/>
      <c r="DG108" s="782"/>
      <c r="DH108" s="782"/>
      <c r="DI108" s="782"/>
      <c r="DJ108" s="782"/>
      <c r="DK108" s="1177"/>
      <c r="DL108" s="782"/>
      <c r="DM108" s="782"/>
      <c r="DN108" s="782"/>
      <c r="DO108" s="782"/>
      <c r="DP108" s="782"/>
      <c r="DQ108" s="1177"/>
      <c r="DR108" s="782"/>
      <c r="DS108" s="782"/>
      <c r="DT108" s="782"/>
      <c r="DU108" s="782"/>
      <c r="DV108" s="782"/>
      <c r="DW108" s="1177"/>
      <c r="DX108" s="782"/>
      <c r="DY108" s="782"/>
      <c r="DZ108" s="782"/>
      <c r="EA108" s="782"/>
      <c r="EB108" s="782"/>
      <c r="EC108" s="1177"/>
      <c r="ED108" s="782"/>
      <c r="EE108" s="782"/>
      <c r="EF108" s="782"/>
      <c r="EG108" s="782"/>
      <c r="EH108" s="782"/>
      <c r="EI108" s="1177"/>
      <c r="EJ108" s="782"/>
      <c r="EK108" s="782"/>
      <c r="EL108" s="782"/>
      <c r="EM108" s="782"/>
      <c r="EN108" s="782"/>
      <c r="EO108" s="1177"/>
      <c r="EP108" s="782"/>
      <c r="EQ108" s="782"/>
      <c r="ER108" s="782"/>
      <c r="ES108" s="782"/>
      <c r="ET108" s="782"/>
      <c r="EU108" s="1177"/>
    </row>
    <row r="109" spans="1:186" ht="12.75" hidden="1" customHeight="1" outlineLevel="3">
      <c r="A109" s="874" t="s">
        <v>344</v>
      </c>
      <c r="B109" s="782"/>
      <c r="C109" s="782"/>
      <c r="D109" s="782"/>
      <c r="E109" s="782"/>
      <c r="F109" s="782"/>
      <c r="G109" s="782"/>
      <c r="H109" s="782"/>
      <c r="I109" s="782"/>
      <c r="J109" s="782"/>
      <c r="K109" s="782"/>
      <c r="L109" s="782"/>
      <c r="M109" s="782"/>
      <c r="N109" s="782"/>
      <c r="O109" s="508" t="str">
        <f>IF(L107&lt;&gt;"",O107/L107-1,"-")</f>
        <v>-</v>
      </c>
      <c r="P109" s="508" t="str">
        <f>IF(O107&lt;&gt;"",P107/O107-1,"-")</f>
        <v>-</v>
      </c>
      <c r="Q109" s="508" t="str">
        <f>IF(P107&lt;&gt;"",Q107/P107-1,"-")</f>
        <v>-</v>
      </c>
      <c r="R109" s="508" t="str">
        <f>IF(Q107&lt;&gt;"",R107/Q107-1,"-")</f>
        <v>-</v>
      </c>
      <c r="S109" s="783"/>
      <c r="T109" s="782"/>
      <c r="U109" s="508" t="str">
        <f>IF(R107&lt;&gt;"",U107/R107-1,"-")</f>
        <v>-</v>
      </c>
      <c r="V109" s="508" t="str">
        <f>IF(U107&lt;&gt;"",V107/U107-1,"-")</f>
        <v>-</v>
      </c>
      <c r="W109" s="508" t="str">
        <f>IF(V107&lt;&gt;"",W107/V107-1,"-")</f>
        <v>-</v>
      </c>
      <c r="X109" s="508" t="str">
        <f>IF(W107&lt;&gt;"",X107/W107-1,"-")</f>
        <v>-</v>
      </c>
      <c r="Y109" s="783"/>
      <c r="Z109" s="783"/>
      <c r="AA109" s="508" t="str">
        <f>IF(X107&lt;&gt;"",AA107/X107-1,"-")</f>
        <v>-</v>
      </c>
      <c r="AB109" s="508" t="str">
        <f>IF(AA107&lt;&gt;"",AB107/AA107-1,"-")</f>
        <v>-</v>
      </c>
      <c r="AC109" s="508" t="str">
        <f>IF(AB107&lt;&gt;"",AC107/AB107-1,"-")</f>
        <v>-</v>
      </c>
      <c r="AD109" s="508" t="str">
        <f>IF(AC107&lt;&gt;"",AD107/AC107-1,"-")</f>
        <v>-</v>
      </c>
      <c r="AE109" s="783"/>
      <c r="AF109" s="782"/>
      <c r="AG109" s="508" t="str">
        <f>IF(AD107&lt;&gt;"",AG107/AD107-1,"-")</f>
        <v>-</v>
      </c>
      <c r="AH109" s="508">
        <f>IF(AG107&lt;&gt;"",AH107/AG107-1,"-")</f>
        <v>-3.5714285714285809E-2</v>
      </c>
      <c r="AI109" s="508">
        <f>IF(AH107&lt;&gt;"",AI107/AH107-1,"-")</f>
        <v>-0.1212121212121211</v>
      </c>
      <c r="AJ109" s="508">
        <f>IF(AI107&lt;&gt;"",AJ107/AI107-1,"-")</f>
        <v>0.10632183908045967</v>
      </c>
      <c r="AK109" s="783"/>
      <c r="AL109" s="782"/>
      <c r="AM109" s="508">
        <f>IF(AJ107&lt;&gt;"",AM107/AJ107-1,"-")</f>
        <v>-4.5021645021645074E-2</v>
      </c>
      <c r="AN109" s="508">
        <f>IF(AM107&lt;&gt;"",AN107/AM107-1,"-")</f>
        <v>-7.7062556663644588E-2</v>
      </c>
      <c r="AO109" s="508">
        <f>IF(AN107&lt;&gt;"",AO107/AN107-1,"-")</f>
        <v>-0.1011787819253438</v>
      </c>
      <c r="AP109" s="508">
        <f>IF(AO107&lt;&gt;"",AP107/AO107-1,"-")</f>
        <v>1.7486338797814138E-2</v>
      </c>
      <c r="AQ109" s="783" t="s">
        <v>6442</v>
      </c>
      <c r="AR109" s="783"/>
      <c r="AS109" s="508">
        <f>IF(AP107&lt;&gt;"",AS107/AP107-1,"-")</f>
        <v>0.10418904403866813</v>
      </c>
      <c r="AT109" s="508">
        <f>IF(AS107&lt;&gt;"",AT107/AS107-1,"-")</f>
        <v>5.6420233463035041E-2</v>
      </c>
      <c r="AU109" s="508">
        <f>IF(AT107&lt;&gt;"",AU107/AT107-1,"-")</f>
        <v>6.6298342541436517E-2</v>
      </c>
      <c r="AV109" s="508">
        <f>IF(AU107&lt;&gt;"",AV107/AU107-1,"-")</f>
        <v>0.2426597582037997</v>
      </c>
      <c r="AW109" s="783" t="s">
        <v>6442</v>
      </c>
      <c r="AX109" s="782"/>
      <c r="AY109" s="508">
        <f>IF(AV107&lt;&gt;"",AY107/AV107-1,"-")</f>
        <v>6.1153578874218129E-2</v>
      </c>
      <c r="AZ109" s="508">
        <f>IF(AY107&lt;&gt;"",AZ107/AY107-1,"-")</f>
        <v>-0.1106745252128355</v>
      </c>
      <c r="BA109" s="508">
        <f>IF(AZ107&lt;&gt;"",BA107/AZ107-1,"-")</f>
        <v>3.902798232695126E-2</v>
      </c>
      <c r="BB109" s="508">
        <f>IF(BA107&lt;&gt;"",BB107/BA107-1,"-")</f>
        <v>0.20411055988660531</v>
      </c>
      <c r="BC109" s="783" t="s">
        <v>6442</v>
      </c>
      <c r="BD109" s="782"/>
      <c r="BE109" s="508">
        <f>IF(BB107&lt;&gt;"",BE107/BB107-1,"-")</f>
        <v>4.5909358446144743E-2</v>
      </c>
      <c r="BF109" s="508">
        <f>IF(BE107&lt;&gt;"",BF107/BE107-1,"-")</f>
        <v>1.4068655036578503E-2</v>
      </c>
      <c r="BG109" s="508">
        <f>IF(BF107&lt;&gt;"",BG107/BF107-1,"-")</f>
        <v>6.1043285238624456E-3</v>
      </c>
      <c r="BH109" s="508">
        <f>IF(BG107&lt;&gt;"",BH107/BG107-1,"-")</f>
        <v>6.1224489795918435E-2</v>
      </c>
      <c r="BI109" s="783" t="s">
        <v>6442</v>
      </c>
      <c r="BJ109" s="782"/>
      <c r="BK109" s="508">
        <f>IF(BH107&lt;&gt;"",BK107/BH107-1,"-")</f>
        <v>7.7442827442827378E-2</v>
      </c>
      <c r="BL109" s="508">
        <f>IF(BK107&lt;&gt;"",BL107/BK107-1,"-")</f>
        <v>-3.0873130728412912E-2</v>
      </c>
      <c r="BM109" s="508">
        <f>IF(BL107&lt;&gt;"",BM107/BL107-1,"-")</f>
        <v>-1.9412643106022975E-2</v>
      </c>
      <c r="BN109" s="508">
        <f>IF(BM107&lt;&gt;"",BN107/BM107-1,"-")</f>
        <v>2.0304568527918843E-2</v>
      </c>
      <c r="BO109" s="1111" t="s">
        <v>6442</v>
      </c>
      <c r="BP109" s="782"/>
      <c r="BQ109" s="508"/>
      <c r="BR109" s="782"/>
      <c r="BS109" s="782"/>
      <c r="BT109" s="782"/>
      <c r="BU109" s="1111" t="s">
        <v>6442</v>
      </c>
      <c r="BV109" s="782"/>
      <c r="BW109" s="508"/>
      <c r="BX109" s="508"/>
      <c r="BY109" s="508"/>
      <c r="BZ109" s="508"/>
      <c r="CA109" s="1111" t="s">
        <v>6442</v>
      </c>
      <c r="CB109" s="782"/>
      <c r="CC109" s="782"/>
      <c r="CD109" s="508"/>
      <c r="CE109" s="508"/>
      <c r="CF109" s="1506"/>
      <c r="CG109" s="1527" t="s">
        <v>6442</v>
      </c>
      <c r="CH109" s="782"/>
      <c r="CI109" s="782"/>
      <c r="CJ109" s="782"/>
      <c r="CK109" s="783"/>
      <c r="CL109" s="782"/>
      <c r="CM109" s="1177"/>
      <c r="CN109" s="782"/>
      <c r="CO109" s="782"/>
      <c r="CP109" s="782"/>
      <c r="CQ109" s="782"/>
      <c r="CR109" s="782"/>
      <c r="CS109" s="1177"/>
      <c r="CT109" s="782"/>
      <c r="CU109" s="782"/>
      <c r="CV109" s="782"/>
      <c r="CW109" s="782"/>
      <c r="CX109" s="782"/>
      <c r="CY109" s="1177"/>
      <c r="CZ109" s="782"/>
      <c r="DA109" s="782"/>
      <c r="DB109" s="782"/>
      <c r="DC109" s="782"/>
      <c r="DD109" s="782"/>
      <c r="DE109" s="1177"/>
      <c r="DF109" s="782"/>
      <c r="DG109" s="782"/>
      <c r="DH109" s="782"/>
      <c r="DI109" s="782"/>
      <c r="DJ109" s="782"/>
      <c r="DK109" s="1177"/>
      <c r="DL109" s="782"/>
      <c r="DM109" s="782"/>
      <c r="DN109" s="782"/>
      <c r="DO109" s="782"/>
      <c r="DP109" s="782"/>
      <c r="DQ109" s="1177"/>
      <c r="DR109" s="782"/>
      <c r="DS109" s="782"/>
      <c r="DT109" s="782"/>
      <c r="DU109" s="782"/>
      <c r="DV109" s="782"/>
      <c r="DW109" s="1177"/>
      <c r="DX109" s="782"/>
      <c r="DY109" s="782"/>
      <c r="DZ109" s="782"/>
      <c r="EA109" s="782"/>
      <c r="EB109" s="782"/>
      <c r="EC109" s="1177"/>
      <c r="ED109" s="782"/>
      <c r="EE109" s="782"/>
      <c r="EF109" s="782"/>
      <c r="EG109" s="782"/>
      <c r="EH109" s="782"/>
      <c r="EI109" s="1177"/>
      <c r="EJ109" s="782"/>
      <c r="EK109" s="782"/>
      <c r="EL109" s="782"/>
      <c r="EM109" s="782"/>
      <c r="EN109" s="782"/>
      <c r="EO109" s="1177"/>
      <c r="EP109" s="782"/>
      <c r="EQ109" s="782"/>
      <c r="ER109" s="782"/>
      <c r="ES109" s="782"/>
      <c r="ET109" s="782"/>
      <c r="EU109" s="1177"/>
    </row>
    <row r="110" spans="1:186" ht="12.75" hidden="1" customHeight="1" outlineLevel="3" collapsed="1">
      <c r="A110" s="266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263"/>
      <c r="P110" s="263"/>
      <c r="Q110" s="263"/>
      <c r="R110" s="263"/>
      <c r="S110" s="141"/>
      <c r="T110" s="147"/>
      <c r="U110" s="263"/>
      <c r="V110" s="263"/>
      <c r="W110" s="263"/>
      <c r="X110" s="263"/>
      <c r="Y110" s="141"/>
      <c r="Z110" s="141"/>
      <c r="AA110" s="263"/>
      <c r="AB110" s="263"/>
      <c r="AC110" s="263"/>
      <c r="AD110" s="263"/>
      <c r="AE110" s="141"/>
      <c r="AF110" s="147"/>
      <c r="AG110" s="263"/>
      <c r="AH110" s="263"/>
      <c r="AI110" s="263"/>
      <c r="AJ110" s="263"/>
      <c r="AK110" s="141"/>
      <c r="AL110" s="147"/>
      <c r="AM110" s="263"/>
      <c r="AN110" s="263"/>
      <c r="AO110" s="263"/>
      <c r="AP110" s="263"/>
      <c r="AQ110" s="141"/>
      <c r="AR110" s="141"/>
      <c r="AS110" s="263"/>
      <c r="AT110" s="263"/>
      <c r="AU110" s="263"/>
      <c r="AV110" s="263"/>
      <c r="AW110" s="141"/>
      <c r="AX110" s="147"/>
      <c r="AY110" s="263"/>
      <c r="AZ110" s="263"/>
      <c r="BA110" s="263"/>
      <c r="BB110" s="263"/>
      <c r="BC110" s="141"/>
      <c r="BD110" s="147"/>
      <c r="BE110" s="263"/>
      <c r="BF110" s="263"/>
      <c r="BG110" s="263"/>
      <c r="BH110" s="263"/>
      <c r="BI110" s="141"/>
      <c r="BJ110" s="147"/>
      <c r="BK110" s="263"/>
      <c r="BL110" s="263"/>
      <c r="BM110" s="263"/>
      <c r="BN110" s="263"/>
      <c r="BO110" s="1105"/>
      <c r="BP110" s="147"/>
      <c r="BQ110" s="263"/>
      <c r="BR110" s="263"/>
      <c r="BS110" s="263"/>
      <c r="BT110" s="263"/>
      <c r="BU110" s="1105"/>
      <c r="BV110" s="147"/>
      <c r="BW110" s="263"/>
      <c r="BX110" s="263"/>
      <c r="BY110" s="263"/>
      <c r="BZ110" s="263"/>
      <c r="CA110" s="1105"/>
      <c r="CB110" s="147"/>
      <c r="CC110" s="147"/>
      <c r="CD110" s="263"/>
      <c r="CE110" s="263"/>
      <c r="CF110" s="1500"/>
      <c r="CG110" s="1519"/>
      <c r="CH110" s="147"/>
      <c r="CI110" s="147"/>
      <c r="CJ110" s="147"/>
      <c r="CK110" s="141"/>
      <c r="CL110" s="147"/>
      <c r="CM110" s="1096"/>
      <c r="CN110" s="147"/>
      <c r="CO110" s="147"/>
      <c r="CP110" s="147"/>
      <c r="CQ110" s="147"/>
      <c r="CR110" s="147"/>
      <c r="CS110" s="1096"/>
      <c r="CT110" s="147"/>
      <c r="CU110" s="147"/>
      <c r="CV110" s="147"/>
      <c r="CW110" s="147"/>
      <c r="CX110" s="147"/>
      <c r="CY110" s="1096"/>
      <c r="CZ110" s="147"/>
      <c r="DA110" s="147"/>
      <c r="DB110" s="147"/>
      <c r="DC110" s="147"/>
      <c r="DD110" s="147"/>
      <c r="DE110" s="1096"/>
      <c r="DF110" s="147"/>
      <c r="DG110" s="147"/>
      <c r="DH110" s="147"/>
      <c r="DI110" s="147"/>
      <c r="DJ110" s="147"/>
      <c r="DK110" s="1096"/>
      <c r="DL110" s="147"/>
      <c r="DM110" s="147"/>
      <c r="DN110" s="147"/>
      <c r="DO110" s="147"/>
      <c r="DP110" s="147"/>
      <c r="DQ110" s="1096"/>
      <c r="DR110" s="147"/>
      <c r="DS110" s="147"/>
      <c r="DT110" s="147"/>
      <c r="DU110" s="147"/>
      <c r="DV110" s="147"/>
      <c r="DW110" s="1096"/>
      <c r="DX110" s="147"/>
      <c r="DY110" s="147"/>
      <c r="DZ110" s="147"/>
      <c r="EA110" s="147"/>
      <c r="EB110" s="147"/>
      <c r="EC110" s="1096"/>
      <c r="ED110" s="147"/>
      <c r="EE110" s="147"/>
      <c r="EF110" s="147"/>
      <c r="EG110" s="147"/>
      <c r="EH110" s="147"/>
      <c r="EI110" s="1096"/>
      <c r="EJ110" s="147"/>
      <c r="EK110" s="147"/>
      <c r="EL110" s="147"/>
      <c r="EM110" s="147"/>
      <c r="EN110" s="147"/>
      <c r="EO110" s="1096"/>
      <c r="EP110" s="147"/>
      <c r="EQ110" s="147"/>
      <c r="ER110" s="147"/>
      <c r="ES110" s="147"/>
      <c r="ET110" s="147"/>
      <c r="EU110" s="1096"/>
    </row>
    <row r="111" spans="1:186" ht="16.5" hidden="1" customHeight="1" outlineLevel="3">
      <c r="A111" s="918" t="s">
        <v>3493</v>
      </c>
      <c r="B111" s="919"/>
      <c r="C111" s="919"/>
      <c r="D111" s="919"/>
      <c r="E111" s="919"/>
      <c r="F111" s="919"/>
      <c r="G111" s="919"/>
      <c r="H111" s="919"/>
      <c r="I111" s="919"/>
      <c r="J111" s="919"/>
      <c r="K111" s="919"/>
      <c r="L111" s="919"/>
      <c r="M111" s="919"/>
      <c r="N111" s="919"/>
      <c r="O111" s="919"/>
      <c r="P111" s="919"/>
      <c r="Q111" s="919"/>
      <c r="R111" s="919"/>
      <c r="S111" s="920"/>
      <c r="T111" s="920"/>
      <c r="U111" s="920"/>
      <c r="V111" s="920"/>
      <c r="W111" s="920"/>
      <c r="X111" s="920"/>
      <c r="Y111" s="920"/>
      <c r="Z111" s="920"/>
      <c r="AA111" s="920"/>
      <c r="AB111" s="920"/>
      <c r="AC111" s="920"/>
      <c r="AD111" s="920"/>
      <c r="AE111" s="921"/>
      <c r="AF111" s="919"/>
      <c r="AG111" s="919"/>
      <c r="AH111" s="919"/>
      <c r="AI111" s="921"/>
      <c r="AJ111" s="919"/>
      <c r="AK111" s="921"/>
      <c r="AL111" s="919"/>
      <c r="AM111" s="922"/>
      <c r="AN111" s="922"/>
      <c r="AO111" s="922"/>
      <c r="AP111" s="922"/>
      <c r="AQ111" s="922"/>
      <c r="AR111" s="919"/>
      <c r="AS111" s="922"/>
      <c r="AT111" s="922"/>
      <c r="AU111" s="922"/>
      <c r="AV111" s="922"/>
      <c r="AW111" s="922"/>
      <c r="AX111" s="919"/>
      <c r="AY111" s="922"/>
      <c r="AZ111" s="922"/>
      <c r="BA111" s="922"/>
      <c r="BB111" s="922"/>
      <c r="BC111" s="922"/>
      <c r="BD111" s="919"/>
      <c r="BE111" s="922"/>
      <c r="BF111" s="922"/>
      <c r="BG111" s="922"/>
      <c r="BH111" s="922"/>
      <c r="BI111" s="922"/>
      <c r="BJ111" s="919"/>
      <c r="BK111" s="919"/>
      <c r="BL111" s="919"/>
      <c r="BM111" s="919"/>
      <c r="BN111" s="919"/>
      <c r="BO111" s="1103"/>
      <c r="BP111" s="919"/>
      <c r="BQ111" s="919"/>
      <c r="BR111" s="919"/>
      <c r="BS111" s="919"/>
      <c r="BT111" s="919"/>
      <c r="BU111" s="1103"/>
      <c r="BV111" s="919"/>
      <c r="BW111" s="919"/>
      <c r="BX111" s="919"/>
      <c r="BY111" s="919"/>
      <c r="BZ111" s="919"/>
      <c r="CA111" s="1103"/>
      <c r="CB111" s="919"/>
      <c r="CC111" s="919"/>
      <c r="CD111" s="919"/>
      <c r="CE111" s="919"/>
      <c r="CF111" s="1491"/>
      <c r="CG111" s="1541"/>
      <c r="CH111" s="919"/>
      <c r="CI111" s="919"/>
      <c r="CJ111" s="919"/>
      <c r="CK111" s="922"/>
      <c r="CL111" s="919"/>
      <c r="CM111" s="1103"/>
      <c r="CN111" s="919"/>
      <c r="CO111" s="919"/>
      <c r="CP111" s="919"/>
      <c r="CQ111" s="919"/>
      <c r="CR111" s="919"/>
      <c r="CS111" s="1103"/>
      <c r="CT111" s="919"/>
      <c r="CU111" s="919"/>
      <c r="CV111" s="919"/>
      <c r="CW111" s="919"/>
      <c r="CX111" s="919"/>
      <c r="CY111" s="1103"/>
      <c r="CZ111" s="919"/>
      <c r="DA111" s="919"/>
      <c r="DB111" s="919"/>
      <c r="DC111" s="919"/>
      <c r="DD111" s="919"/>
      <c r="DE111" s="1103"/>
      <c r="DF111" s="919"/>
      <c r="DG111" s="919"/>
      <c r="DH111" s="919"/>
      <c r="DI111" s="919"/>
      <c r="DJ111" s="919"/>
      <c r="DK111" s="1103"/>
      <c r="DL111" s="919"/>
      <c r="DM111" s="919"/>
      <c r="DN111" s="919"/>
      <c r="DO111" s="919"/>
      <c r="DP111" s="919"/>
      <c r="DQ111" s="1103"/>
      <c r="DR111" s="919"/>
      <c r="DS111" s="919"/>
      <c r="DT111" s="919"/>
      <c r="DU111" s="919"/>
      <c r="DV111" s="919"/>
      <c r="DW111" s="1103"/>
      <c r="DX111" s="919"/>
      <c r="DY111" s="919"/>
      <c r="DZ111" s="919"/>
      <c r="EA111" s="919"/>
      <c r="EB111" s="919"/>
      <c r="EC111" s="1103"/>
      <c r="ED111" s="919"/>
      <c r="EE111" s="919"/>
      <c r="EF111" s="919"/>
      <c r="EG111" s="919"/>
      <c r="EH111" s="919"/>
      <c r="EI111" s="1103"/>
      <c r="EJ111" s="919"/>
      <c r="EK111" s="919"/>
      <c r="EL111" s="919"/>
      <c r="EM111" s="919"/>
      <c r="EN111" s="919"/>
      <c r="EO111" s="1103"/>
      <c r="EP111" s="919"/>
      <c r="EQ111" s="919"/>
      <c r="ER111" s="919"/>
      <c r="ES111" s="919"/>
      <c r="ET111" s="919"/>
      <c r="EU111" s="1103"/>
    </row>
    <row r="112" spans="1:186" ht="12.75" hidden="1" customHeight="1" outlineLevel="3">
      <c r="A112" s="1492" t="s">
        <v>923</v>
      </c>
      <c r="B112" s="1493"/>
      <c r="C112" s="1493"/>
      <c r="D112" s="1493"/>
      <c r="E112" s="1493"/>
      <c r="F112" s="1493"/>
      <c r="G112" s="1493"/>
      <c r="H112" s="1493"/>
      <c r="I112" s="1493"/>
      <c r="J112" s="1493"/>
      <c r="K112" s="1493"/>
      <c r="L112" s="1493"/>
      <c r="M112" s="1493"/>
      <c r="N112" s="1493"/>
      <c r="O112" s="1493"/>
      <c r="P112" s="1493"/>
      <c r="Q112" s="1493"/>
      <c r="R112" s="1493"/>
      <c r="S112" s="1494"/>
      <c r="T112" s="1494"/>
      <c r="U112" s="1494"/>
      <c r="V112" s="1494"/>
      <c r="W112" s="1494"/>
      <c r="X112" s="1494"/>
      <c r="Y112" s="1494"/>
      <c r="Z112" s="1494"/>
      <c r="AA112" s="1494"/>
      <c r="AB112" s="1494"/>
      <c r="AC112" s="1494"/>
      <c r="AD112" s="1494"/>
      <c r="AE112" s="1494"/>
      <c r="AF112" s="1493"/>
      <c r="AG112" s="1495"/>
      <c r="AH112" s="1495"/>
      <c r="AI112" s="1495"/>
      <c r="AJ112" s="1495"/>
      <c r="AK112" s="1495"/>
      <c r="AL112" s="1496"/>
      <c r="AM112" s="1495"/>
      <c r="AN112" s="1495"/>
      <c r="AO112" s="1495"/>
      <c r="AP112" s="1495"/>
      <c r="AQ112" s="1495"/>
      <c r="AR112" s="1496"/>
      <c r="AS112" s="1495"/>
      <c r="AT112" s="1495"/>
      <c r="AU112" s="1495"/>
      <c r="AV112" s="1495"/>
      <c r="AW112" s="1495"/>
      <c r="AX112" s="1496"/>
      <c r="AY112" s="1495"/>
      <c r="AZ112" s="1495"/>
      <c r="BA112" s="1495"/>
      <c r="BB112" s="1495"/>
      <c r="BC112" s="1495"/>
      <c r="BD112" s="1493"/>
      <c r="BE112" s="1495"/>
      <c r="BF112" s="1495"/>
      <c r="BG112" s="1495"/>
      <c r="BH112" s="1495"/>
      <c r="BI112" s="1495"/>
      <c r="BJ112" s="1493"/>
      <c r="BK112" s="1495"/>
      <c r="BL112" s="1495"/>
      <c r="BM112" s="1495"/>
      <c r="BN112" s="1495"/>
      <c r="BO112" s="1556">
        <f>SUM(BO116,BO120,BO124)</f>
        <v>1481.5</v>
      </c>
      <c r="BP112" s="1493"/>
      <c r="BQ112" s="1498"/>
      <c r="BR112" s="1498"/>
      <c r="BS112" s="1498"/>
      <c r="BT112" s="1498"/>
      <c r="BU112" s="1556">
        <f>SUM(BU116,BU120,BU124)</f>
        <v>1777.4</v>
      </c>
      <c r="BV112" s="1493"/>
      <c r="BW112" s="1498"/>
      <c r="BX112" s="1498"/>
      <c r="BY112" s="1498"/>
      <c r="BZ112" s="1498"/>
      <c r="CA112" s="1556">
        <f>SUM(CA116,CA120,CA124)</f>
        <v>1910.3000000000002</v>
      </c>
      <c r="CB112" s="1493"/>
      <c r="CC112" s="1498"/>
      <c r="CD112" s="1498"/>
      <c r="CE112" s="1498"/>
      <c r="CF112" s="1499"/>
      <c r="CG112" s="1556">
        <f>SUM(CG116,CG120,CG124)</f>
        <v>1413.3000000000002</v>
      </c>
      <c r="CH112" s="961"/>
      <c r="CI112" s="1498"/>
      <c r="CJ112" s="1498"/>
      <c r="CK112" s="1615"/>
      <c r="CL112" s="961"/>
      <c r="CM112" s="1174"/>
      <c r="CN112" s="961"/>
      <c r="CO112" s="961"/>
      <c r="CP112" s="961"/>
      <c r="CQ112" s="961"/>
      <c r="CR112" s="961"/>
      <c r="CS112" s="1174"/>
      <c r="CT112" s="961"/>
      <c r="CU112" s="961"/>
      <c r="CV112" s="961"/>
      <c r="CW112" s="961"/>
      <c r="CX112" s="961"/>
      <c r="CY112" s="1174"/>
      <c r="CZ112" s="961"/>
      <c r="DA112" s="961"/>
      <c r="DB112" s="961"/>
      <c r="DC112" s="961"/>
      <c r="DD112" s="961"/>
      <c r="DE112" s="1174"/>
      <c r="DF112" s="961"/>
      <c r="DG112" s="961"/>
      <c r="DH112" s="961"/>
      <c r="DI112" s="961"/>
      <c r="DJ112" s="961"/>
      <c r="DK112" s="1174"/>
      <c r="DL112" s="961"/>
      <c r="DM112" s="961"/>
      <c r="DN112" s="961"/>
      <c r="DO112" s="961"/>
      <c r="DP112" s="961"/>
      <c r="DQ112" s="1174"/>
      <c r="DR112" s="589"/>
      <c r="DS112" s="961"/>
      <c r="DT112" s="961"/>
      <c r="DU112" s="961"/>
      <c r="DV112" s="961"/>
      <c r="DW112" s="1174"/>
      <c r="DX112" s="589"/>
      <c r="DY112" s="961"/>
      <c r="DZ112" s="961"/>
      <c r="EA112" s="961"/>
      <c r="EB112" s="961"/>
      <c r="EC112" s="1174"/>
      <c r="ED112" s="589"/>
      <c r="EE112" s="961"/>
      <c r="EF112" s="961"/>
      <c r="EG112" s="961"/>
      <c r="EH112" s="961"/>
      <c r="EI112" s="1174"/>
      <c r="EJ112" s="589"/>
      <c r="EK112" s="961"/>
      <c r="EL112" s="961"/>
      <c r="EM112" s="961"/>
      <c r="EN112" s="961"/>
      <c r="EO112" s="1174"/>
      <c r="EP112" s="589"/>
      <c r="EQ112" s="961"/>
      <c r="ER112" s="961"/>
      <c r="ES112" s="961"/>
      <c r="ET112" s="961"/>
      <c r="EU112" s="1174"/>
    </row>
    <row r="113" spans="1:151" ht="12.75" hidden="1" customHeight="1" outlineLevel="3">
      <c r="A113" s="962" t="s">
        <v>345</v>
      </c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263"/>
      <c r="P113" s="263"/>
      <c r="Q113" s="263"/>
      <c r="R113" s="263"/>
      <c r="S113" s="263"/>
      <c r="T113" s="280"/>
      <c r="U113" s="263"/>
      <c r="V113" s="263"/>
      <c r="W113" s="263"/>
      <c r="X113" s="263"/>
      <c r="Y113" s="263"/>
      <c r="Z113" s="280"/>
      <c r="AA113" s="263"/>
      <c r="AB113" s="263"/>
      <c r="AC113" s="263"/>
      <c r="AD113" s="263"/>
      <c r="AE113" s="263"/>
      <c r="AF113" s="147"/>
      <c r="AG113" s="263"/>
      <c r="AH113" s="263"/>
      <c r="AI113" s="263"/>
      <c r="AJ113" s="263"/>
      <c r="AK113" s="263"/>
      <c r="AL113" s="147"/>
      <c r="AM113" s="263"/>
      <c r="AN113" s="263"/>
      <c r="AO113" s="263"/>
      <c r="AP113" s="263"/>
      <c r="AQ113" s="263"/>
      <c r="AR113" s="147"/>
      <c r="AS113" s="263"/>
      <c r="AT113" s="263"/>
      <c r="AU113" s="263"/>
      <c r="AV113" s="263"/>
      <c r="AW113" s="263"/>
      <c r="AX113" s="147"/>
      <c r="AY113" s="263"/>
      <c r="AZ113" s="263"/>
      <c r="BA113" s="263"/>
      <c r="BB113" s="263"/>
      <c r="BC113" s="263"/>
      <c r="BD113" s="147"/>
      <c r="BE113" s="263"/>
      <c r="BF113" s="263"/>
      <c r="BG113" s="263"/>
      <c r="BH113" s="263"/>
      <c r="BI113" s="263"/>
      <c r="BJ113" s="147"/>
      <c r="BK113" s="263"/>
      <c r="BL113" s="263"/>
      <c r="BM113" s="263"/>
      <c r="BN113" s="263"/>
      <c r="BO113" s="1518"/>
      <c r="BP113" s="147"/>
      <c r="BQ113" s="263"/>
      <c r="BR113" s="263"/>
      <c r="BS113" s="263"/>
      <c r="BT113" s="263"/>
      <c r="BU113" s="1518"/>
      <c r="BV113" s="147"/>
      <c r="BW113" s="263"/>
      <c r="BX113" s="263"/>
      <c r="BY113" s="263"/>
      <c r="BZ113" s="263"/>
      <c r="CA113" s="1518"/>
      <c r="CB113" s="147"/>
      <c r="CC113" s="263"/>
      <c r="CD113" s="263"/>
      <c r="CE113" s="263"/>
      <c r="CF113" s="1500"/>
      <c r="CG113" s="1518"/>
      <c r="CH113" s="147"/>
      <c r="CI113" s="263"/>
      <c r="CJ113" s="263"/>
      <c r="CK113" s="141"/>
      <c r="CL113" s="147"/>
      <c r="CM113" s="1096"/>
      <c r="CN113" s="147"/>
      <c r="CO113" s="147"/>
      <c r="CP113" s="147"/>
      <c r="CQ113" s="147"/>
      <c r="CR113" s="147"/>
      <c r="CS113" s="1096"/>
      <c r="CT113" s="147"/>
      <c r="CU113" s="147"/>
      <c r="CV113" s="147"/>
      <c r="CW113" s="147"/>
      <c r="CX113" s="147"/>
      <c r="CY113" s="1096"/>
      <c r="CZ113" s="147"/>
      <c r="DA113" s="147"/>
      <c r="DB113" s="147"/>
      <c r="DC113" s="147"/>
      <c r="DD113" s="147"/>
      <c r="DE113" s="1096"/>
      <c r="DF113" s="147"/>
      <c r="DG113" s="147"/>
      <c r="DH113" s="147"/>
      <c r="DI113" s="147"/>
      <c r="DJ113" s="147"/>
      <c r="DK113" s="1096"/>
      <c r="DL113" s="147"/>
      <c r="DM113" s="147"/>
      <c r="DN113" s="147"/>
      <c r="DO113" s="147"/>
      <c r="DP113" s="147"/>
      <c r="DQ113" s="1096"/>
      <c r="DR113" s="147"/>
      <c r="DS113" s="147"/>
      <c r="DT113" s="147"/>
      <c r="DU113" s="147"/>
      <c r="DV113" s="147"/>
      <c r="DW113" s="1096"/>
      <c r="DX113" s="147"/>
      <c r="DY113" s="147"/>
      <c r="DZ113" s="147"/>
      <c r="EA113" s="147"/>
      <c r="EB113" s="147"/>
      <c r="EC113" s="1096"/>
      <c r="ED113" s="147"/>
      <c r="EE113" s="147"/>
      <c r="EF113" s="147"/>
      <c r="EG113" s="147"/>
      <c r="EH113" s="147"/>
      <c r="EI113" s="1096"/>
      <c r="EJ113" s="147"/>
      <c r="EK113" s="147"/>
      <c r="EL113" s="147"/>
      <c r="EM113" s="147"/>
      <c r="EN113" s="147"/>
      <c r="EO113" s="1096"/>
      <c r="EP113" s="147"/>
      <c r="EQ113" s="147"/>
      <c r="ER113" s="147"/>
      <c r="ES113" s="147"/>
      <c r="ET113" s="147"/>
      <c r="EU113" s="1096"/>
    </row>
    <row r="114" spans="1:151" ht="12.75" hidden="1" customHeight="1" outlineLevel="3">
      <c r="A114" s="962" t="s">
        <v>344</v>
      </c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263"/>
      <c r="P114" s="263"/>
      <c r="Q114" s="263"/>
      <c r="R114" s="263"/>
      <c r="S114" s="141"/>
      <c r="T114" s="280"/>
      <c r="U114" s="263"/>
      <c r="V114" s="263"/>
      <c r="W114" s="263"/>
      <c r="X114" s="263"/>
      <c r="Y114" s="141"/>
      <c r="Z114" s="280"/>
      <c r="AA114" s="263"/>
      <c r="AB114" s="263"/>
      <c r="AC114" s="263"/>
      <c r="AD114" s="263"/>
      <c r="AE114" s="141"/>
      <c r="AF114" s="147"/>
      <c r="AG114" s="263"/>
      <c r="AH114" s="263"/>
      <c r="AI114" s="263"/>
      <c r="AJ114" s="263"/>
      <c r="AK114" s="141"/>
      <c r="AL114" s="147"/>
      <c r="AM114" s="263"/>
      <c r="AN114" s="263"/>
      <c r="AO114" s="263"/>
      <c r="AP114" s="263"/>
      <c r="AQ114" s="141"/>
      <c r="AR114" s="147"/>
      <c r="AS114" s="263"/>
      <c r="AT114" s="263"/>
      <c r="AU114" s="263"/>
      <c r="AV114" s="263"/>
      <c r="AW114" s="141"/>
      <c r="AX114" s="147"/>
      <c r="AY114" s="263"/>
      <c r="AZ114" s="263"/>
      <c r="BA114" s="263"/>
      <c r="BB114" s="263"/>
      <c r="BC114" s="141"/>
      <c r="BD114" s="147"/>
      <c r="BE114" s="263"/>
      <c r="BF114" s="263"/>
      <c r="BG114" s="263"/>
      <c r="BH114" s="263"/>
      <c r="BI114" s="141"/>
      <c r="BJ114" s="147"/>
      <c r="BK114" s="263"/>
      <c r="BL114" s="263"/>
      <c r="BM114" s="263"/>
      <c r="BN114" s="263"/>
      <c r="BO114" s="1519"/>
      <c r="BP114" s="147"/>
      <c r="BQ114" s="263"/>
      <c r="BR114" s="263"/>
      <c r="BS114" s="263"/>
      <c r="BT114" s="263"/>
      <c r="BU114" s="1519"/>
      <c r="BV114" s="147"/>
      <c r="BW114" s="263"/>
      <c r="BX114" s="263"/>
      <c r="BY114" s="263"/>
      <c r="BZ114" s="263"/>
      <c r="CA114" s="1519"/>
      <c r="CB114" s="147"/>
      <c r="CC114" s="263"/>
      <c r="CD114" s="263"/>
      <c r="CE114" s="263"/>
      <c r="CF114" s="1500"/>
      <c r="CG114" s="1519"/>
      <c r="CH114" s="147"/>
      <c r="CI114" s="263"/>
      <c r="CJ114" s="263"/>
      <c r="CK114" s="141"/>
      <c r="CL114" s="147"/>
      <c r="CM114" s="1096"/>
      <c r="CN114" s="147"/>
      <c r="CO114" s="147"/>
      <c r="CP114" s="147"/>
      <c r="CQ114" s="147"/>
      <c r="CR114" s="147"/>
      <c r="CS114" s="1096"/>
      <c r="CT114" s="147"/>
      <c r="CU114" s="147"/>
      <c r="CV114" s="147"/>
      <c r="CW114" s="147"/>
      <c r="CX114" s="147"/>
      <c r="CY114" s="1096"/>
      <c r="CZ114" s="147"/>
      <c r="DA114" s="147"/>
      <c r="DB114" s="147"/>
      <c r="DC114" s="147"/>
      <c r="DD114" s="147"/>
      <c r="DE114" s="1096"/>
      <c r="DF114" s="147"/>
      <c r="DG114" s="147"/>
      <c r="DH114" s="147"/>
      <c r="DI114" s="147"/>
      <c r="DJ114" s="147"/>
      <c r="DK114" s="1096"/>
      <c r="DL114" s="147"/>
      <c r="DM114" s="147"/>
      <c r="DN114" s="147"/>
      <c r="DO114" s="147"/>
      <c r="DP114" s="147"/>
      <c r="DQ114" s="1096"/>
      <c r="DR114" s="147"/>
      <c r="DS114" s="147"/>
      <c r="DT114" s="147"/>
      <c r="DU114" s="147"/>
      <c r="DV114" s="147"/>
      <c r="DW114" s="1096"/>
      <c r="DX114" s="147"/>
      <c r="DY114" s="147"/>
      <c r="DZ114" s="147"/>
      <c r="EA114" s="147"/>
      <c r="EB114" s="147"/>
      <c r="EC114" s="1096"/>
      <c r="ED114" s="147"/>
      <c r="EE114" s="147"/>
      <c r="EF114" s="147"/>
      <c r="EG114" s="147"/>
      <c r="EH114" s="147"/>
      <c r="EI114" s="1096"/>
      <c r="EJ114" s="147"/>
      <c r="EK114" s="147"/>
      <c r="EL114" s="147"/>
      <c r="EM114" s="147"/>
      <c r="EN114" s="147"/>
      <c r="EO114" s="1096"/>
      <c r="EP114" s="147"/>
      <c r="EQ114" s="147"/>
      <c r="ER114" s="147"/>
      <c r="ES114" s="147"/>
      <c r="ET114" s="147"/>
      <c r="EU114" s="1096"/>
    </row>
    <row r="115" spans="1:151" ht="12.75" hidden="1" customHeight="1" outlineLevel="3">
      <c r="A115" s="963" t="s">
        <v>3494</v>
      </c>
      <c r="B115" s="964"/>
      <c r="C115" s="964"/>
      <c r="D115" s="964"/>
      <c r="E115" s="964"/>
      <c r="F115" s="964"/>
      <c r="G115" s="964"/>
      <c r="H115" s="964"/>
      <c r="I115" s="964"/>
      <c r="J115" s="964"/>
      <c r="K115" s="964"/>
      <c r="L115" s="964"/>
      <c r="M115" s="964"/>
      <c r="N115" s="964"/>
      <c r="O115" s="965"/>
      <c r="P115" s="965"/>
      <c r="Q115" s="965"/>
      <c r="R115" s="965"/>
      <c r="S115" s="966"/>
      <c r="T115" s="967"/>
      <c r="U115" s="965"/>
      <c r="V115" s="965"/>
      <c r="W115" s="965"/>
      <c r="X115" s="965"/>
      <c r="Y115" s="966"/>
      <c r="Z115" s="967"/>
      <c r="AA115" s="965"/>
      <c r="AB115" s="965"/>
      <c r="AC115" s="965"/>
      <c r="AD115" s="965"/>
      <c r="AE115" s="966"/>
      <c r="AF115" s="964"/>
      <c r="AG115" s="965"/>
      <c r="AH115" s="965"/>
      <c r="AI115" s="965"/>
      <c r="AJ115" s="965"/>
      <c r="AK115" s="966"/>
      <c r="AL115" s="964"/>
      <c r="AM115" s="965"/>
      <c r="AN115" s="965"/>
      <c r="AO115" s="965"/>
      <c r="AP115" s="965"/>
      <c r="AQ115" s="966"/>
      <c r="AR115" s="966"/>
      <c r="AS115" s="965"/>
      <c r="AT115" s="965"/>
      <c r="AU115" s="965"/>
      <c r="AV115" s="965"/>
      <c r="AW115" s="966"/>
      <c r="AX115" s="964"/>
      <c r="AY115" s="965"/>
      <c r="AZ115" s="965"/>
      <c r="BA115" s="965"/>
      <c r="BB115" s="965"/>
      <c r="BC115" s="966"/>
      <c r="BD115" s="964"/>
      <c r="BE115" s="965"/>
      <c r="BF115" s="965"/>
      <c r="BG115" s="965"/>
      <c r="BH115" s="965"/>
      <c r="BI115" s="966"/>
      <c r="BJ115" s="964"/>
      <c r="BK115" s="965"/>
      <c r="BL115" s="965"/>
      <c r="BM115" s="965"/>
      <c r="BN115" s="965"/>
      <c r="BO115" s="1520">
        <f>BO112/BO56</f>
        <v>0.9286654547733969</v>
      </c>
      <c r="BP115" s="964"/>
      <c r="BQ115" s="965"/>
      <c r="BR115" s="965"/>
      <c r="BS115" s="965"/>
      <c r="BT115" s="965"/>
      <c r="BU115" s="1520">
        <f>BU112/BU56</f>
        <v>0.93744725738396628</v>
      </c>
      <c r="BV115" s="964"/>
      <c r="BW115" s="965"/>
      <c r="BX115" s="965"/>
      <c r="BY115" s="965"/>
      <c r="BZ115" s="965"/>
      <c r="CA115" s="1520">
        <f>CA112/CA56</f>
        <v>0.94103448275862078</v>
      </c>
      <c r="CB115" s="964"/>
      <c r="CC115" s="965"/>
      <c r="CD115" s="965"/>
      <c r="CE115" s="965"/>
      <c r="CF115" s="1501"/>
      <c r="CG115" s="1520">
        <f>CG112/CG56</f>
        <v>0.92675409836065581</v>
      </c>
      <c r="CH115" s="964"/>
      <c r="CI115" s="965"/>
      <c r="CJ115" s="965"/>
      <c r="CK115" s="966"/>
      <c r="CL115" s="964"/>
      <c r="CM115" s="1175"/>
      <c r="CN115" s="964"/>
      <c r="CO115" s="964"/>
      <c r="CP115" s="964"/>
      <c r="CQ115" s="964"/>
      <c r="CR115" s="964"/>
      <c r="CS115" s="1175"/>
      <c r="CT115" s="964"/>
      <c r="CU115" s="964"/>
      <c r="CV115" s="964"/>
      <c r="CW115" s="964"/>
      <c r="CX115" s="964"/>
      <c r="CY115" s="1175"/>
      <c r="CZ115" s="964"/>
      <c r="DA115" s="964"/>
      <c r="DB115" s="964"/>
      <c r="DC115" s="964"/>
      <c r="DD115" s="964"/>
      <c r="DE115" s="1175"/>
      <c r="DF115" s="964"/>
      <c r="DG115" s="964"/>
      <c r="DH115" s="964"/>
      <c r="DI115" s="964"/>
      <c r="DJ115" s="964"/>
      <c r="DK115" s="1175"/>
      <c r="DL115" s="964"/>
      <c r="DM115" s="964"/>
      <c r="DN115" s="964"/>
      <c r="DO115" s="964"/>
      <c r="DP115" s="964"/>
      <c r="DQ115" s="1175"/>
      <c r="DR115" s="147"/>
      <c r="DS115" s="964"/>
      <c r="DT115" s="964"/>
      <c r="DU115" s="964"/>
      <c r="DV115" s="964"/>
      <c r="DW115" s="1175"/>
      <c r="DX115" s="147"/>
      <c r="DY115" s="964"/>
      <c r="DZ115" s="964"/>
      <c r="EA115" s="964"/>
      <c r="EB115" s="964"/>
      <c r="EC115" s="1175"/>
      <c r="ED115" s="147"/>
      <c r="EE115" s="964"/>
      <c r="EF115" s="964"/>
      <c r="EG115" s="964"/>
      <c r="EH115" s="964"/>
      <c r="EI115" s="1175"/>
      <c r="EJ115" s="147"/>
      <c r="EK115" s="964"/>
      <c r="EL115" s="964"/>
      <c r="EM115" s="964"/>
      <c r="EN115" s="964"/>
      <c r="EO115" s="1175"/>
      <c r="EP115" s="147"/>
      <c r="EQ115" s="964"/>
      <c r="ER115" s="964"/>
      <c r="ES115" s="964"/>
      <c r="ET115" s="964"/>
      <c r="EU115" s="1175"/>
    </row>
    <row r="116" spans="1:151" ht="12.75" hidden="1" customHeight="1" outlineLevel="3">
      <c r="A116" s="267" t="s">
        <v>5553</v>
      </c>
      <c r="B116" s="875"/>
      <c r="C116" s="875"/>
      <c r="D116" s="875"/>
      <c r="E116" s="875"/>
      <c r="F116" s="875"/>
      <c r="G116" s="875"/>
      <c r="H116" s="875"/>
      <c r="I116" s="875"/>
      <c r="J116" s="875"/>
      <c r="K116" s="875"/>
      <c r="L116" s="875"/>
      <c r="M116" s="875"/>
      <c r="N116" s="875"/>
      <c r="O116" s="875"/>
      <c r="P116" s="875"/>
      <c r="Q116" s="875"/>
      <c r="R116" s="875"/>
      <c r="S116" s="1549"/>
      <c r="T116" s="1549"/>
      <c r="U116" s="1549"/>
      <c r="V116" s="1549"/>
      <c r="W116" s="1549"/>
      <c r="X116" s="1549"/>
      <c r="Y116" s="1549"/>
      <c r="Z116" s="1549"/>
      <c r="AA116" s="1549"/>
      <c r="AB116" s="1549"/>
      <c r="AC116" s="1549"/>
      <c r="AD116" s="1549"/>
      <c r="AE116" s="1549"/>
      <c r="AF116" s="875"/>
      <c r="AG116" s="1549"/>
      <c r="AH116" s="1549"/>
      <c r="AI116" s="1549"/>
      <c r="AJ116" s="1549"/>
      <c r="AK116" s="1549"/>
      <c r="AL116" s="875"/>
      <c r="AM116" s="1549"/>
      <c r="AN116" s="1549"/>
      <c r="AO116" s="1549"/>
      <c r="AP116" s="1549"/>
      <c r="AQ116" s="1549"/>
      <c r="AR116" s="980"/>
      <c r="AS116" s="1549"/>
      <c r="AT116" s="1549"/>
      <c r="AU116" s="1549"/>
      <c r="AV116" s="1549"/>
      <c r="AW116" s="1549"/>
      <c r="AX116" s="875"/>
      <c r="AY116" s="1549"/>
      <c r="AZ116" s="1549"/>
      <c r="BA116" s="1549"/>
      <c r="BB116" s="1549"/>
      <c r="BC116" s="1549"/>
      <c r="BD116" s="875"/>
      <c r="BE116" s="1549"/>
      <c r="BF116" s="1549"/>
      <c r="BG116" s="1549"/>
      <c r="BH116" s="1549"/>
      <c r="BI116" s="1549"/>
      <c r="BJ116" s="875"/>
      <c r="BK116" s="980"/>
      <c r="BL116" s="980"/>
      <c r="BM116" s="893"/>
      <c r="BN116" s="893"/>
      <c r="BO116" s="1550">
        <v>827.5</v>
      </c>
      <c r="BP116" s="875"/>
      <c r="BQ116" s="980"/>
      <c r="BR116" s="980"/>
      <c r="BS116" s="980"/>
      <c r="BT116" s="980"/>
      <c r="BU116" s="1550">
        <v>848</v>
      </c>
      <c r="BV116" s="147"/>
      <c r="BW116" s="980"/>
      <c r="BX116" s="980"/>
      <c r="BY116" s="980"/>
      <c r="BZ116" s="980"/>
      <c r="CA116" s="1550">
        <v>860.7</v>
      </c>
      <c r="CB116" s="875"/>
      <c r="CC116" s="980"/>
      <c r="CD116" s="980"/>
      <c r="CE116" s="980"/>
      <c r="CF116" s="1502"/>
      <c r="CG116" s="1550">
        <v>589.70000000000005</v>
      </c>
      <c r="CH116" s="147"/>
      <c r="CI116" s="980">
        <v>173</v>
      </c>
      <c r="CJ116" s="980">
        <v>168</v>
      </c>
      <c r="CK116" s="980">
        <v>164</v>
      </c>
      <c r="CL116" s="980">
        <v>173</v>
      </c>
      <c r="CM116" s="1096"/>
      <c r="CN116" s="147"/>
      <c r="CO116" s="980">
        <v>199</v>
      </c>
      <c r="CP116" s="980">
        <v>187</v>
      </c>
      <c r="CQ116" s="980">
        <v>198</v>
      </c>
      <c r="CR116" s="980">
        <v>204</v>
      </c>
      <c r="CS116" s="1096"/>
      <c r="CT116" s="147"/>
      <c r="CU116" s="980">
        <v>216</v>
      </c>
      <c r="CV116" s="980">
        <v>204</v>
      </c>
      <c r="CW116" s="980">
        <v>191</v>
      </c>
      <c r="CX116" s="980">
        <v>184</v>
      </c>
      <c r="CY116" s="1096"/>
      <c r="CZ116" s="147"/>
      <c r="DA116" s="980">
        <v>195</v>
      </c>
      <c r="DB116" s="980">
        <v>180</v>
      </c>
      <c r="DC116" s="980">
        <v>166</v>
      </c>
      <c r="DD116" s="980">
        <v>176</v>
      </c>
      <c r="DE116" s="1096"/>
      <c r="DF116" s="147"/>
      <c r="DG116" s="980">
        <v>191</v>
      </c>
      <c r="DH116" s="980">
        <v>185</v>
      </c>
      <c r="DI116" s="980">
        <v>167</v>
      </c>
      <c r="DJ116" s="980">
        <v>169</v>
      </c>
      <c r="DK116" s="1096"/>
      <c r="DL116" s="147"/>
      <c r="DM116" s="147">
        <v>163</v>
      </c>
      <c r="DN116" s="980">
        <v>138</v>
      </c>
      <c r="DO116" s="980">
        <v>136</v>
      </c>
      <c r="DP116" s="980">
        <v>134</v>
      </c>
      <c r="DQ116" s="1096"/>
      <c r="DR116" s="147"/>
      <c r="DS116" s="147">
        <v>163</v>
      </c>
      <c r="DT116" s="147"/>
      <c r="DU116" s="147"/>
      <c r="DV116" s="147"/>
      <c r="DW116" s="1096"/>
      <c r="DX116" s="147"/>
      <c r="DY116" s="147"/>
      <c r="DZ116" s="147"/>
      <c r="EA116" s="147"/>
      <c r="EB116" s="147"/>
      <c r="EC116" s="1096"/>
      <c r="ED116" s="147"/>
      <c r="EE116" s="147"/>
      <c r="EF116" s="147"/>
      <c r="EG116" s="147"/>
      <c r="EH116" s="147"/>
      <c r="EI116" s="1096"/>
      <c r="EJ116" s="147"/>
      <c r="EK116" s="147"/>
      <c r="EL116" s="147"/>
      <c r="EM116" s="147"/>
      <c r="EN116" s="147"/>
      <c r="EO116" s="1096"/>
      <c r="EP116" s="147"/>
      <c r="EQ116" s="147"/>
      <c r="ER116" s="147"/>
      <c r="ES116" s="147"/>
      <c r="ET116" s="147"/>
      <c r="EU116" s="1096"/>
    </row>
    <row r="117" spans="1:151" ht="12.75" hidden="1" customHeight="1" outlineLevel="3">
      <c r="A117" s="266" t="s">
        <v>345</v>
      </c>
      <c r="B117" s="875"/>
      <c r="C117" s="875"/>
      <c r="D117" s="875"/>
      <c r="E117" s="875"/>
      <c r="F117" s="875"/>
      <c r="G117" s="875"/>
      <c r="H117" s="875"/>
      <c r="I117" s="875"/>
      <c r="J117" s="875"/>
      <c r="K117" s="875"/>
      <c r="L117" s="875"/>
      <c r="M117" s="875"/>
      <c r="N117" s="875"/>
      <c r="O117" s="632"/>
      <c r="P117" s="632"/>
      <c r="Q117" s="632"/>
      <c r="R117" s="632"/>
      <c r="S117" s="632"/>
      <c r="T117" s="1549"/>
      <c r="U117" s="632"/>
      <c r="V117" s="632"/>
      <c r="W117" s="632"/>
      <c r="X117" s="632"/>
      <c r="Y117" s="632"/>
      <c r="Z117" s="1549"/>
      <c r="AA117" s="632"/>
      <c r="AB117" s="632"/>
      <c r="AC117" s="632"/>
      <c r="AD117" s="632"/>
      <c r="AE117" s="632"/>
      <c r="AF117" s="875"/>
      <c r="AG117" s="632"/>
      <c r="AH117" s="632"/>
      <c r="AI117" s="632"/>
      <c r="AJ117" s="632"/>
      <c r="AK117" s="632"/>
      <c r="AL117" s="875"/>
      <c r="AM117" s="632"/>
      <c r="AN117" s="632"/>
      <c r="AO117" s="632"/>
      <c r="AP117" s="632"/>
      <c r="AQ117" s="632"/>
      <c r="AR117" s="980"/>
      <c r="AS117" s="632"/>
      <c r="AT117" s="632"/>
      <c r="AU117" s="632"/>
      <c r="AV117" s="632"/>
      <c r="AW117" s="632"/>
      <c r="AX117" s="875"/>
      <c r="AY117" s="632"/>
      <c r="AZ117" s="632"/>
      <c r="BA117" s="632"/>
      <c r="BB117" s="632"/>
      <c r="BC117" s="632"/>
      <c r="BD117" s="875"/>
      <c r="BE117" s="632"/>
      <c r="BF117" s="632"/>
      <c r="BG117" s="632"/>
      <c r="BH117" s="632"/>
      <c r="BI117" s="632"/>
      <c r="BJ117" s="875"/>
      <c r="BK117" s="632"/>
      <c r="BL117" s="632"/>
      <c r="BM117" s="632"/>
      <c r="BN117" s="632"/>
      <c r="BO117" s="1551"/>
      <c r="BP117" s="875"/>
      <c r="BQ117" s="632"/>
      <c r="BR117" s="632"/>
      <c r="BS117" s="632"/>
      <c r="BT117" s="632"/>
      <c r="BU117" s="1551"/>
      <c r="BV117" s="147"/>
      <c r="BW117" s="632"/>
      <c r="BX117" s="632"/>
      <c r="BY117" s="632"/>
      <c r="BZ117" s="632"/>
      <c r="CA117" s="1551"/>
      <c r="CB117" s="875"/>
      <c r="CC117" s="632"/>
      <c r="CD117" s="632"/>
      <c r="CE117" s="632"/>
      <c r="CF117" s="1503"/>
      <c r="CG117" s="1551"/>
      <c r="CH117" s="147"/>
      <c r="CI117" s="632"/>
      <c r="CJ117" s="632"/>
      <c r="CK117" s="632"/>
      <c r="CL117" s="632"/>
      <c r="CM117" s="1096"/>
      <c r="CN117" s="147"/>
      <c r="CO117" s="632"/>
      <c r="CP117" s="632"/>
      <c r="CQ117" s="632"/>
      <c r="CR117" s="632"/>
      <c r="CS117" s="1096"/>
      <c r="CT117" s="147"/>
      <c r="CU117" s="632"/>
      <c r="CV117" s="632"/>
      <c r="CW117" s="632"/>
      <c r="CX117" s="632"/>
      <c r="CY117" s="1096"/>
      <c r="CZ117" s="147"/>
      <c r="DA117" s="632"/>
      <c r="DB117" s="632"/>
      <c r="DC117" s="632"/>
      <c r="DD117" s="632"/>
      <c r="DE117" s="1096"/>
      <c r="DF117" s="147"/>
      <c r="DG117" s="632"/>
      <c r="DH117" s="632"/>
      <c r="DI117" s="632"/>
      <c r="DJ117" s="632"/>
      <c r="DK117" s="1096"/>
      <c r="DL117" s="147"/>
      <c r="DM117" s="147"/>
      <c r="DN117" s="632"/>
      <c r="DO117" s="632"/>
      <c r="DP117" s="632"/>
      <c r="DQ117" s="1096"/>
      <c r="DR117" s="147"/>
      <c r="DS117" s="147"/>
      <c r="DT117" s="147"/>
      <c r="DU117" s="147"/>
      <c r="DV117" s="147"/>
      <c r="DW117" s="1096"/>
      <c r="DX117" s="147"/>
      <c r="DY117" s="147"/>
      <c r="DZ117" s="147"/>
      <c r="EA117" s="147"/>
      <c r="EB117" s="147"/>
      <c r="EC117" s="1096"/>
      <c r="ED117" s="147"/>
      <c r="EE117" s="147"/>
      <c r="EF117" s="147"/>
      <c r="EG117" s="147"/>
      <c r="EH117" s="147"/>
      <c r="EI117" s="1096"/>
      <c r="EJ117" s="147"/>
      <c r="EK117" s="147"/>
      <c r="EL117" s="147"/>
      <c r="EM117" s="147"/>
      <c r="EN117" s="147"/>
      <c r="EO117" s="1096"/>
      <c r="EP117" s="147"/>
      <c r="EQ117" s="147"/>
      <c r="ER117" s="147"/>
      <c r="ES117" s="147"/>
      <c r="ET117" s="147"/>
      <c r="EU117" s="1096"/>
    </row>
    <row r="118" spans="1:151" ht="12.75" hidden="1" customHeight="1" outlineLevel="3">
      <c r="A118" s="266" t="s">
        <v>344</v>
      </c>
      <c r="B118" s="875"/>
      <c r="C118" s="875"/>
      <c r="D118" s="875"/>
      <c r="E118" s="875"/>
      <c r="F118" s="875"/>
      <c r="G118" s="875"/>
      <c r="H118" s="875"/>
      <c r="I118" s="875"/>
      <c r="J118" s="875"/>
      <c r="K118" s="875"/>
      <c r="L118" s="875"/>
      <c r="M118" s="875"/>
      <c r="N118" s="875"/>
      <c r="O118" s="632"/>
      <c r="P118" s="632"/>
      <c r="Q118" s="632"/>
      <c r="R118" s="632"/>
      <c r="S118" s="980"/>
      <c r="T118" s="1549"/>
      <c r="U118" s="632"/>
      <c r="V118" s="632"/>
      <c r="W118" s="632"/>
      <c r="X118" s="632"/>
      <c r="Y118" s="980"/>
      <c r="Z118" s="1549"/>
      <c r="AA118" s="632"/>
      <c r="AB118" s="632"/>
      <c r="AC118" s="632"/>
      <c r="AD118" s="632"/>
      <c r="AE118" s="980"/>
      <c r="AF118" s="875"/>
      <c r="AG118" s="632"/>
      <c r="AH118" s="632"/>
      <c r="AI118" s="632"/>
      <c r="AJ118" s="632"/>
      <c r="AK118" s="980"/>
      <c r="AL118" s="875"/>
      <c r="AM118" s="632"/>
      <c r="AN118" s="632"/>
      <c r="AO118" s="632"/>
      <c r="AP118" s="632"/>
      <c r="AQ118" s="980"/>
      <c r="AR118" s="980"/>
      <c r="AS118" s="632"/>
      <c r="AT118" s="632"/>
      <c r="AU118" s="632"/>
      <c r="AV118" s="632"/>
      <c r="AW118" s="980"/>
      <c r="AX118" s="875"/>
      <c r="AY118" s="632"/>
      <c r="AZ118" s="632"/>
      <c r="BA118" s="632"/>
      <c r="BB118" s="632"/>
      <c r="BC118" s="980"/>
      <c r="BD118" s="875"/>
      <c r="BE118" s="632"/>
      <c r="BF118" s="632"/>
      <c r="BG118" s="632"/>
      <c r="BH118" s="632"/>
      <c r="BI118" s="980"/>
      <c r="BJ118" s="875"/>
      <c r="BK118" s="632"/>
      <c r="BL118" s="632"/>
      <c r="BM118" s="632"/>
      <c r="BN118" s="632"/>
      <c r="BO118" s="1550"/>
      <c r="BP118" s="875"/>
      <c r="BQ118" s="632"/>
      <c r="BR118" s="632"/>
      <c r="BS118" s="632"/>
      <c r="BT118" s="632"/>
      <c r="BU118" s="1550"/>
      <c r="BV118" s="147"/>
      <c r="BW118" s="632"/>
      <c r="BX118" s="632"/>
      <c r="BY118" s="263"/>
      <c r="BZ118" s="632"/>
      <c r="CA118" s="1550"/>
      <c r="CB118" s="875"/>
      <c r="CC118" s="632"/>
      <c r="CD118" s="632"/>
      <c r="CE118" s="632"/>
      <c r="CF118" s="1503"/>
      <c r="CG118" s="1550"/>
      <c r="CH118" s="147"/>
      <c r="CI118" s="632"/>
      <c r="CJ118" s="632"/>
      <c r="CK118" s="632"/>
      <c r="CL118" s="632"/>
      <c r="CM118" s="1096"/>
      <c r="CN118" s="147"/>
      <c r="CO118" s="632"/>
      <c r="CP118" s="632"/>
      <c r="CQ118" s="632"/>
      <c r="CR118" s="632"/>
      <c r="CS118" s="1096"/>
      <c r="CT118" s="147"/>
      <c r="CU118" s="632"/>
      <c r="CV118" s="632"/>
      <c r="CW118" s="632"/>
      <c r="CX118" s="632"/>
      <c r="CY118" s="1096"/>
      <c r="CZ118" s="147"/>
      <c r="DA118" s="632"/>
      <c r="DB118" s="632"/>
      <c r="DC118" s="632"/>
      <c r="DD118" s="632"/>
      <c r="DE118" s="1096"/>
      <c r="DF118" s="147"/>
      <c r="DG118" s="632"/>
      <c r="DH118" s="632"/>
      <c r="DI118" s="632"/>
      <c r="DJ118" s="632"/>
      <c r="DK118" s="1096"/>
      <c r="DL118" s="147"/>
      <c r="DM118" s="147"/>
      <c r="DN118" s="632"/>
      <c r="DO118" s="632"/>
      <c r="DP118" s="632"/>
      <c r="DQ118" s="1096"/>
      <c r="DR118" s="147"/>
      <c r="DS118" s="147"/>
      <c r="DT118" s="147"/>
      <c r="DU118" s="147"/>
      <c r="DV118" s="147"/>
      <c r="DW118" s="1096"/>
      <c r="DX118" s="147"/>
      <c r="DY118" s="147"/>
      <c r="DZ118" s="147"/>
      <c r="EA118" s="147"/>
      <c r="EB118" s="147"/>
      <c r="EC118" s="1096"/>
      <c r="ED118" s="147"/>
      <c r="EE118" s="147"/>
      <c r="EF118" s="147"/>
      <c r="EG118" s="147"/>
      <c r="EH118" s="147"/>
      <c r="EI118" s="1096"/>
      <c r="EJ118" s="147"/>
      <c r="EK118" s="147"/>
      <c r="EL118" s="147"/>
      <c r="EM118" s="147"/>
      <c r="EN118" s="147"/>
      <c r="EO118" s="1096"/>
      <c r="EP118" s="147"/>
      <c r="EQ118" s="147"/>
      <c r="ER118" s="147"/>
      <c r="ES118" s="147"/>
      <c r="ET118" s="147"/>
      <c r="EU118" s="1096"/>
    </row>
    <row r="119" spans="1:151" ht="12.75" hidden="1" customHeight="1" outlineLevel="3">
      <c r="A119" s="266" t="s">
        <v>3494</v>
      </c>
      <c r="B119" s="875"/>
      <c r="C119" s="875"/>
      <c r="D119" s="875"/>
      <c r="E119" s="875"/>
      <c r="F119" s="875"/>
      <c r="G119" s="875"/>
      <c r="H119" s="875"/>
      <c r="I119" s="875"/>
      <c r="J119" s="875"/>
      <c r="K119" s="875"/>
      <c r="L119" s="875"/>
      <c r="M119" s="875"/>
      <c r="N119" s="875"/>
      <c r="O119" s="632"/>
      <c r="P119" s="632"/>
      <c r="Q119" s="632"/>
      <c r="R119" s="632"/>
      <c r="S119" s="980"/>
      <c r="T119" s="1549"/>
      <c r="U119" s="632"/>
      <c r="V119" s="632"/>
      <c r="W119" s="632"/>
      <c r="X119" s="632"/>
      <c r="Y119" s="980"/>
      <c r="Z119" s="1549"/>
      <c r="AA119" s="632"/>
      <c r="AB119" s="632"/>
      <c r="AC119" s="632"/>
      <c r="AD119" s="632"/>
      <c r="AE119" s="980"/>
      <c r="AF119" s="875"/>
      <c r="AG119" s="632"/>
      <c r="AH119" s="632"/>
      <c r="AI119" s="632"/>
      <c r="AJ119" s="632"/>
      <c r="AK119" s="980"/>
      <c r="AL119" s="875"/>
      <c r="AM119" s="632"/>
      <c r="AN119" s="632"/>
      <c r="AO119" s="632"/>
      <c r="AP119" s="632"/>
      <c r="AQ119" s="980"/>
      <c r="AR119" s="980"/>
      <c r="AS119" s="632"/>
      <c r="AT119" s="632"/>
      <c r="AU119" s="632"/>
      <c r="AV119" s="632"/>
      <c r="AW119" s="980"/>
      <c r="AX119" s="875"/>
      <c r="AY119" s="632"/>
      <c r="AZ119" s="632"/>
      <c r="BA119" s="632"/>
      <c r="BB119" s="632"/>
      <c r="BC119" s="980"/>
      <c r="BD119" s="875"/>
      <c r="BE119" s="632"/>
      <c r="BF119" s="632"/>
      <c r="BG119" s="632"/>
      <c r="BH119" s="632"/>
      <c r="BI119" s="980"/>
      <c r="BJ119" s="875"/>
      <c r="BK119" s="632"/>
      <c r="BL119" s="632"/>
      <c r="BM119" s="632"/>
      <c r="BN119" s="632"/>
      <c r="BO119" s="1522">
        <f>BO116/BO60</f>
        <v>0.94141069397042099</v>
      </c>
      <c r="BP119" s="875"/>
      <c r="BQ119" s="632"/>
      <c r="BR119" s="632"/>
      <c r="BS119" s="632"/>
      <c r="BT119" s="632"/>
      <c r="BU119" s="1522">
        <f>BU116/BU60</f>
        <v>0.84969939879759515</v>
      </c>
      <c r="BV119" s="147"/>
      <c r="BW119" s="632"/>
      <c r="BX119" s="632"/>
      <c r="BY119" s="632"/>
      <c r="BZ119" s="632"/>
      <c r="CA119" s="1522">
        <f>CA116/CA60</f>
        <v>0.95548401420959161</v>
      </c>
      <c r="CB119" s="875"/>
      <c r="CC119" s="632"/>
      <c r="CD119" s="632"/>
      <c r="CE119" s="632"/>
      <c r="CF119" s="1503"/>
      <c r="CG119" s="1522">
        <f>CG116/CG60</f>
        <v>0.94352000000000003</v>
      </c>
      <c r="CH119" s="147"/>
      <c r="CI119" s="632">
        <f>CI116/CI60</f>
        <v>0.94021739130434778</v>
      </c>
      <c r="CJ119" s="632">
        <f>CJ116/CJ60</f>
        <v>0.94647887323943658</v>
      </c>
      <c r="CK119" s="632">
        <f>CK116/CK60</f>
        <v>0.94252873563218387</v>
      </c>
      <c r="CL119" s="632">
        <f>CL116/CL60</f>
        <v>0.95580110497237569</v>
      </c>
      <c r="CM119" s="1096"/>
      <c r="CN119" s="147"/>
      <c r="CO119" s="632">
        <f>CO116/CO60</f>
        <v>0.94312796208530802</v>
      </c>
      <c r="CP119" s="632">
        <f>CP116/CP60</f>
        <v>0.93969849246231152</v>
      </c>
      <c r="CQ119" s="632">
        <f>CQ116/CQ60</f>
        <v>0.94285714285714284</v>
      </c>
      <c r="CR119" s="632">
        <f>CR116/CR60</f>
        <v>0.95327102803738317</v>
      </c>
      <c r="CS119" s="1096"/>
      <c r="CT119" s="147"/>
      <c r="CU119" s="632">
        <f>CU116/CU60</f>
        <v>0.95154185022026427</v>
      </c>
      <c r="CV119" s="632">
        <f>CV116/CV60</f>
        <v>0.94444444444444442</v>
      </c>
      <c r="CW119" s="632">
        <f>CW116/CW60</f>
        <v>0.94088669950738912</v>
      </c>
      <c r="CX119" s="632">
        <f>CX116/CX60</f>
        <v>0.93401015228426398</v>
      </c>
      <c r="CY119" s="1096"/>
      <c r="CZ119" s="147"/>
      <c r="DA119" s="632">
        <f>DA116/DA60</f>
        <v>0.91549295774647887</v>
      </c>
      <c r="DB119" s="632">
        <f>DB116/DB60</f>
        <v>0.91370558375634514</v>
      </c>
      <c r="DC119" s="632">
        <f>DC116/DC60</f>
        <v>0.90710382513661203</v>
      </c>
      <c r="DD119" s="632">
        <f>DD116/DD60</f>
        <v>0.89795918367346939</v>
      </c>
      <c r="DE119" s="1096"/>
      <c r="DF119" s="147"/>
      <c r="DG119" s="632">
        <f>DG116/DG60</f>
        <v>0.90094339622641506</v>
      </c>
      <c r="DH119" s="632">
        <f>DH116/DH60</f>
        <v>0.88942307692307687</v>
      </c>
      <c r="DI119" s="632">
        <f>DI116/DI60</f>
        <v>0.88829787234042556</v>
      </c>
      <c r="DJ119" s="632">
        <f>DJ116/DJ60</f>
        <v>0.89417989417989419</v>
      </c>
      <c r="DK119" s="1096"/>
      <c r="DL119" s="147"/>
      <c r="DM119" s="632">
        <f>DM116/DM60</f>
        <v>0.88108108108108107</v>
      </c>
      <c r="DN119" s="632">
        <f>DN116/DN60</f>
        <v>0.84146341463414631</v>
      </c>
      <c r="DO119" s="632">
        <f>DO116/DO60</f>
        <v>0.84472049689440998</v>
      </c>
      <c r="DP119" s="632">
        <f>DP116/DP60</f>
        <v>0.83750000000000002</v>
      </c>
      <c r="DQ119" s="1096"/>
      <c r="DR119" s="147"/>
      <c r="DS119" s="632">
        <f>DS116/DS60</f>
        <v>1.63</v>
      </c>
      <c r="DT119" s="147"/>
      <c r="DU119" s="147"/>
      <c r="DV119" s="147"/>
      <c r="DW119" s="1096"/>
      <c r="DX119" s="147"/>
      <c r="DY119" s="147"/>
      <c r="DZ119" s="147"/>
      <c r="EA119" s="147"/>
      <c r="EB119" s="147"/>
      <c r="EC119" s="1096"/>
      <c r="ED119" s="147"/>
      <c r="EE119" s="147"/>
      <c r="EF119" s="147"/>
      <c r="EG119" s="147"/>
      <c r="EH119" s="147"/>
      <c r="EI119" s="1096"/>
      <c r="EJ119" s="147"/>
      <c r="EK119" s="147"/>
      <c r="EL119" s="147"/>
      <c r="EM119" s="147"/>
      <c r="EN119" s="147"/>
      <c r="EO119" s="1096"/>
      <c r="EP119" s="147"/>
      <c r="EQ119" s="147"/>
      <c r="ER119" s="147"/>
      <c r="ES119" s="147"/>
      <c r="ET119" s="147"/>
      <c r="EU119" s="1096"/>
    </row>
    <row r="120" spans="1:151" ht="12.75" hidden="1" customHeight="1" outlineLevel="3">
      <c r="A120" s="267" t="s">
        <v>5580</v>
      </c>
      <c r="B120" s="875"/>
      <c r="C120" s="875"/>
      <c r="D120" s="875"/>
      <c r="E120" s="875"/>
      <c r="F120" s="875"/>
      <c r="G120" s="875"/>
      <c r="H120" s="875"/>
      <c r="I120" s="875"/>
      <c r="J120" s="875"/>
      <c r="K120" s="875"/>
      <c r="L120" s="875"/>
      <c r="M120" s="875"/>
      <c r="N120" s="875"/>
      <c r="O120" s="875"/>
      <c r="P120" s="875"/>
      <c r="Q120" s="875"/>
      <c r="R120" s="875"/>
      <c r="S120" s="1549"/>
      <c r="T120" s="1549"/>
      <c r="U120" s="1549"/>
      <c r="V120" s="1549"/>
      <c r="W120" s="1549"/>
      <c r="X120" s="1549"/>
      <c r="Y120" s="1549"/>
      <c r="Z120" s="1549"/>
      <c r="AA120" s="1549"/>
      <c r="AB120" s="1549"/>
      <c r="AC120" s="1549"/>
      <c r="AD120" s="1549"/>
      <c r="AE120" s="1549"/>
      <c r="AF120" s="875"/>
      <c r="AG120" s="1549"/>
      <c r="AH120" s="1549"/>
      <c r="AI120" s="1549"/>
      <c r="AJ120" s="1549"/>
      <c r="AK120" s="1549"/>
      <c r="AL120" s="875"/>
      <c r="AM120" s="1549"/>
      <c r="AN120" s="1549"/>
      <c r="AO120" s="1549"/>
      <c r="AP120" s="1549"/>
      <c r="AQ120" s="1549"/>
      <c r="AR120" s="980"/>
      <c r="AS120" s="1549"/>
      <c r="AT120" s="1549"/>
      <c r="AU120" s="1549"/>
      <c r="AV120" s="1549"/>
      <c r="AW120" s="1549"/>
      <c r="AX120" s="875"/>
      <c r="AY120" s="1549"/>
      <c r="AZ120" s="1549"/>
      <c r="BA120" s="1549"/>
      <c r="BB120" s="1549"/>
      <c r="BC120" s="1549"/>
      <c r="BD120" s="875"/>
      <c r="BE120" s="1549"/>
      <c r="BF120" s="1549"/>
      <c r="BG120" s="1549"/>
      <c r="BH120" s="1549"/>
      <c r="BI120" s="1549"/>
      <c r="BJ120" s="875"/>
      <c r="BK120" s="893"/>
      <c r="BL120" s="893"/>
      <c r="BM120" s="893"/>
      <c r="BN120" s="893"/>
      <c r="BO120" s="1550">
        <v>351.2</v>
      </c>
      <c r="BP120" s="875"/>
      <c r="BQ120" s="980"/>
      <c r="BR120" s="980"/>
      <c r="BS120" s="980"/>
      <c r="BT120" s="980"/>
      <c r="BU120" s="1550">
        <v>545.29999999999995</v>
      </c>
      <c r="BV120" s="147"/>
      <c r="BW120" s="980"/>
      <c r="BX120" s="980"/>
      <c r="BY120" s="980"/>
      <c r="BZ120" s="980"/>
      <c r="CA120" s="1550">
        <v>592.70000000000005</v>
      </c>
      <c r="CB120" s="875"/>
      <c r="CC120" s="980"/>
      <c r="CD120" s="980"/>
      <c r="CE120" s="980"/>
      <c r="CF120" s="1502"/>
      <c r="CG120" s="1550">
        <v>465.2</v>
      </c>
      <c r="CH120" s="147"/>
      <c r="CI120" s="980">
        <v>123</v>
      </c>
      <c r="CJ120" s="980">
        <v>122</v>
      </c>
      <c r="CK120" s="980">
        <v>124</v>
      </c>
      <c r="CL120" s="980">
        <v>149</v>
      </c>
      <c r="CM120" s="1096"/>
      <c r="CN120" s="147"/>
      <c r="CO120" s="980">
        <v>128</v>
      </c>
      <c r="CP120" s="980">
        <v>143</v>
      </c>
      <c r="CQ120" s="980">
        <v>138</v>
      </c>
      <c r="CR120" s="980">
        <v>161</v>
      </c>
      <c r="CS120" s="1096"/>
      <c r="CT120" s="147"/>
      <c r="CU120" s="980">
        <v>151</v>
      </c>
      <c r="CV120" s="980">
        <v>149</v>
      </c>
      <c r="CW120" s="980">
        <v>151</v>
      </c>
      <c r="CX120" s="980">
        <v>192</v>
      </c>
      <c r="CY120" s="1096"/>
      <c r="CZ120" s="147"/>
      <c r="DA120" s="980">
        <v>156</v>
      </c>
      <c r="DB120" s="980">
        <v>161</v>
      </c>
      <c r="DC120" s="980">
        <v>169</v>
      </c>
      <c r="DD120" s="980">
        <v>178</v>
      </c>
      <c r="DE120" s="1096"/>
      <c r="DF120" s="147"/>
      <c r="DG120" s="980">
        <v>176</v>
      </c>
      <c r="DH120" s="980">
        <v>196</v>
      </c>
      <c r="DI120" s="980">
        <v>194</v>
      </c>
      <c r="DJ120" s="980">
        <v>220</v>
      </c>
      <c r="DK120" s="1096"/>
      <c r="DL120" s="147"/>
      <c r="DM120" s="147">
        <v>217</v>
      </c>
      <c r="DN120" s="980">
        <v>210</v>
      </c>
      <c r="DO120" s="980">
        <v>202</v>
      </c>
      <c r="DP120" s="980">
        <v>229</v>
      </c>
      <c r="DQ120" s="1096"/>
      <c r="DR120" s="147"/>
      <c r="DS120" s="147">
        <v>217</v>
      </c>
      <c r="DT120" s="147"/>
      <c r="DU120" s="147"/>
      <c r="DV120" s="147"/>
      <c r="DW120" s="1096"/>
      <c r="DX120" s="147"/>
      <c r="DY120" s="147"/>
      <c r="DZ120" s="147"/>
      <c r="EA120" s="147"/>
      <c r="EB120" s="147"/>
      <c r="EC120" s="1096"/>
      <c r="ED120" s="147"/>
      <c r="EE120" s="147"/>
      <c r="EF120" s="147"/>
      <c r="EG120" s="147"/>
      <c r="EH120" s="147"/>
      <c r="EI120" s="1096"/>
      <c r="EJ120" s="147"/>
      <c r="EK120" s="147"/>
      <c r="EL120" s="147"/>
      <c r="EM120" s="147"/>
      <c r="EN120" s="147"/>
      <c r="EO120" s="1096"/>
      <c r="EP120" s="147"/>
      <c r="EQ120" s="147"/>
      <c r="ER120" s="147"/>
      <c r="ES120" s="147"/>
      <c r="ET120" s="147"/>
      <c r="EU120" s="1096"/>
    </row>
    <row r="121" spans="1:151" ht="12.75" hidden="1" customHeight="1" outlineLevel="3">
      <c r="A121" s="266" t="s">
        <v>345</v>
      </c>
      <c r="B121" s="875"/>
      <c r="C121" s="875"/>
      <c r="D121" s="875"/>
      <c r="E121" s="875"/>
      <c r="F121" s="875"/>
      <c r="G121" s="875"/>
      <c r="H121" s="875"/>
      <c r="I121" s="875"/>
      <c r="J121" s="875"/>
      <c r="K121" s="875"/>
      <c r="L121" s="875"/>
      <c r="M121" s="875"/>
      <c r="N121" s="875"/>
      <c r="O121" s="632"/>
      <c r="P121" s="632"/>
      <c r="Q121" s="632"/>
      <c r="R121" s="632"/>
      <c r="S121" s="632"/>
      <c r="T121" s="1549"/>
      <c r="U121" s="632"/>
      <c r="V121" s="632"/>
      <c r="W121" s="632"/>
      <c r="X121" s="632"/>
      <c r="Y121" s="632"/>
      <c r="Z121" s="1549"/>
      <c r="AA121" s="632"/>
      <c r="AB121" s="632"/>
      <c r="AC121" s="632"/>
      <c r="AD121" s="632"/>
      <c r="AE121" s="632"/>
      <c r="AF121" s="875"/>
      <c r="AG121" s="632"/>
      <c r="AH121" s="632"/>
      <c r="AI121" s="632"/>
      <c r="AJ121" s="632"/>
      <c r="AK121" s="632"/>
      <c r="AL121" s="875"/>
      <c r="AM121" s="632"/>
      <c r="AN121" s="632"/>
      <c r="AO121" s="632"/>
      <c r="AP121" s="632"/>
      <c r="AQ121" s="632"/>
      <c r="AR121" s="980"/>
      <c r="AS121" s="632"/>
      <c r="AT121" s="632"/>
      <c r="AU121" s="632"/>
      <c r="AV121" s="632"/>
      <c r="AW121" s="632"/>
      <c r="AX121" s="875"/>
      <c r="AY121" s="632"/>
      <c r="AZ121" s="632"/>
      <c r="BA121" s="632"/>
      <c r="BB121" s="632"/>
      <c r="BC121" s="632"/>
      <c r="BD121" s="875"/>
      <c r="BE121" s="632"/>
      <c r="BF121" s="632"/>
      <c r="BG121" s="632"/>
      <c r="BH121" s="632"/>
      <c r="BI121" s="632"/>
      <c r="BJ121" s="875"/>
      <c r="BK121" s="632"/>
      <c r="BL121" s="632"/>
      <c r="BM121" s="632"/>
      <c r="BN121" s="632"/>
      <c r="BO121" s="1551"/>
      <c r="BP121" s="875"/>
      <c r="BQ121" s="632"/>
      <c r="BR121" s="632"/>
      <c r="BS121" s="632"/>
      <c r="BT121" s="632"/>
      <c r="BU121" s="1551"/>
      <c r="BV121" s="147"/>
      <c r="BW121" s="632"/>
      <c r="BX121" s="632"/>
      <c r="BY121" s="632"/>
      <c r="BZ121" s="632"/>
      <c r="CA121" s="1551"/>
      <c r="CB121" s="875"/>
      <c r="CC121" s="632"/>
      <c r="CD121" s="632"/>
      <c r="CE121" s="632"/>
      <c r="CF121" s="1503"/>
      <c r="CG121" s="1551"/>
      <c r="CH121" s="147"/>
      <c r="CI121" s="632"/>
      <c r="CJ121" s="632"/>
      <c r="CK121" s="632"/>
      <c r="CL121" s="632"/>
      <c r="CM121" s="1096"/>
      <c r="CN121" s="147"/>
      <c r="CO121" s="632"/>
      <c r="CP121" s="632"/>
      <c r="CQ121" s="632"/>
      <c r="CR121" s="632"/>
      <c r="CS121" s="1096"/>
      <c r="CT121" s="147"/>
      <c r="CU121" s="632"/>
      <c r="CV121" s="632"/>
      <c r="CW121" s="632"/>
      <c r="CX121" s="632"/>
      <c r="CY121" s="1096"/>
      <c r="CZ121" s="147"/>
      <c r="DA121" s="632"/>
      <c r="DB121" s="632"/>
      <c r="DC121" s="632"/>
      <c r="DD121" s="632"/>
      <c r="DE121" s="1096"/>
      <c r="DF121" s="147"/>
      <c r="DG121" s="632"/>
      <c r="DH121" s="632"/>
      <c r="DI121" s="632"/>
      <c r="DJ121" s="632"/>
      <c r="DK121" s="1096"/>
      <c r="DL121" s="147"/>
      <c r="DM121" s="147"/>
      <c r="DN121" s="632"/>
      <c r="DO121" s="632"/>
      <c r="DP121" s="632"/>
      <c r="DQ121" s="1096"/>
      <c r="DR121" s="147"/>
      <c r="DS121" s="147"/>
      <c r="DT121" s="147"/>
      <c r="DU121" s="147"/>
      <c r="DV121" s="147"/>
      <c r="DW121" s="1096"/>
      <c r="DX121" s="147"/>
      <c r="DY121" s="147"/>
      <c r="DZ121" s="147"/>
      <c r="EA121" s="147"/>
      <c r="EB121" s="147"/>
      <c r="EC121" s="1096"/>
      <c r="ED121" s="147"/>
      <c r="EE121" s="147"/>
      <c r="EF121" s="147"/>
      <c r="EG121" s="147"/>
      <c r="EH121" s="147"/>
      <c r="EI121" s="1096"/>
      <c r="EJ121" s="147"/>
      <c r="EK121" s="147"/>
      <c r="EL121" s="147"/>
      <c r="EM121" s="147"/>
      <c r="EN121" s="147"/>
      <c r="EO121" s="1096"/>
      <c r="EP121" s="147"/>
      <c r="EQ121" s="147"/>
      <c r="ER121" s="147"/>
      <c r="ES121" s="147"/>
      <c r="ET121" s="147"/>
      <c r="EU121" s="1096"/>
    </row>
    <row r="122" spans="1:151" ht="9" hidden="1" customHeight="1" outlineLevel="3">
      <c r="A122" s="266" t="s">
        <v>344</v>
      </c>
      <c r="B122" s="875"/>
      <c r="C122" s="875"/>
      <c r="D122" s="875"/>
      <c r="E122" s="875"/>
      <c r="F122" s="875"/>
      <c r="G122" s="875"/>
      <c r="H122" s="875"/>
      <c r="I122" s="875"/>
      <c r="J122" s="875"/>
      <c r="K122" s="875"/>
      <c r="L122" s="875"/>
      <c r="M122" s="875"/>
      <c r="N122" s="875"/>
      <c r="O122" s="632"/>
      <c r="P122" s="632"/>
      <c r="Q122" s="632"/>
      <c r="R122" s="632"/>
      <c r="S122" s="980"/>
      <c r="T122" s="1549"/>
      <c r="U122" s="632"/>
      <c r="V122" s="632"/>
      <c r="W122" s="632"/>
      <c r="X122" s="632"/>
      <c r="Y122" s="980"/>
      <c r="Z122" s="1549"/>
      <c r="AA122" s="632"/>
      <c r="AB122" s="632"/>
      <c r="AC122" s="632"/>
      <c r="AD122" s="632"/>
      <c r="AE122" s="980"/>
      <c r="AF122" s="875"/>
      <c r="AG122" s="632"/>
      <c r="AH122" s="632"/>
      <c r="AI122" s="632"/>
      <c r="AJ122" s="632"/>
      <c r="AK122" s="980"/>
      <c r="AL122" s="875"/>
      <c r="AM122" s="632"/>
      <c r="AN122" s="632"/>
      <c r="AO122" s="632"/>
      <c r="AP122" s="632"/>
      <c r="AQ122" s="980"/>
      <c r="AR122" s="980"/>
      <c r="AS122" s="632"/>
      <c r="AT122" s="632"/>
      <c r="AU122" s="632"/>
      <c r="AV122" s="632"/>
      <c r="AW122" s="980"/>
      <c r="AX122" s="875"/>
      <c r="AY122" s="632"/>
      <c r="AZ122" s="632"/>
      <c r="BA122" s="632"/>
      <c r="BB122" s="632"/>
      <c r="BC122" s="980"/>
      <c r="BD122" s="875"/>
      <c r="BE122" s="632"/>
      <c r="BF122" s="632"/>
      <c r="BG122" s="632"/>
      <c r="BH122" s="632"/>
      <c r="BI122" s="980"/>
      <c r="BJ122" s="875"/>
      <c r="BK122" s="632"/>
      <c r="BL122" s="632"/>
      <c r="BM122" s="632"/>
      <c r="BN122" s="632"/>
      <c r="BO122" s="1550"/>
      <c r="BP122" s="875"/>
      <c r="BQ122" s="632"/>
      <c r="BR122" s="632"/>
      <c r="BS122" s="632"/>
      <c r="BT122" s="632"/>
      <c r="BU122" s="1550"/>
      <c r="BV122" s="147"/>
      <c r="BW122" s="632"/>
      <c r="BX122" s="632"/>
      <c r="BY122" s="263"/>
      <c r="BZ122" s="632"/>
      <c r="CA122" s="1550"/>
      <c r="CB122" s="875"/>
      <c r="CC122" s="632"/>
      <c r="CD122" s="632"/>
      <c r="CE122" s="632"/>
      <c r="CF122" s="1503"/>
      <c r="CG122" s="1550"/>
      <c r="CH122" s="147"/>
      <c r="CI122" s="632"/>
      <c r="CJ122" s="632"/>
      <c r="CK122" s="632"/>
      <c r="CL122" s="632"/>
      <c r="CM122" s="1096"/>
      <c r="CN122" s="147"/>
      <c r="CO122" s="632"/>
      <c r="CP122" s="632"/>
      <c r="CQ122" s="632"/>
      <c r="CR122" s="632"/>
      <c r="CS122" s="1096"/>
      <c r="CT122" s="147"/>
      <c r="CU122" s="632"/>
      <c r="CV122" s="632"/>
      <c r="CW122" s="632"/>
      <c r="CX122" s="632"/>
      <c r="CY122" s="1096"/>
      <c r="CZ122" s="147"/>
      <c r="DA122" s="632"/>
      <c r="DB122" s="632"/>
      <c r="DC122" s="632"/>
      <c r="DD122" s="632"/>
      <c r="DE122" s="1096"/>
      <c r="DF122" s="147"/>
      <c r="DG122" s="632"/>
      <c r="DH122" s="632"/>
      <c r="DI122" s="632"/>
      <c r="DJ122" s="632"/>
      <c r="DK122" s="1096"/>
      <c r="DL122" s="147"/>
      <c r="DM122" s="147"/>
      <c r="DN122" s="632"/>
      <c r="DO122" s="632"/>
      <c r="DP122" s="632"/>
      <c r="DQ122" s="1096"/>
      <c r="DR122" s="147"/>
      <c r="DS122" s="147"/>
      <c r="DT122" s="147"/>
      <c r="DU122" s="147"/>
      <c r="DV122" s="147"/>
      <c r="DW122" s="1096"/>
      <c r="DX122" s="147"/>
      <c r="DY122" s="147"/>
      <c r="DZ122" s="147"/>
      <c r="EA122" s="147"/>
      <c r="EB122" s="147"/>
      <c r="EC122" s="1096"/>
      <c r="ED122" s="147"/>
      <c r="EE122" s="147"/>
      <c r="EF122" s="147"/>
      <c r="EG122" s="147"/>
      <c r="EH122" s="147"/>
      <c r="EI122" s="1096"/>
      <c r="EJ122" s="147"/>
      <c r="EK122" s="147"/>
      <c r="EL122" s="147"/>
      <c r="EM122" s="147"/>
      <c r="EN122" s="147"/>
      <c r="EO122" s="1096"/>
      <c r="EP122" s="147"/>
      <c r="EQ122" s="147"/>
      <c r="ER122" s="147"/>
      <c r="ES122" s="147"/>
      <c r="ET122" s="147"/>
      <c r="EU122" s="1096"/>
    </row>
    <row r="123" spans="1:151" ht="12.75" hidden="1" customHeight="1" outlineLevel="3">
      <c r="A123" s="266" t="s">
        <v>3494</v>
      </c>
      <c r="B123" s="875"/>
      <c r="C123" s="875"/>
      <c r="D123" s="875"/>
      <c r="E123" s="875"/>
      <c r="F123" s="875"/>
      <c r="G123" s="875"/>
      <c r="H123" s="875"/>
      <c r="I123" s="875"/>
      <c r="J123" s="875"/>
      <c r="K123" s="875"/>
      <c r="L123" s="875"/>
      <c r="M123" s="875"/>
      <c r="N123" s="875"/>
      <c r="O123" s="632"/>
      <c r="P123" s="632"/>
      <c r="Q123" s="632"/>
      <c r="R123" s="632"/>
      <c r="S123" s="980"/>
      <c r="T123" s="1549"/>
      <c r="U123" s="632"/>
      <c r="V123" s="632"/>
      <c r="W123" s="632"/>
      <c r="X123" s="632"/>
      <c r="Y123" s="980"/>
      <c r="Z123" s="1549"/>
      <c r="AA123" s="632"/>
      <c r="AB123" s="632"/>
      <c r="AC123" s="632"/>
      <c r="AD123" s="632"/>
      <c r="AE123" s="980"/>
      <c r="AF123" s="875"/>
      <c r="AG123" s="632"/>
      <c r="AH123" s="632"/>
      <c r="AI123" s="632"/>
      <c r="AJ123" s="632"/>
      <c r="AK123" s="980"/>
      <c r="AL123" s="875"/>
      <c r="AM123" s="632"/>
      <c r="AN123" s="632"/>
      <c r="AO123" s="632"/>
      <c r="AP123" s="632"/>
      <c r="AQ123" s="980"/>
      <c r="AR123" s="980"/>
      <c r="AS123" s="632"/>
      <c r="AT123" s="632"/>
      <c r="AU123" s="632"/>
      <c r="AV123" s="632"/>
      <c r="AW123" s="980"/>
      <c r="AX123" s="875"/>
      <c r="AY123" s="632"/>
      <c r="AZ123" s="632"/>
      <c r="BA123" s="632"/>
      <c r="BB123" s="632"/>
      <c r="BC123" s="980"/>
      <c r="BD123" s="875"/>
      <c r="BE123" s="632"/>
      <c r="BF123" s="632"/>
      <c r="BG123" s="632"/>
      <c r="BH123" s="632"/>
      <c r="BI123" s="980"/>
      <c r="BJ123" s="875"/>
      <c r="BK123" s="632"/>
      <c r="BL123" s="632"/>
      <c r="BM123" s="632"/>
      <c r="BN123" s="632"/>
      <c r="BO123" s="1522">
        <f>BO120/BO72</f>
        <v>0.91697127937336809</v>
      </c>
      <c r="BP123" s="875"/>
      <c r="BQ123" s="632"/>
      <c r="BR123" s="632"/>
      <c r="BS123" s="632"/>
      <c r="BT123" s="632"/>
      <c r="BU123" s="1522">
        <f>BU120/BU72</f>
        <v>1.1360416666666666</v>
      </c>
      <c r="BV123" s="147"/>
      <c r="BW123" s="632"/>
      <c r="BX123" s="632"/>
      <c r="BY123" s="632"/>
      <c r="BZ123" s="632"/>
      <c r="CA123" s="1522">
        <f>CA120/CA72</f>
        <v>0.9240723417524167</v>
      </c>
      <c r="CB123" s="875"/>
      <c r="CC123" s="632"/>
      <c r="CD123" s="632"/>
      <c r="CE123" s="632"/>
      <c r="CF123" s="1503"/>
      <c r="CG123" s="1522">
        <f>CG120/CG72</f>
        <v>0.90682261208576997</v>
      </c>
      <c r="CH123" s="147"/>
      <c r="CI123" s="632">
        <f>CI120/CI72</f>
        <v>0.8978102189781022</v>
      </c>
      <c r="CJ123" s="632">
        <f>CJ120/CJ72</f>
        <v>0.91660405709992487</v>
      </c>
      <c r="CK123" s="632">
        <f>CK120/CK72</f>
        <v>0.91176470588235292</v>
      </c>
      <c r="CL123" s="632">
        <f>CL120/CL72</f>
        <v>0.91975308641975306</v>
      </c>
      <c r="CM123" s="1096"/>
      <c r="CN123" s="147"/>
      <c r="CO123" s="632">
        <f>CO120/CO72</f>
        <v>0.90780141843971629</v>
      </c>
      <c r="CP123" s="632">
        <f>CP120/CP72</f>
        <v>0.90506329113924056</v>
      </c>
      <c r="CQ123" s="632">
        <f>CQ120/CQ72</f>
        <v>0.90789473684210531</v>
      </c>
      <c r="CR123" s="632">
        <f>CR120/CR72</f>
        <v>0.92</v>
      </c>
      <c r="CS123" s="1096"/>
      <c r="CT123" s="147"/>
      <c r="CU123" s="632">
        <f>CU120/CU72</f>
        <v>0.90963855421686746</v>
      </c>
      <c r="CV123" s="632">
        <f>CV120/CV72</f>
        <v>0.91411042944785281</v>
      </c>
      <c r="CW123" s="632">
        <f>CW120/CW72</f>
        <v>0.91515151515151516</v>
      </c>
      <c r="CX123" s="632">
        <f>CX120/CX72</f>
        <v>0.92307692307692313</v>
      </c>
      <c r="CY123" s="1096"/>
      <c r="CZ123" s="147"/>
      <c r="DA123" s="632">
        <f>DA120/DA72</f>
        <v>0.90697674418604646</v>
      </c>
      <c r="DB123" s="632">
        <f>DB120/DB72</f>
        <v>0.90960451977401124</v>
      </c>
      <c r="DC123" s="632">
        <f>DC120/DC72</f>
        <v>0.90860215053763438</v>
      </c>
      <c r="DD123" s="632">
        <f>DD120/DD72</f>
        <v>0.90816326530612246</v>
      </c>
      <c r="DE123" s="1096"/>
      <c r="DF123" s="147"/>
      <c r="DG123" s="632">
        <f>DG120/DG72</f>
        <v>0.89795918367346939</v>
      </c>
      <c r="DH123" s="632">
        <f>DH120/DH72</f>
        <v>0.8990825688073395</v>
      </c>
      <c r="DI123" s="632">
        <f>DI120/DI72</f>
        <v>0.89400921658986177</v>
      </c>
      <c r="DJ123" s="632">
        <f>DJ120/DJ72</f>
        <v>0.90909090909090906</v>
      </c>
      <c r="DK123" s="1096"/>
      <c r="DL123" s="147"/>
      <c r="DM123" s="632">
        <f>DM120/DM72</f>
        <v>0.91561181434599159</v>
      </c>
      <c r="DN123" s="632">
        <f>DN120/DN72</f>
        <v>0.90128755364806867</v>
      </c>
      <c r="DO123" s="632">
        <f>DO120/DO72</f>
        <v>0.89777777777777779</v>
      </c>
      <c r="DP123" s="632">
        <f>DP120/DP72</f>
        <v>0.90157480314960625</v>
      </c>
      <c r="DQ123" s="1096"/>
      <c r="DR123" s="147"/>
      <c r="DS123" s="632">
        <f>DS120/DS72</f>
        <v>0.9908675799086758</v>
      </c>
      <c r="DT123" s="147"/>
      <c r="DU123" s="147"/>
      <c r="DV123" s="147"/>
      <c r="DW123" s="1096"/>
      <c r="DX123" s="147"/>
      <c r="DY123" s="147"/>
      <c r="DZ123" s="147"/>
      <c r="EA123" s="147"/>
      <c r="EB123" s="147"/>
      <c r="EC123" s="1096"/>
      <c r="ED123" s="147"/>
      <c r="EE123" s="147"/>
      <c r="EF123" s="147"/>
      <c r="EG123" s="147"/>
      <c r="EH123" s="147"/>
      <c r="EI123" s="1096"/>
      <c r="EJ123" s="147"/>
      <c r="EK123" s="147"/>
      <c r="EL123" s="147"/>
      <c r="EM123" s="147"/>
      <c r="EN123" s="147"/>
      <c r="EO123" s="1096"/>
      <c r="EP123" s="147"/>
      <c r="EQ123" s="147"/>
      <c r="ER123" s="147"/>
      <c r="ES123" s="147"/>
      <c r="ET123" s="147"/>
      <c r="EU123" s="1096"/>
    </row>
    <row r="124" spans="1:151" ht="12.75" hidden="1" customHeight="1" outlineLevel="3">
      <c r="A124" s="267" t="s">
        <v>5554</v>
      </c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  <c r="AC124" s="280"/>
      <c r="AD124" s="280"/>
      <c r="AE124" s="280"/>
      <c r="AF124" s="147"/>
      <c r="AG124" s="280"/>
      <c r="AH124" s="280"/>
      <c r="AI124" s="280"/>
      <c r="AJ124" s="280"/>
      <c r="AK124" s="280"/>
      <c r="AL124" s="147"/>
      <c r="AM124" s="280"/>
      <c r="AN124" s="280"/>
      <c r="AO124" s="280"/>
      <c r="AP124" s="280"/>
      <c r="AQ124" s="280"/>
      <c r="AR124" s="141"/>
      <c r="AS124" s="280"/>
      <c r="AT124" s="280"/>
      <c r="AU124" s="280"/>
      <c r="AV124" s="280"/>
      <c r="AW124" s="280"/>
      <c r="AX124" s="147"/>
      <c r="AY124" s="280"/>
      <c r="AZ124" s="280"/>
      <c r="BA124" s="280"/>
      <c r="BB124" s="280"/>
      <c r="BC124" s="280"/>
      <c r="BD124" s="147"/>
      <c r="BE124" s="280"/>
      <c r="BF124" s="280"/>
      <c r="BG124" s="280"/>
      <c r="BH124" s="280"/>
      <c r="BI124" s="280"/>
      <c r="BJ124" s="147"/>
      <c r="BK124" s="142"/>
      <c r="BL124" s="142"/>
      <c r="BM124" s="142"/>
      <c r="BN124" s="142"/>
      <c r="BO124" s="1552">
        <v>302.8</v>
      </c>
      <c r="BP124" s="147"/>
      <c r="BQ124" s="141"/>
      <c r="BR124" s="141"/>
      <c r="BS124" s="141"/>
      <c r="BT124" s="141"/>
      <c r="BU124" s="1552">
        <v>384.1</v>
      </c>
      <c r="BV124" s="147"/>
      <c r="BW124" s="141"/>
      <c r="BX124" s="141"/>
      <c r="BY124" s="141"/>
      <c r="BZ124" s="141"/>
      <c r="CA124" s="1552">
        <v>456.9</v>
      </c>
      <c r="CB124" s="147"/>
      <c r="CC124" s="141"/>
      <c r="CD124" s="141"/>
      <c r="CE124" s="141"/>
      <c r="CF124" s="1504"/>
      <c r="CG124" s="1552">
        <v>358.4</v>
      </c>
      <c r="CH124" s="147"/>
      <c r="CI124" s="141">
        <v>100</v>
      </c>
      <c r="CJ124" s="141">
        <v>105</v>
      </c>
      <c r="CK124" s="141">
        <v>110</v>
      </c>
      <c r="CL124" s="141">
        <v>125</v>
      </c>
      <c r="CM124" s="1096"/>
      <c r="CN124" s="147"/>
      <c r="CO124" s="141">
        <v>113</v>
      </c>
      <c r="CP124" s="141">
        <v>124</v>
      </c>
      <c r="CQ124" s="141">
        <v>122</v>
      </c>
      <c r="CR124" s="141">
        <v>136</v>
      </c>
      <c r="CS124" s="1096"/>
      <c r="CT124" s="147"/>
      <c r="CU124" s="141">
        <v>134</v>
      </c>
      <c r="CV124" s="141">
        <v>130</v>
      </c>
      <c r="CW124" s="141">
        <v>122</v>
      </c>
      <c r="CX124" s="141">
        <v>145</v>
      </c>
      <c r="CY124" s="1096"/>
      <c r="CZ124" s="147"/>
      <c r="DA124" s="141">
        <v>128</v>
      </c>
      <c r="DB124" s="141">
        <v>132</v>
      </c>
      <c r="DC124" s="141">
        <v>130</v>
      </c>
      <c r="DD124" s="141">
        <v>142</v>
      </c>
      <c r="DE124" s="1096"/>
      <c r="DF124" s="147"/>
      <c r="DG124" s="141">
        <v>133</v>
      </c>
      <c r="DH124" s="141">
        <v>152</v>
      </c>
      <c r="DI124" s="141">
        <v>153</v>
      </c>
      <c r="DJ124" s="141">
        <v>167</v>
      </c>
      <c r="DK124" s="1096"/>
      <c r="DL124" s="147"/>
      <c r="DM124" s="147">
        <v>158</v>
      </c>
      <c r="DN124" s="141">
        <v>151</v>
      </c>
      <c r="DO124" s="141">
        <v>155</v>
      </c>
      <c r="DP124" s="141">
        <v>174</v>
      </c>
      <c r="DQ124" s="1096"/>
      <c r="DR124" s="147"/>
      <c r="DS124" s="147">
        <v>158</v>
      </c>
      <c r="DT124" s="147"/>
      <c r="DU124" s="147"/>
      <c r="DV124" s="147"/>
      <c r="DW124" s="1096"/>
      <c r="DX124" s="147"/>
      <c r="DY124" s="147"/>
      <c r="DZ124" s="147"/>
      <c r="EA124" s="147"/>
      <c r="EB124" s="147"/>
      <c r="EC124" s="1096"/>
      <c r="ED124" s="147"/>
      <c r="EE124" s="147"/>
      <c r="EF124" s="147"/>
      <c r="EG124" s="147"/>
      <c r="EH124" s="147"/>
      <c r="EI124" s="1096"/>
      <c r="EJ124" s="147"/>
      <c r="EK124" s="147"/>
      <c r="EL124" s="147"/>
      <c r="EM124" s="147"/>
      <c r="EN124" s="147"/>
      <c r="EO124" s="1096"/>
      <c r="EP124" s="147"/>
      <c r="EQ124" s="147"/>
      <c r="ER124" s="147"/>
      <c r="ES124" s="147"/>
      <c r="ET124" s="147"/>
      <c r="EU124" s="1096"/>
    </row>
    <row r="125" spans="1:151" ht="12.75" hidden="1" customHeight="1" outlineLevel="3">
      <c r="A125" s="266" t="s">
        <v>345</v>
      </c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263"/>
      <c r="P125" s="263"/>
      <c r="Q125" s="263"/>
      <c r="R125" s="263"/>
      <c r="S125" s="263"/>
      <c r="T125" s="147"/>
      <c r="U125" s="263"/>
      <c r="V125" s="263"/>
      <c r="W125" s="263"/>
      <c r="X125" s="263"/>
      <c r="Y125" s="263"/>
      <c r="Z125" s="141"/>
      <c r="AA125" s="263"/>
      <c r="AB125" s="263"/>
      <c r="AC125" s="263"/>
      <c r="AD125" s="263"/>
      <c r="AE125" s="263"/>
      <c r="AF125" s="147"/>
      <c r="AG125" s="263"/>
      <c r="AH125" s="263"/>
      <c r="AI125" s="263"/>
      <c r="AJ125" s="263"/>
      <c r="AK125" s="263"/>
      <c r="AL125" s="147"/>
      <c r="AM125" s="263"/>
      <c r="AN125" s="263"/>
      <c r="AO125" s="263"/>
      <c r="AP125" s="263"/>
      <c r="AQ125" s="263"/>
      <c r="AR125" s="141"/>
      <c r="AS125" s="263"/>
      <c r="AT125" s="263"/>
      <c r="AU125" s="263"/>
      <c r="AV125" s="263"/>
      <c r="AW125" s="263"/>
      <c r="AX125" s="147"/>
      <c r="AY125" s="263"/>
      <c r="AZ125" s="263"/>
      <c r="BA125" s="263"/>
      <c r="BB125" s="263"/>
      <c r="BC125" s="263"/>
      <c r="BD125" s="147"/>
      <c r="BE125" s="263"/>
      <c r="BF125" s="263"/>
      <c r="BG125" s="263"/>
      <c r="BH125" s="263"/>
      <c r="BI125" s="263"/>
      <c r="BJ125" s="147"/>
      <c r="BK125" s="263"/>
      <c r="BL125" s="263"/>
      <c r="BM125" s="263"/>
      <c r="BN125" s="263"/>
      <c r="BO125" s="1553"/>
      <c r="BP125" s="147"/>
      <c r="BQ125" s="263"/>
      <c r="BR125" s="263"/>
      <c r="BS125" s="263"/>
      <c r="BT125" s="263"/>
      <c r="BU125" s="1553"/>
      <c r="BV125" s="147"/>
      <c r="BW125" s="263"/>
      <c r="BX125" s="263"/>
      <c r="BY125" s="263"/>
      <c r="BZ125" s="263"/>
      <c r="CA125" s="1553"/>
      <c r="CB125" s="147"/>
      <c r="CC125" s="263"/>
      <c r="CD125" s="263"/>
      <c r="CE125" s="263"/>
      <c r="CF125" s="1500"/>
      <c r="CG125" s="1553"/>
      <c r="CH125" s="147"/>
      <c r="CI125" s="263"/>
      <c r="CJ125" s="263"/>
      <c r="CK125" s="263"/>
      <c r="CL125" s="263"/>
      <c r="CM125" s="1096"/>
      <c r="CN125" s="147"/>
      <c r="CO125" s="263"/>
      <c r="CP125" s="263"/>
      <c r="CQ125" s="263"/>
      <c r="CR125" s="263"/>
      <c r="CS125" s="1096"/>
      <c r="CT125" s="147"/>
      <c r="CU125" s="263"/>
      <c r="CV125" s="263"/>
      <c r="CW125" s="263"/>
      <c r="CX125" s="263"/>
      <c r="CY125" s="1096"/>
      <c r="CZ125" s="147"/>
      <c r="DA125" s="263"/>
      <c r="DB125" s="263"/>
      <c r="DC125" s="263"/>
      <c r="DD125" s="263"/>
      <c r="DE125" s="1096"/>
      <c r="DF125" s="147"/>
      <c r="DG125" s="263"/>
      <c r="DH125" s="263"/>
      <c r="DI125" s="263"/>
      <c r="DJ125" s="263"/>
      <c r="DK125" s="1096"/>
      <c r="DL125" s="147"/>
      <c r="DM125" s="147"/>
      <c r="DN125" s="263"/>
      <c r="DO125" s="263"/>
      <c r="DP125" s="263"/>
      <c r="DQ125" s="1096"/>
      <c r="DR125" s="147"/>
      <c r="DS125" s="147"/>
      <c r="DT125" s="147"/>
      <c r="DU125" s="147"/>
      <c r="DV125" s="147"/>
      <c r="DW125" s="1096"/>
      <c r="DX125" s="147"/>
      <c r="DY125" s="147"/>
      <c r="DZ125" s="147"/>
      <c r="EA125" s="147"/>
      <c r="EB125" s="147"/>
      <c r="EC125" s="1096"/>
      <c r="ED125" s="147"/>
      <c r="EE125" s="147"/>
      <c r="EF125" s="147"/>
      <c r="EG125" s="147"/>
      <c r="EH125" s="147"/>
      <c r="EI125" s="1096"/>
      <c r="EJ125" s="147"/>
      <c r="EK125" s="147"/>
      <c r="EL125" s="147"/>
      <c r="EM125" s="147"/>
      <c r="EN125" s="147"/>
      <c r="EO125" s="1096"/>
      <c r="EP125" s="147"/>
      <c r="EQ125" s="147"/>
      <c r="ER125" s="147"/>
      <c r="ES125" s="147"/>
      <c r="ET125" s="147"/>
      <c r="EU125" s="1096"/>
    </row>
    <row r="126" spans="1:151" ht="12.75" hidden="1" customHeight="1" outlineLevel="3">
      <c r="A126" s="266" t="s">
        <v>344</v>
      </c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263"/>
      <c r="P126" s="263"/>
      <c r="Q126" s="263"/>
      <c r="R126" s="263"/>
      <c r="S126" s="141"/>
      <c r="T126" s="147"/>
      <c r="U126" s="263"/>
      <c r="V126" s="263"/>
      <c r="W126" s="263"/>
      <c r="X126" s="263"/>
      <c r="Y126" s="141"/>
      <c r="Z126" s="141"/>
      <c r="AA126" s="263"/>
      <c r="AB126" s="263"/>
      <c r="AC126" s="263"/>
      <c r="AD126" s="263"/>
      <c r="AE126" s="141"/>
      <c r="AF126" s="147"/>
      <c r="AG126" s="263"/>
      <c r="AH126" s="263"/>
      <c r="AI126" s="263"/>
      <c r="AJ126" s="263"/>
      <c r="AK126" s="141"/>
      <c r="AL126" s="147"/>
      <c r="AM126" s="263"/>
      <c r="AN126" s="263"/>
      <c r="AO126" s="263"/>
      <c r="AP126" s="263"/>
      <c r="AQ126" s="141"/>
      <c r="AR126" s="141"/>
      <c r="AS126" s="263"/>
      <c r="AT126" s="263"/>
      <c r="AU126" s="263"/>
      <c r="AV126" s="263"/>
      <c r="AW126" s="141"/>
      <c r="AX126" s="147"/>
      <c r="AY126" s="263"/>
      <c r="AZ126" s="263"/>
      <c r="BA126" s="263"/>
      <c r="BB126" s="263"/>
      <c r="BC126" s="141"/>
      <c r="BD126" s="147"/>
      <c r="BE126" s="263"/>
      <c r="BF126" s="263"/>
      <c r="BG126" s="263"/>
      <c r="BH126" s="263"/>
      <c r="BI126" s="141"/>
      <c r="BJ126" s="147"/>
      <c r="BK126" s="263"/>
      <c r="BL126" s="263"/>
      <c r="BM126" s="263"/>
      <c r="BN126" s="263"/>
      <c r="BO126" s="1552"/>
      <c r="BP126" s="147"/>
      <c r="BQ126" s="263"/>
      <c r="BR126" s="263"/>
      <c r="BS126" s="263"/>
      <c r="BT126" s="263"/>
      <c r="BU126" s="1552"/>
      <c r="BV126" s="147"/>
      <c r="BW126" s="263"/>
      <c r="BX126" s="263"/>
      <c r="BY126" s="263"/>
      <c r="BZ126" s="263"/>
      <c r="CA126" s="1552"/>
      <c r="CB126" s="147"/>
      <c r="CC126" s="263"/>
      <c r="CD126" s="263"/>
      <c r="CE126" s="263"/>
      <c r="CF126" s="1500"/>
      <c r="CG126" s="1552"/>
      <c r="CH126" s="147"/>
      <c r="CI126" s="263"/>
      <c r="CJ126" s="263"/>
      <c r="CK126" s="263"/>
      <c r="CL126" s="263"/>
      <c r="CM126" s="1096"/>
      <c r="CN126" s="147"/>
      <c r="CO126" s="263"/>
      <c r="CP126" s="263"/>
      <c r="CQ126" s="263"/>
      <c r="CR126" s="263"/>
      <c r="CS126" s="1096"/>
      <c r="CT126" s="147"/>
      <c r="CU126" s="263"/>
      <c r="CV126" s="263"/>
      <c r="CW126" s="263"/>
      <c r="CX126" s="263"/>
      <c r="CY126" s="1096"/>
      <c r="CZ126" s="147"/>
      <c r="DA126" s="263"/>
      <c r="DB126" s="263"/>
      <c r="DC126" s="263"/>
      <c r="DD126" s="263"/>
      <c r="DE126" s="1096"/>
      <c r="DF126" s="147"/>
      <c r="DG126" s="263"/>
      <c r="DH126" s="263"/>
      <c r="DI126" s="263"/>
      <c r="DJ126" s="263"/>
      <c r="DK126" s="1096"/>
      <c r="DL126" s="147"/>
      <c r="DM126" s="147"/>
      <c r="DN126" s="263"/>
      <c r="DO126" s="263"/>
      <c r="DP126" s="263"/>
      <c r="DQ126" s="1096"/>
      <c r="DR126" s="147"/>
      <c r="DS126" s="147"/>
      <c r="DT126" s="147"/>
      <c r="DU126" s="147"/>
      <c r="DV126" s="147"/>
      <c r="DW126" s="1096"/>
      <c r="DX126" s="147"/>
      <c r="DY126" s="147"/>
      <c r="DZ126" s="147"/>
      <c r="EA126" s="147"/>
      <c r="EB126" s="147"/>
      <c r="EC126" s="1096"/>
      <c r="ED126" s="147"/>
      <c r="EE126" s="147"/>
      <c r="EF126" s="147"/>
      <c r="EG126" s="147"/>
      <c r="EH126" s="147"/>
      <c r="EI126" s="1096"/>
      <c r="EJ126" s="147"/>
      <c r="EK126" s="147"/>
      <c r="EL126" s="147"/>
      <c r="EM126" s="147"/>
      <c r="EN126" s="147"/>
      <c r="EO126" s="1096"/>
      <c r="EP126" s="147"/>
      <c r="EQ126" s="147"/>
      <c r="ER126" s="147"/>
      <c r="ES126" s="147"/>
      <c r="ET126" s="147"/>
      <c r="EU126" s="1096"/>
    </row>
    <row r="127" spans="1:151" ht="12.75" hidden="1" customHeight="1" outlineLevel="3">
      <c r="A127" s="266" t="s">
        <v>3494</v>
      </c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263"/>
      <c r="P127" s="263"/>
      <c r="Q127" s="263"/>
      <c r="R127" s="263"/>
      <c r="S127" s="141"/>
      <c r="T127" s="280"/>
      <c r="U127" s="263"/>
      <c r="V127" s="263"/>
      <c r="W127" s="263"/>
      <c r="X127" s="263"/>
      <c r="Y127" s="141"/>
      <c r="Z127" s="280"/>
      <c r="AA127" s="263"/>
      <c r="AB127" s="263"/>
      <c r="AC127" s="263"/>
      <c r="AD127" s="263"/>
      <c r="AE127" s="141"/>
      <c r="AF127" s="147"/>
      <c r="AG127" s="263"/>
      <c r="AH127" s="263"/>
      <c r="AI127" s="263"/>
      <c r="AJ127" s="263"/>
      <c r="AK127" s="141"/>
      <c r="AL127" s="147"/>
      <c r="AM127" s="263"/>
      <c r="AN127" s="263"/>
      <c r="AO127" s="263"/>
      <c r="AP127" s="263"/>
      <c r="AQ127" s="141"/>
      <c r="AR127" s="141"/>
      <c r="AS127" s="263"/>
      <c r="AT127" s="263"/>
      <c r="AU127" s="263"/>
      <c r="AV127" s="263"/>
      <c r="AW127" s="141"/>
      <c r="AX127" s="147"/>
      <c r="AY127" s="263"/>
      <c r="AZ127" s="263"/>
      <c r="BA127" s="263"/>
      <c r="BB127" s="263"/>
      <c r="BC127" s="141"/>
      <c r="BD127" s="147"/>
      <c r="BE127" s="263"/>
      <c r="BF127" s="263"/>
      <c r="BG127" s="263"/>
      <c r="BH127" s="263"/>
      <c r="BI127" s="141"/>
      <c r="BJ127" s="147"/>
      <c r="BK127" s="263"/>
      <c r="BL127" s="263"/>
      <c r="BM127" s="263"/>
      <c r="BN127" s="263"/>
      <c r="BO127" s="1522">
        <f>BO124/BO76</f>
        <v>0.9120481927710844</v>
      </c>
      <c r="BP127" s="147"/>
      <c r="BQ127" s="263"/>
      <c r="BR127" s="263"/>
      <c r="BS127" s="263"/>
      <c r="BT127" s="263"/>
      <c r="BU127" s="1522">
        <f>BU124/BU76</f>
        <v>0.91889952153110055</v>
      </c>
      <c r="BV127" s="147"/>
      <c r="BW127" s="263"/>
      <c r="BX127" s="263"/>
      <c r="BY127" s="263"/>
      <c r="BZ127" s="263"/>
      <c r="CA127" s="1522">
        <f>CA124/CA76</f>
        <v>0.93550368550368546</v>
      </c>
      <c r="CB127" s="147"/>
      <c r="CC127" s="263"/>
      <c r="CD127" s="263"/>
      <c r="CE127" s="263"/>
      <c r="CF127" s="1500"/>
      <c r="CG127" s="1522">
        <f>CG124/CG76</f>
        <v>0.92609819121447023</v>
      </c>
      <c r="CH127" s="147"/>
      <c r="CI127" s="632">
        <f>CI124/CI76</f>
        <v>0.92592592592592593</v>
      </c>
      <c r="CJ127" s="632">
        <f>CJ124/CJ76</f>
        <v>0.92920353982300885</v>
      </c>
      <c r="CK127" s="632">
        <f>CK124/CK76</f>
        <v>0.94017094017094016</v>
      </c>
      <c r="CL127" s="632">
        <f>CL124/CL76</f>
        <v>0.93984962406015038</v>
      </c>
      <c r="CM127" s="1096"/>
      <c r="CN127" s="147"/>
      <c r="CO127" s="632">
        <f>CO124/CO76</f>
        <v>0.91869918699186992</v>
      </c>
      <c r="CP127" s="632">
        <f>CP124/CP76</f>
        <v>0.91176470588235292</v>
      </c>
      <c r="CQ127" s="632">
        <f>CQ124/CQ76</f>
        <v>0.91044776119402981</v>
      </c>
      <c r="CR127" s="632">
        <f>CR124/CR76</f>
        <v>0.91891891891891897</v>
      </c>
      <c r="CS127" s="1096"/>
      <c r="CT127" s="147"/>
      <c r="CU127" s="632">
        <f>CU124/CU76</f>
        <v>0.9178082191780822</v>
      </c>
      <c r="CV127" s="632">
        <f>CV124/CV76</f>
        <v>0.92198581560283688</v>
      </c>
      <c r="CW127" s="632">
        <f>CW124/CW76</f>
        <v>0.9242424242424242</v>
      </c>
      <c r="CX127" s="632">
        <f>CX124/CX76</f>
        <v>0.93548387096774188</v>
      </c>
      <c r="CY127" s="1096"/>
      <c r="CZ127" s="147"/>
      <c r="DA127" s="632">
        <f>DA124/DA76</f>
        <v>0.92086330935251803</v>
      </c>
      <c r="DB127" s="632">
        <f>DB124/DB76</f>
        <v>0.91666666666666663</v>
      </c>
      <c r="DC127" s="632">
        <f>DC124/DC76</f>
        <v>0.91549295774647887</v>
      </c>
      <c r="DD127" s="632">
        <f>DD124/DD76</f>
        <v>0.92207792207792205</v>
      </c>
      <c r="DE127" s="1096"/>
      <c r="DF127" s="147"/>
      <c r="DG127" s="632">
        <f>DG124/DG76</f>
        <v>0.90476190476190477</v>
      </c>
      <c r="DH127" s="632">
        <f>DH124/DH76</f>
        <v>0.90476190476190477</v>
      </c>
      <c r="DI127" s="632">
        <f>DI124/DI76</f>
        <v>0.9</v>
      </c>
      <c r="DJ127" s="632">
        <f>DJ124/DJ76</f>
        <v>0.87894736842105259</v>
      </c>
      <c r="DK127" s="1096"/>
      <c r="DL127" s="147"/>
      <c r="DM127" s="632">
        <f>DM124/DM76</f>
        <v>0.8540540540540541</v>
      </c>
      <c r="DN127" s="632">
        <f>DN124/DN76</f>
        <v>0.88304093567251463</v>
      </c>
      <c r="DO127" s="632">
        <f>DO124/DO76</f>
        <v>0.88571428571428568</v>
      </c>
      <c r="DP127" s="632">
        <f>DP124/DP76</f>
        <v>0.89690721649484539</v>
      </c>
      <c r="DQ127" s="1096"/>
      <c r="DR127" s="147"/>
      <c r="DS127" s="632">
        <f>DS124/DS76</f>
        <v>1</v>
      </c>
      <c r="DT127" s="147"/>
      <c r="DU127" s="147"/>
      <c r="DV127" s="147"/>
      <c r="DW127" s="1096"/>
      <c r="DX127" s="147"/>
      <c r="DY127" s="147"/>
      <c r="DZ127" s="147"/>
      <c r="EA127" s="147"/>
      <c r="EB127" s="147"/>
      <c r="EC127" s="1096"/>
      <c r="ED127" s="147"/>
      <c r="EE127" s="147"/>
      <c r="EF127" s="147"/>
      <c r="EG127" s="147"/>
      <c r="EH127" s="147"/>
      <c r="EI127" s="1096"/>
      <c r="EJ127" s="147"/>
      <c r="EK127" s="147"/>
      <c r="EL127" s="147"/>
      <c r="EM127" s="147"/>
      <c r="EN127" s="147"/>
      <c r="EO127" s="1096"/>
      <c r="EP127" s="147"/>
      <c r="EQ127" s="147"/>
      <c r="ER127" s="147"/>
      <c r="ES127" s="147"/>
      <c r="ET127" s="147"/>
      <c r="EU127" s="1096"/>
    </row>
    <row r="128" spans="1:151" ht="5.25" hidden="1" customHeight="1" outlineLevel="3">
      <c r="A128" s="266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280"/>
      <c r="T128" s="280"/>
      <c r="U128" s="280"/>
      <c r="V128" s="280"/>
      <c r="W128" s="280"/>
      <c r="X128" s="280"/>
      <c r="Y128" s="280"/>
      <c r="Z128" s="280"/>
      <c r="AA128" s="280"/>
      <c r="AB128" s="280"/>
      <c r="AC128" s="280"/>
      <c r="AD128" s="280"/>
      <c r="AE128" s="280"/>
      <c r="AF128" s="147"/>
      <c r="AG128" s="147"/>
      <c r="AH128" s="147"/>
      <c r="AI128" s="147"/>
      <c r="AJ128" s="147"/>
      <c r="AK128" s="281"/>
      <c r="AL128" s="147"/>
      <c r="AM128" s="281"/>
      <c r="AN128" s="281"/>
      <c r="AO128" s="281"/>
      <c r="AP128" s="281"/>
      <c r="AQ128" s="281"/>
      <c r="AR128" s="281"/>
      <c r="AS128" s="281"/>
      <c r="AT128" s="281"/>
      <c r="AU128" s="281"/>
      <c r="AV128" s="281"/>
      <c r="AW128" s="281"/>
      <c r="AX128" s="281"/>
      <c r="AY128" s="281"/>
      <c r="AZ128" s="281"/>
      <c r="BA128" s="281"/>
      <c r="BB128" s="281"/>
      <c r="BC128" s="281"/>
      <c r="BD128" s="147"/>
      <c r="BE128" s="281"/>
      <c r="BF128" s="141"/>
      <c r="BG128" s="141"/>
      <c r="BH128" s="141"/>
      <c r="BI128" s="281"/>
      <c r="BJ128" s="147"/>
      <c r="BK128" s="281"/>
      <c r="BL128" s="147"/>
      <c r="BM128" s="147"/>
      <c r="BN128" s="147"/>
      <c r="BO128" s="1554"/>
      <c r="BP128" s="147"/>
      <c r="BQ128" s="281"/>
      <c r="BR128" s="147"/>
      <c r="BS128" s="147"/>
      <c r="BT128" s="147"/>
      <c r="BU128" s="1554"/>
      <c r="BV128" s="147"/>
      <c r="BW128" s="281"/>
      <c r="BX128" s="281"/>
      <c r="BY128" s="281"/>
      <c r="BZ128" s="281"/>
      <c r="CA128" s="1554"/>
      <c r="CB128" s="147"/>
      <c r="CC128" s="147"/>
      <c r="CD128" s="281"/>
      <c r="CE128" s="281"/>
      <c r="CF128" s="1509"/>
      <c r="CG128" s="1554"/>
      <c r="CH128" s="147"/>
      <c r="CI128" s="147"/>
      <c r="CJ128" s="147"/>
      <c r="CK128" s="141"/>
      <c r="CL128" s="141"/>
      <c r="CM128" s="1096"/>
      <c r="CN128" s="147"/>
      <c r="CO128" s="147"/>
      <c r="CP128" s="147"/>
      <c r="CQ128" s="147"/>
      <c r="CR128" s="141"/>
      <c r="CS128" s="1096"/>
      <c r="CT128" s="147"/>
      <c r="CU128" s="147"/>
      <c r="CV128" s="147"/>
      <c r="CW128" s="147"/>
      <c r="CX128" s="141"/>
      <c r="CY128" s="1096"/>
      <c r="CZ128" s="147"/>
      <c r="DA128" s="147"/>
      <c r="DB128" s="147"/>
      <c r="DC128" s="147"/>
      <c r="DD128" s="147"/>
      <c r="DE128" s="1096"/>
      <c r="DF128" s="147"/>
      <c r="DG128" s="147"/>
      <c r="DH128" s="147"/>
      <c r="DI128" s="147"/>
      <c r="DJ128" s="147"/>
      <c r="DK128" s="1096"/>
      <c r="DL128" s="147"/>
      <c r="DM128" s="147"/>
      <c r="DN128" s="147"/>
      <c r="DO128" s="147"/>
      <c r="DP128" s="147"/>
      <c r="DQ128" s="1096"/>
      <c r="DR128" s="147"/>
      <c r="DS128" s="147"/>
      <c r="DT128" s="147"/>
      <c r="DU128" s="147"/>
      <c r="DV128" s="147"/>
      <c r="DW128" s="1096"/>
      <c r="DX128" s="147"/>
      <c r="DY128" s="147"/>
      <c r="DZ128" s="147"/>
      <c r="EA128" s="147"/>
      <c r="EB128" s="147"/>
      <c r="EC128" s="1096"/>
      <c r="ED128" s="147"/>
      <c r="EE128" s="147"/>
      <c r="EF128" s="147"/>
      <c r="EG128" s="147"/>
      <c r="EH128" s="147"/>
      <c r="EI128" s="1096"/>
      <c r="EJ128" s="147"/>
      <c r="EK128" s="147"/>
      <c r="EL128" s="147"/>
      <c r="EM128" s="147"/>
      <c r="EN128" s="147"/>
      <c r="EO128" s="1096"/>
      <c r="EP128" s="147"/>
      <c r="EQ128" s="147"/>
      <c r="ER128" s="147"/>
      <c r="ES128" s="147"/>
      <c r="ET128" s="147"/>
      <c r="EU128" s="1096"/>
    </row>
    <row r="129" spans="1:151" ht="12.75" hidden="1" customHeight="1" outlineLevel="3">
      <c r="A129" s="953" t="s">
        <v>5555</v>
      </c>
      <c r="B129" s="954"/>
      <c r="C129" s="954"/>
      <c r="D129" s="954"/>
      <c r="E129" s="954"/>
      <c r="F129" s="954"/>
      <c r="G129" s="954"/>
      <c r="H129" s="954"/>
      <c r="I129" s="954"/>
      <c r="J129" s="954"/>
      <c r="K129" s="954"/>
      <c r="L129" s="954"/>
      <c r="M129" s="954"/>
      <c r="N129" s="954"/>
      <c r="O129" s="954"/>
      <c r="P129" s="954"/>
      <c r="Q129" s="954"/>
      <c r="R129" s="954"/>
      <c r="S129" s="955"/>
      <c r="T129" s="955"/>
      <c r="U129" s="955"/>
      <c r="V129" s="955"/>
      <c r="W129" s="955"/>
      <c r="X129" s="955"/>
      <c r="Y129" s="955"/>
      <c r="Z129" s="955"/>
      <c r="AA129" s="955"/>
      <c r="AB129" s="955"/>
      <c r="AC129" s="956"/>
      <c r="AD129" s="956"/>
      <c r="AE129" s="956"/>
      <c r="AF129" s="957"/>
      <c r="AG129" s="958"/>
      <c r="AH129" s="958"/>
      <c r="AI129" s="958"/>
      <c r="AJ129" s="958"/>
      <c r="AK129" s="958"/>
      <c r="AL129" s="957"/>
      <c r="AM129" s="958"/>
      <c r="AN129" s="958"/>
      <c r="AO129" s="958"/>
      <c r="AP129" s="958"/>
      <c r="AQ129" s="958"/>
      <c r="AR129" s="958"/>
      <c r="AS129" s="958"/>
      <c r="AT129" s="958"/>
      <c r="AU129" s="958"/>
      <c r="AV129" s="958"/>
      <c r="AW129" s="958"/>
      <c r="AX129" s="957"/>
      <c r="AY129" s="959"/>
      <c r="AZ129" s="959"/>
      <c r="BA129" s="959"/>
      <c r="BB129" s="959"/>
      <c r="BC129" s="958"/>
      <c r="BD129" s="957"/>
      <c r="BE129" s="958"/>
      <c r="BF129" s="958"/>
      <c r="BG129" s="958"/>
      <c r="BH129" s="958"/>
      <c r="BI129" s="958"/>
      <c r="BJ129" s="957"/>
      <c r="BK129" s="958"/>
      <c r="BL129" s="958"/>
      <c r="BM129" s="958"/>
      <c r="BN129" s="958"/>
      <c r="BO129" s="1555">
        <v>146.69999999999999</v>
      </c>
      <c r="BP129" s="957"/>
      <c r="BQ129" s="958"/>
      <c r="BR129" s="958"/>
      <c r="BS129" s="958"/>
      <c r="BT129" s="958"/>
      <c r="BU129" s="1555">
        <v>191.8</v>
      </c>
      <c r="BV129" s="954"/>
      <c r="BW129" s="958"/>
      <c r="BX129" s="958"/>
      <c r="BY129" s="958"/>
      <c r="BZ129" s="958"/>
      <c r="CA129" s="1555">
        <v>197.6</v>
      </c>
      <c r="CB129" s="954"/>
      <c r="CC129" s="958"/>
      <c r="CD129" s="958"/>
      <c r="CE129" s="958"/>
      <c r="CF129" s="1510"/>
      <c r="CG129" s="1555">
        <v>144.4</v>
      </c>
      <c r="CH129" s="954"/>
      <c r="CI129" s="958">
        <v>36</v>
      </c>
      <c r="CJ129" s="958">
        <v>38</v>
      </c>
      <c r="CK129" s="1614">
        <v>39</v>
      </c>
      <c r="CL129" s="1614">
        <v>41</v>
      </c>
      <c r="CM129" s="1179"/>
      <c r="CN129" s="954"/>
      <c r="CO129" s="958">
        <v>43</v>
      </c>
      <c r="CP129" s="958">
        <v>44</v>
      </c>
      <c r="CQ129" s="958">
        <v>43</v>
      </c>
      <c r="CR129" s="1614">
        <v>45</v>
      </c>
      <c r="CS129" s="1179"/>
      <c r="CT129" s="954"/>
      <c r="CU129" s="958">
        <v>42</v>
      </c>
      <c r="CV129" s="958">
        <v>39</v>
      </c>
      <c r="CW129" s="958">
        <v>38</v>
      </c>
      <c r="CX129" s="1614">
        <v>38</v>
      </c>
      <c r="CY129" s="1179"/>
      <c r="CZ129" s="954"/>
      <c r="DA129" s="958">
        <v>37</v>
      </c>
      <c r="DB129" s="958">
        <v>34</v>
      </c>
      <c r="DC129" s="958">
        <v>35</v>
      </c>
      <c r="DD129" s="958">
        <v>32</v>
      </c>
      <c r="DE129" s="1179"/>
      <c r="DF129" s="954"/>
      <c r="DG129" s="958">
        <v>29</v>
      </c>
      <c r="DH129" s="958">
        <v>32</v>
      </c>
      <c r="DI129" s="958">
        <v>32</v>
      </c>
      <c r="DJ129" s="958">
        <v>34</v>
      </c>
      <c r="DK129" s="1179"/>
      <c r="DL129" s="954"/>
      <c r="DM129" s="954">
        <v>33</v>
      </c>
      <c r="DN129" s="958">
        <v>32</v>
      </c>
      <c r="DO129" s="958">
        <v>31</v>
      </c>
      <c r="DP129" s="958">
        <v>32</v>
      </c>
      <c r="DQ129" s="1179"/>
      <c r="DS129" s="954">
        <v>33</v>
      </c>
      <c r="DT129" s="954"/>
      <c r="DU129" s="954"/>
      <c r="DV129" s="954"/>
      <c r="DW129" s="1179"/>
      <c r="DY129" s="954"/>
      <c r="DZ129" s="954"/>
      <c r="EA129" s="954"/>
      <c r="EB129" s="954"/>
      <c r="EC129" s="1179"/>
      <c r="EE129" s="954"/>
      <c r="EF129" s="954"/>
      <c r="EG129" s="954"/>
      <c r="EH129" s="954"/>
      <c r="EI129" s="1179"/>
      <c r="EK129" s="954"/>
      <c r="EL129" s="954"/>
      <c r="EM129" s="954"/>
      <c r="EN129" s="954"/>
      <c r="EO129" s="1179"/>
      <c r="EQ129" s="954"/>
      <c r="ER129" s="954"/>
      <c r="ES129" s="954"/>
      <c r="ET129" s="954"/>
      <c r="EU129" s="1179"/>
    </row>
    <row r="130" spans="1:151" hidden="1" outlineLevel="3">
      <c r="A130" s="960" t="s">
        <v>345</v>
      </c>
      <c r="B130" s="875"/>
      <c r="C130" s="875"/>
      <c r="D130" s="875"/>
      <c r="E130" s="875"/>
      <c r="F130" s="875"/>
      <c r="G130" s="875"/>
      <c r="H130" s="875"/>
      <c r="I130" s="875"/>
      <c r="J130" s="875"/>
      <c r="K130" s="875"/>
      <c r="L130" s="875"/>
      <c r="M130" s="875"/>
      <c r="N130" s="875"/>
      <c r="O130" s="632"/>
      <c r="P130" s="632"/>
      <c r="Q130" s="632"/>
      <c r="R130" s="632"/>
      <c r="S130" s="632"/>
      <c r="T130" s="875"/>
      <c r="U130" s="632"/>
      <c r="V130" s="632"/>
      <c r="W130" s="632"/>
      <c r="X130" s="632"/>
      <c r="Y130" s="632"/>
      <c r="Z130" s="875"/>
      <c r="AA130" s="632"/>
      <c r="AB130" s="632"/>
      <c r="AC130" s="632"/>
      <c r="AD130" s="632"/>
      <c r="AE130" s="632"/>
      <c r="AF130" s="875"/>
      <c r="AG130" s="632"/>
      <c r="AH130" s="632"/>
      <c r="AI130" s="632"/>
      <c r="AJ130" s="632"/>
      <c r="AK130" s="632"/>
      <c r="AL130" s="875"/>
      <c r="AM130" s="632"/>
      <c r="AN130" s="632"/>
      <c r="AO130" s="632"/>
      <c r="AP130" s="632"/>
      <c r="AQ130" s="632"/>
      <c r="AR130" s="875"/>
      <c r="AS130" s="632"/>
      <c r="AT130" s="632"/>
      <c r="AU130" s="632"/>
      <c r="AV130" s="632"/>
      <c r="AW130" s="632"/>
      <c r="AX130" s="875"/>
      <c r="AY130" s="632"/>
      <c r="AZ130" s="632"/>
      <c r="BA130" s="632"/>
      <c r="BB130" s="632"/>
      <c r="BC130" s="632"/>
      <c r="BD130" s="875"/>
      <c r="BE130" s="632"/>
      <c r="BF130" s="632"/>
      <c r="BG130" s="632"/>
      <c r="BH130" s="632"/>
      <c r="BI130" s="632"/>
      <c r="BJ130" s="875"/>
      <c r="BK130" s="632"/>
      <c r="BL130" s="632"/>
      <c r="BM130" s="632"/>
      <c r="BN130" s="632"/>
      <c r="BO130" s="1551"/>
      <c r="BP130" s="875"/>
      <c r="BQ130" s="632"/>
      <c r="BR130" s="632"/>
      <c r="BS130" s="632"/>
      <c r="BT130" s="632"/>
      <c r="BU130" s="1551"/>
      <c r="BV130" s="875"/>
      <c r="BW130" s="632"/>
      <c r="BX130" s="632"/>
      <c r="BY130" s="632"/>
      <c r="BZ130" s="632"/>
      <c r="CA130" s="1551"/>
      <c r="CB130" s="875"/>
      <c r="CC130" s="632"/>
      <c r="CD130" s="632"/>
      <c r="CE130" s="632"/>
      <c r="CF130" s="1503"/>
      <c r="CG130" s="1551"/>
      <c r="CH130" s="875"/>
      <c r="CI130" s="632"/>
      <c r="CJ130" s="632"/>
      <c r="CK130" s="980"/>
      <c r="CL130" s="980"/>
      <c r="CM130" s="1180"/>
      <c r="CN130" s="875"/>
      <c r="CO130" s="632"/>
      <c r="CP130" s="632"/>
      <c r="CQ130" s="632"/>
      <c r="CR130" s="980"/>
      <c r="CS130" s="1180"/>
      <c r="CT130" s="875"/>
      <c r="CU130" s="632"/>
      <c r="CV130" s="632"/>
      <c r="CW130" s="632"/>
      <c r="CX130" s="980"/>
      <c r="CY130" s="1180"/>
      <c r="CZ130" s="875"/>
      <c r="DA130" s="632"/>
      <c r="DB130" s="632"/>
      <c r="DC130" s="632"/>
      <c r="DD130" s="632"/>
      <c r="DE130" s="1180"/>
      <c r="DF130" s="875"/>
      <c r="DG130" s="632"/>
      <c r="DH130" s="632"/>
      <c r="DI130" s="632"/>
      <c r="DJ130" s="632"/>
      <c r="DK130" s="1180"/>
      <c r="DL130" s="875"/>
      <c r="DM130" s="875"/>
      <c r="DN130" s="632"/>
      <c r="DO130" s="632"/>
      <c r="DP130" s="632"/>
      <c r="DQ130" s="1180"/>
      <c r="DR130" s="875"/>
      <c r="DS130" s="875"/>
      <c r="DT130" s="875"/>
      <c r="DU130" s="875"/>
      <c r="DV130" s="875"/>
      <c r="DW130" s="1180"/>
      <c r="DX130" s="875"/>
      <c r="DY130" s="875"/>
      <c r="DZ130" s="875"/>
      <c r="EA130" s="875"/>
      <c r="EB130" s="875"/>
      <c r="EC130" s="1180"/>
      <c r="ED130" s="875"/>
      <c r="EE130" s="875"/>
      <c r="EF130" s="875"/>
      <c r="EG130" s="875"/>
      <c r="EH130" s="875"/>
      <c r="EI130" s="1180"/>
      <c r="EJ130" s="875"/>
      <c r="EK130" s="875"/>
      <c r="EL130" s="875"/>
      <c r="EM130" s="875"/>
      <c r="EN130" s="875"/>
      <c r="EO130" s="1180"/>
      <c r="EP130" s="875"/>
      <c r="EQ130" s="875"/>
      <c r="ER130" s="875"/>
      <c r="ES130" s="875"/>
      <c r="ET130" s="875"/>
      <c r="EU130" s="1180"/>
    </row>
    <row r="131" spans="1:151" ht="12.75" hidden="1" customHeight="1" outlineLevel="3">
      <c r="A131" s="960" t="s">
        <v>344</v>
      </c>
      <c r="B131" s="875"/>
      <c r="C131" s="875"/>
      <c r="D131" s="875"/>
      <c r="E131" s="875"/>
      <c r="F131" s="875"/>
      <c r="G131" s="875"/>
      <c r="H131" s="875"/>
      <c r="I131" s="875"/>
      <c r="J131" s="875"/>
      <c r="K131" s="875"/>
      <c r="L131" s="875"/>
      <c r="M131" s="875"/>
      <c r="N131" s="875"/>
      <c r="O131" s="632"/>
      <c r="P131" s="632"/>
      <c r="Q131" s="632"/>
      <c r="R131" s="632"/>
      <c r="S131" s="980"/>
      <c r="T131" s="875"/>
      <c r="U131" s="632"/>
      <c r="V131" s="632"/>
      <c r="W131" s="632"/>
      <c r="X131" s="632"/>
      <c r="Y131" s="980"/>
      <c r="Z131" s="875"/>
      <c r="AA131" s="632"/>
      <c r="AB131" s="632"/>
      <c r="AC131" s="632"/>
      <c r="AD131" s="632"/>
      <c r="AE131" s="980"/>
      <c r="AF131" s="875"/>
      <c r="AG131" s="632"/>
      <c r="AH131" s="632"/>
      <c r="AI131" s="632"/>
      <c r="AJ131" s="632"/>
      <c r="AK131" s="980"/>
      <c r="AL131" s="875"/>
      <c r="AM131" s="632"/>
      <c r="AN131" s="632"/>
      <c r="AO131" s="632"/>
      <c r="AP131" s="632"/>
      <c r="AQ131" s="980"/>
      <c r="AR131" s="875"/>
      <c r="AS131" s="632"/>
      <c r="AT131" s="632"/>
      <c r="AU131" s="632"/>
      <c r="AV131" s="632"/>
      <c r="AW131" s="980"/>
      <c r="AX131" s="875"/>
      <c r="AY131" s="632"/>
      <c r="AZ131" s="632"/>
      <c r="BA131" s="632"/>
      <c r="BB131" s="632"/>
      <c r="BC131" s="980"/>
      <c r="BD131" s="875"/>
      <c r="BE131" s="632"/>
      <c r="BF131" s="632"/>
      <c r="BG131" s="632"/>
      <c r="BH131" s="632"/>
      <c r="BI131" s="980"/>
      <c r="BJ131" s="875"/>
      <c r="BK131" s="632"/>
      <c r="BL131" s="632"/>
      <c r="BM131" s="632"/>
      <c r="BN131" s="632"/>
      <c r="BO131" s="1550"/>
      <c r="BP131" s="875"/>
      <c r="BQ131" s="632"/>
      <c r="BR131" s="632"/>
      <c r="BS131" s="632"/>
      <c r="BT131" s="632"/>
      <c r="BU131" s="1550"/>
      <c r="BV131" s="875"/>
      <c r="BW131" s="632"/>
      <c r="BX131" s="632"/>
      <c r="BY131" s="263"/>
      <c r="BZ131" s="632"/>
      <c r="CA131" s="1550"/>
      <c r="CB131" s="875"/>
      <c r="CC131" s="632"/>
      <c r="CD131" s="632"/>
      <c r="CE131" s="632"/>
      <c r="CF131" s="1503"/>
      <c r="CG131" s="1550"/>
      <c r="CH131" s="875"/>
      <c r="CI131" s="632"/>
      <c r="CJ131" s="632"/>
      <c r="CK131" s="980"/>
      <c r="CL131" s="980"/>
      <c r="CM131" s="1180"/>
      <c r="CN131" s="875"/>
      <c r="CO131" s="632"/>
      <c r="CP131" s="632"/>
      <c r="CQ131" s="632"/>
      <c r="CR131" s="980"/>
      <c r="CS131" s="1180"/>
      <c r="CT131" s="875"/>
      <c r="CU131" s="632"/>
      <c r="CV131" s="632"/>
      <c r="CW131" s="632"/>
      <c r="CX131" s="980"/>
      <c r="CY131" s="1180"/>
      <c r="CZ131" s="875"/>
      <c r="DA131" s="632"/>
      <c r="DB131" s="632"/>
      <c r="DC131" s="632"/>
      <c r="DD131" s="632"/>
      <c r="DE131" s="1180"/>
      <c r="DF131" s="875"/>
      <c r="DG131" s="632"/>
      <c r="DH131" s="632"/>
      <c r="DI131" s="632"/>
      <c r="DJ131" s="632"/>
      <c r="DK131" s="1180"/>
      <c r="DL131" s="875"/>
      <c r="DM131" s="875"/>
      <c r="DN131" s="632"/>
      <c r="DO131" s="632"/>
      <c r="DP131" s="632"/>
      <c r="DQ131" s="1180"/>
      <c r="DR131" s="875"/>
      <c r="DS131" s="875"/>
      <c r="DT131" s="875"/>
      <c r="DU131" s="875"/>
      <c r="DV131" s="875"/>
      <c r="DW131" s="1180"/>
      <c r="DX131" s="875"/>
      <c r="DY131" s="875"/>
      <c r="DZ131" s="875"/>
      <c r="EA131" s="875"/>
      <c r="EB131" s="875"/>
      <c r="EC131" s="1180"/>
      <c r="ED131" s="875"/>
      <c r="EE131" s="875"/>
      <c r="EF131" s="875"/>
      <c r="EG131" s="875"/>
      <c r="EH131" s="875"/>
      <c r="EI131" s="1180"/>
      <c r="EJ131" s="875"/>
      <c r="EK131" s="875"/>
      <c r="EL131" s="875"/>
      <c r="EM131" s="875"/>
      <c r="EN131" s="875"/>
      <c r="EO131" s="1180"/>
      <c r="EP131" s="875"/>
      <c r="EQ131" s="875"/>
      <c r="ER131" s="875"/>
      <c r="ES131" s="875"/>
      <c r="ET131" s="875"/>
      <c r="EU131" s="1180"/>
    </row>
    <row r="132" spans="1:151" ht="12.75" hidden="1" customHeight="1" outlineLevel="3">
      <c r="A132" s="1511" t="s">
        <v>3494</v>
      </c>
      <c r="B132" s="1512"/>
      <c r="C132" s="1512"/>
      <c r="D132" s="1512"/>
      <c r="E132" s="1512"/>
      <c r="F132" s="1512"/>
      <c r="G132" s="1512"/>
      <c r="H132" s="1512"/>
      <c r="I132" s="1512"/>
      <c r="J132" s="1512"/>
      <c r="K132" s="1512"/>
      <c r="L132" s="1512"/>
      <c r="M132" s="1512"/>
      <c r="N132" s="1512"/>
      <c r="O132" s="1513"/>
      <c r="P132" s="1513"/>
      <c r="Q132" s="1513"/>
      <c r="R132" s="1513"/>
      <c r="S132" s="1514"/>
      <c r="T132" s="1515"/>
      <c r="U132" s="1513"/>
      <c r="V132" s="1513"/>
      <c r="W132" s="1513"/>
      <c r="X132" s="1513"/>
      <c r="Y132" s="1514"/>
      <c r="Z132" s="1515"/>
      <c r="AA132" s="1513"/>
      <c r="AB132" s="1513"/>
      <c r="AC132" s="1513"/>
      <c r="AD132" s="1513"/>
      <c r="AE132" s="1514"/>
      <c r="AF132" s="1512"/>
      <c r="AG132" s="1513"/>
      <c r="AH132" s="1513"/>
      <c r="AI132" s="1513"/>
      <c r="AJ132" s="1513"/>
      <c r="AK132" s="1514"/>
      <c r="AL132" s="1512"/>
      <c r="AM132" s="1513"/>
      <c r="AN132" s="1513"/>
      <c r="AO132" s="1513"/>
      <c r="AP132" s="1513"/>
      <c r="AQ132" s="1514"/>
      <c r="AR132" s="1514"/>
      <c r="AS132" s="1513"/>
      <c r="AT132" s="1513"/>
      <c r="AU132" s="1513"/>
      <c r="AV132" s="1513"/>
      <c r="AW132" s="1514"/>
      <c r="AX132" s="1512"/>
      <c r="AY132" s="1513"/>
      <c r="AZ132" s="1513"/>
      <c r="BA132" s="1513"/>
      <c r="BB132" s="1513"/>
      <c r="BC132" s="1514"/>
      <c r="BD132" s="1512"/>
      <c r="BE132" s="1513"/>
      <c r="BF132" s="1513"/>
      <c r="BG132" s="1513"/>
      <c r="BH132" s="1513"/>
      <c r="BI132" s="1514"/>
      <c r="BJ132" s="1512"/>
      <c r="BK132" s="1513"/>
      <c r="BL132" s="1513"/>
      <c r="BM132" s="1513"/>
      <c r="BN132" s="1513"/>
      <c r="BO132" s="1531">
        <f>BO129/BO81</f>
        <v>0.62612035851472458</v>
      </c>
      <c r="BP132" s="1512"/>
      <c r="BQ132" s="1513"/>
      <c r="BR132" s="1513"/>
      <c r="BS132" s="1513"/>
      <c r="BT132" s="1513"/>
      <c r="BU132" s="1531">
        <f>BU129/BU81</f>
        <v>0.74054054054054064</v>
      </c>
      <c r="BV132" s="1512"/>
      <c r="BW132" s="1513"/>
      <c r="BX132" s="1513"/>
      <c r="BY132" s="1513"/>
      <c r="BZ132" s="1513"/>
      <c r="CA132" s="1531">
        <f>CA129/CA81</f>
        <v>0.75419847328244272</v>
      </c>
      <c r="CB132" s="1512"/>
      <c r="CC132" s="1513"/>
      <c r="CD132" s="1513"/>
      <c r="CE132" s="1513"/>
      <c r="CF132" s="1516"/>
      <c r="CG132" s="1531">
        <f>CG129/CG81</f>
        <v>0.76361713379164464</v>
      </c>
      <c r="CH132" s="964"/>
      <c r="CI132" s="1582">
        <f>CI129/CI81</f>
        <v>0.78260869565217395</v>
      </c>
      <c r="CJ132" s="1582">
        <f>CJ129/CJ81</f>
        <v>0.76767676767676762</v>
      </c>
      <c r="CK132" s="1582">
        <f>CK129/CK81</f>
        <v>0.78</v>
      </c>
      <c r="CL132" s="1582">
        <f>CL129/CL81</f>
        <v>0.78846153846153844</v>
      </c>
      <c r="CM132" s="1175"/>
      <c r="CN132" s="964"/>
      <c r="CO132" s="1582">
        <f>CO129/CO81</f>
        <v>0.81132075471698117</v>
      </c>
      <c r="CP132" s="1582">
        <f>CP129/CP81</f>
        <v>0.81481481481481477</v>
      </c>
      <c r="CQ132" s="1582">
        <f>CQ129/CQ81</f>
        <v>0.81132075471698117</v>
      </c>
      <c r="CR132" s="1582">
        <f>CR129/CR81</f>
        <v>0.81818181818181823</v>
      </c>
      <c r="CS132" s="1175"/>
      <c r="CT132" s="964"/>
      <c r="CU132" s="1582">
        <f>CU129/CU81</f>
        <v>0.82352941176470584</v>
      </c>
      <c r="CV132" s="1582">
        <f>CV129/CV81</f>
        <v>0.79591836734693877</v>
      </c>
      <c r="CW132" s="1582">
        <f>CW129/CW81</f>
        <v>0.79166666666666663</v>
      </c>
      <c r="CX132" s="1582">
        <f>CX129/CX81</f>
        <v>0.80851063829787229</v>
      </c>
      <c r="CY132" s="1175"/>
      <c r="CZ132" s="964"/>
      <c r="DA132" s="1582">
        <f>DA129/DA81</f>
        <v>0.78723404255319152</v>
      </c>
      <c r="DB132" s="1582">
        <f>DB129/DB81</f>
        <v>0.79069767441860461</v>
      </c>
      <c r="DC132" s="1582">
        <f>DC129/DC81</f>
        <v>0.79545454545454541</v>
      </c>
      <c r="DD132" s="1582">
        <f>DD129/DD81</f>
        <v>0.78048780487804881</v>
      </c>
      <c r="DE132" s="1175"/>
      <c r="DF132" s="964"/>
      <c r="DG132" s="1582">
        <f>DG129/DG81</f>
        <v>0.76315789473684215</v>
      </c>
      <c r="DH132" s="1582">
        <f>DH129/DH81</f>
        <v>0.72727272727272729</v>
      </c>
      <c r="DI132" s="1582">
        <f>DI129/DI81</f>
        <v>0.7441860465116279</v>
      </c>
      <c r="DJ132" s="1582">
        <f>DJ129/DJ81</f>
        <v>0.79069767441860461</v>
      </c>
      <c r="DK132" s="1175"/>
      <c r="DL132" s="964"/>
      <c r="DM132" s="1582">
        <f>DM129/DM81</f>
        <v>0.82499999999999996</v>
      </c>
      <c r="DN132" s="1582">
        <f>DN129/DN81</f>
        <v>0.78048780487804881</v>
      </c>
      <c r="DO132" s="1582">
        <f>DO129/DO81</f>
        <v>0.79487179487179482</v>
      </c>
      <c r="DP132" s="1582">
        <f>DP129/DP81</f>
        <v>0.8</v>
      </c>
      <c r="DQ132" s="1175"/>
      <c r="DR132" s="147"/>
      <c r="DS132" s="1582">
        <f>DS129/DS81</f>
        <v>0.94285714285714284</v>
      </c>
      <c r="DT132" s="964"/>
      <c r="DU132" s="964"/>
      <c r="DV132" s="964"/>
      <c r="DW132" s="1175"/>
      <c r="DX132" s="147"/>
      <c r="DY132" s="964"/>
      <c r="DZ132" s="964"/>
      <c r="EA132" s="964"/>
      <c r="EB132" s="964"/>
      <c r="EC132" s="1175"/>
      <c r="ED132" s="147"/>
      <c r="EE132" s="964"/>
      <c r="EF132" s="964"/>
      <c r="EG132" s="964"/>
      <c r="EH132" s="964"/>
      <c r="EI132" s="1175"/>
      <c r="EJ132" s="147"/>
      <c r="EK132" s="964"/>
      <c r="EL132" s="964"/>
      <c r="EM132" s="964"/>
      <c r="EN132" s="964"/>
      <c r="EO132" s="1175"/>
      <c r="EP132" s="147"/>
      <c r="EQ132" s="964"/>
      <c r="ER132" s="964"/>
      <c r="ES132" s="964"/>
      <c r="ET132" s="964"/>
      <c r="EU132" s="1175"/>
    </row>
    <row r="133" spans="1:151" ht="5.25" hidden="1" customHeight="1" outlineLevel="3">
      <c r="A133" s="266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280"/>
      <c r="T133" s="280"/>
      <c r="U133" s="280"/>
      <c r="V133" s="280"/>
      <c r="W133" s="280"/>
      <c r="X133" s="280"/>
      <c r="Y133" s="280"/>
      <c r="Z133" s="280"/>
      <c r="AA133" s="280"/>
      <c r="AB133" s="280"/>
      <c r="AC133" s="280"/>
      <c r="AD133" s="280"/>
      <c r="AE133" s="280"/>
      <c r="AF133" s="147"/>
      <c r="AG133" s="147"/>
      <c r="AH133" s="147"/>
      <c r="AI133" s="147"/>
      <c r="AJ133" s="147"/>
      <c r="AK133" s="281"/>
      <c r="AL133" s="147"/>
      <c r="AM133" s="281"/>
      <c r="AN133" s="281"/>
      <c r="AO133" s="281"/>
      <c r="AP133" s="281"/>
      <c r="AQ133" s="281"/>
      <c r="AR133" s="281"/>
      <c r="AS133" s="281"/>
      <c r="AT133" s="281"/>
      <c r="AU133" s="281"/>
      <c r="AV133" s="281"/>
      <c r="AW133" s="281"/>
      <c r="AX133" s="281"/>
      <c r="AY133" s="281"/>
      <c r="AZ133" s="281"/>
      <c r="BA133" s="281"/>
      <c r="BB133" s="281"/>
      <c r="BC133" s="281"/>
      <c r="BD133" s="147"/>
      <c r="BE133" s="281"/>
      <c r="BF133" s="141"/>
      <c r="BG133" s="141"/>
      <c r="BH133" s="141"/>
      <c r="BI133" s="281"/>
      <c r="BJ133" s="147"/>
      <c r="BK133" s="281"/>
      <c r="BL133" s="147"/>
      <c r="BM133" s="147"/>
      <c r="BN133" s="147"/>
      <c r="BO133" s="1554"/>
      <c r="BP133" s="147"/>
      <c r="BQ133" s="281"/>
      <c r="BR133" s="147"/>
      <c r="BS133" s="147"/>
      <c r="BT133" s="147"/>
      <c r="BU133" s="1554"/>
      <c r="BV133" s="147"/>
      <c r="BW133" s="281"/>
      <c r="BX133" s="281"/>
      <c r="BY133" s="281"/>
      <c r="BZ133" s="281"/>
      <c r="CA133" s="1554"/>
      <c r="CB133" s="147"/>
      <c r="CC133" s="147"/>
      <c r="CD133" s="281"/>
      <c r="CE133" s="281"/>
      <c r="CF133" s="1509"/>
      <c r="CG133" s="1554"/>
      <c r="CH133" s="147"/>
      <c r="CI133" s="147"/>
      <c r="CJ133" s="147"/>
      <c r="CK133" s="141"/>
      <c r="CL133" s="141"/>
      <c r="CM133" s="1096"/>
      <c r="CN133" s="147"/>
      <c r="CO133" s="147"/>
      <c r="CP133" s="147"/>
      <c r="CQ133" s="147"/>
      <c r="CR133" s="141"/>
      <c r="CS133" s="1096"/>
      <c r="CT133" s="147"/>
      <c r="CU133" s="147"/>
      <c r="CV133" s="147"/>
      <c r="CW133" s="147"/>
      <c r="CX133" s="141"/>
      <c r="CY133" s="1096"/>
      <c r="CZ133" s="147"/>
      <c r="DA133" s="147"/>
      <c r="DB133" s="147"/>
      <c r="DC133" s="147"/>
      <c r="DD133" s="147"/>
      <c r="DE133" s="1096"/>
      <c r="DF133" s="147"/>
      <c r="DG133" s="147"/>
      <c r="DH133" s="147"/>
      <c r="DI133" s="147"/>
      <c r="DJ133" s="147"/>
      <c r="DK133" s="1096"/>
      <c r="DL133" s="147"/>
      <c r="DM133" s="147"/>
      <c r="DN133" s="147"/>
      <c r="DO133" s="147"/>
      <c r="DP133" s="147"/>
      <c r="DQ133" s="1096"/>
      <c r="DR133" s="147"/>
      <c r="DS133" s="147"/>
      <c r="DT133" s="147"/>
      <c r="DU133" s="147"/>
      <c r="DV133" s="147"/>
      <c r="DW133" s="1096"/>
      <c r="DX133" s="147"/>
      <c r="DY133" s="147"/>
      <c r="DZ133" s="147"/>
      <c r="EA133" s="147"/>
      <c r="EB133" s="147"/>
      <c r="EC133" s="1096"/>
      <c r="ED133" s="147"/>
      <c r="EE133" s="147"/>
      <c r="EF133" s="147"/>
      <c r="EG133" s="147"/>
      <c r="EH133" s="147"/>
      <c r="EI133" s="1096"/>
      <c r="EJ133" s="147"/>
      <c r="EK133" s="147"/>
      <c r="EL133" s="147"/>
      <c r="EM133" s="147"/>
      <c r="EN133" s="147"/>
      <c r="EO133" s="1096"/>
      <c r="EP133" s="147"/>
      <c r="EQ133" s="147"/>
      <c r="ER133" s="147"/>
      <c r="ES133" s="147"/>
      <c r="ET133" s="147"/>
      <c r="EU133" s="1096"/>
    </row>
    <row r="134" spans="1:151" ht="12.75" hidden="1" customHeight="1" outlineLevel="3">
      <c r="A134" s="951" t="s">
        <v>5166</v>
      </c>
      <c r="B134" s="589"/>
      <c r="C134" s="589"/>
      <c r="D134" s="589"/>
      <c r="E134" s="589"/>
      <c r="F134" s="589"/>
      <c r="G134" s="589"/>
      <c r="H134" s="589"/>
      <c r="I134" s="589"/>
      <c r="J134" s="589"/>
      <c r="K134" s="589"/>
      <c r="L134" s="589"/>
      <c r="M134" s="589"/>
      <c r="N134" s="589"/>
      <c r="O134" s="589"/>
      <c r="P134" s="589"/>
      <c r="Q134" s="589"/>
      <c r="R134" s="589"/>
      <c r="S134" s="952"/>
      <c r="T134" s="952"/>
      <c r="U134" s="952"/>
      <c r="V134" s="952"/>
      <c r="W134" s="952"/>
      <c r="X134" s="952"/>
      <c r="Y134" s="952"/>
      <c r="Z134" s="952"/>
      <c r="AA134" s="952"/>
      <c r="AB134" s="952"/>
      <c r="AC134" s="952"/>
      <c r="AD134" s="952"/>
      <c r="AE134" s="952"/>
      <c r="AF134" s="589"/>
      <c r="AG134" s="981"/>
      <c r="AH134" s="981"/>
      <c r="AI134" s="981"/>
      <c r="AJ134" s="981"/>
      <c r="AK134" s="981"/>
      <c r="AL134" s="589"/>
      <c r="AM134" s="636"/>
      <c r="AN134" s="636"/>
      <c r="AO134" s="636"/>
      <c r="AP134" s="636"/>
      <c r="AQ134" s="636"/>
      <c r="AR134" s="636"/>
      <c r="AS134" s="636"/>
      <c r="AT134" s="636"/>
      <c r="AU134" s="636"/>
      <c r="AV134" s="636"/>
      <c r="AW134" s="636"/>
      <c r="AX134" s="375"/>
      <c r="AY134" s="636"/>
      <c r="AZ134" s="636"/>
      <c r="BA134" s="636"/>
      <c r="BB134" s="636"/>
      <c r="BC134" s="636"/>
      <c r="BD134" s="375"/>
      <c r="BE134" s="636"/>
      <c r="BF134" s="636"/>
      <c r="BG134" s="636"/>
      <c r="BH134" s="636"/>
      <c r="BI134" s="636"/>
      <c r="BJ134" s="375"/>
      <c r="BK134" s="636"/>
      <c r="BL134" s="636"/>
      <c r="BM134" s="636"/>
      <c r="BN134" s="636"/>
      <c r="BO134" s="1162"/>
      <c r="BP134" s="375"/>
      <c r="BQ134" s="636"/>
      <c r="BR134" s="636"/>
      <c r="BS134" s="636"/>
      <c r="BT134" s="636"/>
      <c r="BU134" s="1162"/>
      <c r="BV134" s="589"/>
      <c r="BW134" s="636"/>
      <c r="BX134" s="636"/>
      <c r="BY134" s="636"/>
      <c r="BZ134" s="636"/>
      <c r="CA134" s="1162"/>
      <c r="CB134" s="589"/>
      <c r="CC134" s="636"/>
      <c r="CD134" s="636"/>
      <c r="CE134" s="636"/>
      <c r="CF134" s="589"/>
      <c r="CG134" s="1162">
        <v>0</v>
      </c>
      <c r="CH134" s="589"/>
      <c r="CI134" s="636">
        <v>-9</v>
      </c>
      <c r="CJ134" s="636">
        <v>-9</v>
      </c>
      <c r="CK134" s="981">
        <v>-9</v>
      </c>
      <c r="CL134" s="981">
        <v>-9</v>
      </c>
      <c r="CM134" s="1181"/>
      <c r="CN134" s="589"/>
      <c r="CO134" s="636">
        <v>-9</v>
      </c>
      <c r="CP134" s="636">
        <v>-10</v>
      </c>
      <c r="CQ134" s="636">
        <f>-12</f>
        <v>-12</v>
      </c>
      <c r="CR134" s="981">
        <v>-11</v>
      </c>
      <c r="CS134" s="1181"/>
      <c r="CT134" s="589"/>
      <c r="CU134" s="636">
        <v>-11</v>
      </c>
      <c r="CV134" s="636">
        <v>-11</v>
      </c>
      <c r="CW134" s="636">
        <v>-11</v>
      </c>
      <c r="CX134" s="981">
        <v>-12</v>
      </c>
      <c r="CY134" s="1181"/>
      <c r="CZ134" s="589"/>
      <c r="DA134" s="981">
        <v>-12</v>
      </c>
      <c r="DB134" s="636">
        <v>-12</v>
      </c>
      <c r="DC134" s="636">
        <v>-12</v>
      </c>
      <c r="DD134" s="636">
        <v>-14</v>
      </c>
      <c r="DE134" s="1181"/>
      <c r="DF134" s="589"/>
      <c r="DG134" s="981">
        <v>-15</v>
      </c>
      <c r="DH134" s="636">
        <v>-16</v>
      </c>
      <c r="DI134" s="636">
        <v>-15</v>
      </c>
      <c r="DJ134" s="636">
        <v>-15</v>
      </c>
      <c r="DK134" s="1181"/>
      <c r="DL134" s="589"/>
      <c r="DM134" s="589">
        <v>-16</v>
      </c>
      <c r="DN134" s="636">
        <v>-14</v>
      </c>
      <c r="DO134" s="636">
        <v>-15</v>
      </c>
      <c r="DP134" s="636">
        <v>-15</v>
      </c>
      <c r="DQ134" s="1181"/>
      <c r="DR134" s="589"/>
      <c r="DS134" s="589">
        <v>-16</v>
      </c>
      <c r="DT134" s="589"/>
      <c r="DU134" s="589"/>
      <c r="DV134" s="589"/>
      <c r="DW134" s="1181"/>
      <c r="DX134" s="589"/>
      <c r="DY134" s="589"/>
      <c r="DZ134" s="589"/>
      <c r="EA134" s="589"/>
      <c r="EB134" s="589"/>
      <c r="EC134" s="1181"/>
      <c r="ED134" s="589"/>
      <c r="EE134" s="589"/>
      <c r="EF134" s="589"/>
      <c r="EG134" s="589"/>
      <c r="EH134" s="589"/>
      <c r="EI134" s="1181"/>
      <c r="EJ134" s="589"/>
      <c r="EK134" s="589"/>
      <c r="EL134" s="589"/>
      <c r="EM134" s="589"/>
      <c r="EN134" s="589"/>
      <c r="EO134" s="1181"/>
      <c r="EP134" s="589"/>
      <c r="EQ134" s="589"/>
      <c r="ER134" s="589"/>
      <c r="ES134" s="589"/>
      <c r="ET134" s="589"/>
      <c r="EU134" s="1181"/>
    </row>
    <row r="135" spans="1:151" hidden="1" outlineLevel="3">
      <c r="A135" s="583" t="s">
        <v>345</v>
      </c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263"/>
      <c r="P135" s="263"/>
      <c r="Q135" s="263"/>
      <c r="R135" s="263"/>
      <c r="S135" s="263"/>
      <c r="T135" s="147"/>
      <c r="U135" s="263"/>
      <c r="V135" s="263"/>
      <c r="W135" s="263"/>
      <c r="X135" s="263"/>
      <c r="Y135" s="263"/>
      <c r="Z135" s="147"/>
      <c r="AA135" s="263"/>
      <c r="AB135" s="263"/>
      <c r="AC135" s="263"/>
      <c r="AD135" s="263"/>
      <c r="AE135" s="263"/>
      <c r="AF135" s="147"/>
      <c r="AG135" s="263"/>
      <c r="AH135" s="263"/>
      <c r="AI135" s="263"/>
      <c r="AJ135" s="263"/>
      <c r="AK135" s="263"/>
      <c r="AL135" s="147"/>
      <c r="AM135" s="263"/>
      <c r="AN135" s="263"/>
      <c r="AO135" s="263"/>
      <c r="AP135" s="263"/>
      <c r="AQ135" s="263"/>
      <c r="AR135" s="147"/>
      <c r="AS135" s="263"/>
      <c r="AT135" s="263"/>
      <c r="AU135" s="263"/>
      <c r="AV135" s="263"/>
      <c r="AW135" s="263"/>
      <c r="AX135" s="147"/>
      <c r="AY135" s="263"/>
      <c r="AZ135" s="263"/>
      <c r="BA135" s="263"/>
      <c r="BB135" s="263"/>
      <c r="BC135" s="263"/>
      <c r="BD135" s="147"/>
      <c r="BE135" s="263"/>
      <c r="BF135" s="263"/>
      <c r="BG135" s="263"/>
      <c r="BH135" s="263"/>
      <c r="BI135" s="263"/>
      <c r="BJ135" s="147"/>
      <c r="BK135" s="263"/>
      <c r="BL135" s="263"/>
      <c r="BM135" s="263"/>
      <c r="BN135" s="263"/>
      <c r="BO135" s="1104"/>
      <c r="BP135" s="147"/>
      <c r="BQ135" s="263"/>
      <c r="BR135" s="263"/>
      <c r="BS135" s="263"/>
      <c r="BT135" s="263"/>
      <c r="BU135" s="1104"/>
      <c r="BV135" s="147"/>
      <c r="BW135" s="263"/>
      <c r="BX135" s="263"/>
      <c r="BY135" s="263"/>
      <c r="BZ135" s="263"/>
      <c r="CA135" s="1104"/>
      <c r="CB135" s="147"/>
      <c r="CC135" s="263"/>
      <c r="CD135" s="263"/>
      <c r="CE135" s="263"/>
      <c r="CF135" s="147"/>
      <c r="CG135" s="1104"/>
      <c r="CH135" s="147"/>
      <c r="CI135" s="263"/>
      <c r="CJ135" s="263"/>
      <c r="CK135" s="141"/>
      <c r="CL135" s="147"/>
      <c r="CM135" s="1096"/>
      <c r="CN135" s="147"/>
      <c r="CO135" s="263"/>
      <c r="CP135" s="263"/>
      <c r="CQ135" s="147"/>
      <c r="CR135" s="147"/>
      <c r="CS135" s="1096"/>
      <c r="CT135" s="147"/>
      <c r="CU135" s="263"/>
      <c r="CV135" s="147"/>
      <c r="CW135" s="147"/>
      <c r="CX135" s="147"/>
      <c r="CY135" s="1096"/>
      <c r="CZ135" s="147"/>
      <c r="DA135" s="147"/>
      <c r="DB135" s="263"/>
      <c r="DC135" s="263"/>
      <c r="DD135" s="147"/>
      <c r="DE135" s="1096"/>
      <c r="DF135" s="147"/>
      <c r="DG135" s="147"/>
      <c r="DH135" s="147"/>
      <c r="DI135" s="147"/>
      <c r="DJ135" s="147"/>
      <c r="DK135" s="1096"/>
      <c r="DL135" s="147"/>
      <c r="DM135" s="147"/>
      <c r="DN135" s="147"/>
      <c r="DO135" s="147"/>
      <c r="DP135" s="147"/>
      <c r="DQ135" s="1096"/>
      <c r="DR135" s="147"/>
      <c r="DS135" s="147"/>
      <c r="DT135" s="147"/>
      <c r="DU135" s="147"/>
      <c r="DV135" s="147"/>
      <c r="DW135" s="1096"/>
      <c r="DX135" s="147"/>
      <c r="DY135" s="147"/>
      <c r="DZ135" s="147"/>
      <c r="EA135" s="147"/>
      <c r="EB135" s="147"/>
      <c r="EC135" s="1096"/>
      <c r="ED135" s="147"/>
      <c r="EE135" s="147"/>
      <c r="EF135" s="147"/>
      <c r="EG135" s="147"/>
      <c r="EH135" s="147"/>
      <c r="EI135" s="1096"/>
      <c r="EJ135" s="147"/>
      <c r="EK135" s="147"/>
      <c r="EL135" s="147"/>
      <c r="EM135" s="147"/>
      <c r="EN135" s="147"/>
      <c r="EO135" s="1096"/>
      <c r="EP135" s="147"/>
      <c r="EQ135" s="147"/>
      <c r="ER135" s="147"/>
      <c r="ES135" s="147"/>
      <c r="ET135" s="147"/>
      <c r="EU135" s="1096"/>
    </row>
    <row r="136" spans="1:151" ht="12.75" hidden="1" customHeight="1" outlineLevel="3">
      <c r="A136" s="963" t="s">
        <v>344</v>
      </c>
      <c r="B136" s="964"/>
      <c r="C136" s="964"/>
      <c r="D136" s="964"/>
      <c r="E136" s="964"/>
      <c r="F136" s="964"/>
      <c r="G136" s="964"/>
      <c r="H136" s="964"/>
      <c r="I136" s="964"/>
      <c r="J136" s="964"/>
      <c r="K136" s="964"/>
      <c r="L136" s="964"/>
      <c r="M136" s="964"/>
      <c r="N136" s="964"/>
      <c r="O136" s="965"/>
      <c r="P136" s="965"/>
      <c r="Q136" s="965"/>
      <c r="R136" s="965"/>
      <c r="S136" s="966"/>
      <c r="T136" s="964"/>
      <c r="U136" s="965"/>
      <c r="V136" s="965"/>
      <c r="W136" s="965"/>
      <c r="X136" s="965"/>
      <c r="Y136" s="966"/>
      <c r="Z136" s="964"/>
      <c r="AA136" s="965"/>
      <c r="AB136" s="965"/>
      <c r="AC136" s="965"/>
      <c r="AD136" s="965"/>
      <c r="AE136" s="966"/>
      <c r="AF136" s="964"/>
      <c r="AG136" s="965"/>
      <c r="AH136" s="965"/>
      <c r="AI136" s="965"/>
      <c r="AJ136" s="965"/>
      <c r="AK136" s="966"/>
      <c r="AL136" s="964"/>
      <c r="AM136" s="965"/>
      <c r="AN136" s="965"/>
      <c r="AO136" s="965"/>
      <c r="AP136" s="965"/>
      <c r="AQ136" s="966"/>
      <c r="AR136" s="964"/>
      <c r="AS136" s="965"/>
      <c r="AT136" s="965"/>
      <c r="AU136" s="965"/>
      <c r="AV136" s="965"/>
      <c r="AW136" s="966"/>
      <c r="AX136" s="964"/>
      <c r="AY136" s="965"/>
      <c r="AZ136" s="965"/>
      <c r="BA136" s="965"/>
      <c r="BB136" s="965"/>
      <c r="BC136" s="966"/>
      <c r="BD136" s="964"/>
      <c r="BE136" s="965"/>
      <c r="BF136" s="965"/>
      <c r="BG136" s="965"/>
      <c r="BH136" s="965"/>
      <c r="BI136" s="966"/>
      <c r="BJ136" s="964"/>
      <c r="BK136" s="965"/>
      <c r="BL136" s="965"/>
      <c r="BM136" s="965"/>
      <c r="BN136" s="965"/>
      <c r="BO136" s="1118"/>
      <c r="BP136" s="964"/>
      <c r="BQ136" s="965"/>
      <c r="BR136" s="965"/>
      <c r="BS136" s="965"/>
      <c r="BT136" s="965"/>
      <c r="BU136" s="1118"/>
      <c r="BV136" s="964"/>
      <c r="BW136" s="965"/>
      <c r="BX136" s="965"/>
      <c r="BY136" s="965"/>
      <c r="BZ136" s="964"/>
      <c r="CA136" s="1118"/>
      <c r="CB136" s="964"/>
      <c r="CC136" s="965"/>
      <c r="CD136" s="965"/>
      <c r="CE136" s="965"/>
      <c r="CF136" s="964"/>
      <c r="CG136" s="1118"/>
      <c r="CH136" s="964"/>
      <c r="CI136" s="965"/>
      <c r="CJ136" s="965"/>
      <c r="CK136" s="966"/>
      <c r="CL136" s="964"/>
      <c r="CM136" s="1175"/>
      <c r="CN136" s="964"/>
      <c r="CO136" s="965"/>
      <c r="CP136" s="965"/>
      <c r="CQ136" s="964"/>
      <c r="CR136" s="964"/>
      <c r="CS136" s="1175"/>
      <c r="CT136" s="964"/>
      <c r="CU136" s="965"/>
      <c r="CV136" s="964"/>
      <c r="CW136" s="964"/>
      <c r="CX136" s="964"/>
      <c r="CY136" s="1175"/>
      <c r="CZ136" s="964"/>
      <c r="DA136" s="964"/>
      <c r="DB136" s="965"/>
      <c r="DC136" s="965"/>
      <c r="DD136" s="964"/>
      <c r="DE136" s="1175"/>
      <c r="DF136" s="964"/>
      <c r="DG136" s="964"/>
      <c r="DH136" s="964"/>
      <c r="DI136" s="964"/>
      <c r="DJ136" s="964"/>
      <c r="DK136" s="1175"/>
      <c r="DL136" s="964"/>
      <c r="DM136" s="964"/>
      <c r="DN136" s="964"/>
      <c r="DO136" s="964"/>
      <c r="DP136" s="964"/>
      <c r="DQ136" s="1175"/>
      <c r="DR136" s="147"/>
      <c r="DS136" s="964"/>
      <c r="DT136" s="964"/>
      <c r="DU136" s="964"/>
      <c r="DV136" s="964"/>
      <c r="DW136" s="1175"/>
      <c r="DX136" s="147"/>
      <c r="DY136" s="964"/>
      <c r="DZ136" s="964"/>
      <c r="EA136" s="964"/>
      <c r="EB136" s="964"/>
      <c r="EC136" s="1175"/>
      <c r="ED136" s="147"/>
      <c r="EE136" s="964"/>
      <c r="EF136" s="964"/>
      <c r="EG136" s="964"/>
      <c r="EH136" s="964"/>
      <c r="EI136" s="1175"/>
      <c r="EJ136" s="147"/>
      <c r="EK136" s="964"/>
      <c r="EL136" s="964"/>
      <c r="EM136" s="964"/>
      <c r="EN136" s="964"/>
      <c r="EO136" s="1175"/>
      <c r="EP136" s="147"/>
      <c r="EQ136" s="964"/>
      <c r="ER136" s="964"/>
      <c r="ES136" s="964"/>
      <c r="ET136" s="964"/>
      <c r="EU136" s="1175"/>
    </row>
    <row r="137" spans="1:151" ht="5.25" hidden="1" customHeight="1" outlineLevel="3" thickBot="1">
      <c r="A137" s="266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280"/>
      <c r="T137" s="280"/>
      <c r="U137" s="280"/>
      <c r="V137" s="280"/>
      <c r="W137" s="280"/>
      <c r="X137" s="280"/>
      <c r="Y137" s="280"/>
      <c r="Z137" s="280"/>
      <c r="AA137" s="280"/>
      <c r="AB137" s="280"/>
      <c r="AC137" s="280"/>
      <c r="AD137" s="280"/>
      <c r="AE137" s="280"/>
      <c r="AF137" s="147"/>
      <c r="AG137" s="147"/>
      <c r="AH137" s="147"/>
      <c r="AI137" s="147"/>
      <c r="AJ137" s="147"/>
      <c r="AK137" s="281"/>
      <c r="AL137" s="147"/>
      <c r="AM137" s="281"/>
      <c r="AN137" s="281"/>
      <c r="AO137" s="281"/>
      <c r="AP137" s="281"/>
      <c r="AQ137" s="281"/>
      <c r="AR137" s="281"/>
      <c r="AS137" s="281"/>
      <c r="AT137" s="281"/>
      <c r="AU137" s="281"/>
      <c r="AV137" s="281"/>
      <c r="AW137" s="281"/>
      <c r="AX137" s="281"/>
      <c r="AY137" s="281"/>
      <c r="AZ137" s="281"/>
      <c r="BA137" s="281"/>
      <c r="BB137" s="281"/>
      <c r="BC137" s="281"/>
      <c r="BD137" s="147"/>
      <c r="BE137" s="281"/>
      <c r="BF137" s="141"/>
      <c r="BG137" s="141"/>
      <c r="BH137" s="141"/>
      <c r="BI137" s="281"/>
      <c r="BJ137" s="147"/>
      <c r="BK137" s="281"/>
      <c r="BL137" s="147"/>
      <c r="BM137" s="147"/>
      <c r="BN137" s="147"/>
      <c r="BO137" s="1113"/>
      <c r="BP137" s="147"/>
      <c r="BQ137" s="281"/>
      <c r="BR137" s="147"/>
      <c r="BS137" s="147"/>
      <c r="BT137" s="147"/>
      <c r="BU137" s="1113"/>
      <c r="BV137" s="147"/>
      <c r="BW137" s="281"/>
      <c r="BX137" s="281"/>
      <c r="BY137" s="281"/>
      <c r="BZ137" s="147"/>
      <c r="CA137" s="1113"/>
      <c r="CB137" s="147"/>
      <c r="CC137" s="281"/>
      <c r="CD137" s="281"/>
      <c r="CE137" s="281"/>
      <c r="CF137" s="147"/>
      <c r="CG137" s="1113"/>
      <c r="CH137" s="147"/>
      <c r="CI137" s="281"/>
      <c r="CJ137" s="281"/>
      <c r="CK137" s="141"/>
      <c r="CL137" s="147"/>
      <c r="CM137" s="1096"/>
      <c r="CN137" s="147"/>
      <c r="CO137" s="281"/>
      <c r="CP137" s="281"/>
      <c r="CQ137" s="147"/>
      <c r="CR137" s="147"/>
      <c r="CS137" s="1096"/>
      <c r="CT137" s="147"/>
      <c r="CU137" s="281"/>
      <c r="CV137" s="147"/>
      <c r="CW137" s="147"/>
      <c r="CX137" s="147"/>
      <c r="CY137" s="1096"/>
      <c r="CZ137" s="147"/>
      <c r="DA137" s="147"/>
      <c r="DB137" s="281"/>
      <c r="DC137" s="281"/>
      <c r="DD137" s="147"/>
      <c r="DE137" s="1096"/>
      <c r="DF137" s="147"/>
      <c r="DG137" s="147"/>
      <c r="DH137" s="147"/>
      <c r="DI137" s="147"/>
      <c r="DJ137" s="147"/>
      <c r="DK137" s="1096"/>
      <c r="DL137" s="147"/>
      <c r="DM137" s="147"/>
      <c r="DN137" s="147"/>
      <c r="DO137" s="147"/>
      <c r="DP137" s="147"/>
      <c r="DQ137" s="1096"/>
      <c r="DR137" s="147"/>
      <c r="DS137" s="147"/>
      <c r="DT137" s="147"/>
      <c r="DU137" s="147"/>
      <c r="DV137" s="147"/>
      <c r="DW137" s="1096"/>
      <c r="DX137" s="147"/>
      <c r="DY137" s="147"/>
      <c r="DZ137" s="147"/>
      <c r="EA137" s="147"/>
      <c r="EB137" s="147"/>
      <c r="EC137" s="1096"/>
      <c r="ED137" s="147"/>
      <c r="EE137" s="147"/>
      <c r="EF137" s="147"/>
      <c r="EG137" s="147"/>
      <c r="EH137" s="147"/>
      <c r="EI137" s="1096"/>
      <c r="EJ137" s="147"/>
      <c r="EK137" s="147"/>
      <c r="EL137" s="147"/>
      <c r="EM137" s="147"/>
      <c r="EN137" s="147"/>
      <c r="EO137" s="1096"/>
      <c r="EP137" s="147"/>
      <c r="EQ137" s="147"/>
      <c r="ER137" s="147"/>
      <c r="ES137" s="147"/>
      <c r="ET137" s="147"/>
      <c r="EU137" s="1096"/>
    </row>
    <row r="138" spans="1:151" ht="12.75" hidden="1" customHeight="1" outlineLevel="3">
      <c r="A138" s="968" t="s">
        <v>3495</v>
      </c>
      <c r="B138" s="969"/>
      <c r="C138" s="970"/>
      <c r="D138" s="970"/>
      <c r="E138" s="970"/>
      <c r="F138" s="970"/>
      <c r="G138" s="970"/>
      <c r="H138" s="970"/>
      <c r="I138" s="970"/>
      <c r="J138" s="970"/>
      <c r="K138" s="970"/>
      <c r="L138" s="970"/>
      <c r="M138" s="970"/>
      <c r="N138" s="970"/>
      <c r="O138" s="970"/>
      <c r="P138" s="970"/>
      <c r="Q138" s="970"/>
      <c r="R138" s="970"/>
      <c r="S138" s="971"/>
      <c r="T138" s="971"/>
      <c r="U138" s="971"/>
      <c r="V138" s="971"/>
      <c r="W138" s="971"/>
      <c r="X138" s="971"/>
      <c r="Y138" s="971"/>
      <c r="Z138" s="971"/>
      <c r="AA138" s="971"/>
      <c r="AB138" s="971"/>
      <c r="AC138" s="972"/>
      <c r="AD138" s="972"/>
      <c r="AE138" s="972"/>
      <c r="AF138" s="973"/>
      <c r="AG138" s="972"/>
      <c r="AH138" s="972"/>
      <c r="AI138" s="972"/>
      <c r="AJ138" s="972"/>
      <c r="AK138" s="972"/>
      <c r="AL138" s="973"/>
      <c r="AM138" s="974"/>
      <c r="AN138" s="974"/>
      <c r="AO138" s="974"/>
      <c r="AP138" s="974"/>
      <c r="AQ138" s="974"/>
      <c r="AR138" s="973"/>
      <c r="AS138" s="974"/>
      <c r="AT138" s="974"/>
      <c r="AU138" s="974"/>
      <c r="AV138" s="974"/>
      <c r="AW138" s="974"/>
      <c r="AX138" s="973"/>
      <c r="AY138" s="974"/>
      <c r="AZ138" s="974"/>
      <c r="BA138" s="974"/>
      <c r="BB138" s="974"/>
      <c r="BC138" s="974"/>
      <c r="BD138" s="975"/>
      <c r="BE138" s="974"/>
      <c r="BF138" s="974"/>
      <c r="BG138" s="974"/>
      <c r="BH138" s="974"/>
      <c r="BI138" s="974"/>
      <c r="BJ138" s="975"/>
      <c r="BK138" s="974"/>
      <c r="BL138" s="974"/>
      <c r="BM138" s="974"/>
      <c r="BN138" s="974"/>
      <c r="BO138" s="1119">
        <f>SUM(BO134,BO129,BO124,BO120,BO116)</f>
        <v>1628.2</v>
      </c>
      <c r="BP138" s="975"/>
      <c r="BQ138" s="974"/>
      <c r="BR138" s="974"/>
      <c r="BS138" s="974"/>
      <c r="BT138" s="974"/>
      <c r="BU138" s="1119">
        <f>SUM(BU134,BU129,BU124,BU120,BU116)</f>
        <v>1969.2</v>
      </c>
      <c r="BV138" s="969"/>
      <c r="BW138" s="974"/>
      <c r="BX138" s="974"/>
      <c r="BY138" s="974"/>
      <c r="BZ138" s="974"/>
      <c r="CA138" s="1119">
        <f>SUM(CA134,CA129,CA124,CA120,CA116)</f>
        <v>2107.9</v>
      </c>
      <c r="CB138" s="969"/>
      <c r="CC138" s="974"/>
      <c r="CD138" s="974"/>
      <c r="CE138" s="1557"/>
      <c r="CF138" s="974"/>
      <c r="CG138" s="1119">
        <f>SUM(CG134,CG129,CG124,CG120,CG116)</f>
        <v>1557.7</v>
      </c>
      <c r="CH138" s="969"/>
      <c r="CI138" s="974">
        <f>SUM(CI134,CI129,CI124,CI120,CI116)</f>
        <v>423</v>
      </c>
      <c r="CJ138" s="974">
        <f>SUM(CJ134,CJ129,CJ124,CJ120,CJ116)</f>
        <v>424</v>
      </c>
      <c r="CK138" s="974">
        <f>SUM(CK134,CK129,CK124,CK120,CK116)</f>
        <v>428</v>
      </c>
      <c r="CL138" s="974">
        <f>SUM(CL134,CL129,CL124,CL120,CL116)</f>
        <v>479</v>
      </c>
      <c r="CM138" s="1182"/>
      <c r="CN138" s="969"/>
      <c r="CO138" s="974">
        <f>SUM(CO134,CO129,CO124,CO120,CO116)</f>
        <v>474</v>
      </c>
      <c r="CP138" s="974">
        <f>SUM(CP134,CP129,CP124,CP120,CP116)</f>
        <v>488</v>
      </c>
      <c r="CQ138" s="974">
        <f>SUM(CQ134,CQ129,CQ124,CQ120,CQ116)</f>
        <v>489</v>
      </c>
      <c r="CR138" s="974">
        <f>SUM(CR134,CR129,CR124,CR120,CR116)</f>
        <v>535</v>
      </c>
      <c r="CS138" s="1182"/>
      <c r="CT138" s="969"/>
      <c r="CU138" s="974">
        <f>SUM(CU134,CU129,CU124,CU120,CU116)</f>
        <v>532</v>
      </c>
      <c r="CV138" s="974">
        <f>SUM(CV134,CV129,CV124,CV120,CV116)</f>
        <v>511</v>
      </c>
      <c r="CW138" s="974">
        <f>SUM(CW134,CW129,CW124,CW120,CW116)</f>
        <v>491</v>
      </c>
      <c r="CX138" s="974">
        <f>SUM(CX134,CX129,CX124,CX120,CX116)</f>
        <v>547</v>
      </c>
      <c r="CY138" s="1182"/>
      <c r="CZ138" s="969"/>
      <c r="DA138" s="974">
        <f>SUM(DA134,DA129,DA124,DA120,DA116)</f>
        <v>504</v>
      </c>
      <c r="DB138" s="974">
        <f>SUM(DB134,DB129,DB124,DB120,DB116)</f>
        <v>495</v>
      </c>
      <c r="DC138" s="974">
        <f>SUM(DC134,DC129,DC124,DC120,DC116)</f>
        <v>488</v>
      </c>
      <c r="DD138" s="974">
        <f>SUM(DD134,DD129,DD124,DD120,DD116)</f>
        <v>514</v>
      </c>
      <c r="DE138" s="1182"/>
      <c r="DF138" s="969"/>
      <c r="DG138" s="974">
        <f>SUM(DG134,DG129,DG124,DG120,DG116)</f>
        <v>514</v>
      </c>
      <c r="DH138" s="974">
        <f>SUM(DH134,DH129,DH124,DH120,DH116)</f>
        <v>549</v>
      </c>
      <c r="DI138" s="974">
        <f>SUM(DI134,DI129,DI124,DI120,DI116)</f>
        <v>531</v>
      </c>
      <c r="DJ138" s="974">
        <f>SUM(DJ134,DJ129,DJ124,DJ120,DJ116)</f>
        <v>575</v>
      </c>
      <c r="DK138" s="1182"/>
      <c r="DL138" s="969"/>
      <c r="DM138" s="974">
        <f>SUM(DM134,DM129,DM124,DM120,DM116)</f>
        <v>555</v>
      </c>
      <c r="DN138" s="974">
        <f>SUM(DN134,DN129,DN124,DN120,DN116)</f>
        <v>517</v>
      </c>
      <c r="DO138" s="974">
        <f>SUM(DO134,DO129,DO124,DO120,DO116)</f>
        <v>509</v>
      </c>
      <c r="DP138" s="974">
        <f>SUM(DP134,DP129,DP124,DP120,DP116)</f>
        <v>554</v>
      </c>
      <c r="DQ138" s="1182"/>
      <c r="DR138" s="977"/>
      <c r="DS138" s="974">
        <f>SUM(DS134,DS129,DS124,DS120,DS116)</f>
        <v>555</v>
      </c>
      <c r="DT138" s="969"/>
      <c r="DU138" s="969"/>
      <c r="DV138" s="969"/>
      <c r="DW138" s="1182"/>
      <c r="DX138" s="977"/>
      <c r="DY138" s="969"/>
      <c r="DZ138" s="969"/>
      <c r="EA138" s="969"/>
      <c r="EB138" s="969"/>
      <c r="EC138" s="1182"/>
      <c r="ED138" s="977"/>
      <c r="EE138" s="969"/>
      <c r="EF138" s="969"/>
      <c r="EG138" s="969"/>
      <c r="EH138" s="969"/>
      <c r="EI138" s="1182"/>
      <c r="EJ138" s="977"/>
      <c r="EK138" s="969"/>
      <c r="EL138" s="969"/>
      <c r="EM138" s="969"/>
      <c r="EN138" s="969"/>
      <c r="EO138" s="1182"/>
      <c r="EP138" s="977"/>
      <c r="EQ138" s="969"/>
      <c r="ER138" s="969"/>
      <c r="ES138" s="969"/>
      <c r="ET138" s="969"/>
      <c r="EU138" s="1182"/>
    </row>
    <row r="139" spans="1:151" ht="10.5" hidden="1" customHeight="1" outlineLevel="3">
      <c r="A139" s="976" t="s">
        <v>345</v>
      </c>
      <c r="B139" s="977"/>
      <c r="C139" s="977"/>
      <c r="D139" s="977"/>
      <c r="E139" s="977"/>
      <c r="F139" s="977"/>
      <c r="G139" s="977"/>
      <c r="H139" s="977"/>
      <c r="I139" s="977"/>
      <c r="J139" s="977"/>
      <c r="K139" s="977"/>
      <c r="L139" s="977"/>
      <c r="M139" s="977"/>
      <c r="N139" s="977"/>
      <c r="O139" s="977"/>
      <c r="P139" s="977"/>
      <c r="Q139" s="977"/>
      <c r="R139" s="977"/>
      <c r="S139" s="977"/>
      <c r="T139" s="977"/>
      <c r="U139" s="977"/>
      <c r="V139" s="977"/>
      <c r="W139" s="977"/>
      <c r="X139" s="977"/>
      <c r="Y139" s="977"/>
      <c r="Z139" s="977"/>
      <c r="AA139" s="977"/>
      <c r="AB139" s="977"/>
      <c r="AC139" s="977"/>
      <c r="AD139" s="977"/>
      <c r="AE139" s="977"/>
      <c r="AF139" s="977"/>
      <c r="AG139" s="978"/>
      <c r="AH139" s="978"/>
      <c r="AI139" s="978"/>
      <c r="AJ139" s="978"/>
      <c r="AK139" s="978"/>
      <c r="AL139" s="977"/>
      <c r="AM139" s="978"/>
      <c r="AN139" s="978"/>
      <c r="AO139" s="978"/>
      <c r="AP139" s="978"/>
      <c r="AQ139" s="978"/>
      <c r="AR139" s="977"/>
      <c r="AS139" s="978"/>
      <c r="AT139" s="978"/>
      <c r="AU139" s="978"/>
      <c r="AV139" s="978"/>
      <c r="AW139" s="978"/>
      <c r="AX139" s="977"/>
      <c r="AY139" s="978"/>
      <c r="AZ139" s="978"/>
      <c r="BA139" s="978"/>
      <c r="BB139" s="978"/>
      <c r="BC139" s="978"/>
      <c r="BD139" s="977"/>
      <c r="BE139" s="978"/>
      <c r="BF139" s="978"/>
      <c r="BG139" s="978"/>
      <c r="BH139" s="978"/>
      <c r="BI139" s="978"/>
      <c r="BJ139" s="977"/>
      <c r="BK139" s="978"/>
      <c r="BL139" s="978"/>
      <c r="BM139" s="978"/>
      <c r="BN139" s="978"/>
      <c r="BO139" s="1120"/>
      <c r="BP139" s="977"/>
      <c r="BQ139" s="978"/>
      <c r="BR139" s="978"/>
      <c r="BS139" s="978"/>
      <c r="BT139" s="978"/>
      <c r="BU139" s="1120"/>
      <c r="BV139" s="977"/>
      <c r="BW139" s="978"/>
      <c r="BX139" s="978"/>
      <c r="BY139" s="978"/>
      <c r="BZ139" s="978"/>
      <c r="CA139" s="1120"/>
      <c r="CB139" s="977"/>
      <c r="CC139" s="978"/>
      <c r="CD139" s="978"/>
      <c r="CE139" s="978"/>
      <c r="CF139" s="978"/>
      <c r="CG139" s="1120">
        <f>IF(CA138&lt;&gt;"",CG138/CA138-1,"-")</f>
        <v>-0.26101807486123629</v>
      </c>
      <c r="CH139" s="977"/>
      <c r="CI139" s="978"/>
      <c r="CJ139" s="978"/>
      <c r="CK139" s="1406"/>
      <c r="CL139" s="977"/>
      <c r="CM139" s="1183"/>
      <c r="CN139" s="977"/>
      <c r="CO139" s="977"/>
      <c r="CP139" s="977"/>
      <c r="CQ139" s="977"/>
      <c r="CR139" s="977"/>
      <c r="CS139" s="1183"/>
      <c r="CT139" s="977"/>
      <c r="CU139" s="977"/>
      <c r="CV139" s="977"/>
      <c r="CW139" s="977"/>
      <c r="CX139" s="977"/>
      <c r="CY139" s="1183"/>
      <c r="CZ139" s="977"/>
      <c r="DA139" s="977"/>
      <c r="DB139" s="977"/>
      <c r="DC139" s="977"/>
      <c r="DD139" s="977"/>
      <c r="DE139" s="1183"/>
      <c r="DF139" s="977"/>
      <c r="DG139" s="977"/>
      <c r="DH139" s="977"/>
      <c r="DI139" s="977"/>
      <c r="DJ139" s="977"/>
      <c r="DK139" s="1183"/>
      <c r="DL139" s="977"/>
      <c r="DM139" s="977"/>
      <c r="DN139" s="977"/>
      <c r="DO139" s="977"/>
      <c r="DP139" s="977"/>
      <c r="DQ139" s="1183"/>
      <c r="DR139" s="977"/>
      <c r="DS139" s="977"/>
      <c r="DT139" s="977"/>
      <c r="DU139" s="977"/>
      <c r="DV139" s="977"/>
      <c r="DW139" s="1183"/>
      <c r="DX139" s="977"/>
      <c r="DY139" s="977"/>
      <c r="DZ139" s="977"/>
      <c r="EA139" s="977"/>
      <c r="EB139" s="977"/>
      <c r="EC139" s="1183"/>
      <c r="ED139" s="977"/>
      <c r="EE139" s="977"/>
      <c r="EF139" s="977"/>
      <c r="EG139" s="977"/>
      <c r="EH139" s="977"/>
      <c r="EI139" s="1183"/>
      <c r="EJ139" s="977"/>
      <c r="EK139" s="977"/>
      <c r="EL139" s="977"/>
      <c r="EM139" s="977"/>
      <c r="EN139" s="977"/>
      <c r="EO139" s="1183"/>
      <c r="EP139" s="977"/>
      <c r="EQ139" s="977"/>
      <c r="ER139" s="977"/>
      <c r="ES139" s="977"/>
      <c r="ET139" s="977"/>
      <c r="EU139" s="1183"/>
    </row>
    <row r="140" spans="1:151" ht="10.5" hidden="1" customHeight="1" outlineLevel="3" thickBot="1">
      <c r="A140" s="1436" t="s">
        <v>344</v>
      </c>
      <c r="B140" s="1437"/>
      <c r="C140" s="1437"/>
      <c r="D140" s="1437"/>
      <c r="E140" s="1437"/>
      <c r="F140" s="1437"/>
      <c r="G140" s="1437"/>
      <c r="H140" s="1437"/>
      <c r="I140" s="1437"/>
      <c r="J140" s="1437"/>
      <c r="K140" s="1437"/>
      <c r="L140" s="1437"/>
      <c r="M140" s="1437"/>
      <c r="N140" s="1437"/>
      <c r="O140" s="1437"/>
      <c r="P140" s="1437"/>
      <c r="Q140" s="1437"/>
      <c r="R140" s="1437"/>
      <c r="S140" s="1437"/>
      <c r="T140" s="1437"/>
      <c r="U140" s="1437"/>
      <c r="V140" s="1437"/>
      <c r="W140" s="1437"/>
      <c r="X140" s="1437"/>
      <c r="Y140" s="1437"/>
      <c r="Z140" s="1437"/>
      <c r="AA140" s="1437"/>
      <c r="AB140" s="1437"/>
      <c r="AC140" s="1437"/>
      <c r="AD140" s="1437"/>
      <c r="AE140" s="1437"/>
      <c r="AF140" s="1437"/>
      <c r="AG140" s="1438"/>
      <c r="AH140" s="1438"/>
      <c r="AI140" s="1438"/>
      <c r="AJ140" s="1438"/>
      <c r="AK140" s="1439"/>
      <c r="AL140" s="1437"/>
      <c r="AM140" s="1438"/>
      <c r="AN140" s="1438"/>
      <c r="AO140" s="1438"/>
      <c r="AP140" s="1438"/>
      <c r="AQ140" s="1439"/>
      <c r="AR140" s="1437"/>
      <c r="AS140" s="1438"/>
      <c r="AT140" s="1438"/>
      <c r="AU140" s="1438"/>
      <c r="AV140" s="1438"/>
      <c r="AW140" s="1439"/>
      <c r="AX140" s="1437"/>
      <c r="AY140" s="1438"/>
      <c r="AZ140" s="1438"/>
      <c r="BA140" s="1438"/>
      <c r="BB140" s="1438"/>
      <c r="BC140" s="1439"/>
      <c r="BD140" s="1437"/>
      <c r="BE140" s="1438"/>
      <c r="BF140" s="1438"/>
      <c r="BG140" s="1438"/>
      <c r="BH140" s="1438"/>
      <c r="BI140" s="1439"/>
      <c r="BJ140" s="1437"/>
      <c r="BK140" s="1438"/>
      <c r="BL140" s="1438"/>
      <c r="BM140" s="1438"/>
      <c r="BN140" s="1438"/>
      <c r="BO140" s="1440"/>
      <c r="BP140" s="1437"/>
      <c r="BQ140" s="1438"/>
      <c r="BR140" s="1438"/>
      <c r="BS140" s="1438"/>
      <c r="BT140" s="1438"/>
      <c r="BU140" s="1440"/>
      <c r="BV140" s="1437"/>
      <c r="BW140" s="1438"/>
      <c r="BX140" s="1438"/>
      <c r="BY140" s="1438"/>
      <c r="BZ140" s="1438"/>
      <c r="CA140" s="1440"/>
      <c r="CB140" s="1437"/>
      <c r="CC140" s="1438"/>
      <c r="CD140" s="1438"/>
      <c r="CE140" s="1438"/>
      <c r="CF140" s="1438"/>
      <c r="CG140" s="1440" t="s">
        <v>6442</v>
      </c>
      <c r="CH140" s="979"/>
      <c r="CI140" s="1438"/>
      <c r="CJ140" s="1438"/>
      <c r="CK140" s="1616"/>
      <c r="CL140" s="979"/>
      <c r="CM140" s="1184"/>
      <c r="CN140" s="979"/>
      <c r="CO140" s="979"/>
      <c r="CP140" s="979"/>
      <c r="CQ140" s="979"/>
      <c r="CR140" s="979"/>
      <c r="CS140" s="1184"/>
      <c r="CT140" s="979"/>
      <c r="CU140" s="979"/>
      <c r="CV140" s="979"/>
      <c r="CW140" s="979"/>
      <c r="CX140" s="979"/>
      <c r="CY140" s="1184"/>
      <c r="CZ140" s="979"/>
      <c r="DA140" s="979"/>
      <c r="DB140" s="979"/>
      <c r="DC140" s="979"/>
      <c r="DD140" s="979"/>
      <c r="DE140" s="1184"/>
      <c r="DF140" s="979"/>
      <c r="DG140" s="979"/>
      <c r="DH140" s="979"/>
      <c r="DI140" s="979"/>
      <c r="DJ140" s="979"/>
      <c r="DK140" s="1184"/>
      <c r="DL140" s="979"/>
      <c r="DM140" s="979"/>
      <c r="DN140" s="979"/>
      <c r="DO140" s="979"/>
      <c r="DP140" s="979"/>
      <c r="DQ140" s="1184"/>
      <c r="DR140" s="977"/>
      <c r="DS140" s="979"/>
      <c r="DT140" s="979"/>
      <c r="DU140" s="979"/>
      <c r="DV140" s="979"/>
      <c r="DW140" s="1184"/>
      <c r="DX140" s="977"/>
      <c r="DY140" s="979"/>
      <c r="DZ140" s="979"/>
      <c r="EA140" s="979"/>
      <c r="EB140" s="979"/>
      <c r="EC140" s="1184"/>
      <c r="ED140" s="977"/>
      <c r="EE140" s="979"/>
      <c r="EF140" s="979"/>
      <c r="EG140" s="979"/>
      <c r="EH140" s="979"/>
      <c r="EI140" s="1184"/>
      <c r="EJ140" s="977"/>
      <c r="EK140" s="979"/>
      <c r="EL140" s="979"/>
      <c r="EM140" s="979"/>
      <c r="EN140" s="979"/>
      <c r="EO140" s="1184"/>
      <c r="EP140" s="977"/>
      <c r="EQ140" s="979"/>
      <c r="ER140" s="979"/>
      <c r="ES140" s="979"/>
      <c r="ET140" s="979"/>
      <c r="EU140" s="1184"/>
    </row>
    <row r="141" spans="1:151" ht="5.25" hidden="1" customHeight="1" outlineLevel="3">
      <c r="A141" s="266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280"/>
      <c r="AD141" s="280"/>
      <c r="AE141" s="280"/>
      <c r="AF141" s="147"/>
      <c r="AG141" s="147"/>
      <c r="AH141" s="147"/>
      <c r="AI141" s="147"/>
      <c r="AJ141" s="147"/>
      <c r="AK141" s="281"/>
      <c r="AL141" s="147"/>
      <c r="AM141" s="281"/>
      <c r="AN141" s="281"/>
      <c r="AO141" s="281"/>
      <c r="AP141" s="281"/>
      <c r="AQ141" s="281"/>
      <c r="AR141" s="281"/>
      <c r="AS141" s="281"/>
      <c r="AT141" s="281"/>
      <c r="AU141" s="281"/>
      <c r="AV141" s="281"/>
      <c r="AW141" s="281"/>
      <c r="AX141" s="281"/>
      <c r="AY141" s="281"/>
      <c r="AZ141" s="281"/>
      <c r="BA141" s="281"/>
      <c r="BB141" s="281"/>
      <c r="BC141" s="281"/>
      <c r="BD141" s="147"/>
      <c r="BE141" s="281"/>
      <c r="BF141" s="141"/>
      <c r="BG141" s="141"/>
      <c r="BH141" s="141"/>
      <c r="BI141" s="281"/>
      <c r="BJ141" s="147"/>
      <c r="BK141" s="281"/>
      <c r="BL141" s="147"/>
      <c r="BM141" s="147"/>
      <c r="BN141" s="147"/>
      <c r="BO141" s="1113"/>
      <c r="BP141" s="147"/>
      <c r="BQ141" s="281"/>
      <c r="BR141" s="281"/>
      <c r="BS141" s="281"/>
      <c r="BT141" s="281"/>
      <c r="BU141" s="1113"/>
      <c r="BV141" s="147"/>
      <c r="BW141" s="281"/>
      <c r="BX141" s="281"/>
      <c r="BY141" s="281"/>
      <c r="BZ141" s="281"/>
      <c r="CA141" s="1113"/>
      <c r="CB141" s="147"/>
      <c r="CC141" s="281"/>
      <c r="CD141" s="281"/>
      <c r="CE141" s="281"/>
      <c r="CF141" s="147"/>
      <c r="CG141" s="1096"/>
      <c r="CH141" s="147"/>
      <c r="CI141" s="281"/>
      <c r="CJ141" s="281"/>
      <c r="CK141" s="141"/>
      <c r="CL141" s="147"/>
      <c r="CM141" s="1096"/>
      <c r="CN141" s="147"/>
      <c r="CO141" s="147"/>
      <c r="CP141" s="147"/>
      <c r="CQ141" s="147"/>
      <c r="CR141" s="147"/>
      <c r="CS141" s="1096"/>
      <c r="CT141" s="147"/>
      <c r="CU141" s="147"/>
      <c r="CV141" s="147"/>
      <c r="CW141" s="147"/>
      <c r="CX141" s="147"/>
      <c r="CY141" s="1096"/>
      <c r="CZ141" s="147"/>
      <c r="DA141" s="147"/>
      <c r="DB141" s="147"/>
      <c r="DC141" s="147"/>
      <c r="DD141" s="147"/>
      <c r="DE141" s="1096"/>
      <c r="DF141" s="147"/>
      <c r="DG141" s="147"/>
      <c r="DH141" s="147"/>
      <c r="DI141" s="147"/>
      <c r="DJ141" s="147"/>
      <c r="DK141" s="1096"/>
      <c r="DL141" s="147"/>
      <c r="DM141" s="147"/>
      <c r="DN141" s="147"/>
      <c r="DO141" s="147"/>
      <c r="DP141" s="147"/>
      <c r="DQ141" s="1096"/>
      <c r="DR141" s="147"/>
      <c r="DS141" s="147"/>
      <c r="DT141" s="147"/>
      <c r="DU141" s="147"/>
      <c r="DV141" s="147"/>
      <c r="DW141" s="1096"/>
      <c r="DX141" s="147"/>
      <c r="DY141" s="147"/>
      <c r="DZ141" s="147"/>
      <c r="EA141" s="147"/>
      <c r="EB141" s="147"/>
      <c r="EC141" s="1096"/>
      <c r="ED141" s="147"/>
      <c r="EE141" s="147"/>
      <c r="EF141" s="147"/>
      <c r="EG141" s="147"/>
      <c r="EH141" s="147"/>
      <c r="EI141" s="1096"/>
      <c r="EJ141" s="147"/>
      <c r="EK141" s="147"/>
      <c r="EL141" s="147"/>
      <c r="EM141" s="147"/>
      <c r="EN141" s="147"/>
      <c r="EO141" s="1096"/>
      <c r="EP141" s="147"/>
      <c r="EQ141" s="147"/>
      <c r="ER141" s="147"/>
      <c r="ES141" s="147"/>
      <c r="ET141" s="147"/>
      <c r="EU141" s="1096"/>
    </row>
    <row r="142" spans="1:151" hidden="1" outlineLevel="3">
      <c r="A142" s="212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70" t="str">
        <f>IF(ROUND(O90,1)=ROUND(Model!O31,1),"cool","problem")</f>
        <v>problem</v>
      </c>
      <c r="P142" s="170" t="str">
        <f>IF(ROUND(P90,1)=ROUND(Model!P31,1),"cool","problem")</f>
        <v>problem</v>
      </c>
      <c r="Q142" s="170" t="str">
        <f>IF(ROUND(Q90,1)=ROUND(Model!Q31,1),"cool","problem")</f>
        <v>problem</v>
      </c>
      <c r="R142" s="170" t="str">
        <f>IF(ROUND(R90,1)=ROUND(Model!R31,1),"cool","problem")</f>
        <v>problem</v>
      </c>
      <c r="S142" s="170"/>
      <c r="T142" s="147"/>
      <c r="U142" s="170" t="str">
        <f>IF(ROUND(U90,1)=ROUND(Model!U31,1),"cool","problem")</f>
        <v>cool</v>
      </c>
      <c r="V142" s="170" t="str">
        <f>IF(ROUND(V90,1)=ROUND(Model!V31,1),"cool","problem")</f>
        <v>problem</v>
      </c>
      <c r="W142" s="170" t="str">
        <f>IF(ROUND(W90,1)=ROUND(Model!W31,1),"cool","problem")</f>
        <v>problem</v>
      </c>
      <c r="X142" s="170" t="str">
        <f>IF(ROUND(X90,1)=ROUND(Model!X31,1),"cool","problem")</f>
        <v>problem</v>
      </c>
      <c r="Y142" s="170"/>
      <c r="Z142" s="147"/>
      <c r="AA142" s="170" t="str">
        <f>IF(ROUND(AA90,1)=ROUND(Model!AA31,1),"cool","problem")</f>
        <v>problem</v>
      </c>
      <c r="AB142" s="170" t="str">
        <f>IF(ROUND(AB90,1)=ROUND(Model!AB31,1),"cool","problem")</f>
        <v>problem</v>
      </c>
      <c r="AC142" s="170" t="str">
        <f>IF(ROUND(AC90,1)=ROUND(Model!AC31,1),"cool","problem")</f>
        <v>problem</v>
      </c>
      <c r="AD142" s="170" t="str">
        <f>IF(ROUND(AD90,1)=ROUND(Model!AD31,1),"cool","problem")</f>
        <v>problem</v>
      </c>
      <c r="AE142" s="170"/>
      <c r="AF142" s="147"/>
      <c r="AG142" s="170" t="str">
        <f>IF(ROUND(AG90,1)=ROUND(Model!AG31,1),"cool","problem")</f>
        <v>cool</v>
      </c>
      <c r="AH142" s="170" t="str">
        <f>IF(ROUND(AH90,1)=ROUND(Model!AH31,1),"cool","problem")</f>
        <v>cool</v>
      </c>
      <c r="AI142" s="170" t="str">
        <f>IF(ROUND(AI90,1)=ROUND(Model!AI31,1),"cool","problem")</f>
        <v>cool</v>
      </c>
      <c r="AJ142" s="170" t="str">
        <f>IF(ROUND(AJ90,1)=ROUND(Model!AJ31,1),"cool","problem")</f>
        <v>cool</v>
      </c>
      <c r="AK142" s="170"/>
      <c r="AL142" s="147"/>
      <c r="AM142" s="170" t="str">
        <f>IF(ROUND(AM90,1)=ROUND(Model!AM31,1),"cool","problem")</f>
        <v>cool</v>
      </c>
      <c r="AN142" s="170" t="str">
        <f>IF(ROUND(AN90,1)=ROUND(Model!AN31,1),"cool","problem")</f>
        <v>cool</v>
      </c>
      <c r="AO142" s="170" t="str">
        <f>IF(ROUND(AO90,1)=ROUND(Model!AO31,1),"cool","problem")</f>
        <v>cool</v>
      </c>
      <c r="AP142" s="170" t="str">
        <f>IF(ROUND(AP90,1)=ROUND(Model!AP31,1),"cool","problem")</f>
        <v>cool</v>
      </c>
      <c r="AQ142" s="170" t="str">
        <f>IF(ROUND(AQ90,1)=ROUND(Model!AQ31,1),"cool","problem")</f>
        <v>cool</v>
      </c>
      <c r="AR142" s="147"/>
      <c r="AS142" s="170" t="str">
        <f>IF(ROUND(AS90,1)=ROUND(Model!AS31,1),"cool","problem")</f>
        <v>cool</v>
      </c>
      <c r="AT142" s="170" t="str">
        <f>IF(ROUND(AT90,1)=ROUND(Model!AT31,1),"cool","problem")</f>
        <v>cool</v>
      </c>
      <c r="AU142" s="170" t="str">
        <f>IF(ROUND(AU90,1)=ROUND(Model!AU31,1),"cool","problem")</f>
        <v>cool</v>
      </c>
      <c r="AV142" s="170" t="str">
        <f>IF(ROUND(AV90,1)=ROUND(Model!AV31,1),"cool","problem")</f>
        <v>cool</v>
      </c>
      <c r="AW142" s="170" t="str">
        <f>IF(ROUND(AW90,1)=ROUND(Model!AW31,1),"cool","problem")</f>
        <v>cool</v>
      </c>
      <c r="AX142" s="147"/>
      <c r="AY142" s="695"/>
      <c r="AZ142" s="695"/>
      <c r="BA142" s="695"/>
      <c r="BB142" s="695"/>
      <c r="BC142" s="695"/>
      <c r="BD142" s="147"/>
      <c r="BE142" s="695"/>
      <c r="BF142" s="695"/>
      <c r="BG142" s="141"/>
      <c r="BH142" s="141"/>
      <c r="BI142" s="141"/>
      <c r="BJ142" s="147"/>
      <c r="BK142" s="147"/>
      <c r="BL142" s="147"/>
      <c r="BM142" s="147"/>
      <c r="BN142" s="147"/>
      <c r="BO142" s="1096"/>
      <c r="BP142" s="147"/>
      <c r="BQ142" s="147"/>
      <c r="BR142" s="147"/>
      <c r="BS142" s="147"/>
      <c r="BT142" s="147"/>
      <c r="BU142" s="1096"/>
      <c r="BV142" s="147"/>
      <c r="BW142" s="147"/>
      <c r="BX142" s="147"/>
      <c r="BY142" s="147"/>
      <c r="BZ142" s="147"/>
      <c r="CA142" s="1096"/>
      <c r="CB142" s="147"/>
      <c r="CC142" s="147"/>
      <c r="CD142" s="147"/>
      <c r="CE142" s="147"/>
      <c r="CF142" s="147"/>
      <c r="CG142" s="1096"/>
      <c r="CH142" s="147"/>
      <c r="CI142" s="147"/>
      <c r="CJ142" s="147"/>
      <c r="CK142" s="141"/>
      <c r="CL142" s="147"/>
      <c r="CM142" s="1096"/>
      <c r="CN142" s="147"/>
      <c r="CO142" s="147"/>
      <c r="CP142" s="147"/>
      <c r="CQ142" s="147"/>
      <c r="CR142" s="147"/>
      <c r="CS142" s="1096"/>
      <c r="CT142" s="147"/>
      <c r="CU142" s="147"/>
      <c r="CV142" s="147"/>
      <c r="CW142" s="147"/>
      <c r="CX142" s="147"/>
      <c r="CY142" s="1096"/>
      <c r="CZ142" s="147"/>
      <c r="DA142" s="147"/>
      <c r="DB142" s="147"/>
      <c r="DC142" s="147"/>
      <c r="DD142" s="147"/>
      <c r="DE142" s="1096"/>
      <c r="DF142" s="147"/>
      <c r="DG142" s="147"/>
      <c r="DH142" s="147"/>
      <c r="DI142" s="147"/>
      <c r="DJ142" s="147"/>
      <c r="DK142" s="1096"/>
      <c r="DL142" s="147"/>
      <c r="DM142" s="147"/>
      <c r="DN142" s="147"/>
      <c r="DO142" s="147"/>
      <c r="DP142" s="147"/>
      <c r="DQ142" s="1096"/>
      <c r="DR142" s="147"/>
      <c r="DS142" s="147"/>
      <c r="DT142" s="147"/>
      <c r="DU142" s="147"/>
      <c r="DV142" s="147"/>
      <c r="DW142" s="1096"/>
      <c r="DX142" s="147"/>
      <c r="DY142" s="147"/>
      <c r="DZ142" s="147"/>
      <c r="EA142" s="147"/>
      <c r="EB142" s="147"/>
      <c r="EC142" s="1096"/>
      <c r="ED142" s="147"/>
      <c r="EE142" s="147"/>
      <c r="EF142" s="147"/>
      <c r="EG142" s="147"/>
      <c r="EH142" s="147"/>
      <c r="EI142" s="1096"/>
      <c r="EJ142" s="147"/>
      <c r="EK142" s="147"/>
      <c r="EL142" s="147"/>
      <c r="EM142" s="147"/>
      <c r="EN142" s="147"/>
      <c r="EO142" s="1096"/>
      <c r="EP142" s="147"/>
      <c r="EQ142" s="147"/>
      <c r="ER142" s="147"/>
      <c r="ES142" s="147"/>
      <c r="ET142" s="147"/>
      <c r="EU142" s="1096"/>
    </row>
    <row r="143" spans="1:151" ht="12" hidden="1" customHeight="1" outlineLevel="3">
      <c r="A143" s="266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532"/>
      <c r="AU143" s="532"/>
      <c r="AV143" s="532"/>
      <c r="AW143" s="532"/>
      <c r="AX143" s="147"/>
      <c r="AY143" s="532"/>
      <c r="AZ143" s="532"/>
      <c r="BA143" s="532"/>
      <c r="BB143" s="532"/>
      <c r="BC143" s="75"/>
      <c r="BD143" s="147"/>
      <c r="BE143" s="532"/>
      <c r="BF143" s="141"/>
      <c r="BG143" s="141"/>
      <c r="BH143" s="141"/>
      <c r="BI143" s="532"/>
      <c r="BJ143" s="147"/>
      <c r="BK143" s="147"/>
      <c r="BL143" s="147"/>
      <c r="BM143" s="147"/>
      <c r="BN143" s="532"/>
      <c r="BO143" s="1121"/>
      <c r="BP143" s="147"/>
      <c r="BQ143" s="147"/>
      <c r="BR143" s="147"/>
      <c r="BS143" s="147"/>
      <c r="BT143" s="147"/>
      <c r="BU143" s="1121"/>
      <c r="BV143" s="147"/>
      <c r="BW143" s="147"/>
      <c r="BX143" s="147"/>
      <c r="BY143" s="147"/>
      <c r="BZ143" s="147"/>
      <c r="CA143" s="1121"/>
      <c r="CB143" s="147"/>
      <c r="CC143" s="147"/>
      <c r="CD143" s="147"/>
      <c r="CE143" s="147"/>
      <c r="CF143" s="147"/>
      <c r="CG143" s="1121"/>
      <c r="CH143" s="147"/>
      <c r="CI143" s="147"/>
      <c r="CJ143" s="147"/>
      <c r="CK143" s="141"/>
      <c r="CL143" s="147"/>
      <c r="CM143" s="1121"/>
      <c r="CN143" s="147"/>
      <c r="CO143" s="147"/>
      <c r="CP143" s="147"/>
      <c r="CQ143" s="147"/>
      <c r="CR143" s="147"/>
      <c r="CS143" s="1121"/>
      <c r="CT143" s="532"/>
      <c r="CU143" s="147"/>
      <c r="CV143" s="147"/>
      <c r="CW143" s="147"/>
      <c r="CX143" s="147"/>
      <c r="CY143" s="1121"/>
      <c r="CZ143" s="532"/>
      <c r="DA143" s="147"/>
      <c r="DB143" s="147"/>
      <c r="DC143" s="147"/>
      <c r="DD143" s="147"/>
      <c r="DE143" s="1121"/>
      <c r="DF143" s="532"/>
      <c r="DG143" s="147"/>
      <c r="DH143" s="147"/>
      <c r="DI143" s="147"/>
      <c r="DJ143" s="147"/>
      <c r="DK143" s="1121"/>
      <c r="DL143" s="147"/>
      <c r="DM143" s="147"/>
      <c r="DN143" s="147"/>
      <c r="DO143" s="147"/>
      <c r="DP143" s="147"/>
      <c r="DQ143" s="1121"/>
      <c r="DR143" s="532"/>
      <c r="DS143" s="147"/>
      <c r="DT143" s="147"/>
      <c r="DU143" s="147"/>
      <c r="DV143" s="147"/>
      <c r="DW143" s="1121"/>
      <c r="DX143" s="532"/>
      <c r="DY143" s="147"/>
      <c r="DZ143" s="147"/>
      <c r="EA143" s="147"/>
      <c r="EB143" s="147"/>
      <c r="EC143" s="1121"/>
      <c r="ED143" s="532"/>
      <c r="EE143" s="147"/>
      <c r="EF143" s="147"/>
      <c r="EG143" s="147"/>
      <c r="EH143" s="147"/>
      <c r="EI143" s="1121"/>
      <c r="EJ143" s="532"/>
      <c r="EK143" s="147"/>
      <c r="EL143" s="147"/>
      <c r="EM143" s="147"/>
      <c r="EN143" s="147"/>
      <c r="EO143" s="1121"/>
      <c r="EP143" s="532"/>
      <c r="EQ143" s="147"/>
      <c r="ER143" s="147"/>
      <c r="ES143" s="147"/>
      <c r="ET143" s="147"/>
      <c r="EU143" s="1121"/>
    </row>
    <row r="144" spans="1:151" hidden="1" outlineLevel="3">
      <c r="A144" s="271" t="s">
        <v>2326</v>
      </c>
      <c r="B144" s="113"/>
      <c r="C144" s="226"/>
      <c r="D144" s="226"/>
      <c r="E144" s="226"/>
      <c r="F144" s="226"/>
      <c r="G144" s="270"/>
      <c r="H144" s="113"/>
      <c r="I144" s="270"/>
      <c r="J144" s="270"/>
      <c r="K144" s="270"/>
      <c r="L144" s="270"/>
      <c r="M144" s="270"/>
      <c r="N144" s="113"/>
      <c r="O144" s="270"/>
      <c r="P144" s="270"/>
      <c r="Q144" s="270"/>
      <c r="R144" s="270"/>
      <c r="S144" s="270"/>
      <c r="T144" s="113"/>
      <c r="U144" s="270"/>
      <c r="V144" s="270"/>
      <c r="W144" s="270"/>
      <c r="X144" s="270"/>
      <c r="Y144" s="270"/>
      <c r="Z144" s="113"/>
      <c r="AA144" s="270"/>
      <c r="AB144" s="270"/>
      <c r="AC144" s="270"/>
      <c r="AD144" s="270"/>
      <c r="AE144" s="270"/>
      <c r="AF144" s="113"/>
      <c r="AG144" s="270"/>
      <c r="AH144" s="270"/>
      <c r="AI144" s="270"/>
      <c r="AJ144" s="270"/>
      <c r="AK144" s="270"/>
      <c r="AL144" s="113"/>
      <c r="AM144" s="270"/>
      <c r="AN144" s="270"/>
      <c r="AO144" s="270"/>
      <c r="AP144" s="270"/>
      <c r="AQ144" s="270"/>
      <c r="AR144" s="113"/>
      <c r="AS144" s="270"/>
      <c r="AT144" s="270"/>
      <c r="AU144" s="270"/>
      <c r="AV144" s="270"/>
      <c r="AW144" s="270"/>
      <c r="AX144" s="113"/>
      <c r="AY144" s="412"/>
      <c r="AZ144" s="412"/>
      <c r="BA144" s="412"/>
      <c r="BB144" s="412"/>
      <c r="BC144" s="412"/>
      <c r="BD144" s="138"/>
      <c r="BE144" s="412"/>
      <c r="BF144" s="92"/>
      <c r="BG144" s="92"/>
      <c r="BH144" s="92"/>
      <c r="BI144" s="92"/>
      <c r="BJ144" s="138"/>
      <c r="BK144" s="91"/>
      <c r="BL144" s="91"/>
      <c r="BM144" s="91"/>
      <c r="BN144" s="91"/>
      <c r="BO144" s="1122"/>
      <c r="BP144" s="138"/>
      <c r="BQ144" s="91"/>
      <c r="BR144" s="91"/>
      <c r="BS144" s="91"/>
      <c r="BT144" s="91"/>
      <c r="BU144" s="1122"/>
      <c r="BV144" s="138"/>
      <c r="BW144" s="91"/>
      <c r="BX144" s="91"/>
      <c r="BY144" s="91"/>
      <c r="BZ144" s="91"/>
      <c r="CA144" s="1122"/>
      <c r="CB144" s="138"/>
      <c r="CC144" s="91"/>
      <c r="CD144" s="91"/>
      <c r="CE144" s="91"/>
      <c r="CF144" s="91"/>
      <c r="CG144" s="1122"/>
      <c r="CH144" s="138"/>
      <c r="CI144" s="91"/>
      <c r="CJ144" s="91"/>
      <c r="CK144" s="92"/>
      <c r="CL144" s="91"/>
      <c r="CM144" s="1122"/>
      <c r="CN144" s="138"/>
      <c r="CO144" s="91"/>
      <c r="CP144" s="91"/>
      <c r="CQ144" s="91"/>
      <c r="CR144" s="91"/>
      <c r="CS144" s="1122"/>
      <c r="CT144" s="91"/>
      <c r="CU144" s="91"/>
      <c r="CV144" s="91"/>
      <c r="CW144" s="91"/>
      <c r="CX144" s="91"/>
      <c r="CY144" s="1122"/>
      <c r="CZ144" s="91"/>
      <c r="DA144" s="91"/>
      <c r="DB144" s="91"/>
      <c r="DC144" s="91"/>
      <c r="DD144" s="91"/>
      <c r="DE144" s="1122"/>
      <c r="DF144" s="91"/>
      <c r="DG144" s="91"/>
      <c r="DH144" s="91"/>
      <c r="DI144" s="91"/>
      <c r="DJ144" s="91"/>
      <c r="DK144" s="1122"/>
      <c r="DL144" s="138"/>
      <c r="DM144" s="91"/>
      <c r="DN144" s="91"/>
      <c r="DO144" s="91"/>
      <c r="DP144" s="91"/>
      <c r="DQ144" s="1122"/>
      <c r="DR144" s="91"/>
      <c r="DS144" s="91"/>
      <c r="DT144" s="91"/>
      <c r="DU144" s="91"/>
      <c r="DV144" s="91"/>
      <c r="DW144" s="1122"/>
      <c r="DX144" s="91"/>
      <c r="DY144" s="91"/>
      <c r="DZ144" s="91"/>
      <c r="EA144" s="91"/>
      <c r="EB144" s="91"/>
      <c r="EC144" s="1122"/>
      <c r="ED144" s="91"/>
      <c r="EE144" s="91"/>
      <c r="EF144" s="91"/>
      <c r="EG144" s="91"/>
      <c r="EH144" s="91"/>
      <c r="EI144" s="1122"/>
      <c r="EJ144" s="91"/>
      <c r="EK144" s="91"/>
      <c r="EL144" s="91"/>
      <c r="EM144" s="91"/>
      <c r="EN144" s="91"/>
      <c r="EO144" s="1122"/>
      <c r="EP144" s="91"/>
      <c r="EQ144" s="91"/>
      <c r="ER144" s="91"/>
      <c r="ES144" s="91"/>
      <c r="ET144" s="91"/>
      <c r="EU144" s="1122"/>
    </row>
    <row r="145" spans="1:151" hidden="1" outlineLevel="3">
      <c r="A145" s="398" t="s">
        <v>3341</v>
      </c>
      <c r="B145" s="399"/>
      <c r="C145" s="400"/>
      <c r="D145" s="400"/>
      <c r="E145" s="400"/>
      <c r="F145" s="400"/>
      <c r="G145" s="401"/>
      <c r="H145" s="399"/>
      <c r="I145" s="401"/>
      <c r="J145" s="401"/>
      <c r="K145" s="401"/>
      <c r="L145" s="401"/>
      <c r="M145" s="401"/>
      <c r="N145" s="399"/>
      <c r="O145" s="401"/>
      <c r="P145" s="401"/>
      <c r="Q145" s="401"/>
      <c r="R145" s="399"/>
      <c r="S145" s="402"/>
      <c r="T145" s="399"/>
      <c r="U145" s="401"/>
      <c r="V145" s="401"/>
      <c r="W145" s="401"/>
      <c r="X145" s="401"/>
      <c r="Y145" s="402"/>
      <c r="Z145" s="399"/>
      <c r="AA145" s="401"/>
      <c r="AB145" s="401"/>
      <c r="AC145" s="401"/>
      <c r="AD145" s="401"/>
      <c r="AE145" s="402"/>
      <c r="AF145" s="399"/>
      <c r="AG145" s="396">
        <v>78.5</v>
      </c>
      <c r="AH145" s="396">
        <v>77.5</v>
      </c>
      <c r="AI145" s="396">
        <v>64.900000000000006</v>
      </c>
      <c r="AJ145" s="396">
        <v>97.3</v>
      </c>
      <c r="AK145" s="396"/>
      <c r="AL145" s="399"/>
      <c r="AM145" s="396">
        <v>85.8</v>
      </c>
      <c r="AN145" s="396">
        <v>71.2</v>
      </c>
      <c r="AO145" s="396">
        <v>54</v>
      </c>
      <c r="AP145" s="396">
        <v>48</v>
      </c>
      <c r="AQ145" s="396">
        <f>SUM(AM145:AP145)</f>
        <v>259</v>
      </c>
      <c r="AR145" s="399"/>
      <c r="AS145" s="396">
        <v>60.7</v>
      </c>
      <c r="AT145" s="396">
        <v>68.099999999999994</v>
      </c>
      <c r="AU145" s="396">
        <v>85.8</v>
      </c>
      <c r="AV145" s="396">
        <v>127.9</v>
      </c>
      <c r="AW145" s="396">
        <f>SUM(AS145:AV145)</f>
        <v>342.5</v>
      </c>
      <c r="AX145" s="399"/>
      <c r="AY145" s="396">
        <v>122.7</v>
      </c>
      <c r="AZ145" s="396">
        <v>105.2</v>
      </c>
      <c r="BA145" s="396">
        <v>114.3</v>
      </c>
      <c r="BB145" s="396">
        <v>147.1</v>
      </c>
      <c r="BC145" s="396">
        <f>SUM(AY145:BB145)</f>
        <v>489.29999999999995</v>
      </c>
      <c r="BD145" s="404"/>
      <c r="BE145" s="396">
        <v>151.5</v>
      </c>
      <c r="BF145" s="706">
        <v>155</v>
      </c>
      <c r="BG145" s="706"/>
      <c r="BH145" s="706"/>
      <c r="BI145" s="706"/>
      <c r="BJ145" s="404"/>
      <c r="BK145" s="403"/>
      <c r="BL145" s="403"/>
      <c r="BM145" s="403"/>
      <c r="BN145" s="403"/>
      <c r="BO145" s="1123"/>
      <c r="BP145" s="404"/>
      <c r="BQ145" s="403"/>
      <c r="BR145" s="403"/>
      <c r="BS145" s="403"/>
      <c r="BT145" s="403"/>
      <c r="BU145" s="1123"/>
      <c r="BV145" s="404"/>
      <c r="BW145" s="403"/>
      <c r="BX145" s="403"/>
      <c r="BY145" s="403"/>
      <c r="BZ145" s="403"/>
      <c r="CA145" s="1123"/>
      <c r="CB145" s="404"/>
      <c r="CC145" s="403"/>
      <c r="CD145" s="403"/>
      <c r="CE145" s="403"/>
      <c r="CF145" s="403"/>
      <c r="CG145" s="1123"/>
      <c r="CH145" s="404"/>
      <c r="CI145" s="403"/>
      <c r="CJ145" s="403"/>
      <c r="CK145" s="706"/>
      <c r="CL145" s="403"/>
      <c r="CM145" s="1123"/>
      <c r="CN145" s="404"/>
      <c r="CO145" s="403"/>
      <c r="CP145" s="403"/>
      <c r="CQ145" s="403"/>
      <c r="CR145" s="403"/>
      <c r="CS145" s="1123"/>
      <c r="CT145" s="403"/>
      <c r="CU145" s="403"/>
      <c r="CV145" s="403"/>
      <c r="CW145" s="403"/>
      <c r="CX145" s="403"/>
      <c r="CY145" s="1123"/>
      <c r="CZ145" s="403"/>
      <c r="DA145" s="403"/>
      <c r="DB145" s="403"/>
      <c r="DC145" s="403"/>
      <c r="DD145" s="403"/>
      <c r="DE145" s="1123"/>
      <c r="DF145" s="403"/>
      <c r="DG145" s="403"/>
      <c r="DH145" s="403"/>
      <c r="DI145" s="403"/>
      <c r="DJ145" s="403"/>
      <c r="DK145" s="1123"/>
      <c r="DL145" s="404"/>
      <c r="DM145" s="403"/>
      <c r="DN145" s="403"/>
      <c r="DO145" s="403"/>
      <c r="DP145" s="403"/>
      <c r="DQ145" s="1123"/>
      <c r="DR145" s="91"/>
      <c r="DS145" s="403"/>
      <c r="DT145" s="403"/>
      <c r="DU145" s="403"/>
      <c r="DV145" s="403"/>
      <c r="DW145" s="1123"/>
      <c r="DX145" s="91"/>
      <c r="DY145" s="403"/>
      <c r="DZ145" s="403"/>
      <c r="EA145" s="403"/>
      <c r="EB145" s="403"/>
      <c r="EC145" s="1123"/>
      <c r="ED145" s="91"/>
      <c r="EE145" s="403"/>
      <c r="EF145" s="403"/>
      <c r="EG145" s="403"/>
      <c r="EH145" s="403"/>
      <c r="EI145" s="1123"/>
      <c r="EJ145" s="91"/>
      <c r="EK145" s="403"/>
      <c r="EL145" s="403"/>
      <c r="EM145" s="403"/>
      <c r="EN145" s="403"/>
      <c r="EO145" s="1123"/>
      <c r="EP145" s="91"/>
      <c r="EQ145" s="403"/>
      <c r="ER145" s="403"/>
      <c r="ES145" s="403"/>
      <c r="ET145" s="403"/>
      <c r="EU145" s="1123"/>
    </row>
    <row r="146" spans="1:151" hidden="1" outlineLevel="3">
      <c r="A146" s="1405" t="s">
        <v>5138</v>
      </c>
      <c r="B146" s="113"/>
      <c r="C146" s="226"/>
      <c r="D146" s="226"/>
      <c r="E146" s="226"/>
      <c r="F146" s="226"/>
      <c r="G146" s="270"/>
      <c r="H146" s="113"/>
      <c r="I146" s="270"/>
      <c r="J146" s="270"/>
      <c r="K146" s="270"/>
      <c r="L146" s="270"/>
      <c r="M146" s="270"/>
      <c r="N146" s="113"/>
      <c r="O146" s="270"/>
      <c r="P146" s="270"/>
      <c r="Q146" s="270"/>
      <c r="R146" s="113"/>
      <c r="S146" s="329"/>
      <c r="T146" s="113"/>
      <c r="U146" s="270"/>
      <c r="V146" s="270"/>
      <c r="W146" s="270"/>
      <c r="X146" s="270"/>
      <c r="Y146" s="329"/>
      <c r="Z146" s="113"/>
      <c r="AA146" s="270"/>
      <c r="AB146" s="270"/>
      <c r="AC146" s="270"/>
      <c r="AD146" s="270"/>
      <c r="AE146" s="329"/>
      <c r="AF146" s="113"/>
      <c r="AG146" s="141"/>
      <c r="AH146" s="141"/>
      <c r="AI146" s="141"/>
      <c r="AJ146" s="141"/>
      <c r="AK146" s="141"/>
      <c r="AL146" s="113"/>
      <c r="AM146" s="141"/>
      <c r="AN146" s="141"/>
      <c r="AO146" s="141"/>
      <c r="AP146" s="141"/>
      <c r="AQ146" s="141"/>
      <c r="AR146" s="113"/>
      <c r="AS146" s="141"/>
      <c r="AT146" s="141"/>
      <c r="AU146" s="141"/>
      <c r="AV146" s="141"/>
      <c r="AW146" s="141"/>
      <c r="AX146" s="113"/>
      <c r="AY146" s="141"/>
      <c r="AZ146" s="141"/>
      <c r="BA146" s="141"/>
      <c r="BB146" s="141"/>
      <c r="BC146" s="141"/>
      <c r="BD146" s="138"/>
      <c r="BE146" s="141"/>
      <c r="BF146" s="92"/>
      <c r="BG146" s="92"/>
      <c r="BH146" s="92"/>
      <c r="BI146" s="92"/>
      <c r="BJ146" s="138"/>
      <c r="BK146" s="91"/>
      <c r="BL146" s="91"/>
      <c r="BM146" s="91"/>
      <c r="BN146" s="91"/>
      <c r="BO146" s="1122"/>
      <c r="BP146" s="138"/>
      <c r="BQ146" s="91"/>
      <c r="BR146" s="91"/>
      <c r="BS146" s="91"/>
      <c r="BT146" s="91"/>
      <c r="BU146" s="1122"/>
      <c r="BV146" s="138"/>
      <c r="BW146" s="91"/>
      <c r="BX146" s="91"/>
      <c r="BY146" s="91"/>
      <c r="BZ146" s="91"/>
      <c r="CA146" s="1122"/>
      <c r="CB146" s="138"/>
      <c r="CC146" s="91"/>
      <c r="CD146" s="91"/>
      <c r="CE146" s="91"/>
      <c r="CF146" s="91"/>
      <c r="CG146" s="1122"/>
      <c r="CH146" s="138"/>
      <c r="CI146" s="91"/>
      <c r="CJ146" s="91"/>
      <c r="CK146" s="92"/>
      <c r="CL146" s="91"/>
      <c r="CM146" s="1122"/>
      <c r="CN146" s="138"/>
      <c r="CO146" s="91"/>
      <c r="CP146" s="91"/>
      <c r="CQ146" s="91"/>
      <c r="CR146" s="91"/>
      <c r="CS146" s="1122"/>
      <c r="CT146" s="91"/>
      <c r="CU146" s="91"/>
      <c r="CV146" s="91"/>
      <c r="CW146" s="91"/>
      <c r="CX146" s="91"/>
      <c r="CY146" s="1122"/>
      <c r="CZ146" s="91"/>
      <c r="DA146" s="91"/>
      <c r="DB146" s="91"/>
      <c r="DC146" s="91"/>
      <c r="DD146" s="91"/>
      <c r="DE146" s="1122"/>
      <c r="DF146" s="91"/>
      <c r="DG146" s="91"/>
      <c r="DH146" s="91"/>
      <c r="DI146" s="91"/>
      <c r="DJ146" s="91"/>
      <c r="DK146" s="1122"/>
      <c r="DL146" s="138"/>
      <c r="DM146" s="91"/>
      <c r="DN146" s="91"/>
      <c r="DO146" s="91"/>
      <c r="DP146" s="91"/>
      <c r="DQ146" s="1122"/>
      <c r="DR146" s="91"/>
      <c r="DS146" s="91"/>
      <c r="DT146" s="91"/>
      <c r="DU146" s="91"/>
      <c r="DV146" s="91"/>
      <c r="DW146" s="1122"/>
      <c r="DX146" s="91"/>
      <c r="DY146" s="91"/>
      <c r="DZ146" s="91"/>
      <c r="EA146" s="91"/>
      <c r="EB146" s="91"/>
      <c r="EC146" s="1122"/>
      <c r="ED146" s="91"/>
      <c r="EE146" s="91"/>
      <c r="EF146" s="91"/>
      <c r="EG146" s="91"/>
      <c r="EH146" s="91"/>
      <c r="EI146" s="1122"/>
      <c r="EJ146" s="91"/>
      <c r="EK146" s="91"/>
      <c r="EL146" s="91"/>
      <c r="EM146" s="91"/>
      <c r="EN146" s="91"/>
      <c r="EO146" s="1122"/>
      <c r="EP146" s="91"/>
      <c r="EQ146" s="91"/>
      <c r="ER146" s="91"/>
      <c r="ES146" s="91"/>
      <c r="ET146" s="91"/>
      <c r="EU146" s="1122"/>
    </row>
    <row r="147" spans="1:151" hidden="1" outlineLevel="3">
      <c r="A147" s="393" t="s">
        <v>345</v>
      </c>
      <c r="B147" s="113"/>
      <c r="C147" s="226"/>
      <c r="D147" s="226"/>
      <c r="E147" s="226"/>
      <c r="F147" s="226"/>
      <c r="G147" s="270"/>
      <c r="H147" s="113"/>
      <c r="I147" s="270"/>
      <c r="J147" s="270"/>
      <c r="K147" s="270"/>
      <c r="L147" s="270"/>
      <c r="M147" s="270"/>
      <c r="N147" s="113"/>
      <c r="O147" s="270"/>
      <c r="P147" s="270"/>
      <c r="Q147" s="270"/>
      <c r="R147" s="113"/>
      <c r="S147" s="270"/>
      <c r="T147" s="113"/>
      <c r="U147" s="263"/>
      <c r="V147" s="263"/>
      <c r="W147" s="263"/>
      <c r="X147" s="263"/>
      <c r="Y147" s="263"/>
      <c r="Z147" s="113"/>
      <c r="AA147" s="263"/>
      <c r="AB147" s="263"/>
      <c r="AC147" s="263"/>
      <c r="AD147" s="263"/>
      <c r="AE147" s="263"/>
      <c r="AF147" s="113"/>
      <c r="AG147" s="263" t="str">
        <f>IF(AA145&lt;&gt;"",AG145/AA145-1,"-")</f>
        <v>-</v>
      </c>
      <c r="AH147" s="263" t="str">
        <f>IF(AB145&lt;&gt;"",AH145/AB145-1,"-")</f>
        <v>-</v>
      </c>
      <c r="AI147" s="263" t="str">
        <f>IF(AC145&lt;&gt;"",AI145/AC145-1,"-")</f>
        <v>-</v>
      </c>
      <c r="AJ147" s="263" t="str">
        <f>IF(AD145&lt;&gt;"",AJ145/AD145-1,"-")</f>
        <v>-</v>
      </c>
      <c r="AK147" s="263"/>
      <c r="AL147" s="113"/>
      <c r="AM147" s="263">
        <f>IF(AG145&lt;&gt;"",AM145/AG145-1,"-")</f>
        <v>9.2993630573248387E-2</v>
      </c>
      <c r="AN147" s="263">
        <f>IF(AH145&lt;&gt;"",AN145/AH145-1,"-")</f>
        <v>-8.1290322580645169E-2</v>
      </c>
      <c r="AO147" s="263">
        <f>IF(AI145&lt;&gt;"",AO145/AI145-1,"-")</f>
        <v>-0.16795069337442226</v>
      </c>
      <c r="AP147" s="263">
        <f>IF(AJ145&lt;&gt;"",AP145/AJ145-1,"-")</f>
        <v>-0.50668036998972243</v>
      </c>
      <c r="AQ147" s="263" t="str">
        <f>IF(AK145&lt;&gt;"",AQ145/AK145-1,"-")</f>
        <v>-</v>
      </c>
      <c r="AR147" s="113"/>
      <c r="AS147" s="263">
        <f>IF(AM145&lt;&gt;"",AS145/AM145-1,"-")</f>
        <v>-0.29254079254079246</v>
      </c>
      <c r="AT147" s="263">
        <f>IF(AN145&lt;&gt;"",AT145/AN145-1,"-")</f>
        <v>-4.3539325842696708E-2</v>
      </c>
      <c r="AU147" s="263">
        <f>IF(AO145&lt;&gt;"",AU145/AO145-1,"-")</f>
        <v>0.5888888888888888</v>
      </c>
      <c r="AV147" s="263">
        <f>IF(AP145&lt;&gt;"",AV145/AP145-1,"-")</f>
        <v>1.6645833333333333</v>
      </c>
      <c r="AW147" s="263">
        <f>IF(AQ145&lt;&gt;"",AW145/AQ145-1,"-")</f>
        <v>0.3223938223938223</v>
      </c>
      <c r="AX147" s="113"/>
      <c r="AY147" s="263">
        <f>IF(AS145&lt;&gt;"",AY145/AS145-1,"-")</f>
        <v>1.0214168039538714</v>
      </c>
      <c r="AZ147" s="263">
        <f>IF(AT145&lt;&gt;"",AZ145/AT145-1,"-")</f>
        <v>0.54478707782672564</v>
      </c>
      <c r="BA147" s="263">
        <f>IF(AU145&lt;&gt;"",BA145/AU145-1,"-")</f>
        <v>0.33216783216783208</v>
      </c>
      <c r="BB147" s="263">
        <f>IF(AV145&lt;&gt;"",BB145/AV145-1,"-")</f>
        <v>0.15011727912431572</v>
      </c>
      <c r="BC147" s="263">
        <f>IF(AW145&lt;&gt;"",BC145/AW145-1,"-")</f>
        <v>0.42861313868613116</v>
      </c>
      <c r="BD147" s="138"/>
      <c r="BE147" s="263">
        <f>IF(AY145&lt;&gt;"",BE145/AY145-1,"-")</f>
        <v>0.23471882640586794</v>
      </c>
      <c r="BF147" s="263">
        <f>IF(AZ145&lt;&gt;"",BF145/AZ145-1,"-")</f>
        <v>0.47338403041825083</v>
      </c>
      <c r="BG147" s="92"/>
      <c r="BH147" s="92"/>
      <c r="BI147" s="92"/>
      <c r="BJ147" s="138"/>
      <c r="BK147" s="91"/>
      <c r="BL147" s="91"/>
      <c r="BM147" s="91"/>
      <c r="BN147" s="91"/>
      <c r="BO147" s="1122"/>
      <c r="BP147" s="138"/>
      <c r="BQ147" s="91"/>
      <c r="BR147" s="91"/>
      <c r="BS147" s="91"/>
      <c r="BT147" s="91"/>
      <c r="BU147" s="1122"/>
      <c r="BV147" s="138"/>
      <c r="BW147" s="91"/>
      <c r="BX147" s="91"/>
      <c r="BY147" s="91"/>
      <c r="BZ147" s="91"/>
      <c r="CA147" s="1122"/>
      <c r="CB147" s="138"/>
      <c r="CC147" s="91"/>
      <c r="CD147" s="91"/>
      <c r="CE147" s="91"/>
      <c r="CF147" s="91"/>
      <c r="CG147" s="1122"/>
      <c r="CH147" s="138"/>
      <c r="CI147" s="91"/>
      <c r="CJ147" s="91"/>
      <c r="CK147" s="92"/>
      <c r="CL147" s="91"/>
      <c r="CM147" s="1122"/>
      <c r="CN147" s="138"/>
      <c r="CO147" s="91"/>
      <c r="CP147" s="91"/>
      <c r="CQ147" s="91"/>
      <c r="CR147" s="91"/>
      <c r="CS147" s="1122"/>
      <c r="CT147" s="91"/>
      <c r="CU147" s="91"/>
      <c r="CV147" s="91"/>
      <c r="CW147" s="91"/>
      <c r="CX147" s="91"/>
      <c r="CY147" s="1122"/>
      <c r="CZ147" s="91"/>
      <c r="DA147" s="91"/>
      <c r="DB147" s="91"/>
      <c r="DC147" s="91"/>
      <c r="DD147" s="91"/>
      <c r="DE147" s="1122"/>
      <c r="DF147" s="91"/>
      <c r="DG147" s="91"/>
      <c r="DH147" s="91"/>
      <c r="DI147" s="91"/>
      <c r="DJ147" s="91"/>
      <c r="DK147" s="1122"/>
      <c r="DL147" s="138"/>
      <c r="DM147" s="91"/>
      <c r="DN147" s="91"/>
      <c r="DO147" s="91"/>
      <c r="DP147" s="91"/>
      <c r="DQ147" s="1122"/>
      <c r="DR147" s="91"/>
      <c r="DS147" s="91"/>
      <c r="DT147" s="91"/>
      <c r="DU147" s="91"/>
      <c r="DV147" s="91"/>
      <c r="DW147" s="1122"/>
      <c r="DX147" s="91"/>
      <c r="DY147" s="91"/>
      <c r="DZ147" s="91"/>
      <c r="EA147" s="91"/>
      <c r="EB147" s="91"/>
      <c r="EC147" s="1122"/>
      <c r="ED147" s="91"/>
      <c r="EE147" s="91"/>
      <c r="EF147" s="91"/>
      <c r="EG147" s="91"/>
      <c r="EH147" s="91"/>
      <c r="EI147" s="1122"/>
      <c r="EJ147" s="91"/>
      <c r="EK147" s="91"/>
      <c r="EL147" s="91"/>
      <c r="EM147" s="91"/>
      <c r="EN147" s="91"/>
      <c r="EO147" s="1122"/>
      <c r="EP147" s="91"/>
      <c r="EQ147" s="91"/>
      <c r="ER147" s="91"/>
      <c r="ES147" s="91"/>
      <c r="ET147" s="91"/>
      <c r="EU147" s="1122"/>
    </row>
    <row r="148" spans="1:151" hidden="1" outlineLevel="3">
      <c r="A148" s="393" t="s">
        <v>344</v>
      </c>
      <c r="B148" s="113"/>
      <c r="C148" s="226"/>
      <c r="D148" s="226"/>
      <c r="E148" s="226"/>
      <c r="F148" s="226"/>
      <c r="G148" s="270"/>
      <c r="H148" s="113"/>
      <c r="I148" s="270"/>
      <c r="J148" s="270"/>
      <c r="K148" s="270"/>
      <c r="L148" s="270"/>
      <c r="M148" s="270"/>
      <c r="N148" s="113"/>
      <c r="O148" s="270"/>
      <c r="P148" s="270"/>
      <c r="Q148" s="270"/>
      <c r="R148" s="113"/>
      <c r="S148" s="270"/>
      <c r="T148" s="113"/>
      <c r="U148" s="263"/>
      <c r="V148" s="263"/>
      <c r="W148" s="263"/>
      <c r="X148" s="263"/>
      <c r="Y148" s="141"/>
      <c r="Z148" s="113"/>
      <c r="AA148" s="263"/>
      <c r="AB148" s="263"/>
      <c r="AC148" s="263"/>
      <c r="AD148" s="263"/>
      <c r="AE148" s="141"/>
      <c r="AF148" s="113"/>
      <c r="AG148" s="263" t="str">
        <f>IF(AD145&lt;&gt;"",AG145/AD145-1,"-")</f>
        <v>-</v>
      </c>
      <c r="AH148" s="263">
        <f>IF(AG145&lt;&gt;"",AH145/AG145-1,"-")</f>
        <v>-1.2738853503184711E-2</v>
      </c>
      <c r="AI148" s="263">
        <f>IF(AH145&lt;&gt;"",AI145/AH145-1,"-")</f>
        <v>-0.16258064516129023</v>
      </c>
      <c r="AJ148" s="263">
        <f>IF(AI145&lt;&gt;"",AJ145/AI145-1,"-")</f>
        <v>0.49922958397534645</v>
      </c>
      <c r="AK148" s="141"/>
      <c r="AL148" s="113"/>
      <c r="AM148" s="263">
        <f>IF(AJ145&lt;&gt;"",AM145/AJ145-1,"-")</f>
        <v>-0.11819116135662899</v>
      </c>
      <c r="AN148" s="263">
        <f>IF(AM145&lt;&gt;"",AN145/AM145-1,"-")</f>
        <v>-0.17016317016317006</v>
      </c>
      <c r="AO148" s="263">
        <f>IF(AN145&lt;&gt;"",AO145/AN145-1,"-")</f>
        <v>-0.2415730337078652</v>
      </c>
      <c r="AP148" s="263">
        <f>IF(AO145&lt;&gt;"",AP145/AO145-1,"-")</f>
        <v>-0.11111111111111116</v>
      </c>
      <c r="AQ148" s="141" t="s">
        <v>6442</v>
      </c>
      <c r="AR148" s="113"/>
      <c r="AS148" s="263">
        <f>IF(AP145&lt;&gt;"",AS145/AP145-1,"-")</f>
        <v>0.26458333333333339</v>
      </c>
      <c r="AT148" s="263">
        <f>IF(AS145&lt;&gt;"",AT145/AS145-1,"-")</f>
        <v>0.12191103789126845</v>
      </c>
      <c r="AU148" s="263">
        <f>IF(AT145&lt;&gt;"",AU145/AT145-1,"-")</f>
        <v>0.25991189427312777</v>
      </c>
      <c r="AV148" s="263">
        <f>IF(AU145&lt;&gt;"",AV145/AU145-1,"-")</f>
        <v>0.49067599067599077</v>
      </c>
      <c r="AW148" s="141" t="s">
        <v>6442</v>
      </c>
      <c r="AX148" s="113"/>
      <c r="AY148" s="263">
        <f>IF(AV145&lt;&gt;"",AY145/AV145-1,"-")</f>
        <v>-4.0656763096168946E-2</v>
      </c>
      <c r="AZ148" s="263">
        <f>IF(AY145&lt;&gt;"",AZ145/AY145-1,"-")</f>
        <v>-0.14262428687856565</v>
      </c>
      <c r="BA148" s="263">
        <f>IF(AZ145&lt;&gt;"",BA145/AZ145-1,"-")</f>
        <v>8.6501901140684456E-2</v>
      </c>
      <c r="BB148" s="263">
        <f>IF(BA145&lt;&gt;"",BB145/BA145-1,"-")</f>
        <v>0.28696412948381456</v>
      </c>
      <c r="BC148" s="141" t="s">
        <v>6442</v>
      </c>
      <c r="BD148" s="138"/>
      <c r="BE148" s="263">
        <f>IF(BB145&lt;&gt;"",BE145/BB145-1,"-")</f>
        <v>2.9911624745071475E-2</v>
      </c>
      <c r="BF148" s="263">
        <f>IF(BE145&lt;&gt;"",BF145/BE145-1,"-")</f>
        <v>2.3102310231023049E-2</v>
      </c>
      <c r="BG148" s="92"/>
      <c r="BH148" s="92"/>
      <c r="BI148" s="92"/>
      <c r="BJ148" s="138"/>
      <c r="BK148" s="91"/>
      <c r="BL148" s="91"/>
      <c r="BM148" s="91"/>
      <c r="BN148" s="91"/>
      <c r="BO148" s="1122"/>
      <c r="BP148" s="138"/>
      <c r="BQ148" s="91"/>
      <c r="BR148" s="91"/>
      <c r="BS148" s="91"/>
      <c r="BT148" s="91"/>
      <c r="BU148" s="1122"/>
      <c r="BV148" s="138"/>
      <c r="BW148" s="91"/>
      <c r="BX148" s="91"/>
      <c r="BY148" s="91"/>
      <c r="BZ148" s="91"/>
      <c r="CA148" s="1122"/>
      <c r="CB148" s="138"/>
      <c r="CC148" s="91"/>
      <c r="CD148" s="91"/>
      <c r="CE148" s="91"/>
      <c r="CF148" s="91"/>
      <c r="CG148" s="1122"/>
      <c r="CH148" s="138"/>
      <c r="CI148" s="91"/>
      <c r="CJ148" s="91"/>
      <c r="CK148" s="92"/>
      <c r="CL148" s="91"/>
      <c r="CM148" s="1122"/>
      <c r="CN148" s="138"/>
      <c r="CO148" s="91"/>
      <c r="CP148" s="91"/>
      <c r="CQ148" s="91"/>
      <c r="CR148" s="91"/>
      <c r="CS148" s="1122"/>
      <c r="CT148" s="91"/>
      <c r="CU148" s="91"/>
      <c r="CV148" s="91"/>
      <c r="CW148" s="91"/>
      <c r="CX148" s="91"/>
      <c r="CY148" s="1122"/>
      <c r="CZ148" s="91"/>
      <c r="DA148" s="91"/>
      <c r="DB148" s="91"/>
      <c r="DC148" s="91"/>
      <c r="DD148" s="91"/>
      <c r="DE148" s="1122"/>
      <c r="DF148" s="91"/>
      <c r="DG148" s="91"/>
      <c r="DH148" s="91"/>
      <c r="DI148" s="91"/>
      <c r="DJ148" s="91"/>
      <c r="DK148" s="1122"/>
      <c r="DL148" s="138"/>
      <c r="DM148" s="91"/>
      <c r="DN148" s="91"/>
      <c r="DO148" s="91"/>
      <c r="DP148" s="91"/>
      <c r="DQ148" s="1122"/>
      <c r="DR148" s="91"/>
      <c r="DS148" s="91"/>
      <c r="DT148" s="91"/>
      <c r="DU148" s="91"/>
      <c r="DV148" s="91"/>
      <c r="DW148" s="1122"/>
      <c r="DX148" s="91"/>
      <c r="DY148" s="91"/>
      <c r="DZ148" s="91"/>
      <c r="EA148" s="91"/>
      <c r="EB148" s="91"/>
      <c r="EC148" s="1122"/>
      <c r="ED148" s="91"/>
      <c r="EE148" s="91"/>
      <c r="EF148" s="91"/>
      <c r="EG148" s="91"/>
      <c r="EH148" s="91"/>
      <c r="EI148" s="1122"/>
      <c r="EJ148" s="91"/>
      <c r="EK148" s="91"/>
      <c r="EL148" s="91"/>
      <c r="EM148" s="91"/>
      <c r="EN148" s="91"/>
      <c r="EO148" s="1122"/>
      <c r="EP148" s="91"/>
      <c r="EQ148" s="91"/>
      <c r="ER148" s="91"/>
      <c r="ES148" s="91"/>
      <c r="ET148" s="91"/>
      <c r="EU148" s="1122"/>
    </row>
    <row r="149" spans="1:151" hidden="1" outlineLevel="3">
      <c r="A149" s="405" t="s">
        <v>3693</v>
      </c>
      <c r="B149" s="113"/>
      <c r="C149" s="226"/>
      <c r="D149" s="226"/>
      <c r="E149" s="226"/>
      <c r="F149" s="226"/>
      <c r="G149" s="270"/>
      <c r="H149" s="113"/>
      <c r="I149" s="270"/>
      <c r="J149" s="270"/>
      <c r="K149" s="270"/>
      <c r="L149" s="270"/>
      <c r="M149" s="270"/>
      <c r="N149" s="113"/>
      <c r="O149" s="270"/>
      <c r="P149" s="270"/>
      <c r="Q149" s="270"/>
      <c r="R149" s="113"/>
      <c r="S149" s="329"/>
      <c r="T149" s="113"/>
      <c r="U149" s="270"/>
      <c r="V149" s="270"/>
      <c r="W149" s="270"/>
      <c r="X149" s="270"/>
      <c r="Y149" s="329"/>
      <c r="Z149" s="113"/>
      <c r="AA149" s="270"/>
      <c r="AB149" s="270"/>
      <c r="AC149" s="270"/>
      <c r="AD149" s="270"/>
      <c r="AE149" s="329"/>
      <c r="AF149" s="113"/>
      <c r="AG149" s="141">
        <v>8.5</v>
      </c>
      <c r="AH149" s="141">
        <v>0.5</v>
      </c>
      <c r="AI149" s="141">
        <v>-2.4</v>
      </c>
      <c r="AJ149" s="141">
        <v>-8.6999999999999993</v>
      </c>
      <c r="AK149" s="141"/>
      <c r="AL149" s="113"/>
      <c r="AM149" s="141">
        <v>-3.9</v>
      </c>
      <c r="AN149" s="141">
        <v>-1</v>
      </c>
      <c r="AO149" s="141">
        <v>-1.6</v>
      </c>
      <c r="AP149" s="141">
        <v>-5.9</v>
      </c>
      <c r="AQ149" s="141">
        <f>SUM(AM149:AP149)</f>
        <v>-12.4</v>
      </c>
      <c r="AR149" s="113"/>
      <c r="AS149" s="141">
        <v>2.2999999999999998</v>
      </c>
      <c r="AT149" s="141">
        <v>-0.8</v>
      </c>
      <c r="AU149" s="141">
        <v>-0.8</v>
      </c>
      <c r="AV149" s="141">
        <v>5.7</v>
      </c>
      <c r="AW149" s="141">
        <f>SUM(AS149:AV149)</f>
        <v>6.4</v>
      </c>
      <c r="AX149" s="113"/>
      <c r="AY149" s="141">
        <v>3.3</v>
      </c>
      <c r="AZ149" s="141">
        <v>6.5</v>
      </c>
      <c r="BA149" s="141">
        <v>6.9</v>
      </c>
      <c r="BB149" s="141">
        <v>10.6</v>
      </c>
      <c r="BC149" s="141">
        <f>SUM(AY149:BB149)</f>
        <v>27.300000000000004</v>
      </c>
      <c r="BD149" s="138"/>
      <c r="BE149" s="141">
        <v>8.4</v>
      </c>
      <c r="BF149" s="708">
        <v>9.5</v>
      </c>
      <c r="BG149" s="92"/>
      <c r="BH149" s="92"/>
      <c r="BI149" s="92"/>
      <c r="BJ149" s="138"/>
      <c r="BK149" s="91"/>
      <c r="BL149" s="91"/>
      <c r="BM149" s="91"/>
      <c r="BN149" s="91"/>
      <c r="BO149" s="1122"/>
      <c r="BP149" s="138"/>
      <c r="BQ149" s="91"/>
      <c r="BR149" s="91"/>
      <c r="BS149" s="91"/>
      <c r="BT149" s="91"/>
      <c r="BU149" s="1122"/>
      <c r="BV149" s="138"/>
      <c r="BW149" s="91"/>
      <c r="BX149" s="91">
        <v>69.2</v>
      </c>
      <c r="BY149" s="91"/>
      <c r="BZ149" s="91"/>
      <c r="CA149" s="1122"/>
      <c r="CB149" s="138"/>
      <c r="CC149" s="91"/>
      <c r="CD149" s="91"/>
      <c r="CE149" s="91"/>
      <c r="CF149" s="91"/>
      <c r="CG149" s="1122"/>
      <c r="CH149" s="138"/>
      <c r="CI149" s="91"/>
      <c r="CJ149" s="91"/>
      <c r="CK149" s="92"/>
      <c r="CL149" s="91"/>
      <c r="CM149" s="1122"/>
      <c r="CN149" s="138"/>
      <c r="CO149" s="91"/>
      <c r="CP149" s="91"/>
      <c r="CQ149" s="91"/>
      <c r="CR149" s="91"/>
      <c r="CS149" s="1122"/>
      <c r="CT149" s="91"/>
      <c r="CU149" s="91"/>
      <c r="CV149" s="91"/>
      <c r="CW149" s="91"/>
      <c r="CX149" s="91"/>
      <c r="CY149" s="1122"/>
      <c r="CZ149" s="91"/>
      <c r="DA149" s="91"/>
      <c r="DB149" s="91"/>
      <c r="DC149" s="91"/>
      <c r="DD149" s="91"/>
      <c r="DE149" s="1122"/>
      <c r="DF149" s="91"/>
      <c r="DG149" s="91"/>
      <c r="DH149" s="91"/>
      <c r="DI149" s="91"/>
      <c r="DJ149" s="91"/>
      <c r="DK149" s="1122"/>
      <c r="DL149" s="138"/>
      <c r="DM149" s="91"/>
      <c r="DN149" s="91"/>
      <c r="DO149" s="91"/>
      <c r="DP149" s="91"/>
      <c r="DQ149" s="1122"/>
      <c r="DR149" s="91"/>
      <c r="DS149" s="91"/>
      <c r="DT149" s="91"/>
      <c r="DU149" s="91"/>
      <c r="DV149" s="91"/>
      <c r="DW149" s="1122"/>
      <c r="DX149" s="91"/>
      <c r="DY149" s="91"/>
      <c r="DZ149" s="91"/>
      <c r="EA149" s="91"/>
      <c r="EB149" s="91"/>
      <c r="EC149" s="1122"/>
      <c r="ED149" s="91"/>
      <c r="EE149" s="91"/>
      <c r="EF149" s="91"/>
      <c r="EG149" s="91"/>
      <c r="EH149" s="91"/>
      <c r="EI149" s="1122"/>
      <c r="EJ149" s="91"/>
      <c r="EK149" s="91"/>
      <c r="EL149" s="91"/>
      <c r="EM149" s="91"/>
      <c r="EN149" s="91"/>
      <c r="EO149" s="1122"/>
      <c r="EP149" s="91"/>
      <c r="EQ149" s="91"/>
      <c r="ER149" s="91"/>
      <c r="ES149" s="91"/>
      <c r="ET149" s="91"/>
      <c r="EU149" s="1122"/>
    </row>
    <row r="150" spans="1:151" hidden="1" outlineLevel="3">
      <c r="A150" s="405"/>
      <c r="B150" s="113"/>
      <c r="C150" s="226"/>
      <c r="D150" s="226"/>
      <c r="E150" s="226"/>
      <c r="F150" s="226"/>
      <c r="G150" s="270"/>
      <c r="H150" s="113"/>
      <c r="I150" s="270"/>
      <c r="J150" s="270"/>
      <c r="K150" s="270"/>
      <c r="L150" s="270"/>
      <c r="M150" s="270"/>
      <c r="N150" s="113"/>
      <c r="O150" s="270"/>
      <c r="P150" s="270"/>
      <c r="Q150" s="270"/>
      <c r="R150" s="113"/>
      <c r="S150" s="329"/>
      <c r="T150" s="113"/>
      <c r="U150" s="270"/>
      <c r="V150" s="270"/>
      <c r="W150" s="270"/>
      <c r="X150" s="270"/>
      <c r="Y150" s="329"/>
      <c r="Z150" s="113"/>
      <c r="AA150" s="270"/>
      <c r="AB150" s="270"/>
      <c r="AC150" s="270"/>
      <c r="AD150" s="270"/>
      <c r="AE150" s="329"/>
      <c r="AF150" s="113"/>
      <c r="AG150" s="141"/>
      <c r="AH150" s="141"/>
      <c r="AI150" s="141"/>
      <c r="AJ150" s="141"/>
      <c r="AK150" s="141"/>
      <c r="AL150" s="113"/>
      <c r="AM150" s="141"/>
      <c r="AN150" s="141"/>
      <c r="AO150" s="141"/>
      <c r="AP150" s="141"/>
      <c r="AQ150" s="141"/>
      <c r="AR150" s="113"/>
      <c r="AS150" s="141"/>
      <c r="AT150" s="141"/>
      <c r="AU150" s="141"/>
      <c r="AV150" s="141"/>
      <c r="AW150" s="141"/>
      <c r="AX150" s="113"/>
      <c r="AY150" s="141"/>
      <c r="AZ150" s="141"/>
      <c r="BA150" s="141"/>
      <c r="BB150" s="141"/>
      <c r="BC150" s="141"/>
      <c r="BD150" s="138"/>
      <c r="BE150" s="141"/>
      <c r="BF150" s="708"/>
      <c r="BG150" s="92"/>
      <c r="BH150" s="92"/>
      <c r="BI150" s="92"/>
      <c r="BJ150" s="138"/>
      <c r="BK150" s="91"/>
      <c r="BL150" s="91"/>
      <c r="BM150" s="91"/>
      <c r="BN150" s="91"/>
      <c r="BO150" s="1122"/>
      <c r="BP150" s="138"/>
      <c r="BQ150" s="91"/>
      <c r="BR150" s="91"/>
      <c r="BS150" s="91"/>
      <c r="BT150" s="91"/>
      <c r="BU150" s="1122"/>
      <c r="BV150" s="138"/>
      <c r="BW150" s="91"/>
      <c r="BX150" s="91"/>
      <c r="BY150" s="91"/>
      <c r="BZ150" s="91"/>
      <c r="CA150" s="1122"/>
      <c r="CB150" s="138"/>
      <c r="CC150" s="91"/>
      <c r="CD150" s="91"/>
      <c r="CE150" s="91"/>
      <c r="CF150" s="91"/>
      <c r="CG150" s="1122"/>
      <c r="CH150" s="138"/>
      <c r="CI150" s="91"/>
      <c r="CJ150" s="91"/>
      <c r="CK150" s="92"/>
      <c r="CL150" s="91"/>
      <c r="CM150" s="1122"/>
      <c r="CN150" s="138"/>
      <c r="CO150" s="91"/>
      <c r="CP150" s="91"/>
      <c r="CQ150" s="91"/>
      <c r="CR150" s="91"/>
      <c r="CS150" s="1122"/>
      <c r="CT150" s="91"/>
      <c r="CU150" s="91"/>
      <c r="CV150" s="91"/>
      <c r="CW150" s="91"/>
      <c r="CX150" s="91"/>
      <c r="CY150" s="1122"/>
      <c r="CZ150" s="91"/>
      <c r="DA150" s="91"/>
      <c r="DB150" s="91"/>
      <c r="DC150" s="91"/>
      <c r="DD150" s="91"/>
      <c r="DE150" s="1122"/>
      <c r="DF150" s="91"/>
      <c r="DG150" s="91"/>
      <c r="DH150" s="91"/>
      <c r="DI150" s="91"/>
      <c r="DJ150" s="91"/>
      <c r="DK150" s="1122"/>
      <c r="DL150" s="138"/>
      <c r="DM150" s="91"/>
      <c r="DN150" s="91"/>
      <c r="DO150" s="91"/>
      <c r="DP150" s="91"/>
      <c r="DQ150" s="1122"/>
      <c r="DR150" s="91"/>
      <c r="DS150" s="91"/>
      <c r="DT150" s="91"/>
      <c r="DU150" s="91"/>
      <c r="DV150" s="91"/>
      <c r="DW150" s="1122"/>
      <c r="DX150" s="91"/>
      <c r="DY150" s="91"/>
      <c r="DZ150" s="91"/>
      <c r="EA150" s="91"/>
      <c r="EB150" s="91"/>
      <c r="EC150" s="1122"/>
      <c r="ED150" s="91"/>
      <c r="EE150" s="91"/>
      <c r="EF150" s="91"/>
      <c r="EG150" s="91"/>
      <c r="EH150" s="91"/>
      <c r="EI150" s="1122"/>
      <c r="EJ150" s="91"/>
      <c r="EK150" s="91"/>
      <c r="EL150" s="91"/>
      <c r="EM150" s="91"/>
      <c r="EN150" s="91"/>
      <c r="EO150" s="1122"/>
      <c r="EP150" s="91"/>
      <c r="EQ150" s="91"/>
      <c r="ER150" s="91"/>
      <c r="ES150" s="91"/>
      <c r="ET150" s="91"/>
      <c r="EU150" s="1122"/>
    </row>
    <row r="151" spans="1:151" ht="11.25" hidden="1" customHeight="1" outlineLevel="3">
      <c r="A151" s="393" t="s">
        <v>345</v>
      </c>
      <c r="B151" s="113"/>
      <c r="C151" s="226"/>
      <c r="D151" s="226"/>
      <c r="E151" s="226"/>
      <c r="F151" s="226"/>
      <c r="G151" s="270"/>
      <c r="H151" s="113"/>
      <c r="I151" s="270"/>
      <c r="J151" s="270"/>
      <c r="K151" s="270"/>
      <c r="L151" s="270"/>
      <c r="M151" s="270"/>
      <c r="N151" s="113"/>
      <c r="O151" s="270"/>
      <c r="P151" s="270"/>
      <c r="Q151" s="270"/>
      <c r="R151" s="270"/>
      <c r="S151" s="270"/>
      <c r="T151" s="113"/>
      <c r="U151" s="263"/>
      <c r="V151" s="263"/>
      <c r="W151" s="263"/>
      <c r="X151" s="263"/>
      <c r="Y151" s="263"/>
      <c r="Z151" s="113"/>
      <c r="AA151" s="263"/>
      <c r="AB151" s="263"/>
      <c r="AC151" s="263"/>
      <c r="AD151" s="263"/>
      <c r="AE151" s="263"/>
      <c r="AF151" s="113"/>
      <c r="AG151" s="263" t="str">
        <f>IF(AA149&lt;&gt;"",AG149/AA149-1,"-")</f>
        <v>-</v>
      </c>
      <c r="AH151" s="263" t="str">
        <f>IF(AB149&lt;&gt;"",AH149/AB149-1,"-")</f>
        <v>-</v>
      </c>
      <c r="AI151" s="263" t="str">
        <f>IF(AC149&lt;&gt;"",AI149/AC149-1,"-")</f>
        <v>-</v>
      </c>
      <c r="AJ151" s="263" t="str">
        <f>IF(AD149&lt;&gt;"",AJ149/AD149-1,"-")</f>
        <v>-</v>
      </c>
      <c r="AK151" s="263"/>
      <c r="AL151" s="113"/>
      <c r="AM151" s="263">
        <f>IF(AG149&lt;&gt;"",AM149/AG149-1,"-")</f>
        <v>-1.4588235294117646</v>
      </c>
      <c r="AN151" s="263">
        <f>IF(AH149&lt;&gt;"",AN149/AH149-1,"-")</f>
        <v>-3</v>
      </c>
      <c r="AO151" s="263">
        <f>IF(AI149&lt;&gt;"",AO149/AI149-1,"-")</f>
        <v>-0.33333333333333326</v>
      </c>
      <c r="AP151" s="263">
        <f>IF(AJ149&lt;&gt;"",AP149/AJ149-1,"-")</f>
        <v>-0.32183908045977005</v>
      </c>
      <c r="AQ151" s="263" t="str">
        <f>IF(AK149&lt;&gt;"",AQ149/AK149-1,"-")</f>
        <v>-</v>
      </c>
      <c r="AR151" s="113"/>
      <c r="AS151" s="263">
        <f>IF(AM149&lt;&gt;"",AS149/AM149-1,"-")</f>
        <v>-1.5897435897435899</v>
      </c>
      <c r="AT151" s="263">
        <f>IF(AN149&lt;&gt;"",AT149/AN149-1,"-")</f>
        <v>-0.19999999999999996</v>
      </c>
      <c r="AU151" s="263">
        <f>IF(AO149&lt;&gt;"",AU149/AO149-1,"-")</f>
        <v>-0.5</v>
      </c>
      <c r="AV151" s="263">
        <f>IF(AP149&lt;&gt;"",AV149/AP149-1,"-")</f>
        <v>-1.9661016949152543</v>
      </c>
      <c r="AW151" s="263">
        <f>IF(AQ149&lt;&gt;"",AW149/AQ149-1,"-")</f>
        <v>-1.5161290322580645</v>
      </c>
      <c r="AX151" s="113"/>
      <c r="AY151" s="263">
        <f>IF(AS149&lt;&gt;"",AY149/AS149-1,"-")</f>
        <v>0.43478260869565211</v>
      </c>
      <c r="AZ151" s="263">
        <f>IF(AT149&lt;&gt;"",AZ149/AT149-1,"-")</f>
        <v>-9.125</v>
      </c>
      <c r="BA151" s="263">
        <f>IF(AU149&lt;&gt;"",BA149/AU149-1,"-")</f>
        <v>-9.625</v>
      </c>
      <c r="BB151" s="263">
        <f>IF(AV149&lt;&gt;"",BB149/AV149-1,"-")</f>
        <v>0.85964912280701733</v>
      </c>
      <c r="BC151" s="263">
        <f>IF(AW149&lt;&gt;"",BC149/AW149-1,"-")</f>
        <v>3.265625</v>
      </c>
      <c r="BD151" s="138"/>
      <c r="BE151" s="263">
        <f>IF(AY149&lt;&gt;"",BE149/AY149-1,"-")</f>
        <v>1.5454545454545459</v>
      </c>
      <c r="BF151" s="263">
        <f>IF(AZ149&lt;&gt;"",BF149/AZ149-1,"-")</f>
        <v>0.46153846153846145</v>
      </c>
      <c r="BG151" s="92"/>
      <c r="BH151" s="92"/>
      <c r="BI151" s="92"/>
      <c r="BJ151" s="138"/>
      <c r="BK151" s="91"/>
      <c r="BL151" s="91"/>
      <c r="BM151" s="91"/>
      <c r="BN151" s="91"/>
      <c r="BO151" s="1122"/>
      <c r="BP151" s="138"/>
      <c r="BQ151" s="91"/>
      <c r="BR151" s="91"/>
      <c r="BS151" s="91"/>
      <c r="BT151" s="91"/>
      <c r="BU151" s="1122"/>
      <c r="BV151" s="138"/>
      <c r="BW151" s="91"/>
      <c r="BX151" s="91"/>
      <c r="BY151" s="91"/>
      <c r="BZ151" s="91"/>
      <c r="CA151" s="1122"/>
      <c r="CB151" s="138"/>
      <c r="CC151" s="91"/>
      <c r="CD151" s="91"/>
      <c r="CE151" s="91"/>
      <c r="CF151" s="91"/>
      <c r="CG151" s="1122"/>
      <c r="CH151" s="138"/>
      <c r="CI151" s="91"/>
      <c r="CJ151" s="91"/>
      <c r="CK151" s="92"/>
      <c r="CL151" s="91"/>
      <c r="CM151" s="1122"/>
      <c r="CN151" s="138"/>
      <c r="CO151" s="91"/>
      <c r="CP151" s="91"/>
      <c r="CQ151" s="91"/>
      <c r="CR151" s="91"/>
      <c r="CS151" s="1122"/>
      <c r="CT151" s="91"/>
      <c r="CU151" s="91"/>
      <c r="CV151" s="91"/>
      <c r="CW151" s="91"/>
      <c r="CX151" s="91"/>
      <c r="CY151" s="1122"/>
      <c r="CZ151" s="91"/>
      <c r="DA151" s="91"/>
      <c r="DB151" s="91"/>
      <c r="DC151" s="91"/>
      <c r="DD151" s="91"/>
      <c r="DE151" s="1122"/>
      <c r="DF151" s="91"/>
      <c r="DG151" s="91"/>
      <c r="DH151" s="91"/>
      <c r="DI151" s="91"/>
      <c r="DJ151" s="91"/>
      <c r="DK151" s="1122"/>
      <c r="DL151" s="138"/>
      <c r="DM151" s="91"/>
      <c r="DN151" s="91"/>
      <c r="DO151" s="91"/>
      <c r="DP151" s="91"/>
      <c r="DQ151" s="1122"/>
      <c r="DR151" s="91"/>
      <c r="DS151" s="91"/>
      <c r="DT151" s="91"/>
      <c r="DU151" s="91"/>
      <c r="DV151" s="91"/>
      <c r="DW151" s="1122"/>
      <c r="DX151" s="91"/>
      <c r="DY151" s="91"/>
      <c r="DZ151" s="91"/>
      <c r="EA151" s="91"/>
      <c r="EB151" s="91"/>
      <c r="EC151" s="1122"/>
      <c r="ED151" s="91"/>
      <c r="EE151" s="91"/>
      <c r="EF151" s="91"/>
      <c r="EG151" s="91"/>
      <c r="EH151" s="91"/>
      <c r="EI151" s="1122"/>
      <c r="EJ151" s="91"/>
      <c r="EK151" s="91"/>
      <c r="EL151" s="91"/>
      <c r="EM151" s="91"/>
      <c r="EN151" s="91"/>
      <c r="EO151" s="1122"/>
      <c r="EP151" s="91"/>
      <c r="EQ151" s="91"/>
      <c r="ER151" s="91"/>
      <c r="ES151" s="91"/>
      <c r="ET151" s="91"/>
      <c r="EU151" s="1122"/>
    </row>
    <row r="152" spans="1:151" hidden="1" outlineLevel="3">
      <c r="A152" s="393" t="s">
        <v>344</v>
      </c>
      <c r="B152" s="113"/>
      <c r="C152" s="226"/>
      <c r="D152" s="226"/>
      <c r="E152" s="226"/>
      <c r="F152" s="226"/>
      <c r="G152" s="270"/>
      <c r="H152" s="113"/>
      <c r="I152" s="270"/>
      <c r="J152" s="270"/>
      <c r="K152" s="270"/>
      <c r="L152" s="270"/>
      <c r="M152" s="270"/>
      <c r="N152" s="113"/>
      <c r="O152" s="270"/>
      <c r="P152" s="270"/>
      <c r="Q152" s="270"/>
      <c r="R152" s="270"/>
      <c r="S152" s="270"/>
      <c r="T152" s="113"/>
      <c r="U152" s="263"/>
      <c r="V152" s="263"/>
      <c r="W152" s="263"/>
      <c r="X152" s="263"/>
      <c r="Y152" s="141"/>
      <c r="Z152" s="113"/>
      <c r="AA152" s="263"/>
      <c r="AB152" s="263"/>
      <c r="AC152" s="263"/>
      <c r="AD152" s="263"/>
      <c r="AE152" s="141"/>
      <c r="AF152" s="113"/>
      <c r="AG152" s="263" t="str">
        <f>IF(AD149&lt;&gt;"",AG149/AD149-1,"-")</f>
        <v>-</v>
      </c>
      <c r="AH152" s="263">
        <f>IF(AG149&lt;&gt;"",AH149/AG149-1,"-")</f>
        <v>-0.94117647058823528</v>
      </c>
      <c r="AI152" s="263">
        <f>IF(AH149&lt;&gt;"",AI149/AH149-1,"-")</f>
        <v>-5.8</v>
      </c>
      <c r="AJ152" s="263">
        <f>IF(AI149&lt;&gt;"",AJ149/AI149-1,"-")</f>
        <v>2.625</v>
      </c>
      <c r="AK152" s="141"/>
      <c r="AL152" s="113"/>
      <c r="AM152" s="263">
        <f>IF(AJ149&lt;&gt;"",AM149/AJ149-1,"-")</f>
        <v>-0.55172413793103448</v>
      </c>
      <c r="AN152" s="263">
        <f>IF(AM149&lt;&gt;"",AN149/AM149-1,"-")</f>
        <v>-0.74358974358974361</v>
      </c>
      <c r="AO152" s="263">
        <f>IF(AN149&lt;&gt;"",AO149/AN149-1,"-")</f>
        <v>0.60000000000000009</v>
      </c>
      <c r="AP152" s="263">
        <f>IF(AO149&lt;&gt;"",AP149/AO149-1,"-")</f>
        <v>2.6875</v>
      </c>
      <c r="AQ152" s="141" t="s">
        <v>6442</v>
      </c>
      <c r="AR152" s="113"/>
      <c r="AS152" s="263">
        <f>IF(AP149&lt;&gt;"",AS149/AP149-1,"-")</f>
        <v>-1.3898305084745761</v>
      </c>
      <c r="AT152" s="263">
        <f>IF(AS149&lt;&gt;"",AT149/AS149-1,"-")</f>
        <v>-1.3478260869565217</v>
      </c>
      <c r="AU152" s="263">
        <f>IF(AT149&lt;&gt;"",AU149/AT149-1,"-")</f>
        <v>0</v>
      </c>
      <c r="AV152" s="263">
        <f>IF(AU149&lt;&gt;"",AV149/AU149-1,"-")</f>
        <v>-8.125</v>
      </c>
      <c r="AW152" s="141" t="s">
        <v>6442</v>
      </c>
      <c r="AX152" s="113"/>
      <c r="AY152" s="263">
        <f>IF(AV149&lt;&gt;"",AY149/AV149-1,"-")</f>
        <v>-0.42105263157894746</v>
      </c>
      <c r="AZ152" s="263">
        <f>IF(AY149&lt;&gt;"",AZ149/AY149-1,"-")</f>
        <v>0.96969696969696972</v>
      </c>
      <c r="BA152" s="263">
        <f>IF(AZ149&lt;&gt;"",BA149/AZ149-1,"-")</f>
        <v>6.1538461538461542E-2</v>
      </c>
      <c r="BB152" s="263">
        <f>IF(BA149&lt;&gt;"",BB149/BA149-1,"-")</f>
        <v>0.53623188405797095</v>
      </c>
      <c r="BC152" s="141" t="s">
        <v>6442</v>
      </c>
      <c r="BD152" s="138"/>
      <c r="BE152" s="263">
        <f>IF(BB149&lt;&gt;"",BE149/BB149-1,"-")</f>
        <v>-0.20754716981132071</v>
      </c>
      <c r="BF152" s="263">
        <f>IF(BE149&lt;&gt;"",BF149/BE149-1,"-")</f>
        <v>0.13095238095238093</v>
      </c>
      <c r="BG152" s="92"/>
      <c r="BH152" s="92"/>
      <c r="BI152" s="92"/>
      <c r="BJ152" s="138"/>
      <c r="BK152" s="91"/>
      <c r="BL152" s="91"/>
      <c r="BM152" s="91"/>
      <c r="BN152" s="91"/>
      <c r="BO152" s="1122"/>
      <c r="BP152" s="138"/>
      <c r="BQ152" s="91"/>
      <c r="BR152" s="91"/>
      <c r="BS152" s="91"/>
      <c r="BT152" s="91"/>
      <c r="BU152" s="1122"/>
      <c r="BV152" s="138"/>
      <c r="BW152" s="91"/>
      <c r="BX152" s="91"/>
      <c r="BY152" s="91"/>
      <c r="BZ152" s="91"/>
      <c r="CA152" s="1122"/>
      <c r="CB152" s="138"/>
      <c r="CC152" s="91"/>
      <c r="CD152" s="91"/>
      <c r="CE152" s="91"/>
      <c r="CF152" s="91"/>
      <c r="CG152" s="1122"/>
      <c r="CH152" s="138"/>
      <c r="CI152" s="91"/>
      <c r="CJ152" s="91"/>
      <c r="CK152" s="92"/>
      <c r="CL152" s="91"/>
      <c r="CM152" s="1122"/>
      <c r="CN152" s="138"/>
      <c r="CO152" s="91"/>
      <c r="CP152" s="91"/>
      <c r="CQ152" s="91"/>
      <c r="CR152" s="91"/>
      <c r="CS152" s="1122"/>
      <c r="CT152" s="91"/>
      <c r="CU152" s="91"/>
      <c r="CV152" s="91"/>
      <c r="CW152" s="91"/>
      <c r="CX152" s="91"/>
      <c r="CY152" s="1122"/>
      <c r="CZ152" s="91"/>
      <c r="DA152" s="91"/>
      <c r="DB152" s="91"/>
      <c r="DC152" s="91"/>
      <c r="DD152" s="91"/>
      <c r="DE152" s="1122"/>
      <c r="DF152" s="91"/>
      <c r="DG152" s="91"/>
      <c r="DH152" s="91"/>
      <c r="DI152" s="91"/>
      <c r="DJ152" s="91"/>
      <c r="DK152" s="1122"/>
      <c r="DL152" s="138"/>
      <c r="DM152" s="91"/>
      <c r="DN152" s="91"/>
      <c r="DO152" s="91"/>
      <c r="DP152" s="91"/>
      <c r="DQ152" s="1122"/>
      <c r="DR152" s="91"/>
      <c r="DS152" s="91"/>
      <c r="DT152" s="91"/>
      <c r="DU152" s="91"/>
      <c r="DV152" s="91"/>
      <c r="DW152" s="1122"/>
      <c r="DX152" s="91"/>
      <c r="DY152" s="91"/>
      <c r="DZ152" s="91"/>
      <c r="EA152" s="91"/>
      <c r="EB152" s="91"/>
      <c r="EC152" s="1122"/>
      <c r="ED152" s="91"/>
      <c r="EE152" s="91"/>
      <c r="EF152" s="91"/>
      <c r="EG152" s="91"/>
      <c r="EH152" s="91"/>
      <c r="EI152" s="1122"/>
      <c r="EJ152" s="91"/>
      <c r="EK152" s="91"/>
      <c r="EL152" s="91"/>
      <c r="EM152" s="91"/>
      <c r="EN152" s="91"/>
      <c r="EO152" s="1122"/>
      <c r="EP152" s="91"/>
      <c r="EQ152" s="91"/>
      <c r="ER152" s="91"/>
      <c r="ES152" s="91"/>
      <c r="ET152" s="91"/>
      <c r="EU152" s="1122"/>
    </row>
    <row r="153" spans="1:151" hidden="1" outlineLevel="3">
      <c r="A153" s="405" t="s">
        <v>2494</v>
      </c>
      <c r="B153" s="113"/>
      <c r="C153" s="226"/>
      <c r="D153" s="226"/>
      <c r="E153" s="226"/>
      <c r="F153" s="226"/>
      <c r="G153" s="270"/>
      <c r="H153" s="113"/>
      <c r="I153" s="270"/>
      <c r="J153" s="270"/>
      <c r="K153" s="270"/>
      <c r="L153" s="270"/>
      <c r="M153" s="270"/>
      <c r="N153" s="113"/>
      <c r="O153" s="270"/>
      <c r="P153" s="270"/>
      <c r="Q153" s="270"/>
      <c r="R153" s="270"/>
      <c r="S153" s="329"/>
      <c r="T153" s="113"/>
      <c r="U153" s="270"/>
      <c r="V153" s="270"/>
      <c r="W153" s="270"/>
      <c r="X153" s="270"/>
      <c r="Y153" s="329"/>
      <c r="Z153" s="113"/>
      <c r="AA153" s="270"/>
      <c r="AB153" s="270"/>
      <c r="AC153" s="270"/>
      <c r="AD153" s="270"/>
      <c r="AE153" s="329"/>
      <c r="AF153" s="113"/>
      <c r="AG153" s="141">
        <v>-50.4</v>
      </c>
      <c r="AH153" s="141">
        <v>-58.3</v>
      </c>
      <c r="AI153" s="141">
        <v>-49.7</v>
      </c>
      <c r="AJ153" s="141">
        <v>-59.2</v>
      </c>
      <c r="AK153" s="141"/>
      <c r="AL153" s="113"/>
      <c r="AM153" s="141">
        <v>-60.7</v>
      </c>
      <c r="AN153" s="141">
        <v>-59.9</v>
      </c>
      <c r="AO153" s="141">
        <v>-60.2</v>
      </c>
      <c r="AP153" s="141">
        <v>-40.9</v>
      </c>
      <c r="AQ153" s="141">
        <f>SUM(AM153:AP153)</f>
        <v>-221.70000000000002</v>
      </c>
      <c r="AR153" s="113"/>
      <c r="AS153" s="141">
        <v>-56.4</v>
      </c>
      <c r="AT153" s="141">
        <v>-53.3</v>
      </c>
      <c r="AU153" s="141">
        <v>-57</v>
      </c>
      <c r="AV153" s="141">
        <v>-75.900000000000006</v>
      </c>
      <c r="AW153" s="141">
        <f>SUM(AS153:AV153)</f>
        <v>-242.6</v>
      </c>
      <c r="AX153" s="113"/>
      <c r="AY153" s="141">
        <v>-72.5</v>
      </c>
      <c r="AZ153" s="141">
        <v>-62.3</v>
      </c>
      <c r="BA153" s="141">
        <v>-67.400000000000006</v>
      </c>
      <c r="BB153" s="141">
        <v>-79.5</v>
      </c>
      <c r="BC153" s="141">
        <f>SUM(AY153:BB153)</f>
        <v>-281.70000000000005</v>
      </c>
      <c r="BD153" s="138"/>
      <c r="BE153" s="141">
        <v>-68.7</v>
      </c>
      <c r="BF153" s="708">
        <v>-75.599999999999994</v>
      </c>
      <c r="BG153" s="92"/>
      <c r="BH153" s="92"/>
      <c r="BI153" s="92"/>
      <c r="BJ153" s="138"/>
      <c r="BK153" s="91"/>
      <c r="BL153" s="91"/>
      <c r="BM153" s="91"/>
      <c r="BN153" s="91"/>
      <c r="BO153" s="1122"/>
      <c r="BP153" s="138"/>
      <c r="BQ153" s="91"/>
      <c r="BR153" s="91"/>
      <c r="BS153" s="91"/>
      <c r="BT153" s="91"/>
      <c r="BU153" s="1122"/>
      <c r="BV153" s="138"/>
      <c r="BW153" s="91"/>
      <c r="BX153" s="91"/>
      <c r="BY153" s="91"/>
      <c r="BZ153" s="91"/>
      <c r="CA153" s="1122"/>
      <c r="CB153" s="138"/>
      <c r="CC153" s="91"/>
      <c r="CD153" s="91"/>
      <c r="CE153" s="91"/>
      <c r="CF153" s="91"/>
      <c r="CG153" s="1122"/>
      <c r="CH153" s="138"/>
      <c r="CI153" s="91"/>
      <c r="CJ153" s="91"/>
      <c r="CK153" s="92"/>
      <c r="CL153" s="91"/>
      <c r="CM153" s="1122"/>
      <c r="CN153" s="138"/>
      <c r="CO153" s="91"/>
      <c r="CP153" s="91"/>
      <c r="CQ153" s="91"/>
      <c r="CR153" s="91"/>
      <c r="CS153" s="1122"/>
      <c r="CT153" s="91"/>
      <c r="CU153" s="91"/>
      <c r="CV153" s="91"/>
      <c r="CW153" s="91"/>
      <c r="CX153" s="91"/>
      <c r="CY153" s="1122"/>
      <c r="CZ153" s="91"/>
      <c r="DA153" s="91"/>
      <c r="DB153" s="91"/>
      <c r="DC153" s="91"/>
      <c r="DD153" s="91"/>
      <c r="DE153" s="1122"/>
      <c r="DF153" s="91"/>
      <c r="DG153" s="91"/>
      <c r="DH153" s="91"/>
      <c r="DI153" s="91"/>
      <c r="DJ153" s="91"/>
      <c r="DK153" s="1122"/>
      <c r="DL153" s="138"/>
      <c r="DM153" s="91"/>
      <c r="DN153" s="91"/>
      <c r="DO153" s="91"/>
      <c r="DP153" s="91"/>
      <c r="DQ153" s="1122"/>
      <c r="DR153" s="91"/>
      <c r="DS153" s="91"/>
      <c r="DT153" s="91"/>
      <c r="DU153" s="91"/>
      <c r="DV153" s="91"/>
      <c r="DW153" s="1122"/>
      <c r="DX153" s="91"/>
      <c r="DY153" s="91"/>
      <c r="DZ153" s="91"/>
      <c r="EA153" s="91"/>
      <c r="EB153" s="91"/>
      <c r="EC153" s="1122"/>
      <c r="ED153" s="91"/>
      <c r="EE153" s="91"/>
      <c r="EF153" s="91"/>
      <c r="EG153" s="91"/>
      <c r="EH153" s="91"/>
      <c r="EI153" s="1122"/>
      <c r="EJ153" s="91"/>
      <c r="EK153" s="91"/>
      <c r="EL153" s="91"/>
      <c r="EM153" s="91"/>
      <c r="EN153" s="91"/>
      <c r="EO153" s="1122"/>
      <c r="EP153" s="91"/>
      <c r="EQ153" s="91"/>
      <c r="ER153" s="91"/>
      <c r="ES153" s="91"/>
      <c r="ET153" s="91"/>
      <c r="EU153" s="1122"/>
    </row>
    <row r="154" spans="1:151" hidden="1" outlineLevel="3">
      <c r="A154" s="393" t="s">
        <v>345</v>
      </c>
      <c r="B154" s="113"/>
      <c r="C154" s="226"/>
      <c r="D154" s="226"/>
      <c r="E154" s="226"/>
      <c r="F154" s="226"/>
      <c r="G154" s="270"/>
      <c r="H154" s="113"/>
      <c r="I154" s="270"/>
      <c r="J154" s="270"/>
      <c r="K154" s="270"/>
      <c r="L154" s="270"/>
      <c r="M154" s="270"/>
      <c r="N154" s="113"/>
      <c r="O154" s="270"/>
      <c r="P154" s="270"/>
      <c r="Q154" s="270"/>
      <c r="R154" s="270"/>
      <c r="S154" s="270"/>
      <c r="T154" s="113"/>
      <c r="U154" s="270"/>
      <c r="V154" s="270"/>
      <c r="W154" s="270"/>
      <c r="X154" s="270"/>
      <c r="Y154" s="270"/>
      <c r="Z154" s="113"/>
      <c r="AA154" s="270"/>
      <c r="AB154" s="270"/>
      <c r="AC154" s="270"/>
      <c r="AD154" s="270"/>
      <c r="AE154" s="270"/>
      <c r="AF154" s="113"/>
      <c r="AG154" s="263"/>
      <c r="AH154" s="263"/>
      <c r="AI154" s="263"/>
      <c r="AJ154" s="263"/>
      <c r="AK154" s="263"/>
      <c r="AL154" s="113"/>
      <c r="AM154" s="263">
        <f>IF(AG153&lt;&gt;"",AM153/AG153-1,"-")</f>
        <v>0.20436507936507953</v>
      </c>
      <c r="AN154" s="263">
        <f>IF(AH153&lt;&gt;"",AN153/AH153-1,"-")</f>
        <v>2.7444253859348233E-2</v>
      </c>
      <c r="AO154" s="263">
        <f>IF(AI153&lt;&gt;"",AO153/AI153-1,"-")</f>
        <v>0.21126760563380276</v>
      </c>
      <c r="AP154" s="263">
        <f>IF(AJ153&lt;&gt;"",AP153/AJ153-1,"-")</f>
        <v>-0.30912162162162171</v>
      </c>
      <c r="AQ154" s="263" t="str">
        <f>IF(AK153&lt;&gt;"",AQ153/AK153-1,"-")</f>
        <v>-</v>
      </c>
      <c r="AR154" s="113"/>
      <c r="AS154" s="263">
        <f>IF(AM153&lt;&gt;"",AS153/AM153-1,"-")</f>
        <v>-7.084019769357508E-2</v>
      </c>
      <c r="AT154" s="263">
        <f>IF(AN153&lt;&gt;"",AT153/AN153-1,"-")</f>
        <v>-0.11018363939899833</v>
      </c>
      <c r="AU154" s="263">
        <f>IF(AO153&lt;&gt;"",AU153/AO153-1,"-")</f>
        <v>-5.3156146179402008E-2</v>
      </c>
      <c r="AV154" s="263">
        <f>IF(AP153&lt;&gt;"",AV153/AP153-1,"-")</f>
        <v>0.85574572127139392</v>
      </c>
      <c r="AW154" s="263">
        <f>IF(AQ153&lt;&gt;"",AW153/AQ153-1,"-")</f>
        <v>9.427153811456912E-2</v>
      </c>
      <c r="AX154" s="113"/>
      <c r="AY154" s="263">
        <f>IF(AS153&lt;&gt;"",AY153/AS153-1,"-")</f>
        <v>0.28546099290780136</v>
      </c>
      <c r="AZ154" s="263">
        <f>IF(AT153&lt;&gt;"",AZ153/AT153-1,"-")</f>
        <v>0.16885553470919334</v>
      </c>
      <c r="BA154" s="263">
        <f>IF(AU153&lt;&gt;"",BA153/AU153-1,"-")</f>
        <v>0.18245614035087732</v>
      </c>
      <c r="BB154" s="263">
        <f>IF(AV153&lt;&gt;"",BB153/AV153-1,"-")</f>
        <v>4.743083003952564E-2</v>
      </c>
      <c r="BC154" s="263">
        <f>IF(AW153&lt;&gt;"",BC153/AW153-1,"-")</f>
        <v>0.16117065127782371</v>
      </c>
      <c r="BD154" s="138"/>
      <c r="BE154" s="263">
        <f>IF(AY153&lt;&gt;"",BE153/AY153-1,"-")</f>
        <v>-5.2413793103448292E-2</v>
      </c>
      <c r="BF154" s="263">
        <f>IF(AZ153&lt;&gt;"",BF153/AZ153-1,"-")</f>
        <v>0.21348314606741559</v>
      </c>
      <c r="BG154" s="92"/>
      <c r="BH154" s="92"/>
      <c r="BI154" s="92"/>
      <c r="BJ154" s="138"/>
      <c r="BK154" s="91"/>
      <c r="BL154" s="91"/>
      <c r="BM154" s="91"/>
      <c r="BN154" s="91"/>
      <c r="BO154" s="1122"/>
      <c r="BP154" s="138"/>
      <c r="BQ154" s="91"/>
      <c r="BR154" s="91"/>
      <c r="BS154" s="91"/>
      <c r="BT154" s="91"/>
      <c r="BU154" s="1122"/>
      <c r="BV154" s="138"/>
      <c r="BW154" s="91"/>
      <c r="BX154" s="91"/>
      <c r="BY154" s="91"/>
      <c r="BZ154" s="91"/>
      <c r="CA154" s="1122"/>
      <c r="CB154" s="138"/>
      <c r="CC154" s="91"/>
      <c r="CD154" s="91"/>
      <c r="CE154" s="91"/>
      <c r="CF154" s="91"/>
      <c r="CG154" s="1122"/>
      <c r="CH154" s="138"/>
      <c r="CI154" s="91"/>
      <c r="CJ154" s="91"/>
      <c r="CK154" s="92"/>
      <c r="CL154" s="91"/>
      <c r="CM154" s="1122"/>
      <c r="CN154" s="138"/>
      <c r="CO154" s="91"/>
      <c r="CP154" s="91"/>
      <c r="CQ154" s="91"/>
      <c r="CR154" s="91"/>
      <c r="CS154" s="1122"/>
      <c r="CT154" s="91"/>
      <c r="CU154" s="91"/>
      <c r="CV154" s="91"/>
      <c r="CW154" s="91"/>
      <c r="CX154" s="91"/>
      <c r="CY154" s="1122"/>
      <c r="CZ154" s="91"/>
      <c r="DA154" s="91"/>
      <c r="DB154" s="91"/>
      <c r="DC154" s="91"/>
      <c r="DD154" s="91"/>
      <c r="DE154" s="1122"/>
      <c r="DF154" s="91"/>
      <c r="DG154" s="91"/>
      <c r="DH154" s="91"/>
      <c r="DI154" s="91"/>
      <c r="DJ154" s="91"/>
      <c r="DK154" s="1122"/>
      <c r="DL154" s="138"/>
      <c r="DM154" s="91"/>
      <c r="DN154" s="91"/>
      <c r="DO154" s="91"/>
      <c r="DP154" s="91"/>
      <c r="DQ154" s="1122"/>
      <c r="DR154" s="91"/>
      <c r="DS154" s="91"/>
      <c r="DT154" s="91"/>
      <c r="DU154" s="91"/>
      <c r="DV154" s="91"/>
      <c r="DW154" s="1122"/>
      <c r="DX154" s="91"/>
      <c r="DY154" s="91"/>
      <c r="DZ154" s="91"/>
      <c r="EA154" s="91"/>
      <c r="EB154" s="91"/>
      <c r="EC154" s="1122"/>
      <c r="ED154" s="91"/>
      <c r="EE154" s="91"/>
      <c r="EF154" s="91"/>
      <c r="EG154" s="91"/>
      <c r="EH154" s="91"/>
      <c r="EI154" s="1122"/>
      <c r="EJ154" s="91"/>
      <c r="EK154" s="91"/>
      <c r="EL154" s="91"/>
      <c r="EM154" s="91"/>
      <c r="EN154" s="91"/>
      <c r="EO154" s="1122"/>
      <c r="EP154" s="91"/>
      <c r="EQ154" s="91"/>
      <c r="ER154" s="91"/>
      <c r="ES154" s="91"/>
      <c r="ET154" s="91"/>
      <c r="EU154" s="1122"/>
    </row>
    <row r="155" spans="1:151" ht="13.5" hidden="1" outlineLevel="3" thickBot="1">
      <c r="A155" s="390" t="s">
        <v>344</v>
      </c>
      <c r="B155" s="406"/>
      <c r="C155" s="407"/>
      <c r="D155" s="407"/>
      <c r="E155" s="407"/>
      <c r="F155" s="407"/>
      <c r="G155" s="408"/>
      <c r="H155" s="406"/>
      <c r="I155" s="408"/>
      <c r="J155" s="408"/>
      <c r="K155" s="408"/>
      <c r="L155" s="408"/>
      <c r="M155" s="408"/>
      <c r="N155" s="406"/>
      <c r="O155" s="408"/>
      <c r="P155" s="408"/>
      <c r="Q155" s="408"/>
      <c r="R155" s="408"/>
      <c r="S155" s="408"/>
      <c r="T155" s="406"/>
      <c r="U155" s="408"/>
      <c r="V155" s="408"/>
      <c r="W155" s="408"/>
      <c r="X155" s="408"/>
      <c r="Y155" s="408"/>
      <c r="Z155" s="406"/>
      <c r="AA155" s="408"/>
      <c r="AB155" s="408"/>
      <c r="AC155" s="408"/>
      <c r="AD155" s="408"/>
      <c r="AE155" s="408"/>
      <c r="AF155" s="406"/>
      <c r="AG155" s="392"/>
      <c r="AH155" s="392"/>
      <c r="AI155" s="392"/>
      <c r="AJ155" s="392"/>
      <c r="AK155" s="395"/>
      <c r="AL155" s="406"/>
      <c r="AM155" s="392">
        <f>IF(AJ153&lt;&gt;"",AM153/AJ153-1,"-")</f>
        <v>2.533783783783794E-2</v>
      </c>
      <c r="AN155" s="392">
        <f>IF(AM153&lt;&gt;"",AN153/AM153-1,"-")</f>
        <v>-1.317957166392103E-2</v>
      </c>
      <c r="AO155" s="392">
        <f>IF(AN153&lt;&gt;"",AO153/AN153-1,"-")</f>
        <v>5.008347245408995E-3</v>
      </c>
      <c r="AP155" s="392">
        <f>IF(AO153&lt;&gt;"",AP153/AO153-1,"-")</f>
        <v>-0.32059800664451832</v>
      </c>
      <c r="AQ155" s="395" t="s">
        <v>6442</v>
      </c>
      <c r="AR155" s="406"/>
      <c r="AS155" s="392">
        <f>IF(AP153&lt;&gt;"",AS153/AP153-1,"-")</f>
        <v>0.37897310513447424</v>
      </c>
      <c r="AT155" s="392">
        <f>IF(AS153&lt;&gt;"",AT153/AS153-1,"-")</f>
        <v>-5.4964539007092195E-2</v>
      </c>
      <c r="AU155" s="392">
        <f>IF(AT153&lt;&gt;"",AU153/AT153-1,"-")</f>
        <v>6.9418386491557182E-2</v>
      </c>
      <c r="AV155" s="392">
        <f>IF(AU153&lt;&gt;"",AV153/AU153-1,"-")</f>
        <v>0.3315789473684212</v>
      </c>
      <c r="AW155" s="395" t="s">
        <v>6442</v>
      </c>
      <c r="AX155" s="406"/>
      <c r="AY155" s="392">
        <f>IF(AV153&lt;&gt;"",AY153/AV153-1,"-")</f>
        <v>-4.4795783926218746E-2</v>
      </c>
      <c r="AZ155" s="392">
        <f>IF(AY153&lt;&gt;"",AZ153/AY153-1,"-")</f>
        <v>-0.14068965517241383</v>
      </c>
      <c r="BA155" s="392">
        <f>IF(AZ153&lt;&gt;"",BA153/AZ153-1,"-")</f>
        <v>8.1861958266452817E-2</v>
      </c>
      <c r="BB155" s="392">
        <f>IF(BA153&lt;&gt;"",BB153/BA153-1,"-")</f>
        <v>0.1795252225519286</v>
      </c>
      <c r="BC155" s="395" t="s">
        <v>6442</v>
      </c>
      <c r="BD155" s="410"/>
      <c r="BE155" s="392">
        <f>IF(BB153&lt;&gt;"",BE153/BB153-1,"-")</f>
        <v>-0.13584905660377355</v>
      </c>
      <c r="BF155" s="392">
        <f>IF(BE153&lt;&gt;"",BF153/BE153-1,"-")</f>
        <v>0.10043668122270732</v>
      </c>
      <c r="BG155" s="707"/>
      <c r="BH155" s="707"/>
      <c r="BI155" s="707"/>
      <c r="BJ155" s="410"/>
      <c r="BK155" s="409"/>
      <c r="BL155" s="409"/>
      <c r="BM155" s="409"/>
      <c r="BN155" s="409"/>
      <c r="BO155" s="1124"/>
      <c r="BP155" s="410"/>
      <c r="BQ155" s="409"/>
      <c r="BR155" s="409"/>
      <c r="BS155" s="409"/>
      <c r="BT155" s="409"/>
      <c r="BU155" s="1124"/>
      <c r="BV155" s="410"/>
      <c r="BW155" s="409"/>
      <c r="BX155" s="409"/>
      <c r="BY155" s="409"/>
      <c r="BZ155" s="409"/>
      <c r="CA155" s="1124"/>
      <c r="CB155" s="410"/>
      <c r="CC155" s="409"/>
      <c r="CD155" s="409"/>
      <c r="CE155" s="409"/>
      <c r="CF155" s="409"/>
      <c r="CG155" s="1124"/>
      <c r="CH155" s="410"/>
      <c r="CI155" s="409"/>
      <c r="CJ155" s="409"/>
      <c r="CK155" s="707"/>
      <c r="CL155" s="409"/>
      <c r="CM155" s="1124"/>
      <c r="CN155" s="410"/>
      <c r="CO155" s="409"/>
      <c r="CP155" s="409"/>
      <c r="CQ155" s="409"/>
      <c r="CR155" s="409"/>
      <c r="CS155" s="1124"/>
      <c r="CT155" s="409"/>
      <c r="CU155" s="409"/>
      <c r="CV155" s="409"/>
      <c r="CW155" s="409"/>
      <c r="CX155" s="409"/>
      <c r="CY155" s="1124"/>
      <c r="CZ155" s="409"/>
      <c r="DA155" s="409"/>
      <c r="DB155" s="409"/>
      <c r="DC155" s="409"/>
      <c r="DD155" s="409"/>
      <c r="DE155" s="1124"/>
      <c r="DF155" s="409"/>
      <c r="DG155" s="409"/>
      <c r="DH155" s="409"/>
      <c r="DI155" s="409"/>
      <c r="DJ155" s="409"/>
      <c r="DK155" s="1124"/>
      <c r="DL155" s="410"/>
      <c r="DM155" s="409"/>
      <c r="DN155" s="409"/>
      <c r="DO155" s="409"/>
      <c r="DP155" s="409"/>
      <c r="DQ155" s="1124"/>
      <c r="DR155" s="91"/>
      <c r="DS155" s="409"/>
      <c r="DT155" s="409"/>
      <c r="DU155" s="409"/>
      <c r="DV155" s="409"/>
      <c r="DW155" s="1124"/>
      <c r="DX155" s="91"/>
      <c r="DY155" s="409"/>
      <c r="DZ155" s="409"/>
      <c r="EA155" s="409"/>
      <c r="EB155" s="409"/>
      <c r="EC155" s="1124"/>
      <c r="ED155" s="91"/>
      <c r="EE155" s="409"/>
      <c r="EF155" s="409"/>
      <c r="EG155" s="409"/>
      <c r="EH155" s="409"/>
      <c r="EI155" s="1124"/>
      <c r="EJ155" s="91"/>
      <c r="EK155" s="409"/>
      <c r="EL155" s="409"/>
      <c r="EM155" s="409"/>
      <c r="EN155" s="409"/>
      <c r="EO155" s="1124"/>
      <c r="EP155" s="91"/>
      <c r="EQ155" s="409"/>
      <c r="ER155" s="409"/>
      <c r="ES155" s="409"/>
      <c r="ET155" s="409"/>
      <c r="EU155" s="1124"/>
    </row>
    <row r="156" spans="1:151" ht="4.5" hidden="1" customHeight="1" outlineLevel="3" thickBot="1">
      <c r="A156" s="266"/>
      <c r="B156" s="113"/>
      <c r="C156" s="226"/>
      <c r="D156" s="226"/>
      <c r="E156" s="226"/>
      <c r="F156" s="226"/>
      <c r="G156" s="270"/>
      <c r="H156" s="113"/>
      <c r="I156" s="270"/>
      <c r="J156" s="270"/>
      <c r="K156" s="270"/>
      <c r="L156" s="270"/>
      <c r="M156" s="270"/>
      <c r="N156" s="113"/>
      <c r="O156" s="270"/>
      <c r="P156" s="270"/>
      <c r="Q156" s="270"/>
      <c r="R156" s="270"/>
      <c r="S156" s="270"/>
      <c r="T156" s="113"/>
      <c r="U156" s="270"/>
      <c r="V156" s="270"/>
      <c r="W156" s="270"/>
      <c r="X156" s="270"/>
      <c r="Y156" s="270"/>
      <c r="Z156" s="113"/>
      <c r="AA156" s="270"/>
      <c r="AB156" s="270"/>
      <c r="AC156" s="270"/>
      <c r="AD156" s="270"/>
      <c r="AE156" s="270"/>
      <c r="AF156" s="113"/>
      <c r="AG156" s="270"/>
      <c r="AH156" s="270"/>
      <c r="AI156" s="270"/>
      <c r="AJ156" s="270"/>
      <c r="AK156" s="270"/>
      <c r="AL156" s="113"/>
      <c r="AM156" s="263"/>
      <c r="AN156" s="263"/>
      <c r="AO156" s="263"/>
      <c r="AP156" s="263"/>
      <c r="AQ156" s="263"/>
      <c r="AR156" s="113"/>
      <c r="AS156" s="263"/>
      <c r="AT156" s="263"/>
      <c r="AU156" s="263"/>
      <c r="AV156" s="263"/>
      <c r="AW156" s="263"/>
      <c r="AX156" s="113"/>
      <c r="AY156" s="263"/>
      <c r="AZ156" s="263"/>
      <c r="BA156" s="263"/>
      <c r="BB156" s="263"/>
      <c r="BC156" s="263"/>
      <c r="BD156" s="113"/>
      <c r="BE156" s="412"/>
      <c r="BF156" s="412"/>
      <c r="BG156" s="412"/>
      <c r="BH156" s="412"/>
      <c r="BI156" s="412"/>
      <c r="BJ156" s="113"/>
      <c r="BK156" s="270"/>
      <c r="BL156" s="270"/>
      <c r="BM156" s="270"/>
      <c r="BN156" s="270"/>
      <c r="BO156" s="1125"/>
      <c r="BP156" s="113"/>
      <c r="BQ156" s="270"/>
      <c r="BR156" s="270"/>
      <c r="BS156" s="270"/>
      <c r="BT156" s="270"/>
      <c r="BU156" s="1125"/>
      <c r="BV156" s="113"/>
      <c r="BW156" s="270"/>
      <c r="BX156" s="270"/>
      <c r="BY156" s="270"/>
      <c r="BZ156" s="270"/>
      <c r="CA156" s="1125"/>
      <c r="CB156" s="113"/>
      <c r="CC156" s="270"/>
      <c r="CD156" s="270"/>
      <c r="CE156" s="270"/>
      <c r="CF156" s="270"/>
      <c r="CG156" s="1125"/>
      <c r="CH156" s="113"/>
      <c r="CI156" s="270"/>
      <c r="CJ156" s="270"/>
      <c r="CK156" s="412"/>
      <c r="CL156" s="270"/>
      <c r="CM156" s="1125"/>
      <c r="CN156" s="113"/>
      <c r="CO156" s="270"/>
      <c r="CP156" s="270"/>
      <c r="CQ156" s="270"/>
      <c r="CR156" s="270"/>
      <c r="CS156" s="1125"/>
      <c r="CT156" s="270"/>
      <c r="CU156" s="270"/>
      <c r="CV156" s="270"/>
      <c r="CW156" s="270"/>
      <c r="CX156" s="270"/>
      <c r="CY156" s="1125"/>
      <c r="CZ156" s="270"/>
      <c r="DA156" s="270"/>
      <c r="DB156" s="270"/>
      <c r="DC156" s="270"/>
      <c r="DD156" s="270"/>
      <c r="DE156" s="1125"/>
      <c r="DF156" s="270"/>
      <c r="DG156" s="270"/>
      <c r="DH156" s="270"/>
      <c r="DI156" s="270"/>
      <c r="DJ156" s="270"/>
      <c r="DK156" s="1125"/>
      <c r="DL156" s="113"/>
      <c r="DM156" s="270"/>
      <c r="DN156" s="270"/>
      <c r="DO156" s="270"/>
      <c r="DP156" s="270"/>
      <c r="DQ156" s="1125"/>
      <c r="DR156" s="270"/>
      <c r="DS156" s="270"/>
      <c r="DT156" s="270"/>
      <c r="DU156" s="270"/>
      <c r="DV156" s="270"/>
      <c r="DW156" s="1125"/>
      <c r="DX156" s="270"/>
      <c r="DY156" s="270"/>
      <c r="DZ156" s="270"/>
      <c r="EA156" s="270"/>
      <c r="EB156" s="270"/>
      <c r="EC156" s="1125"/>
      <c r="ED156" s="270"/>
      <c r="EE156" s="270"/>
      <c r="EF156" s="270"/>
      <c r="EG156" s="270"/>
      <c r="EH156" s="270"/>
      <c r="EI156" s="1125"/>
      <c r="EJ156" s="270"/>
      <c r="EK156" s="270"/>
      <c r="EL156" s="270"/>
      <c r="EM156" s="270"/>
      <c r="EN156" s="270"/>
      <c r="EO156" s="1125"/>
      <c r="EP156" s="270"/>
      <c r="EQ156" s="270"/>
      <c r="ER156" s="270"/>
      <c r="ES156" s="270"/>
      <c r="ET156" s="270"/>
      <c r="EU156" s="1125"/>
    </row>
    <row r="157" spans="1:151" hidden="1" outlineLevel="3">
      <c r="A157" s="388" t="s">
        <v>2495</v>
      </c>
      <c r="B157" s="387"/>
      <c r="C157" s="387"/>
      <c r="D157" s="387"/>
      <c r="E157" s="387"/>
      <c r="F157" s="387"/>
      <c r="G157" s="387"/>
      <c r="H157" s="387"/>
      <c r="I157" s="387"/>
      <c r="J157" s="387"/>
      <c r="K157" s="387"/>
      <c r="L157" s="387"/>
      <c r="M157" s="387"/>
      <c r="N157" s="387"/>
      <c r="O157" s="387"/>
      <c r="P157" s="387"/>
      <c r="Q157" s="387"/>
      <c r="R157" s="387"/>
      <c r="S157" s="397"/>
      <c r="T157" s="397"/>
      <c r="U157" s="397"/>
      <c r="V157" s="397"/>
      <c r="W157" s="397"/>
      <c r="X157" s="397"/>
      <c r="Y157" s="397"/>
      <c r="Z157" s="397"/>
      <c r="AA157" s="397"/>
      <c r="AB157" s="397"/>
      <c r="AC157" s="389"/>
      <c r="AD157" s="397"/>
      <c r="AE157" s="394"/>
      <c r="AF157" s="397"/>
      <c r="AG157" s="389">
        <f>AG145+AG149+AG153</f>
        <v>36.6</v>
      </c>
      <c r="AH157" s="389">
        <f>AH145+AH149+AH153</f>
        <v>19.700000000000003</v>
      </c>
      <c r="AI157" s="389">
        <f>AI145+AI149+AI153</f>
        <v>12.800000000000004</v>
      </c>
      <c r="AJ157" s="389">
        <f>AJ145+AJ149+AJ153</f>
        <v>29.399999999999991</v>
      </c>
      <c r="AK157" s="394"/>
      <c r="AL157" s="387"/>
      <c r="AM157" s="389">
        <f>AM145+AM149+AM153</f>
        <v>21.199999999999989</v>
      </c>
      <c r="AN157" s="389">
        <f>AN145+AN149+AN153</f>
        <v>10.300000000000004</v>
      </c>
      <c r="AO157" s="389">
        <f>AO145+AO149+AO153</f>
        <v>-7.8000000000000043</v>
      </c>
      <c r="AP157" s="389">
        <f>AP145+AP149+AP153</f>
        <v>1.2000000000000028</v>
      </c>
      <c r="AQ157" s="394">
        <f>AQ145+AQ149+AQ153</f>
        <v>24.899999999999977</v>
      </c>
      <c r="AR157" s="387"/>
      <c r="AS157" s="389">
        <f>AS145+AS149+AS153</f>
        <v>6.6000000000000014</v>
      </c>
      <c r="AT157" s="389">
        <f>AT145+AT149+AT153</f>
        <v>14</v>
      </c>
      <c r="AU157" s="389">
        <f>AU145+AU149+AU153</f>
        <v>28</v>
      </c>
      <c r="AV157" s="389">
        <f>AV145+AV149+AV153</f>
        <v>57.699999999999989</v>
      </c>
      <c r="AW157" s="394">
        <f>AW145+AW149+AW153</f>
        <v>106.29999999999998</v>
      </c>
      <c r="AX157" s="387"/>
      <c r="AY157" s="389">
        <f>AY145+AY149+AY153</f>
        <v>53.5</v>
      </c>
      <c r="AZ157" s="389">
        <f>AZ145+AZ149+AZ153</f>
        <v>49.400000000000006</v>
      </c>
      <c r="BA157" s="389">
        <f>BA145+BA149+BA153</f>
        <v>53.8</v>
      </c>
      <c r="BB157" s="389">
        <f>BB145+BB149+BB153</f>
        <v>78.199999999999989</v>
      </c>
      <c r="BC157" s="394">
        <f>BC145+BC149+BC153</f>
        <v>234.89999999999986</v>
      </c>
      <c r="BD157" s="387"/>
      <c r="BE157" s="389">
        <f>BE145+BE149+BE153</f>
        <v>91.2</v>
      </c>
      <c r="BF157" s="394">
        <f>BF145+BF149+BF153</f>
        <v>88.9</v>
      </c>
      <c r="BG157" s="389"/>
      <c r="BH157" s="389"/>
      <c r="BI157" s="389"/>
      <c r="BJ157" s="387"/>
      <c r="BK157" s="387"/>
      <c r="BL157" s="387"/>
      <c r="BM157" s="387"/>
      <c r="BN157" s="387"/>
      <c r="BO157" s="1126"/>
      <c r="BP157" s="387"/>
      <c r="BQ157" s="387"/>
      <c r="BR157" s="387"/>
      <c r="BS157" s="387"/>
      <c r="BT157" s="387"/>
      <c r="BU157" s="1126"/>
      <c r="BV157" s="387"/>
      <c r="BW157" s="387"/>
      <c r="BX157" s="387"/>
      <c r="BY157" s="387"/>
      <c r="BZ157" s="387"/>
      <c r="CA157" s="1126"/>
      <c r="CB157" s="387"/>
      <c r="CC157" s="387"/>
      <c r="CD157" s="387"/>
      <c r="CE157" s="387"/>
      <c r="CF157" s="387"/>
      <c r="CG157" s="1126"/>
      <c r="CH157" s="387"/>
      <c r="CI157" s="387"/>
      <c r="CJ157" s="387"/>
      <c r="CK157" s="389"/>
      <c r="CL157" s="387"/>
      <c r="CM157" s="1126"/>
      <c r="CN157" s="387"/>
      <c r="CO157" s="387"/>
      <c r="CP157" s="387"/>
      <c r="CQ157" s="387"/>
      <c r="CR157" s="387"/>
      <c r="CS157" s="1126"/>
      <c r="CT157" s="387"/>
      <c r="CU157" s="387"/>
      <c r="CV157" s="387"/>
      <c r="CW157" s="387"/>
      <c r="CX157" s="387"/>
      <c r="CY157" s="1126"/>
      <c r="CZ157" s="387"/>
      <c r="DA157" s="387"/>
      <c r="DB157" s="387"/>
      <c r="DC157" s="387"/>
      <c r="DD157" s="387"/>
      <c r="DE157" s="1126"/>
      <c r="DF157" s="387"/>
      <c r="DG157" s="387"/>
      <c r="DH157" s="387"/>
      <c r="DI157" s="387"/>
      <c r="DJ157" s="387"/>
      <c r="DK157" s="1126"/>
      <c r="DL157" s="387"/>
      <c r="DM157" s="387"/>
      <c r="DN157" s="387"/>
      <c r="DO157" s="387"/>
      <c r="DP157" s="387"/>
      <c r="DQ157" s="1126"/>
      <c r="DR157" s="589"/>
      <c r="DS157" s="387"/>
      <c r="DT157" s="387"/>
      <c r="DU157" s="387"/>
      <c r="DV157" s="387"/>
      <c r="DW157" s="1126"/>
      <c r="DX157" s="589"/>
      <c r="DY157" s="387"/>
      <c r="DZ157" s="387"/>
      <c r="EA157" s="387"/>
      <c r="EB157" s="387"/>
      <c r="EC157" s="1126"/>
      <c r="ED157" s="589"/>
      <c r="EE157" s="387"/>
      <c r="EF157" s="387"/>
      <c r="EG157" s="387"/>
      <c r="EH157" s="387"/>
      <c r="EI157" s="1126"/>
      <c r="EJ157" s="589"/>
      <c r="EK157" s="387"/>
      <c r="EL157" s="387"/>
      <c r="EM157" s="387"/>
      <c r="EN157" s="387"/>
      <c r="EO157" s="1126"/>
      <c r="EP157" s="589"/>
      <c r="EQ157" s="387"/>
      <c r="ER157" s="387"/>
      <c r="ES157" s="387"/>
      <c r="ET157" s="387"/>
      <c r="EU157" s="1126"/>
    </row>
    <row r="158" spans="1:151" hidden="1" outlineLevel="3">
      <c r="A158" s="588"/>
      <c r="B158" s="589"/>
      <c r="C158" s="589"/>
      <c r="D158" s="589"/>
      <c r="E158" s="589"/>
      <c r="F158" s="589"/>
      <c r="G158" s="589"/>
      <c r="H158" s="589"/>
      <c r="I158" s="589"/>
      <c r="J158" s="589"/>
      <c r="K158" s="589"/>
      <c r="L158" s="589"/>
      <c r="M158" s="589"/>
      <c r="N158" s="589"/>
      <c r="O158" s="589"/>
      <c r="P158" s="589"/>
      <c r="Q158" s="589"/>
      <c r="R158" s="589"/>
      <c r="S158" s="636"/>
      <c r="T158" s="636"/>
      <c r="U158" s="636"/>
      <c r="V158" s="636"/>
      <c r="W158" s="636"/>
      <c r="X158" s="636"/>
      <c r="Y158" s="636"/>
      <c r="Z158" s="636"/>
      <c r="AA158" s="636"/>
      <c r="AB158" s="636"/>
      <c r="AC158" s="981"/>
      <c r="AD158" s="636"/>
      <c r="AE158" s="591"/>
      <c r="AF158" s="636"/>
      <c r="AG158" s="981"/>
      <c r="AH158" s="981"/>
      <c r="AI158" s="981"/>
      <c r="AJ158" s="981"/>
      <c r="AK158" s="591"/>
      <c r="AL158" s="589"/>
      <c r="AM158" s="981"/>
      <c r="AN158" s="981"/>
      <c r="AO158" s="981"/>
      <c r="AP158" s="981"/>
      <c r="AQ158" s="591"/>
      <c r="AR158" s="589"/>
      <c r="AS158" s="981"/>
      <c r="AT158" s="981"/>
      <c r="AU158" s="981"/>
      <c r="AV158" s="981"/>
      <c r="AW158" s="591"/>
      <c r="AX158" s="589"/>
      <c r="AY158" s="981"/>
      <c r="AZ158" s="981"/>
      <c r="BA158" s="981"/>
      <c r="BB158" s="981"/>
      <c r="BC158" s="591"/>
      <c r="BD158" s="589"/>
      <c r="BE158" s="981"/>
      <c r="BF158" s="591"/>
      <c r="BG158" s="981"/>
      <c r="BH158" s="981"/>
      <c r="BI158" s="981"/>
      <c r="BJ158" s="589"/>
      <c r="BK158" s="589"/>
      <c r="BL158" s="589"/>
      <c r="BM158" s="589"/>
      <c r="BN158" s="589"/>
      <c r="BO158" s="1181"/>
      <c r="BP158" s="589"/>
      <c r="BQ158" s="589"/>
      <c r="BR158" s="589"/>
      <c r="BS158" s="589"/>
      <c r="BT158" s="589"/>
      <c r="BU158" s="1181"/>
      <c r="BV158" s="589"/>
      <c r="BW158" s="589"/>
      <c r="BX158" s="589"/>
      <c r="BY158" s="589"/>
      <c r="BZ158" s="589"/>
      <c r="CA158" s="1181"/>
      <c r="CB158" s="589"/>
      <c r="CC158" s="589"/>
      <c r="CD158" s="589"/>
      <c r="CE158" s="589"/>
      <c r="CF158" s="589"/>
      <c r="CG158" s="1181"/>
      <c r="CH158" s="589"/>
      <c r="CI158" s="589"/>
      <c r="CJ158" s="589"/>
      <c r="CK158" s="981"/>
      <c r="CL158" s="589"/>
      <c r="CM158" s="1181"/>
      <c r="CN158" s="589"/>
      <c r="CO158" s="589"/>
      <c r="CP158" s="589"/>
      <c r="CQ158" s="589"/>
      <c r="CR158" s="589"/>
      <c r="CS158" s="1181"/>
      <c r="CT158" s="589"/>
      <c r="CU158" s="589"/>
      <c r="CV158" s="589"/>
      <c r="CW158" s="589"/>
      <c r="CX158" s="589"/>
      <c r="CY158" s="1181"/>
      <c r="CZ158" s="589"/>
      <c r="DA158" s="589"/>
      <c r="DB158" s="589"/>
      <c r="DC158" s="589"/>
      <c r="DD158" s="589"/>
      <c r="DE158" s="1181"/>
      <c r="DF158" s="589"/>
      <c r="DG158" s="589"/>
      <c r="DH158" s="589"/>
      <c r="DI158" s="589"/>
      <c r="DJ158" s="589"/>
      <c r="DK158" s="1181"/>
      <c r="DL158" s="589"/>
      <c r="DM158" s="589"/>
      <c r="DN158" s="589"/>
      <c r="DO158" s="589"/>
      <c r="DP158" s="589"/>
      <c r="DQ158" s="1181"/>
      <c r="DR158" s="589"/>
      <c r="DS158" s="589"/>
      <c r="DT158" s="589"/>
      <c r="DU158" s="589"/>
      <c r="DV158" s="589"/>
      <c r="DW158" s="1181"/>
      <c r="DX158" s="589"/>
      <c r="DY158" s="589"/>
      <c r="DZ158" s="589"/>
      <c r="EA158" s="589"/>
      <c r="EB158" s="589"/>
      <c r="EC158" s="1181"/>
      <c r="ED158" s="589"/>
      <c r="EE158" s="589"/>
      <c r="EF158" s="589"/>
      <c r="EG158" s="589"/>
      <c r="EH158" s="589"/>
      <c r="EI158" s="1181"/>
      <c r="EJ158" s="589"/>
      <c r="EK158" s="589"/>
      <c r="EL158" s="589"/>
      <c r="EM158" s="589"/>
      <c r="EN158" s="589"/>
      <c r="EO158" s="1181"/>
      <c r="EP158" s="589"/>
      <c r="EQ158" s="589"/>
      <c r="ER158" s="589"/>
      <c r="ES158" s="589"/>
      <c r="ET158" s="589"/>
      <c r="EU158" s="1181"/>
    </row>
    <row r="159" spans="1:151" ht="10.5" hidden="1" customHeight="1" outlineLevel="3">
      <c r="A159" s="393" t="s">
        <v>345</v>
      </c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263"/>
      <c r="T159" s="147"/>
      <c r="U159" s="263"/>
      <c r="V159" s="147"/>
      <c r="W159" s="147"/>
      <c r="X159" s="147"/>
      <c r="Y159" s="263"/>
      <c r="Z159" s="147"/>
      <c r="AA159" s="147"/>
      <c r="AB159" s="147"/>
      <c r="AC159" s="263"/>
      <c r="AD159" s="147"/>
      <c r="AE159" s="263"/>
      <c r="AF159" s="147"/>
      <c r="AG159" s="263" t="str">
        <f>IF(AA157&lt;&gt;"",AG157/AA157-1,"-")</f>
        <v>-</v>
      </c>
      <c r="AH159" s="263" t="str">
        <f>IF(AB157&lt;&gt;"",AH157/AB157-1,"-")</f>
        <v>-</v>
      </c>
      <c r="AI159" s="263" t="str">
        <f>IF(AC157&lt;&gt;"",AI157/AC157-1,"-")</f>
        <v>-</v>
      </c>
      <c r="AJ159" s="263" t="str">
        <f>IF(AD157&lt;&gt;"",AJ157/AD157-1,"-")</f>
        <v>-</v>
      </c>
      <c r="AK159" s="263"/>
      <c r="AL159" s="147"/>
      <c r="AM159" s="263">
        <f>IF(AG157&lt;&gt;"",AM157/AG157-1,"-")</f>
        <v>-0.42076502732240473</v>
      </c>
      <c r="AN159" s="263">
        <f>IF(AH157&lt;&gt;"",AN157/AH157-1,"-")</f>
        <v>-0.47715736040609125</v>
      </c>
      <c r="AO159" s="263">
        <f>IF(AI157&lt;&gt;"",AO157/AI157-1,"-")</f>
        <v>-1.609375</v>
      </c>
      <c r="AP159" s="263">
        <f>IF(AJ157&lt;&gt;"",AP157/AJ157-1,"-")</f>
        <v>-0.9591836734693876</v>
      </c>
      <c r="AQ159" s="263" t="str">
        <f>IF(AK157&lt;&gt;"",AQ157/AK157-1,"-")</f>
        <v>-</v>
      </c>
      <c r="AR159" s="147"/>
      <c r="AS159" s="263">
        <f>IF(AM157&lt;&gt;"",AS157/AM157-1,"-")</f>
        <v>-0.6886792452830186</v>
      </c>
      <c r="AT159" s="263">
        <f>IF(AN157&lt;&gt;"",AT157/AN157-1,"-")</f>
        <v>0.35922330097087318</v>
      </c>
      <c r="AU159" s="263">
        <f>IF(AO157&lt;&gt;"",AU157/AO157-1,"-")</f>
        <v>-4.5897435897435876</v>
      </c>
      <c r="AV159" s="263">
        <f>IF(AP157&lt;&gt;"",AV157/AP157-1,"-")</f>
        <v>47.083333333333208</v>
      </c>
      <c r="AW159" s="263">
        <f>IF(AQ157&lt;&gt;"",AW157/AQ157-1,"-")</f>
        <v>3.2690763052208869</v>
      </c>
      <c r="AX159" s="147"/>
      <c r="AY159" s="263">
        <f>IF(AS157&lt;&gt;"",AY157/AS157-1,"-")</f>
        <v>7.1060606060606037</v>
      </c>
      <c r="AZ159" s="263">
        <f>IF(AT157&lt;&gt;"",AZ157/AT157-1,"-")</f>
        <v>2.5285714285714289</v>
      </c>
      <c r="BA159" s="263">
        <f>IF(AU157&lt;&gt;"",BA157/AU157-1,"-")</f>
        <v>0.92142857142857126</v>
      </c>
      <c r="BB159" s="263">
        <f>IF(AV157&lt;&gt;"",BB157/AV157-1,"-")</f>
        <v>0.35528596187175054</v>
      </c>
      <c r="BC159" s="263">
        <f>IF(AW157&lt;&gt;"",BC157/AW157-1,"-")</f>
        <v>1.2097836312323604</v>
      </c>
      <c r="BD159" s="147"/>
      <c r="BE159" s="263">
        <f>IF(AY157&lt;&gt;"",BE157/AY157-1,"-")</f>
        <v>0.70467289719626169</v>
      </c>
      <c r="BF159" s="263">
        <f>IF(AZ157&lt;&gt;"",BF157/AZ157-1,"-")</f>
        <v>0.7995951417004048</v>
      </c>
      <c r="BG159" s="141"/>
      <c r="BH159" s="141"/>
      <c r="BI159" s="141"/>
      <c r="BJ159" s="147"/>
      <c r="BK159" s="147"/>
      <c r="BL159" s="147"/>
      <c r="BM159" s="147"/>
      <c r="BN159" s="147"/>
      <c r="BO159" s="1096"/>
      <c r="BP159" s="147"/>
      <c r="BQ159" s="147"/>
      <c r="BR159" s="147"/>
      <c r="BS159" s="147"/>
      <c r="BT159" s="147"/>
      <c r="BU159" s="1096"/>
      <c r="BV159" s="147"/>
      <c r="BW159" s="147"/>
      <c r="BX159" s="147"/>
      <c r="BY159" s="147"/>
      <c r="BZ159" s="147"/>
      <c r="CA159" s="1096"/>
      <c r="CB159" s="147"/>
      <c r="CC159" s="147"/>
      <c r="CD159" s="147"/>
      <c r="CE159" s="147"/>
      <c r="CF159" s="147"/>
      <c r="CG159" s="1096"/>
      <c r="CH159" s="147"/>
      <c r="CI159" s="147"/>
      <c r="CJ159" s="147"/>
      <c r="CK159" s="141"/>
      <c r="CL159" s="147"/>
      <c r="CM159" s="1096"/>
      <c r="CN159" s="147"/>
      <c r="CO159" s="147"/>
      <c r="CP159" s="147"/>
      <c r="CQ159" s="147"/>
      <c r="CR159" s="147"/>
      <c r="CS159" s="1096"/>
      <c r="CT159" s="147"/>
      <c r="CU159" s="147"/>
      <c r="CV159" s="147"/>
      <c r="CW159" s="147"/>
      <c r="CX159" s="147"/>
      <c r="CY159" s="1096"/>
      <c r="CZ159" s="147"/>
      <c r="DA159" s="147"/>
      <c r="DB159" s="147"/>
      <c r="DC159" s="147"/>
      <c r="DD159" s="147"/>
      <c r="DE159" s="1096"/>
      <c r="DF159" s="147"/>
      <c r="DG159" s="147"/>
      <c r="DH159" s="147"/>
      <c r="DI159" s="147"/>
      <c r="DJ159" s="147"/>
      <c r="DK159" s="1096"/>
      <c r="DL159" s="147"/>
      <c r="DM159" s="147"/>
      <c r="DN159" s="147"/>
      <c r="DO159" s="147"/>
      <c r="DP159" s="147"/>
      <c r="DQ159" s="1096"/>
      <c r="DR159" s="147"/>
      <c r="DS159" s="147"/>
      <c r="DT159" s="147"/>
      <c r="DU159" s="147"/>
      <c r="DV159" s="147"/>
      <c r="DW159" s="1096"/>
      <c r="DX159" s="147"/>
      <c r="DY159" s="147"/>
      <c r="DZ159" s="147"/>
      <c r="EA159" s="147"/>
      <c r="EB159" s="147"/>
      <c r="EC159" s="1096"/>
      <c r="ED159" s="147"/>
      <c r="EE159" s="147"/>
      <c r="EF159" s="147"/>
      <c r="EG159" s="147"/>
      <c r="EH159" s="147"/>
      <c r="EI159" s="1096"/>
      <c r="EJ159" s="147"/>
      <c r="EK159" s="147"/>
      <c r="EL159" s="147"/>
      <c r="EM159" s="147"/>
      <c r="EN159" s="147"/>
      <c r="EO159" s="1096"/>
      <c r="EP159" s="147"/>
      <c r="EQ159" s="147"/>
      <c r="ER159" s="147"/>
      <c r="ES159" s="147"/>
      <c r="ET159" s="147"/>
      <c r="EU159" s="1096"/>
    </row>
    <row r="160" spans="1:151" ht="10.5" hidden="1" customHeight="1" outlineLevel="3" thickBot="1">
      <c r="A160" s="390" t="s">
        <v>344</v>
      </c>
      <c r="B160" s="391"/>
      <c r="C160" s="391"/>
      <c r="D160" s="391"/>
      <c r="E160" s="391"/>
      <c r="F160" s="391"/>
      <c r="G160" s="391"/>
      <c r="H160" s="391"/>
      <c r="I160" s="391"/>
      <c r="J160" s="391"/>
      <c r="K160" s="391"/>
      <c r="L160" s="391"/>
      <c r="M160" s="391"/>
      <c r="N160" s="391"/>
      <c r="O160" s="391"/>
      <c r="P160" s="391"/>
      <c r="Q160" s="391"/>
      <c r="R160" s="391"/>
      <c r="S160" s="395"/>
      <c r="T160" s="391"/>
      <c r="U160" s="395"/>
      <c r="V160" s="391"/>
      <c r="W160" s="391"/>
      <c r="X160" s="391"/>
      <c r="Y160" s="395"/>
      <c r="Z160" s="391"/>
      <c r="AA160" s="391"/>
      <c r="AB160" s="391"/>
      <c r="AC160" s="392"/>
      <c r="AD160" s="391"/>
      <c r="AE160" s="395"/>
      <c r="AF160" s="391"/>
      <c r="AG160" s="392" t="str">
        <f>IF(AD157&lt;&gt;"",AG157/AD157-1,"-")</f>
        <v>-</v>
      </c>
      <c r="AH160" s="392">
        <f>IF(AG157&lt;&gt;"",AH157/AG157-1,"-")</f>
        <v>-0.46174863387978138</v>
      </c>
      <c r="AI160" s="392">
        <f>IF(AH157&lt;&gt;"",AI157/AH157-1,"-")</f>
        <v>-0.35025380710659881</v>
      </c>
      <c r="AJ160" s="392">
        <f>IF(AI157&lt;&gt;"",AJ157/AI157-1,"-")</f>
        <v>1.2968749999999987</v>
      </c>
      <c r="AK160" s="395"/>
      <c r="AL160" s="391"/>
      <c r="AM160" s="392">
        <f>IF(AJ157&lt;&gt;"",AM157/AJ157-1,"-")</f>
        <v>-0.27891156462585054</v>
      </c>
      <c r="AN160" s="392">
        <f>IF(AM157&lt;&gt;"",AN157/AM157-1,"-")</f>
        <v>-0.51415094339622591</v>
      </c>
      <c r="AO160" s="392">
        <f>IF(AN157&lt;&gt;"",AO157/AN157-1,"-")</f>
        <v>-1.7572815533980584</v>
      </c>
      <c r="AP160" s="392">
        <f>IF(AO157&lt;&gt;"",AP157/AO157-1,"-")</f>
        <v>-1.1538461538461542</v>
      </c>
      <c r="AQ160" s="395" t="s">
        <v>6442</v>
      </c>
      <c r="AR160" s="391"/>
      <c r="AS160" s="392">
        <f>IF(AP157&lt;&gt;"",AS157/AP157-1,"-")</f>
        <v>4.4999999999999885</v>
      </c>
      <c r="AT160" s="392">
        <f>IF(AS157&lt;&gt;"",AT157/AS157-1,"-")</f>
        <v>1.1212121212121207</v>
      </c>
      <c r="AU160" s="392">
        <f>IF(AT157&lt;&gt;"",AU157/AT157-1,"-")</f>
        <v>1</v>
      </c>
      <c r="AV160" s="392">
        <f>IF(AU157&lt;&gt;"",AV157/AU157-1,"-")</f>
        <v>1.0607142857142855</v>
      </c>
      <c r="AW160" s="395" t="s">
        <v>6442</v>
      </c>
      <c r="AX160" s="391"/>
      <c r="AY160" s="392">
        <f>IF(AV157&lt;&gt;"",AY157/AV157-1,"-")</f>
        <v>-7.2790294627382846E-2</v>
      </c>
      <c r="AZ160" s="392">
        <f>IF(AY157&lt;&gt;"",AZ157/AY157-1,"-")</f>
        <v>-7.6635514018691508E-2</v>
      </c>
      <c r="BA160" s="392">
        <f>IF(AZ157&lt;&gt;"",BA157/AZ157-1,"-")</f>
        <v>8.9068825910930904E-2</v>
      </c>
      <c r="BB160" s="392">
        <f>IF(BA157&lt;&gt;"",BB157/BA157-1,"-")</f>
        <v>0.45353159851301106</v>
      </c>
      <c r="BC160" s="395" t="s">
        <v>6442</v>
      </c>
      <c r="BD160" s="391"/>
      <c r="BE160" s="392">
        <f>IF(BB157&lt;&gt;"",BE157/BB157-1,"-")</f>
        <v>0.16624040920716143</v>
      </c>
      <c r="BF160" s="392">
        <f>IF(BE157&lt;&gt;"",BF157/BE157-1,"-")</f>
        <v>-2.5219298245613975E-2</v>
      </c>
      <c r="BG160" s="395"/>
      <c r="BH160" s="395"/>
      <c r="BI160" s="395"/>
      <c r="BJ160" s="391"/>
      <c r="BK160" s="391"/>
      <c r="BL160" s="391"/>
      <c r="BM160" s="391"/>
      <c r="BN160" s="391"/>
      <c r="BO160" s="1127"/>
      <c r="BP160" s="391"/>
      <c r="BQ160" s="391"/>
      <c r="BR160" s="391"/>
      <c r="BS160" s="391"/>
      <c r="BT160" s="391"/>
      <c r="BU160" s="1127"/>
      <c r="BV160" s="391"/>
      <c r="BW160" s="391"/>
      <c r="BX160" s="391"/>
      <c r="BY160" s="391"/>
      <c r="BZ160" s="391"/>
      <c r="CA160" s="1127"/>
      <c r="CB160" s="391"/>
      <c r="CC160" s="391"/>
      <c r="CD160" s="391"/>
      <c r="CE160" s="391"/>
      <c r="CF160" s="391"/>
      <c r="CG160" s="1127"/>
      <c r="CH160" s="391"/>
      <c r="CI160" s="391"/>
      <c r="CJ160" s="391"/>
      <c r="CK160" s="395"/>
      <c r="CL160" s="391"/>
      <c r="CM160" s="1127"/>
      <c r="CN160" s="391"/>
      <c r="CO160" s="391"/>
      <c r="CP160" s="391"/>
      <c r="CQ160" s="391"/>
      <c r="CR160" s="391"/>
      <c r="CS160" s="1127"/>
      <c r="CT160" s="391"/>
      <c r="CU160" s="391"/>
      <c r="CV160" s="391"/>
      <c r="CW160" s="391"/>
      <c r="CX160" s="391"/>
      <c r="CY160" s="1127"/>
      <c r="CZ160" s="391"/>
      <c r="DA160" s="391"/>
      <c r="DB160" s="391"/>
      <c r="DC160" s="391"/>
      <c r="DD160" s="391"/>
      <c r="DE160" s="1127"/>
      <c r="DF160" s="391"/>
      <c r="DG160" s="391"/>
      <c r="DH160" s="391"/>
      <c r="DI160" s="391"/>
      <c r="DJ160" s="391"/>
      <c r="DK160" s="1127"/>
      <c r="DL160" s="391"/>
      <c r="DM160" s="391"/>
      <c r="DN160" s="391"/>
      <c r="DO160" s="391"/>
      <c r="DP160" s="391"/>
      <c r="DQ160" s="1127"/>
      <c r="DR160" s="147"/>
      <c r="DS160" s="391"/>
      <c r="DT160" s="391"/>
      <c r="DU160" s="391"/>
      <c r="DV160" s="391"/>
      <c r="DW160" s="1127"/>
      <c r="DX160" s="147"/>
      <c r="DY160" s="391"/>
      <c r="DZ160" s="391"/>
      <c r="EA160" s="391"/>
      <c r="EB160" s="391"/>
      <c r="EC160" s="1127"/>
      <c r="ED160" s="147"/>
      <c r="EE160" s="391"/>
      <c r="EF160" s="391"/>
      <c r="EG160" s="391"/>
      <c r="EH160" s="391"/>
      <c r="EI160" s="1127"/>
      <c r="EJ160" s="147"/>
      <c r="EK160" s="391"/>
      <c r="EL160" s="391"/>
      <c r="EM160" s="391"/>
      <c r="EN160" s="391"/>
      <c r="EO160" s="1127"/>
      <c r="EP160" s="147"/>
      <c r="EQ160" s="391"/>
      <c r="ER160" s="391"/>
      <c r="ES160" s="391"/>
      <c r="ET160" s="391"/>
      <c r="EU160" s="1127"/>
    </row>
    <row r="161" spans="1:151" ht="10.5" hidden="1" customHeight="1" outlineLevel="2" collapsed="1">
      <c r="A161" s="269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83"/>
      <c r="AX161" s="147"/>
      <c r="AY161" s="141"/>
      <c r="AZ161" s="141"/>
      <c r="BA161" s="141"/>
      <c r="BB161" s="141"/>
      <c r="BC161" s="141"/>
      <c r="BD161" s="147"/>
      <c r="BE161" s="141"/>
      <c r="BF161" s="141"/>
      <c r="BG161" s="141"/>
      <c r="BH161" s="141"/>
      <c r="BI161" s="141"/>
      <c r="BJ161" s="147"/>
      <c r="BK161" s="147"/>
      <c r="BL161" s="147"/>
      <c r="BM161" s="147"/>
      <c r="BN161" s="147"/>
      <c r="BO161" s="1096"/>
      <c r="BP161" s="147"/>
      <c r="BQ161" s="147"/>
      <c r="BR161" s="147"/>
      <c r="BS161" s="147"/>
      <c r="BT161" s="147"/>
      <c r="BU161" s="1096"/>
      <c r="BV161" s="147"/>
      <c r="BW161" s="147"/>
      <c r="BX161" s="147"/>
      <c r="BY161" s="147"/>
      <c r="BZ161" s="147"/>
      <c r="CA161" s="1096"/>
      <c r="CB161" s="147"/>
      <c r="CC161" s="147"/>
      <c r="CD161" s="147"/>
      <c r="CE161" s="147"/>
      <c r="CF161" s="147"/>
      <c r="CG161" s="1096"/>
      <c r="CH161" s="147"/>
      <c r="CI161" s="147"/>
      <c r="CJ161" s="147"/>
      <c r="CK161" s="141"/>
      <c r="CL161" s="147"/>
      <c r="CM161" s="1096"/>
      <c r="CN161" s="147"/>
      <c r="CO161" s="147"/>
      <c r="CP161" s="147"/>
      <c r="CQ161" s="147"/>
      <c r="CR161" s="147"/>
      <c r="CS161" s="1096"/>
      <c r="CT161" s="147"/>
      <c r="CU161" s="147"/>
      <c r="CV161" s="147"/>
      <c r="CW161" s="147"/>
      <c r="CX161" s="147"/>
      <c r="CY161" s="1096"/>
      <c r="CZ161" s="147"/>
      <c r="DA161" s="147"/>
      <c r="DB161" s="147"/>
      <c r="DC161" s="147"/>
      <c r="DD161" s="147"/>
      <c r="DE161" s="1096"/>
      <c r="DF161" s="147"/>
      <c r="DG161" s="147"/>
      <c r="DH161" s="147"/>
      <c r="DI161" s="147"/>
      <c r="DJ161" s="147"/>
      <c r="DK161" s="1096"/>
      <c r="DL161" s="147"/>
      <c r="DM161" s="147"/>
      <c r="DN161" s="147"/>
      <c r="DO161" s="147"/>
      <c r="DP161" s="147"/>
      <c r="DQ161" s="1096"/>
      <c r="DR161" s="147"/>
      <c r="DS161" s="147"/>
      <c r="DT161" s="147"/>
      <c r="DU161" s="147"/>
      <c r="DV161" s="147"/>
      <c r="DW161" s="1096"/>
      <c r="DX161" s="147"/>
      <c r="DY161" s="147"/>
      <c r="DZ161" s="147"/>
      <c r="EA161" s="147"/>
      <c r="EB161" s="147"/>
      <c r="EC161" s="1096"/>
      <c r="ED161" s="147"/>
      <c r="EE161" s="147"/>
      <c r="EF161" s="147"/>
      <c r="EG161" s="147"/>
      <c r="EH161" s="147"/>
      <c r="EI161" s="1096"/>
      <c r="EJ161" s="147"/>
      <c r="EK161" s="147"/>
      <c r="EL161" s="147"/>
      <c r="EM161" s="147"/>
      <c r="EN161" s="147"/>
      <c r="EO161" s="1096"/>
      <c r="EP161" s="147"/>
      <c r="EQ161" s="147"/>
      <c r="ER161" s="147"/>
      <c r="ES161" s="147"/>
      <c r="ET161" s="147"/>
      <c r="EU161" s="1096"/>
    </row>
    <row r="162" spans="1:151" ht="16.5" hidden="1" customHeight="1" outlineLevel="2">
      <c r="A162" s="950" t="s">
        <v>5575</v>
      </c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83"/>
      <c r="AX162" s="147"/>
      <c r="AY162" s="141"/>
      <c r="AZ162" s="141"/>
      <c r="BA162" s="141"/>
      <c r="BB162" s="141"/>
      <c r="BC162" s="141"/>
      <c r="BD162" s="147"/>
      <c r="BE162" s="141"/>
      <c r="BF162" s="141"/>
      <c r="BG162" s="141"/>
      <c r="BH162" s="141"/>
      <c r="BI162" s="141"/>
      <c r="BJ162" s="147"/>
      <c r="BK162" s="147"/>
      <c r="BL162" s="147"/>
      <c r="BM162" s="147"/>
      <c r="BN162" s="147"/>
      <c r="BO162" s="1096"/>
      <c r="BP162" s="147"/>
      <c r="BQ162" s="147"/>
      <c r="BR162" s="147"/>
      <c r="BS162" s="147"/>
      <c r="BT162" s="147"/>
      <c r="BU162" s="1096"/>
      <c r="BV162" s="147"/>
      <c r="BW162" s="147"/>
      <c r="BX162" s="147"/>
      <c r="BY162" s="147"/>
      <c r="BZ162" s="147"/>
      <c r="CA162" s="1096"/>
      <c r="CB162" s="147"/>
      <c r="CC162" s="147"/>
      <c r="CD162" s="147"/>
      <c r="CE162" s="147"/>
      <c r="CF162" s="147"/>
      <c r="CG162" s="1096"/>
      <c r="CH162" s="147"/>
      <c r="CI162" s="147"/>
      <c r="CJ162" s="147"/>
      <c r="CK162" s="141"/>
      <c r="CL162" s="147"/>
      <c r="CM162" s="1096"/>
      <c r="CN162" s="147"/>
      <c r="CO162" s="147"/>
      <c r="CP162" s="147"/>
      <c r="CQ162" s="147"/>
      <c r="CR162" s="147"/>
      <c r="CS162" s="1096"/>
      <c r="CT162" s="147"/>
      <c r="CU162" s="147"/>
      <c r="CV162" s="147"/>
      <c r="CW162" s="147"/>
      <c r="CX162" s="147"/>
      <c r="CY162" s="1096"/>
      <c r="CZ162" s="147"/>
      <c r="DA162" s="147"/>
      <c r="DB162" s="147"/>
      <c r="DC162" s="147"/>
      <c r="DD162" s="147"/>
      <c r="DE162" s="1096"/>
      <c r="DF162" s="147"/>
      <c r="DG162" s="147"/>
      <c r="DH162" s="147"/>
      <c r="DI162" s="147"/>
      <c r="DJ162" s="147"/>
      <c r="DK162" s="1096"/>
      <c r="DL162" s="147"/>
      <c r="DM162" s="147"/>
      <c r="DN162" s="147"/>
      <c r="DO162" s="147"/>
      <c r="DP162" s="147"/>
      <c r="DQ162" s="1096"/>
      <c r="DR162" s="147"/>
      <c r="DS162" s="147"/>
      <c r="DT162" s="147"/>
      <c r="DU162" s="147"/>
      <c r="DV162" s="147"/>
      <c r="DW162" s="1096"/>
      <c r="DX162" s="147"/>
      <c r="DY162" s="147"/>
      <c r="DZ162" s="147"/>
      <c r="EA162" s="147"/>
      <c r="EB162" s="147"/>
      <c r="EC162" s="1096"/>
      <c r="ED162" s="147"/>
      <c r="EE162" s="147"/>
      <c r="EF162" s="147"/>
      <c r="EG162" s="147"/>
      <c r="EH162" s="147"/>
      <c r="EI162" s="1096"/>
      <c r="EJ162" s="147"/>
      <c r="EK162" s="147"/>
      <c r="EL162" s="147"/>
      <c r="EM162" s="147"/>
      <c r="EN162" s="147"/>
      <c r="EO162" s="1096"/>
      <c r="EP162" s="147"/>
      <c r="EQ162" s="147"/>
      <c r="ER162" s="147"/>
      <c r="ES162" s="147"/>
      <c r="ET162" s="147"/>
      <c r="EU162" s="1096"/>
    </row>
    <row r="163" spans="1:151" ht="12.75" hidden="1" customHeight="1" outlineLevel="3">
      <c r="A163" s="950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83"/>
      <c r="AX163" s="147"/>
      <c r="AY163" s="141"/>
      <c r="AZ163" s="141"/>
      <c r="BA163" s="141"/>
      <c r="BB163" s="141"/>
      <c r="BC163" s="141"/>
      <c r="BD163" s="147"/>
      <c r="BE163" s="141"/>
      <c r="BF163" s="141"/>
      <c r="BG163" s="141"/>
      <c r="BH163" s="141"/>
      <c r="BI163" s="141"/>
      <c r="BJ163" s="147"/>
      <c r="BK163" s="147"/>
      <c r="BL163" s="147"/>
      <c r="BM163" s="147"/>
      <c r="BN163" s="147"/>
      <c r="BO163" s="1096"/>
      <c r="BP163" s="147"/>
      <c r="BQ163" s="147"/>
      <c r="BR163" s="147"/>
      <c r="BS163" s="147"/>
      <c r="BT163" s="147"/>
      <c r="BU163" s="1096"/>
      <c r="BV163" s="147"/>
      <c r="BW163" s="147"/>
      <c r="BX163" s="147"/>
      <c r="BY163" s="147"/>
      <c r="BZ163" s="147"/>
      <c r="CA163" s="1096"/>
      <c r="CB163" s="147"/>
      <c r="CC163" s="147"/>
      <c r="CD163" s="147"/>
      <c r="CE163" s="147"/>
      <c r="CF163" s="147"/>
      <c r="CG163" s="1096"/>
      <c r="CH163" s="147"/>
      <c r="CI163" s="147"/>
      <c r="CJ163" s="147"/>
      <c r="CK163" s="141"/>
      <c r="CL163" s="147"/>
      <c r="CM163" s="1096"/>
      <c r="CN163" s="147"/>
      <c r="CO163" s="147"/>
      <c r="CP163" s="147"/>
      <c r="CQ163" s="147"/>
      <c r="CR163" s="147"/>
      <c r="CS163" s="1096"/>
      <c r="CT163" s="147"/>
      <c r="CU163" s="147"/>
      <c r="CV163" s="147"/>
      <c r="CW163" s="147"/>
      <c r="CX163" s="147"/>
      <c r="CY163" s="1096"/>
      <c r="CZ163" s="147"/>
      <c r="DA163" s="147"/>
      <c r="DB163" s="147"/>
      <c r="DC163" s="147"/>
      <c r="DD163" s="147"/>
      <c r="DE163" s="1096"/>
      <c r="DF163" s="147"/>
      <c r="DG163" s="147"/>
      <c r="DH163" s="147"/>
      <c r="DI163" s="147"/>
      <c r="DJ163" s="147"/>
      <c r="DK163" s="1096"/>
      <c r="DL163" s="147"/>
      <c r="DM163" s="147"/>
      <c r="DN163" s="147"/>
      <c r="DO163" s="147"/>
      <c r="DP163" s="147"/>
      <c r="DQ163" s="1096"/>
      <c r="DR163" s="147"/>
      <c r="DS163" s="147"/>
      <c r="DT163" s="147"/>
      <c r="DU163" s="147"/>
      <c r="DV163" s="147"/>
      <c r="DW163" s="1096"/>
      <c r="DX163" s="147"/>
      <c r="DY163" s="147"/>
      <c r="DZ163" s="147"/>
      <c r="EA163" s="147"/>
      <c r="EB163" s="147"/>
      <c r="EC163" s="1096"/>
      <c r="ED163" s="147"/>
      <c r="EE163" s="147"/>
      <c r="EF163" s="147"/>
      <c r="EG163" s="147"/>
      <c r="EH163" s="147"/>
      <c r="EI163" s="1096"/>
      <c r="EJ163" s="147"/>
      <c r="EK163" s="147"/>
      <c r="EL163" s="147"/>
      <c r="EM163" s="147"/>
      <c r="EN163" s="147"/>
      <c r="EO163" s="1096"/>
      <c r="EP163" s="147"/>
      <c r="EQ163" s="147"/>
      <c r="ER163" s="147"/>
      <c r="ES163" s="147"/>
      <c r="ET163" s="147"/>
      <c r="EU163" s="1096"/>
    </row>
    <row r="164" spans="1:151" ht="12.75" hidden="1" customHeight="1" outlineLevel="3">
      <c r="A164" s="1047" t="s">
        <v>5585</v>
      </c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83"/>
      <c r="AX164" s="147"/>
      <c r="AY164" s="929">
        <f>AY383</f>
        <v>0.25</v>
      </c>
      <c r="AZ164" s="929">
        <f>AZ383</f>
        <v>0.45</v>
      </c>
      <c r="BA164" s="929">
        <f>BA383</f>
        <v>0.36</v>
      </c>
      <c r="BB164" s="1059" t="s">
        <v>6442</v>
      </c>
      <c r="BC164" s="141"/>
      <c r="BD164" s="147"/>
      <c r="BE164" s="929">
        <f>BE383</f>
        <v>0.22</v>
      </c>
      <c r="BF164" s="929">
        <f>BF383</f>
        <v>0.24</v>
      </c>
      <c r="BG164" s="929">
        <f>BG383</f>
        <v>0.22</v>
      </c>
      <c r="BH164" s="929">
        <f>BH383</f>
        <v>0.16</v>
      </c>
      <c r="BI164" s="141"/>
      <c r="BJ164" s="147"/>
      <c r="BK164" s="929">
        <f>BK383</f>
        <v>0.22</v>
      </c>
      <c r="BL164" s="929">
        <f>BL383</f>
        <v>0.24</v>
      </c>
      <c r="BM164" s="929">
        <f>BM383</f>
        <v>0.2</v>
      </c>
      <c r="BN164" s="929">
        <f>BN383</f>
        <v>0.15</v>
      </c>
      <c r="BO164" s="1096"/>
      <c r="BP164" s="147"/>
      <c r="BQ164" s="929">
        <f>BQ383</f>
        <v>0.1</v>
      </c>
      <c r="BR164" s="929">
        <f>BR383</f>
        <v>0.1</v>
      </c>
      <c r="BS164" s="929">
        <f>BS383</f>
        <v>0.2</v>
      </c>
      <c r="BT164" s="1059">
        <v>0.3</v>
      </c>
      <c r="BU164" s="1096"/>
      <c r="BV164" s="147"/>
      <c r="BW164" s="929">
        <f>BW383</f>
        <v>0.23</v>
      </c>
      <c r="BX164" s="929">
        <v>0.08</v>
      </c>
      <c r="BY164" s="929">
        <v>0.06</v>
      </c>
      <c r="BZ164" s="929">
        <v>-0.33</v>
      </c>
      <c r="CA164" s="1096"/>
      <c r="CB164" s="147"/>
      <c r="CC164" s="929"/>
      <c r="CD164" s="929"/>
      <c r="CE164" s="929">
        <v>-0.32</v>
      </c>
      <c r="CF164" s="929"/>
      <c r="CG164" s="1096"/>
      <c r="CH164" s="147"/>
      <c r="CI164" s="147"/>
      <c r="CJ164" s="929">
        <v>0.5</v>
      </c>
      <c r="CK164" s="141"/>
      <c r="CL164" s="147"/>
      <c r="CM164" s="1096"/>
      <c r="CN164" s="147"/>
      <c r="CO164" s="147"/>
      <c r="CP164" s="147"/>
      <c r="CQ164" s="147"/>
      <c r="CR164" s="147"/>
      <c r="CS164" s="1096"/>
      <c r="CT164" s="147"/>
      <c r="CU164" s="147"/>
      <c r="CV164" s="147"/>
      <c r="CW164" s="147"/>
      <c r="CX164" s="147"/>
      <c r="CY164" s="1096"/>
      <c r="CZ164" s="147"/>
      <c r="DA164" s="147"/>
      <c r="DB164" s="147"/>
      <c r="DC164" s="147"/>
      <c r="DD164" s="147"/>
      <c r="DE164" s="1096"/>
      <c r="DF164" s="147"/>
      <c r="DG164" s="147"/>
      <c r="DH164" s="147"/>
      <c r="DI164" s="147"/>
      <c r="DJ164" s="147"/>
      <c r="DK164" s="1096"/>
      <c r="DL164" s="147"/>
      <c r="DM164" s="147"/>
      <c r="DN164" s="147"/>
      <c r="DO164" s="147"/>
      <c r="DP164" s="147"/>
      <c r="DQ164" s="1096"/>
      <c r="DR164" s="147"/>
      <c r="DS164" s="147"/>
      <c r="DT164" s="147"/>
      <c r="DU164" s="147"/>
      <c r="DV164" s="147"/>
      <c r="DW164" s="1096"/>
      <c r="DX164" s="147"/>
      <c r="DY164" s="147"/>
      <c r="DZ164" s="147"/>
      <c r="EA164" s="147"/>
      <c r="EB164" s="147"/>
      <c r="EC164" s="1096"/>
      <c r="ED164" s="147"/>
      <c r="EE164" s="147"/>
      <c r="EF164" s="147"/>
      <c r="EG164" s="147"/>
      <c r="EH164" s="147"/>
      <c r="EI164" s="1096"/>
      <c r="EJ164" s="147"/>
      <c r="EK164" s="147"/>
      <c r="EL164" s="147"/>
      <c r="EM164" s="147"/>
      <c r="EN164" s="147"/>
      <c r="EO164" s="1096"/>
      <c r="EP164" s="147"/>
      <c r="EQ164" s="147"/>
      <c r="ER164" s="147"/>
      <c r="ES164" s="147"/>
      <c r="ET164" s="147"/>
      <c r="EU164" s="1096"/>
    </row>
    <row r="165" spans="1:151" ht="12.75" hidden="1" customHeight="1" outlineLevel="3">
      <c r="A165" s="1047" t="s">
        <v>1934</v>
      </c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83"/>
      <c r="AX165" s="147"/>
      <c r="AY165" s="929"/>
      <c r="AZ165" s="929"/>
      <c r="BA165" s="929"/>
      <c r="BB165" s="1059"/>
      <c r="BC165" s="141"/>
      <c r="BD165" s="147"/>
      <c r="BE165" s="929"/>
      <c r="BF165" s="929"/>
      <c r="BG165" s="929"/>
      <c r="BH165" s="929"/>
      <c r="BI165" s="141"/>
      <c r="BJ165" s="147"/>
      <c r="BK165" s="929"/>
      <c r="BL165" s="929"/>
      <c r="BM165" s="929"/>
      <c r="BN165" s="929"/>
      <c r="BO165" s="1096"/>
      <c r="BP165" s="147"/>
      <c r="BQ165" s="929"/>
      <c r="BR165" s="929"/>
      <c r="BS165" s="929"/>
      <c r="BT165" s="1059"/>
      <c r="BU165" s="1096"/>
      <c r="BV165" s="147"/>
      <c r="BW165" s="929"/>
      <c r="BX165" s="929"/>
      <c r="BY165" s="929"/>
      <c r="BZ165" s="929"/>
      <c r="CA165" s="1096"/>
      <c r="CB165" s="147"/>
      <c r="CC165" s="929"/>
      <c r="CD165" s="929"/>
      <c r="CE165" s="929">
        <v>-0.15</v>
      </c>
      <c r="CF165" s="929"/>
      <c r="CG165" s="1096"/>
      <c r="CH165" s="147"/>
      <c r="CI165" s="147"/>
      <c r="CJ165" s="929">
        <v>-0.04</v>
      </c>
      <c r="CK165" s="141"/>
      <c r="CL165" s="147"/>
      <c r="CM165" s="1096"/>
      <c r="CN165" s="147"/>
      <c r="CO165" s="147"/>
      <c r="CP165" s="147"/>
      <c r="CQ165" s="147"/>
      <c r="CR165" s="147"/>
      <c r="CS165" s="1096"/>
      <c r="CT165" s="147"/>
      <c r="CU165" s="147"/>
      <c r="CV165" s="147"/>
      <c r="CW165" s="147"/>
      <c r="CX165" s="147"/>
      <c r="CY165" s="1096"/>
      <c r="CZ165" s="147"/>
      <c r="DA165" s="147"/>
      <c r="DB165" s="147"/>
      <c r="DC165" s="147"/>
      <c r="DD165" s="147"/>
      <c r="DE165" s="1096"/>
      <c r="DF165" s="147"/>
      <c r="DG165" s="147"/>
      <c r="DH165" s="147"/>
      <c r="DI165" s="147"/>
      <c r="DJ165" s="147"/>
      <c r="DK165" s="1096"/>
      <c r="DL165" s="147"/>
      <c r="DM165" s="147"/>
      <c r="DN165" s="147"/>
      <c r="DO165" s="147"/>
      <c r="DP165" s="147"/>
      <c r="DQ165" s="1096"/>
      <c r="DR165" s="147"/>
      <c r="DS165" s="147"/>
      <c r="DT165" s="147"/>
      <c r="DU165" s="147"/>
      <c r="DV165" s="147"/>
      <c r="DW165" s="1096"/>
      <c r="DX165" s="147"/>
      <c r="DY165" s="147"/>
      <c r="DZ165" s="147"/>
      <c r="EA165" s="147"/>
      <c r="EB165" s="147"/>
      <c r="EC165" s="1096"/>
      <c r="ED165" s="147"/>
      <c r="EE165" s="147"/>
      <c r="EF165" s="147"/>
      <c r="EG165" s="147"/>
      <c r="EH165" s="147"/>
      <c r="EI165" s="1096"/>
      <c r="EJ165" s="147"/>
      <c r="EK165" s="147"/>
      <c r="EL165" s="147"/>
      <c r="EM165" s="147"/>
      <c r="EN165" s="147"/>
      <c r="EO165" s="1096"/>
      <c r="EP165" s="147"/>
      <c r="EQ165" s="147"/>
      <c r="ER165" s="147"/>
      <c r="ES165" s="147"/>
      <c r="ET165" s="147"/>
      <c r="EU165" s="1096"/>
    </row>
    <row r="166" spans="1:151" ht="7.5" hidden="1" customHeight="1" outlineLevel="2" collapsed="1">
      <c r="A166" s="950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83"/>
      <c r="AX166" s="147"/>
      <c r="AY166" s="141"/>
      <c r="AZ166" s="141"/>
      <c r="BA166" s="141"/>
      <c r="BB166" s="141"/>
      <c r="BC166" s="141"/>
      <c r="BD166" s="147"/>
      <c r="BE166" s="141"/>
      <c r="BF166" s="141"/>
      <c r="BG166" s="141"/>
      <c r="BH166" s="141"/>
      <c r="BI166" s="141"/>
      <c r="BJ166" s="147"/>
      <c r="BK166" s="147"/>
      <c r="BL166" s="147"/>
      <c r="BM166" s="147"/>
      <c r="BN166" s="147"/>
      <c r="BO166" s="1096"/>
      <c r="BP166" s="147"/>
      <c r="BQ166" s="147"/>
      <c r="BR166" s="147"/>
      <c r="BS166" s="147"/>
      <c r="BT166" s="147"/>
      <c r="BU166" s="1096"/>
      <c r="BV166" s="147"/>
      <c r="BW166" s="147"/>
      <c r="BX166" s="147"/>
      <c r="BY166" s="147"/>
      <c r="BZ166" s="147"/>
      <c r="CA166" s="1096"/>
      <c r="CB166" s="147"/>
      <c r="CC166" s="929"/>
      <c r="CD166" s="929"/>
      <c r="CE166" s="929"/>
      <c r="CF166" s="929"/>
      <c r="CG166" s="1096"/>
      <c r="CH166" s="147"/>
      <c r="CI166" s="147"/>
      <c r="CJ166" s="147"/>
      <c r="CK166" s="141"/>
      <c r="CL166" s="147"/>
      <c r="CM166" s="1096"/>
      <c r="CN166" s="147"/>
      <c r="CO166" s="147"/>
      <c r="CP166" s="147"/>
      <c r="CQ166" s="147"/>
      <c r="CR166" s="147"/>
      <c r="CS166" s="1096"/>
      <c r="CT166" s="147"/>
      <c r="CU166" s="147"/>
      <c r="CV166" s="147"/>
      <c r="CW166" s="147"/>
      <c r="CX166" s="147"/>
      <c r="CY166" s="1096"/>
      <c r="CZ166" s="147"/>
      <c r="DA166" s="147"/>
      <c r="DB166" s="147"/>
      <c r="DC166" s="147"/>
      <c r="DD166" s="147"/>
      <c r="DE166" s="1096"/>
      <c r="DF166" s="147"/>
      <c r="DG166" s="147"/>
      <c r="DH166" s="147"/>
      <c r="DI166" s="147"/>
      <c r="DJ166" s="147"/>
      <c r="DK166" s="1096"/>
      <c r="DL166" s="147"/>
      <c r="DM166" s="147"/>
      <c r="DN166" s="147"/>
      <c r="DO166" s="147"/>
      <c r="DP166" s="147"/>
      <c r="DQ166" s="1096"/>
      <c r="DR166" s="147"/>
      <c r="DS166" s="147"/>
      <c r="DT166" s="147"/>
      <c r="DU166" s="147"/>
      <c r="DV166" s="147"/>
      <c r="DW166" s="1096"/>
      <c r="DX166" s="147"/>
      <c r="DY166" s="147"/>
      <c r="DZ166" s="147"/>
      <c r="EA166" s="147"/>
      <c r="EB166" s="147"/>
      <c r="EC166" s="1096"/>
      <c r="ED166" s="147"/>
      <c r="EE166" s="147"/>
      <c r="EF166" s="147"/>
      <c r="EG166" s="147"/>
      <c r="EH166" s="147"/>
      <c r="EI166" s="1096"/>
      <c r="EJ166" s="147"/>
      <c r="EK166" s="147"/>
      <c r="EL166" s="147"/>
      <c r="EM166" s="147"/>
      <c r="EN166" s="147"/>
      <c r="EO166" s="1096"/>
      <c r="EP166" s="147"/>
      <c r="EQ166" s="147"/>
      <c r="ER166" s="147"/>
      <c r="ES166" s="147"/>
      <c r="ET166" s="147"/>
      <c r="EU166" s="1096"/>
    </row>
    <row r="167" spans="1:151" hidden="1" outlineLevel="2">
      <c r="A167" s="56" t="s">
        <v>5573</v>
      </c>
      <c r="B167" s="90"/>
      <c r="C167" s="62"/>
      <c r="D167" s="62"/>
      <c r="E167" s="62"/>
      <c r="F167" s="62"/>
      <c r="G167" s="62"/>
      <c r="H167" s="90"/>
      <c r="I167" s="62"/>
      <c r="J167" s="62"/>
      <c r="K167" s="62"/>
      <c r="L167" s="62"/>
      <c r="M167" s="62"/>
      <c r="N167" s="90"/>
      <c r="O167" s="62"/>
      <c r="P167" s="62"/>
      <c r="Q167" s="62"/>
      <c r="R167" s="62"/>
      <c r="S167" s="62"/>
      <c r="T167" s="90"/>
      <c r="U167" s="62"/>
      <c r="V167" s="62"/>
      <c r="W167" s="62"/>
      <c r="X167" s="62"/>
      <c r="Y167" s="62"/>
      <c r="Z167" s="90"/>
      <c r="AA167" s="62"/>
      <c r="AB167" s="62"/>
      <c r="AC167" s="62"/>
      <c r="AD167" s="62"/>
      <c r="AE167" s="62"/>
      <c r="AF167" s="90"/>
      <c r="AG167" s="159"/>
      <c r="AH167" s="159"/>
      <c r="AI167" s="159"/>
      <c r="AJ167" s="159"/>
      <c r="AK167" s="159"/>
      <c r="AL167" s="90"/>
      <c r="AM167" s="159"/>
      <c r="AN167" s="159"/>
      <c r="AO167" s="159"/>
      <c r="AP167" s="159"/>
      <c r="AQ167" s="159"/>
      <c r="AR167" s="90"/>
      <c r="AS167" s="159"/>
      <c r="AT167" s="159"/>
      <c r="AU167" s="159"/>
      <c r="AV167" s="159"/>
      <c r="AW167" s="159"/>
      <c r="AX167" s="90"/>
      <c r="AY167" s="116"/>
      <c r="AZ167" s="116"/>
      <c r="BA167" s="116"/>
      <c r="BB167" s="116"/>
      <c r="BC167" s="116"/>
      <c r="BD167" s="113"/>
      <c r="BE167" s="116"/>
      <c r="BF167" s="116"/>
      <c r="BG167" s="116"/>
      <c r="BH167" s="116"/>
      <c r="BI167" s="423"/>
      <c r="BJ167" s="113"/>
      <c r="BK167" s="159"/>
      <c r="BL167" s="159"/>
      <c r="BM167" s="159"/>
      <c r="BN167" s="159"/>
      <c r="BO167" s="1128"/>
      <c r="BP167" s="113"/>
      <c r="BQ167" s="159"/>
      <c r="BR167" s="159"/>
      <c r="BS167" s="159"/>
      <c r="BT167" s="159"/>
      <c r="BU167" s="1128"/>
      <c r="BV167" s="113"/>
      <c r="BW167" s="159"/>
      <c r="BX167" s="159"/>
      <c r="BY167" s="159"/>
      <c r="BZ167" s="159"/>
      <c r="CA167" s="1136"/>
      <c r="CB167" s="113"/>
      <c r="CC167" s="159"/>
      <c r="CD167" s="159"/>
      <c r="CE167" s="159"/>
      <c r="CF167" s="159"/>
      <c r="CG167" s="1136"/>
      <c r="CH167" s="113"/>
      <c r="CI167" s="159"/>
      <c r="CJ167" s="159"/>
      <c r="CK167" s="116"/>
      <c r="CL167" s="159"/>
      <c r="CM167" s="1136"/>
      <c r="CN167" s="113"/>
      <c r="CO167" s="159"/>
      <c r="CP167" s="159"/>
      <c r="CQ167" s="159"/>
      <c r="CR167" s="159"/>
      <c r="CS167" s="1136"/>
      <c r="CT167" s="331"/>
      <c r="CU167" s="159"/>
      <c r="CV167" s="159"/>
      <c r="CW167" s="159"/>
      <c r="CX167" s="159"/>
      <c r="CY167" s="1136"/>
      <c r="CZ167" s="331"/>
      <c r="DA167" s="159"/>
      <c r="DB167" s="159"/>
      <c r="DC167" s="159"/>
      <c r="DD167" s="159"/>
      <c r="DE167" s="1136"/>
      <c r="DF167" s="331"/>
      <c r="DG167" s="159"/>
      <c r="DH167" s="159"/>
      <c r="DI167" s="159"/>
      <c r="DJ167" s="159"/>
      <c r="DK167" s="1136"/>
      <c r="DL167" s="113"/>
      <c r="DM167" s="159"/>
      <c r="DN167" s="159"/>
      <c r="DO167" s="159"/>
      <c r="DP167" s="159"/>
      <c r="DQ167" s="1136"/>
      <c r="DR167" s="331"/>
      <c r="DS167" s="159"/>
      <c r="DT167" s="159"/>
      <c r="DU167" s="159"/>
      <c r="DV167" s="159"/>
      <c r="DW167" s="1136"/>
      <c r="DX167" s="331"/>
      <c r="DY167" s="159"/>
      <c r="DZ167" s="159"/>
      <c r="EA167" s="159"/>
      <c r="EB167" s="159"/>
      <c r="EC167" s="1136"/>
      <c r="ED167" s="331"/>
      <c r="EE167" s="159"/>
      <c r="EF167" s="159"/>
      <c r="EG167" s="159"/>
      <c r="EH167" s="159"/>
      <c r="EI167" s="1136"/>
      <c r="EJ167" s="331"/>
      <c r="EK167" s="159"/>
      <c r="EL167" s="159"/>
      <c r="EM167" s="159"/>
      <c r="EN167" s="159"/>
      <c r="EO167" s="1136"/>
      <c r="EP167" s="331"/>
      <c r="EQ167" s="159"/>
      <c r="ER167" s="159"/>
      <c r="ES167" s="159"/>
      <c r="ET167" s="159"/>
      <c r="EU167" s="1136"/>
    </row>
    <row r="168" spans="1:151" hidden="1" outlineLevel="2">
      <c r="A168" s="941" t="s">
        <v>830</v>
      </c>
      <c r="B168" s="190"/>
      <c r="C168" s="912"/>
      <c r="D168" s="912"/>
      <c r="E168" s="912"/>
      <c r="F168" s="912"/>
      <c r="G168" s="413"/>
      <c r="H168" s="190"/>
      <c r="I168" s="413"/>
      <c r="J168" s="413"/>
      <c r="K168" s="413"/>
      <c r="L168" s="413"/>
      <c r="M168" s="413"/>
      <c r="N168" s="190"/>
      <c r="O168" s="413"/>
      <c r="P168" s="413"/>
      <c r="Q168" s="413"/>
      <c r="R168" s="413"/>
      <c r="S168" s="413"/>
      <c r="T168" s="190"/>
      <c r="U168" s="413"/>
      <c r="V168" s="413"/>
      <c r="W168" s="413"/>
      <c r="X168" s="413"/>
      <c r="Y168" s="413"/>
      <c r="Z168" s="190"/>
      <c r="AA168" s="413"/>
      <c r="AB168" s="413"/>
      <c r="AC168" s="413"/>
      <c r="AD168" s="413"/>
      <c r="AE168" s="413"/>
      <c r="AF168" s="413"/>
      <c r="AG168" s="948">
        <f>AG169*AG90</f>
        <v>76.167000000000002</v>
      </c>
      <c r="AH168" s="948">
        <f>AH169*AH90</f>
        <v>78.676000000000002</v>
      </c>
      <c r="AI168" s="948">
        <f>AI169*AI90</f>
        <v>95.216000000000022</v>
      </c>
      <c r="AJ168" s="948">
        <f>AJ169*AJ90</f>
        <v>0</v>
      </c>
      <c r="AK168" s="948"/>
      <c r="AL168" s="948"/>
      <c r="AM168" s="948">
        <f>AM169*AM90</f>
        <v>100.90388</v>
      </c>
      <c r="AN168" s="948">
        <f>AN169*AN90</f>
        <v>93.016440000000003</v>
      </c>
      <c r="AO168" s="948">
        <f>AO169*AO90</f>
        <v>83.028440000000003</v>
      </c>
      <c r="AP168" s="948"/>
      <c r="AQ168" s="948">
        <f>AQ169*AQ90</f>
        <v>354.72634999999997</v>
      </c>
      <c r="AR168" s="948"/>
      <c r="AS168" s="948">
        <f>AS169*AS90</f>
        <v>92.737039999999979</v>
      </c>
      <c r="AT168" s="948">
        <f>AT169*AT90</f>
        <v>99.501349999999988</v>
      </c>
      <c r="AU168" s="948">
        <f>AU169*AU90</f>
        <v>105.2379</v>
      </c>
      <c r="AV168" s="948">
        <f>AW168-AU168-AT168-AS168</f>
        <v>130.76306</v>
      </c>
      <c r="AW168" s="948">
        <f>AW169*AW90</f>
        <v>428.23935</v>
      </c>
      <c r="AX168" s="948"/>
      <c r="AY168" s="949">
        <f>AY169*AY90</f>
        <v>143.56800000000001</v>
      </c>
      <c r="AZ168" s="949">
        <f>AZ169*AZ90</f>
        <v>123.55200000000001</v>
      </c>
      <c r="BA168" s="949">
        <f>BA169*BA90</f>
        <v>123.57400000000001</v>
      </c>
      <c r="BB168" s="949">
        <f>BC168-BA168-AZ168-AY168</f>
        <v>166.81100000000006</v>
      </c>
      <c r="BC168" s="949">
        <f>BC169*BC90</f>
        <v>557.50500000000011</v>
      </c>
      <c r="BD168" s="948"/>
      <c r="BE168" s="949">
        <f>BE169*BE90</f>
        <v>168.77699999999999</v>
      </c>
      <c r="BF168" s="949">
        <f>BF169*BF90</f>
        <v>166.54559999999998</v>
      </c>
      <c r="BG168" s="949">
        <f>BG169*BG90</f>
        <v>162.13749999999999</v>
      </c>
      <c r="BH168" s="949">
        <f>BH169*BH90</f>
        <v>180.51400000000001</v>
      </c>
      <c r="BI168" s="949">
        <f>SUM(BE168:BH168)</f>
        <v>677.97409999999991</v>
      </c>
      <c r="BJ168" s="948"/>
      <c r="BK168" s="949">
        <f>BK169*BK90</f>
        <v>189.66</v>
      </c>
      <c r="BL168" s="949">
        <f>BL169*BL90</f>
        <v>184.33599999999998</v>
      </c>
      <c r="BM168" s="949">
        <f>BM169*BM90</f>
        <v>173.66</v>
      </c>
      <c r="BN168" s="949">
        <f>BN169*BN90</f>
        <v>183.89</v>
      </c>
      <c r="BO168" s="1129">
        <f>SUM(BK168:BN168)</f>
        <v>731.54599999999994</v>
      </c>
      <c r="BP168" s="948"/>
      <c r="BQ168" s="949">
        <f>BQ169*BQ90</f>
        <v>208.52600000000001</v>
      </c>
      <c r="BR168" s="949">
        <f>BR169*BR90</f>
        <v>205.10100000000006</v>
      </c>
      <c r="BS168" s="949">
        <f>BS169*BS90</f>
        <v>199.43</v>
      </c>
      <c r="BT168" s="949">
        <f>BT169*BT90</f>
        <v>221.63</v>
      </c>
      <c r="BU168" s="1129">
        <f>SUM(BQ168:BT168)</f>
        <v>834.68700000000001</v>
      </c>
      <c r="BV168" s="948"/>
      <c r="BW168" s="949">
        <f>BW169*BW90</f>
        <v>245.50799999999995</v>
      </c>
      <c r="BX168" s="949">
        <f>BX169*BX90</f>
        <v>216.82499999999999</v>
      </c>
      <c r="BY168" s="949">
        <f>BY169*BY90</f>
        <v>212.48499999999999</v>
      </c>
      <c r="BZ168" s="949">
        <f>BZ169*BZ90</f>
        <v>156.73600000000002</v>
      </c>
      <c r="CA168" s="1129">
        <f>SUM(BW168:BZ168)</f>
        <v>831.55399999999997</v>
      </c>
      <c r="CB168" s="190"/>
      <c r="CC168" s="949">
        <f>CC169*CC90</f>
        <v>141.43200000000002</v>
      </c>
      <c r="CD168" s="949">
        <f>CD169*CD90</f>
        <v>128.65</v>
      </c>
      <c r="CE168" s="949">
        <f>CE169*CE90</f>
        <v>133.44</v>
      </c>
      <c r="CF168" s="949">
        <f>CF169*CF90</f>
        <v>141.35999999999999</v>
      </c>
      <c r="CG168" s="1129">
        <f>SUM(CC168:CF168)</f>
        <v>544.88199999999995</v>
      </c>
      <c r="CH168" s="190"/>
      <c r="CI168" s="949">
        <f>CI169*CI90</f>
        <v>168.625</v>
      </c>
      <c r="CJ168" s="949">
        <f>CJ169*CJ90</f>
        <v>160.85400000000001</v>
      </c>
      <c r="CK168" s="949">
        <f>CK169*CK90</f>
        <v>157.41</v>
      </c>
      <c r="CL168" s="949">
        <f>CL169*CL90</f>
        <v>163.68</v>
      </c>
      <c r="CM168" s="1129">
        <f>SUM(CI168:CL168)</f>
        <v>650.56899999999996</v>
      </c>
      <c r="CN168" s="190"/>
      <c r="CO168" s="413">
        <v>193</v>
      </c>
      <c r="CP168" s="949">
        <f>CP169*CP90</f>
        <v>169.57</v>
      </c>
      <c r="CQ168" s="949">
        <v>171</v>
      </c>
      <c r="CR168" s="949">
        <v>191</v>
      </c>
      <c r="CS168" s="1129">
        <f>SUM(CO168:CR168)</f>
        <v>724.56999999999994</v>
      </c>
      <c r="CT168" s="949"/>
      <c r="CU168" s="413">
        <v>208</v>
      </c>
      <c r="CV168" s="413"/>
      <c r="CW168" s="413"/>
      <c r="CX168" s="949"/>
      <c r="CY168" s="1129">
        <f>SUM(CU168:CX168)</f>
        <v>208</v>
      </c>
      <c r="CZ168" s="949"/>
      <c r="DA168" s="413">
        <v>192</v>
      </c>
      <c r="DB168" s="413">
        <f>DB90*0.31</f>
        <v>173.91</v>
      </c>
      <c r="DC168" s="413">
        <f>DC90*0.29</f>
        <v>160.94999999999999</v>
      </c>
      <c r="DD168" s="413"/>
      <c r="DE168" s="1140"/>
      <c r="DF168" s="413"/>
      <c r="DG168" s="413"/>
      <c r="DH168" s="413"/>
      <c r="DI168" s="413"/>
      <c r="DJ168" s="413"/>
      <c r="DK168" s="1140"/>
      <c r="DL168" s="190"/>
      <c r="DM168" s="413"/>
      <c r="DN168" s="413"/>
      <c r="DO168" s="413"/>
      <c r="DP168" s="413"/>
      <c r="DQ168" s="1140"/>
      <c r="DR168" s="270"/>
      <c r="DS168" s="413"/>
      <c r="DT168" s="413"/>
      <c r="DU168" s="413"/>
      <c r="DV168" s="413"/>
      <c r="DW168" s="1140"/>
      <c r="DX168" s="270"/>
      <c r="DY168" s="413"/>
      <c r="DZ168" s="413"/>
      <c r="EA168" s="413"/>
      <c r="EB168" s="413"/>
      <c r="EC168" s="1140"/>
      <c r="ED168" s="270"/>
      <c r="EE168" s="413"/>
      <c r="EF168" s="413"/>
      <c r="EG168" s="413"/>
      <c r="EH168" s="413"/>
      <c r="EI168" s="1140"/>
      <c r="EJ168" s="270"/>
      <c r="EK168" s="413"/>
      <c r="EL168" s="413"/>
      <c r="EM168" s="413"/>
      <c r="EN168" s="413"/>
      <c r="EO168" s="1140"/>
      <c r="EP168" s="270"/>
      <c r="EQ168" s="413"/>
      <c r="ER168" s="413"/>
      <c r="ES168" s="413"/>
      <c r="ET168" s="413"/>
      <c r="EU168" s="1140"/>
    </row>
    <row r="169" spans="1:151" ht="13.5" hidden="1" customHeight="1" outlineLevel="2">
      <c r="A169" s="942" t="s">
        <v>5577</v>
      </c>
      <c r="B169" s="114"/>
      <c r="C169" s="273"/>
      <c r="D169" s="273"/>
      <c r="E169" s="273"/>
      <c r="F169" s="273"/>
      <c r="G169" s="117"/>
      <c r="H169" s="114"/>
      <c r="I169" s="117"/>
      <c r="J169" s="117"/>
      <c r="K169" s="117"/>
      <c r="L169" s="117"/>
      <c r="M169" s="117"/>
      <c r="N169" s="114"/>
      <c r="O169" s="117"/>
      <c r="P169" s="117"/>
      <c r="Q169" s="117"/>
      <c r="R169" s="117"/>
      <c r="S169" s="117"/>
      <c r="T169" s="114"/>
      <c r="U169" s="117"/>
      <c r="V169" s="117"/>
      <c r="W169" s="117"/>
      <c r="X169" s="117"/>
      <c r="Y169" s="117"/>
      <c r="Z169" s="114"/>
      <c r="AA169" s="117"/>
      <c r="AB169" s="117"/>
      <c r="AC169" s="117"/>
      <c r="AD169" s="117"/>
      <c r="AE169" s="333"/>
      <c r="AF169" s="333"/>
      <c r="AG169" s="333">
        <v>0.31</v>
      </c>
      <c r="AH169" s="333">
        <v>0.34</v>
      </c>
      <c r="AI169" s="333">
        <v>0.44</v>
      </c>
      <c r="AJ169" s="117"/>
      <c r="AK169" s="333"/>
      <c r="AL169" s="114"/>
      <c r="AM169" s="333">
        <v>0.44</v>
      </c>
      <c r="AN169" s="333">
        <v>0.44</v>
      </c>
      <c r="AO169" s="333">
        <v>0.44</v>
      </c>
      <c r="AP169" s="117"/>
      <c r="AQ169" s="333">
        <v>0.43</v>
      </c>
      <c r="AR169" s="114"/>
      <c r="AS169" s="333">
        <v>0.44</v>
      </c>
      <c r="AT169" s="333">
        <v>0.47</v>
      </c>
      <c r="AU169" s="333">
        <v>0.45</v>
      </c>
      <c r="AV169" s="333"/>
      <c r="AW169" s="333">
        <v>0.45</v>
      </c>
      <c r="AX169" s="114"/>
      <c r="AY169" s="699">
        <v>0.48</v>
      </c>
      <c r="AZ169" s="699">
        <v>0.44</v>
      </c>
      <c r="BA169" s="699">
        <v>0.41</v>
      </c>
      <c r="BB169" s="699">
        <f>BB168/BB90</f>
        <v>0.46647371364653267</v>
      </c>
      <c r="BC169" s="699">
        <v>0.45</v>
      </c>
      <c r="BD169" s="114"/>
      <c r="BE169" s="699">
        <v>0.47</v>
      </c>
      <c r="BF169" s="699">
        <v>0.442</v>
      </c>
      <c r="BG169" s="699">
        <v>0.42499999999999999</v>
      </c>
      <c r="BH169" s="699">
        <v>0.43</v>
      </c>
      <c r="BI169" s="699">
        <f>BI168/BI90</f>
        <v>0.44104482175383813</v>
      </c>
      <c r="BJ169" s="114"/>
      <c r="BK169" s="333">
        <v>0.435</v>
      </c>
      <c r="BL169" s="333">
        <v>0.41</v>
      </c>
      <c r="BM169" s="333">
        <v>0.38</v>
      </c>
      <c r="BN169" s="333">
        <v>0.37</v>
      </c>
      <c r="BO169" s="1130">
        <f>BO168/BO90</f>
        <v>0.39766579691237225</v>
      </c>
      <c r="BP169" s="114"/>
      <c r="BQ169" s="333">
        <v>0.41</v>
      </c>
      <c r="BR169" s="333">
        <v>0.39</v>
      </c>
      <c r="BS169" s="333">
        <v>0.37</v>
      </c>
      <c r="BT169" s="333">
        <v>0.37</v>
      </c>
      <c r="BU169" s="1130">
        <f>BU168/BU90</f>
        <v>0.38420575373993093</v>
      </c>
      <c r="BV169" s="114"/>
      <c r="BW169" s="333">
        <v>0.41</v>
      </c>
      <c r="BX169" s="333">
        <v>0.35</v>
      </c>
      <c r="BY169" s="333">
        <v>0.35</v>
      </c>
      <c r="BZ169" s="333">
        <v>0.32</v>
      </c>
      <c r="CA169" s="1130">
        <f>CA168/CA90</f>
        <v>0.35917156185210775</v>
      </c>
      <c r="CB169" s="113"/>
      <c r="CC169" s="333">
        <v>0.33200000000000002</v>
      </c>
      <c r="CD169" s="333">
        <v>0.31</v>
      </c>
      <c r="CE169" s="333">
        <v>0.32</v>
      </c>
      <c r="CF169" s="333">
        <v>0.31</v>
      </c>
      <c r="CG169" s="1576">
        <f>CG168/CG90</f>
        <v>0.31788227057931273</v>
      </c>
      <c r="CH169" s="113"/>
      <c r="CI169" s="333">
        <v>0.35499999999999998</v>
      </c>
      <c r="CJ169" s="333">
        <v>0.34</v>
      </c>
      <c r="CK169" s="699">
        <v>0.33</v>
      </c>
      <c r="CL169" s="333">
        <v>0.31</v>
      </c>
      <c r="CM169" s="1576">
        <f>CM168/CM90</f>
        <v>0.33453437548207948</v>
      </c>
      <c r="CN169" s="113"/>
      <c r="CO169" s="333">
        <v>0.35499999999999998</v>
      </c>
      <c r="CP169" s="333">
        <v>0.31</v>
      </c>
      <c r="CQ169" s="333">
        <f>CQ168/CQ90</f>
        <v>0.31147540983606559</v>
      </c>
      <c r="CR169" s="333">
        <f>CR168/CR90</f>
        <v>0.32263513513513514</v>
      </c>
      <c r="CS169" s="1576">
        <f>CS168/CS90</f>
        <v>0.32697202166064981</v>
      </c>
      <c r="CT169" s="333"/>
      <c r="CU169" s="333">
        <f>CU168/CU90</f>
        <v>0.35254237288135593</v>
      </c>
      <c r="CV169" s="270"/>
      <c r="CW169" s="270"/>
      <c r="CX169" s="333"/>
      <c r="CY169" s="1576">
        <f>CY168/CY90</f>
        <v>8.98876404494382E-2</v>
      </c>
      <c r="CZ169" s="333"/>
      <c r="DA169" s="333">
        <f>DA168/DA90</f>
        <v>0.33625218914185639</v>
      </c>
      <c r="DB169" s="333">
        <f>DB168/DB90</f>
        <v>0.31</v>
      </c>
      <c r="DC169" s="333">
        <f>DC168/DC90</f>
        <v>0.28999999999999998</v>
      </c>
      <c r="DD169" s="270"/>
      <c r="DE169" s="1125"/>
      <c r="DF169" s="270"/>
      <c r="DG169" s="270"/>
      <c r="DH169" s="270"/>
      <c r="DI169" s="270"/>
      <c r="DJ169" s="270"/>
      <c r="DK169" s="1125"/>
      <c r="DL169" s="113"/>
      <c r="DM169" s="270"/>
      <c r="DN169" s="270"/>
      <c r="DO169" s="270"/>
      <c r="DP169" s="270"/>
      <c r="DQ169" s="1125"/>
      <c r="DR169" s="270"/>
      <c r="DS169" s="270"/>
      <c r="DT169" s="270"/>
      <c r="DU169" s="270"/>
      <c r="DV169" s="270"/>
      <c r="DW169" s="1125"/>
      <c r="DX169" s="270"/>
      <c r="DY169" s="270"/>
      <c r="DZ169" s="270"/>
      <c r="EA169" s="270"/>
      <c r="EB169" s="270"/>
      <c r="EC169" s="1125"/>
      <c r="ED169" s="270"/>
      <c r="EE169" s="270"/>
      <c r="EF169" s="270"/>
      <c r="EG169" s="270"/>
      <c r="EH169" s="270"/>
      <c r="EI169" s="1125"/>
      <c r="EJ169" s="270"/>
      <c r="EK169" s="270"/>
      <c r="EL169" s="270"/>
      <c r="EM169" s="270"/>
      <c r="EN169" s="270"/>
      <c r="EO169" s="1125"/>
      <c r="EP169" s="270"/>
      <c r="EQ169" s="270"/>
      <c r="ER169" s="270"/>
      <c r="ES169" s="270"/>
      <c r="ET169" s="270"/>
      <c r="EU169" s="1125"/>
    </row>
    <row r="170" spans="1:151" hidden="1" outlineLevel="2">
      <c r="A170" s="943" t="s">
        <v>2242</v>
      </c>
      <c r="B170" s="111"/>
      <c r="C170" s="913"/>
      <c r="D170" s="913"/>
      <c r="E170" s="913"/>
      <c r="F170" s="913"/>
      <c r="G170" s="936"/>
      <c r="H170" s="111"/>
      <c r="I170" s="936"/>
      <c r="J170" s="936"/>
      <c r="K170" s="936"/>
      <c r="L170" s="936"/>
      <c r="M170" s="936"/>
      <c r="N170" s="111"/>
      <c r="O170" s="936"/>
      <c r="P170" s="936"/>
      <c r="Q170" s="936"/>
      <c r="R170" s="936"/>
      <c r="S170" s="936"/>
      <c r="T170" s="111"/>
      <c r="U170" s="936"/>
      <c r="V170" s="936"/>
      <c r="W170" s="936"/>
      <c r="X170" s="936"/>
      <c r="Y170" s="936"/>
      <c r="Z170" s="111"/>
      <c r="AA170" s="936"/>
      <c r="AB170" s="936"/>
      <c r="AC170" s="936"/>
      <c r="AD170" s="936"/>
      <c r="AE170" s="936"/>
      <c r="AF170" s="936"/>
      <c r="AG170" s="936"/>
      <c r="AH170" s="936"/>
      <c r="AI170" s="936"/>
      <c r="AJ170" s="936"/>
      <c r="AK170" s="936"/>
      <c r="AL170" s="936"/>
      <c r="AM170" s="936"/>
      <c r="AN170" s="936"/>
      <c r="AO170" s="936"/>
      <c r="AP170" s="936"/>
      <c r="AQ170" s="936"/>
      <c r="AR170" s="936"/>
      <c r="AS170" s="936"/>
      <c r="AT170" s="936"/>
      <c r="AU170" s="936"/>
      <c r="AV170" s="936"/>
      <c r="AW170" s="936"/>
      <c r="AX170" s="936"/>
      <c r="AY170" s="914"/>
      <c r="AZ170" s="914"/>
      <c r="BA170" s="914"/>
      <c r="BB170" s="914"/>
      <c r="BC170" s="914"/>
      <c r="BD170" s="111"/>
      <c r="BE170" s="915">
        <f>BE168/AY168-1</f>
        <v>0.17558926780341011</v>
      </c>
      <c r="BF170" s="915">
        <f>BF168/AZ168-1</f>
        <v>0.34797979797979783</v>
      </c>
      <c r="BG170" s="915">
        <f>BG168/BA168-1</f>
        <v>0.31206807257190006</v>
      </c>
      <c r="BH170" s="915">
        <f>BH168/BB168-1</f>
        <v>8.2146860818530731E-2</v>
      </c>
      <c r="BI170" s="915">
        <f>BI168/BC168-1</f>
        <v>0.21608613375664754</v>
      </c>
      <c r="BJ170" s="111"/>
      <c r="BK170" s="915">
        <f>BK168/BE168-1</f>
        <v>0.12373131410085514</v>
      </c>
      <c r="BL170" s="915">
        <f>BL168/BF168-1</f>
        <v>0.10681999404367337</v>
      </c>
      <c r="BM170" s="915">
        <f>BM168/BG168-1</f>
        <v>7.1066224654999566E-2</v>
      </c>
      <c r="BN170" s="915">
        <f>BN168/BH168-1</f>
        <v>1.8702150525720773E-2</v>
      </c>
      <c r="BO170" s="1131">
        <f>BO168/BI168-1</f>
        <v>7.9017620289624668E-2</v>
      </c>
      <c r="BP170" s="111"/>
      <c r="BQ170" s="915">
        <f>BQ168/BK168-1</f>
        <v>9.9472740693873352E-2</v>
      </c>
      <c r="BR170" s="915">
        <f>BR168/BL168-1</f>
        <v>0.11264755663570902</v>
      </c>
      <c r="BS170" s="915">
        <f>BS168/BM168-1</f>
        <v>0.14839341241506387</v>
      </c>
      <c r="BT170" s="915">
        <f>BT168/BN168-1</f>
        <v>0.20523138832997989</v>
      </c>
      <c r="BU170" s="1131">
        <f>BU168/BO168-1</f>
        <v>0.14099045036128977</v>
      </c>
      <c r="BV170" s="111"/>
      <c r="BW170" s="915">
        <f>BW168/BQ168-1</f>
        <v>0.17734958710184801</v>
      </c>
      <c r="BX170" s="915">
        <f>BX168/BR168-1</f>
        <v>5.716208112100829E-2</v>
      </c>
      <c r="BY170" s="915">
        <f>BY168/BS168-1</f>
        <v>6.5461565461565341E-2</v>
      </c>
      <c r="BZ170" s="915">
        <f>BZ168/BT168-1</f>
        <v>-0.29280332085006533</v>
      </c>
      <c r="CA170" s="1131">
        <f>CA168/BU168-1</f>
        <v>-3.7535028100353918E-3</v>
      </c>
      <c r="CB170" s="111"/>
      <c r="CC170" s="915">
        <f>CC168/BW168-1</f>
        <v>-0.4239210127572216</v>
      </c>
      <c r="CD170" s="915">
        <f>CD168/BX168-1</f>
        <v>-0.40666436065951794</v>
      </c>
      <c r="CE170" s="915">
        <f>CE168/BY168-1</f>
        <v>-0.37200272960444258</v>
      </c>
      <c r="CF170" s="915">
        <f>CF168/BZ168-1</f>
        <v>-9.8101265822785E-2</v>
      </c>
      <c r="CG170" s="1131">
        <f>CG168/CA168-1</f>
        <v>-0.3447424941735594</v>
      </c>
      <c r="CH170" s="111"/>
      <c r="CI170" s="915">
        <f>CI168/CC168-1</f>
        <v>0.19226907630522083</v>
      </c>
      <c r="CJ170" s="915">
        <f>CJ168/CD168-1</f>
        <v>0.25032258064516144</v>
      </c>
      <c r="CK170" s="915">
        <f>CK168/CE168-1</f>
        <v>0.17963129496402885</v>
      </c>
      <c r="CL170" s="915">
        <f>CL168/CF168-1</f>
        <v>0.15789473684210553</v>
      </c>
      <c r="CM170" s="1131">
        <f>CM168/CG168-1</f>
        <v>0.19396309659706135</v>
      </c>
      <c r="CN170" s="111"/>
      <c r="CO170" s="915">
        <f>CO168/CI168-1</f>
        <v>0.14455151964418089</v>
      </c>
      <c r="CP170" s="915">
        <f>CP168/CJ168-1</f>
        <v>5.4185783381202723E-2</v>
      </c>
      <c r="CQ170" s="915">
        <v>0.08</v>
      </c>
      <c r="CR170" s="915">
        <v>0.16</v>
      </c>
      <c r="CS170" s="1131">
        <f>CS168/CM168-1</f>
        <v>0.11374811895433079</v>
      </c>
      <c r="CT170" s="915"/>
      <c r="CU170" s="915">
        <f>CU168/CO168-1</f>
        <v>7.7720207253886064E-2</v>
      </c>
      <c r="CV170" s="936"/>
      <c r="CW170" s="936"/>
      <c r="CX170" s="915"/>
      <c r="CY170" s="1131">
        <f>CY168/CS168-1</f>
        <v>-0.71293318795975535</v>
      </c>
      <c r="CZ170" s="915"/>
      <c r="DA170" s="915">
        <f>DA168/CU168-1</f>
        <v>-7.6923076923076872E-2</v>
      </c>
      <c r="DB170" s="915"/>
      <c r="DC170" s="915"/>
      <c r="DD170" s="936"/>
      <c r="DE170" s="1185"/>
      <c r="DF170" s="936"/>
      <c r="DG170" s="936"/>
      <c r="DH170" s="936"/>
      <c r="DI170" s="936"/>
      <c r="DJ170" s="936"/>
      <c r="DK170" s="1185"/>
      <c r="DL170" s="111"/>
      <c r="DM170" s="936"/>
      <c r="DN170" s="936"/>
      <c r="DO170" s="936"/>
      <c r="DP170" s="936"/>
      <c r="DQ170" s="1185"/>
      <c r="DR170" s="270"/>
      <c r="DS170" s="936"/>
      <c r="DT170" s="936"/>
      <c r="DU170" s="936"/>
      <c r="DV170" s="936"/>
      <c r="DW170" s="1185"/>
      <c r="DX170" s="270"/>
      <c r="DY170" s="936"/>
      <c r="DZ170" s="936"/>
      <c r="EA170" s="936"/>
      <c r="EB170" s="936"/>
      <c r="EC170" s="1185"/>
      <c r="ED170" s="270"/>
      <c r="EE170" s="936"/>
      <c r="EF170" s="936"/>
      <c r="EG170" s="936"/>
      <c r="EH170" s="936"/>
      <c r="EI170" s="1185"/>
      <c r="EJ170" s="270"/>
      <c r="EK170" s="936"/>
      <c r="EL170" s="936"/>
      <c r="EM170" s="936"/>
      <c r="EN170" s="936"/>
      <c r="EO170" s="1185"/>
      <c r="EP170" s="270"/>
      <c r="EQ170" s="936"/>
      <c r="ER170" s="936"/>
      <c r="ES170" s="936"/>
      <c r="ET170" s="936"/>
      <c r="EU170" s="1185"/>
    </row>
    <row r="171" spans="1:151" hidden="1" outlineLevel="2">
      <c r="A171" s="541"/>
      <c r="B171" s="61"/>
      <c r="C171" s="339"/>
      <c r="D171" s="339"/>
      <c r="E171" s="339"/>
      <c r="F171" s="339"/>
      <c r="G171" s="339"/>
      <c r="H171" s="61"/>
      <c r="I171" s="423"/>
      <c r="J171" s="423"/>
      <c r="K171" s="423"/>
      <c r="L171" s="423"/>
      <c r="M171" s="339"/>
      <c r="N171" s="61"/>
      <c r="O171" s="423"/>
      <c r="P171" s="423"/>
      <c r="Q171" s="423"/>
      <c r="R171" s="423"/>
      <c r="S171" s="339"/>
      <c r="T171" s="61"/>
      <c r="U171" s="423"/>
      <c r="V171" s="423"/>
      <c r="W171" s="423"/>
      <c r="X171" s="423"/>
      <c r="Y171" s="339"/>
      <c r="Z171" s="61"/>
      <c r="AA171" s="423"/>
      <c r="AB171" s="423"/>
      <c r="AC171" s="423"/>
      <c r="AD171" s="423"/>
      <c r="AE171" s="339"/>
      <c r="AF171" s="61"/>
      <c r="AG171" s="423"/>
      <c r="AH171" s="423"/>
      <c r="AI171" s="423"/>
      <c r="AJ171" s="423"/>
      <c r="AK171" s="339"/>
      <c r="AL171" s="61"/>
      <c r="AM171" s="423"/>
      <c r="AN171" s="423"/>
      <c r="AO171" s="423"/>
      <c r="AP171" s="423"/>
      <c r="AQ171" s="339"/>
      <c r="AR171" s="61"/>
      <c r="AS171" s="423"/>
      <c r="AT171" s="423"/>
      <c r="AU171" s="423"/>
      <c r="AV171" s="423"/>
      <c r="AW171" s="339"/>
      <c r="AX171" s="61"/>
      <c r="AY171" s="291"/>
      <c r="AZ171" s="291"/>
      <c r="BA171" s="291"/>
      <c r="BB171" s="291"/>
      <c r="BC171" s="291"/>
      <c r="BD171" s="270"/>
      <c r="BE171" s="291"/>
      <c r="BF171" s="291"/>
      <c r="BG171" s="291"/>
      <c r="BH171" s="291"/>
      <c r="BI171" s="291"/>
      <c r="BJ171" s="270"/>
      <c r="BK171" s="291"/>
      <c r="BL171" s="291"/>
      <c r="BM171" s="291"/>
      <c r="BN171" s="291"/>
      <c r="BO171" s="1132"/>
      <c r="BP171" s="270"/>
      <c r="BQ171" s="291"/>
      <c r="BR171" s="291"/>
      <c r="BS171" s="291"/>
      <c r="BT171" s="291"/>
      <c r="BU171" s="1132"/>
      <c r="BV171" s="270"/>
      <c r="BW171" s="291"/>
      <c r="BX171" s="339"/>
      <c r="BY171" s="339"/>
      <c r="BZ171" s="339"/>
      <c r="CA171" s="1132"/>
      <c r="CB171" s="270"/>
      <c r="CC171" s="291"/>
      <c r="CD171" s="339"/>
      <c r="CE171" s="339"/>
      <c r="CF171" s="339"/>
      <c r="CG171" s="1134"/>
      <c r="CH171" s="270"/>
      <c r="CI171" s="291"/>
      <c r="CJ171" s="291"/>
      <c r="CK171" s="423"/>
      <c r="CL171" s="339"/>
      <c r="CM171" s="1134"/>
      <c r="CN171" s="270"/>
      <c r="CO171" s="339"/>
      <c r="CP171" s="339"/>
      <c r="CQ171" s="339"/>
      <c r="CR171" s="339"/>
      <c r="CS171" s="1134"/>
      <c r="CT171" s="535"/>
      <c r="CU171" s="339"/>
      <c r="CV171" s="339"/>
      <c r="CW171" s="339"/>
      <c r="CX171" s="339"/>
      <c r="CY171" s="1134"/>
      <c r="CZ171" s="535"/>
      <c r="DA171" s="339"/>
      <c r="DB171" s="339"/>
      <c r="DC171" s="339"/>
      <c r="DD171" s="339"/>
      <c r="DE171" s="1134"/>
      <c r="DF171" s="535"/>
      <c r="DG171" s="339"/>
      <c r="DH171" s="339"/>
      <c r="DI171" s="339"/>
      <c r="DJ171" s="339"/>
      <c r="DK171" s="1134"/>
      <c r="DL171" s="270"/>
      <c r="DM171" s="339"/>
      <c r="DN171" s="339"/>
      <c r="DO171" s="339"/>
      <c r="DP171" s="339"/>
      <c r="DQ171" s="1134"/>
      <c r="DR171" s="535"/>
      <c r="DS171" s="339"/>
      <c r="DT171" s="339"/>
      <c r="DU171" s="339"/>
      <c r="DV171" s="339"/>
      <c r="DW171" s="1134"/>
      <c r="DX171" s="535"/>
      <c r="DY171" s="339"/>
      <c r="DZ171" s="339"/>
      <c r="EA171" s="339"/>
      <c r="EB171" s="339"/>
      <c r="EC171" s="1134"/>
      <c r="ED171" s="535"/>
      <c r="EE171" s="339"/>
      <c r="EF171" s="339"/>
      <c r="EG171" s="339"/>
      <c r="EH171" s="339"/>
      <c r="EI171" s="1134"/>
      <c r="EJ171" s="535"/>
      <c r="EK171" s="339"/>
      <c r="EL171" s="339"/>
      <c r="EM171" s="339"/>
      <c r="EN171" s="339"/>
      <c r="EO171" s="1134"/>
      <c r="EP171" s="535"/>
      <c r="EQ171" s="339"/>
      <c r="ER171" s="339"/>
      <c r="ES171" s="339"/>
      <c r="ET171" s="339"/>
      <c r="EU171" s="1134"/>
    </row>
    <row r="172" spans="1:151" hidden="1" outlineLevel="2">
      <c r="A172" s="939" t="s">
        <v>482</v>
      </c>
      <c r="B172" s="940"/>
      <c r="C172" s="944">
        <v>1485</v>
      </c>
      <c r="D172" s="944">
        <v>1537</v>
      </c>
      <c r="E172" s="944">
        <v>1587</v>
      </c>
      <c r="F172" s="944">
        <v>1637</v>
      </c>
      <c r="G172" s="944">
        <v>1637</v>
      </c>
      <c r="H172" s="945"/>
      <c r="I172" s="944">
        <v>1690</v>
      </c>
      <c r="J172" s="944">
        <v>1750</v>
      </c>
      <c r="K172" s="944">
        <v>1816</v>
      </c>
      <c r="L172" s="944">
        <v>1881</v>
      </c>
      <c r="M172" s="944">
        <v>1881</v>
      </c>
      <c r="N172" s="945"/>
      <c r="O172" s="944">
        <v>1947</v>
      </c>
      <c r="P172" s="944">
        <v>2013</v>
      </c>
      <c r="Q172" s="944">
        <v>2082</v>
      </c>
      <c r="R172" s="944">
        <v>2144</v>
      </c>
      <c r="S172" s="944">
        <f>R172</f>
        <v>2144</v>
      </c>
      <c r="T172" s="945"/>
      <c r="U172" s="944">
        <v>2220</v>
      </c>
      <c r="V172" s="944">
        <v>2303</v>
      </c>
      <c r="W172" s="944">
        <v>2391</v>
      </c>
      <c r="X172" s="944">
        <v>2464</v>
      </c>
      <c r="Y172" s="944">
        <f>X172</f>
        <v>2464</v>
      </c>
      <c r="Z172" s="945"/>
      <c r="AA172" s="944">
        <v>2544</v>
      </c>
      <c r="AB172" s="944">
        <v>2617</v>
      </c>
      <c r="AC172" s="944">
        <v>2692</v>
      </c>
      <c r="AD172" s="944">
        <v>2775</v>
      </c>
      <c r="AE172" s="944">
        <f>AD172</f>
        <v>2775</v>
      </c>
      <c r="AF172" s="945"/>
      <c r="AG172" s="946">
        <v>2852</v>
      </c>
      <c r="AH172" s="946">
        <v>2919</v>
      </c>
      <c r="AI172" s="946">
        <v>2984</v>
      </c>
      <c r="AJ172" s="946">
        <v>3045</v>
      </c>
      <c r="AK172" s="946">
        <f>AJ172</f>
        <v>3045</v>
      </c>
      <c r="AL172" s="945"/>
      <c r="AM172" s="946">
        <v>3117.4</v>
      </c>
      <c r="AN172" s="946">
        <v>3155</v>
      </c>
      <c r="AO172" s="946">
        <v>3201.1</v>
      </c>
      <c r="AP172" s="946">
        <v>3251.4</v>
      </c>
      <c r="AQ172" s="946">
        <f>AP172</f>
        <v>3251.4</v>
      </c>
      <c r="AR172" s="945"/>
      <c r="AS172" s="946">
        <v>3299.9</v>
      </c>
      <c r="AT172" s="946">
        <v>3333.2</v>
      </c>
      <c r="AU172" s="946">
        <v>3381.8</v>
      </c>
      <c r="AV172" s="946">
        <v>3423.3</v>
      </c>
      <c r="AW172" s="946">
        <f>AV172</f>
        <v>3423.3</v>
      </c>
      <c r="AX172" s="945"/>
      <c r="AY172" s="947">
        <v>3469.4</v>
      </c>
      <c r="AZ172" s="947">
        <v>3514.6</v>
      </c>
      <c r="BA172" s="947">
        <v>3571.8</v>
      </c>
      <c r="BB172" s="947">
        <v>3618</v>
      </c>
      <c r="BC172" s="947">
        <f>BB172</f>
        <v>3618</v>
      </c>
      <c r="BD172" s="945"/>
      <c r="BE172" s="947">
        <v>3700.8</v>
      </c>
      <c r="BF172" s="947">
        <v>3747</v>
      </c>
      <c r="BG172" s="947">
        <v>3803</v>
      </c>
      <c r="BH172" s="947">
        <v>3871.3</v>
      </c>
      <c r="BI172" s="947">
        <f>BH172</f>
        <v>3871.3</v>
      </c>
      <c r="BJ172" s="945"/>
      <c r="BK172" s="946">
        <v>3928.4</v>
      </c>
      <c r="BL172" s="946">
        <v>3986.8</v>
      </c>
      <c r="BM172" s="946">
        <v>4056.2</v>
      </c>
      <c r="BN172" s="946">
        <v>4114</v>
      </c>
      <c r="BO172" s="1133">
        <f>BN172</f>
        <v>4114</v>
      </c>
      <c r="BP172" s="945"/>
      <c r="BQ172" s="946">
        <v>4162</v>
      </c>
      <c r="BR172" s="946">
        <v>4213</v>
      </c>
      <c r="BS172" s="946">
        <v>4268</v>
      </c>
      <c r="BT172" s="946">
        <v>4329</v>
      </c>
      <c r="BU172" s="1133">
        <f>BT172</f>
        <v>4329</v>
      </c>
      <c r="BV172" s="945"/>
      <c r="BW172" s="946">
        <v>4377</v>
      </c>
      <c r="BX172" s="946">
        <v>4436</v>
      </c>
      <c r="BY172" s="946">
        <v>4491</v>
      </c>
      <c r="BZ172" s="946">
        <v>4551</v>
      </c>
      <c r="CA172" s="1133">
        <f>BZ172</f>
        <v>4551</v>
      </c>
      <c r="CB172" s="413"/>
      <c r="CC172" s="946"/>
      <c r="CD172" s="932"/>
      <c r="CE172" s="932"/>
      <c r="CF172" s="932"/>
      <c r="CG172" s="1186"/>
      <c r="CH172" s="413"/>
      <c r="CI172" s="946"/>
      <c r="CJ172" s="946"/>
      <c r="CK172" s="933"/>
      <c r="CL172" s="932"/>
      <c r="CM172" s="1186"/>
      <c r="CN172" s="413"/>
      <c r="CO172" s="932"/>
      <c r="CP172" s="932"/>
      <c r="CQ172" s="932"/>
      <c r="CR172" s="932"/>
      <c r="CS172" s="1186"/>
      <c r="CT172" s="932"/>
      <c r="CU172" s="932"/>
      <c r="CV172" s="932"/>
      <c r="CW172" s="932"/>
      <c r="CX172" s="932"/>
      <c r="CY172" s="1186"/>
      <c r="CZ172" s="932"/>
      <c r="DA172" s="932"/>
      <c r="DB172" s="932"/>
      <c r="DC172" s="932"/>
      <c r="DD172" s="932"/>
      <c r="DE172" s="1186"/>
      <c r="DF172" s="932"/>
      <c r="DG172" s="932"/>
      <c r="DH172" s="932"/>
      <c r="DI172" s="932"/>
      <c r="DJ172" s="932"/>
      <c r="DK172" s="1186"/>
      <c r="DL172" s="413"/>
      <c r="DM172" s="932"/>
      <c r="DN172" s="932"/>
      <c r="DO172" s="932"/>
      <c r="DP172" s="932"/>
      <c r="DQ172" s="1186"/>
      <c r="DR172" s="535"/>
      <c r="DS172" s="932"/>
      <c r="DT172" s="932"/>
      <c r="DU172" s="932"/>
      <c r="DV172" s="932"/>
      <c r="DW172" s="1186"/>
      <c r="DX172" s="535"/>
      <c r="DY172" s="932"/>
      <c r="DZ172" s="932"/>
      <c r="EA172" s="932"/>
      <c r="EB172" s="932"/>
      <c r="EC172" s="1186"/>
      <c r="ED172" s="535"/>
      <c r="EE172" s="932"/>
      <c r="EF172" s="932"/>
      <c r="EG172" s="932"/>
      <c r="EH172" s="932"/>
      <c r="EI172" s="1186"/>
      <c r="EJ172" s="535"/>
      <c r="EK172" s="932"/>
      <c r="EL172" s="932"/>
      <c r="EM172" s="932"/>
      <c r="EN172" s="932"/>
      <c r="EO172" s="1186"/>
      <c r="EP172" s="535"/>
      <c r="EQ172" s="932"/>
      <c r="ER172" s="932"/>
      <c r="ES172" s="932"/>
      <c r="ET172" s="932"/>
      <c r="EU172" s="1186"/>
    </row>
    <row r="173" spans="1:151" hidden="1" outlineLevel="2">
      <c r="A173" s="934" t="s">
        <v>4733</v>
      </c>
      <c r="B173" s="270"/>
      <c r="C173" s="535"/>
      <c r="D173" s="535"/>
      <c r="E173" s="535"/>
      <c r="F173" s="535"/>
      <c r="G173" s="535"/>
      <c r="H173" s="270"/>
      <c r="I173" s="779"/>
      <c r="J173" s="779"/>
      <c r="K173" s="779"/>
      <c r="L173" s="779"/>
      <c r="M173" s="535"/>
      <c r="N173" s="270"/>
      <c r="O173" s="779"/>
      <c r="P173" s="779"/>
      <c r="Q173" s="779"/>
      <c r="R173" s="779"/>
      <c r="S173" s="535"/>
      <c r="T173" s="270"/>
      <c r="U173" s="779"/>
      <c r="V173" s="779"/>
      <c r="W173" s="779"/>
      <c r="X173" s="779"/>
      <c r="Y173" s="535"/>
      <c r="Z173" s="270"/>
      <c r="AA173" s="779"/>
      <c r="AB173" s="779"/>
      <c r="AC173" s="779"/>
      <c r="AD173" s="779"/>
      <c r="AE173" s="535"/>
      <c r="AF173" s="270"/>
      <c r="AG173" s="779"/>
      <c r="AH173" s="779"/>
      <c r="AI173" s="779"/>
      <c r="AJ173" s="779"/>
      <c r="AK173" s="535"/>
      <c r="AL173" s="270"/>
      <c r="AM173" s="779"/>
      <c r="AN173" s="779"/>
      <c r="AO173" s="779"/>
      <c r="AP173" s="779"/>
      <c r="AQ173" s="535"/>
      <c r="AR173" s="270"/>
      <c r="AS173" s="779"/>
      <c r="AT173" s="779"/>
      <c r="AU173" s="779"/>
      <c r="AV173" s="779"/>
      <c r="AW173" s="535"/>
      <c r="AX173" s="270"/>
      <c r="AY173" s="291">
        <f>AY172/AS172-1</f>
        <v>5.1365192884632815E-2</v>
      </c>
      <c r="AZ173" s="291">
        <f>AZ172/AT172-1</f>
        <v>5.4422176887075624E-2</v>
      </c>
      <c r="BA173" s="291">
        <f>BA172/AU172-1</f>
        <v>5.6183097758590206E-2</v>
      </c>
      <c r="BB173" s="291">
        <f>BB172/AV172-1</f>
        <v>5.6874945228288398E-2</v>
      </c>
      <c r="BC173" s="291">
        <f>BC172/AW172-1</f>
        <v>5.6874945228288398E-2</v>
      </c>
      <c r="BD173" s="270"/>
      <c r="BE173" s="291">
        <f>BE172/AY172-1</f>
        <v>6.669741165619425E-2</v>
      </c>
      <c r="BF173" s="291">
        <f>BF172/AZ172-1</f>
        <v>6.6124167757354968E-2</v>
      </c>
      <c r="BG173" s="291">
        <f>BG172/BA172-1</f>
        <v>6.4729268156111797E-2</v>
      </c>
      <c r="BH173" s="291">
        <f>BH172/BB172-1</f>
        <v>7.001105583195133E-2</v>
      </c>
      <c r="BI173" s="291">
        <f>BI172/BC172-1</f>
        <v>7.001105583195133E-2</v>
      </c>
      <c r="BJ173" s="270"/>
      <c r="BK173" s="291">
        <f>BK172/BE172-1</f>
        <v>6.1500216169476873E-2</v>
      </c>
      <c r="BL173" s="291">
        <f>BL172/BF172-1</f>
        <v>6.3997864958633688E-2</v>
      </c>
      <c r="BM173" s="291">
        <f>BM172/BG172-1</f>
        <v>6.6579016565869065E-2</v>
      </c>
      <c r="BN173" s="291">
        <f>BN172/BH172-1</f>
        <v>6.2692118926458873E-2</v>
      </c>
      <c r="BO173" s="1132">
        <f>BO172/BI172-1</f>
        <v>6.2692118926458873E-2</v>
      </c>
      <c r="BP173" s="270"/>
      <c r="BQ173" s="291">
        <f>BQ172/BK172-1</f>
        <v>5.9464412992566995E-2</v>
      </c>
      <c r="BR173" s="291">
        <f>BR172/BL172-1</f>
        <v>5.6737232868465881E-2</v>
      </c>
      <c r="BS173" s="291">
        <f>BS172/BM172-1</f>
        <v>5.2216360140032503E-2</v>
      </c>
      <c r="BT173" s="291">
        <f>BT172/BN172-1</f>
        <v>5.226057365094805E-2</v>
      </c>
      <c r="BU173" s="1132">
        <f>BU172/BO172-1</f>
        <v>5.226057365094805E-2</v>
      </c>
      <c r="BV173" s="270"/>
      <c r="BW173" s="291">
        <f>BW172/BQ172-1</f>
        <v>5.1657856799615542E-2</v>
      </c>
      <c r="BX173" s="291">
        <f>BX172/BR172-1</f>
        <v>5.293140280085451E-2</v>
      </c>
      <c r="BY173" s="291">
        <f>BY172/BS172-1</f>
        <v>5.2249297094657976E-2</v>
      </c>
      <c r="BZ173" s="291">
        <f>BZ172/BT172-1</f>
        <v>5.1282051282051322E-2</v>
      </c>
      <c r="CA173" s="1132">
        <f>CA172/BU172-1</f>
        <v>5.1282051282051322E-2</v>
      </c>
      <c r="CB173" s="270"/>
      <c r="CC173" s="291"/>
      <c r="CD173" s="535"/>
      <c r="CE173" s="535"/>
      <c r="CF173" s="535"/>
      <c r="CG173" s="1134"/>
      <c r="CH173" s="270"/>
      <c r="CI173" s="291"/>
      <c r="CJ173" s="291"/>
      <c r="CK173" s="779"/>
      <c r="CL173" s="535"/>
      <c r="CM173" s="1134"/>
      <c r="CN173" s="270"/>
      <c r="CO173" s="535"/>
      <c r="CP173" s="535"/>
      <c r="CQ173" s="535"/>
      <c r="CR173" s="535"/>
      <c r="CS173" s="1134"/>
      <c r="CT173" s="535"/>
      <c r="CU173" s="535"/>
      <c r="CV173" s="535"/>
      <c r="CW173" s="535"/>
      <c r="CX173" s="535"/>
      <c r="CY173" s="1134"/>
      <c r="CZ173" s="535"/>
      <c r="DA173" s="535"/>
      <c r="DB173" s="535"/>
      <c r="DC173" s="535"/>
      <c r="DD173" s="535"/>
      <c r="DE173" s="1134"/>
      <c r="DF173" s="535"/>
      <c r="DG173" s="535"/>
      <c r="DH173" s="535"/>
      <c r="DI173" s="535"/>
      <c r="DJ173" s="535"/>
      <c r="DK173" s="1134"/>
      <c r="DL173" s="270"/>
      <c r="DM173" s="535"/>
      <c r="DN173" s="535"/>
      <c r="DO173" s="535"/>
      <c r="DP173" s="535"/>
      <c r="DQ173" s="1134"/>
      <c r="DR173" s="535"/>
      <c r="DS173" s="535"/>
      <c r="DT173" s="535"/>
      <c r="DU173" s="535"/>
      <c r="DV173" s="535"/>
      <c r="DW173" s="1134"/>
      <c r="DX173" s="535"/>
      <c r="DY173" s="535"/>
      <c r="DZ173" s="535"/>
      <c r="EA173" s="535"/>
      <c r="EB173" s="535"/>
      <c r="EC173" s="1134"/>
      <c r="ED173" s="535"/>
      <c r="EE173" s="535"/>
      <c r="EF173" s="535"/>
      <c r="EG173" s="535"/>
      <c r="EH173" s="535"/>
      <c r="EI173" s="1134"/>
      <c r="EJ173" s="535"/>
      <c r="EK173" s="535"/>
      <c r="EL173" s="535"/>
      <c r="EM173" s="535"/>
      <c r="EN173" s="535"/>
      <c r="EO173" s="1134"/>
      <c r="EP173" s="535"/>
      <c r="EQ173" s="535"/>
      <c r="ER173" s="535"/>
      <c r="ES173" s="535"/>
      <c r="ET173" s="535"/>
      <c r="EU173" s="1134"/>
    </row>
    <row r="174" spans="1:151" hidden="1" outlineLevel="2">
      <c r="A174" s="934" t="s">
        <v>2323</v>
      </c>
      <c r="B174" s="270"/>
      <c r="C174" s="535"/>
      <c r="D174" s="535">
        <f>D172-C172</f>
        <v>52</v>
      </c>
      <c r="E174" s="535">
        <f>E172-D172</f>
        <v>50</v>
      </c>
      <c r="F174" s="535">
        <f>F172-E172</f>
        <v>50</v>
      </c>
      <c r="G174" s="535">
        <f>F174</f>
        <v>50</v>
      </c>
      <c r="H174" s="270"/>
      <c r="I174" s="779">
        <f>I172-F172</f>
        <v>53</v>
      </c>
      <c r="J174" s="779">
        <f>J172-I172</f>
        <v>60</v>
      </c>
      <c r="K174" s="779">
        <f>K172-J172</f>
        <v>66</v>
      </c>
      <c r="L174" s="779">
        <f>L172-K172</f>
        <v>65</v>
      </c>
      <c r="M174" s="535">
        <f>M172-G172</f>
        <v>244</v>
      </c>
      <c r="N174" s="270"/>
      <c r="O174" s="779">
        <f>O172-L172</f>
        <v>66</v>
      </c>
      <c r="P174" s="779">
        <f>P172-O172</f>
        <v>66</v>
      </c>
      <c r="Q174" s="779">
        <f>Q172-P172</f>
        <v>69</v>
      </c>
      <c r="R174" s="779">
        <f>R172-Q172</f>
        <v>62</v>
      </c>
      <c r="S174" s="535">
        <f>R174</f>
        <v>62</v>
      </c>
      <c r="T174" s="270"/>
      <c r="U174" s="779">
        <f>U172-R172</f>
        <v>76</v>
      </c>
      <c r="V174" s="779">
        <f>V172-U172</f>
        <v>83</v>
      </c>
      <c r="W174" s="779">
        <f>W172-V172</f>
        <v>88</v>
      </c>
      <c r="X174" s="779">
        <f>X172-W172</f>
        <v>73</v>
      </c>
      <c r="Y174" s="535">
        <f>X174</f>
        <v>73</v>
      </c>
      <c r="Z174" s="270"/>
      <c r="AA174" s="779">
        <f>AA172-X172</f>
        <v>80</v>
      </c>
      <c r="AB174" s="779">
        <f>AB172-AA172</f>
        <v>73</v>
      </c>
      <c r="AC174" s="779">
        <f>AC172-AB172</f>
        <v>75</v>
      </c>
      <c r="AD174" s="779">
        <f>AD172-AC172</f>
        <v>83</v>
      </c>
      <c r="AE174" s="535">
        <f>AD174</f>
        <v>83</v>
      </c>
      <c r="AF174" s="270"/>
      <c r="AG174" s="779">
        <f>AG172-AD172</f>
        <v>77</v>
      </c>
      <c r="AH174" s="779">
        <f>AH172-AG172</f>
        <v>67</v>
      </c>
      <c r="AI174" s="779">
        <f>AI172-AH172</f>
        <v>65</v>
      </c>
      <c r="AJ174" s="779">
        <f>AJ172-AI172</f>
        <v>61</v>
      </c>
      <c r="AK174" s="535"/>
      <c r="AL174" s="270"/>
      <c r="AM174" s="779">
        <f>AM172-AJ172</f>
        <v>72.400000000000091</v>
      </c>
      <c r="AN174" s="779">
        <f>AN172-AM172</f>
        <v>37.599999999999909</v>
      </c>
      <c r="AO174" s="779">
        <f>AO172-AN172</f>
        <v>46.099999999999909</v>
      </c>
      <c r="AP174" s="779">
        <f>AP172-AO172</f>
        <v>50.300000000000182</v>
      </c>
      <c r="AQ174" s="779">
        <f>AQ172-AK172</f>
        <v>206.40000000000009</v>
      </c>
      <c r="AR174" s="270"/>
      <c r="AS174" s="779">
        <f>AS172-AP172</f>
        <v>48.5</v>
      </c>
      <c r="AT174" s="779">
        <f>AT172-AS172</f>
        <v>33.299999999999727</v>
      </c>
      <c r="AU174" s="779">
        <f>AU172-AT172</f>
        <v>48.600000000000364</v>
      </c>
      <c r="AV174" s="779">
        <f>AV172-AU172</f>
        <v>41.5</v>
      </c>
      <c r="AW174" s="535">
        <f>AW172-AQ172</f>
        <v>171.90000000000009</v>
      </c>
      <c r="AX174" s="270"/>
      <c r="AY174" s="779">
        <f>AY172-AV172</f>
        <v>46.099999999999909</v>
      </c>
      <c r="AZ174" s="779">
        <f>AZ172-AY172</f>
        <v>45.199999999999818</v>
      </c>
      <c r="BA174" s="779">
        <f>BA172-AZ172</f>
        <v>57.200000000000273</v>
      </c>
      <c r="BB174" s="779">
        <f>BB172-BA172</f>
        <v>46.199999999999818</v>
      </c>
      <c r="BC174" s="779">
        <f>BC172-AW172</f>
        <v>194.69999999999982</v>
      </c>
      <c r="BD174" s="270"/>
      <c r="BE174" s="779">
        <f>BE172-BB172</f>
        <v>82.800000000000182</v>
      </c>
      <c r="BF174" s="779">
        <f>BF172-BE172</f>
        <v>46.199999999999818</v>
      </c>
      <c r="BG174" s="779">
        <f>BG172-BF172</f>
        <v>56</v>
      </c>
      <c r="BH174" s="779">
        <f>BH172-BG172</f>
        <v>68.300000000000182</v>
      </c>
      <c r="BI174" s="779">
        <f>BI172-BC172</f>
        <v>253.30000000000018</v>
      </c>
      <c r="BJ174" s="270"/>
      <c r="BK174" s="779">
        <f>BK172-BH172</f>
        <v>57.099999999999909</v>
      </c>
      <c r="BL174" s="779">
        <f>BL172-BK172</f>
        <v>58.400000000000091</v>
      </c>
      <c r="BM174" s="779">
        <f>BM172-BL172</f>
        <v>69.399999999999636</v>
      </c>
      <c r="BN174" s="779">
        <f>BN172-BM172</f>
        <v>57.800000000000182</v>
      </c>
      <c r="BO174" s="1128">
        <f>BO172-BI172</f>
        <v>242.69999999999982</v>
      </c>
      <c r="BP174" s="270"/>
      <c r="BQ174" s="779">
        <f>BQ172-BN172</f>
        <v>48</v>
      </c>
      <c r="BR174" s="779">
        <f>BR172-BQ172</f>
        <v>51</v>
      </c>
      <c r="BS174" s="779">
        <f>BS172-BR172</f>
        <v>55</v>
      </c>
      <c r="BT174" s="779">
        <f>BT172-BS172</f>
        <v>61</v>
      </c>
      <c r="BU174" s="1128">
        <f>BU172-BO172</f>
        <v>215</v>
      </c>
      <c r="BV174" s="270"/>
      <c r="BW174" s="779">
        <f>BW172-BT172</f>
        <v>48</v>
      </c>
      <c r="BX174" s="779">
        <f>BX172-BW172</f>
        <v>59</v>
      </c>
      <c r="BY174" s="779">
        <f>BY172-BX172</f>
        <v>55</v>
      </c>
      <c r="BZ174" s="779">
        <f>BZ172-BY172</f>
        <v>60</v>
      </c>
      <c r="CA174" s="1128">
        <f>CA172-BU172</f>
        <v>222</v>
      </c>
      <c r="CB174" s="270"/>
      <c r="CC174" s="779"/>
      <c r="CD174" s="535"/>
      <c r="CE174" s="535"/>
      <c r="CF174" s="535"/>
      <c r="CG174" s="1134"/>
      <c r="CH174" s="270"/>
      <c r="CI174" s="779"/>
      <c r="CJ174" s="779"/>
      <c r="CK174" s="779"/>
      <c r="CL174" s="535"/>
      <c r="CM174" s="1134"/>
      <c r="CN174" s="270"/>
      <c r="CO174" s="535"/>
      <c r="CP174" s="535"/>
      <c r="CQ174" s="535"/>
      <c r="CR174" s="535"/>
      <c r="CS174" s="1134"/>
      <c r="CT174" s="535"/>
      <c r="CU174" s="535"/>
      <c r="CV174" s="535"/>
      <c r="CW174" s="535"/>
      <c r="CX174" s="535"/>
      <c r="CY174" s="1134"/>
      <c r="CZ174" s="535"/>
      <c r="DA174" s="535"/>
      <c r="DB174" s="535"/>
      <c r="DC174" s="535"/>
      <c r="DD174" s="535"/>
      <c r="DE174" s="1134"/>
      <c r="DF174" s="535"/>
      <c r="DG174" s="535"/>
      <c r="DH174" s="535"/>
      <c r="DI174" s="535"/>
      <c r="DJ174" s="535"/>
      <c r="DK174" s="1134"/>
      <c r="DL174" s="270"/>
      <c r="DM174" s="535"/>
      <c r="DN174" s="535"/>
      <c r="DO174" s="535"/>
      <c r="DP174" s="535"/>
      <c r="DQ174" s="1134"/>
      <c r="DR174" s="535"/>
      <c r="DS174" s="535"/>
      <c r="DT174" s="535"/>
      <c r="DU174" s="535"/>
      <c r="DV174" s="535"/>
      <c r="DW174" s="1134"/>
      <c r="DX174" s="535"/>
      <c r="DY174" s="535"/>
      <c r="DZ174" s="535"/>
      <c r="EA174" s="535"/>
      <c r="EB174" s="535"/>
      <c r="EC174" s="1134"/>
      <c r="ED174" s="535"/>
      <c r="EE174" s="535"/>
      <c r="EF174" s="535"/>
      <c r="EG174" s="535"/>
      <c r="EH174" s="535"/>
      <c r="EI174" s="1134"/>
      <c r="EJ174" s="535"/>
      <c r="EK174" s="535"/>
      <c r="EL174" s="535"/>
      <c r="EM174" s="535"/>
      <c r="EN174" s="535"/>
      <c r="EO174" s="1134"/>
      <c r="EP174" s="535"/>
      <c r="EQ174" s="535"/>
      <c r="ER174" s="535"/>
      <c r="ES174" s="535"/>
      <c r="ET174" s="535"/>
      <c r="EU174" s="1134"/>
    </row>
    <row r="175" spans="1:151" hidden="1" outlineLevel="2">
      <c r="A175" s="935" t="s">
        <v>4732</v>
      </c>
      <c r="B175" s="936"/>
      <c r="C175" s="937"/>
      <c r="D175" s="937"/>
      <c r="E175" s="937"/>
      <c r="F175" s="937"/>
      <c r="G175" s="937"/>
      <c r="H175" s="936"/>
      <c r="I175" s="938"/>
      <c r="J175" s="938"/>
      <c r="K175" s="938"/>
      <c r="L175" s="938"/>
      <c r="M175" s="937"/>
      <c r="N175" s="936"/>
      <c r="O175" s="938"/>
      <c r="P175" s="938"/>
      <c r="Q175" s="938"/>
      <c r="R175" s="938"/>
      <c r="S175" s="937"/>
      <c r="T175" s="936"/>
      <c r="U175" s="938"/>
      <c r="V175" s="938"/>
      <c r="W175" s="938"/>
      <c r="X175" s="938"/>
      <c r="Y175" s="937"/>
      <c r="Z175" s="936"/>
      <c r="AA175" s="938"/>
      <c r="AB175" s="938"/>
      <c r="AC175" s="938"/>
      <c r="AD175" s="938"/>
      <c r="AE175" s="937"/>
      <c r="AF175" s="936"/>
      <c r="AG175" s="938"/>
      <c r="AH175" s="938"/>
      <c r="AI175" s="938"/>
      <c r="AJ175" s="938"/>
      <c r="AK175" s="937"/>
      <c r="AL175" s="936"/>
      <c r="AM175" s="938"/>
      <c r="AN175" s="938"/>
      <c r="AO175" s="938"/>
      <c r="AP175" s="938"/>
      <c r="AQ175" s="937"/>
      <c r="AR175" s="936"/>
      <c r="AS175" s="938"/>
      <c r="AT175" s="938"/>
      <c r="AU175" s="938"/>
      <c r="AV175" s="938"/>
      <c r="AW175" s="937"/>
      <c r="AX175" s="936"/>
      <c r="AY175" s="915">
        <f>AY174/AS174-1</f>
        <v>-4.9484536082476049E-2</v>
      </c>
      <c r="AZ175" s="915">
        <f>AZ174/AT174-1</f>
        <v>0.35735735735736296</v>
      </c>
      <c r="BA175" s="915">
        <f>BA174/AU174-1</f>
        <v>0.17695473251028493</v>
      </c>
      <c r="BB175" s="915">
        <f>BB174/AV174-1</f>
        <v>0.11325301204818849</v>
      </c>
      <c r="BC175" s="915">
        <f>BC174/AW174-1</f>
        <v>0.13263525305409951</v>
      </c>
      <c r="BD175" s="936"/>
      <c r="BE175" s="915">
        <f>BE174/AY174-1</f>
        <v>0.79609544468547377</v>
      </c>
      <c r="BF175" s="915">
        <f>BF174/AZ174-1</f>
        <v>2.212389380530988E-2</v>
      </c>
      <c r="BG175" s="915">
        <f>BG174/BA174-1</f>
        <v>-2.0979020979025598E-2</v>
      </c>
      <c r="BH175" s="915">
        <f>BH174/BB174-1</f>
        <v>0.47835497835498808</v>
      </c>
      <c r="BI175" s="915">
        <f>BI174/BC174-1</f>
        <v>0.30097586029789625</v>
      </c>
      <c r="BJ175" s="936"/>
      <c r="BK175" s="915">
        <f>BK174/BE174-1</f>
        <v>-0.31038647342995429</v>
      </c>
      <c r="BL175" s="915">
        <f>BL174/BF174-1</f>
        <v>0.264069264069271</v>
      </c>
      <c r="BM175" s="915">
        <f>BM174/BG174-1</f>
        <v>0.23928571428570788</v>
      </c>
      <c r="BN175" s="915">
        <f>BN174/BH174-1</f>
        <v>-0.15373352855051203</v>
      </c>
      <c r="BO175" s="1131">
        <f>BO174/BI174-1</f>
        <v>-4.1847611527834006E-2</v>
      </c>
      <c r="BP175" s="936"/>
      <c r="BQ175" s="915">
        <f>BQ174/BK174-1</f>
        <v>-0.15936952714535768</v>
      </c>
      <c r="BR175" s="915">
        <f>BR174/BL174-1</f>
        <v>-0.12671232876712468</v>
      </c>
      <c r="BS175" s="915">
        <f>BS174/BM174-1</f>
        <v>-0.20749279538904486</v>
      </c>
      <c r="BT175" s="915">
        <f>BT174/BN174-1</f>
        <v>5.5363321799304588E-2</v>
      </c>
      <c r="BU175" s="1131">
        <f>BU174/BO174-1</f>
        <v>-0.11413267408322969</v>
      </c>
      <c r="BV175" s="936"/>
      <c r="BW175" s="915">
        <f>BW174/BQ174-1</f>
        <v>0</v>
      </c>
      <c r="BX175" s="915">
        <f>BX174/BR174-1</f>
        <v>0.15686274509803932</v>
      </c>
      <c r="BY175" s="915">
        <f>BY174/BS174-1</f>
        <v>0</v>
      </c>
      <c r="BZ175" s="915">
        <f>BZ174/BT174-1</f>
        <v>-1.6393442622950838E-2</v>
      </c>
      <c r="CA175" s="1131">
        <f>CA174/BU174-1</f>
        <v>3.2558139534883734E-2</v>
      </c>
      <c r="CB175" s="936"/>
      <c r="CC175" s="915"/>
      <c r="CD175" s="937"/>
      <c r="CE175" s="937"/>
      <c r="CF175" s="937"/>
      <c r="CG175" s="1187"/>
      <c r="CH175" s="936"/>
      <c r="CI175" s="915"/>
      <c r="CJ175" s="915"/>
      <c r="CK175" s="938"/>
      <c r="CL175" s="937"/>
      <c r="CM175" s="1187"/>
      <c r="CN175" s="936"/>
      <c r="CO175" s="937"/>
      <c r="CP175" s="937"/>
      <c r="CQ175" s="937"/>
      <c r="CR175" s="937"/>
      <c r="CS175" s="1187"/>
      <c r="CT175" s="937"/>
      <c r="CU175" s="937"/>
      <c r="CV175" s="937"/>
      <c r="CW175" s="937"/>
      <c r="CX175" s="937"/>
      <c r="CY175" s="1187"/>
      <c r="CZ175" s="937"/>
      <c r="DA175" s="937"/>
      <c r="DB175" s="937"/>
      <c r="DC175" s="937"/>
      <c r="DD175" s="937"/>
      <c r="DE175" s="1187"/>
      <c r="DF175" s="937"/>
      <c r="DG175" s="937"/>
      <c r="DH175" s="937"/>
      <c r="DI175" s="937"/>
      <c r="DJ175" s="937"/>
      <c r="DK175" s="1187"/>
      <c r="DL175" s="936"/>
      <c r="DM175" s="937"/>
      <c r="DN175" s="937"/>
      <c r="DO175" s="937"/>
      <c r="DP175" s="937"/>
      <c r="DQ175" s="1187"/>
      <c r="DR175" s="535"/>
      <c r="DS175" s="937"/>
      <c r="DT175" s="937"/>
      <c r="DU175" s="937"/>
      <c r="DV175" s="937"/>
      <c r="DW175" s="1187"/>
      <c r="DX175" s="535"/>
      <c r="DY175" s="937"/>
      <c r="DZ175" s="937"/>
      <c r="EA175" s="937"/>
      <c r="EB175" s="937"/>
      <c r="EC175" s="1187"/>
      <c r="ED175" s="535"/>
      <c r="EE175" s="937"/>
      <c r="EF175" s="937"/>
      <c r="EG175" s="937"/>
      <c r="EH175" s="937"/>
      <c r="EI175" s="1187"/>
      <c r="EJ175" s="535"/>
      <c r="EK175" s="937"/>
      <c r="EL175" s="937"/>
      <c r="EM175" s="937"/>
      <c r="EN175" s="937"/>
      <c r="EO175" s="1187"/>
      <c r="EP175" s="535"/>
      <c r="EQ175" s="937"/>
      <c r="ER175" s="937"/>
      <c r="ES175" s="937"/>
      <c r="ET175" s="937"/>
      <c r="EU175" s="1187"/>
    </row>
    <row r="176" spans="1:151" hidden="1" outlineLevel="3">
      <c r="A176" s="541"/>
      <c r="B176" s="61"/>
      <c r="C176" s="339"/>
      <c r="D176" s="339"/>
      <c r="E176" s="339"/>
      <c r="F176" s="339"/>
      <c r="G176" s="339"/>
      <c r="H176" s="61"/>
      <c r="I176" s="423"/>
      <c r="J176" s="423"/>
      <c r="K176" s="423"/>
      <c r="L176" s="423"/>
      <c r="M176" s="339"/>
      <c r="N176" s="61"/>
      <c r="O176" s="423"/>
      <c r="P176" s="423"/>
      <c r="Q176" s="423"/>
      <c r="R176" s="423"/>
      <c r="S176" s="339"/>
      <c r="T176" s="61"/>
      <c r="U176" s="423"/>
      <c r="V176" s="423"/>
      <c r="W176" s="423"/>
      <c r="X176" s="423"/>
      <c r="Y176" s="339"/>
      <c r="Z176" s="61"/>
      <c r="AA176" s="423"/>
      <c r="AB176" s="423"/>
      <c r="AC176" s="423"/>
      <c r="AD176" s="423"/>
      <c r="AE176" s="339"/>
      <c r="AF176" s="61"/>
      <c r="AG176" s="423"/>
      <c r="AH176" s="423"/>
      <c r="AI176" s="423"/>
      <c r="AJ176" s="423"/>
      <c r="AK176" s="339"/>
      <c r="AL176" s="61"/>
      <c r="AM176" s="423"/>
      <c r="AN176" s="423"/>
      <c r="AO176" s="423"/>
      <c r="AP176" s="423"/>
      <c r="AQ176" s="339"/>
      <c r="AR176" s="61"/>
      <c r="AS176" s="423"/>
      <c r="AT176" s="423"/>
      <c r="AU176" s="423"/>
      <c r="AV176" s="423"/>
      <c r="AW176" s="339"/>
      <c r="AX176" s="61"/>
      <c r="AY176" s="291"/>
      <c r="AZ176" s="291"/>
      <c r="BA176" s="291"/>
      <c r="BB176" s="291"/>
      <c r="BC176" s="291"/>
      <c r="BD176" s="270"/>
      <c r="BE176" s="291"/>
      <c r="BF176" s="291"/>
      <c r="BG176" s="291"/>
      <c r="BH176" s="291"/>
      <c r="BI176" s="291"/>
      <c r="BJ176" s="270"/>
      <c r="BK176" s="291"/>
      <c r="BL176" s="291"/>
      <c r="BM176" s="291"/>
      <c r="BN176" s="291"/>
      <c r="BO176" s="1132"/>
      <c r="BP176" s="270"/>
      <c r="BQ176" s="291"/>
      <c r="BR176" s="291"/>
      <c r="BS176" s="291"/>
      <c r="BT176" s="291"/>
      <c r="BU176" s="1132"/>
      <c r="BV176" s="270"/>
      <c r="BW176" s="291"/>
      <c r="BX176" s="339"/>
      <c r="BY176" s="339"/>
      <c r="BZ176" s="339"/>
      <c r="CA176" s="1134"/>
      <c r="CB176" s="270"/>
      <c r="CC176" s="291"/>
      <c r="CD176" s="339"/>
      <c r="CE176" s="339"/>
      <c r="CF176" s="339"/>
      <c r="CG176" s="1134"/>
      <c r="CH176" s="270"/>
      <c r="CI176" s="291"/>
      <c r="CJ176" s="291"/>
      <c r="CK176" s="423"/>
      <c r="CL176" s="339"/>
      <c r="CM176" s="1134"/>
      <c r="CN176" s="270"/>
      <c r="CO176" s="339"/>
      <c r="CP176" s="339"/>
      <c r="CQ176" s="339"/>
      <c r="CR176" s="339"/>
      <c r="CS176" s="1134"/>
      <c r="CT176" s="535"/>
      <c r="CU176" s="339"/>
      <c r="CV176" s="339"/>
      <c r="CW176" s="339"/>
      <c r="CX176" s="339"/>
      <c r="CY176" s="1134"/>
      <c r="CZ176" s="535"/>
      <c r="DA176" s="339"/>
      <c r="DB176" s="339"/>
      <c r="DC176" s="339"/>
      <c r="DD176" s="339"/>
      <c r="DE176" s="1134"/>
      <c r="DF176" s="535"/>
      <c r="DG176" s="339"/>
      <c r="DH176" s="339"/>
      <c r="DI176" s="339"/>
      <c r="DJ176" s="339"/>
      <c r="DK176" s="1134"/>
      <c r="DL176" s="270"/>
      <c r="DM176" s="339"/>
      <c r="DN176" s="339"/>
      <c r="DO176" s="339"/>
      <c r="DP176" s="339"/>
      <c r="DQ176" s="1134"/>
      <c r="DR176" s="535"/>
      <c r="DS176" s="339"/>
      <c r="DT176" s="339"/>
      <c r="DU176" s="339"/>
      <c r="DV176" s="339"/>
      <c r="DW176" s="1134"/>
      <c r="DX176" s="535"/>
      <c r="DY176" s="339"/>
      <c r="DZ176" s="339"/>
      <c r="EA176" s="339"/>
      <c r="EB176" s="339"/>
      <c r="EC176" s="1134"/>
      <c r="ED176" s="535"/>
      <c r="EE176" s="339"/>
      <c r="EF176" s="339"/>
      <c r="EG176" s="339"/>
      <c r="EH176" s="339"/>
      <c r="EI176" s="1134"/>
      <c r="EJ176" s="535"/>
      <c r="EK176" s="339"/>
      <c r="EL176" s="339"/>
      <c r="EM176" s="339"/>
      <c r="EN176" s="339"/>
      <c r="EO176" s="1134"/>
      <c r="EP176" s="535"/>
      <c r="EQ176" s="339"/>
      <c r="ER176" s="339"/>
      <c r="ES176" s="339"/>
      <c r="ET176" s="339"/>
      <c r="EU176" s="1134"/>
    </row>
    <row r="177" spans="1:203" hidden="1" outlineLevel="3">
      <c r="A177" s="330" t="s">
        <v>3802</v>
      </c>
      <c r="B177" s="61"/>
      <c r="C177" s="62"/>
      <c r="D177" s="62"/>
      <c r="E177" s="62"/>
      <c r="F177" s="62"/>
      <c r="G177" s="62"/>
      <c r="H177" s="61"/>
      <c r="I177" s="62"/>
      <c r="J177" s="62"/>
      <c r="K177" s="62"/>
      <c r="L177" s="62"/>
      <c r="M177" s="62"/>
      <c r="N177" s="61"/>
      <c r="O177" s="62"/>
      <c r="P177" s="62"/>
      <c r="Q177" s="62"/>
      <c r="R177" s="62"/>
      <c r="S177" s="62"/>
      <c r="T177" s="61"/>
      <c r="U177" s="62"/>
      <c r="V177" s="62"/>
      <c r="W177" s="62"/>
      <c r="X177" s="62"/>
      <c r="Y177" s="62"/>
      <c r="Z177" s="61"/>
      <c r="AA177" s="62"/>
      <c r="AB177" s="62"/>
      <c r="AC177" s="62"/>
      <c r="AD177" s="62"/>
      <c r="AE177" s="62"/>
      <c r="AF177" s="61"/>
      <c r="AG177" s="339"/>
      <c r="AH177" s="339"/>
      <c r="AI177" s="339"/>
      <c r="AJ177" s="339"/>
      <c r="AK177" s="542"/>
      <c r="AL177" s="61"/>
      <c r="AM177" s="339"/>
      <c r="AN177" s="339"/>
      <c r="AO177" s="339"/>
      <c r="AP177" s="339"/>
      <c r="AQ177" s="339">
        <v>2291.3000000000002</v>
      </c>
      <c r="AR177" s="61"/>
      <c r="AS177" s="339"/>
      <c r="AT177" s="339"/>
      <c r="AU177" s="339"/>
      <c r="AV177" s="339"/>
      <c r="AW177" s="339">
        <v>2368</v>
      </c>
      <c r="AX177" s="61"/>
      <c r="AY177" s="423"/>
      <c r="AZ177" s="423"/>
      <c r="BA177" s="423"/>
      <c r="BB177" s="423"/>
      <c r="BC177" s="423">
        <v>2490</v>
      </c>
      <c r="BD177" s="270"/>
      <c r="BE177" s="62"/>
      <c r="BF177" s="423"/>
      <c r="BG177" s="116"/>
      <c r="BH177" s="423"/>
      <c r="BI177" s="423">
        <v>2646.8</v>
      </c>
      <c r="BJ177" s="270"/>
      <c r="BK177" s="339"/>
      <c r="BL177" s="339"/>
      <c r="BM177" s="339"/>
      <c r="BN177" s="339"/>
      <c r="BO177" s="1134">
        <v>2758</v>
      </c>
      <c r="BP177" s="270"/>
      <c r="BQ177" s="339"/>
      <c r="BR177" s="339"/>
      <c r="BS177" s="339"/>
      <c r="BT177" s="339"/>
      <c r="BU177" s="1134">
        <v>2857</v>
      </c>
      <c r="BV177" s="270"/>
      <c r="BW177" s="339"/>
      <c r="BX177" s="339"/>
      <c r="BY177" s="339"/>
      <c r="BZ177" s="339"/>
      <c r="CA177" s="1134">
        <v>2980</v>
      </c>
      <c r="CB177" s="270"/>
      <c r="CC177" s="339"/>
      <c r="CD177" s="339"/>
      <c r="CE177" s="339"/>
      <c r="CF177" s="339"/>
      <c r="CG177" s="1134"/>
      <c r="CH177" s="270"/>
      <c r="CI177" s="339"/>
      <c r="CJ177" s="339"/>
      <c r="CK177" s="423"/>
      <c r="CL177" s="339"/>
      <c r="CM177" s="1134"/>
      <c r="CN177" s="270"/>
      <c r="CO177" s="339"/>
      <c r="CP177" s="339"/>
      <c r="CQ177" s="339"/>
      <c r="CR177" s="339"/>
      <c r="CS177" s="1134"/>
      <c r="CT177" s="535"/>
      <c r="CU177" s="339"/>
      <c r="CV177" s="339"/>
      <c r="CW177" s="339"/>
      <c r="CX177" s="339"/>
      <c r="CY177" s="1134"/>
      <c r="CZ177" s="535"/>
      <c r="DA177" s="339"/>
      <c r="DB177" s="339"/>
      <c r="DC177" s="339"/>
      <c r="DD177" s="339"/>
      <c r="DE177" s="1134"/>
      <c r="DF177" s="535"/>
      <c r="DG177" s="339"/>
      <c r="DH177" s="339"/>
      <c r="DI177" s="339"/>
      <c r="DJ177" s="339"/>
      <c r="DK177" s="1134"/>
      <c r="DL177" s="270"/>
      <c r="DM177" s="339"/>
      <c r="DN177" s="339"/>
      <c r="DO177" s="339"/>
      <c r="DP177" s="339"/>
      <c r="DQ177" s="1134"/>
      <c r="DR177" s="535"/>
      <c r="DS177" s="339"/>
      <c r="DT177" s="339"/>
      <c r="DU177" s="339"/>
      <c r="DV177" s="339"/>
      <c r="DW177" s="1134"/>
      <c r="DX177" s="535"/>
      <c r="DY177" s="339"/>
      <c r="DZ177" s="339"/>
      <c r="EA177" s="339"/>
      <c r="EB177" s="339"/>
      <c r="EC177" s="1134"/>
      <c r="ED177" s="535"/>
      <c r="EE177" s="339"/>
      <c r="EF177" s="339"/>
      <c r="EG177" s="339"/>
      <c r="EH177" s="339"/>
      <c r="EI177" s="1134"/>
      <c r="EJ177" s="535"/>
      <c r="EK177" s="339"/>
      <c r="EL177" s="339"/>
      <c r="EM177" s="339"/>
      <c r="EN177" s="339"/>
      <c r="EO177" s="1134"/>
      <c r="EP177" s="535"/>
      <c r="EQ177" s="339"/>
      <c r="ER177" s="339"/>
      <c r="ES177" s="339"/>
      <c r="ET177" s="339"/>
      <c r="EU177" s="1134"/>
    </row>
    <row r="178" spans="1:203" hidden="1" outlineLevel="3">
      <c r="A178" s="330"/>
      <c r="B178" s="61"/>
      <c r="C178" s="62"/>
      <c r="D178" s="62"/>
      <c r="E178" s="62"/>
      <c r="F178" s="62"/>
      <c r="G178" s="62"/>
      <c r="H178" s="61"/>
      <c r="I178" s="62"/>
      <c r="J178" s="62"/>
      <c r="K178" s="62"/>
      <c r="L178" s="62"/>
      <c r="M178" s="62"/>
      <c r="N178" s="61"/>
      <c r="O178" s="62"/>
      <c r="P178" s="62"/>
      <c r="Q178" s="62"/>
      <c r="R178" s="62"/>
      <c r="S178" s="62"/>
      <c r="T178" s="61"/>
      <c r="U178" s="62"/>
      <c r="V178" s="62"/>
      <c r="W178" s="62"/>
      <c r="X178" s="62"/>
      <c r="Y178" s="62"/>
      <c r="Z178" s="61"/>
      <c r="AA178" s="62"/>
      <c r="AB178" s="62"/>
      <c r="AC178" s="62"/>
      <c r="AD178" s="62"/>
      <c r="AE178" s="62"/>
      <c r="AF178" s="61"/>
      <c r="AG178" s="339"/>
      <c r="AH178" s="339"/>
      <c r="AI178" s="339"/>
      <c r="AJ178" s="339"/>
      <c r="AK178" s="542"/>
      <c r="AL178" s="61"/>
      <c r="AM178" s="339"/>
      <c r="AN178" s="339"/>
      <c r="AO178" s="339"/>
      <c r="AP178" s="339"/>
      <c r="AQ178" s="339"/>
      <c r="AR178" s="61"/>
      <c r="AS178" s="339"/>
      <c r="AT178" s="339"/>
      <c r="AU178" s="339"/>
      <c r="AV178" s="339"/>
      <c r="AW178" s="339"/>
      <c r="AX178" s="61"/>
      <c r="AY178" s="423"/>
      <c r="AZ178" s="423"/>
      <c r="BA178" s="423"/>
      <c r="BB178" s="423"/>
      <c r="BC178" s="423"/>
      <c r="BD178" s="270"/>
      <c r="BE178" s="62"/>
      <c r="BF178" s="423"/>
      <c r="BG178" s="116"/>
      <c r="BH178" s="423"/>
      <c r="BI178" s="423"/>
      <c r="BJ178" s="270"/>
      <c r="BK178" s="339"/>
      <c r="BL178" s="339"/>
      <c r="BM178" s="339"/>
      <c r="BN178" s="339"/>
      <c r="BO178" s="1134"/>
      <c r="BP178" s="270"/>
      <c r="BQ178" s="339"/>
      <c r="BR178" s="339"/>
      <c r="BS178" s="339"/>
      <c r="BT178" s="339"/>
      <c r="BU178" s="1134"/>
      <c r="BV178" s="270"/>
      <c r="BW178" s="339"/>
      <c r="BX178" s="339"/>
      <c r="BY178" s="339"/>
      <c r="BZ178" s="339"/>
      <c r="CA178" s="1134"/>
      <c r="CB178" s="270"/>
      <c r="CC178" s="339"/>
      <c r="CD178" s="339"/>
      <c r="CE178" s="339"/>
      <c r="CF178" s="339"/>
      <c r="CG178" s="1134"/>
      <c r="CH178" s="270"/>
      <c r="CI178" s="339"/>
      <c r="CJ178" s="339"/>
      <c r="CK178" s="423"/>
      <c r="CL178" s="339"/>
      <c r="CM178" s="1134"/>
      <c r="CN178" s="270"/>
      <c r="CO178" s="339"/>
      <c r="CP178" s="339"/>
      <c r="CQ178" s="339"/>
      <c r="CR178" s="339"/>
      <c r="CS178" s="1134"/>
      <c r="CT178" s="535"/>
      <c r="CU178" s="339"/>
      <c r="CV178" s="339"/>
      <c r="CW178" s="339"/>
      <c r="CX178" s="339"/>
      <c r="CY178" s="1134"/>
      <c r="CZ178" s="535"/>
      <c r="DA178" s="339"/>
      <c r="DB178" s="339"/>
      <c r="DC178" s="339"/>
      <c r="DD178" s="339"/>
      <c r="DE178" s="1134"/>
      <c r="DF178" s="535"/>
      <c r="DG178" s="339"/>
      <c r="DH178" s="339"/>
      <c r="DI178" s="339"/>
      <c r="DJ178" s="339"/>
      <c r="DK178" s="1134"/>
      <c r="DL178" s="270"/>
      <c r="DM178" s="339"/>
      <c r="DN178" s="339"/>
      <c r="DO178" s="339"/>
      <c r="DP178" s="339"/>
      <c r="DQ178" s="1134"/>
      <c r="DR178" s="535"/>
      <c r="DS178" s="339"/>
      <c r="DT178" s="339"/>
      <c r="DU178" s="339"/>
      <c r="DV178" s="339"/>
      <c r="DW178" s="1134"/>
      <c r="DX178" s="535"/>
      <c r="DY178" s="339"/>
      <c r="DZ178" s="339"/>
      <c r="EA178" s="339"/>
      <c r="EB178" s="339"/>
      <c r="EC178" s="1134"/>
      <c r="ED178" s="535"/>
      <c r="EE178" s="339"/>
      <c r="EF178" s="339"/>
      <c r="EG178" s="339"/>
      <c r="EH178" s="339"/>
      <c r="EI178" s="1134"/>
      <c r="EJ178" s="535"/>
      <c r="EK178" s="339"/>
      <c r="EL178" s="339"/>
      <c r="EM178" s="339"/>
      <c r="EN178" s="339"/>
      <c r="EO178" s="1134"/>
      <c r="EP178" s="535"/>
      <c r="EQ178" s="339"/>
      <c r="ER178" s="339"/>
      <c r="ES178" s="339"/>
      <c r="ET178" s="339"/>
      <c r="EU178" s="1134"/>
    </row>
    <row r="179" spans="1:203" hidden="1" outlineLevel="3">
      <c r="A179" s="330" t="s">
        <v>666</v>
      </c>
      <c r="B179" s="61"/>
      <c r="C179" s="62"/>
      <c r="D179" s="62"/>
      <c r="E179" s="62"/>
      <c r="F179" s="62"/>
      <c r="G179" s="62"/>
      <c r="H179" s="61"/>
      <c r="I179" s="62"/>
      <c r="J179" s="62"/>
      <c r="K179" s="62"/>
      <c r="L179" s="62"/>
      <c r="M179" s="62"/>
      <c r="N179" s="61"/>
      <c r="O179" s="62"/>
      <c r="P179" s="62"/>
      <c r="Q179" s="62"/>
      <c r="R179" s="62"/>
      <c r="S179" s="62"/>
      <c r="T179" s="61"/>
      <c r="U179" s="62"/>
      <c r="V179" s="62"/>
      <c r="W179" s="62"/>
      <c r="X179" s="62"/>
      <c r="Y179" s="62"/>
      <c r="Z179" s="61"/>
      <c r="AA179" s="62"/>
      <c r="AB179" s="62"/>
      <c r="AC179" s="62"/>
      <c r="AD179" s="62"/>
      <c r="AE179" s="62"/>
      <c r="AF179" s="61"/>
      <c r="AG179" s="339"/>
      <c r="AH179" s="339"/>
      <c r="AI179" s="339"/>
      <c r="AJ179" s="339"/>
      <c r="AK179" s="542"/>
      <c r="AL179" s="61"/>
      <c r="AM179" s="339"/>
      <c r="AN179" s="339"/>
      <c r="AO179" s="339"/>
      <c r="AP179" s="339"/>
      <c r="AQ179" s="339"/>
      <c r="AR179" s="61"/>
      <c r="AS179" s="339"/>
      <c r="AT179" s="339"/>
      <c r="AU179" s="339"/>
      <c r="AV179" s="339"/>
      <c r="AW179" s="339"/>
      <c r="AX179" s="61"/>
      <c r="AY179" s="423"/>
      <c r="AZ179" s="423"/>
      <c r="BA179" s="423"/>
      <c r="BB179" s="423"/>
      <c r="BC179" s="423"/>
      <c r="BD179" s="270"/>
      <c r="BE179" s="62"/>
      <c r="BF179" s="423"/>
      <c r="BG179" s="116"/>
      <c r="BH179" s="423"/>
      <c r="BI179" s="423"/>
      <c r="BJ179" s="270"/>
      <c r="BK179" s="339"/>
      <c r="BL179" s="339"/>
      <c r="BM179" s="339"/>
      <c r="BN179" s="339"/>
      <c r="BO179" s="1134"/>
      <c r="BP179" s="270"/>
      <c r="BQ179" s="339"/>
      <c r="BR179" s="339"/>
      <c r="BS179" s="159">
        <v>0</v>
      </c>
      <c r="BT179" s="159">
        <v>0.09</v>
      </c>
      <c r="BU179" s="1134"/>
      <c r="BV179" s="270"/>
      <c r="BW179" s="159">
        <v>0.03</v>
      </c>
      <c r="BX179" s="159">
        <v>0.12</v>
      </c>
      <c r="BY179" s="159">
        <v>0.1</v>
      </c>
      <c r="BZ179" s="339"/>
      <c r="CA179" s="1134"/>
      <c r="CB179" s="270"/>
      <c r="CC179" s="159"/>
      <c r="CD179" s="339"/>
      <c r="CE179" s="339"/>
      <c r="CF179" s="339"/>
      <c r="CG179" s="1134"/>
      <c r="CH179" s="270"/>
      <c r="CI179" s="159"/>
      <c r="CJ179" s="159"/>
      <c r="CK179" s="423"/>
      <c r="CL179" s="339"/>
      <c r="CM179" s="1134"/>
      <c r="CN179" s="270"/>
      <c r="CO179" s="339"/>
      <c r="CP179" s="339"/>
      <c r="CQ179" s="339"/>
      <c r="CR179" s="339"/>
      <c r="CS179" s="1134"/>
      <c r="CT179" s="535"/>
      <c r="CU179" s="339"/>
      <c r="CV179" s="339"/>
      <c r="CW179" s="339"/>
      <c r="CX179" s="339"/>
      <c r="CY179" s="1134"/>
      <c r="CZ179" s="535"/>
      <c r="DA179" s="339"/>
      <c r="DB179" s="339"/>
      <c r="DC179" s="339"/>
      <c r="DD179" s="339"/>
      <c r="DE179" s="1134"/>
      <c r="DF179" s="535"/>
      <c r="DG179" s="339"/>
      <c r="DH179" s="339"/>
      <c r="DI179" s="339"/>
      <c r="DJ179" s="339"/>
      <c r="DK179" s="1134"/>
      <c r="DL179" s="270"/>
      <c r="DM179" s="339"/>
      <c r="DN179" s="339"/>
      <c r="DO179" s="339"/>
      <c r="DP179" s="339"/>
      <c r="DQ179" s="1134"/>
      <c r="DR179" s="535"/>
      <c r="DS179" s="339"/>
      <c r="DT179" s="339"/>
      <c r="DU179" s="339"/>
      <c r="DV179" s="339"/>
      <c r="DW179" s="1134"/>
      <c r="DX179" s="535"/>
      <c r="DY179" s="339"/>
      <c r="DZ179" s="339"/>
      <c r="EA179" s="339"/>
      <c r="EB179" s="339"/>
      <c r="EC179" s="1134"/>
      <c r="ED179" s="535"/>
      <c r="EE179" s="339"/>
      <c r="EF179" s="339"/>
      <c r="EG179" s="339"/>
      <c r="EH179" s="339"/>
      <c r="EI179" s="1134"/>
      <c r="EJ179" s="535"/>
      <c r="EK179" s="339"/>
      <c r="EL179" s="339"/>
      <c r="EM179" s="339"/>
      <c r="EN179" s="339"/>
      <c r="EO179" s="1134"/>
      <c r="EP179" s="535"/>
      <c r="EQ179" s="339"/>
      <c r="ER179" s="339"/>
      <c r="ES179" s="339"/>
      <c r="ET179" s="339"/>
      <c r="EU179" s="1134"/>
    </row>
    <row r="180" spans="1:203" hidden="1" outlineLevel="3">
      <c r="A180" s="330" t="s">
        <v>667</v>
      </c>
      <c r="B180" s="61"/>
      <c r="C180" s="62"/>
      <c r="D180" s="62"/>
      <c r="E180" s="62"/>
      <c r="F180" s="62"/>
      <c r="G180" s="62"/>
      <c r="H180" s="61"/>
      <c r="I180" s="62"/>
      <c r="J180" s="62"/>
      <c r="K180" s="62"/>
      <c r="L180" s="62"/>
      <c r="M180" s="62"/>
      <c r="N180" s="61"/>
      <c r="O180" s="62"/>
      <c r="P180" s="62"/>
      <c r="Q180" s="62"/>
      <c r="R180" s="62"/>
      <c r="S180" s="62"/>
      <c r="T180" s="61"/>
      <c r="U180" s="62"/>
      <c r="V180" s="62"/>
      <c r="W180" s="62"/>
      <c r="X180" s="62"/>
      <c r="Y180" s="62"/>
      <c r="Z180" s="61"/>
      <c r="AA180" s="62"/>
      <c r="AB180" s="62"/>
      <c r="AC180" s="62"/>
      <c r="AD180" s="62"/>
      <c r="AE180" s="62"/>
      <c r="AF180" s="61"/>
      <c r="AG180" s="339"/>
      <c r="AH180" s="339"/>
      <c r="AI180" s="339"/>
      <c r="AJ180" s="339"/>
      <c r="AK180" s="542"/>
      <c r="AL180" s="61"/>
      <c r="AM180" s="339"/>
      <c r="AN180" s="339"/>
      <c r="AO180" s="339"/>
      <c r="AP180" s="339"/>
      <c r="AQ180" s="339"/>
      <c r="AR180" s="61"/>
      <c r="AS180" s="339"/>
      <c r="AT180" s="339"/>
      <c r="AU180" s="339"/>
      <c r="AV180" s="339"/>
      <c r="AW180" s="339"/>
      <c r="AX180" s="61"/>
      <c r="AY180" s="423"/>
      <c r="AZ180" s="423"/>
      <c r="BA180" s="423"/>
      <c r="BB180" s="423"/>
      <c r="BC180" s="423"/>
      <c r="BD180" s="270"/>
      <c r="BE180" s="62"/>
      <c r="BF180" s="423"/>
      <c r="BG180" s="116"/>
      <c r="BH180" s="423"/>
      <c r="BI180" s="423"/>
      <c r="BJ180" s="270"/>
      <c r="BK180" s="339"/>
      <c r="BL180" s="339"/>
      <c r="BM180" s="339"/>
      <c r="BN180" s="339"/>
      <c r="BO180" s="1134"/>
      <c r="BP180" s="270"/>
      <c r="BQ180" s="339"/>
      <c r="BR180" s="339"/>
      <c r="BS180" s="159">
        <v>0.35</v>
      </c>
      <c r="BT180" s="159">
        <v>0.33</v>
      </c>
      <c r="BU180" s="1134"/>
      <c r="BV180" s="270"/>
      <c r="BW180" s="159">
        <v>0.28000000000000003</v>
      </c>
      <c r="BX180" s="159">
        <v>0.06</v>
      </c>
      <c r="BY180" s="159">
        <v>0.12</v>
      </c>
      <c r="BZ180" s="339"/>
      <c r="CA180" s="1134"/>
      <c r="CB180" s="270"/>
      <c r="CC180" s="159"/>
      <c r="CD180" s="339"/>
      <c r="CE180" s="339"/>
      <c r="CF180" s="339"/>
      <c r="CG180" s="1134"/>
      <c r="CH180" s="270"/>
      <c r="CI180" s="159"/>
      <c r="CJ180" s="159"/>
      <c r="CK180" s="423"/>
      <c r="CL180" s="339"/>
      <c r="CM180" s="1134"/>
      <c r="CN180" s="270"/>
      <c r="CO180" s="159">
        <v>0.25</v>
      </c>
      <c r="CP180" s="339"/>
      <c r="CQ180" s="339"/>
      <c r="CR180" s="339"/>
      <c r="CS180" s="1134"/>
      <c r="CT180" s="535"/>
      <c r="CU180" s="339"/>
      <c r="CV180" s="339"/>
      <c r="CW180" s="339"/>
      <c r="CX180" s="339"/>
      <c r="CY180" s="1134"/>
      <c r="CZ180" s="535"/>
      <c r="DA180" s="339"/>
      <c r="DB180" s="339"/>
      <c r="DC180" s="339"/>
      <c r="DD180" s="339"/>
      <c r="DE180" s="1134"/>
      <c r="DF180" s="535"/>
      <c r="DG180" s="339"/>
      <c r="DH180" s="339"/>
      <c r="DI180" s="339"/>
      <c r="DJ180" s="339"/>
      <c r="DK180" s="1134"/>
      <c r="DL180" s="270"/>
      <c r="DM180" s="339"/>
      <c r="DN180" s="339"/>
      <c r="DO180" s="339"/>
      <c r="DP180" s="339"/>
      <c r="DQ180" s="1134"/>
      <c r="DR180" s="535"/>
      <c r="DS180" s="339"/>
      <c r="DT180" s="339"/>
      <c r="DU180" s="339"/>
      <c r="DV180" s="339"/>
      <c r="DW180" s="1134"/>
      <c r="DX180" s="535"/>
      <c r="DY180" s="339"/>
      <c r="DZ180" s="339"/>
      <c r="EA180" s="339"/>
      <c r="EB180" s="339"/>
      <c r="EC180" s="1134"/>
      <c r="ED180" s="535"/>
      <c r="EE180" s="339"/>
      <c r="EF180" s="339"/>
      <c r="EG180" s="339"/>
      <c r="EH180" s="339"/>
      <c r="EI180" s="1134"/>
      <c r="EJ180" s="535"/>
      <c r="EK180" s="339"/>
      <c r="EL180" s="339"/>
      <c r="EM180" s="339"/>
      <c r="EN180" s="339"/>
      <c r="EO180" s="1134"/>
      <c r="EP180" s="535"/>
      <c r="EQ180" s="339"/>
      <c r="ER180" s="339"/>
      <c r="ES180" s="339"/>
      <c r="ET180" s="339"/>
      <c r="EU180" s="1134"/>
    </row>
    <row r="181" spans="1:203" hidden="1" outlineLevel="3">
      <c r="A181" s="330" t="s">
        <v>671</v>
      </c>
      <c r="B181" s="61"/>
      <c r="C181" s="62"/>
      <c r="D181" s="62"/>
      <c r="E181" s="62"/>
      <c r="F181" s="62"/>
      <c r="G181" s="62"/>
      <c r="H181" s="61"/>
      <c r="I181" s="62"/>
      <c r="J181" s="62"/>
      <c r="K181" s="62"/>
      <c r="L181" s="62"/>
      <c r="M181" s="62"/>
      <c r="N181" s="61"/>
      <c r="O181" s="62"/>
      <c r="P181" s="62"/>
      <c r="Q181" s="62"/>
      <c r="R181" s="62"/>
      <c r="S181" s="62"/>
      <c r="T181" s="61"/>
      <c r="U181" s="62"/>
      <c r="V181" s="62"/>
      <c r="W181" s="62"/>
      <c r="X181" s="62"/>
      <c r="Y181" s="62"/>
      <c r="Z181" s="61"/>
      <c r="AA181" s="62"/>
      <c r="AB181" s="62"/>
      <c r="AC181" s="62"/>
      <c r="AD181" s="62"/>
      <c r="AE181" s="62"/>
      <c r="AF181" s="61"/>
      <c r="AG181" s="339"/>
      <c r="AH181" s="339"/>
      <c r="AI181" s="339"/>
      <c r="AJ181" s="339"/>
      <c r="AK181" s="542"/>
      <c r="AL181" s="61"/>
      <c r="AM181" s="339"/>
      <c r="AN181" s="339"/>
      <c r="AO181" s="339"/>
      <c r="AP181" s="339"/>
      <c r="AQ181" s="339"/>
      <c r="AR181" s="61"/>
      <c r="AS181" s="339"/>
      <c r="AT181" s="339"/>
      <c r="AU181" s="339"/>
      <c r="AV181" s="339"/>
      <c r="AW181" s="339"/>
      <c r="AX181" s="61"/>
      <c r="AY181" s="423"/>
      <c r="AZ181" s="423"/>
      <c r="BA181" s="423"/>
      <c r="BB181" s="423"/>
      <c r="BC181" s="423"/>
      <c r="BD181" s="270"/>
      <c r="BE181" s="62"/>
      <c r="BF181" s="423"/>
      <c r="BG181" s="116"/>
      <c r="BH181" s="423"/>
      <c r="BI181" s="423"/>
      <c r="BJ181" s="270"/>
      <c r="BK181" s="339"/>
      <c r="BL181" s="339"/>
      <c r="BM181" s="339"/>
      <c r="BN181" s="339"/>
      <c r="BO181" s="1134"/>
      <c r="BP181" s="270"/>
      <c r="BQ181" s="339"/>
      <c r="BR181" s="339"/>
      <c r="BS181" s="159">
        <v>0.16</v>
      </c>
      <c r="BT181" s="159">
        <v>0.14000000000000001</v>
      </c>
      <c r="BU181" s="1134"/>
      <c r="BV181" s="270"/>
      <c r="BW181" s="159">
        <v>0.14000000000000001</v>
      </c>
      <c r="BX181" s="339"/>
      <c r="BY181" s="339"/>
      <c r="BZ181" s="339"/>
      <c r="CA181" s="1134"/>
      <c r="CB181" s="270"/>
      <c r="CC181" s="159"/>
      <c r="CD181" s="339"/>
      <c r="CE181" s="339"/>
      <c r="CF181" s="339"/>
      <c r="CG181" s="1134"/>
      <c r="CH181" s="270"/>
      <c r="CI181" s="159"/>
      <c r="CJ181" s="159"/>
      <c r="CK181" s="423"/>
      <c r="CL181" s="339"/>
      <c r="CM181" s="1134"/>
      <c r="CN181" s="270"/>
      <c r="CO181" s="339"/>
      <c r="CP181" s="339"/>
      <c r="CQ181" s="339"/>
      <c r="CR181" s="339"/>
      <c r="CS181" s="1134"/>
      <c r="CT181" s="535"/>
      <c r="CU181" s="339"/>
      <c r="CV181" s="339"/>
      <c r="CW181" s="339"/>
      <c r="CX181" s="339"/>
      <c r="CY181" s="1134"/>
      <c r="CZ181" s="535"/>
      <c r="DA181" s="339"/>
      <c r="DB181" s="339"/>
      <c r="DC181" s="339"/>
      <c r="DD181" s="339"/>
      <c r="DE181" s="1134"/>
      <c r="DF181" s="535"/>
      <c r="DG181" s="339"/>
      <c r="DH181" s="339"/>
      <c r="DI181" s="339"/>
      <c r="DJ181" s="339"/>
      <c r="DK181" s="1134"/>
      <c r="DL181" s="270"/>
      <c r="DM181" s="339"/>
      <c r="DN181" s="339"/>
      <c r="DO181" s="339"/>
      <c r="DP181" s="339"/>
      <c r="DQ181" s="1134"/>
      <c r="DR181" s="535"/>
      <c r="DS181" s="339"/>
      <c r="DT181" s="339"/>
      <c r="DU181" s="339"/>
      <c r="DV181" s="339"/>
      <c r="DW181" s="1134"/>
      <c r="DX181" s="535"/>
      <c r="DY181" s="339"/>
      <c r="DZ181" s="339"/>
      <c r="EA181" s="339"/>
      <c r="EB181" s="339"/>
      <c r="EC181" s="1134"/>
      <c r="ED181" s="535"/>
      <c r="EE181" s="339"/>
      <c r="EF181" s="339"/>
      <c r="EG181" s="339"/>
      <c r="EH181" s="339"/>
      <c r="EI181" s="1134"/>
      <c r="EJ181" s="535"/>
      <c r="EK181" s="339"/>
      <c r="EL181" s="339"/>
      <c r="EM181" s="339"/>
      <c r="EN181" s="339"/>
      <c r="EO181" s="1134"/>
      <c r="EP181" s="535"/>
      <c r="EQ181" s="339"/>
      <c r="ER181" s="339"/>
      <c r="ES181" s="339"/>
      <c r="ET181" s="339"/>
      <c r="EU181" s="1134"/>
    </row>
    <row r="182" spans="1:203" hidden="1" outlineLevel="3">
      <c r="A182" s="330"/>
      <c r="B182" s="61"/>
      <c r="C182" s="62"/>
      <c r="D182" s="62"/>
      <c r="E182" s="62"/>
      <c r="F182" s="62"/>
      <c r="G182" s="62"/>
      <c r="H182" s="61"/>
      <c r="I182" s="62"/>
      <c r="J182" s="62"/>
      <c r="K182" s="62"/>
      <c r="L182" s="62"/>
      <c r="M182" s="62"/>
      <c r="N182" s="61"/>
      <c r="O182" s="62"/>
      <c r="P182" s="62"/>
      <c r="Q182" s="62"/>
      <c r="R182" s="62"/>
      <c r="S182" s="62"/>
      <c r="T182" s="61"/>
      <c r="U182" s="62"/>
      <c r="V182" s="62"/>
      <c r="W182" s="62"/>
      <c r="X182" s="62"/>
      <c r="Y182" s="62"/>
      <c r="Z182" s="61"/>
      <c r="AA182" s="62"/>
      <c r="AB182" s="62"/>
      <c r="AC182" s="62"/>
      <c r="AD182" s="62"/>
      <c r="AE182" s="62"/>
      <c r="AF182" s="61"/>
      <c r="AG182" s="339"/>
      <c r="AH182" s="339"/>
      <c r="AI182" s="339"/>
      <c r="AJ182" s="339"/>
      <c r="AK182" s="542"/>
      <c r="AL182" s="61"/>
      <c r="AM182" s="339"/>
      <c r="AN182" s="339"/>
      <c r="AO182" s="339"/>
      <c r="AP182" s="339"/>
      <c r="AQ182" s="339"/>
      <c r="AR182" s="61"/>
      <c r="AS182" s="339"/>
      <c r="AT182" s="339"/>
      <c r="AU182" s="339"/>
      <c r="AV182" s="339"/>
      <c r="AW182" s="339"/>
      <c r="AX182" s="61"/>
      <c r="AY182" s="423"/>
      <c r="AZ182" s="423"/>
      <c r="BA182" s="423"/>
      <c r="BB182" s="423"/>
      <c r="BC182" s="423"/>
      <c r="BD182" s="270"/>
      <c r="BE182" s="62"/>
      <c r="BF182" s="423"/>
      <c r="BG182" s="116"/>
      <c r="BH182" s="423"/>
      <c r="BI182" s="423"/>
      <c r="BJ182" s="270"/>
      <c r="BK182" s="339"/>
      <c r="BL182" s="339"/>
      <c r="BM182" s="339"/>
      <c r="BN182" s="339"/>
      <c r="BO182" s="1134"/>
      <c r="BP182" s="270"/>
      <c r="BQ182" s="339"/>
      <c r="BR182" s="339"/>
      <c r="BS182" s="339"/>
      <c r="BT182" s="339"/>
      <c r="BU182" s="1134"/>
      <c r="BV182" s="270"/>
      <c r="BW182" s="339"/>
      <c r="BX182" s="339"/>
      <c r="BY182" s="339"/>
      <c r="BZ182" s="339"/>
      <c r="CA182" s="1134"/>
      <c r="CB182" s="270"/>
      <c r="CC182" s="339"/>
      <c r="CD182" s="339"/>
      <c r="CE182" s="339"/>
      <c r="CF182" s="339"/>
      <c r="CG182" s="1134"/>
      <c r="CH182" s="270"/>
      <c r="CI182" s="339"/>
      <c r="CJ182" s="339"/>
      <c r="CK182" s="423"/>
      <c r="CL182" s="339"/>
      <c r="CM182" s="1134"/>
      <c r="CN182" s="270"/>
      <c r="CO182" s="339"/>
      <c r="CP182" s="339"/>
      <c r="CQ182" s="339"/>
      <c r="CR182" s="339"/>
      <c r="CS182" s="1134"/>
      <c r="CT182" s="535"/>
      <c r="CU182" s="339"/>
      <c r="CV182" s="339"/>
      <c r="CW182" s="339"/>
      <c r="CX182" s="339"/>
      <c r="CY182" s="1134"/>
      <c r="CZ182" s="535"/>
      <c r="DA182" s="339"/>
      <c r="DB182" s="339"/>
      <c r="DC182" s="339"/>
      <c r="DD182" s="339"/>
      <c r="DE182" s="1134"/>
      <c r="DF182" s="535"/>
      <c r="DG182" s="339"/>
      <c r="DH182" s="339"/>
      <c r="DI182" s="339"/>
      <c r="DJ182" s="339"/>
      <c r="DK182" s="1134"/>
      <c r="DL182" s="270"/>
      <c r="DM182" s="339"/>
      <c r="DN182" s="339"/>
      <c r="DO182" s="339"/>
      <c r="DP182" s="339"/>
      <c r="DQ182" s="1134"/>
      <c r="DR182" s="535"/>
      <c r="DS182" s="339"/>
      <c r="DT182" s="339"/>
      <c r="DU182" s="339"/>
      <c r="DV182" s="339"/>
      <c r="DW182" s="1134"/>
      <c r="DX182" s="535"/>
      <c r="DY182" s="339"/>
      <c r="DZ182" s="339"/>
      <c r="EA182" s="339"/>
      <c r="EB182" s="339"/>
      <c r="EC182" s="1134"/>
      <c r="ED182" s="535"/>
      <c r="EE182" s="339"/>
      <c r="EF182" s="339"/>
      <c r="EG182" s="339"/>
      <c r="EH182" s="339"/>
      <c r="EI182" s="1134"/>
      <c r="EJ182" s="535"/>
      <c r="EK182" s="339"/>
      <c r="EL182" s="339"/>
      <c r="EM182" s="339"/>
      <c r="EN182" s="339"/>
      <c r="EO182" s="1134"/>
      <c r="EP182" s="535"/>
      <c r="EQ182" s="339"/>
      <c r="ER182" s="339"/>
      <c r="ES182" s="339"/>
      <c r="ET182" s="339"/>
      <c r="EU182" s="1134"/>
    </row>
    <row r="183" spans="1:203" hidden="1" outlineLevel="3">
      <c r="A183" s="330" t="s">
        <v>5574</v>
      </c>
      <c r="B183" s="61"/>
      <c r="C183" s="62"/>
      <c r="D183" s="62"/>
      <c r="E183" s="62"/>
      <c r="F183" s="62"/>
      <c r="G183" s="62"/>
      <c r="H183" s="61"/>
      <c r="I183" s="62"/>
      <c r="J183" s="62"/>
      <c r="K183" s="62"/>
      <c r="L183" s="62"/>
      <c r="M183" s="62"/>
      <c r="N183" s="61"/>
      <c r="O183" s="62"/>
      <c r="P183" s="62"/>
      <c r="Q183" s="62"/>
      <c r="R183" s="62"/>
      <c r="S183" s="62"/>
      <c r="T183" s="61"/>
      <c r="U183" s="62"/>
      <c r="V183" s="62"/>
      <c r="W183" s="62"/>
      <c r="X183" s="62"/>
      <c r="Y183" s="62"/>
      <c r="Z183" s="61"/>
      <c r="AA183" s="62"/>
      <c r="AB183" s="62"/>
      <c r="AC183" s="62"/>
      <c r="AD183" s="62"/>
      <c r="AE183" s="62"/>
      <c r="AF183" s="61"/>
      <c r="AG183" s="339"/>
      <c r="AH183" s="339"/>
      <c r="AI183" s="339"/>
      <c r="AJ183" s="339"/>
      <c r="AK183" s="542"/>
      <c r="AL183" s="61"/>
      <c r="AM183" s="339"/>
      <c r="AN183" s="339"/>
      <c r="AO183" s="339"/>
      <c r="AP183" s="339"/>
      <c r="AQ183" s="339"/>
      <c r="AR183" s="61"/>
      <c r="AS183" s="986">
        <f>AS56-AS168-AS209</f>
        <v>64.970816410256418</v>
      </c>
      <c r="AT183" s="986">
        <f>AT56-AT168-AT209</f>
        <v>56.728650000000023</v>
      </c>
      <c r="AU183" s="986">
        <f>AU56-AU168-AU209</f>
        <v>64.521166666666659</v>
      </c>
      <c r="AV183" s="986">
        <f>AV56-AV168-AV209</f>
        <v>91.676940000000002</v>
      </c>
      <c r="AW183" s="986">
        <f>AW56-AW168-AW209</f>
        <v>277.89757307692309</v>
      </c>
      <c r="AX183" s="987"/>
      <c r="AY183" s="986">
        <f>AY56-AY168-AY209-AY187</f>
        <v>50.829999999999977</v>
      </c>
      <c r="AZ183" s="986">
        <f>AZ56-AZ168-AZ209-AZ187</f>
        <v>51.456000000000003</v>
      </c>
      <c r="BA183" s="986">
        <f>BA56-BA168-BA209-BA187</f>
        <v>57.174599999999955</v>
      </c>
      <c r="BB183" s="986">
        <f>BB56-BB168-BB209-BB187</f>
        <v>52.512999999999955</v>
      </c>
      <c r="BC183" s="986">
        <f>BC56-BC168-BC209</f>
        <v>335.39339999999982</v>
      </c>
      <c r="BD183" s="982"/>
      <c r="BE183" s="986">
        <f>BE56-BE168-BE209-BE187</f>
        <v>51.057000000000016</v>
      </c>
      <c r="BF183" s="986">
        <f>BF56-BF168-BF209-BF187</f>
        <v>53.750400000000049</v>
      </c>
      <c r="BG183" s="986">
        <f>BG56-BG168-BG209-BG187</f>
        <v>60.646000000000022</v>
      </c>
      <c r="BH183" s="986">
        <f>BH56-BH168-BH209-BH187</f>
        <v>65.245999999999967</v>
      </c>
      <c r="BI183" s="986">
        <f>BI56-BI168-BI209</f>
        <v>384.41940000000011</v>
      </c>
      <c r="BJ183" s="982"/>
      <c r="BK183" s="986">
        <f>BK56-BK168-BK209-BK187</f>
        <v>61.879999999999988</v>
      </c>
      <c r="BL183" s="986">
        <f>BL56-BL168-BL209-BL187</f>
        <v>64.888000000000019</v>
      </c>
      <c r="BM183" s="986">
        <f>BM56-BM168-BM209-BM187</f>
        <v>70.099999999999994</v>
      </c>
      <c r="BN183" s="986">
        <f>BN56-BN168-BN209-BN187</f>
        <v>77.13000000000001</v>
      </c>
      <c r="BO183" s="1135">
        <f>SUM(BK183:BN183)</f>
        <v>273.99799999999999</v>
      </c>
      <c r="BP183" s="982"/>
      <c r="BQ183" s="986">
        <f>BQ56-BQ168-BQ209-BQ187</f>
        <v>80.825199999999995</v>
      </c>
      <c r="BR183" s="986">
        <f>BR56-BR168-BR209-BR187</f>
        <v>79.308999999999941</v>
      </c>
      <c r="BS183" s="986">
        <f>BS56-BS168-BS209-BS187</f>
        <v>85.31</v>
      </c>
      <c r="BT183" s="986">
        <f>BT56-BT168-BT209-BT187</f>
        <v>97.710000000000008</v>
      </c>
      <c r="BU183" s="1135">
        <f>SUM(BQ183:BT183)</f>
        <v>343.15419999999995</v>
      </c>
      <c r="BV183" s="982"/>
      <c r="BW183" s="986">
        <f>BW56-BW168-BW209-BW187</f>
        <v>69.62400000000008</v>
      </c>
      <c r="BX183" s="986">
        <f>BX56-BX168-BX209-BX187</f>
        <v>93.030000000000015</v>
      </c>
      <c r="BY183" s="986">
        <f>BY56-BY168-BY209-BY187</f>
        <v>90.804999999999978</v>
      </c>
      <c r="BZ183" s="986">
        <f>BZ56-BZ168-BZ209-BZ187</f>
        <v>84.242000000000004</v>
      </c>
      <c r="CA183" s="1135">
        <f>SUM(BW183:BZ183)</f>
        <v>337.70100000000008</v>
      </c>
      <c r="CB183" s="270"/>
      <c r="CC183" s="986">
        <f>CC56-CC168-CC209-CC187</f>
        <v>63.612000000000002</v>
      </c>
      <c r="CD183" s="986">
        <f>CD56-CD168-CD209-CD187</f>
        <v>65.05</v>
      </c>
      <c r="CE183" s="986">
        <f>CE56-CE168-CE209-CE187</f>
        <v>60.420000000000009</v>
      </c>
      <c r="CF183" s="986">
        <f>CF56-CF168-CF209-CF187</f>
        <v>75.751999999999981</v>
      </c>
      <c r="CG183" s="1135">
        <f>SUM(CC183:CF183)</f>
        <v>264.834</v>
      </c>
      <c r="CH183" s="270"/>
      <c r="CI183" s="986">
        <f>CI56-CI168-CI209-CI187</f>
        <v>71.800000000000011</v>
      </c>
      <c r="CJ183" s="986">
        <f>CJ56-CJ168-CJ209-CJ187</f>
        <v>73.506</v>
      </c>
      <c r="CK183" s="1617">
        <f>CK56-CK168-CK209-CK187</f>
        <v>74.020000000000039</v>
      </c>
      <c r="CL183" s="1617">
        <f>CL56-CL168-CL209-CL187</f>
        <v>82.111999999999981</v>
      </c>
      <c r="CM183" s="1135">
        <f>SUM(CI183:CL183)</f>
        <v>301.43800000000005</v>
      </c>
      <c r="CN183" s="270"/>
      <c r="CO183" s="339"/>
      <c r="CP183" s="339"/>
      <c r="CQ183" s="339"/>
      <c r="CR183" s="339"/>
      <c r="CS183" s="1134"/>
      <c r="CT183" s="535"/>
      <c r="CU183" s="339"/>
      <c r="CV183" s="339"/>
      <c r="CW183" s="339"/>
      <c r="CX183" s="339"/>
      <c r="CY183" s="1134"/>
      <c r="CZ183" s="535"/>
      <c r="DA183" s="339"/>
      <c r="DB183" s="339"/>
      <c r="DC183" s="339"/>
      <c r="DD183" s="339"/>
      <c r="DE183" s="1134"/>
      <c r="DF183" s="535"/>
      <c r="DG183" s="339"/>
      <c r="DH183" s="339"/>
      <c r="DI183" s="339"/>
      <c r="DJ183" s="339"/>
      <c r="DK183" s="1134"/>
      <c r="DL183" s="270"/>
      <c r="DM183" s="339"/>
      <c r="DN183" s="339"/>
      <c r="DO183" s="339"/>
      <c r="DP183" s="339"/>
      <c r="DQ183" s="1134"/>
      <c r="DR183" s="535"/>
      <c r="DS183" s="339"/>
      <c r="DT183" s="339"/>
      <c r="DU183" s="339"/>
      <c r="DV183" s="339"/>
      <c r="DW183" s="1134"/>
      <c r="DX183" s="535"/>
      <c r="DY183" s="339"/>
      <c r="DZ183" s="339"/>
      <c r="EA183" s="339"/>
      <c r="EB183" s="339"/>
      <c r="EC183" s="1134"/>
      <c r="ED183" s="535"/>
      <c r="EE183" s="339"/>
      <c r="EF183" s="339"/>
      <c r="EG183" s="339"/>
      <c r="EH183" s="339"/>
      <c r="EI183" s="1134"/>
      <c r="EJ183" s="535"/>
      <c r="EK183" s="339"/>
      <c r="EL183" s="339"/>
      <c r="EM183" s="339"/>
      <c r="EN183" s="339"/>
      <c r="EO183" s="1134"/>
      <c r="EP183" s="535"/>
      <c r="EQ183" s="339"/>
      <c r="ER183" s="339"/>
      <c r="ES183" s="339"/>
      <c r="ET183" s="339"/>
      <c r="EU183" s="1134"/>
    </row>
    <row r="184" spans="1:203" hidden="1" outlineLevel="3">
      <c r="A184" s="330" t="s">
        <v>5578</v>
      </c>
      <c r="B184" s="61"/>
      <c r="C184" s="62"/>
      <c r="D184" s="62"/>
      <c r="E184" s="62"/>
      <c r="F184" s="62"/>
      <c r="G184" s="62"/>
      <c r="H184" s="61"/>
      <c r="I184" s="62"/>
      <c r="J184" s="62"/>
      <c r="K184" s="62"/>
      <c r="L184" s="62"/>
      <c r="M184" s="62"/>
      <c r="N184" s="61"/>
      <c r="O184" s="62"/>
      <c r="P184" s="62"/>
      <c r="Q184" s="62"/>
      <c r="R184" s="62"/>
      <c r="S184" s="62"/>
      <c r="T184" s="61"/>
      <c r="U184" s="62"/>
      <c r="V184" s="62"/>
      <c r="W184" s="62"/>
      <c r="X184" s="62"/>
      <c r="Y184" s="62"/>
      <c r="Z184" s="61"/>
      <c r="AA184" s="62"/>
      <c r="AB184" s="62"/>
      <c r="AC184" s="62"/>
      <c r="AD184" s="62"/>
      <c r="AE184" s="62"/>
      <c r="AF184" s="61"/>
      <c r="AG184" s="339"/>
      <c r="AH184" s="339"/>
      <c r="AI184" s="339"/>
      <c r="AJ184" s="339"/>
      <c r="AK184" s="542"/>
      <c r="AL184" s="61"/>
      <c r="AM184" s="339"/>
      <c r="AN184" s="339"/>
      <c r="AO184" s="339"/>
      <c r="AP184" s="339"/>
      <c r="AQ184" s="339"/>
      <c r="AR184" s="61"/>
      <c r="AS184" s="159">
        <f>AS183/AS90</f>
        <v>0.3082604234566127</v>
      </c>
      <c r="AT184" s="159">
        <f>AT183/AT90</f>
        <v>0.26796084173732332</v>
      </c>
      <c r="AU184" s="159">
        <f>AU183/AU90</f>
        <v>0.27589418831048507</v>
      </c>
      <c r="AV184" s="159">
        <f>AV183/AV90</f>
        <v>0.31044305983542714</v>
      </c>
      <c r="AW184" s="159">
        <f>AW183/AW90</f>
        <v>0.29201872243785021</v>
      </c>
      <c r="AX184" s="61"/>
      <c r="AY184" s="159">
        <f>AY183/AY90</f>
        <v>0.16994316282179864</v>
      </c>
      <c r="AZ184" s="159">
        <f>AZ183/AZ90</f>
        <v>0.18324786324786324</v>
      </c>
      <c r="BA184" s="159">
        <f>BA183/BA90</f>
        <v>0.18969674850696733</v>
      </c>
      <c r="BB184" s="159">
        <f>BB183/BB90</f>
        <v>0.14684843400447417</v>
      </c>
      <c r="BC184" s="159">
        <f>BC183/BC90</f>
        <v>0.27071870207442067</v>
      </c>
      <c r="BD184" s="270"/>
      <c r="BE184" s="159">
        <f>BE183/BE90</f>
        <v>0.1421804511278196</v>
      </c>
      <c r="BF184" s="159">
        <f>BF183/BF90</f>
        <v>0.14264968152866256</v>
      </c>
      <c r="BG184" s="159">
        <f>BG183/BG90</f>
        <v>0.15896723460026219</v>
      </c>
      <c r="BH184" s="159">
        <f>BH183/BH90</f>
        <v>0.15542162934730816</v>
      </c>
      <c r="BI184" s="159">
        <f>BI183/BI90</f>
        <v>0.25007767369242789</v>
      </c>
      <c r="BJ184" s="270"/>
      <c r="BK184" s="159">
        <f>BK183/BK90</f>
        <v>0.14192660550458713</v>
      </c>
      <c r="BL184" s="159">
        <f>BL183/BL90</f>
        <v>0.14432384341637014</v>
      </c>
      <c r="BM184" s="159">
        <f>BM183/BM90</f>
        <v>0.15339168490153171</v>
      </c>
      <c r="BN184" s="159">
        <f>BN183/BN90</f>
        <v>0.15519114688128774</v>
      </c>
      <c r="BO184" s="1136">
        <f>BO183/BO90</f>
        <v>0.14894433572515764</v>
      </c>
      <c r="BP184" s="270"/>
      <c r="BQ184" s="159">
        <f>BQ183/BQ90</f>
        <v>0.1589170271333071</v>
      </c>
      <c r="BR184" s="159">
        <f>BR183/BR90</f>
        <v>0.15080623692717232</v>
      </c>
      <c r="BS184" s="159">
        <f>BS183/BS90</f>
        <v>0.15827458256029686</v>
      </c>
      <c r="BT184" s="159">
        <f>BT183/BT90</f>
        <v>0.16312186978297163</v>
      </c>
      <c r="BU184" s="1136">
        <f>BU183/BU90</f>
        <v>0.15795360184119675</v>
      </c>
      <c r="BV184" s="270"/>
      <c r="BW184" s="159">
        <f>BW183/BW90</f>
        <v>0.11627254509018051</v>
      </c>
      <c r="BX184" s="159">
        <f>BX183/BX90</f>
        <v>0.15016949152542375</v>
      </c>
      <c r="BY184" s="159">
        <f>BY183/BY90</f>
        <v>0.1495717344753747</v>
      </c>
      <c r="BZ184" s="159">
        <f>BZ183/BZ90</f>
        <v>0.1719926500612495</v>
      </c>
      <c r="CA184" s="1136">
        <f>CA183/CA90</f>
        <v>0.14586256046993781</v>
      </c>
      <c r="CB184" s="270"/>
      <c r="CC184" s="159">
        <f>CC183/CC90</f>
        <v>0.14932394366197183</v>
      </c>
      <c r="CD184" s="159">
        <f>CD183/CD90</f>
        <v>0.15674698795180722</v>
      </c>
      <c r="CE184" s="159">
        <f>CE183/CE90</f>
        <v>0.14489208633093528</v>
      </c>
      <c r="CF184" s="159">
        <f>CF183/CF90</f>
        <v>0.16612280701754381</v>
      </c>
      <c r="CG184" s="1136">
        <f>CG183/CG90</f>
        <v>0.15450323785076717</v>
      </c>
      <c r="CH184" s="270"/>
      <c r="CI184" s="159">
        <f>CI183/CI90</f>
        <v>0.15115789473684213</v>
      </c>
      <c r="CJ184" s="159">
        <f>CJ183/CJ90</f>
        <v>0.15537095751426758</v>
      </c>
      <c r="CK184" s="116">
        <f>CK183/CK90</f>
        <v>0.15517819706498959</v>
      </c>
      <c r="CL184" s="116">
        <f>CL183/CL90</f>
        <v>0.15551515151515147</v>
      </c>
      <c r="CM184" s="1136">
        <f>CM183/CM90</f>
        <v>0.15500488507224766</v>
      </c>
      <c r="CN184" s="270"/>
      <c r="CO184" s="339"/>
      <c r="CP184" s="339"/>
      <c r="CQ184" s="339"/>
      <c r="CR184" s="339"/>
      <c r="CS184" s="1134"/>
      <c r="CT184" s="535"/>
      <c r="CU184" s="339"/>
      <c r="CV184" s="339"/>
      <c r="CW184" s="339"/>
      <c r="CX184" s="339"/>
      <c r="CY184" s="1134"/>
      <c r="CZ184" s="535"/>
      <c r="DA184" s="339"/>
      <c r="DB184" s="339"/>
      <c r="DC184" s="339"/>
      <c r="DD184" s="339"/>
      <c r="DE184" s="1134"/>
      <c r="DF184" s="535"/>
      <c r="DG184" s="339"/>
      <c r="DH184" s="339"/>
      <c r="DI184" s="339"/>
      <c r="DJ184" s="339"/>
      <c r="DK184" s="1134"/>
      <c r="DL184" s="270"/>
      <c r="DM184" s="339"/>
      <c r="DN184" s="339"/>
      <c r="DO184" s="339"/>
      <c r="DP184" s="339"/>
      <c r="DQ184" s="1134"/>
      <c r="DR184" s="535"/>
      <c r="DS184" s="339"/>
      <c r="DT184" s="339"/>
      <c r="DU184" s="339"/>
      <c r="DV184" s="339"/>
      <c r="DW184" s="1134"/>
      <c r="DX184" s="535"/>
      <c r="DY184" s="339"/>
      <c r="DZ184" s="339"/>
      <c r="EA184" s="339"/>
      <c r="EB184" s="339"/>
      <c r="EC184" s="1134"/>
      <c r="ED184" s="535"/>
      <c r="EE184" s="339"/>
      <c r="EF184" s="339"/>
      <c r="EG184" s="339"/>
      <c r="EH184" s="339"/>
      <c r="EI184" s="1134"/>
      <c r="EJ184" s="535"/>
      <c r="EK184" s="339"/>
      <c r="EL184" s="339"/>
      <c r="EM184" s="339"/>
      <c r="EN184" s="339"/>
      <c r="EO184" s="1134"/>
      <c r="EP184" s="535"/>
      <c r="EQ184" s="339"/>
      <c r="ER184" s="339"/>
      <c r="ES184" s="339"/>
      <c r="ET184" s="339"/>
      <c r="EU184" s="1134"/>
    </row>
    <row r="185" spans="1:203" hidden="1" outlineLevel="3">
      <c r="A185" s="330" t="s">
        <v>2242</v>
      </c>
      <c r="B185" s="61"/>
      <c r="C185" s="62"/>
      <c r="D185" s="62"/>
      <c r="E185" s="62"/>
      <c r="F185" s="62"/>
      <c r="G185" s="62"/>
      <c r="H185" s="61"/>
      <c r="I185" s="62"/>
      <c r="J185" s="62"/>
      <c r="K185" s="62"/>
      <c r="L185" s="62"/>
      <c r="M185" s="62"/>
      <c r="N185" s="61"/>
      <c r="O185" s="62"/>
      <c r="P185" s="62"/>
      <c r="Q185" s="62"/>
      <c r="R185" s="62"/>
      <c r="S185" s="62"/>
      <c r="T185" s="61"/>
      <c r="U185" s="62"/>
      <c r="V185" s="62"/>
      <c r="W185" s="62"/>
      <c r="X185" s="62"/>
      <c r="Y185" s="62"/>
      <c r="Z185" s="61"/>
      <c r="AA185" s="62"/>
      <c r="AB185" s="62"/>
      <c r="AC185" s="62"/>
      <c r="AD185" s="62"/>
      <c r="AE185" s="62"/>
      <c r="AF185" s="61"/>
      <c r="AG185" s="339"/>
      <c r="AH185" s="339"/>
      <c r="AI185" s="339"/>
      <c r="AJ185" s="339"/>
      <c r="AK185" s="542"/>
      <c r="AL185" s="61"/>
      <c r="AM185" s="339"/>
      <c r="AN185" s="339"/>
      <c r="AO185" s="339"/>
      <c r="AP185" s="339"/>
      <c r="AQ185" s="339"/>
      <c r="AR185" s="61"/>
      <c r="AS185" s="339"/>
      <c r="AT185" s="339"/>
      <c r="AU185" s="339"/>
      <c r="AV185" s="339"/>
      <c r="AW185" s="339"/>
      <c r="AX185" s="61"/>
      <c r="AY185" s="159">
        <f>AY183/AS183-1</f>
        <v>-0.21764874125891609</v>
      </c>
      <c r="AZ185" s="159">
        <f>AZ183/AT183-1</f>
        <v>-9.2945099169467582E-2</v>
      </c>
      <c r="BA185" s="159">
        <f>BA183/AU183-1</f>
        <v>-0.1138628925391415</v>
      </c>
      <c r="BB185" s="159">
        <f>BB183/AV183-1</f>
        <v>-0.42719510489769885</v>
      </c>
      <c r="BC185" s="159">
        <f>BC183/AW183-1</f>
        <v>0.20689575042514563</v>
      </c>
      <c r="BD185" s="270"/>
      <c r="BE185" s="159">
        <f>BE183/AY183-1</f>
        <v>4.4658666142050052E-3</v>
      </c>
      <c r="BF185" s="159">
        <f>BF183/AZ183-1</f>
        <v>4.4589552238806895E-2</v>
      </c>
      <c r="BG185" s="159">
        <f>BG183/BA183-1</f>
        <v>6.0715772388439504E-2</v>
      </c>
      <c r="BH185" s="159">
        <f>BH183/BB183-1</f>
        <v>0.2424732923276145</v>
      </c>
      <c r="BI185" s="159">
        <f>BI183/BC183-1</f>
        <v>0.14617461166498891</v>
      </c>
      <c r="BJ185" s="270"/>
      <c r="BK185" s="159">
        <f>BK183/BE183-1</f>
        <v>0.21197876882699673</v>
      </c>
      <c r="BL185" s="159">
        <f>BL183/BF183-1</f>
        <v>0.20720962076561222</v>
      </c>
      <c r="BM185" s="159">
        <f>BM183/BG183-1</f>
        <v>0.15588826963031321</v>
      </c>
      <c r="BN185" s="159">
        <f>BN183/BH183-1</f>
        <v>0.18214143395763793</v>
      </c>
      <c r="BO185" s="1136">
        <f>BO183/BI183-1</f>
        <v>-0.28724200703710601</v>
      </c>
      <c r="BP185" s="270"/>
      <c r="BQ185" s="159">
        <f>BQ183/BK183-1</f>
        <v>0.30616031027795754</v>
      </c>
      <c r="BR185" s="159">
        <f>BR183/BL183-1</f>
        <v>0.22224448280113296</v>
      </c>
      <c r="BS185" s="159">
        <f>BS183/BM183-1</f>
        <v>0.21697574893010008</v>
      </c>
      <c r="BT185" s="159">
        <f>BT183/BN183-1</f>
        <v>0.2668222481524698</v>
      </c>
      <c r="BU185" s="1136">
        <f>BU183/BO183-1</f>
        <v>0.25239673282286712</v>
      </c>
      <c r="BV185" s="270"/>
      <c r="BW185" s="159">
        <f>BW183/BQ183-1</f>
        <v>-0.13858549066380188</v>
      </c>
      <c r="BX185" s="159">
        <f>BX183/BR183-1</f>
        <v>0.17300684663783539</v>
      </c>
      <c r="BY185" s="159">
        <f>BY183/BS183-1</f>
        <v>6.441214394560979E-2</v>
      </c>
      <c r="BZ185" s="159">
        <f>BZ183/BT183-1</f>
        <v>-0.13783645481526974</v>
      </c>
      <c r="CA185" s="1136">
        <f>CA183/BU183-1</f>
        <v>-1.5891398094500575E-2</v>
      </c>
      <c r="CB185" s="270"/>
      <c r="CC185" s="159">
        <f>CC183/BW183-1</f>
        <v>-8.6349534643227477E-2</v>
      </c>
      <c r="CD185" s="159">
        <f>CD183/BX183-1</f>
        <v>-0.30076319466838664</v>
      </c>
      <c r="CE185" s="159">
        <f>CE183/BY183-1</f>
        <v>-0.33461813776774385</v>
      </c>
      <c r="CF185" s="159">
        <f>CF183/BZ183-1</f>
        <v>-0.10078108307020284</v>
      </c>
      <c r="CG185" s="1136">
        <f>CG183/CA183-1</f>
        <v>-0.2157737169863283</v>
      </c>
      <c r="CH185" s="270"/>
      <c r="CI185" s="159">
        <f>CI183/CC183-1</f>
        <v>0.12871785197761443</v>
      </c>
      <c r="CJ185" s="159">
        <f>CJ183/CD183-1</f>
        <v>0.12999231360491925</v>
      </c>
      <c r="CK185" s="116">
        <f>CK183/CE183-1</f>
        <v>0.22509102946044401</v>
      </c>
      <c r="CL185" s="116">
        <f>CL183/CF183-1</f>
        <v>8.3958179321998117E-2</v>
      </c>
      <c r="CM185" s="1136">
        <f>CM183/CG183-1</f>
        <v>0.13821488177499885</v>
      </c>
      <c r="CN185" s="270"/>
      <c r="CO185" s="339"/>
      <c r="CP185" s="339"/>
      <c r="CQ185" s="339"/>
      <c r="CR185" s="339"/>
      <c r="CS185" s="1134"/>
      <c r="CT185" s="535"/>
      <c r="CU185" s="339"/>
      <c r="CV185" s="339"/>
      <c r="CW185" s="339"/>
      <c r="CX185" s="339"/>
      <c r="CY185" s="1134"/>
      <c r="CZ185" s="535"/>
      <c r="DA185" s="339"/>
      <c r="DB185" s="339"/>
      <c r="DC185" s="339"/>
      <c r="DD185" s="339"/>
      <c r="DE185" s="1134"/>
      <c r="DF185" s="535"/>
      <c r="DG185" s="339"/>
      <c r="DH185" s="339"/>
      <c r="DI185" s="339"/>
      <c r="DJ185" s="339"/>
      <c r="DK185" s="1134"/>
      <c r="DL185" s="270"/>
      <c r="DM185" s="339"/>
      <c r="DN185" s="339"/>
      <c r="DO185" s="339"/>
      <c r="DP185" s="339"/>
      <c r="DQ185" s="1134"/>
      <c r="DR185" s="535"/>
      <c r="DS185" s="339"/>
      <c r="DT185" s="339"/>
      <c r="DU185" s="339"/>
      <c r="DV185" s="339"/>
      <c r="DW185" s="1134"/>
      <c r="DX185" s="535"/>
      <c r="DY185" s="339"/>
      <c r="DZ185" s="339"/>
      <c r="EA185" s="339"/>
      <c r="EB185" s="339"/>
      <c r="EC185" s="1134"/>
      <c r="ED185" s="535"/>
      <c r="EE185" s="339"/>
      <c r="EF185" s="339"/>
      <c r="EG185" s="339"/>
      <c r="EH185" s="339"/>
      <c r="EI185" s="1134"/>
      <c r="EJ185" s="535"/>
      <c r="EK185" s="339"/>
      <c r="EL185" s="339"/>
      <c r="EM185" s="339"/>
      <c r="EN185" s="339"/>
      <c r="EO185" s="1134"/>
      <c r="EP185" s="535"/>
      <c r="EQ185" s="339"/>
      <c r="ER185" s="339"/>
      <c r="ES185" s="339"/>
      <c r="ET185" s="339"/>
      <c r="EU185" s="1134"/>
    </row>
    <row r="186" spans="1:203" hidden="1" outlineLevel="3">
      <c r="A186" s="330"/>
      <c r="B186" s="61"/>
      <c r="C186" s="62"/>
      <c r="D186" s="62"/>
      <c r="E186" s="62"/>
      <c r="F186" s="62"/>
      <c r="G186" s="62"/>
      <c r="H186" s="61"/>
      <c r="I186" s="62"/>
      <c r="J186" s="62"/>
      <c r="K186" s="62"/>
      <c r="L186" s="62"/>
      <c r="M186" s="62"/>
      <c r="N186" s="61"/>
      <c r="O186" s="62"/>
      <c r="P186" s="62"/>
      <c r="Q186" s="62"/>
      <c r="R186" s="62"/>
      <c r="S186" s="62"/>
      <c r="T186" s="61"/>
      <c r="U186" s="62"/>
      <c r="V186" s="62"/>
      <c r="W186" s="62"/>
      <c r="X186" s="62"/>
      <c r="Y186" s="62"/>
      <c r="Z186" s="61"/>
      <c r="AA186" s="62"/>
      <c r="AB186" s="62"/>
      <c r="AC186" s="62"/>
      <c r="AD186" s="62"/>
      <c r="AE186" s="62"/>
      <c r="AF186" s="61"/>
      <c r="AG186" s="339"/>
      <c r="AH186" s="339"/>
      <c r="AI186" s="339"/>
      <c r="AJ186" s="339"/>
      <c r="AK186" s="542"/>
      <c r="AL186" s="61"/>
      <c r="AM186" s="339"/>
      <c r="AN186" s="339"/>
      <c r="AO186" s="339"/>
      <c r="AP186" s="339"/>
      <c r="AQ186" s="339"/>
      <c r="AR186" s="61"/>
      <c r="AS186" s="339"/>
      <c r="AT186" s="339"/>
      <c r="AU186" s="339"/>
      <c r="AV186" s="339"/>
      <c r="AW186" s="339"/>
      <c r="AX186" s="61"/>
      <c r="AY186" s="423"/>
      <c r="AZ186" s="423"/>
      <c r="BA186" s="423"/>
      <c r="BB186" s="423"/>
      <c r="BC186" s="423"/>
      <c r="BD186" s="270"/>
      <c r="BE186" s="339"/>
      <c r="BF186" s="339"/>
      <c r="BG186" s="339"/>
      <c r="BH186" s="339"/>
      <c r="BI186" s="423"/>
      <c r="BJ186" s="270"/>
      <c r="BK186" s="339"/>
      <c r="BL186" s="339"/>
      <c r="BM186" s="339"/>
      <c r="BN186" s="339"/>
      <c r="BO186" s="1134"/>
      <c r="BP186" s="270"/>
      <c r="BQ186" s="339"/>
      <c r="BR186" s="339"/>
      <c r="BS186" s="339"/>
      <c r="BT186" s="339"/>
      <c r="BU186" s="1134"/>
      <c r="BV186" s="270"/>
      <c r="BW186" s="339"/>
      <c r="BX186" s="339"/>
      <c r="BY186" s="339"/>
      <c r="BZ186" s="339"/>
      <c r="CA186" s="1134"/>
      <c r="CB186" s="270"/>
      <c r="CC186" s="339"/>
      <c r="CD186" s="339"/>
      <c r="CE186" s="339"/>
      <c r="CF186" s="339"/>
      <c r="CG186" s="1134"/>
      <c r="CH186" s="270"/>
      <c r="CI186" s="339"/>
      <c r="CJ186" s="339"/>
      <c r="CK186" s="423"/>
      <c r="CL186" s="339"/>
      <c r="CM186" s="1134"/>
      <c r="CN186" s="270"/>
      <c r="CO186" s="339"/>
      <c r="CP186" s="339"/>
      <c r="CQ186" s="339"/>
      <c r="CR186" s="339"/>
      <c r="CS186" s="1134"/>
      <c r="CT186" s="535"/>
      <c r="CU186" s="339"/>
      <c r="CV186" s="339"/>
      <c r="CW186" s="339"/>
      <c r="CX186" s="339"/>
      <c r="CY186" s="1134"/>
      <c r="CZ186" s="535"/>
      <c r="DA186" s="339"/>
      <c r="DB186" s="339"/>
      <c r="DC186" s="339"/>
      <c r="DD186" s="339"/>
      <c r="DE186" s="1134"/>
      <c r="DF186" s="535"/>
      <c r="DG186" s="339"/>
      <c r="DH186" s="339"/>
      <c r="DI186" s="339"/>
      <c r="DJ186" s="339"/>
      <c r="DK186" s="1134"/>
      <c r="DL186" s="270"/>
      <c r="DM186" s="339"/>
      <c r="DN186" s="339"/>
      <c r="DO186" s="339"/>
      <c r="DP186" s="339"/>
      <c r="DQ186" s="1134"/>
      <c r="DR186" s="535"/>
      <c r="DS186" s="339"/>
      <c r="DT186" s="339"/>
      <c r="DU186" s="339"/>
      <c r="DV186" s="339"/>
      <c r="DW186" s="1134"/>
      <c r="DX186" s="535"/>
      <c r="DY186" s="339"/>
      <c r="DZ186" s="339"/>
      <c r="EA186" s="339"/>
      <c r="EB186" s="339"/>
      <c r="EC186" s="1134"/>
      <c r="ED186" s="535"/>
      <c r="EE186" s="339"/>
      <c r="EF186" s="339"/>
      <c r="EG186" s="339"/>
      <c r="EH186" s="339"/>
      <c r="EI186" s="1134"/>
      <c r="EJ186" s="535"/>
      <c r="EK186" s="339"/>
      <c r="EL186" s="339"/>
      <c r="EM186" s="339"/>
      <c r="EN186" s="339"/>
      <c r="EO186" s="1134"/>
      <c r="EP186" s="535"/>
      <c r="EQ186" s="339"/>
      <c r="ER186" s="339"/>
      <c r="ES186" s="339"/>
      <c r="ET186" s="339"/>
      <c r="EU186" s="1134"/>
    </row>
    <row r="187" spans="1:203" hidden="1" outlineLevel="3">
      <c r="A187" s="330" t="s">
        <v>6141</v>
      </c>
      <c r="B187" s="61"/>
      <c r="C187" s="62"/>
      <c r="D187" s="62"/>
      <c r="E187" s="62"/>
      <c r="F187" s="62"/>
      <c r="G187" s="62"/>
      <c r="H187" s="61"/>
      <c r="I187" s="62"/>
      <c r="J187" s="62"/>
      <c r="K187" s="62"/>
      <c r="L187" s="62"/>
      <c r="M187" s="62"/>
      <c r="N187" s="61"/>
      <c r="O187" s="62"/>
      <c r="P187" s="62"/>
      <c r="Q187" s="62"/>
      <c r="R187" s="62"/>
      <c r="S187" s="62"/>
      <c r="T187" s="61"/>
      <c r="U187" s="62"/>
      <c r="V187" s="62"/>
      <c r="W187" s="62"/>
      <c r="X187" s="62"/>
      <c r="Y187" s="62"/>
      <c r="Z187" s="61"/>
      <c r="AA187" s="62"/>
      <c r="AB187" s="62"/>
      <c r="AC187" s="62"/>
      <c r="AD187" s="62"/>
      <c r="AE187" s="62"/>
      <c r="AF187" s="61"/>
      <c r="AG187" s="339"/>
      <c r="AH187" s="339"/>
      <c r="AI187" s="339"/>
      <c r="AJ187" s="339"/>
      <c r="AK187" s="542"/>
      <c r="AL187" s="61"/>
      <c r="AM187" s="339"/>
      <c r="AN187" s="339"/>
      <c r="AO187" s="339"/>
      <c r="AP187" s="339"/>
      <c r="AQ187" s="339"/>
      <c r="AR187" s="61"/>
      <c r="AS187" s="986"/>
      <c r="AT187" s="986"/>
      <c r="AU187" s="986"/>
      <c r="AV187" s="986"/>
      <c r="AW187" s="986"/>
      <c r="AX187" s="987"/>
      <c r="AY187" s="986">
        <f>AY188*AY90</f>
        <v>29.910000000000004</v>
      </c>
      <c r="AZ187" s="986">
        <f>AZ188*AZ90</f>
        <v>28.080000000000002</v>
      </c>
      <c r="BA187" s="986">
        <f>BA188*BA90</f>
        <v>30.140000000000004</v>
      </c>
      <c r="BB187" s="986">
        <f>BB188*BB90</f>
        <v>35.76</v>
      </c>
      <c r="BC187" s="986">
        <f>SUM(AY187:BB187)</f>
        <v>123.89000000000001</v>
      </c>
      <c r="BD187" s="982"/>
      <c r="BE187" s="986">
        <f>BE188*BE90</f>
        <v>35.909999999999997</v>
      </c>
      <c r="BF187" s="986">
        <f>BF188*BF90</f>
        <v>37.68</v>
      </c>
      <c r="BG187" s="986">
        <f>BG188*BG90</f>
        <v>38.15</v>
      </c>
      <c r="BH187" s="986">
        <f>BH188*BH90</f>
        <v>41.980000000000004</v>
      </c>
      <c r="BI187" s="986">
        <f>SUM(BE187:BH187)</f>
        <v>153.72000000000003</v>
      </c>
      <c r="BJ187" s="982"/>
      <c r="BK187" s="986">
        <f>BK188*BK90</f>
        <v>47.96</v>
      </c>
      <c r="BL187" s="986">
        <f>BL188*BL90</f>
        <v>49.456000000000003</v>
      </c>
      <c r="BM187" s="986">
        <f>BM188*BM90</f>
        <v>45.7</v>
      </c>
      <c r="BN187" s="986">
        <f>BN188*BN90</f>
        <v>49.7</v>
      </c>
      <c r="BO187" s="1135">
        <f>SUM(BK187:BN187)</f>
        <v>192.81599999999997</v>
      </c>
      <c r="BP187" s="982"/>
      <c r="BQ187" s="986">
        <f>BQ188*BQ90</f>
        <v>50.860000000000007</v>
      </c>
      <c r="BR187" s="986">
        <f>BR188*BR90</f>
        <v>52.590000000000011</v>
      </c>
      <c r="BS187" s="986">
        <f>BS188*BS90</f>
        <v>53.900000000000006</v>
      </c>
      <c r="BT187" s="986">
        <f>BT188*BT90</f>
        <v>59.900000000000006</v>
      </c>
      <c r="BU187" s="1135">
        <f>SUM(BQ187:BT187)</f>
        <v>217.25000000000003</v>
      </c>
      <c r="BV187" s="982"/>
      <c r="BW187" s="986">
        <f>BW188*BW90</f>
        <v>65.867999999999995</v>
      </c>
      <c r="BX187" s="986">
        <f>BX188*BX90</f>
        <v>68.144999999999996</v>
      </c>
      <c r="BY187" s="986">
        <f>BY188*BY90</f>
        <v>60.710000000000008</v>
      </c>
      <c r="BZ187" s="986">
        <f>BZ188*BZ90</f>
        <v>48.980000000000004</v>
      </c>
      <c r="CA187" s="1135">
        <f>SUM(BW187:BZ187)</f>
        <v>243.70299999999997</v>
      </c>
      <c r="CB187" s="270"/>
      <c r="CC187" s="986">
        <f>CC188*CC90</f>
        <v>51.12</v>
      </c>
      <c r="CD187" s="986">
        <f>CD188*CD90</f>
        <v>53.95</v>
      </c>
      <c r="CE187" s="986">
        <f>CE188*CE90</f>
        <v>54.21</v>
      </c>
      <c r="CF187" s="986">
        <f>CF188*CF90</f>
        <v>59.28</v>
      </c>
      <c r="CG187" s="1135">
        <f>SUM(CC187:CF187)</f>
        <v>218.56</v>
      </c>
      <c r="CH187" s="270"/>
      <c r="CI187" s="986">
        <f>CI188*CI90</f>
        <v>50.824999999999996</v>
      </c>
      <c r="CJ187" s="986">
        <f>CJ188*CJ90</f>
        <v>52.041000000000004</v>
      </c>
      <c r="CK187" s="1617">
        <f>CK188*CK90</f>
        <v>52.47</v>
      </c>
      <c r="CL187" s="1617">
        <f>CL188*CL90</f>
        <v>61.248000000000005</v>
      </c>
      <c r="CM187" s="1135">
        <f>SUM(CI187:CL187)</f>
        <v>216.584</v>
      </c>
      <c r="CN187" s="270"/>
      <c r="CO187" s="339"/>
      <c r="CP187" s="339"/>
      <c r="CQ187" s="339"/>
      <c r="CR187" s="339"/>
      <c r="CS187" s="1134"/>
      <c r="CT187" s="535"/>
      <c r="CU187" s="339"/>
      <c r="CV187" s="339"/>
      <c r="CW187" s="339"/>
      <c r="CX187" s="339"/>
      <c r="CY187" s="1134"/>
      <c r="CZ187" s="535"/>
      <c r="DA187" s="339"/>
      <c r="DB187" s="339"/>
      <c r="DC187" s="339"/>
      <c r="DD187" s="339"/>
      <c r="DE187" s="1134"/>
      <c r="DF187" s="535"/>
      <c r="DG187" s="339"/>
      <c r="DH187" s="339"/>
      <c r="DI187" s="339"/>
      <c r="DJ187" s="339"/>
      <c r="DK187" s="1134"/>
      <c r="DL187" s="270"/>
      <c r="DM187" s="339"/>
      <c r="DN187" s="339"/>
      <c r="DO187" s="339"/>
      <c r="DP187" s="339"/>
      <c r="DQ187" s="1134"/>
      <c r="DR187" s="535"/>
      <c r="DS187" s="339"/>
      <c r="DT187" s="339"/>
      <c r="DU187" s="339"/>
      <c r="DV187" s="339"/>
      <c r="DW187" s="1134"/>
      <c r="DX187" s="535"/>
      <c r="DY187" s="339"/>
      <c r="DZ187" s="339"/>
      <c r="EA187" s="339"/>
      <c r="EB187" s="339"/>
      <c r="EC187" s="1134"/>
      <c r="ED187" s="535"/>
      <c r="EE187" s="339"/>
      <c r="EF187" s="339"/>
      <c r="EG187" s="339"/>
      <c r="EH187" s="339"/>
      <c r="EI187" s="1134"/>
      <c r="EJ187" s="535"/>
      <c r="EK187" s="339"/>
      <c r="EL187" s="339"/>
      <c r="EM187" s="339"/>
      <c r="EN187" s="339"/>
      <c r="EO187" s="1134"/>
      <c r="EP187" s="535"/>
      <c r="EQ187" s="339"/>
      <c r="ER187" s="339"/>
      <c r="ES187" s="339"/>
      <c r="ET187" s="339"/>
      <c r="EU187" s="1134"/>
    </row>
    <row r="188" spans="1:203" hidden="1" outlineLevel="3">
      <c r="A188" s="330" t="s">
        <v>5578</v>
      </c>
      <c r="B188" s="61"/>
      <c r="C188" s="62"/>
      <c r="D188" s="62"/>
      <c r="E188" s="62"/>
      <c r="F188" s="62"/>
      <c r="G188" s="62"/>
      <c r="H188" s="61"/>
      <c r="I188" s="62"/>
      <c r="J188" s="62"/>
      <c r="K188" s="62"/>
      <c r="L188" s="62"/>
      <c r="M188" s="62"/>
      <c r="N188" s="61"/>
      <c r="O188" s="62"/>
      <c r="P188" s="62"/>
      <c r="Q188" s="62"/>
      <c r="R188" s="62"/>
      <c r="S188" s="62"/>
      <c r="T188" s="61"/>
      <c r="U188" s="62"/>
      <c r="V188" s="62"/>
      <c r="W188" s="62"/>
      <c r="X188" s="62"/>
      <c r="Y188" s="62"/>
      <c r="Z188" s="61"/>
      <c r="AA188" s="62"/>
      <c r="AB188" s="62"/>
      <c r="AC188" s="62"/>
      <c r="AD188" s="62"/>
      <c r="AE188" s="62"/>
      <c r="AF188" s="61"/>
      <c r="AG188" s="339"/>
      <c r="AH188" s="339"/>
      <c r="AI188" s="339"/>
      <c r="AJ188" s="339"/>
      <c r="AK188" s="542"/>
      <c r="AL188" s="61"/>
      <c r="AM188" s="339"/>
      <c r="AN188" s="339"/>
      <c r="AO188" s="339"/>
      <c r="AP188" s="339"/>
      <c r="AQ188" s="339"/>
      <c r="AR188" s="61"/>
      <c r="AS188" s="159" t="e">
        <f>AS187/AS94</f>
        <v>#DIV/0!</v>
      </c>
      <c r="AT188" s="159" t="e">
        <f>AT187/AT94</f>
        <v>#DIV/0!</v>
      </c>
      <c r="AU188" s="159" t="e">
        <f>AU187/AU94</f>
        <v>#DIV/0!</v>
      </c>
      <c r="AV188" s="159" t="e">
        <f>AV187/AV94</f>
        <v>#DIV/0!</v>
      </c>
      <c r="AW188" s="159" t="e">
        <f>AW187/AW94</f>
        <v>#DIV/0!</v>
      </c>
      <c r="AX188" s="61"/>
      <c r="AY188" s="159">
        <v>0.1</v>
      </c>
      <c r="AZ188" s="159">
        <v>0.1</v>
      </c>
      <c r="BA188" s="159">
        <v>0.1</v>
      </c>
      <c r="BB188" s="159">
        <v>0.1</v>
      </c>
      <c r="BC188" s="159">
        <f>BC187/BC90</f>
        <v>0.1</v>
      </c>
      <c r="BD188" s="270"/>
      <c r="BE188" s="159">
        <v>0.1</v>
      </c>
      <c r="BF188" s="159">
        <v>0.1</v>
      </c>
      <c r="BG188" s="159">
        <v>0.1</v>
      </c>
      <c r="BH188" s="159">
        <v>0.1</v>
      </c>
      <c r="BI188" s="159">
        <f>BI187/BI90</f>
        <v>0.10000000000000003</v>
      </c>
      <c r="BJ188" s="270"/>
      <c r="BK188" s="159">
        <v>0.11</v>
      </c>
      <c r="BL188" s="159">
        <v>0.11</v>
      </c>
      <c r="BM188" s="159">
        <v>0.1</v>
      </c>
      <c r="BN188" s="159">
        <v>0.1</v>
      </c>
      <c r="BO188" s="1136">
        <f>BO187/BO90</f>
        <v>0.10481409001956946</v>
      </c>
      <c r="BP188" s="270"/>
      <c r="BQ188" s="159">
        <v>0.1</v>
      </c>
      <c r="BR188" s="159">
        <v>0.1</v>
      </c>
      <c r="BS188" s="159">
        <v>0.1</v>
      </c>
      <c r="BT188" s="159">
        <v>0.1</v>
      </c>
      <c r="BU188" s="1136">
        <f>BU187/BU90</f>
        <v>0.10000000000000002</v>
      </c>
      <c r="BV188" s="270"/>
      <c r="BW188" s="159">
        <v>0.11</v>
      </c>
      <c r="BX188" s="159">
        <v>0.11</v>
      </c>
      <c r="BY188" s="159">
        <v>0.1</v>
      </c>
      <c r="BZ188" s="159">
        <v>0.1</v>
      </c>
      <c r="CA188" s="1136">
        <f>CA187/CA90</f>
        <v>0.10526218037318588</v>
      </c>
      <c r="CB188" s="270"/>
      <c r="CC188" s="159">
        <v>0.12</v>
      </c>
      <c r="CD188" s="159">
        <v>0.13</v>
      </c>
      <c r="CE188" s="159">
        <v>0.13</v>
      </c>
      <c r="CF188" s="159">
        <v>0.13</v>
      </c>
      <c r="CG188" s="1136">
        <f>CG187/CG90</f>
        <v>0.12750714660754917</v>
      </c>
      <c r="CH188" s="270"/>
      <c r="CI188" s="420">
        <v>0.107</v>
      </c>
      <c r="CJ188" s="420">
        <v>0.11</v>
      </c>
      <c r="CK188" s="347">
        <v>0.11</v>
      </c>
      <c r="CL188" s="347">
        <v>0.11600000000000001</v>
      </c>
      <c r="CM188" s="1136">
        <f>CM187/CM90</f>
        <v>0.11137141975626061</v>
      </c>
      <c r="CN188" s="270"/>
      <c r="CO188" s="339"/>
      <c r="CP188" s="339"/>
      <c r="CQ188" s="339"/>
      <c r="CR188" s="339"/>
      <c r="CS188" s="1134"/>
      <c r="CT188" s="535"/>
      <c r="CU188" s="339"/>
      <c r="CV188" s="339"/>
      <c r="CW188" s="339"/>
      <c r="CX188" s="339"/>
      <c r="CY188" s="1134"/>
      <c r="CZ188" s="535"/>
      <c r="DA188" s="339"/>
      <c r="DB188" s="339"/>
      <c r="DC188" s="339"/>
      <c r="DD188" s="339"/>
      <c r="DE188" s="1134"/>
      <c r="DF188" s="535"/>
      <c r="DG188" s="339"/>
      <c r="DH188" s="339"/>
      <c r="DI188" s="339"/>
      <c r="DJ188" s="339"/>
      <c r="DK188" s="1134"/>
      <c r="DL188" s="270"/>
      <c r="DM188" s="339"/>
      <c r="DN188" s="339"/>
      <c r="DO188" s="339"/>
      <c r="DP188" s="339"/>
      <c r="DQ188" s="1134"/>
      <c r="DR188" s="535"/>
      <c r="DS188" s="339"/>
      <c r="DT188" s="339"/>
      <c r="DU188" s="339"/>
      <c r="DV188" s="339"/>
      <c r="DW188" s="1134"/>
      <c r="DX188" s="535"/>
      <c r="DY188" s="339"/>
      <c r="DZ188" s="339"/>
      <c r="EA188" s="339"/>
      <c r="EB188" s="339"/>
      <c r="EC188" s="1134"/>
      <c r="ED188" s="535"/>
      <c r="EE188" s="339"/>
      <c r="EF188" s="339"/>
      <c r="EG188" s="339"/>
      <c r="EH188" s="339"/>
      <c r="EI188" s="1134"/>
      <c r="EJ188" s="535"/>
      <c r="EK188" s="339"/>
      <c r="EL188" s="339"/>
      <c r="EM188" s="339"/>
      <c r="EN188" s="339"/>
      <c r="EO188" s="1134"/>
      <c r="EP188" s="535"/>
      <c r="EQ188" s="339"/>
      <c r="ER188" s="339"/>
      <c r="ES188" s="339"/>
      <c r="ET188" s="339"/>
      <c r="EU188" s="1134"/>
    </row>
    <row r="189" spans="1:203" hidden="1" outlineLevel="3">
      <c r="A189" s="330" t="s">
        <v>2242</v>
      </c>
      <c r="B189" s="61"/>
      <c r="C189" s="62"/>
      <c r="D189" s="62"/>
      <c r="E189" s="62"/>
      <c r="F189" s="62"/>
      <c r="G189" s="62"/>
      <c r="H189" s="61"/>
      <c r="I189" s="62"/>
      <c r="J189" s="62"/>
      <c r="K189" s="62"/>
      <c r="L189" s="62"/>
      <c r="M189" s="62"/>
      <c r="N189" s="61"/>
      <c r="O189" s="62"/>
      <c r="P189" s="62"/>
      <c r="Q189" s="62"/>
      <c r="R189" s="62"/>
      <c r="S189" s="62"/>
      <c r="T189" s="61"/>
      <c r="U189" s="62"/>
      <c r="V189" s="62"/>
      <c r="W189" s="62"/>
      <c r="X189" s="62"/>
      <c r="Y189" s="62"/>
      <c r="Z189" s="61"/>
      <c r="AA189" s="62"/>
      <c r="AB189" s="62"/>
      <c r="AC189" s="62"/>
      <c r="AD189" s="62"/>
      <c r="AE189" s="62"/>
      <c r="AF189" s="61"/>
      <c r="AG189" s="339"/>
      <c r="AH189" s="339"/>
      <c r="AI189" s="339"/>
      <c r="AJ189" s="339"/>
      <c r="AK189" s="542"/>
      <c r="AL189" s="61"/>
      <c r="AM189" s="339"/>
      <c r="AN189" s="339"/>
      <c r="AO189" s="339"/>
      <c r="AP189" s="339"/>
      <c r="AQ189" s="339"/>
      <c r="AR189" s="61"/>
      <c r="AS189" s="339"/>
      <c r="AT189" s="339"/>
      <c r="AU189" s="339"/>
      <c r="AV189" s="339"/>
      <c r="AW189" s="339"/>
      <c r="AX189" s="61"/>
      <c r="AY189" s="159" t="e">
        <f>AY187/AS187-1</f>
        <v>#DIV/0!</v>
      </c>
      <c r="AZ189" s="159" t="e">
        <f>AZ187/AT187-1</f>
        <v>#DIV/0!</v>
      </c>
      <c r="BA189" s="159" t="e">
        <f>BA187/AU187-1</f>
        <v>#DIV/0!</v>
      </c>
      <c r="BB189" s="159" t="e">
        <f>BB187/AV187-1</f>
        <v>#DIV/0!</v>
      </c>
      <c r="BC189" s="159" t="e">
        <f>BC187/AW187-1</f>
        <v>#DIV/0!</v>
      </c>
      <c r="BD189" s="270"/>
      <c r="BE189" s="159">
        <f>BE187/AY187-1</f>
        <v>0.20060180541624839</v>
      </c>
      <c r="BF189" s="159">
        <f>BF187/AZ187-1</f>
        <v>0.34188034188034178</v>
      </c>
      <c r="BG189" s="159">
        <f>BG187/BA187-1</f>
        <v>0.26575978765759767</v>
      </c>
      <c r="BH189" s="159">
        <f>BH187/BB187-1</f>
        <v>0.1739373601789711</v>
      </c>
      <c r="BI189" s="159">
        <f>BI187/BC187-1</f>
        <v>0.24077810961336676</v>
      </c>
      <c r="BJ189" s="270"/>
      <c r="BK189" s="159">
        <f>BK187/BE187-1</f>
        <v>0.33556112503480939</v>
      </c>
      <c r="BL189" s="159">
        <f>BL187/BF187-1</f>
        <v>0.31252653927813179</v>
      </c>
      <c r="BM189" s="159">
        <f>BM187/BG187-1</f>
        <v>0.19790301441677594</v>
      </c>
      <c r="BN189" s="159">
        <f>BN187/BH187-1</f>
        <v>0.18389709385421615</v>
      </c>
      <c r="BO189" s="1136">
        <f>BO187/BI187-1</f>
        <v>0.25433255269320809</v>
      </c>
      <c r="BP189" s="270"/>
      <c r="BQ189" s="159">
        <f>BQ187/BK187-1</f>
        <v>6.0467055879900089E-2</v>
      </c>
      <c r="BR189" s="159">
        <f>BR187/BL187-1</f>
        <v>6.3369459721773103E-2</v>
      </c>
      <c r="BS189" s="159">
        <f>BS187/BM187-1</f>
        <v>0.1794310722100656</v>
      </c>
      <c r="BT189" s="159">
        <f>BT187/BN187-1</f>
        <v>0.20523138832997989</v>
      </c>
      <c r="BU189" s="1136">
        <f>BU187/BO187-1</f>
        <v>0.12672184880922766</v>
      </c>
      <c r="BV189" s="270"/>
      <c r="BW189" s="159">
        <f>BW187/BQ187-1</f>
        <v>0.29508454581203281</v>
      </c>
      <c r="BX189" s="159">
        <f>BX187/BR187-1</f>
        <v>0.29577866514546458</v>
      </c>
      <c r="BY189" s="159">
        <f>BY187/BS187-1</f>
        <v>0.12634508348794071</v>
      </c>
      <c r="BZ189" s="159">
        <f>BZ187/BT187-1</f>
        <v>-0.18230383973288811</v>
      </c>
      <c r="CA189" s="1136">
        <f>CA187/BU187-1</f>
        <v>0.12176294591484438</v>
      </c>
      <c r="CB189" s="270"/>
      <c r="CC189" s="159">
        <f>CC187/BW187-1</f>
        <v>-0.22390235015485516</v>
      </c>
      <c r="CD189" s="159">
        <f>CD187/BX187-1</f>
        <v>-0.20830581847530993</v>
      </c>
      <c r="CE189" s="159">
        <f>CE187/BY187-1</f>
        <v>-0.10706638115631706</v>
      </c>
      <c r="CF189" s="159">
        <f>CF187/BZ187-1</f>
        <v>0.21028991425071442</v>
      </c>
      <c r="CG189" s="1136">
        <f>CG187/CA187-1</f>
        <v>-0.10317066265084951</v>
      </c>
      <c r="CH189" s="270"/>
      <c r="CI189" s="159">
        <f>CI187/CC187-1</f>
        <v>-5.7707355242566649E-3</v>
      </c>
      <c r="CJ189" s="159">
        <f>CJ187/CD187-1</f>
        <v>-3.5384615384615348E-2</v>
      </c>
      <c r="CK189" s="116">
        <f>CK187/CE187-1</f>
        <v>-3.2097399003873872E-2</v>
      </c>
      <c r="CL189" s="116">
        <f>CL187/CF187-1</f>
        <v>3.3198380566801688E-2</v>
      </c>
      <c r="CM189" s="1136">
        <f>CM187/CG187-1</f>
        <v>-9.0409956076135112E-3</v>
      </c>
      <c r="CN189" s="270"/>
      <c r="CO189" s="339"/>
      <c r="CP189" s="339"/>
      <c r="CQ189" s="339"/>
      <c r="CR189" s="339"/>
      <c r="CS189" s="1134"/>
      <c r="CT189" s="535"/>
      <c r="CU189" s="339"/>
      <c r="CV189" s="339"/>
      <c r="CW189" s="339"/>
      <c r="CX189" s="339"/>
      <c r="CY189" s="1134"/>
      <c r="CZ189" s="535"/>
      <c r="DA189" s="339"/>
      <c r="DB189" s="339"/>
      <c r="DC189" s="339"/>
      <c r="DD189" s="339"/>
      <c r="DE189" s="1134"/>
      <c r="DF189" s="535"/>
      <c r="DG189" s="339"/>
      <c r="DH189" s="339"/>
      <c r="DI189" s="339"/>
      <c r="DJ189" s="339"/>
      <c r="DK189" s="1134"/>
      <c r="DL189" s="270"/>
      <c r="DM189" s="339"/>
      <c r="DN189" s="339"/>
      <c r="DO189" s="339"/>
      <c r="DP189" s="339"/>
      <c r="DQ189" s="1134"/>
      <c r="DR189" s="535"/>
      <c r="DS189" s="339"/>
      <c r="DT189" s="339"/>
      <c r="DU189" s="339"/>
      <c r="DV189" s="339"/>
      <c r="DW189" s="1134"/>
      <c r="DX189" s="535"/>
      <c r="DY189" s="339"/>
      <c r="DZ189" s="339"/>
      <c r="EA189" s="339"/>
      <c r="EB189" s="339"/>
      <c r="EC189" s="1134"/>
      <c r="ED189" s="535"/>
      <c r="EE189" s="339"/>
      <c r="EF189" s="339"/>
      <c r="EG189" s="339"/>
      <c r="EH189" s="339"/>
      <c r="EI189" s="1134"/>
      <c r="EJ189" s="535"/>
      <c r="EK189" s="339"/>
      <c r="EL189" s="339"/>
      <c r="EM189" s="339"/>
      <c r="EN189" s="339"/>
      <c r="EO189" s="1134"/>
      <c r="EP189" s="535"/>
      <c r="EQ189" s="339"/>
      <c r="ER189" s="339"/>
      <c r="ES189" s="339"/>
      <c r="ET189" s="339"/>
      <c r="EU189" s="1134"/>
    </row>
    <row r="190" spans="1:203" hidden="1" outlineLevel="3">
      <c r="A190" s="330"/>
      <c r="B190" s="61"/>
      <c r="C190" s="62"/>
      <c r="D190" s="62"/>
      <c r="E190" s="62"/>
      <c r="F190" s="62"/>
      <c r="G190" s="62"/>
      <c r="H190" s="61"/>
      <c r="I190" s="62"/>
      <c r="J190" s="62"/>
      <c r="K190" s="62"/>
      <c r="L190" s="62"/>
      <c r="M190" s="62"/>
      <c r="N190" s="61"/>
      <c r="O190" s="62"/>
      <c r="P190" s="62"/>
      <c r="Q190" s="62"/>
      <c r="R190" s="62"/>
      <c r="S190" s="62"/>
      <c r="T190" s="61"/>
      <c r="U190" s="62"/>
      <c r="V190" s="62"/>
      <c r="W190" s="62"/>
      <c r="X190" s="62"/>
      <c r="Y190" s="62"/>
      <c r="Z190" s="61"/>
      <c r="AA190" s="62"/>
      <c r="AB190" s="62"/>
      <c r="AC190" s="62"/>
      <c r="AD190" s="62"/>
      <c r="AE190" s="62"/>
      <c r="AF190" s="61"/>
      <c r="AG190" s="339"/>
      <c r="AH190" s="339"/>
      <c r="AI190" s="339"/>
      <c r="AJ190" s="339"/>
      <c r="AK190" s="542"/>
      <c r="AL190" s="61"/>
      <c r="AM190" s="339"/>
      <c r="AN190" s="339"/>
      <c r="AO190" s="339"/>
      <c r="AP190" s="339"/>
      <c r="AQ190" s="339"/>
      <c r="AR190" s="61"/>
      <c r="AS190" s="339"/>
      <c r="AT190" s="339"/>
      <c r="AU190" s="339"/>
      <c r="AV190" s="339"/>
      <c r="AW190" s="339"/>
      <c r="AX190" s="61"/>
      <c r="AY190" s="423"/>
      <c r="AZ190" s="423"/>
      <c r="BA190" s="423"/>
      <c r="BB190" s="423"/>
      <c r="BC190" s="423"/>
      <c r="BD190" s="270"/>
      <c r="BE190" s="62"/>
      <c r="BF190" s="423"/>
      <c r="BG190" s="116"/>
      <c r="BH190" s="423"/>
      <c r="BI190" s="423"/>
      <c r="BJ190" s="270"/>
      <c r="BK190" s="339"/>
      <c r="BL190" s="339"/>
      <c r="BM190" s="339"/>
      <c r="BN190" s="339"/>
      <c r="BO190" s="1134"/>
      <c r="BP190" s="270"/>
      <c r="BQ190" s="339"/>
      <c r="BR190" s="339"/>
      <c r="BS190" s="339"/>
      <c r="BT190" s="339"/>
      <c r="BU190" s="1134"/>
      <c r="BV190" s="270"/>
      <c r="BW190" s="339"/>
      <c r="BX190" s="339"/>
      <c r="BY190" s="339"/>
      <c r="BZ190" s="339"/>
      <c r="CA190" s="1134"/>
      <c r="CB190" s="270"/>
      <c r="CC190" s="339"/>
      <c r="CD190" s="339"/>
      <c r="CE190" s="339"/>
      <c r="CF190" s="339"/>
      <c r="CG190" s="1134"/>
      <c r="CH190" s="270"/>
      <c r="CI190" s="339"/>
      <c r="CJ190" s="339"/>
      <c r="CK190" s="423"/>
      <c r="CL190" s="339"/>
      <c r="CM190" s="1134"/>
      <c r="CN190" s="270"/>
      <c r="CO190" s="339"/>
      <c r="CP190" s="339"/>
      <c r="CQ190" s="339"/>
      <c r="CR190" s="339"/>
      <c r="CS190" s="1134"/>
      <c r="CT190" s="535"/>
      <c r="CU190" s="339"/>
      <c r="CV190" s="339"/>
      <c r="CW190" s="339"/>
      <c r="CX190" s="339"/>
      <c r="CY190" s="1134"/>
      <c r="CZ190" s="535"/>
      <c r="DA190" s="339"/>
      <c r="DB190" s="339"/>
      <c r="DC190" s="339"/>
      <c r="DD190" s="339"/>
      <c r="DE190" s="1134"/>
      <c r="DF190" s="535"/>
      <c r="DG190" s="339"/>
      <c r="DH190" s="339"/>
      <c r="DI190" s="339"/>
      <c r="DJ190" s="339"/>
      <c r="DK190" s="1134"/>
      <c r="DL190" s="270"/>
      <c r="DM190" s="339"/>
      <c r="DN190" s="339"/>
      <c r="DO190" s="339"/>
      <c r="DP190" s="339"/>
      <c r="DQ190" s="1134"/>
      <c r="DR190" s="535"/>
      <c r="DS190" s="339"/>
      <c r="DT190" s="339"/>
      <c r="DU190" s="339"/>
      <c r="DV190" s="339"/>
      <c r="DW190" s="1134"/>
      <c r="DX190" s="535"/>
      <c r="DY190" s="339"/>
      <c r="DZ190" s="339"/>
      <c r="EA190" s="339"/>
      <c r="EB190" s="339"/>
      <c r="EC190" s="1134"/>
      <c r="ED190" s="535"/>
      <c r="EE190" s="339"/>
      <c r="EF190" s="339"/>
      <c r="EG190" s="339"/>
      <c r="EH190" s="339"/>
      <c r="EI190" s="1134"/>
      <c r="EJ190" s="535"/>
      <c r="EK190" s="339"/>
      <c r="EL190" s="339"/>
      <c r="EM190" s="339"/>
      <c r="EN190" s="339"/>
      <c r="EO190" s="1134"/>
      <c r="EP190" s="535"/>
      <c r="EQ190" s="339"/>
      <c r="ER190" s="339"/>
      <c r="ES190" s="339"/>
      <c r="ET190" s="339"/>
      <c r="EU190" s="1134"/>
    </row>
    <row r="191" spans="1:203" hidden="1" outlineLevel="3">
      <c r="A191" s="330" t="s">
        <v>4816</v>
      </c>
      <c r="B191" s="61"/>
      <c r="C191" s="62"/>
      <c r="D191" s="62"/>
      <c r="E191" s="62"/>
      <c r="F191" s="62"/>
      <c r="G191" s="62"/>
      <c r="H191" s="61"/>
      <c r="I191" s="62"/>
      <c r="J191" s="62"/>
      <c r="K191" s="62"/>
      <c r="L191" s="62"/>
      <c r="M191" s="62"/>
      <c r="N191" s="61"/>
      <c r="O191" s="62"/>
      <c r="P191" s="62"/>
      <c r="Q191" s="62"/>
      <c r="R191" s="62"/>
      <c r="S191" s="62"/>
      <c r="T191" s="61"/>
      <c r="U191" s="62"/>
      <c r="V191" s="62"/>
      <c r="W191" s="62"/>
      <c r="X191" s="62"/>
      <c r="Y191" s="62"/>
      <c r="Z191" s="61"/>
      <c r="AA191" s="62"/>
      <c r="AB191" s="62"/>
      <c r="AC191" s="62"/>
      <c r="AD191" s="62"/>
      <c r="AE191" s="62"/>
      <c r="AF191" s="61"/>
      <c r="AG191" s="339"/>
      <c r="AH191" s="339"/>
      <c r="AI191" s="339"/>
      <c r="AJ191" s="339"/>
      <c r="AK191" s="339"/>
      <c r="AL191" s="61"/>
      <c r="AM191" s="339"/>
      <c r="AN191" s="339"/>
      <c r="AO191" s="339"/>
      <c r="AP191" s="339"/>
      <c r="AQ191" s="749">
        <f>AQ172-AQ177</f>
        <v>960.09999999999991</v>
      </c>
      <c r="AR191" s="61"/>
      <c r="AS191" s="339"/>
      <c r="AT191" s="339"/>
      <c r="AU191" s="339"/>
      <c r="AV191" s="339"/>
      <c r="AW191" s="749">
        <f>AW172-AW177</f>
        <v>1055.3000000000002</v>
      </c>
      <c r="AX191" s="61"/>
      <c r="AY191" s="423"/>
      <c r="AZ191" s="423"/>
      <c r="BA191" s="423"/>
      <c r="BB191" s="423"/>
      <c r="BC191" s="423">
        <f>BC172-BC177</f>
        <v>1128</v>
      </c>
      <c r="BD191" s="270"/>
      <c r="BE191" s="62"/>
      <c r="BF191" s="423"/>
      <c r="BG191" s="423"/>
      <c r="BH191" s="423"/>
      <c r="BI191" s="423">
        <f>BI172-BI177</f>
        <v>1224.5</v>
      </c>
      <c r="BJ191" s="270"/>
      <c r="BK191" s="339"/>
      <c r="BL191" s="339"/>
      <c r="BM191" s="339"/>
      <c r="BN191" s="339"/>
      <c r="BO191" s="1128">
        <f>BO172-BO177</f>
        <v>1356</v>
      </c>
      <c r="BP191" s="270"/>
      <c r="BQ191" s="339"/>
      <c r="BR191" s="339"/>
      <c r="BS191" s="339"/>
      <c r="BT191" s="339"/>
      <c r="BU191" s="1128">
        <f>BU172-BU177</f>
        <v>1472</v>
      </c>
      <c r="BV191" s="270"/>
      <c r="BW191" s="339"/>
      <c r="BX191" s="339"/>
      <c r="BY191" s="339"/>
      <c r="BZ191" s="339"/>
      <c r="CA191" s="1128">
        <f>CA172-CA177</f>
        <v>1571</v>
      </c>
      <c r="CB191" s="270"/>
      <c r="CC191" s="1468"/>
      <c r="CD191" s="339"/>
      <c r="CE191" s="339"/>
      <c r="CF191" s="339"/>
      <c r="CG191" s="1134"/>
      <c r="CH191" s="270"/>
      <c r="CI191" s="1468"/>
      <c r="CJ191" s="1468"/>
      <c r="CK191" s="423"/>
      <c r="CL191" s="339"/>
      <c r="CM191" s="1134"/>
      <c r="CN191" s="270"/>
      <c r="CO191" s="339"/>
      <c r="CP191" s="339"/>
      <c r="CQ191" s="339"/>
      <c r="CR191" s="339"/>
      <c r="CS191" s="1134"/>
      <c r="CT191" s="535"/>
      <c r="CU191" s="339"/>
      <c r="CV191" s="339"/>
      <c r="CW191" s="339"/>
      <c r="CX191" s="339"/>
      <c r="CY191" s="1134"/>
      <c r="CZ191" s="535"/>
      <c r="DA191" s="339"/>
      <c r="DB191" s="339"/>
      <c r="DC191" s="339"/>
      <c r="DD191" s="339"/>
      <c r="DE191" s="1134"/>
      <c r="DF191" s="535"/>
      <c r="DG191" s="339"/>
      <c r="DH191" s="339"/>
      <c r="DI191" s="339"/>
      <c r="DJ191" s="339"/>
      <c r="DK191" s="1134"/>
      <c r="DL191" s="270"/>
      <c r="DM191" s="339"/>
      <c r="DN191" s="339"/>
      <c r="DO191" s="339"/>
      <c r="DP191" s="339"/>
      <c r="DQ191" s="1134"/>
      <c r="DR191" s="535"/>
      <c r="DS191" s="339"/>
      <c r="DT191" s="339"/>
      <c r="DU191" s="339"/>
      <c r="DV191" s="339"/>
      <c r="DW191" s="1134"/>
      <c r="DX191" s="535"/>
      <c r="DY191" s="339"/>
      <c r="DZ191" s="339"/>
      <c r="EA191" s="339"/>
      <c r="EB191" s="339"/>
      <c r="EC191" s="1134"/>
      <c r="ED191" s="535"/>
      <c r="EE191" s="339"/>
      <c r="EF191" s="339"/>
      <c r="EG191" s="339"/>
      <c r="EH191" s="339"/>
      <c r="EI191" s="1134"/>
      <c r="EJ191" s="535"/>
      <c r="EK191" s="339"/>
      <c r="EL191" s="339"/>
      <c r="EM191" s="339"/>
      <c r="EN191" s="339"/>
      <c r="EO191" s="1134"/>
      <c r="EP191" s="535"/>
      <c r="EQ191" s="339"/>
      <c r="ER191" s="339"/>
      <c r="ES191" s="339"/>
      <c r="ET191" s="339"/>
      <c r="EU191" s="1134"/>
    </row>
    <row r="192" spans="1:203" hidden="1" outlineLevel="3">
      <c r="A192" s="541" t="s">
        <v>3803</v>
      </c>
      <c r="B192" s="61"/>
      <c r="C192" s="62"/>
      <c r="D192" s="62"/>
      <c r="E192" s="62"/>
      <c r="F192" s="62"/>
      <c r="G192" s="62"/>
      <c r="H192" s="61"/>
      <c r="I192" s="62"/>
      <c r="J192" s="62"/>
      <c r="K192" s="62"/>
      <c r="L192" s="62"/>
      <c r="M192" s="62"/>
      <c r="N192" s="61"/>
      <c r="O192" s="62"/>
      <c r="P192" s="62"/>
      <c r="Q192" s="62"/>
      <c r="R192" s="62"/>
      <c r="S192" s="62"/>
      <c r="T192" s="61"/>
      <c r="U192" s="62"/>
      <c r="V192" s="62"/>
      <c r="W192" s="62"/>
      <c r="X192" s="62"/>
      <c r="Y192" s="62"/>
      <c r="Z192" s="61"/>
      <c r="AA192" s="62"/>
      <c r="AB192" s="62"/>
      <c r="AC192" s="62"/>
      <c r="AD192" s="62"/>
      <c r="AE192" s="62"/>
      <c r="AF192" s="61"/>
      <c r="AG192" s="339"/>
      <c r="AH192" s="339"/>
      <c r="AI192" s="339"/>
      <c r="AJ192" s="339"/>
      <c r="AK192" s="542"/>
      <c r="AL192" s="61"/>
      <c r="AM192" s="339"/>
      <c r="AN192" s="339"/>
      <c r="AO192" s="339"/>
      <c r="AP192" s="339"/>
      <c r="AQ192" s="339">
        <v>125</v>
      </c>
      <c r="AR192" s="61"/>
      <c r="AS192" s="339"/>
      <c r="AT192" s="339"/>
      <c r="AU192" s="339"/>
      <c r="AV192" s="339"/>
      <c r="AW192" s="339">
        <v>139</v>
      </c>
      <c r="AX192" s="61"/>
      <c r="AY192" s="423"/>
      <c r="AZ192" s="423"/>
      <c r="BA192" s="423"/>
      <c r="BB192" s="423"/>
      <c r="BC192" s="423">
        <v>149.4</v>
      </c>
      <c r="BD192" s="270"/>
      <c r="BE192" s="423"/>
      <c r="BF192" s="423"/>
      <c r="BG192" s="423"/>
      <c r="BH192" s="423"/>
      <c r="BI192" s="423">
        <v>171.2</v>
      </c>
      <c r="BJ192" s="270"/>
      <c r="BK192" s="339"/>
      <c r="BL192" s="339"/>
      <c r="BM192" s="339"/>
      <c r="BN192" s="339"/>
      <c r="BO192" s="1134">
        <v>200</v>
      </c>
      <c r="BP192" s="270"/>
      <c r="BQ192" s="339"/>
      <c r="BR192" s="339"/>
      <c r="BS192" s="339"/>
      <c r="BT192" s="339"/>
      <c r="BU192" s="1134">
        <v>237</v>
      </c>
      <c r="BV192" s="270"/>
      <c r="BW192" s="339"/>
      <c r="BX192" s="339"/>
      <c r="BY192" s="339"/>
      <c r="BZ192" s="339"/>
      <c r="CA192" s="1134">
        <v>266</v>
      </c>
      <c r="CB192" s="270"/>
      <c r="CC192" s="1468"/>
      <c r="CD192" s="159"/>
      <c r="CE192" s="339"/>
      <c r="CF192" s="339"/>
      <c r="CG192" s="1134"/>
      <c r="CH192" s="270"/>
      <c r="CI192" s="1468"/>
      <c r="CJ192" s="1468"/>
      <c r="CK192" s="423"/>
      <c r="CL192" s="339"/>
      <c r="CM192" s="1134"/>
      <c r="CN192" s="270"/>
      <c r="CO192" s="339"/>
      <c r="CP192" s="339"/>
      <c r="CQ192" s="339"/>
      <c r="CR192" s="339"/>
      <c r="CS192" s="1134"/>
      <c r="CT192" s="535"/>
      <c r="CU192" s="339"/>
      <c r="CV192" s="339"/>
      <c r="CW192" s="339"/>
      <c r="CX192" s="339"/>
      <c r="CY192" s="1134"/>
      <c r="CZ192" s="535"/>
      <c r="DA192" s="339"/>
      <c r="DB192" s="339"/>
      <c r="DC192" s="339"/>
      <c r="DD192" s="339"/>
      <c r="DE192" s="1134"/>
      <c r="DF192" s="535"/>
      <c r="DG192" s="339"/>
      <c r="DH192" s="339"/>
      <c r="DI192" s="339"/>
      <c r="DJ192" s="339"/>
      <c r="DK192" s="1134"/>
      <c r="DL192" s="270"/>
      <c r="DM192" s="339"/>
      <c r="DN192" s="339"/>
      <c r="DO192" s="339"/>
      <c r="DP192" s="339"/>
      <c r="DQ192" s="1134"/>
      <c r="DR192" s="535"/>
      <c r="DS192" s="339"/>
      <c r="DT192" s="339"/>
      <c r="DU192" s="339"/>
      <c r="DV192" s="339"/>
      <c r="DW192" s="1134"/>
      <c r="DX192" s="535"/>
      <c r="DY192" s="339"/>
      <c r="DZ192" s="339"/>
      <c r="EA192" s="339"/>
      <c r="EB192" s="339"/>
      <c r="EC192" s="1134"/>
      <c r="ED192" s="535"/>
      <c r="EE192" s="339"/>
      <c r="EF192" s="339"/>
      <c r="EG192" s="339"/>
      <c r="EH192" s="339"/>
      <c r="EI192" s="1134"/>
      <c r="EJ192" s="535"/>
      <c r="EK192" s="339"/>
      <c r="EL192" s="339"/>
      <c r="EM192" s="339"/>
      <c r="EN192" s="339"/>
      <c r="EO192" s="1134"/>
      <c r="EP192" s="535"/>
      <c r="EQ192" s="339"/>
      <c r="ER192" s="339"/>
      <c r="ES192" s="339"/>
      <c r="ET192" s="339"/>
      <c r="EU192" s="1134"/>
    </row>
    <row r="193" spans="1:157" hidden="1" outlineLevel="3">
      <c r="A193" s="541" t="s">
        <v>3804</v>
      </c>
      <c r="B193" s="61"/>
      <c r="C193" s="62"/>
      <c r="D193" s="62"/>
      <c r="E193" s="62"/>
      <c r="F193" s="62"/>
      <c r="G193" s="62">
        <v>4</v>
      </c>
      <c r="H193" s="61"/>
      <c r="I193" s="62"/>
      <c r="J193" s="62"/>
      <c r="K193" s="62"/>
      <c r="L193" s="62"/>
      <c r="M193" s="62">
        <v>30</v>
      </c>
      <c r="N193" s="61"/>
      <c r="O193" s="62"/>
      <c r="P193" s="62"/>
      <c r="Q193" s="62"/>
      <c r="R193" s="62"/>
      <c r="S193" s="62"/>
      <c r="T193" s="61"/>
      <c r="U193" s="62"/>
      <c r="V193" s="62"/>
      <c r="W193" s="62"/>
      <c r="X193" s="62"/>
      <c r="Y193" s="62"/>
      <c r="Z193" s="61"/>
      <c r="AA193" s="62"/>
      <c r="AB193" s="62"/>
      <c r="AC193" s="62"/>
      <c r="AD193" s="62"/>
      <c r="AE193" s="62"/>
      <c r="AF193" s="61"/>
      <c r="AG193" s="339"/>
      <c r="AH193" s="339"/>
      <c r="AI193" s="339"/>
      <c r="AJ193" s="339"/>
      <c r="AK193" s="542"/>
      <c r="AL193" s="61"/>
      <c r="AM193" s="339"/>
      <c r="AN193" s="339"/>
      <c r="AO193" s="339"/>
      <c r="AP193" s="339"/>
      <c r="AQ193" s="339">
        <v>175</v>
      </c>
      <c r="AR193" s="61"/>
      <c r="AS193" s="339"/>
      <c r="AT193" s="339"/>
      <c r="AU193" s="339"/>
      <c r="AV193" s="339"/>
      <c r="AW193" s="339">
        <v>190.1</v>
      </c>
      <c r="AX193" s="61"/>
      <c r="AY193" s="423"/>
      <c r="AZ193" s="423"/>
      <c r="BA193" s="423"/>
      <c r="BB193" s="423"/>
      <c r="BC193" s="423">
        <v>203.7</v>
      </c>
      <c r="BD193" s="270"/>
      <c r="BE193" s="423"/>
      <c r="BF193" s="423"/>
      <c r="BG193" s="423"/>
      <c r="BH193" s="423"/>
      <c r="BI193" s="423">
        <v>222.9</v>
      </c>
      <c r="BJ193" s="270"/>
      <c r="BK193" s="339"/>
      <c r="BL193" s="339"/>
      <c r="BM193" s="339"/>
      <c r="BN193" s="339"/>
      <c r="BO193" s="1134">
        <v>245</v>
      </c>
      <c r="BP193" s="270"/>
      <c r="BQ193" s="339"/>
      <c r="BR193" s="339"/>
      <c r="BS193" s="339"/>
      <c r="BT193" s="339"/>
      <c r="BU193" s="1134">
        <v>264</v>
      </c>
      <c r="BV193" s="270"/>
      <c r="BW193" s="339"/>
      <c r="BX193" s="339"/>
      <c r="BY193" s="339"/>
      <c r="BZ193" s="339"/>
      <c r="CA193" s="1134">
        <v>281</v>
      </c>
      <c r="CB193" s="270"/>
      <c r="CC193" s="1468"/>
      <c r="CD193" s="159"/>
      <c r="CE193" s="339"/>
      <c r="CF193" s="339"/>
      <c r="CG193" s="1134"/>
      <c r="CH193" s="270"/>
      <c r="CI193" s="1468"/>
      <c r="CJ193" s="1468"/>
      <c r="CK193" s="423"/>
      <c r="CL193" s="339"/>
      <c r="CM193" s="1134"/>
      <c r="CN193" s="270"/>
      <c r="CO193" s="339"/>
      <c r="CP193" s="339"/>
      <c r="CQ193" s="339"/>
      <c r="CR193" s="339"/>
      <c r="CS193" s="1134"/>
      <c r="CT193" s="535"/>
      <c r="CU193" s="339"/>
      <c r="CV193" s="339"/>
      <c r="CW193" s="339"/>
      <c r="CX193" s="339"/>
      <c r="CY193" s="1134"/>
      <c r="CZ193" s="535"/>
      <c r="DA193" s="339"/>
      <c r="DB193" s="339"/>
      <c r="DC193" s="339"/>
      <c r="DD193" s="339"/>
      <c r="DE193" s="1134"/>
      <c r="DF193" s="535"/>
      <c r="DG193" s="339"/>
      <c r="DH193" s="339"/>
      <c r="DI193" s="339"/>
      <c r="DJ193" s="339"/>
      <c r="DK193" s="1134"/>
      <c r="DL193" s="270"/>
      <c r="DM193" s="339"/>
      <c r="DN193" s="339"/>
      <c r="DO193" s="339"/>
      <c r="DP193" s="339"/>
      <c r="DQ193" s="1134"/>
      <c r="DR193" s="535"/>
      <c r="DS193" s="339"/>
      <c r="DT193" s="339"/>
      <c r="DU193" s="339"/>
      <c r="DV193" s="339"/>
      <c r="DW193" s="1134"/>
      <c r="DX193" s="535"/>
      <c r="DY193" s="339"/>
      <c r="DZ193" s="339"/>
      <c r="EA193" s="339"/>
      <c r="EB193" s="339"/>
      <c r="EC193" s="1134"/>
      <c r="ED193" s="535"/>
      <c r="EE193" s="339"/>
      <c r="EF193" s="339"/>
      <c r="EG193" s="339"/>
      <c r="EH193" s="339"/>
      <c r="EI193" s="1134"/>
      <c r="EJ193" s="535"/>
      <c r="EK193" s="339"/>
      <c r="EL193" s="339"/>
      <c r="EM193" s="339"/>
      <c r="EN193" s="339"/>
      <c r="EO193" s="1134"/>
      <c r="EP193" s="535"/>
      <c r="EQ193" s="339"/>
      <c r="ER193" s="339"/>
      <c r="ES193" s="339"/>
      <c r="ET193" s="339"/>
      <c r="EU193" s="1134"/>
    </row>
    <row r="194" spans="1:157" hidden="1" outlineLevel="3">
      <c r="A194" s="541" t="s">
        <v>3805</v>
      </c>
      <c r="B194" s="61"/>
      <c r="C194" s="62"/>
      <c r="D194" s="62"/>
      <c r="E194" s="62"/>
      <c r="F194" s="62"/>
      <c r="G194" s="62"/>
      <c r="H194" s="61"/>
      <c r="I194" s="62"/>
      <c r="J194" s="62"/>
      <c r="K194" s="62"/>
      <c r="L194" s="62"/>
      <c r="M194" s="62"/>
      <c r="N194" s="61"/>
      <c r="O194" s="62"/>
      <c r="P194" s="62"/>
      <c r="Q194" s="62"/>
      <c r="R194" s="62"/>
      <c r="S194" s="62"/>
      <c r="T194" s="61"/>
      <c r="U194" s="62"/>
      <c r="V194" s="62"/>
      <c r="W194" s="62"/>
      <c r="X194" s="62"/>
      <c r="Y194" s="62"/>
      <c r="Z194" s="61"/>
      <c r="AA194" s="62"/>
      <c r="AB194" s="62"/>
      <c r="AC194" s="62"/>
      <c r="AD194" s="62"/>
      <c r="AE194" s="62"/>
      <c r="AF194" s="61"/>
      <c r="AG194" s="339"/>
      <c r="AH194" s="339"/>
      <c r="AI194" s="339"/>
      <c r="AJ194" s="339"/>
      <c r="AK194" s="542"/>
      <c r="AL194" s="61"/>
      <c r="AM194" s="339"/>
      <c r="AN194" s="339"/>
      <c r="AO194" s="339"/>
      <c r="AP194" s="339"/>
      <c r="AQ194" s="339">
        <v>289.39999999999998</v>
      </c>
      <c r="AR194" s="61"/>
      <c r="AS194" s="339"/>
      <c r="AT194" s="339"/>
      <c r="AU194" s="339"/>
      <c r="AV194" s="339"/>
      <c r="AW194" s="339">
        <v>336.3</v>
      </c>
      <c r="AX194" s="61"/>
      <c r="AY194" s="423"/>
      <c r="AZ194" s="423"/>
      <c r="BA194" s="423"/>
      <c r="BB194" s="423"/>
      <c r="BC194" s="423">
        <v>383.9</v>
      </c>
      <c r="BD194" s="270"/>
      <c r="BE194" s="423"/>
      <c r="BF194" s="423"/>
      <c r="BG194" s="423"/>
      <c r="BH194" s="423"/>
      <c r="BI194" s="423">
        <v>441.7</v>
      </c>
      <c r="BJ194" s="270"/>
      <c r="BK194" s="339"/>
      <c r="BL194" s="339"/>
      <c r="BM194" s="339"/>
      <c r="BN194" s="339"/>
      <c r="BO194" s="1134">
        <v>494</v>
      </c>
      <c r="BP194" s="270"/>
      <c r="BQ194" s="339"/>
      <c r="BR194" s="339"/>
      <c r="BS194" s="339"/>
      <c r="BT194" s="339"/>
      <c r="BU194" s="1134">
        <v>539</v>
      </c>
      <c r="BV194" s="270"/>
      <c r="BW194" s="339"/>
      <c r="BX194" s="339"/>
      <c r="BY194" s="339"/>
      <c r="BZ194" s="339"/>
      <c r="CA194" s="1134">
        <v>577</v>
      </c>
      <c r="CB194" s="270"/>
      <c r="CC194" s="1468"/>
      <c r="CD194" s="159"/>
      <c r="CE194" s="339"/>
      <c r="CF194" s="339"/>
      <c r="CG194" s="1134"/>
      <c r="CH194" s="270"/>
      <c r="CI194" s="1468"/>
      <c r="CJ194" s="1468"/>
      <c r="CK194" s="423"/>
      <c r="CL194" s="339"/>
      <c r="CM194" s="1134"/>
      <c r="CN194" s="270"/>
      <c r="CO194" s="339"/>
      <c r="CP194" s="339"/>
      <c r="CQ194" s="339"/>
      <c r="CR194" s="339"/>
      <c r="CS194" s="1134"/>
      <c r="CT194" s="535"/>
      <c r="CU194" s="339"/>
      <c r="CV194" s="339"/>
      <c r="CW194" s="339"/>
      <c r="CX194" s="339"/>
      <c r="CY194" s="1134"/>
      <c r="CZ194" s="535"/>
      <c r="DA194" s="339"/>
      <c r="DB194" s="339"/>
      <c r="DC194" s="339"/>
      <c r="DD194" s="339"/>
      <c r="DE194" s="1134"/>
      <c r="DF194" s="535"/>
      <c r="DG194" s="339"/>
      <c r="DH194" s="339"/>
      <c r="DI194" s="339"/>
      <c r="DJ194" s="339"/>
      <c r="DK194" s="1134"/>
      <c r="DL194" s="270"/>
      <c r="DM194" s="339"/>
      <c r="DN194" s="339"/>
      <c r="DO194" s="339"/>
      <c r="DP194" s="339"/>
      <c r="DQ194" s="1134"/>
      <c r="DR194" s="535"/>
      <c r="DS194" s="339"/>
      <c r="DT194" s="339"/>
      <c r="DU194" s="339"/>
      <c r="DV194" s="339"/>
      <c r="DW194" s="1134"/>
      <c r="DX194" s="535"/>
      <c r="DY194" s="339"/>
      <c r="DZ194" s="339"/>
      <c r="EA194" s="339"/>
      <c r="EB194" s="339"/>
      <c r="EC194" s="1134"/>
      <c r="ED194" s="535"/>
      <c r="EE194" s="339"/>
      <c r="EF194" s="339"/>
      <c r="EG194" s="339"/>
      <c r="EH194" s="339"/>
      <c r="EI194" s="1134"/>
      <c r="EJ194" s="535"/>
      <c r="EK194" s="339"/>
      <c r="EL194" s="339"/>
      <c r="EM194" s="339"/>
      <c r="EN194" s="339"/>
      <c r="EO194" s="1134"/>
      <c r="EP194" s="535"/>
      <c r="EQ194" s="339"/>
      <c r="ER194" s="339"/>
      <c r="ES194" s="339"/>
      <c r="ET194" s="339"/>
      <c r="EU194" s="1134"/>
    </row>
    <row r="195" spans="1:157" hidden="1" outlineLevel="3">
      <c r="A195" s="541" t="s">
        <v>2324</v>
      </c>
      <c r="B195" s="61"/>
      <c r="C195" s="62"/>
      <c r="D195" s="62"/>
      <c r="E195" s="62"/>
      <c r="F195" s="62"/>
      <c r="G195" s="62"/>
      <c r="H195" s="61"/>
      <c r="I195" s="62"/>
      <c r="J195" s="62"/>
      <c r="K195" s="62"/>
      <c r="L195" s="62"/>
      <c r="M195" s="62"/>
      <c r="N195" s="61"/>
      <c r="O195" s="62"/>
      <c r="P195" s="62"/>
      <c r="Q195" s="62"/>
      <c r="R195" s="62"/>
      <c r="S195" s="330"/>
      <c r="T195" s="330"/>
      <c r="U195" s="330"/>
      <c r="V195" s="330"/>
      <c r="W195" s="330"/>
      <c r="X195" s="330"/>
      <c r="Y195" s="330"/>
      <c r="Z195" s="330"/>
      <c r="AA195" s="330"/>
      <c r="AB195" s="330"/>
      <c r="AC195" s="330"/>
      <c r="AD195" s="330"/>
      <c r="AE195" s="330"/>
      <c r="AF195" s="61"/>
      <c r="AG195" s="339"/>
      <c r="AH195" s="339"/>
      <c r="AI195" s="339"/>
      <c r="AJ195" s="339"/>
      <c r="AK195" s="542"/>
      <c r="AL195" s="61"/>
      <c r="AM195" s="339"/>
      <c r="AN195" s="339"/>
      <c r="AO195" s="339"/>
      <c r="AP195" s="339"/>
      <c r="AQ195" s="339">
        <v>92.2</v>
      </c>
      <c r="AR195" s="61"/>
      <c r="AS195" s="339"/>
      <c r="AT195" s="339"/>
      <c r="AU195" s="339"/>
      <c r="AV195" s="339"/>
      <c r="AW195" s="339">
        <v>109.9</v>
      </c>
      <c r="AX195" s="61"/>
      <c r="AY195" s="423"/>
      <c r="AZ195" s="423"/>
      <c r="BA195" s="423"/>
      <c r="BB195" s="423"/>
      <c r="BC195" s="423">
        <v>109.9</v>
      </c>
      <c r="BD195" s="270"/>
      <c r="BE195" s="423"/>
      <c r="BF195" s="423"/>
      <c r="BG195" s="423"/>
      <c r="BH195" s="423"/>
      <c r="BI195" s="423">
        <v>82.8</v>
      </c>
      <c r="BJ195" s="270"/>
      <c r="BK195" s="339"/>
      <c r="BL195" s="339"/>
      <c r="BM195" s="339"/>
      <c r="BN195" s="339"/>
      <c r="BO195" s="1134">
        <v>79</v>
      </c>
      <c r="BP195" s="270"/>
      <c r="BQ195" s="339"/>
      <c r="BR195" s="339"/>
      <c r="BS195" s="339"/>
      <c r="BT195" s="339"/>
      <c r="BU195" s="1134"/>
      <c r="BV195" s="270"/>
      <c r="BW195" s="159"/>
      <c r="BX195" s="339"/>
      <c r="BY195" s="339"/>
      <c r="BZ195" s="339"/>
      <c r="CA195" s="1134"/>
      <c r="CB195" s="270"/>
      <c r="CC195" s="339"/>
      <c r="CD195" s="339"/>
      <c r="CE195" s="339"/>
      <c r="CF195" s="339"/>
      <c r="CG195" s="1134"/>
      <c r="CH195" s="270"/>
      <c r="CI195" s="339"/>
      <c r="CJ195" s="339"/>
      <c r="CK195" s="423"/>
      <c r="CL195" s="339"/>
      <c r="CM195" s="1134"/>
      <c r="CN195" s="270"/>
      <c r="CO195" s="339"/>
      <c r="CP195" s="339"/>
      <c r="CQ195" s="339"/>
      <c r="CR195" s="339"/>
      <c r="CS195" s="1134"/>
      <c r="CT195" s="535"/>
      <c r="CU195" s="339"/>
      <c r="CV195" s="339"/>
      <c r="CW195" s="339"/>
      <c r="CX195" s="339"/>
      <c r="CY195" s="1134"/>
      <c r="CZ195" s="535"/>
      <c r="DA195" s="339"/>
      <c r="DB195" s="339"/>
      <c r="DC195" s="339"/>
      <c r="DD195" s="339"/>
      <c r="DE195" s="1134"/>
      <c r="DF195" s="535"/>
      <c r="DG195" s="339"/>
      <c r="DH195" s="339"/>
      <c r="DI195" s="339"/>
      <c r="DJ195" s="339"/>
      <c r="DK195" s="1134"/>
      <c r="DL195" s="270"/>
      <c r="DM195" s="339"/>
      <c r="DN195" s="339"/>
      <c r="DO195" s="339"/>
      <c r="DP195" s="339"/>
      <c r="DQ195" s="1134"/>
      <c r="DR195" s="535"/>
      <c r="DS195" s="339"/>
      <c r="DT195" s="339"/>
      <c r="DU195" s="339"/>
      <c r="DV195" s="339"/>
      <c r="DW195" s="1134"/>
      <c r="DX195" s="535"/>
      <c r="DY195" s="339"/>
      <c r="DZ195" s="339"/>
      <c r="EA195" s="339"/>
      <c r="EB195" s="339"/>
      <c r="EC195" s="1134"/>
      <c r="ED195" s="535"/>
      <c r="EE195" s="339"/>
      <c r="EF195" s="339"/>
      <c r="EG195" s="339"/>
      <c r="EH195" s="339"/>
      <c r="EI195" s="1134"/>
      <c r="EJ195" s="535"/>
      <c r="EK195" s="339"/>
      <c r="EL195" s="339"/>
      <c r="EM195" s="339"/>
      <c r="EN195" s="339"/>
      <c r="EO195" s="1134"/>
      <c r="EP195" s="535"/>
      <c r="EQ195" s="339"/>
      <c r="ER195" s="339"/>
      <c r="ES195" s="339"/>
      <c r="ET195" s="339"/>
      <c r="EU195" s="1134"/>
    </row>
    <row r="196" spans="1:157" hidden="1" outlineLevel="3">
      <c r="A196" s="541"/>
      <c r="B196" s="61"/>
      <c r="C196" s="62"/>
      <c r="D196" s="62"/>
      <c r="E196" s="62"/>
      <c r="F196" s="62"/>
      <c r="G196" s="62"/>
      <c r="H196" s="61"/>
      <c r="I196" s="62"/>
      <c r="J196" s="62"/>
      <c r="K196" s="62"/>
      <c r="L196" s="62"/>
      <c r="M196" s="62"/>
      <c r="N196" s="61"/>
      <c r="O196" s="62"/>
      <c r="P196" s="62"/>
      <c r="Q196" s="62"/>
      <c r="R196" s="62"/>
      <c r="S196" s="62"/>
      <c r="T196" s="61"/>
      <c r="U196" s="62"/>
      <c r="V196" s="62"/>
      <c r="W196" s="62"/>
      <c r="X196" s="62"/>
      <c r="Y196" s="62"/>
      <c r="Z196" s="61"/>
      <c r="AA196" s="62"/>
      <c r="AB196" s="62"/>
      <c r="AC196" s="62"/>
      <c r="AD196" s="62"/>
      <c r="AE196" s="62"/>
      <c r="AF196" s="61"/>
      <c r="AG196" s="339"/>
      <c r="AH196" s="339"/>
      <c r="AI196" s="339"/>
      <c r="AJ196" s="339"/>
      <c r="AK196" s="339"/>
      <c r="AL196" s="61"/>
      <c r="AM196" s="339"/>
      <c r="AN196" s="339"/>
      <c r="AO196" s="339"/>
      <c r="AP196" s="339"/>
      <c r="AQ196" s="339"/>
      <c r="AR196" s="61"/>
      <c r="AS196" s="339"/>
      <c r="AT196" s="339"/>
      <c r="AU196" s="339"/>
      <c r="AV196" s="339"/>
      <c r="AW196" s="339"/>
      <c r="AX196" s="61"/>
      <c r="AY196" s="423"/>
      <c r="AZ196" s="423"/>
      <c r="BA196" s="423"/>
      <c r="BB196" s="423"/>
      <c r="BC196" s="423"/>
      <c r="BD196" s="270"/>
      <c r="BE196" s="423"/>
      <c r="BF196" s="423"/>
      <c r="BG196" s="423"/>
      <c r="BH196" s="423"/>
      <c r="BI196" s="423"/>
      <c r="BJ196" s="270"/>
      <c r="BK196" s="339"/>
      <c r="BL196" s="339"/>
      <c r="BM196" s="339"/>
      <c r="BN196" s="339"/>
      <c r="BO196" s="1134"/>
      <c r="BP196" s="270"/>
      <c r="BQ196" s="339"/>
      <c r="BR196" s="339"/>
      <c r="BS196" s="339"/>
      <c r="BT196" s="339"/>
      <c r="BU196" s="1134"/>
      <c r="BV196" s="270"/>
      <c r="BW196" s="339"/>
      <c r="BX196" s="339"/>
      <c r="BY196" s="339"/>
      <c r="BZ196" s="339"/>
      <c r="CA196" s="1134"/>
      <c r="CB196" s="270"/>
      <c r="CC196" s="339"/>
      <c r="CD196" s="339"/>
      <c r="CE196" s="339"/>
      <c r="CF196" s="339"/>
      <c r="CG196" s="1134"/>
      <c r="CH196" s="270"/>
      <c r="CI196" s="339"/>
      <c r="CJ196" s="339"/>
      <c r="CK196" s="423"/>
      <c r="CL196" s="339"/>
      <c r="CM196" s="1134"/>
      <c r="CN196" s="270"/>
      <c r="CO196" s="339"/>
      <c r="CP196" s="339"/>
      <c r="CQ196" s="339"/>
      <c r="CR196" s="339"/>
      <c r="CS196" s="1134"/>
      <c r="CT196" s="535"/>
      <c r="CU196" s="339"/>
      <c r="CV196" s="339"/>
      <c r="CW196" s="339"/>
      <c r="CX196" s="339"/>
      <c r="CY196" s="1134"/>
      <c r="CZ196" s="535"/>
      <c r="DA196" s="339"/>
      <c r="DB196" s="339"/>
      <c r="DC196" s="339"/>
      <c r="DD196" s="339"/>
      <c r="DE196" s="1134"/>
      <c r="DF196" s="535"/>
      <c r="DG196" s="339"/>
      <c r="DH196" s="339"/>
      <c r="DI196" s="339"/>
      <c r="DJ196" s="339"/>
      <c r="DK196" s="1134"/>
      <c r="DL196" s="270"/>
      <c r="DM196" s="339"/>
      <c r="DN196" s="339"/>
      <c r="DO196" s="339"/>
      <c r="DP196" s="339"/>
      <c r="DQ196" s="1134"/>
      <c r="DR196" s="535"/>
      <c r="DS196" s="339"/>
      <c r="DT196" s="339"/>
      <c r="DU196" s="339"/>
      <c r="DV196" s="339"/>
      <c r="DW196" s="1134"/>
      <c r="DX196" s="535"/>
      <c r="DY196" s="339"/>
      <c r="DZ196" s="339"/>
      <c r="EA196" s="339"/>
      <c r="EB196" s="339"/>
      <c r="EC196" s="1134"/>
      <c r="ED196" s="535"/>
      <c r="EE196" s="339"/>
      <c r="EF196" s="339"/>
      <c r="EG196" s="339"/>
      <c r="EH196" s="339"/>
      <c r="EI196" s="1134"/>
      <c r="EJ196" s="535"/>
      <c r="EK196" s="339"/>
      <c r="EL196" s="339"/>
      <c r="EM196" s="339"/>
      <c r="EN196" s="339"/>
      <c r="EO196" s="1134"/>
      <c r="EP196" s="535"/>
      <c r="EQ196" s="339"/>
      <c r="ER196" s="339"/>
      <c r="ES196" s="339"/>
      <c r="ET196" s="339"/>
      <c r="EU196" s="1134"/>
    </row>
    <row r="197" spans="1:157" hidden="1" outlineLevel="3">
      <c r="A197" s="1029" t="s">
        <v>4818</v>
      </c>
      <c r="B197" s="413"/>
      <c r="C197" s="698"/>
      <c r="D197" s="698"/>
      <c r="E197" s="698"/>
      <c r="F197" s="698"/>
      <c r="G197" s="698">
        <v>450</v>
      </c>
      <c r="H197" s="413"/>
      <c r="I197" s="698"/>
      <c r="J197" s="698"/>
      <c r="K197" s="698"/>
      <c r="L197" s="698"/>
      <c r="M197" s="698">
        <v>630</v>
      </c>
      <c r="N197" s="413"/>
      <c r="O197" s="698"/>
      <c r="P197" s="698"/>
      <c r="Q197" s="698"/>
      <c r="R197" s="698"/>
      <c r="S197" s="1029"/>
      <c r="T197" s="1029"/>
      <c r="U197" s="1029"/>
      <c r="V197" s="1029"/>
      <c r="W197" s="1029"/>
      <c r="X197" s="1029"/>
      <c r="Y197" s="1029"/>
      <c r="Z197" s="1029"/>
      <c r="AA197" s="1029"/>
      <c r="AB197" s="1029"/>
      <c r="AC197" s="1029"/>
      <c r="AD197" s="1029"/>
      <c r="AE197" s="1029"/>
      <c r="AF197" s="413"/>
      <c r="AG197" s="932"/>
      <c r="AH197" s="932"/>
      <c r="AI197" s="932"/>
      <c r="AJ197" s="932"/>
      <c r="AK197" s="1356"/>
      <c r="AL197" s="413"/>
      <c r="AM197" s="932"/>
      <c r="AN197" s="932"/>
      <c r="AO197" s="932"/>
      <c r="AP197" s="932"/>
      <c r="AQ197" s="932">
        <v>2221.1999999999998</v>
      </c>
      <c r="AR197" s="413"/>
      <c r="AS197" s="932"/>
      <c r="AT197" s="932"/>
      <c r="AU197" s="932"/>
      <c r="AV197" s="932"/>
      <c r="AW197" s="932">
        <v>2430.4</v>
      </c>
      <c r="AX197" s="413"/>
      <c r="AY197" s="933"/>
      <c r="AZ197" s="933"/>
      <c r="BA197" s="933"/>
      <c r="BB197" s="933"/>
      <c r="BC197" s="933">
        <v>2677.9</v>
      </c>
      <c r="BD197" s="413"/>
      <c r="BE197" s="933"/>
      <c r="BF197" s="933"/>
      <c r="BG197" s="933"/>
      <c r="BH197" s="933"/>
      <c r="BI197" s="933">
        <v>3009</v>
      </c>
      <c r="BJ197" s="413"/>
      <c r="BK197" s="932"/>
      <c r="BL197" s="932"/>
      <c r="BM197" s="932"/>
      <c r="BN197" s="932"/>
      <c r="BO197" s="1186">
        <v>3335</v>
      </c>
      <c r="BP197" s="413"/>
      <c r="BQ197" s="932"/>
      <c r="BR197" s="932"/>
      <c r="BS197" s="932"/>
      <c r="BT197" s="932"/>
      <c r="BU197" s="1186">
        <v>3680</v>
      </c>
      <c r="BV197" s="413"/>
      <c r="BW197" s="932"/>
      <c r="BX197" s="932"/>
      <c r="BY197" s="932"/>
      <c r="BZ197" s="932"/>
      <c r="CA197" s="1186">
        <v>3949</v>
      </c>
      <c r="CB197" s="413"/>
      <c r="CC197" s="932"/>
      <c r="CD197" s="932"/>
      <c r="CE197" s="932"/>
      <c r="CF197" s="932"/>
      <c r="CG197" s="1186"/>
      <c r="CH197" s="413"/>
      <c r="CI197" s="932"/>
      <c r="CJ197" s="932"/>
      <c r="CK197" s="932"/>
      <c r="CL197" s="932"/>
      <c r="CM197" s="1186"/>
      <c r="CN197" s="270"/>
      <c r="CO197" s="339"/>
      <c r="CP197" s="339"/>
      <c r="CQ197" s="339"/>
      <c r="CR197" s="339"/>
      <c r="CS197" s="1134"/>
      <c r="CT197" s="535"/>
      <c r="CU197" s="339"/>
      <c r="CV197" s="339"/>
      <c r="CW197" s="339"/>
      <c r="CX197" s="339"/>
      <c r="CY197" s="1134"/>
      <c r="CZ197" s="535"/>
      <c r="DA197" s="339"/>
      <c r="DB197" s="339"/>
      <c r="DC197" s="339"/>
      <c r="DD197" s="339"/>
      <c r="DE197" s="1134"/>
      <c r="DF197" s="535"/>
      <c r="DG197" s="339"/>
      <c r="DH197" s="339"/>
      <c r="DI197" s="339"/>
      <c r="DJ197" s="339"/>
      <c r="DK197" s="1134"/>
      <c r="DL197" s="270"/>
      <c r="DM197" s="339"/>
      <c r="DN197" s="339"/>
      <c r="DO197" s="339"/>
      <c r="DP197" s="339"/>
      <c r="DQ197" s="1134"/>
      <c r="DR197" s="535"/>
      <c r="DS197" s="339"/>
      <c r="DT197" s="339"/>
      <c r="DU197" s="339"/>
      <c r="DV197" s="339"/>
      <c r="DW197" s="1134"/>
      <c r="DX197" s="535"/>
      <c r="DY197" s="339"/>
      <c r="DZ197" s="339"/>
      <c r="EA197" s="339"/>
      <c r="EB197" s="339"/>
      <c r="EC197" s="1134"/>
      <c r="ED197" s="535"/>
      <c r="EE197" s="339"/>
      <c r="EF197" s="339"/>
      <c r="EG197" s="339"/>
      <c r="EH197" s="339"/>
      <c r="EI197" s="1134"/>
      <c r="EJ197" s="535"/>
      <c r="EK197" s="339"/>
      <c r="EL197" s="339"/>
      <c r="EM197" s="339"/>
      <c r="EN197" s="339"/>
      <c r="EO197" s="1134"/>
      <c r="EP197" s="535"/>
      <c r="EQ197" s="339"/>
      <c r="ER197" s="339"/>
      <c r="ES197" s="339"/>
      <c r="ET197" s="339"/>
      <c r="EU197" s="1134"/>
    </row>
    <row r="198" spans="1:157" hidden="1" outlineLevel="3">
      <c r="A198" s="1033"/>
      <c r="B198" s="270"/>
      <c r="C198" s="412"/>
      <c r="D198" s="412"/>
      <c r="E198" s="412"/>
      <c r="F198" s="412"/>
      <c r="G198" s="412"/>
      <c r="H198" s="270"/>
      <c r="I198" s="412"/>
      <c r="J198" s="412"/>
      <c r="K198" s="412"/>
      <c r="L198" s="412"/>
      <c r="M198" s="412"/>
      <c r="N198" s="270"/>
      <c r="O198" s="412"/>
      <c r="P198" s="412"/>
      <c r="Q198" s="412"/>
      <c r="R198" s="412"/>
      <c r="S198" s="1033"/>
      <c r="T198" s="1033"/>
      <c r="U198" s="1033"/>
      <c r="V198" s="1033"/>
      <c r="W198" s="1033"/>
      <c r="X198" s="1033"/>
      <c r="Y198" s="1033"/>
      <c r="Z198" s="1033"/>
      <c r="AA198" s="1033"/>
      <c r="AB198" s="1033"/>
      <c r="AC198" s="1033"/>
      <c r="AD198" s="1033"/>
      <c r="AE198" s="1033"/>
      <c r="AF198" s="270"/>
      <c r="AG198" s="535"/>
      <c r="AH198" s="535"/>
      <c r="AI198" s="535"/>
      <c r="AJ198" s="535"/>
      <c r="AK198" s="1354"/>
      <c r="AL198" s="270"/>
      <c r="AM198" s="535"/>
      <c r="AN198" s="535"/>
      <c r="AO198" s="535"/>
      <c r="AP198" s="535"/>
      <c r="AQ198" s="535"/>
      <c r="AR198" s="270"/>
      <c r="AS198" s="535"/>
      <c r="AT198" s="535"/>
      <c r="AU198" s="535"/>
      <c r="AV198" s="535"/>
      <c r="AW198" s="535">
        <f>AW197-AQ197</f>
        <v>209.20000000000027</v>
      </c>
      <c r="AX198" s="270"/>
      <c r="AY198" s="779"/>
      <c r="AZ198" s="779"/>
      <c r="BA198" s="779"/>
      <c r="BB198" s="779"/>
      <c r="BC198" s="535">
        <f>BC197-AW197</f>
        <v>247.5</v>
      </c>
      <c r="BD198" s="270"/>
      <c r="BE198" s="779"/>
      <c r="BF198" s="779"/>
      <c r="BG198" s="779"/>
      <c r="BH198" s="779"/>
      <c r="BI198" s="535">
        <f>BI197-BC197</f>
        <v>331.09999999999991</v>
      </c>
      <c r="BJ198" s="270"/>
      <c r="BK198" s="535"/>
      <c r="BL198" s="535"/>
      <c r="BM198" s="535"/>
      <c r="BN198" s="535"/>
      <c r="BO198" s="1134">
        <f>BO197-BI197</f>
        <v>326</v>
      </c>
      <c r="BP198" s="270"/>
      <c r="BQ198" s="535"/>
      <c r="BR198" s="535"/>
      <c r="BS198" s="535"/>
      <c r="BT198" s="535"/>
      <c r="BU198" s="1134">
        <f>BU197-BO197</f>
        <v>345</v>
      </c>
      <c r="BV198" s="270"/>
      <c r="BW198" s="535"/>
      <c r="BX198" s="535"/>
      <c r="BY198" s="535"/>
      <c r="BZ198" s="535"/>
      <c r="CA198" s="1134">
        <f>CA197-BU197</f>
        <v>269</v>
      </c>
      <c r="CB198" s="270"/>
      <c r="CC198" s="535"/>
      <c r="CD198" s="535"/>
      <c r="CE198" s="535"/>
      <c r="CF198" s="535"/>
      <c r="CG198" s="1134"/>
      <c r="CH198" s="270"/>
      <c r="CI198" s="535"/>
      <c r="CJ198" s="535"/>
      <c r="CK198" s="535"/>
      <c r="CL198" s="535"/>
      <c r="CM198" s="1134"/>
      <c r="CN198" s="270"/>
      <c r="CO198" s="339"/>
      <c r="CP198" s="339"/>
      <c r="CQ198" s="339"/>
      <c r="CR198" s="339"/>
      <c r="CS198" s="1134"/>
      <c r="CT198" s="535"/>
      <c r="CU198" s="339"/>
      <c r="CV198" s="339"/>
      <c r="CW198" s="339"/>
      <c r="CX198" s="339"/>
      <c r="CY198" s="1134"/>
      <c r="CZ198" s="535"/>
      <c r="DA198" s="339"/>
      <c r="DB198" s="339"/>
      <c r="DC198" s="339"/>
      <c r="DD198" s="339"/>
      <c r="DE198" s="1134"/>
      <c r="DF198" s="535"/>
      <c r="DG198" s="339"/>
      <c r="DH198" s="339"/>
      <c r="DI198" s="339"/>
      <c r="DJ198" s="339"/>
      <c r="DK198" s="1134"/>
      <c r="DL198" s="270"/>
      <c r="DM198" s="339"/>
      <c r="DN198" s="339"/>
      <c r="DO198" s="339"/>
      <c r="DP198" s="339"/>
      <c r="DQ198" s="1134"/>
      <c r="DR198" s="535"/>
      <c r="DS198" s="339"/>
      <c r="DT198" s="339"/>
      <c r="DU198" s="339"/>
      <c r="DV198" s="339"/>
      <c r="DW198" s="1134"/>
      <c r="DX198" s="535"/>
      <c r="DY198" s="339"/>
      <c r="DZ198" s="339"/>
      <c r="EA198" s="339"/>
      <c r="EB198" s="339"/>
      <c r="EC198" s="1134"/>
      <c r="ED198" s="535"/>
      <c r="EE198" s="339"/>
      <c r="EF198" s="339"/>
      <c r="EG198" s="339"/>
      <c r="EH198" s="339"/>
      <c r="EI198" s="1134"/>
      <c r="EJ198" s="535"/>
      <c r="EK198" s="339"/>
      <c r="EL198" s="339"/>
      <c r="EM198" s="339"/>
      <c r="EN198" s="339"/>
      <c r="EO198" s="1134"/>
      <c r="EP198" s="535"/>
      <c r="EQ198" s="339"/>
      <c r="ER198" s="339"/>
      <c r="ES198" s="339"/>
      <c r="ET198" s="339"/>
      <c r="EU198" s="1134"/>
    </row>
    <row r="199" spans="1:157" hidden="1" outlineLevel="3">
      <c r="A199" s="1033"/>
      <c r="B199" s="270"/>
      <c r="C199" s="412"/>
      <c r="D199" s="412"/>
      <c r="E199" s="412"/>
      <c r="F199" s="412"/>
      <c r="G199" s="412"/>
      <c r="H199" s="270"/>
      <c r="I199" s="412"/>
      <c r="J199" s="412"/>
      <c r="K199" s="412"/>
      <c r="L199" s="412"/>
      <c r="M199" s="412"/>
      <c r="N199" s="270"/>
      <c r="O199" s="412"/>
      <c r="P199" s="412"/>
      <c r="Q199" s="412"/>
      <c r="R199" s="412"/>
      <c r="S199" s="1033"/>
      <c r="T199" s="1033"/>
      <c r="U199" s="1033"/>
      <c r="V199" s="1033"/>
      <c r="W199" s="1033"/>
      <c r="X199" s="1033"/>
      <c r="Y199" s="1033"/>
      <c r="Z199" s="1033"/>
      <c r="AA199" s="1033"/>
      <c r="AB199" s="1033"/>
      <c r="AC199" s="1033"/>
      <c r="AD199" s="1033"/>
      <c r="AE199" s="1033"/>
      <c r="AF199" s="270"/>
      <c r="AG199" s="535"/>
      <c r="AH199" s="535"/>
      <c r="AI199" s="535"/>
      <c r="AJ199" s="535"/>
      <c r="AK199" s="1354"/>
      <c r="AL199" s="270"/>
      <c r="AM199" s="535"/>
      <c r="AN199" s="535"/>
      <c r="AO199" s="535"/>
      <c r="AP199" s="535"/>
      <c r="AQ199" s="535"/>
      <c r="AR199" s="270"/>
      <c r="AS199" s="535"/>
      <c r="AT199" s="535"/>
      <c r="AU199" s="535"/>
      <c r="AV199" s="535"/>
      <c r="AW199" s="535"/>
      <c r="AX199" s="270"/>
      <c r="AY199" s="779"/>
      <c r="AZ199" s="779"/>
      <c r="BA199" s="779"/>
      <c r="BB199" s="779"/>
      <c r="BC199" s="779"/>
      <c r="BD199" s="270"/>
      <c r="BE199" s="779"/>
      <c r="BF199" s="779"/>
      <c r="BG199" s="779"/>
      <c r="BH199" s="779"/>
      <c r="BI199" s="779"/>
      <c r="BJ199" s="270"/>
      <c r="BK199" s="535"/>
      <c r="BL199" s="535"/>
      <c r="BM199" s="535"/>
      <c r="BN199" s="535"/>
      <c r="BO199" s="1134"/>
      <c r="BP199" s="270"/>
      <c r="BQ199" s="535"/>
      <c r="BR199" s="535"/>
      <c r="BS199" s="535"/>
      <c r="BT199" s="535"/>
      <c r="BU199" s="1134"/>
      <c r="BV199" s="270"/>
      <c r="BW199" s="535"/>
      <c r="BX199" s="535"/>
      <c r="BY199" s="535"/>
      <c r="BZ199" s="535"/>
      <c r="CA199" s="1134"/>
      <c r="CB199" s="270"/>
      <c r="CC199" s="535"/>
      <c r="CD199" s="535"/>
      <c r="CE199" s="535"/>
      <c r="CF199" s="535"/>
      <c r="CG199" s="1134"/>
      <c r="CH199" s="270"/>
      <c r="CI199" s="535"/>
      <c r="CJ199" s="535"/>
      <c r="CK199" s="535"/>
      <c r="CL199" s="535"/>
      <c r="CM199" s="1134"/>
      <c r="CN199" s="270"/>
      <c r="CO199" s="339"/>
      <c r="CP199" s="339"/>
      <c r="CQ199" s="339"/>
      <c r="CR199" s="339"/>
      <c r="CS199" s="1134"/>
      <c r="CT199" s="535"/>
      <c r="CU199" s="339"/>
      <c r="CV199" s="339"/>
      <c r="CW199" s="339"/>
      <c r="CX199" s="339"/>
      <c r="CY199" s="1134"/>
      <c r="CZ199" s="535"/>
      <c r="DA199" s="339"/>
      <c r="DB199" s="339"/>
      <c r="DC199" s="339"/>
      <c r="DD199" s="339"/>
      <c r="DE199" s="1134"/>
      <c r="DF199" s="535"/>
      <c r="DG199" s="339"/>
      <c r="DH199" s="339"/>
      <c r="DI199" s="339"/>
      <c r="DJ199" s="339"/>
      <c r="DK199" s="1134"/>
      <c r="DL199" s="270"/>
      <c r="DM199" s="339"/>
      <c r="DN199" s="339"/>
      <c r="DO199" s="339"/>
      <c r="DP199" s="339"/>
      <c r="DQ199" s="1134"/>
      <c r="DR199" s="535"/>
      <c r="DS199" s="339"/>
      <c r="DT199" s="339"/>
      <c r="DU199" s="339"/>
      <c r="DV199" s="339"/>
      <c r="DW199" s="1134"/>
      <c r="DX199" s="535"/>
      <c r="DY199" s="339"/>
      <c r="DZ199" s="339"/>
      <c r="EA199" s="339"/>
      <c r="EB199" s="339"/>
      <c r="EC199" s="1134"/>
      <c r="ED199" s="535"/>
      <c r="EE199" s="339"/>
      <c r="EF199" s="339"/>
      <c r="EG199" s="339"/>
      <c r="EH199" s="339"/>
      <c r="EI199" s="1134"/>
      <c r="EJ199" s="535"/>
      <c r="EK199" s="339"/>
      <c r="EL199" s="339"/>
      <c r="EM199" s="339"/>
      <c r="EN199" s="339"/>
      <c r="EO199" s="1134"/>
      <c r="EP199" s="535"/>
      <c r="EQ199" s="339"/>
      <c r="ER199" s="339"/>
      <c r="ES199" s="339"/>
      <c r="ET199" s="339"/>
      <c r="EU199" s="1134"/>
    </row>
    <row r="200" spans="1:157" hidden="1" outlineLevel="3">
      <c r="A200" s="1038"/>
      <c r="B200" s="936"/>
      <c r="C200" s="914"/>
      <c r="D200" s="914"/>
      <c r="E200" s="914"/>
      <c r="F200" s="914"/>
      <c r="G200" s="914"/>
      <c r="H200" s="936"/>
      <c r="I200" s="914"/>
      <c r="J200" s="914"/>
      <c r="K200" s="914"/>
      <c r="L200" s="914"/>
      <c r="M200" s="914"/>
      <c r="N200" s="936"/>
      <c r="O200" s="914"/>
      <c r="P200" s="914"/>
      <c r="Q200" s="914"/>
      <c r="R200" s="914"/>
      <c r="S200" s="1038"/>
      <c r="T200" s="1038"/>
      <c r="U200" s="1038"/>
      <c r="V200" s="1038"/>
      <c r="W200" s="1038"/>
      <c r="X200" s="1038"/>
      <c r="Y200" s="1038"/>
      <c r="Z200" s="1038"/>
      <c r="AA200" s="1038"/>
      <c r="AB200" s="1038"/>
      <c r="AC200" s="1038"/>
      <c r="AD200" s="1038"/>
      <c r="AE200" s="1038"/>
      <c r="AF200" s="936"/>
      <c r="AG200" s="937"/>
      <c r="AH200" s="937"/>
      <c r="AI200" s="937"/>
      <c r="AJ200" s="937"/>
      <c r="AK200" s="1355"/>
      <c r="AL200" s="936"/>
      <c r="AM200" s="937"/>
      <c r="AN200" s="937"/>
      <c r="AO200" s="937"/>
      <c r="AP200" s="937"/>
      <c r="AQ200" s="937"/>
      <c r="AR200" s="936"/>
      <c r="AS200" s="937"/>
      <c r="AT200" s="937"/>
      <c r="AU200" s="937"/>
      <c r="AV200" s="937"/>
      <c r="AW200" s="985">
        <f>AW197/AQ197-1</f>
        <v>9.4183324329191631E-2</v>
      </c>
      <c r="AX200" s="936"/>
      <c r="AY200" s="938"/>
      <c r="AZ200" s="938"/>
      <c r="BA200" s="938"/>
      <c r="BB200" s="938"/>
      <c r="BC200" s="985">
        <f>BC197/AW197-1</f>
        <v>0.10183508887425941</v>
      </c>
      <c r="BD200" s="936"/>
      <c r="BE200" s="938"/>
      <c r="BF200" s="938"/>
      <c r="BG200" s="938"/>
      <c r="BH200" s="938"/>
      <c r="BI200" s="985">
        <f>BI197/BC197-1</f>
        <v>0.12364165950931705</v>
      </c>
      <c r="BJ200" s="936"/>
      <c r="BK200" s="937"/>
      <c r="BL200" s="937"/>
      <c r="BM200" s="937"/>
      <c r="BN200" s="937"/>
      <c r="BO200" s="1172">
        <f>BO197/BI197-1</f>
        <v>0.10834164174144223</v>
      </c>
      <c r="BP200" s="936"/>
      <c r="BQ200" s="937"/>
      <c r="BR200" s="937"/>
      <c r="BS200" s="937"/>
      <c r="BT200" s="937"/>
      <c r="BU200" s="1172">
        <f>BU197/BO197-1</f>
        <v>0.10344827586206895</v>
      </c>
      <c r="BV200" s="936"/>
      <c r="BW200" s="937"/>
      <c r="BX200" s="937"/>
      <c r="BY200" s="937"/>
      <c r="BZ200" s="937"/>
      <c r="CA200" s="1172">
        <f>CA197/BU197-1</f>
        <v>7.3097826086956585E-2</v>
      </c>
      <c r="CB200" s="936"/>
      <c r="CC200" s="937"/>
      <c r="CD200" s="937"/>
      <c r="CE200" s="937"/>
      <c r="CF200" s="937"/>
      <c r="CG200" s="1187"/>
      <c r="CH200" s="936"/>
      <c r="CI200" s="937"/>
      <c r="CJ200" s="937"/>
      <c r="CK200" s="937"/>
      <c r="CL200" s="937"/>
      <c r="CM200" s="1187"/>
      <c r="CN200" s="270"/>
      <c r="CO200" s="339"/>
      <c r="CP200" s="339"/>
      <c r="CQ200" s="339"/>
      <c r="CR200" s="339"/>
      <c r="CS200" s="1134"/>
      <c r="CT200" s="535"/>
      <c r="CU200" s="339"/>
      <c r="CV200" s="339"/>
      <c r="CW200" s="339"/>
      <c r="CX200" s="339"/>
      <c r="CY200" s="1134"/>
      <c r="CZ200" s="535"/>
      <c r="DA200" s="339"/>
      <c r="DB200" s="339"/>
      <c r="DC200" s="339"/>
      <c r="DD200" s="339"/>
      <c r="DE200" s="1134"/>
      <c r="DF200" s="535"/>
      <c r="DG200" s="339"/>
      <c r="DH200" s="339"/>
      <c r="DI200" s="339"/>
      <c r="DJ200" s="339"/>
      <c r="DK200" s="1134"/>
      <c r="DL200" s="270"/>
      <c r="DM200" s="339"/>
      <c r="DN200" s="339"/>
      <c r="DO200" s="339"/>
      <c r="DP200" s="339"/>
      <c r="DQ200" s="1134"/>
      <c r="DR200" s="535"/>
      <c r="DS200" s="339"/>
      <c r="DT200" s="339"/>
      <c r="DU200" s="339"/>
      <c r="DV200" s="339"/>
      <c r="DW200" s="1134"/>
      <c r="DX200" s="535"/>
      <c r="DY200" s="339"/>
      <c r="DZ200" s="339"/>
      <c r="EA200" s="339"/>
      <c r="EB200" s="339"/>
      <c r="EC200" s="1134"/>
      <c r="ED200" s="535"/>
      <c r="EE200" s="339"/>
      <c r="EF200" s="339"/>
      <c r="EG200" s="339"/>
      <c r="EH200" s="339"/>
      <c r="EI200" s="1134"/>
      <c r="EJ200" s="535"/>
      <c r="EK200" s="339"/>
      <c r="EL200" s="339"/>
      <c r="EM200" s="339"/>
      <c r="EN200" s="339"/>
      <c r="EO200" s="1134"/>
      <c r="EP200" s="535"/>
      <c r="EQ200" s="339"/>
      <c r="ER200" s="339"/>
      <c r="ES200" s="339"/>
      <c r="ET200" s="339"/>
      <c r="EU200" s="1134"/>
    </row>
    <row r="201" spans="1:157" hidden="1" outlineLevel="3">
      <c r="A201" s="330"/>
      <c r="B201" s="61"/>
      <c r="C201" s="62"/>
      <c r="D201" s="62"/>
      <c r="E201" s="62"/>
      <c r="F201" s="62"/>
      <c r="G201" s="62"/>
      <c r="H201" s="61"/>
      <c r="I201" s="62"/>
      <c r="J201" s="62"/>
      <c r="K201" s="62"/>
      <c r="L201" s="62"/>
      <c r="M201" s="62"/>
      <c r="N201" s="61"/>
      <c r="O201" s="62"/>
      <c r="P201" s="62"/>
      <c r="Q201" s="62"/>
      <c r="R201" s="62"/>
      <c r="S201" s="330"/>
      <c r="T201" s="330"/>
      <c r="U201" s="330"/>
      <c r="V201" s="330"/>
      <c r="W201" s="330"/>
      <c r="X201" s="330"/>
      <c r="Y201" s="330"/>
      <c r="Z201" s="330"/>
      <c r="AA201" s="330"/>
      <c r="AB201" s="330"/>
      <c r="AC201" s="330"/>
      <c r="AD201" s="330"/>
      <c r="AE201" s="330"/>
      <c r="AF201" s="61"/>
      <c r="AG201" s="339"/>
      <c r="AH201" s="339"/>
      <c r="AI201" s="339"/>
      <c r="AJ201" s="339"/>
      <c r="AK201" s="542"/>
      <c r="AL201" s="61"/>
      <c r="AM201" s="339"/>
      <c r="AN201" s="339"/>
      <c r="AO201" s="339"/>
      <c r="AP201" s="339"/>
      <c r="AQ201" s="339"/>
      <c r="AR201" s="61"/>
      <c r="AS201" s="339"/>
      <c r="AT201" s="339"/>
      <c r="AU201" s="339"/>
      <c r="AV201" s="339"/>
      <c r="AW201" s="331"/>
      <c r="AX201" s="61"/>
      <c r="AY201" s="423"/>
      <c r="AZ201" s="423"/>
      <c r="BA201" s="423"/>
      <c r="BB201" s="423"/>
      <c r="BC201" s="331"/>
      <c r="BD201" s="270"/>
      <c r="BE201" s="423"/>
      <c r="BF201" s="423"/>
      <c r="BG201" s="423"/>
      <c r="BH201" s="423"/>
      <c r="BI201" s="331"/>
      <c r="BJ201" s="270"/>
      <c r="BK201" s="339"/>
      <c r="BL201" s="339"/>
      <c r="BM201" s="339"/>
      <c r="BN201" s="339"/>
      <c r="BO201" s="1136"/>
      <c r="BP201" s="270"/>
      <c r="BQ201" s="339"/>
      <c r="BR201" s="339"/>
      <c r="BS201" s="339"/>
      <c r="BT201" s="339"/>
      <c r="BU201" s="1136"/>
      <c r="BV201" s="270"/>
      <c r="BW201" s="339"/>
      <c r="BX201" s="339"/>
      <c r="BY201" s="339"/>
      <c r="BZ201" s="339"/>
      <c r="CA201" s="1134"/>
      <c r="CB201" s="270"/>
      <c r="CC201" s="339"/>
      <c r="CD201" s="339"/>
      <c r="CE201" s="339"/>
      <c r="CF201" s="339"/>
      <c r="CG201" s="1134"/>
      <c r="CH201" s="270"/>
      <c r="CI201" s="339"/>
      <c r="CJ201" s="339"/>
      <c r="CK201" s="423"/>
      <c r="CL201" s="339"/>
      <c r="CM201" s="1134"/>
      <c r="CN201" s="270"/>
      <c r="CO201" s="339"/>
      <c r="CP201" s="339"/>
      <c r="CQ201" s="339"/>
      <c r="CR201" s="339"/>
      <c r="CS201" s="1134"/>
      <c r="CT201" s="535"/>
      <c r="CU201" s="339"/>
      <c r="CV201" s="339"/>
      <c r="CW201" s="339"/>
      <c r="CX201" s="339"/>
      <c r="CY201" s="1134"/>
      <c r="CZ201" s="535"/>
      <c r="DA201" s="339"/>
      <c r="DB201" s="339"/>
      <c r="DC201" s="339"/>
      <c r="DD201" s="339"/>
      <c r="DE201" s="1134"/>
      <c r="DF201" s="535"/>
      <c r="DG201" s="339"/>
      <c r="DH201" s="339"/>
      <c r="DI201" s="339"/>
      <c r="DJ201" s="339"/>
      <c r="DK201" s="1134"/>
      <c r="DL201" s="270"/>
      <c r="DM201" s="339"/>
      <c r="DN201" s="339"/>
      <c r="DO201" s="339"/>
      <c r="DP201" s="339"/>
      <c r="DQ201" s="1134"/>
      <c r="DR201" s="535"/>
      <c r="DS201" s="339"/>
      <c r="DT201" s="339"/>
      <c r="DU201" s="339"/>
      <c r="DV201" s="339"/>
      <c r="DW201" s="1134"/>
      <c r="DX201" s="535"/>
      <c r="DY201" s="339"/>
      <c r="DZ201" s="339"/>
      <c r="EA201" s="339"/>
      <c r="EB201" s="339"/>
      <c r="EC201" s="1134"/>
      <c r="ED201" s="535"/>
      <c r="EE201" s="339"/>
      <c r="EF201" s="339"/>
      <c r="EG201" s="339"/>
      <c r="EH201" s="339"/>
      <c r="EI201" s="1134"/>
      <c r="EJ201" s="535"/>
      <c r="EK201" s="339"/>
      <c r="EL201" s="339"/>
      <c r="EM201" s="339"/>
      <c r="EN201" s="339"/>
      <c r="EO201" s="1134"/>
      <c r="EP201" s="535"/>
      <c r="EQ201" s="339"/>
      <c r="ER201" s="339"/>
      <c r="ES201" s="339"/>
      <c r="ET201" s="339"/>
      <c r="EU201" s="1134"/>
    </row>
    <row r="202" spans="1:157" hidden="1" outlineLevel="3">
      <c r="A202" s="416" t="s">
        <v>668</v>
      </c>
      <c r="B202" s="113"/>
      <c r="C202" s="226"/>
      <c r="D202" s="226"/>
      <c r="E202" s="226"/>
      <c r="F202" s="226"/>
      <c r="G202" s="270"/>
      <c r="H202" s="113"/>
      <c r="I202" s="270"/>
      <c r="J202" s="270"/>
      <c r="K202" s="270"/>
      <c r="L202" s="270"/>
      <c r="M202" s="270"/>
      <c r="N202" s="113"/>
      <c r="O202" s="270"/>
      <c r="P202" s="270"/>
      <c r="Q202" s="270"/>
      <c r="R202" s="270"/>
      <c r="S202" s="270"/>
      <c r="T202" s="113"/>
      <c r="U202" s="270"/>
      <c r="V202" s="270"/>
      <c r="W202" s="270"/>
      <c r="X202" s="270"/>
      <c r="Y202" s="270"/>
      <c r="Z202" s="113"/>
      <c r="AA202" s="270"/>
      <c r="AB202" s="270"/>
      <c r="AC202" s="270"/>
      <c r="AD202" s="270"/>
      <c r="AE202" s="270"/>
      <c r="AF202" s="270"/>
      <c r="AG202" s="270"/>
      <c r="AH202" s="270"/>
      <c r="AI202" s="270"/>
      <c r="AJ202" s="270"/>
      <c r="AK202" s="270"/>
      <c r="AL202" s="270"/>
      <c r="AM202" s="270"/>
      <c r="AN202" s="270"/>
      <c r="AO202" s="270"/>
      <c r="AP202" s="270"/>
      <c r="AQ202" s="270"/>
      <c r="AR202" s="270"/>
      <c r="AS202" s="270"/>
      <c r="AT202" s="270"/>
      <c r="AU202" s="270"/>
      <c r="AV202" s="270"/>
      <c r="AW202" s="270"/>
      <c r="AX202" s="270"/>
      <c r="AY202" s="412"/>
      <c r="AZ202" s="412"/>
      <c r="BA202" s="412"/>
      <c r="BB202" s="412"/>
      <c r="BC202" s="412"/>
      <c r="BD202" s="113"/>
      <c r="BE202" s="412"/>
      <c r="BF202" s="291"/>
      <c r="BG202" s="291"/>
      <c r="BH202" s="412"/>
      <c r="BI202" s="412"/>
      <c r="BJ202" s="113"/>
      <c r="BK202" s="270"/>
      <c r="BL202" s="270"/>
      <c r="BM202" s="270"/>
      <c r="BN202" s="270"/>
      <c r="BO202" s="1125"/>
      <c r="BP202" s="113"/>
      <c r="BQ202" s="270"/>
      <c r="BR202" s="270"/>
      <c r="BS202" s="270"/>
      <c r="BT202" s="270">
        <v>56</v>
      </c>
      <c r="BU202" s="1125"/>
      <c r="BV202" s="113"/>
      <c r="BW202" s="270">
        <v>46</v>
      </c>
      <c r="BX202" s="270"/>
      <c r="BY202" s="270">
        <v>44</v>
      </c>
      <c r="BZ202" s="270">
        <v>6.1</v>
      </c>
      <c r="CA202" s="1125"/>
      <c r="CB202" s="113"/>
      <c r="CC202" s="270"/>
      <c r="CD202" s="270"/>
      <c r="CE202" s="270"/>
      <c r="CF202" s="270"/>
      <c r="CG202" s="1125"/>
      <c r="CH202" s="113"/>
      <c r="CI202" s="270"/>
      <c r="CJ202" s="270"/>
      <c r="CK202" s="412"/>
      <c r="CL202" s="270"/>
      <c r="CM202" s="1125"/>
      <c r="CN202" s="113"/>
      <c r="CO202" s="270"/>
      <c r="CP202" s="270"/>
      <c r="CQ202" s="270"/>
      <c r="CR202" s="270"/>
      <c r="CS202" s="1125"/>
      <c r="CT202" s="270"/>
      <c r="CU202" s="270"/>
      <c r="CV202" s="270"/>
      <c r="CW202" s="270"/>
      <c r="CX202" s="270"/>
      <c r="CY202" s="1125"/>
      <c r="CZ202" s="270"/>
      <c r="DA202" s="270"/>
      <c r="DB202" s="270"/>
      <c r="DC202" s="270"/>
      <c r="DD202" s="270"/>
      <c r="DE202" s="1125"/>
      <c r="DF202" s="270"/>
      <c r="DG202" s="270"/>
      <c r="DH202" s="270"/>
      <c r="DI202" s="270"/>
      <c r="DJ202" s="270"/>
      <c r="DK202" s="1125"/>
      <c r="DL202" s="113"/>
      <c r="DM202" s="270"/>
      <c r="DN202" s="270"/>
      <c r="DO202" s="270"/>
      <c r="DP202" s="270"/>
      <c r="DQ202" s="1125"/>
      <c r="DR202" s="270"/>
      <c r="DS202" s="270"/>
      <c r="DT202" s="270"/>
      <c r="DU202" s="270"/>
      <c r="DV202" s="270"/>
      <c r="DW202" s="1125"/>
      <c r="DX202" s="270"/>
      <c r="DY202" s="270"/>
      <c r="DZ202" s="270"/>
      <c r="EA202" s="270"/>
      <c r="EB202" s="270"/>
      <c r="EC202" s="1125"/>
      <c r="ED202" s="270"/>
      <c r="EE202" s="270"/>
      <c r="EF202" s="270"/>
      <c r="EG202" s="270"/>
      <c r="EH202" s="270"/>
      <c r="EI202" s="1125"/>
      <c r="EJ202" s="270"/>
      <c r="EK202" s="270"/>
      <c r="EL202" s="270"/>
      <c r="EM202" s="270"/>
      <c r="EN202" s="270"/>
      <c r="EO202" s="1125"/>
      <c r="EP202" s="270"/>
      <c r="EQ202" s="270"/>
      <c r="ER202" s="270"/>
      <c r="ES202" s="270"/>
      <c r="ET202" s="270"/>
      <c r="EU202" s="1125"/>
    </row>
    <row r="203" spans="1:157" hidden="1" outlineLevel="3">
      <c r="A203" s="416" t="s">
        <v>669</v>
      </c>
      <c r="B203" s="113"/>
      <c r="C203" s="226"/>
      <c r="D203" s="226"/>
      <c r="E203" s="226"/>
      <c r="F203" s="226"/>
      <c r="G203" s="270"/>
      <c r="H203" s="113"/>
      <c r="I203" s="270"/>
      <c r="J203" s="270"/>
      <c r="K203" s="270"/>
      <c r="L203" s="270"/>
      <c r="M203" s="270"/>
      <c r="N203" s="113"/>
      <c r="O203" s="270"/>
      <c r="P203" s="270"/>
      <c r="Q203" s="270"/>
      <c r="R203" s="270"/>
      <c r="S203" s="270"/>
      <c r="T203" s="113"/>
      <c r="U203" s="270"/>
      <c r="V203" s="270"/>
      <c r="W203" s="270"/>
      <c r="X203" s="270"/>
      <c r="Y203" s="270"/>
      <c r="Z203" s="113"/>
      <c r="AA203" s="270"/>
      <c r="AB203" s="270"/>
      <c r="AC203" s="270"/>
      <c r="AD203" s="270"/>
      <c r="AE203" s="270"/>
      <c r="AF203" s="270"/>
      <c r="AG203" s="270"/>
      <c r="AH203" s="270"/>
      <c r="AI203" s="270"/>
      <c r="AJ203" s="270"/>
      <c r="AK203" s="270"/>
      <c r="AL203" s="270"/>
      <c r="AM203" s="270"/>
      <c r="AN203" s="270"/>
      <c r="AO203" s="270"/>
      <c r="AP203" s="270"/>
      <c r="AQ203" s="270"/>
      <c r="AR203" s="270"/>
      <c r="AS203" s="270"/>
      <c r="AT203" s="270"/>
      <c r="AU203" s="270"/>
      <c r="AV203" s="270"/>
      <c r="AW203" s="270"/>
      <c r="AX203" s="270"/>
      <c r="AY203" s="412"/>
      <c r="AZ203" s="412"/>
      <c r="BA203" s="412"/>
      <c r="BB203" s="412"/>
      <c r="BC203" s="412"/>
      <c r="BD203" s="113"/>
      <c r="BE203" s="412"/>
      <c r="BF203" s="291"/>
      <c r="BG203" s="291"/>
      <c r="BH203" s="412"/>
      <c r="BI203" s="412"/>
      <c r="BJ203" s="113"/>
      <c r="BK203" s="270"/>
      <c r="BL203" s="270"/>
      <c r="BM203" s="270"/>
      <c r="BN203" s="270"/>
      <c r="BO203" s="1125"/>
      <c r="BP203" s="113"/>
      <c r="BQ203" s="270"/>
      <c r="BR203" s="270"/>
      <c r="BS203" s="270"/>
      <c r="BT203" s="982">
        <f>BT76/BT202*1000</f>
        <v>2196.4285714285716</v>
      </c>
      <c r="BU203" s="1125"/>
      <c r="BV203" s="113"/>
      <c r="BW203" s="982">
        <f>BW76/BW202*1000</f>
        <v>2586.9565217391305</v>
      </c>
      <c r="BX203" s="270"/>
      <c r="BY203" s="982">
        <f>BY76/BY202*1000</f>
        <v>2818.1818181818185</v>
      </c>
      <c r="BZ203" s="270"/>
      <c r="CA203" s="1125"/>
      <c r="CB203" s="113"/>
      <c r="CC203" s="270"/>
      <c r="CD203" s="270"/>
      <c r="CE203" s="270"/>
      <c r="CF203" s="270"/>
      <c r="CG203" s="1125"/>
      <c r="CH203" s="113"/>
      <c r="CI203" s="270"/>
      <c r="CJ203" s="270"/>
      <c r="CK203" s="412"/>
      <c r="CL203" s="270"/>
      <c r="CM203" s="1125"/>
      <c r="CN203" s="113"/>
      <c r="CO203" s="270"/>
      <c r="CP203" s="270"/>
      <c r="CQ203" s="270"/>
      <c r="CR203" s="270"/>
      <c r="CS203" s="1125"/>
      <c r="CT203" s="270"/>
      <c r="CU203" s="270"/>
      <c r="CV203" s="270"/>
      <c r="CW203" s="270"/>
      <c r="CX203" s="270"/>
      <c r="CY203" s="1125"/>
      <c r="CZ203" s="270"/>
      <c r="DA203" s="270"/>
      <c r="DB203" s="270"/>
      <c r="DC203" s="270"/>
      <c r="DD203" s="270"/>
      <c r="DE203" s="1125"/>
      <c r="DF203" s="270"/>
      <c r="DG203" s="270"/>
      <c r="DH203" s="270"/>
      <c r="DI203" s="270"/>
      <c r="DJ203" s="270"/>
      <c r="DK203" s="1125"/>
      <c r="DL203" s="113"/>
      <c r="DM203" s="270"/>
      <c r="DN203" s="270"/>
      <c r="DO203" s="270"/>
      <c r="DP203" s="270"/>
      <c r="DQ203" s="1125"/>
      <c r="DR203" s="270"/>
      <c r="DS203" s="270"/>
      <c r="DT203" s="270"/>
      <c r="DU203" s="270"/>
      <c r="DV203" s="270"/>
      <c r="DW203" s="1125"/>
      <c r="DX203" s="270"/>
      <c r="DY203" s="270"/>
      <c r="DZ203" s="270"/>
      <c r="EA203" s="270"/>
      <c r="EB203" s="270"/>
      <c r="EC203" s="1125"/>
      <c r="ED203" s="270"/>
      <c r="EE203" s="270"/>
      <c r="EF203" s="270"/>
      <c r="EG203" s="270"/>
      <c r="EH203" s="270"/>
      <c r="EI203" s="1125"/>
      <c r="EJ203" s="270"/>
      <c r="EK203" s="270"/>
      <c r="EL203" s="270"/>
      <c r="EM203" s="270"/>
      <c r="EN203" s="270"/>
      <c r="EO203" s="1125"/>
      <c r="EP203" s="270"/>
      <c r="EQ203" s="270"/>
      <c r="ER203" s="270"/>
      <c r="ES203" s="270"/>
      <c r="ET203" s="270"/>
      <c r="EU203" s="1125"/>
    </row>
    <row r="204" spans="1:157" hidden="1" outlineLevel="3">
      <c r="A204" s="416"/>
      <c r="B204" s="113"/>
      <c r="C204" s="226"/>
      <c r="D204" s="226"/>
      <c r="E204" s="226"/>
      <c r="F204" s="226"/>
      <c r="G204" s="270"/>
      <c r="H204" s="113"/>
      <c r="I204" s="270"/>
      <c r="J204" s="270"/>
      <c r="K204" s="270"/>
      <c r="L204" s="270"/>
      <c r="M204" s="270"/>
      <c r="N204" s="113"/>
      <c r="O204" s="270"/>
      <c r="P204" s="270"/>
      <c r="Q204" s="270"/>
      <c r="R204" s="270"/>
      <c r="S204" s="270"/>
      <c r="T204" s="113"/>
      <c r="U204" s="270"/>
      <c r="V204" s="270"/>
      <c r="W204" s="270"/>
      <c r="X204" s="270"/>
      <c r="Y204" s="270"/>
      <c r="Z204" s="113"/>
      <c r="AA204" s="270"/>
      <c r="AB204" s="270"/>
      <c r="AC204" s="270"/>
      <c r="AD204" s="270"/>
      <c r="AE204" s="270"/>
      <c r="AF204" s="270"/>
      <c r="AG204" s="270"/>
      <c r="AH204" s="270"/>
      <c r="AI204" s="270"/>
      <c r="AJ204" s="270"/>
      <c r="AK204" s="270"/>
      <c r="AL204" s="270"/>
      <c r="AM204" s="270"/>
      <c r="AN204" s="270"/>
      <c r="AO204" s="270"/>
      <c r="AP204" s="270"/>
      <c r="AQ204" s="270"/>
      <c r="AR204" s="270"/>
      <c r="AS204" s="270"/>
      <c r="AT204" s="270"/>
      <c r="AU204" s="270"/>
      <c r="AV204" s="270"/>
      <c r="AW204" s="270"/>
      <c r="AX204" s="270"/>
      <c r="AY204" s="412"/>
      <c r="AZ204" s="412"/>
      <c r="BA204" s="412"/>
      <c r="BB204" s="412"/>
      <c r="BC204" s="412"/>
      <c r="BD204" s="113"/>
      <c r="BE204" s="412"/>
      <c r="BF204" s="291"/>
      <c r="BG204" s="291"/>
      <c r="BH204" s="412"/>
      <c r="BI204" s="412"/>
      <c r="BJ204" s="113"/>
      <c r="BK204" s="270"/>
      <c r="BL204" s="270"/>
      <c r="BM204" s="270"/>
      <c r="BN204" s="270"/>
      <c r="BO204" s="1125"/>
      <c r="BP204" s="113"/>
      <c r="BQ204" s="270"/>
      <c r="BR204" s="270"/>
      <c r="BS204" s="270"/>
      <c r="BT204" s="982"/>
      <c r="BU204" s="1125"/>
      <c r="BV204" s="113"/>
      <c r="BW204" s="982"/>
      <c r="BX204" s="270"/>
      <c r="BY204" s="982"/>
      <c r="BZ204" s="270"/>
      <c r="CA204" s="1125"/>
      <c r="CB204" s="113"/>
      <c r="CC204" s="270"/>
      <c r="CD204" s="270"/>
      <c r="CE204" s="270"/>
      <c r="CF204" s="270"/>
      <c r="CG204" s="1125"/>
      <c r="CH204" s="113"/>
      <c r="CI204" s="270"/>
      <c r="CJ204" s="270"/>
      <c r="CK204" s="412"/>
      <c r="CL204" s="270"/>
      <c r="CM204" s="1125"/>
      <c r="CN204" s="113"/>
      <c r="CO204" s="270"/>
      <c r="CP204" s="270"/>
      <c r="CQ204" s="270"/>
      <c r="CR204" s="270"/>
      <c r="CS204" s="1125"/>
      <c r="CT204" s="270"/>
      <c r="CU204" s="270"/>
      <c r="CV204" s="270"/>
      <c r="CW204" s="270"/>
      <c r="CX204" s="270"/>
      <c r="CY204" s="1125"/>
      <c r="CZ204" s="270"/>
      <c r="DA204" s="270"/>
      <c r="DB204" s="270"/>
      <c r="DC204" s="270"/>
      <c r="DD204" s="270"/>
      <c r="DE204" s="1125"/>
      <c r="DF204" s="270"/>
      <c r="DG204" s="270"/>
      <c r="DH204" s="270"/>
      <c r="DI204" s="270"/>
      <c r="DJ204" s="270"/>
      <c r="DK204" s="1125"/>
      <c r="DL204" s="113"/>
      <c r="DM204" s="270"/>
      <c r="DN204" s="270"/>
      <c r="DO204" s="270"/>
      <c r="DP204" s="270"/>
      <c r="DQ204" s="1125"/>
      <c r="DR204" s="270"/>
      <c r="DS204" s="270"/>
      <c r="DT204" s="270"/>
      <c r="DU204" s="270"/>
      <c r="DV204" s="270"/>
      <c r="DW204" s="1125"/>
      <c r="DX204" s="270"/>
      <c r="DY204" s="270"/>
      <c r="DZ204" s="270"/>
      <c r="EA204" s="270"/>
      <c r="EB204" s="270"/>
      <c r="EC204" s="1125"/>
      <c r="ED204" s="270"/>
      <c r="EE204" s="270"/>
      <c r="EF204" s="270"/>
      <c r="EG204" s="270"/>
      <c r="EH204" s="270"/>
      <c r="EI204" s="1125"/>
      <c r="EJ204" s="270"/>
      <c r="EK204" s="270"/>
      <c r="EL204" s="270"/>
      <c r="EM204" s="270"/>
      <c r="EN204" s="270"/>
      <c r="EO204" s="1125"/>
      <c r="EP204" s="270"/>
      <c r="EQ204" s="270"/>
      <c r="ER204" s="270"/>
      <c r="ES204" s="270"/>
      <c r="ET204" s="270"/>
      <c r="EU204" s="1125"/>
    </row>
    <row r="205" spans="1:157" hidden="1" outlineLevel="3">
      <c r="A205" s="416" t="s">
        <v>5163</v>
      </c>
      <c r="B205" s="113"/>
      <c r="C205" s="226"/>
      <c r="D205" s="226"/>
      <c r="E205" s="226"/>
      <c r="F205" s="226"/>
      <c r="G205" s="270"/>
      <c r="H205" s="113"/>
      <c r="I205" s="270"/>
      <c r="J205" s="270"/>
      <c r="K205" s="270"/>
      <c r="L205" s="270"/>
      <c r="M205" s="270"/>
      <c r="N205" s="113"/>
      <c r="O205" s="270"/>
      <c r="P205" s="270"/>
      <c r="Q205" s="270"/>
      <c r="R205" s="270"/>
      <c r="S205" s="270"/>
      <c r="T205" s="113"/>
      <c r="U205" s="270"/>
      <c r="V205" s="270"/>
      <c r="W205" s="270"/>
      <c r="X205" s="270"/>
      <c r="Y205" s="270"/>
      <c r="Z205" s="113"/>
      <c r="AA205" s="270"/>
      <c r="AB205" s="270"/>
      <c r="AC205" s="270"/>
      <c r="AD205" s="270"/>
      <c r="AE205" s="270"/>
      <c r="AF205" s="270"/>
      <c r="AG205" s="270"/>
      <c r="AH205" s="270"/>
      <c r="AI205" s="270"/>
      <c r="AJ205" s="270"/>
      <c r="AK205" s="270"/>
      <c r="AL205" s="270"/>
      <c r="AM205" s="270"/>
      <c r="AN205" s="270"/>
      <c r="AO205" s="270"/>
      <c r="AP205" s="270"/>
      <c r="AQ205" s="270"/>
      <c r="AR205" s="270"/>
      <c r="AS205" s="270">
        <f>AS183+AS168</f>
        <v>157.7078564102564</v>
      </c>
      <c r="AT205" s="270">
        <f>AT183+AT168</f>
        <v>156.23000000000002</v>
      </c>
      <c r="AU205" s="270">
        <f>AU183+AU168</f>
        <v>169.75906666666666</v>
      </c>
      <c r="AV205" s="270">
        <f>AV183+AV168</f>
        <v>222.44</v>
      </c>
      <c r="AW205" s="1125">
        <f>SUM(AS205:AV205)</f>
        <v>706.13692307692304</v>
      </c>
      <c r="AX205" s="270"/>
      <c r="AY205" s="270">
        <f>AY183+AY168</f>
        <v>194.398</v>
      </c>
      <c r="AZ205" s="270">
        <f>AZ183+AZ168</f>
        <v>175.00800000000001</v>
      </c>
      <c r="BA205" s="270">
        <f>BA183+BA168</f>
        <v>180.74859999999995</v>
      </c>
      <c r="BB205" s="270">
        <f>BB183+BB168</f>
        <v>219.32400000000001</v>
      </c>
      <c r="BC205" s="1125">
        <f>SUM(AY205:BB205)</f>
        <v>769.47859999999991</v>
      </c>
      <c r="BD205" s="113"/>
      <c r="BE205" s="270">
        <f>BE183+BE168</f>
        <v>219.834</v>
      </c>
      <c r="BF205" s="270">
        <f>BF183+BF168</f>
        <v>220.29600000000002</v>
      </c>
      <c r="BG205" s="270">
        <f>BG183+BG168</f>
        <v>222.7835</v>
      </c>
      <c r="BH205" s="270">
        <f>BH183+BH168</f>
        <v>245.76</v>
      </c>
      <c r="BI205" s="1125">
        <f>SUM(BE205:BH205)</f>
        <v>908.67349999999999</v>
      </c>
      <c r="BJ205" s="113"/>
      <c r="BK205" s="270">
        <f>BK183+BK168</f>
        <v>251.54</v>
      </c>
      <c r="BL205" s="270">
        <f>BL183+BL168</f>
        <v>249.22399999999999</v>
      </c>
      <c r="BM205" s="270">
        <f>BM183+BM168</f>
        <v>243.76</v>
      </c>
      <c r="BN205" s="270">
        <f>BN183+BN168</f>
        <v>261.02</v>
      </c>
      <c r="BO205" s="1125">
        <f>SUM(BK205:BN205)</f>
        <v>1005.544</v>
      </c>
      <c r="BP205" s="113"/>
      <c r="BQ205" s="270">
        <f>BQ183+BQ168</f>
        <v>289.35120000000001</v>
      </c>
      <c r="BR205" s="270">
        <f>BR183+BR168</f>
        <v>284.40999999999997</v>
      </c>
      <c r="BS205" s="270">
        <f>BS183+BS168</f>
        <v>284.74</v>
      </c>
      <c r="BT205" s="270">
        <f>BT183+BT168</f>
        <v>319.34000000000003</v>
      </c>
      <c r="BU205" s="1125">
        <f>SUM(BQ205:BT205)</f>
        <v>1177.8411999999998</v>
      </c>
      <c r="BV205" s="113"/>
      <c r="BW205" s="270">
        <f>BW183+BW168</f>
        <v>315.13200000000006</v>
      </c>
      <c r="BX205" s="270">
        <f>BX183+BX168</f>
        <v>309.85500000000002</v>
      </c>
      <c r="BY205" s="270">
        <f>BY183+BY168</f>
        <v>303.28999999999996</v>
      </c>
      <c r="BZ205" s="270">
        <f>BZ183+BZ168</f>
        <v>240.97800000000001</v>
      </c>
      <c r="CA205" s="1125">
        <f>SUM(BW205:BZ205)</f>
        <v>1169.2550000000001</v>
      </c>
      <c r="CB205" s="113"/>
      <c r="CC205" s="270">
        <f>CC183+CC168</f>
        <v>205.04400000000001</v>
      </c>
      <c r="CD205" s="270">
        <f>CD183+CD168</f>
        <v>193.7</v>
      </c>
      <c r="CE205" s="270">
        <f>CE183+CE168</f>
        <v>193.86</v>
      </c>
      <c r="CF205" s="270">
        <f>CF183+CF168</f>
        <v>217.11199999999997</v>
      </c>
      <c r="CG205" s="1125">
        <f>SUM(CC205:CF205)</f>
        <v>809.71600000000001</v>
      </c>
      <c r="CH205" s="113"/>
      <c r="CI205" s="270">
        <f>CI183+CI168</f>
        <v>240.42500000000001</v>
      </c>
      <c r="CJ205" s="270">
        <f>CJ183+CJ168</f>
        <v>234.36</v>
      </c>
      <c r="CK205" s="412">
        <f>CK183+CK168</f>
        <v>231.43000000000004</v>
      </c>
      <c r="CL205" s="412">
        <f>CL183+CL168</f>
        <v>245.79199999999997</v>
      </c>
      <c r="CM205" s="1125">
        <f>SUM(CI205:CL205)</f>
        <v>952.00700000000006</v>
      </c>
      <c r="CN205" s="113"/>
      <c r="CO205" s="270"/>
      <c r="CP205" s="270"/>
      <c r="CQ205" s="270"/>
      <c r="CR205" s="270"/>
      <c r="CS205" s="1125"/>
      <c r="CT205" s="270"/>
      <c r="CU205" s="270"/>
      <c r="CV205" s="270"/>
      <c r="CW205" s="270"/>
      <c r="CX205" s="270"/>
      <c r="CY205" s="1125"/>
      <c r="CZ205" s="270"/>
      <c r="DA205" s="270"/>
      <c r="DB205" s="270"/>
      <c r="DC205" s="270"/>
      <c r="DD205" s="270"/>
      <c r="DE205" s="1125"/>
      <c r="DF205" s="270"/>
      <c r="DG205" s="270"/>
      <c r="DH205" s="270"/>
      <c r="DI205" s="270"/>
      <c r="DJ205" s="270"/>
      <c r="DK205" s="1125"/>
      <c r="DL205" s="113"/>
      <c r="DM205" s="270"/>
      <c r="DN205" s="270"/>
      <c r="DO205" s="270"/>
      <c r="DP205" s="270"/>
      <c r="DQ205" s="1125"/>
      <c r="DR205" s="270"/>
      <c r="DS205" s="270"/>
      <c r="DT205" s="270"/>
      <c r="DU205" s="270"/>
      <c r="DV205" s="270"/>
      <c r="DW205" s="1125"/>
      <c r="DX205" s="270"/>
      <c r="DY205" s="270"/>
      <c r="DZ205" s="270"/>
      <c r="EA205" s="270"/>
      <c r="EB205" s="270"/>
      <c r="EC205" s="1125"/>
      <c r="ED205" s="270"/>
      <c r="EE205" s="270"/>
      <c r="EF205" s="270"/>
      <c r="EG205" s="270"/>
      <c r="EH205" s="270"/>
      <c r="EI205" s="1125"/>
      <c r="EJ205" s="270"/>
      <c r="EK205" s="270"/>
      <c r="EL205" s="270"/>
      <c r="EM205" s="270"/>
      <c r="EN205" s="270"/>
      <c r="EO205" s="1125"/>
      <c r="EP205" s="270"/>
      <c r="EQ205" s="270"/>
      <c r="ER205" s="270"/>
      <c r="ES205" s="270"/>
      <c r="ET205" s="270"/>
      <c r="EU205" s="1125"/>
    </row>
    <row r="206" spans="1:157" hidden="1" outlineLevel="3">
      <c r="A206" s="416"/>
      <c r="B206" s="113"/>
      <c r="C206" s="226"/>
      <c r="D206" s="226"/>
      <c r="E206" s="226"/>
      <c r="F206" s="226"/>
      <c r="G206" s="270"/>
      <c r="H206" s="113"/>
      <c r="I206" s="270"/>
      <c r="J206" s="270"/>
      <c r="K206" s="270"/>
      <c r="L206" s="270"/>
      <c r="M206" s="270"/>
      <c r="N206" s="113"/>
      <c r="O206" s="270"/>
      <c r="P206" s="270"/>
      <c r="Q206" s="270"/>
      <c r="R206" s="270"/>
      <c r="S206" s="270"/>
      <c r="T206" s="113"/>
      <c r="U206" s="270"/>
      <c r="V206" s="270"/>
      <c r="W206" s="270"/>
      <c r="X206" s="270"/>
      <c r="Y206" s="270"/>
      <c r="Z206" s="113"/>
      <c r="AA206" s="270"/>
      <c r="AB206" s="270"/>
      <c r="AC206" s="270"/>
      <c r="AD206" s="270"/>
      <c r="AE206" s="270"/>
      <c r="AF206" s="270"/>
      <c r="AG206" s="270"/>
      <c r="AH206" s="270"/>
      <c r="AI206" s="270"/>
      <c r="AJ206" s="270"/>
      <c r="AK206" s="270"/>
      <c r="AL206" s="270"/>
      <c r="AM206" s="270"/>
      <c r="AN206" s="270"/>
      <c r="AO206" s="270"/>
      <c r="AP206" s="270"/>
      <c r="AQ206" s="270"/>
      <c r="AR206" s="270"/>
      <c r="AS206" s="270"/>
      <c r="AT206" s="270"/>
      <c r="AU206" s="270"/>
      <c r="AV206" s="270"/>
      <c r="AW206" s="270"/>
      <c r="AX206" s="270"/>
      <c r="AY206" s="412"/>
      <c r="AZ206" s="412"/>
      <c r="BA206" s="412"/>
      <c r="BB206" s="412"/>
      <c r="BC206" s="412"/>
      <c r="BD206" s="113"/>
      <c r="BE206" s="412"/>
      <c r="BF206" s="291"/>
      <c r="BG206" s="291"/>
      <c r="BH206" s="412"/>
      <c r="BI206" s="412"/>
      <c r="BJ206" s="113"/>
      <c r="BK206" s="270"/>
      <c r="BL206" s="270"/>
      <c r="BM206" s="270"/>
      <c r="BN206" s="270"/>
      <c r="BO206" s="1125"/>
      <c r="BP206" s="113"/>
      <c r="BQ206" s="331">
        <f>BQ205/BK205-1</f>
        <v>0.15031883597042217</v>
      </c>
      <c r="BR206" s="331">
        <f>BR205/BL205-1</f>
        <v>0.14118222964080496</v>
      </c>
      <c r="BS206" s="331">
        <f>BS205/BM205-1</f>
        <v>0.16811617984903182</v>
      </c>
      <c r="BT206" s="331">
        <f>BT205/BN205-1</f>
        <v>0.22343115470078945</v>
      </c>
      <c r="BU206" s="1136">
        <f>BU205/BO205-1</f>
        <v>0.1713472508413354</v>
      </c>
      <c r="BV206" s="113"/>
      <c r="BW206" s="331">
        <f>BW205/BQ205-1</f>
        <v>8.9098645521428876E-2</v>
      </c>
      <c r="BX206" s="331">
        <f>BX205/BR205-1</f>
        <v>8.9465911887767868E-2</v>
      </c>
      <c r="BY206" s="331">
        <f>BY205/BS205-1</f>
        <v>6.5147151787595448E-2</v>
      </c>
      <c r="BZ206" s="331">
        <f>BZ205/BT205-1</f>
        <v>-0.24538736143295548</v>
      </c>
      <c r="CA206" s="1136">
        <f>CA205/BU205-1</f>
        <v>-7.2897772636920655E-3</v>
      </c>
      <c r="CB206" s="113"/>
      <c r="CC206" s="331">
        <f>CC205/BW205-1</f>
        <v>-0.34933932447355398</v>
      </c>
      <c r="CD206" s="331">
        <f>CD205/BX205-1</f>
        <v>-0.37486889028739256</v>
      </c>
      <c r="CE206" s="331">
        <f>CE205/BY205-1</f>
        <v>-0.36080978601338642</v>
      </c>
      <c r="CF206" s="331">
        <f>CF205/BZ205-1</f>
        <v>-9.903808646432477E-2</v>
      </c>
      <c r="CG206" s="1136">
        <f>CG205/CA205-1</f>
        <v>-0.30749408811593715</v>
      </c>
      <c r="CH206" s="113"/>
      <c r="CI206" s="331">
        <f>CI205/CC205-1</f>
        <v>0.17255320809192165</v>
      </c>
      <c r="CJ206" s="331">
        <f>CJ205/CD205-1</f>
        <v>0.20991223541559134</v>
      </c>
      <c r="CK206" s="291">
        <f>CK205/CE205-1</f>
        <v>0.19379964923140425</v>
      </c>
      <c r="CL206" s="291">
        <f>CL205/CF205-1</f>
        <v>0.13209771914956336</v>
      </c>
      <c r="CM206" s="1136">
        <f>CM205/CG205-1</f>
        <v>0.17572951503984124</v>
      </c>
      <c r="CN206" s="113"/>
      <c r="CO206" s="270"/>
      <c r="CP206" s="270"/>
      <c r="CQ206" s="270"/>
      <c r="CR206" s="270"/>
      <c r="CS206" s="1125"/>
      <c r="CT206" s="270"/>
      <c r="CU206" s="270"/>
      <c r="CV206" s="270"/>
      <c r="CW206" s="270"/>
      <c r="CX206" s="270"/>
      <c r="CY206" s="1125"/>
      <c r="CZ206" s="270"/>
      <c r="DA206" s="270"/>
      <c r="DB206" s="270"/>
      <c r="DC206" s="270"/>
      <c r="DD206" s="270"/>
      <c r="DE206" s="1125"/>
      <c r="DF206" s="270"/>
      <c r="DG206" s="270"/>
      <c r="DH206" s="270"/>
      <c r="DI206" s="270"/>
      <c r="DJ206" s="270"/>
      <c r="DK206" s="1125"/>
      <c r="DL206" s="113"/>
      <c r="DM206" s="270"/>
      <c r="DN206" s="270"/>
      <c r="DO206" s="270"/>
      <c r="DP206" s="270"/>
      <c r="DQ206" s="1125"/>
      <c r="DR206" s="270"/>
      <c r="DS206" s="270"/>
      <c r="DT206" s="270"/>
      <c r="DU206" s="270"/>
      <c r="DV206" s="270"/>
      <c r="DW206" s="1125"/>
      <c r="DX206" s="270"/>
      <c r="DY206" s="270"/>
      <c r="DZ206" s="270"/>
      <c r="EA206" s="270"/>
      <c r="EB206" s="270"/>
      <c r="EC206" s="1125"/>
      <c r="ED206" s="270"/>
      <c r="EE206" s="270"/>
      <c r="EF206" s="270"/>
      <c r="EG206" s="270"/>
      <c r="EH206" s="270"/>
      <c r="EI206" s="1125"/>
      <c r="EJ206" s="270"/>
      <c r="EK206" s="270"/>
      <c r="EL206" s="270"/>
      <c r="EM206" s="270"/>
      <c r="EN206" s="270"/>
      <c r="EO206" s="1125"/>
      <c r="EP206" s="270"/>
      <c r="EQ206" s="270"/>
      <c r="ER206" s="270"/>
      <c r="ES206" s="270"/>
      <c r="ET206" s="270"/>
      <c r="EU206" s="1125"/>
    </row>
    <row r="207" spans="1:157" hidden="1" outlineLevel="2" collapsed="1">
      <c r="A207" s="330"/>
      <c r="B207" s="61"/>
      <c r="C207" s="62"/>
      <c r="D207" s="62"/>
      <c r="E207" s="62"/>
      <c r="F207" s="62"/>
      <c r="G207" s="62"/>
      <c r="H207" s="61"/>
      <c r="I207" s="62"/>
      <c r="J207" s="62"/>
      <c r="K207" s="62"/>
      <c r="L207" s="62"/>
      <c r="M207" s="62"/>
      <c r="N207" s="61"/>
      <c r="O207" s="62"/>
      <c r="P207" s="62"/>
      <c r="Q207" s="62"/>
      <c r="R207" s="62"/>
      <c r="S207" s="330"/>
      <c r="T207" s="330"/>
      <c r="U207" s="330"/>
      <c r="V207" s="330"/>
      <c r="W207" s="330"/>
      <c r="X207" s="330"/>
      <c r="Y207" s="330"/>
      <c r="Z207" s="330"/>
      <c r="AA207" s="330"/>
      <c r="AB207" s="330"/>
      <c r="AC207" s="330"/>
      <c r="AD207" s="330"/>
      <c r="AE207" s="330"/>
      <c r="AF207" s="61"/>
      <c r="AG207" s="339"/>
      <c r="AH207" s="339"/>
      <c r="AI207" s="339"/>
      <c r="AJ207" s="339"/>
      <c r="AK207" s="542"/>
      <c r="AL207" s="61"/>
      <c r="AM207" s="339"/>
      <c r="AN207" s="339"/>
      <c r="AO207" s="339"/>
      <c r="AP207" s="339"/>
      <c r="AQ207" s="339"/>
      <c r="AR207" s="61"/>
      <c r="AS207" s="339"/>
      <c r="AT207" s="339"/>
      <c r="AU207" s="339"/>
      <c r="AV207" s="339"/>
      <c r="AW207" s="339"/>
      <c r="AX207" s="61"/>
      <c r="AY207" s="423"/>
      <c r="AZ207" s="423"/>
      <c r="BA207" s="423"/>
      <c r="BB207" s="423"/>
      <c r="BC207" s="423"/>
      <c r="BD207" s="270"/>
      <c r="BE207" s="423"/>
      <c r="BF207" s="423"/>
      <c r="BG207" s="423"/>
      <c r="BH207" s="423"/>
      <c r="BI207" s="423"/>
      <c r="BJ207" s="270"/>
      <c r="BK207" s="339"/>
      <c r="BL207" s="339"/>
      <c r="BM207" s="339"/>
      <c r="BN207" s="339"/>
      <c r="BO207" s="1134"/>
      <c r="BP207" s="270"/>
      <c r="BQ207" s="339"/>
      <c r="BR207" s="339"/>
      <c r="BS207" s="339"/>
      <c r="BT207" s="339"/>
      <c r="BU207" s="1134"/>
      <c r="BV207" s="270"/>
      <c r="BW207" s="339"/>
      <c r="BX207" s="339"/>
      <c r="BY207" s="339"/>
      <c r="BZ207" s="339"/>
      <c r="CA207" s="1134"/>
      <c r="CB207" s="270"/>
      <c r="CC207" s="339"/>
      <c r="CD207" s="339"/>
      <c r="CE207" s="339"/>
      <c r="CF207" s="339"/>
      <c r="CG207" s="1136"/>
      <c r="CH207" s="270"/>
      <c r="CI207" s="159"/>
      <c r="CJ207" s="159"/>
      <c r="CK207" s="423"/>
      <c r="CL207" s="339"/>
      <c r="CM207" s="1134"/>
      <c r="CN207" s="270"/>
      <c r="CO207" s="339"/>
      <c r="CP207" s="339"/>
      <c r="CQ207" s="339"/>
      <c r="CR207" s="339"/>
      <c r="CS207" s="1134"/>
      <c r="CT207" s="535"/>
      <c r="CU207" s="339"/>
      <c r="CV207" s="339"/>
      <c r="CW207" s="339"/>
      <c r="CX207" s="339"/>
      <c r="CY207" s="1134"/>
      <c r="CZ207" s="535"/>
      <c r="DA207" s="339"/>
      <c r="DB207" s="339"/>
      <c r="DC207" s="339"/>
      <c r="DD207" s="339"/>
      <c r="DE207" s="1134"/>
      <c r="DF207" s="535"/>
      <c r="DG207" s="339"/>
      <c r="DH207" s="339"/>
      <c r="DI207" s="339"/>
      <c r="DJ207" s="339"/>
      <c r="DK207" s="1134"/>
      <c r="DL207" s="270"/>
      <c r="DM207" s="339"/>
      <c r="DN207" s="339"/>
      <c r="DO207" s="339"/>
      <c r="DP207" s="339"/>
      <c r="DQ207" s="1134"/>
      <c r="DR207" s="535"/>
      <c r="DS207" s="339"/>
      <c r="DT207" s="339"/>
      <c r="DU207" s="339"/>
      <c r="DV207" s="339"/>
      <c r="DW207" s="1134"/>
      <c r="DX207" s="535"/>
      <c r="DY207" s="339"/>
      <c r="DZ207" s="339"/>
      <c r="EA207" s="339"/>
      <c r="EB207" s="339"/>
      <c r="EC207" s="1134"/>
      <c r="ED207" s="535"/>
      <c r="EE207" s="339"/>
      <c r="EF207" s="339"/>
      <c r="EG207" s="339"/>
      <c r="EH207" s="339"/>
      <c r="EI207" s="1134"/>
      <c r="EJ207" s="535"/>
      <c r="EK207" s="339"/>
      <c r="EL207" s="339"/>
      <c r="EM207" s="339"/>
      <c r="EN207" s="339"/>
      <c r="EO207" s="1134"/>
      <c r="EP207" s="535"/>
      <c r="EQ207" s="339"/>
      <c r="ER207" s="339"/>
      <c r="ES207" s="339"/>
      <c r="ET207" s="339"/>
      <c r="EU207" s="1134"/>
    </row>
    <row r="208" spans="1:157" hidden="1" outlineLevel="2">
      <c r="A208" s="56" t="s">
        <v>5576</v>
      </c>
      <c r="B208" s="90"/>
      <c r="C208" s="62"/>
      <c r="D208" s="62"/>
      <c r="E208" s="62"/>
      <c r="F208" s="62"/>
      <c r="G208" s="62"/>
      <c r="H208" s="90"/>
      <c r="I208" s="62"/>
      <c r="J208" s="62"/>
      <c r="K208" s="62"/>
      <c r="L208" s="62"/>
      <c r="M208" s="62"/>
      <c r="N208" s="90"/>
      <c r="O208" s="62"/>
      <c r="P208" s="62"/>
      <c r="Q208" s="62"/>
      <c r="R208" s="62"/>
      <c r="S208" s="62"/>
      <c r="T208" s="90"/>
      <c r="U208" s="62"/>
      <c r="V208" s="62"/>
      <c r="W208" s="62"/>
      <c r="X208" s="62"/>
      <c r="Y208" s="62"/>
      <c r="Z208" s="90"/>
      <c r="AA208" s="62"/>
      <c r="AB208" s="62"/>
      <c r="AC208" s="62"/>
      <c r="AD208" s="62"/>
      <c r="AE208" s="62"/>
      <c r="AF208" s="90"/>
      <c r="AG208" s="159"/>
      <c r="AH208" s="159"/>
      <c r="AI208" s="159"/>
      <c r="AJ208" s="159"/>
      <c r="AK208" s="159"/>
      <c r="AL208" s="90"/>
      <c r="AM208" s="320"/>
      <c r="AN208" s="320"/>
      <c r="AO208" s="320"/>
      <c r="AP208" s="320"/>
      <c r="AQ208" s="320"/>
      <c r="AR208" s="168"/>
      <c r="AS208" s="320"/>
      <c r="AT208" s="320"/>
      <c r="AU208" s="320"/>
      <c r="AV208" s="320"/>
      <c r="AW208" s="320"/>
      <c r="AX208" s="168"/>
      <c r="AY208" s="276"/>
      <c r="AZ208" s="276"/>
      <c r="BA208" s="276"/>
      <c r="BB208" s="276"/>
      <c r="BC208" s="276"/>
      <c r="BD208" s="113"/>
      <c r="BE208" s="104"/>
      <c r="BF208" s="116"/>
      <c r="BG208" s="116"/>
      <c r="BH208" s="116"/>
      <c r="BI208" s="116"/>
      <c r="BJ208" s="113"/>
      <c r="BK208" s="159"/>
      <c r="BL208" s="159"/>
      <c r="BM208" s="159"/>
      <c r="BN208" s="159"/>
      <c r="BO208" s="1136"/>
      <c r="BP208" s="113"/>
      <c r="BQ208" s="159"/>
      <c r="BR208" s="159"/>
      <c r="BS208" s="159"/>
      <c r="BT208" s="159"/>
      <c r="BU208" s="1136"/>
      <c r="BV208" s="113"/>
      <c r="BW208" s="159"/>
      <c r="BX208" s="159"/>
      <c r="BY208" s="159"/>
      <c r="BZ208" s="159"/>
      <c r="CA208" s="1136"/>
      <c r="CB208" s="113"/>
      <c r="CC208" s="159"/>
      <c r="CD208" s="159"/>
      <c r="CE208" s="1617"/>
      <c r="CF208" s="159"/>
      <c r="CG208" s="1136"/>
      <c r="CH208" s="113"/>
      <c r="CI208" s="159"/>
      <c r="CJ208" s="159"/>
      <c r="CK208" s="1617"/>
      <c r="CL208" s="245"/>
      <c r="CM208" s="1136"/>
      <c r="CN208" s="113"/>
      <c r="CO208" s="159"/>
      <c r="CP208" s="159"/>
      <c r="CQ208" s="159"/>
      <c r="CR208" s="159"/>
      <c r="CS208" s="1136"/>
      <c r="CT208" s="331"/>
      <c r="CU208" s="159"/>
      <c r="CV208" s="159"/>
      <c r="CW208" s="159"/>
      <c r="CX208" s="159"/>
      <c r="CY208" s="1136"/>
      <c r="CZ208" s="331"/>
      <c r="DA208" s="159"/>
      <c r="DB208" s="159"/>
      <c r="DC208" s="159"/>
      <c r="DD208" s="159"/>
      <c r="DE208" s="1136"/>
      <c r="DF208" s="331"/>
      <c r="DG208" s="159"/>
      <c r="DH208" s="159"/>
      <c r="DI208" s="159"/>
      <c r="DJ208" s="159"/>
      <c r="DK208" s="1136"/>
      <c r="DL208" s="113"/>
      <c r="DM208" s="159"/>
      <c r="DN208" s="159"/>
      <c r="DO208" s="159"/>
      <c r="DP208" s="159"/>
      <c r="DQ208" s="1136"/>
      <c r="DR208" s="331"/>
      <c r="DS208" s="159"/>
      <c r="DT208" s="159"/>
      <c r="DU208" s="159"/>
      <c r="DV208" s="159"/>
      <c r="DW208" s="1136"/>
      <c r="DX208" s="331"/>
      <c r="DY208" s="159"/>
      <c r="DZ208" s="159"/>
      <c r="EA208" s="159"/>
      <c r="EB208" s="159"/>
      <c r="EC208" s="1136"/>
      <c r="ED208" s="331"/>
      <c r="EE208" s="159"/>
      <c r="EF208" s="159"/>
      <c r="EG208" s="159"/>
      <c r="EH208" s="159"/>
      <c r="EI208" s="1136"/>
      <c r="EJ208" s="331"/>
      <c r="EK208" s="159"/>
      <c r="EL208" s="159"/>
      <c r="EM208" s="159"/>
      <c r="EN208" s="159"/>
      <c r="EO208" s="1136"/>
      <c r="EP208" s="331"/>
      <c r="EQ208" s="159"/>
      <c r="ER208" s="159"/>
      <c r="ES208" s="159"/>
      <c r="ET208" s="159"/>
      <c r="EU208" s="1136"/>
    </row>
    <row r="209" spans="1:190" hidden="1" outlineLevel="2">
      <c r="A209" s="941" t="s">
        <v>3806</v>
      </c>
      <c r="B209" s="190"/>
      <c r="C209" s="912"/>
      <c r="D209" s="912"/>
      <c r="E209" s="912"/>
      <c r="F209" s="912"/>
      <c r="G209" s="413"/>
      <c r="H209" s="190"/>
      <c r="I209" s="413"/>
      <c r="J209" s="413"/>
      <c r="K209" s="413"/>
      <c r="L209" s="413"/>
      <c r="M209" s="413"/>
      <c r="N209" s="190"/>
      <c r="O209" s="413"/>
      <c r="P209" s="413"/>
      <c r="Q209" s="413"/>
      <c r="R209" s="413"/>
      <c r="S209" s="413"/>
      <c r="T209" s="190"/>
      <c r="U209" s="413"/>
      <c r="V209" s="413"/>
      <c r="W209" s="413"/>
      <c r="X209" s="413"/>
      <c r="Y209" s="413"/>
      <c r="Z209" s="190"/>
      <c r="AA209" s="413"/>
      <c r="AB209" s="413"/>
      <c r="AC209" s="413"/>
      <c r="AD209" s="413"/>
      <c r="AE209" s="413"/>
      <c r="AF209" s="190"/>
      <c r="AG209" s="413"/>
      <c r="AH209" s="413"/>
      <c r="AI209" s="413"/>
      <c r="AJ209" s="413"/>
      <c r="AK209" s="413"/>
      <c r="AL209" s="190"/>
      <c r="AM209" s="413"/>
      <c r="AN209" s="413"/>
      <c r="AO209" s="413"/>
      <c r="AP209" s="413"/>
      <c r="AQ209" s="983">
        <f>AW209/(1+AW211)</f>
        <v>95.966433566433565</v>
      </c>
      <c r="AR209" s="948"/>
      <c r="AS209" s="948">
        <f>AW209-AT209-AU209-AV209</f>
        <v>14.892143589743597</v>
      </c>
      <c r="AT209" s="948">
        <f>AZ209/(1+AZ211)</f>
        <v>24.57</v>
      </c>
      <c r="AU209" s="948">
        <f>BA209/(1+BA211)</f>
        <v>30.340933333333336</v>
      </c>
      <c r="AV209" s="948">
        <f>BB209/(1+BB211)</f>
        <v>35.759999999999991</v>
      </c>
      <c r="AW209" s="988">
        <f>BC209/(1+BC211)</f>
        <v>105.56307692307693</v>
      </c>
      <c r="AX209" s="948"/>
      <c r="AY209" s="949">
        <f>AY210*AY90</f>
        <v>35.892000000000003</v>
      </c>
      <c r="AZ209" s="949">
        <f>AZ210*AZ90</f>
        <v>39.312000000000005</v>
      </c>
      <c r="BA209" s="949">
        <f>BA210*BA90</f>
        <v>45.511400000000002</v>
      </c>
      <c r="BB209" s="949">
        <f>BB210*BB90</f>
        <v>57.215999999999994</v>
      </c>
      <c r="BC209" s="949">
        <f>BC210*BC90</f>
        <v>178.4016</v>
      </c>
      <c r="BD209" s="948"/>
      <c r="BE209" s="949">
        <f>BE210*BE90</f>
        <v>57.455999999999996</v>
      </c>
      <c r="BF209" s="949">
        <f>BF210*BF90</f>
        <v>67.823999999999984</v>
      </c>
      <c r="BG209" s="949">
        <f>BG210*BG90</f>
        <v>72.866500000000002</v>
      </c>
      <c r="BH209" s="949">
        <f>BH210*BH90</f>
        <v>83.960000000000008</v>
      </c>
      <c r="BI209" s="949">
        <f>SUM(BE209:BH209)</f>
        <v>282.10649999999998</v>
      </c>
      <c r="BJ209" s="948"/>
      <c r="BK209" s="949">
        <f>BK210*BK90</f>
        <v>87.2</v>
      </c>
      <c r="BL209" s="949">
        <f>BL210*BL90</f>
        <v>89.920000000000016</v>
      </c>
      <c r="BM209" s="949">
        <f>BM210*BM90</f>
        <v>100.54</v>
      </c>
      <c r="BN209" s="949">
        <f>BN210*BN90</f>
        <v>119.28</v>
      </c>
      <c r="BO209" s="1129">
        <f>SUM(BK209:BN209)</f>
        <v>396.94000000000005</v>
      </c>
      <c r="BP209" s="948"/>
      <c r="BQ209" s="949">
        <f>BQ210*BQ90</f>
        <v>105.78879999999999</v>
      </c>
      <c r="BR209" s="948">
        <v>122</v>
      </c>
      <c r="BS209" s="949">
        <f>BS210*BS90</f>
        <v>129.35999999999999</v>
      </c>
      <c r="BT209" s="949">
        <f>BT210*BT90</f>
        <v>143.76</v>
      </c>
      <c r="BU209" s="1129">
        <f>SUM(BQ209:BT209)</f>
        <v>500.90879999999993</v>
      </c>
      <c r="BV209" s="948"/>
      <c r="BW209" s="948">
        <v>146</v>
      </c>
      <c r="BX209" s="948">
        <v>166</v>
      </c>
      <c r="BY209" s="948">
        <v>163</v>
      </c>
      <c r="BZ209" s="948">
        <f>BZ90*BZ210</f>
        <v>142.042</v>
      </c>
      <c r="CA209" s="1129">
        <f>SUM(BW209:BZ209)</f>
        <v>617.04200000000003</v>
      </c>
      <c r="CB209" s="190"/>
      <c r="CC209" s="948">
        <f>CC90*CC210</f>
        <v>121.83599999999998</v>
      </c>
      <c r="CD209" s="948">
        <f>CD90*CD210</f>
        <v>120.35</v>
      </c>
      <c r="CE209" s="948">
        <f>CE90*CE210</f>
        <v>120.92999999999999</v>
      </c>
      <c r="CF209" s="948">
        <f>CF90*CF210</f>
        <v>133.608</v>
      </c>
      <c r="CG209" s="1129">
        <f>SUM(CC209:CF209)</f>
        <v>496.72399999999999</v>
      </c>
      <c r="CH209" s="190"/>
      <c r="CI209" s="948">
        <f>CI90*CI210</f>
        <v>137.75</v>
      </c>
      <c r="CJ209" s="948">
        <f>CJ90*CJ210</f>
        <v>137.19899999999998</v>
      </c>
      <c r="CK209" s="949">
        <f>CK90*CK210</f>
        <v>143.1</v>
      </c>
      <c r="CL209" s="949">
        <f>CL90*CL210</f>
        <v>168.96</v>
      </c>
      <c r="CM209" s="1129">
        <f>SUM(CI209:CL209)</f>
        <v>587.00900000000001</v>
      </c>
      <c r="CN209" s="190"/>
      <c r="CO209" s="413"/>
      <c r="CP209" s="413"/>
      <c r="CQ209" s="413"/>
      <c r="CR209" s="413"/>
      <c r="CS209" s="1140"/>
      <c r="CT209" s="413"/>
      <c r="CU209" s="413"/>
      <c r="CV209" s="413"/>
      <c r="CW209" s="413"/>
      <c r="CX209" s="413"/>
      <c r="CY209" s="1140"/>
      <c r="CZ209" s="413"/>
      <c r="DA209" s="413"/>
      <c r="DB209" s="413"/>
      <c r="DC209" s="413"/>
      <c r="DD209" s="413"/>
      <c r="DE209" s="1140"/>
      <c r="DF209" s="413"/>
      <c r="DG209" s="413"/>
      <c r="DH209" s="413"/>
      <c r="DI209" s="413"/>
      <c r="DJ209" s="413"/>
      <c r="DK209" s="1140"/>
      <c r="DL209" s="190"/>
      <c r="DM209" s="413"/>
      <c r="DN209" s="413"/>
      <c r="DO209" s="413"/>
      <c r="DP209" s="413"/>
      <c r="DQ209" s="1140"/>
      <c r="DR209" s="270"/>
      <c r="DS209" s="413"/>
      <c r="DT209" s="413"/>
      <c r="DU209" s="413"/>
      <c r="DV209" s="413"/>
      <c r="DW209" s="1140"/>
      <c r="DX209" s="270"/>
      <c r="DY209" s="413"/>
      <c r="DZ209" s="413"/>
      <c r="EA209" s="413"/>
      <c r="EB209" s="413"/>
      <c r="EC209" s="1140"/>
      <c r="ED209" s="270"/>
      <c r="EE209" s="413"/>
      <c r="EF209" s="413"/>
      <c r="EG209" s="413"/>
      <c r="EH209" s="413"/>
      <c r="EI209" s="1140"/>
      <c r="EJ209" s="270"/>
      <c r="EK209" s="413"/>
      <c r="EL209" s="413"/>
      <c r="EM209" s="413"/>
      <c r="EN209" s="413"/>
      <c r="EO209" s="1140"/>
      <c r="EP209" s="270"/>
      <c r="EQ209" s="413"/>
      <c r="ER209" s="413"/>
      <c r="ES209" s="413"/>
      <c r="ET209" s="413"/>
      <c r="EU209" s="1140"/>
    </row>
    <row r="210" spans="1:190" hidden="1" outlineLevel="2">
      <c r="A210" s="942" t="s">
        <v>4817</v>
      </c>
      <c r="B210" s="114"/>
      <c r="C210" s="273"/>
      <c r="D210" s="273"/>
      <c r="E210" s="273"/>
      <c r="F210" s="273"/>
      <c r="G210" s="117"/>
      <c r="H210" s="114"/>
      <c r="I210" s="117"/>
      <c r="J210" s="117"/>
      <c r="K210" s="117"/>
      <c r="L210" s="117"/>
      <c r="M210" s="117"/>
      <c r="N210" s="114"/>
      <c r="O210" s="117"/>
      <c r="P210" s="117"/>
      <c r="Q210" s="117"/>
      <c r="R210" s="117"/>
      <c r="S210" s="117"/>
      <c r="T210" s="114"/>
      <c r="U210" s="117"/>
      <c r="V210" s="117"/>
      <c r="W210" s="117"/>
      <c r="X210" s="117"/>
      <c r="Y210" s="117"/>
      <c r="Z210" s="114"/>
      <c r="AA210" s="117"/>
      <c r="AB210" s="117"/>
      <c r="AC210" s="117"/>
      <c r="AD210" s="117"/>
      <c r="AE210" s="117"/>
      <c r="AF210" s="114"/>
      <c r="AG210" s="117"/>
      <c r="AH210" s="117"/>
      <c r="AI210" s="117"/>
      <c r="AJ210" s="117"/>
      <c r="AK210" s="117"/>
      <c r="AL210" s="114"/>
      <c r="AM210" s="117"/>
      <c r="AN210" s="117"/>
      <c r="AO210" s="117"/>
      <c r="AP210" s="117"/>
      <c r="AQ210" s="333">
        <v>0.11</v>
      </c>
      <c r="AR210" s="114"/>
      <c r="AS210" s="699">
        <f>AS209/AS90</f>
        <v>7.0657238784925455E-2</v>
      </c>
      <c r="AT210" s="699">
        <f>AT209/AT90</f>
        <v>0.11605772182990483</v>
      </c>
      <c r="AU210" s="699">
        <f>AU209/AU90</f>
        <v>0.12973862078205667</v>
      </c>
      <c r="AV210" s="699">
        <f>AV209/AV90</f>
        <v>0.12109308861873957</v>
      </c>
      <c r="AW210" s="333">
        <v>0.11</v>
      </c>
      <c r="AX210" s="114"/>
      <c r="AY210" s="699">
        <v>0.12</v>
      </c>
      <c r="AZ210" s="699">
        <v>0.14000000000000001</v>
      </c>
      <c r="BA210" s="699">
        <v>0.151</v>
      </c>
      <c r="BB210" s="699">
        <v>0.16</v>
      </c>
      <c r="BC210" s="699">
        <v>0.14399999999999999</v>
      </c>
      <c r="BD210" s="114"/>
      <c r="BE210" s="699">
        <v>0.16</v>
      </c>
      <c r="BF210" s="699">
        <v>0.18</v>
      </c>
      <c r="BG210" s="699">
        <v>0.191</v>
      </c>
      <c r="BH210" s="699">
        <v>0.2</v>
      </c>
      <c r="BI210" s="699">
        <f>BI209/BI90</f>
        <v>0.1835197111631538</v>
      </c>
      <c r="BJ210" s="114"/>
      <c r="BK210" s="333">
        <v>0.2</v>
      </c>
      <c r="BL210" s="333">
        <v>0.2</v>
      </c>
      <c r="BM210" s="333">
        <v>0.22</v>
      </c>
      <c r="BN210" s="333">
        <v>0.24</v>
      </c>
      <c r="BO210" s="1130">
        <f>BO209/BO90</f>
        <v>0.21577516851489459</v>
      </c>
      <c r="BP210" s="114"/>
      <c r="BQ210" s="333">
        <v>0.20799999999999999</v>
      </c>
      <c r="BR210" s="333">
        <f>BR209/BR90</f>
        <v>0.23198326678075676</v>
      </c>
      <c r="BS210" s="333">
        <v>0.24</v>
      </c>
      <c r="BT210" s="333">
        <v>0.24</v>
      </c>
      <c r="BU210" s="1130">
        <f>BU209/BU90</f>
        <v>0.23056791714614497</v>
      </c>
      <c r="BV210" s="114"/>
      <c r="BW210" s="333">
        <f>BW209/BW90</f>
        <v>0.24382097528390115</v>
      </c>
      <c r="BX210" s="333">
        <f>BX209/BX90</f>
        <v>0.2679580306698951</v>
      </c>
      <c r="BY210" s="333">
        <f>BY209/BY90</f>
        <v>0.26848954043814854</v>
      </c>
      <c r="BZ210" s="333">
        <v>0.28999999999999998</v>
      </c>
      <c r="CA210" s="1130">
        <f>CA209/CA90</f>
        <v>0.26651779543883897</v>
      </c>
      <c r="CB210" s="113"/>
      <c r="CC210" s="333">
        <v>0.28599999999999998</v>
      </c>
      <c r="CD210" s="333">
        <v>0.28999999999999998</v>
      </c>
      <c r="CE210" s="333">
        <v>0.28999999999999998</v>
      </c>
      <c r="CF210" s="333">
        <v>0.29299999999999998</v>
      </c>
      <c r="CG210" s="1130">
        <f>CG209/CG90</f>
        <v>0.28978706026486206</v>
      </c>
      <c r="CH210" s="113"/>
      <c r="CI210" s="333">
        <v>0.28999999999999998</v>
      </c>
      <c r="CJ210" s="333">
        <v>0.28999999999999998</v>
      </c>
      <c r="CK210" s="699">
        <v>0.3</v>
      </c>
      <c r="CL210" s="699">
        <v>0.32</v>
      </c>
      <c r="CM210" s="1130">
        <f>CM209/CM90</f>
        <v>0.3018506710546614</v>
      </c>
      <c r="CN210" s="113"/>
      <c r="CO210" s="270"/>
      <c r="CP210" s="270"/>
      <c r="CQ210" s="270"/>
      <c r="CR210" s="270"/>
      <c r="CS210" s="1125"/>
      <c r="CT210" s="270"/>
      <c r="CU210" s="270"/>
      <c r="CV210" s="270"/>
      <c r="CW210" s="270"/>
      <c r="CX210" s="270"/>
      <c r="CY210" s="1125"/>
      <c r="CZ210" s="270"/>
      <c r="DA210" s="270"/>
      <c r="DB210" s="270"/>
      <c r="DC210" s="270"/>
      <c r="DD210" s="270"/>
      <c r="DE210" s="1125"/>
      <c r="DF210" s="270"/>
      <c r="DG210" s="270"/>
      <c r="DH210" s="270"/>
      <c r="DI210" s="270"/>
      <c r="DJ210" s="270"/>
      <c r="DK210" s="1125"/>
      <c r="DL210" s="113"/>
      <c r="DM210" s="270"/>
      <c r="DN210" s="270"/>
      <c r="DO210" s="270"/>
      <c r="DP210" s="270"/>
      <c r="DQ210" s="1125"/>
      <c r="DR210" s="270"/>
      <c r="DS210" s="270"/>
      <c r="DT210" s="270"/>
      <c r="DU210" s="270"/>
      <c r="DV210" s="270"/>
      <c r="DW210" s="1125"/>
      <c r="DX210" s="270"/>
      <c r="DY210" s="270"/>
      <c r="DZ210" s="270"/>
      <c r="EA210" s="270"/>
      <c r="EB210" s="270"/>
      <c r="EC210" s="1125"/>
      <c r="ED210" s="270"/>
      <c r="EE210" s="270"/>
      <c r="EF210" s="270"/>
      <c r="EG210" s="270"/>
      <c r="EH210" s="270"/>
      <c r="EI210" s="1125"/>
      <c r="EJ210" s="270"/>
      <c r="EK210" s="270"/>
      <c r="EL210" s="270"/>
      <c r="EM210" s="270"/>
      <c r="EN210" s="270"/>
      <c r="EO210" s="1125"/>
      <c r="EP210" s="270"/>
      <c r="EQ210" s="270"/>
      <c r="ER210" s="270"/>
      <c r="ES210" s="270"/>
      <c r="ET210" s="270"/>
      <c r="EU210" s="1125"/>
    </row>
    <row r="211" spans="1:190" hidden="1" outlineLevel="2">
      <c r="A211" s="943" t="s">
        <v>2242</v>
      </c>
      <c r="B211" s="111"/>
      <c r="C211" s="913"/>
      <c r="D211" s="913"/>
      <c r="E211" s="913"/>
      <c r="F211" s="913"/>
      <c r="G211" s="936"/>
      <c r="H211" s="111"/>
      <c r="I211" s="936"/>
      <c r="J211" s="936"/>
      <c r="K211" s="936"/>
      <c r="L211" s="936"/>
      <c r="M211" s="936"/>
      <c r="N211" s="111"/>
      <c r="O211" s="936"/>
      <c r="P211" s="936"/>
      <c r="Q211" s="936"/>
      <c r="R211" s="936"/>
      <c r="S211" s="936"/>
      <c r="T211" s="111"/>
      <c r="U211" s="936"/>
      <c r="V211" s="936"/>
      <c r="W211" s="936"/>
      <c r="X211" s="936"/>
      <c r="Y211" s="936"/>
      <c r="Z211" s="111"/>
      <c r="AA211" s="936"/>
      <c r="AB211" s="936"/>
      <c r="AC211" s="936"/>
      <c r="AD211" s="936"/>
      <c r="AE211" s="936"/>
      <c r="AF211" s="111"/>
      <c r="AG211" s="936"/>
      <c r="AH211" s="936"/>
      <c r="AI211" s="936"/>
      <c r="AJ211" s="936"/>
      <c r="AK211" s="936"/>
      <c r="AL211" s="111"/>
      <c r="AM211" s="936"/>
      <c r="AN211" s="936"/>
      <c r="AO211" s="936"/>
      <c r="AP211" s="936"/>
      <c r="AQ211" s="984"/>
      <c r="AR211" s="111"/>
      <c r="AS211" s="936"/>
      <c r="AT211" s="936"/>
      <c r="AU211" s="936"/>
      <c r="AV211" s="936"/>
      <c r="AW211" s="985">
        <v>0.1</v>
      </c>
      <c r="AX211" s="111"/>
      <c r="AY211" s="915">
        <f>AY209/AS209-1</f>
        <v>1.4101298636899569</v>
      </c>
      <c r="AZ211" s="915">
        <v>0.6</v>
      </c>
      <c r="BA211" s="915">
        <v>0.5</v>
      </c>
      <c r="BB211" s="915">
        <v>0.6</v>
      </c>
      <c r="BC211" s="915">
        <v>0.69</v>
      </c>
      <c r="BD211" s="111"/>
      <c r="BE211" s="915">
        <v>0.6</v>
      </c>
      <c r="BF211" s="915">
        <v>0.72</v>
      </c>
      <c r="BG211" s="915">
        <f>BG209/BA209-1</f>
        <v>0.60106039365961061</v>
      </c>
      <c r="BH211" s="915">
        <f>BH209/BB209-1</f>
        <v>0.46742170022371399</v>
      </c>
      <c r="BI211" s="915">
        <f>BI209/BC209-1</f>
        <v>0.58130027981811816</v>
      </c>
      <c r="BJ211" s="111"/>
      <c r="BK211" s="915">
        <f>BK209/BE209-1</f>
        <v>0.5176830966304653</v>
      </c>
      <c r="BL211" s="915">
        <f>BL209/BF209-1</f>
        <v>0.32578438310922442</v>
      </c>
      <c r="BM211" s="915">
        <f>BM209/BG209-1</f>
        <v>0.37978357681513453</v>
      </c>
      <c r="BN211" s="915">
        <f>BN209/BH209-1</f>
        <v>0.42067651262505934</v>
      </c>
      <c r="BO211" s="1131">
        <f>BO209/BI209-1</f>
        <v>0.40705726383475782</v>
      </c>
      <c r="BP211" s="111"/>
      <c r="BQ211" s="915">
        <f>BQ209/BK209-1</f>
        <v>0.21317431192660541</v>
      </c>
      <c r="BR211" s="915">
        <f>BR209/BL209-1</f>
        <v>0.35676156583629859</v>
      </c>
      <c r="BS211" s="915">
        <f>BS209/BM209-1</f>
        <v>0.28665207877461674</v>
      </c>
      <c r="BT211" s="915">
        <f>BT209/BN209-1</f>
        <v>0.20523138832997989</v>
      </c>
      <c r="BU211" s="1131">
        <f>BU209/BO209-1</f>
        <v>0.26192573184864165</v>
      </c>
      <c r="BV211" s="111"/>
      <c r="BW211" s="915">
        <f>BW209/BQ209-1</f>
        <v>0.38010829123687961</v>
      </c>
      <c r="BX211" s="915">
        <f>BX209/BR209-1</f>
        <v>0.36065573770491799</v>
      </c>
      <c r="BY211" s="915">
        <f>BY209/BS209-1</f>
        <v>0.26004947433518866</v>
      </c>
      <c r="BZ211" s="915">
        <f>BZ209/BT209-1</f>
        <v>-1.1950473010573059E-2</v>
      </c>
      <c r="CA211" s="1131">
        <f>CA209/BU209-1</f>
        <v>0.23184499853067098</v>
      </c>
      <c r="CB211" s="111"/>
      <c r="CC211" s="915">
        <f>CC209/BW209-1</f>
        <v>-0.16550684931506865</v>
      </c>
      <c r="CD211" s="915">
        <f>CD209/BX209-1</f>
        <v>-0.27500000000000002</v>
      </c>
      <c r="CE211" s="915">
        <f>CE209/BY209-1</f>
        <v>-0.25809815950920245</v>
      </c>
      <c r="CF211" s="915">
        <f>CF209/BZ209-1</f>
        <v>-5.9376804043874354E-2</v>
      </c>
      <c r="CG211" s="1131">
        <f>CG209/CA209-1</f>
        <v>-0.19499158890318657</v>
      </c>
      <c r="CH211" s="111"/>
      <c r="CI211" s="915">
        <f>CI209/CC209-1</f>
        <v>0.13061820808299696</v>
      </c>
      <c r="CJ211" s="915">
        <f>CJ209/CD209-1</f>
        <v>0.1399999999999999</v>
      </c>
      <c r="CK211" s="915">
        <f>CK209/CE209-1</f>
        <v>0.18332919870999764</v>
      </c>
      <c r="CL211" s="915">
        <f>CL209/CF209-1</f>
        <v>0.26459493443506377</v>
      </c>
      <c r="CM211" s="1131">
        <f>CM209/CG209-1</f>
        <v>0.18176089739976331</v>
      </c>
      <c r="CN211" s="111"/>
      <c r="CO211" s="936"/>
      <c r="CP211" s="936"/>
      <c r="CQ211" s="936"/>
      <c r="CR211" s="936"/>
      <c r="CS211" s="1185"/>
      <c r="CT211" s="936"/>
      <c r="CU211" s="936"/>
      <c r="CV211" s="936"/>
      <c r="CW211" s="936"/>
      <c r="CX211" s="936"/>
      <c r="CY211" s="1185"/>
      <c r="CZ211" s="936"/>
      <c r="DA211" s="936"/>
      <c r="DB211" s="936"/>
      <c r="DC211" s="936"/>
      <c r="DD211" s="936"/>
      <c r="DE211" s="1185"/>
      <c r="DF211" s="936"/>
      <c r="DG211" s="936"/>
      <c r="DH211" s="936"/>
      <c r="DI211" s="936"/>
      <c r="DJ211" s="936"/>
      <c r="DK211" s="1185"/>
      <c r="DL211" s="111"/>
      <c r="DM211" s="936"/>
      <c r="DN211" s="936"/>
      <c r="DO211" s="936"/>
      <c r="DP211" s="936"/>
      <c r="DQ211" s="1185"/>
      <c r="DR211" s="270"/>
      <c r="DS211" s="936"/>
      <c r="DT211" s="936"/>
      <c r="DU211" s="936"/>
      <c r="DV211" s="936"/>
      <c r="DW211" s="1185"/>
      <c r="DX211" s="270"/>
      <c r="DY211" s="936"/>
      <c r="DZ211" s="936"/>
      <c r="EA211" s="936"/>
      <c r="EB211" s="936"/>
      <c r="EC211" s="1185"/>
      <c r="ED211" s="270"/>
      <c r="EE211" s="936"/>
      <c r="EF211" s="936"/>
      <c r="EG211" s="936"/>
      <c r="EH211" s="936"/>
      <c r="EI211" s="1185"/>
      <c r="EJ211" s="270"/>
      <c r="EK211" s="936"/>
      <c r="EL211" s="936"/>
      <c r="EM211" s="936"/>
      <c r="EN211" s="936"/>
      <c r="EO211" s="1185"/>
      <c r="EP211" s="270"/>
      <c r="EQ211" s="936"/>
      <c r="ER211" s="936"/>
      <c r="ES211" s="936"/>
      <c r="ET211" s="936"/>
      <c r="EU211" s="1185"/>
    </row>
    <row r="212" spans="1:190" hidden="1" outlineLevel="3">
      <c r="A212" s="545"/>
      <c r="B212" s="113"/>
      <c r="C212" s="226"/>
      <c r="D212" s="226"/>
      <c r="E212" s="226"/>
      <c r="F212" s="226"/>
      <c r="G212" s="270"/>
      <c r="H212" s="113"/>
      <c r="I212" s="270"/>
      <c r="J212" s="270"/>
      <c r="K212" s="270"/>
      <c r="L212" s="270"/>
      <c r="M212" s="270"/>
      <c r="N212" s="113"/>
      <c r="O212" s="270"/>
      <c r="P212" s="270"/>
      <c r="Q212" s="270"/>
      <c r="R212" s="270"/>
      <c r="S212" s="270"/>
      <c r="T212" s="113"/>
      <c r="U212" s="270"/>
      <c r="V212" s="270"/>
      <c r="W212" s="270"/>
      <c r="X212" s="270"/>
      <c r="Y212" s="270"/>
      <c r="Z212" s="113"/>
      <c r="AA212" s="270"/>
      <c r="AB212" s="270"/>
      <c r="AC212" s="270"/>
      <c r="AD212" s="270"/>
      <c r="AE212" s="270"/>
      <c r="AF212" s="113"/>
      <c r="AG212" s="270"/>
      <c r="AH212" s="270"/>
      <c r="AI212" s="270"/>
      <c r="AJ212" s="270"/>
      <c r="AK212" s="270"/>
      <c r="AL212" s="113"/>
      <c r="AM212" s="270"/>
      <c r="AN212" s="270"/>
      <c r="AO212" s="270"/>
      <c r="AP212" s="270"/>
      <c r="AQ212" s="536"/>
      <c r="AR212" s="113"/>
      <c r="AS212" s="270"/>
      <c r="AT212" s="270"/>
      <c r="AU212" s="270"/>
      <c r="AV212" s="270"/>
      <c r="AW212" s="26"/>
      <c r="AX212" s="90"/>
      <c r="AY212" s="83"/>
      <c r="AZ212" s="83"/>
      <c r="BA212" s="83"/>
      <c r="BB212" s="83"/>
      <c r="BC212" s="83"/>
      <c r="BD212" s="138"/>
      <c r="BE212" s="83"/>
      <c r="BF212" s="83"/>
      <c r="BG212" s="83"/>
      <c r="BH212" s="83"/>
      <c r="BI212" s="83"/>
      <c r="BJ212" s="138"/>
      <c r="BK212" s="26"/>
      <c r="BL212" s="26"/>
      <c r="BM212" s="26"/>
      <c r="BN212" s="26"/>
      <c r="BO212" s="1137"/>
      <c r="BP212" s="138"/>
      <c r="BQ212" s="26"/>
      <c r="BR212" s="26"/>
      <c r="BS212" s="26"/>
      <c r="BT212" s="26"/>
      <c r="BU212" s="1137"/>
      <c r="BV212" s="138"/>
      <c r="BW212" s="26"/>
      <c r="BX212" s="270"/>
      <c r="BY212" s="270"/>
      <c r="BZ212" s="270"/>
      <c r="CA212" s="1125"/>
      <c r="CB212" s="113"/>
      <c r="CC212" s="270"/>
      <c r="CD212" s="270"/>
      <c r="CE212" s="270"/>
      <c r="CF212" s="331">
        <f>CF209/CE209-1</f>
        <v>0.10483750930290259</v>
      </c>
      <c r="CG212" s="1125"/>
      <c r="CH212" s="113"/>
      <c r="CI212" s="270"/>
      <c r="CJ212" s="270"/>
      <c r="CK212" s="412"/>
      <c r="CL212" s="270"/>
      <c r="CM212" s="1125"/>
      <c r="CN212" s="113"/>
      <c r="CO212" s="270"/>
      <c r="CP212" s="270"/>
      <c r="CQ212" s="270"/>
      <c r="CR212" s="270"/>
      <c r="CS212" s="1125"/>
      <c r="CT212" s="270"/>
      <c r="CU212" s="270"/>
      <c r="CV212" s="270"/>
      <c r="CW212" s="270"/>
      <c r="CX212" s="270"/>
      <c r="CY212" s="1125"/>
      <c r="CZ212" s="270"/>
      <c r="DA212" s="270"/>
      <c r="DB212" s="270"/>
      <c r="DC212" s="270"/>
      <c r="DD212" s="270"/>
      <c r="DE212" s="1125"/>
      <c r="DF212" s="270"/>
      <c r="DG212" s="270"/>
      <c r="DH212" s="270"/>
      <c r="DI212" s="270"/>
      <c r="DJ212" s="270"/>
      <c r="DK212" s="1125"/>
      <c r="DL212" s="113"/>
      <c r="DM212" s="270"/>
      <c r="DN212" s="270"/>
      <c r="DO212" s="270"/>
      <c r="DP212" s="270"/>
      <c r="DQ212" s="1125"/>
      <c r="DR212" s="270"/>
      <c r="DS212" s="270"/>
      <c r="DT212" s="270"/>
      <c r="DU212" s="270"/>
      <c r="DV212" s="270"/>
      <c r="DW212" s="1125"/>
      <c r="DX212" s="270"/>
      <c r="DY212" s="270"/>
      <c r="DZ212" s="270"/>
      <c r="EA212" s="270"/>
      <c r="EB212" s="270"/>
      <c r="EC212" s="1125"/>
      <c r="ED212" s="270"/>
      <c r="EE212" s="270"/>
      <c r="EF212" s="270"/>
      <c r="EG212" s="270"/>
      <c r="EH212" s="270"/>
      <c r="EI212" s="1125"/>
      <c r="EJ212" s="270"/>
      <c r="EK212" s="270"/>
      <c r="EL212" s="270"/>
      <c r="EM212" s="270"/>
      <c r="EN212" s="270"/>
      <c r="EO212" s="1125"/>
      <c r="EP212" s="270"/>
      <c r="EQ212" s="270"/>
      <c r="ER212" s="270"/>
      <c r="ES212" s="270"/>
      <c r="ET212" s="270"/>
      <c r="EU212" s="1125"/>
    </row>
    <row r="213" spans="1:190" hidden="1" outlineLevel="3">
      <c r="A213" s="989" t="s">
        <v>5580</v>
      </c>
      <c r="B213" s="99"/>
      <c r="C213" s="148"/>
      <c r="D213" s="148"/>
      <c r="E213" s="148"/>
      <c r="F213" s="148"/>
      <c r="G213" s="990"/>
      <c r="H213" s="99"/>
      <c r="I213" s="990"/>
      <c r="J213" s="990"/>
      <c r="K213" s="990"/>
      <c r="L213" s="990"/>
      <c r="M213" s="990"/>
      <c r="N213" s="99"/>
      <c r="O213" s="990"/>
      <c r="P213" s="990"/>
      <c r="Q213" s="990"/>
      <c r="R213" s="990"/>
      <c r="S213" s="990"/>
      <c r="T213" s="99"/>
      <c r="U213" s="990"/>
      <c r="V213" s="990"/>
      <c r="W213" s="990"/>
      <c r="X213" s="990"/>
      <c r="Y213" s="990"/>
      <c r="Z213" s="99"/>
      <c r="AA213" s="990"/>
      <c r="AB213" s="990"/>
      <c r="AC213" s="990"/>
      <c r="AD213" s="990"/>
      <c r="AE213" s="990"/>
      <c r="AF213" s="99"/>
      <c r="AG213" s="990"/>
      <c r="AH213" s="990"/>
      <c r="AI213" s="990"/>
      <c r="AJ213" s="990"/>
      <c r="AK213" s="990"/>
      <c r="AL213" s="99"/>
      <c r="AM213" s="990"/>
      <c r="AN213" s="990"/>
      <c r="AO213" s="990"/>
      <c r="AP213" s="990"/>
      <c r="AQ213" s="991"/>
      <c r="AR213" s="99"/>
      <c r="AS213" s="990"/>
      <c r="AT213" s="990"/>
      <c r="AU213" s="990"/>
      <c r="AV213" s="990"/>
      <c r="AW213" s="97"/>
      <c r="AX213" s="97"/>
      <c r="AY213" s="103"/>
      <c r="AZ213" s="103"/>
      <c r="BA213" s="103"/>
      <c r="BB213" s="103"/>
      <c r="BC213" s="881">
        <f>BC209-BC215</f>
        <v>33.401600000000002</v>
      </c>
      <c r="BD213" s="99"/>
      <c r="BE213" s="103"/>
      <c r="BF213" s="103"/>
      <c r="BG213" s="103"/>
      <c r="BH213" s="103"/>
      <c r="BI213" s="881">
        <f>BI209-BI215</f>
        <v>102.10649999999998</v>
      </c>
      <c r="BJ213" s="99"/>
      <c r="BK213" s="97"/>
      <c r="BL213" s="97"/>
      <c r="BM213" s="97"/>
      <c r="BN213" s="97"/>
      <c r="BO213" s="1138">
        <f>BO209-BO215</f>
        <v>196.94000000000005</v>
      </c>
      <c r="BP213" s="99"/>
      <c r="BQ213" s="97"/>
      <c r="BR213" s="97"/>
      <c r="BS213" s="97"/>
      <c r="BT213" s="97"/>
      <c r="BU213" s="1138">
        <f>BU209-BU215</f>
        <v>270.90879999999993</v>
      </c>
      <c r="BV213" s="99"/>
      <c r="BW213" s="97"/>
      <c r="BX213" s="990"/>
      <c r="BY213" s="990"/>
      <c r="BZ213" s="990"/>
      <c r="CA213" s="1101"/>
      <c r="CB213" s="99"/>
      <c r="CC213" s="990"/>
      <c r="CD213" s="990"/>
      <c r="CE213" s="990"/>
      <c r="CF213" s="990"/>
      <c r="CG213" s="1101"/>
      <c r="CH213" s="99"/>
      <c r="CI213" s="990"/>
      <c r="CJ213" s="990"/>
      <c r="CK213" s="95"/>
      <c r="CL213" s="990"/>
      <c r="CM213" s="1101"/>
      <c r="CN213" s="99"/>
      <c r="CO213" s="990"/>
      <c r="CP213" s="990"/>
      <c r="CQ213" s="990"/>
      <c r="CR213" s="990"/>
      <c r="CS213" s="1101"/>
      <c r="CT213" s="990"/>
      <c r="CU213" s="990"/>
      <c r="CV213" s="990"/>
      <c r="CW213" s="990"/>
      <c r="CX213" s="990"/>
      <c r="CY213" s="1101"/>
      <c r="CZ213" s="990"/>
      <c r="DA213" s="990"/>
      <c r="DB213" s="990"/>
      <c r="DC213" s="990"/>
      <c r="DD213" s="990"/>
      <c r="DE213" s="1101"/>
      <c r="DF213" s="990"/>
      <c r="DG213" s="990"/>
      <c r="DH213" s="990"/>
      <c r="DI213" s="990"/>
      <c r="DJ213" s="990"/>
      <c r="DK213" s="1101"/>
      <c r="DL213" s="99"/>
      <c r="DM213" s="990"/>
      <c r="DN213" s="990"/>
      <c r="DO213" s="990"/>
      <c r="DP213" s="990"/>
      <c r="DQ213" s="1101"/>
      <c r="DR213" s="990"/>
      <c r="DS213" s="990"/>
      <c r="DT213" s="990"/>
      <c r="DU213" s="990"/>
      <c r="DV213" s="990"/>
      <c r="DW213" s="1101"/>
      <c r="DX213" s="990"/>
      <c r="DY213" s="990"/>
      <c r="DZ213" s="990"/>
      <c r="EA213" s="990"/>
      <c r="EB213" s="990"/>
      <c r="EC213" s="1101"/>
      <c r="ED213" s="990"/>
      <c r="EE213" s="990"/>
      <c r="EF213" s="990"/>
      <c r="EG213" s="990"/>
      <c r="EH213" s="990"/>
      <c r="EI213" s="1101"/>
      <c r="EJ213" s="990"/>
      <c r="EK213" s="990"/>
      <c r="EL213" s="990"/>
      <c r="EM213" s="990"/>
      <c r="EN213" s="990"/>
      <c r="EO213" s="1101"/>
      <c r="EP213" s="990"/>
      <c r="EQ213" s="990"/>
      <c r="ER213" s="990"/>
      <c r="ES213" s="990"/>
      <c r="ET213" s="990"/>
      <c r="EU213" s="1101"/>
    </row>
    <row r="214" spans="1:190" hidden="1" outlineLevel="3">
      <c r="A214" s="989" t="s">
        <v>2242</v>
      </c>
      <c r="B214" s="99"/>
      <c r="C214" s="148"/>
      <c r="D214" s="148"/>
      <c r="E214" s="148"/>
      <c r="F214" s="148"/>
      <c r="G214" s="990"/>
      <c r="H214" s="99"/>
      <c r="I214" s="990"/>
      <c r="J214" s="990"/>
      <c r="K214" s="990"/>
      <c r="L214" s="990"/>
      <c r="M214" s="990"/>
      <c r="N214" s="99"/>
      <c r="O214" s="990"/>
      <c r="P214" s="990"/>
      <c r="Q214" s="990"/>
      <c r="R214" s="990"/>
      <c r="S214" s="990"/>
      <c r="T214" s="99"/>
      <c r="U214" s="990"/>
      <c r="V214" s="990"/>
      <c r="W214" s="990"/>
      <c r="X214" s="990"/>
      <c r="Y214" s="990"/>
      <c r="Z214" s="99"/>
      <c r="AA214" s="990"/>
      <c r="AB214" s="990"/>
      <c r="AC214" s="990"/>
      <c r="AD214" s="990"/>
      <c r="AE214" s="990"/>
      <c r="AF214" s="99"/>
      <c r="AG214" s="990"/>
      <c r="AH214" s="990"/>
      <c r="AI214" s="990"/>
      <c r="AJ214" s="990"/>
      <c r="AK214" s="990"/>
      <c r="AL214" s="99"/>
      <c r="AM214" s="990"/>
      <c r="AN214" s="990"/>
      <c r="AO214" s="990"/>
      <c r="AP214" s="990"/>
      <c r="AQ214" s="991"/>
      <c r="AR214" s="99"/>
      <c r="AS214" s="990"/>
      <c r="AT214" s="990"/>
      <c r="AU214" s="990"/>
      <c r="AV214" s="990"/>
      <c r="AW214" s="97"/>
      <c r="AX214" s="97"/>
      <c r="AY214" s="103"/>
      <c r="AZ214" s="103"/>
      <c r="BA214" s="103"/>
      <c r="BB214" s="103"/>
      <c r="BC214" s="881"/>
      <c r="BD214" s="99"/>
      <c r="BE214" s="103"/>
      <c r="BF214" s="103"/>
      <c r="BG214" s="103"/>
      <c r="BH214" s="103"/>
      <c r="BI214" s="106">
        <f>BI213/BC213-1</f>
        <v>2.056934398352174</v>
      </c>
      <c r="BJ214" s="99"/>
      <c r="BK214" s="97"/>
      <c r="BL214" s="97"/>
      <c r="BM214" s="97"/>
      <c r="BN214" s="97"/>
      <c r="BO214" s="1139">
        <f>BO213/BI213-1</f>
        <v>0.92877045046103901</v>
      </c>
      <c r="BP214" s="99"/>
      <c r="BQ214" s="97"/>
      <c r="BR214" s="97"/>
      <c r="BS214" s="97"/>
      <c r="BT214" s="97"/>
      <c r="BU214" s="1139">
        <f>BU213/BO213-1</f>
        <v>0.37559053518838148</v>
      </c>
      <c r="BV214" s="99"/>
      <c r="BW214" s="97"/>
      <c r="BX214" s="990"/>
      <c r="BY214" s="990"/>
      <c r="BZ214" s="990"/>
      <c r="CA214" s="1101"/>
      <c r="CB214" s="99"/>
      <c r="CC214" s="990"/>
      <c r="CD214" s="990"/>
      <c r="CE214" s="990"/>
      <c r="CF214" s="990"/>
      <c r="CG214" s="1101"/>
      <c r="CH214" s="99"/>
      <c r="CI214" s="990"/>
      <c r="CJ214" s="990"/>
      <c r="CK214" s="95"/>
      <c r="CL214" s="990"/>
      <c r="CM214" s="1101"/>
      <c r="CN214" s="99"/>
      <c r="CO214" s="990"/>
      <c r="CP214" s="990"/>
      <c r="CQ214" s="990"/>
      <c r="CR214" s="990"/>
      <c r="CS214" s="1101"/>
      <c r="CT214" s="990"/>
      <c r="CU214" s="990"/>
      <c r="CV214" s="990"/>
      <c r="CW214" s="990"/>
      <c r="CX214" s="990"/>
      <c r="CY214" s="1101"/>
      <c r="CZ214" s="990"/>
      <c r="DA214" s="990"/>
      <c r="DB214" s="990"/>
      <c r="DC214" s="990"/>
      <c r="DD214" s="990"/>
      <c r="DE214" s="1101"/>
      <c r="DF214" s="990"/>
      <c r="DG214" s="990"/>
      <c r="DH214" s="990"/>
      <c r="DI214" s="990"/>
      <c r="DJ214" s="990"/>
      <c r="DK214" s="1101"/>
      <c r="DL214" s="99"/>
      <c r="DM214" s="990"/>
      <c r="DN214" s="990"/>
      <c r="DO214" s="990"/>
      <c r="DP214" s="990"/>
      <c r="DQ214" s="1101"/>
      <c r="DR214" s="990"/>
      <c r="DS214" s="990"/>
      <c r="DT214" s="990"/>
      <c r="DU214" s="990"/>
      <c r="DV214" s="990"/>
      <c r="DW214" s="1101"/>
      <c r="DX214" s="990"/>
      <c r="DY214" s="990"/>
      <c r="DZ214" s="990"/>
      <c r="EA214" s="990"/>
      <c r="EB214" s="990"/>
      <c r="EC214" s="1101"/>
      <c r="ED214" s="990"/>
      <c r="EE214" s="990"/>
      <c r="EF214" s="990"/>
      <c r="EG214" s="990"/>
      <c r="EH214" s="990"/>
      <c r="EI214" s="1101"/>
      <c r="EJ214" s="990"/>
      <c r="EK214" s="990"/>
      <c r="EL214" s="990"/>
      <c r="EM214" s="990"/>
      <c r="EN214" s="990"/>
      <c r="EO214" s="1101"/>
      <c r="EP214" s="990"/>
      <c r="EQ214" s="990"/>
      <c r="ER214" s="990"/>
      <c r="ES214" s="990"/>
      <c r="ET214" s="990"/>
      <c r="EU214" s="1101"/>
    </row>
    <row r="215" spans="1:190" hidden="1" outlineLevel="3">
      <c r="A215" s="989" t="s">
        <v>5581</v>
      </c>
      <c r="B215" s="99"/>
      <c r="C215" s="148"/>
      <c r="D215" s="148"/>
      <c r="E215" s="148"/>
      <c r="F215" s="148"/>
      <c r="G215" s="990"/>
      <c r="H215" s="99"/>
      <c r="I215" s="990"/>
      <c r="J215" s="990"/>
      <c r="K215" s="990"/>
      <c r="L215" s="990"/>
      <c r="M215" s="990"/>
      <c r="N215" s="99"/>
      <c r="O215" s="990"/>
      <c r="P215" s="990"/>
      <c r="Q215" s="990"/>
      <c r="R215" s="990"/>
      <c r="S215" s="990"/>
      <c r="T215" s="99"/>
      <c r="U215" s="990"/>
      <c r="V215" s="990"/>
      <c r="W215" s="990"/>
      <c r="X215" s="990"/>
      <c r="Y215" s="990"/>
      <c r="Z215" s="99"/>
      <c r="AA215" s="990"/>
      <c r="AB215" s="990"/>
      <c r="AC215" s="990"/>
      <c r="AD215" s="990"/>
      <c r="AE215" s="990"/>
      <c r="AF215" s="99"/>
      <c r="AG215" s="990"/>
      <c r="AH215" s="990"/>
      <c r="AI215" s="990"/>
      <c r="AJ215" s="990"/>
      <c r="AK215" s="990"/>
      <c r="AL215" s="99"/>
      <c r="AM215" s="990"/>
      <c r="AN215" s="990"/>
      <c r="AO215" s="990"/>
      <c r="AP215" s="990"/>
      <c r="AQ215" s="991"/>
      <c r="AR215" s="99"/>
      <c r="AS215" s="990"/>
      <c r="AT215" s="990"/>
      <c r="AU215" s="990"/>
      <c r="AV215" s="990"/>
      <c r="AW215" s="97"/>
      <c r="AX215" s="97"/>
      <c r="AY215" s="103"/>
      <c r="AZ215" s="103"/>
      <c r="BA215" s="103"/>
      <c r="BB215" s="103"/>
      <c r="BC215" s="881">
        <v>145</v>
      </c>
      <c r="BD215" s="99"/>
      <c r="BE215" s="103"/>
      <c r="BF215" s="103"/>
      <c r="BG215" s="103"/>
      <c r="BH215" s="103"/>
      <c r="BI215" s="881">
        <v>180</v>
      </c>
      <c r="BJ215" s="99"/>
      <c r="BK215" s="97"/>
      <c r="BL215" s="97"/>
      <c r="BM215" s="97"/>
      <c r="BN215" s="97"/>
      <c r="BO215" s="1138">
        <v>200</v>
      </c>
      <c r="BP215" s="99"/>
      <c r="BQ215" s="97"/>
      <c r="BR215" s="97"/>
      <c r="BS215" s="97"/>
      <c r="BT215" s="97"/>
      <c r="BU215" s="1138">
        <v>230</v>
      </c>
      <c r="BV215" s="99"/>
      <c r="BW215" s="97"/>
      <c r="BX215" s="990"/>
      <c r="BY215" s="990"/>
      <c r="BZ215" s="990"/>
      <c r="CA215" s="1101"/>
      <c r="CB215" s="99"/>
      <c r="CC215" s="990"/>
      <c r="CD215" s="990"/>
      <c r="CE215" s="990"/>
      <c r="CF215" s="990"/>
      <c r="CG215" s="1101"/>
      <c r="CH215" s="99"/>
      <c r="CI215" s="990"/>
      <c r="CJ215" s="990"/>
      <c r="CK215" s="95"/>
      <c r="CL215" s="990"/>
      <c r="CM215" s="1101"/>
      <c r="CN215" s="99"/>
      <c r="CO215" s="990"/>
      <c r="CP215" s="990"/>
      <c r="CQ215" s="990"/>
      <c r="CR215" s="990"/>
      <c r="CS215" s="1101"/>
      <c r="CT215" s="990"/>
      <c r="CU215" s="990"/>
      <c r="CV215" s="990"/>
      <c r="CW215" s="990"/>
      <c r="CX215" s="990"/>
      <c r="CY215" s="1101"/>
      <c r="CZ215" s="990"/>
      <c r="DA215" s="990"/>
      <c r="DB215" s="990"/>
      <c r="DC215" s="990"/>
      <c r="DD215" s="990"/>
      <c r="DE215" s="1101"/>
      <c r="DF215" s="990"/>
      <c r="DG215" s="990"/>
      <c r="DH215" s="990"/>
      <c r="DI215" s="990"/>
      <c r="DJ215" s="990"/>
      <c r="DK215" s="1101"/>
      <c r="DL215" s="99"/>
      <c r="DM215" s="990"/>
      <c r="DN215" s="990"/>
      <c r="DO215" s="990"/>
      <c r="DP215" s="990"/>
      <c r="DQ215" s="1101"/>
      <c r="DR215" s="990"/>
      <c r="DS215" s="990"/>
      <c r="DT215" s="990"/>
      <c r="DU215" s="990"/>
      <c r="DV215" s="990"/>
      <c r="DW215" s="1101"/>
      <c r="DX215" s="990"/>
      <c r="DY215" s="990"/>
      <c r="DZ215" s="990"/>
      <c r="EA215" s="990"/>
      <c r="EB215" s="990"/>
      <c r="EC215" s="1101"/>
      <c r="ED215" s="990"/>
      <c r="EE215" s="990"/>
      <c r="EF215" s="990"/>
      <c r="EG215" s="990"/>
      <c r="EH215" s="990"/>
      <c r="EI215" s="1101"/>
      <c r="EJ215" s="990"/>
      <c r="EK215" s="990"/>
      <c r="EL215" s="990"/>
      <c r="EM215" s="990"/>
      <c r="EN215" s="990"/>
      <c r="EO215" s="1101"/>
      <c r="EP215" s="990"/>
      <c r="EQ215" s="990"/>
      <c r="ER215" s="990"/>
      <c r="ES215" s="990"/>
      <c r="ET215" s="990"/>
      <c r="EU215" s="1101"/>
    </row>
    <row r="216" spans="1:190" hidden="1" outlineLevel="3">
      <c r="A216" s="989" t="s">
        <v>2242</v>
      </c>
      <c r="B216" s="99"/>
      <c r="C216" s="148"/>
      <c r="D216" s="148"/>
      <c r="E216" s="148"/>
      <c r="F216" s="148"/>
      <c r="G216" s="990"/>
      <c r="H216" s="99"/>
      <c r="I216" s="990"/>
      <c r="J216" s="990"/>
      <c r="K216" s="990"/>
      <c r="L216" s="990"/>
      <c r="M216" s="990"/>
      <c r="N216" s="99"/>
      <c r="O216" s="990"/>
      <c r="P216" s="990"/>
      <c r="Q216" s="990"/>
      <c r="R216" s="990"/>
      <c r="S216" s="990"/>
      <c r="T216" s="99"/>
      <c r="U216" s="990"/>
      <c r="V216" s="990"/>
      <c r="W216" s="990"/>
      <c r="X216" s="990"/>
      <c r="Y216" s="990"/>
      <c r="Z216" s="99"/>
      <c r="AA216" s="990"/>
      <c r="AB216" s="990"/>
      <c r="AC216" s="990"/>
      <c r="AD216" s="990"/>
      <c r="AE216" s="990"/>
      <c r="AF216" s="99"/>
      <c r="AG216" s="990"/>
      <c r="AH216" s="990"/>
      <c r="AI216" s="990"/>
      <c r="AJ216" s="990"/>
      <c r="AK216" s="990"/>
      <c r="AL216" s="99"/>
      <c r="AM216" s="990"/>
      <c r="AN216" s="990"/>
      <c r="AO216" s="990"/>
      <c r="AP216" s="990"/>
      <c r="AQ216" s="991"/>
      <c r="AR216" s="99"/>
      <c r="AS216" s="990"/>
      <c r="AT216" s="990"/>
      <c r="AU216" s="990"/>
      <c r="AV216" s="990"/>
      <c r="AW216" s="97"/>
      <c r="AX216" s="97"/>
      <c r="AY216" s="103"/>
      <c r="AZ216" s="103"/>
      <c r="BA216" s="103"/>
      <c r="BB216" s="103"/>
      <c r="BC216" s="881"/>
      <c r="BD216" s="99"/>
      <c r="BE216" s="103"/>
      <c r="BF216" s="103"/>
      <c r="BG216" s="103"/>
      <c r="BH216" s="103"/>
      <c r="BI216" s="106">
        <f>BI215/BC215-1</f>
        <v>0.24137931034482762</v>
      </c>
      <c r="BJ216" s="99"/>
      <c r="BK216" s="97"/>
      <c r="BL216" s="97"/>
      <c r="BM216" s="97"/>
      <c r="BN216" s="97"/>
      <c r="BO216" s="1139">
        <f>BO215/BI215-1</f>
        <v>0.11111111111111116</v>
      </c>
      <c r="BP216" s="99"/>
      <c r="BQ216" s="97"/>
      <c r="BR216" s="97"/>
      <c r="BS216" s="97"/>
      <c r="BT216" s="97"/>
      <c r="BU216" s="1139">
        <f>BU215/BO215-1</f>
        <v>0.14999999999999991</v>
      </c>
      <c r="BV216" s="99"/>
      <c r="BW216" s="97"/>
      <c r="BX216" s="990"/>
      <c r="BY216" s="990"/>
      <c r="BZ216" s="990"/>
      <c r="CA216" s="1101"/>
      <c r="CB216" s="99"/>
      <c r="CC216" s="990"/>
      <c r="CD216" s="990"/>
      <c r="CE216" s="990"/>
      <c r="CF216" s="990"/>
      <c r="CG216" s="1101"/>
      <c r="CH216" s="99"/>
      <c r="CI216" s="990"/>
      <c r="CJ216" s="990"/>
      <c r="CK216" s="95"/>
      <c r="CL216" s="990"/>
      <c r="CM216" s="1101"/>
      <c r="CN216" s="99"/>
      <c r="CO216" s="990"/>
      <c r="CP216" s="990"/>
      <c r="CQ216" s="990"/>
      <c r="CR216" s="990"/>
      <c r="CS216" s="1101"/>
      <c r="CT216" s="990"/>
      <c r="CU216" s="990"/>
      <c r="CV216" s="990"/>
      <c r="CW216" s="990"/>
      <c r="CX216" s="990"/>
      <c r="CY216" s="1101"/>
      <c r="CZ216" s="990"/>
      <c r="DA216" s="990"/>
      <c r="DB216" s="990"/>
      <c r="DC216" s="990"/>
      <c r="DD216" s="990"/>
      <c r="DE216" s="1101"/>
      <c r="DF216" s="990"/>
      <c r="DG216" s="990"/>
      <c r="DH216" s="990"/>
      <c r="DI216" s="990"/>
      <c r="DJ216" s="990"/>
      <c r="DK216" s="1101"/>
      <c r="DL216" s="99"/>
      <c r="DM216" s="990"/>
      <c r="DN216" s="990"/>
      <c r="DO216" s="990"/>
      <c r="DP216" s="990"/>
      <c r="DQ216" s="1101"/>
      <c r="DR216" s="990"/>
      <c r="DS216" s="990"/>
      <c r="DT216" s="990"/>
      <c r="DU216" s="990"/>
      <c r="DV216" s="990"/>
      <c r="DW216" s="1101"/>
      <c r="DX216" s="990"/>
      <c r="DY216" s="990"/>
      <c r="DZ216" s="990"/>
      <c r="EA216" s="990"/>
      <c r="EB216" s="990"/>
      <c r="EC216" s="1101"/>
      <c r="ED216" s="990"/>
      <c r="EE216" s="990"/>
      <c r="EF216" s="990"/>
      <c r="EG216" s="990"/>
      <c r="EH216" s="990"/>
      <c r="EI216" s="1101"/>
      <c r="EJ216" s="990"/>
      <c r="EK216" s="990"/>
      <c r="EL216" s="990"/>
      <c r="EM216" s="990"/>
      <c r="EN216" s="990"/>
      <c r="EO216" s="1101"/>
      <c r="EP216" s="990"/>
      <c r="EQ216" s="990"/>
      <c r="ER216" s="990"/>
      <c r="ES216" s="990"/>
      <c r="ET216" s="990"/>
      <c r="EU216" s="1101"/>
    </row>
    <row r="217" spans="1:190" hidden="1" outlineLevel="2" collapsed="1">
      <c r="A217" s="545"/>
      <c r="B217" s="113"/>
      <c r="C217" s="226"/>
      <c r="D217" s="226"/>
      <c r="E217" s="226"/>
      <c r="F217" s="226"/>
      <c r="G217" s="270"/>
      <c r="H217" s="113"/>
      <c r="I217" s="270"/>
      <c r="J217" s="270"/>
      <c r="K217" s="270"/>
      <c r="L217" s="270"/>
      <c r="M217" s="270"/>
      <c r="N217" s="113"/>
      <c r="O217" s="270"/>
      <c r="P217" s="270"/>
      <c r="Q217" s="270"/>
      <c r="R217" s="270"/>
      <c r="S217" s="270"/>
      <c r="T217" s="113"/>
      <c r="U217" s="270"/>
      <c r="V217" s="270"/>
      <c r="W217" s="270"/>
      <c r="X217" s="270"/>
      <c r="Y217" s="270"/>
      <c r="Z217" s="113"/>
      <c r="AA217" s="270"/>
      <c r="AB217" s="270"/>
      <c r="AC217" s="270"/>
      <c r="AD217" s="270"/>
      <c r="AE217" s="270"/>
      <c r="AF217" s="113"/>
      <c r="AG217" s="270"/>
      <c r="AH217" s="270"/>
      <c r="AI217" s="270"/>
      <c r="AJ217" s="270"/>
      <c r="AK217" s="270"/>
      <c r="AL217" s="113"/>
      <c r="AM217" s="270"/>
      <c r="AN217" s="270"/>
      <c r="AO217" s="270"/>
      <c r="AP217" s="270"/>
      <c r="AQ217" s="536"/>
      <c r="AR217" s="113"/>
      <c r="AS217" s="270"/>
      <c r="AT217" s="270"/>
      <c r="AU217" s="270"/>
      <c r="AV217" s="159"/>
      <c r="AW217" s="537"/>
      <c r="AX217" s="113"/>
      <c r="AY217" s="412"/>
      <c r="AZ217" s="291"/>
      <c r="BA217" s="291"/>
      <c r="BB217" s="291"/>
      <c r="BC217" s="412"/>
      <c r="BD217" s="113"/>
      <c r="BE217" s="412"/>
      <c r="BF217" s="412"/>
      <c r="BG217" s="412"/>
      <c r="BH217" s="412"/>
      <c r="BI217" s="412"/>
      <c r="BJ217" s="113"/>
      <c r="BK217" s="270"/>
      <c r="BL217" s="270"/>
      <c r="BM217" s="270"/>
      <c r="BN217" s="270"/>
      <c r="BO217" s="1125"/>
      <c r="BP217" s="113"/>
      <c r="BQ217" s="270"/>
      <c r="BR217" s="270"/>
      <c r="BS217" s="270"/>
      <c r="BT217" s="270"/>
      <c r="BU217" s="1125"/>
      <c r="BV217" s="113"/>
      <c r="BW217" s="270"/>
      <c r="BX217" s="331"/>
      <c r="BY217" s="270"/>
      <c r="BZ217" s="270"/>
      <c r="CA217" s="1125"/>
      <c r="CB217" s="113"/>
      <c r="CC217" s="270"/>
      <c r="CD217" s="270"/>
      <c r="CE217" s="270"/>
      <c r="CF217" s="270"/>
      <c r="CG217" s="1125"/>
      <c r="CH217" s="113"/>
      <c r="CI217" s="270"/>
      <c r="CJ217" s="270"/>
      <c r="CK217" s="412"/>
      <c r="CL217" s="270"/>
      <c r="CM217" s="1125"/>
      <c r="CN217" s="113"/>
      <c r="CO217" s="270"/>
      <c r="CP217" s="270"/>
      <c r="CQ217" s="270"/>
      <c r="CR217" s="270"/>
      <c r="CS217" s="1125"/>
      <c r="CT217" s="270"/>
      <c r="CU217" s="270"/>
      <c r="CV217" s="270"/>
      <c r="CW217" s="270"/>
      <c r="CX217" s="270"/>
      <c r="CY217" s="1125"/>
      <c r="CZ217" s="270"/>
      <c r="DA217" s="270"/>
      <c r="DB217" s="270"/>
      <c r="DC217" s="270"/>
      <c r="DD217" s="270"/>
      <c r="DE217" s="1125"/>
      <c r="DF217" s="270"/>
      <c r="DG217" s="270"/>
      <c r="DH217" s="270"/>
      <c r="DI217" s="270"/>
      <c r="DJ217" s="270"/>
      <c r="DK217" s="1125"/>
      <c r="DL217" s="113"/>
      <c r="DM217" s="270"/>
      <c r="DN217" s="270"/>
      <c r="DO217" s="270"/>
      <c r="DP217" s="270"/>
      <c r="DQ217" s="1125"/>
      <c r="DR217" s="270"/>
      <c r="DS217" s="270"/>
      <c r="DT217" s="270"/>
      <c r="DU217" s="270"/>
      <c r="DV217" s="270"/>
      <c r="DW217" s="1125"/>
      <c r="DX217" s="270"/>
      <c r="DY217" s="270"/>
      <c r="DZ217" s="270"/>
      <c r="EA217" s="270"/>
      <c r="EB217" s="270"/>
      <c r="EC217" s="1125"/>
      <c r="ED217" s="270"/>
      <c r="EE217" s="270"/>
      <c r="EF217" s="270"/>
      <c r="EG217" s="270"/>
      <c r="EH217" s="270"/>
      <c r="EI217" s="1125"/>
      <c r="EJ217" s="270"/>
      <c r="EK217" s="270"/>
      <c r="EL217" s="270"/>
      <c r="EM217" s="270"/>
      <c r="EN217" s="270"/>
      <c r="EO217" s="1125"/>
      <c r="EP217" s="270"/>
      <c r="EQ217" s="270"/>
      <c r="ER217" s="270"/>
      <c r="ES217" s="270"/>
      <c r="ET217" s="270"/>
      <c r="EU217" s="1125"/>
    </row>
    <row r="218" spans="1:190" hidden="1" outlineLevel="2">
      <c r="A218" s="1028" t="s">
        <v>6437</v>
      </c>
      <c r="B218" s="190"/>
      <c r="C218" s="912"/>
      <c r="D218" s="912"/>
      <c r="E218" s="912"/>
      <c r="F218" s="912"/>
      <c r="G218" s="413"/>
      <c r="H218" s="190"/>
      <c r="I218" s="413"/>
      <c r="J218" s="413"/>
      <c r="K218" s="413"/>
      <c r="L218" s="413"/>
      <c r="M218" s="413"/>
      <c r="N218" s="190"/>
      <c r="O218" s="413"/>
      <c r="P218" s="413"/>
      <c r="Q218" s="413"/>
      <c r="R218" s="413"/>
      <c r="S218" s="413"/>
      <c r="T218" s="190"/>
      <c r="U218" s="413"/>
      <c r="V218" s="413"/>
      <c r="W218" s="413"/>
      <c r="X218" s="413"/>
      <c r="Y218" s="413"/>
      <c r="Z218" s="190"/>
      <c r="AA218" s="413"/>
      <c r="AB218" s="413"/>
      <c r="AC218" s="413"/>
      <c r="AD218" s="413"/>
      <c r="AE218" s="413"/>
      <c r="AF218" s="190"/>
      <c r="AG218" s="413"/>
      <c r="AH218" s="413"/>
      <c r="AI218" s="413"/>
      <c r="AJ218" s="413"/>
      <c r="AK218" s="413"/>
      <c r="AL218" s="190"/>
      <c r="AM218" s="413"/>
      <c r="AN218" s="413"/>
      <c r="AO218" s="413"/>
      <c r="AP218" s="413"/>
      <c r="AQ218" s="413"/>
      <c r="AR218" s="190"/>
      <c r="AS218" s="1061"/>
      <c r="AT218" s="413"/>
      <c r="AU218" s="413"/>
      <c r="AV218" s="413"/>
      <c r="AW218" s="413"/>
      <c r="AX218" s="190"/>
      <c r="AY218" s="698"/>
      <c r="AZ218" s="698"/>
      <c r="BA218" s="698"/>
      <c r="BB218" s="698"/>
      <c r="BC218" s="1062"/>
      <c r="BD218" s="190"/>
      <c r="BE218" s="190"/>
      <c r="BF218" s="190"/>
      <c r="BG218" s="190"/>
      <c r="BH218" s="190"/>
      <c r="BI218" s="190"/>
      <c r="BJ218" s="190"/>
      <c r="BK218" s="413">
        <v>31</v>
      </c>
      <c r="BL218" s="413">
        <v>32</v>
      </c>
      <c r="BM218" s="413">
        <v>38</v>
      </c>
      <c r="BN218" s="413">
        <v>47</v>
      </c>
      <c r="BO218" s="1140">
        <f>SUM(BK218:BN218)</f>
        <v>148</v>
      </c>
      <c r="BP218" s="190"/>
      <c r="BQ218" s="413">
        <v>32</v>
      </c>
      <c r="BR218" s="413">
        <v>39</v>
      </c>
      <c r="BS218" s="413">
        <v>43</v>
      </c>
      <c r="BT218" s="413">
        <v>46</v>
      </c>
      <c r="BU218" s="1140">
        <f>SUM(BQ218:BT218)</f>
        <v>160</v>
      </c>
      <c r="BV218" s="190"/>
      <c r="BW218" s="413">
        <v>35</v>
      </c>
      <c r="BX218" s="413">
        <v>36</v>
      </c>
      <c r="BY218" s="413">
        <v>41</v>
      </c>
      <c r="BZ218" s="413">
        <v>30</v>
      </c>
      <c r="CA218" s="1140">
        <f>SUM(BW218:BZ218)</f>
        <v>142</v>
      </c>
      <c r="CB218" s="1453"/>
      <c r="CC218" s="1200"/>
      <c r="CD218" s="413"/>
      <c r="CE218" s="413"/>
      <c r="CF218" s="413"/>
      <c r="CG218" s="1140"/>
      <c r="CH218" s="190"/>
      <c r="CI218" s="1200"/>
      <c r="CJ218" s="1200"/>
      <c r="CK218" s="698"/>
      <c r="CL218" s="413"/>
      <c r="CM218" s="1140"/>
      <c r="CN218" s="190"/>
      <c r="CO218" s="413"/>
      <c r="CP218" s="413"/>
      <c r="CQ218" s="413"/>
      <c r="CR218" s="413"/>
      <c r="CS218" s="1140"/>
      <c r="CT218" s="413"/>
      <c r="CU218" s="413"/>
      <c r="CV218" s="413"/>
      <c r="CW218" s="413"/>
      <c r="CX218" s="413"/>
      <c r="CY218" s="1140"/>
      <c r="CZ218" s="413"/>
      <c r="DA218" s="413"/>
      <c r="DB218" s="413"/>
      <c r="DC218" s="413"/>
      <c r="DD218" s="413"/>
      <c r="DE218" s="1140"/>
      <c r="DF218" s="413"/>
      <c r="DG218" s="413"/>
      <c r="DH218" s="413"/>
      <c r="DI218" s="413"/>
      <c r="DJ218" s="413"/>
      <c r="DK218" s="1140"/>
      <c r="DL218" s="190"/>
      <c r="DM218" s="413"/>
      <c r="DN218" s="413"/>
      <c r="DO218" s="413"/>
      <c r="DP218" s="413"/>
      <c r="DQ218" s="1140"/>
      <c r="DR218" s="270"/>
      <c r="DS218" s="413"/>
      <c r="DT218" s="413"/>
      <c r="DU218" s="413"/>
      <c r="DV218" s="413"/>
      <c r="DW218" s="1140"/>
      <c r="DX218" s="270"/>
      <c r="DY218" s="413"/>
      <c r="DZ218" s="413"/>
      <c r="EA218" s="413"/>
      <c r="EB218" s="413"/>
      <c r="EC218" s="1140"/>
      <c r="ED218" s="270"/>
      <c r="EE218" s="413"/>
      <c r="EF218" s="413"/>
      <c r="EG218" s="413"/>
      <c r="EH218" s="413"/>
      <c r="EI218" s="1140"/>
      <c r="EJ218" s="270"/>
      <c r="EK218" s="413"/>
      <c r="EL218" s="413"/>
      <c r="EM218" s="413"/>
      <c r="EN218" s="413"/>
      <c r="EO218" s="1140"/>
      <c r="EP218" s="270"/>
      <c r="EQ218" s="413"/>
      <c r="ER218" s="413"/>
      <c r="ES218" s="413"/>
      <c r="ET218" s="413"/>
      <c r="EU218" s="1140"/>
    </row>
    <row r="219" spans="1:190" hidden="1" outlineLevel="2">
      <c r="A219" s="1063" t="s">
        <v>4583</v>
      </c>
      <c r="B219" s="113"/>
      <c r="C219" s="226"/>
      <c r="D219" s="226"/>
      <c r="E219" s="226"/>
      <c r="F219" s="226"/>
      <c r="G219" s="270"/>
      <c r="H219" s="113"/>
      <c r="I219" s="270"/>
      <c r="J219" s="270"/>
      <c r="K219" s="270"/>
      <c r="L219" s="270"/>
      <c r="M219" s="270"/>
      <c r="N219" s="113"/>
      <c r="O219" s="270"/>
      <c r="P219" s="270"/>
      <c r="Q219" s="270"/>
      <c r="R219" s="270"/>
      <c r="S219" s="270"/>
      <c r="T219" s="113"/>
      <c r="U219" s="270"/>
      <c r="V219" s="270"/>
      <c r="W219" s="270"/>
      <c r="X219" s="270"/>
      <c r="Y219" s="270"/>
      <c r="Z219" s="113"/>
      <c r="AA219" s="270"/>
      <c r="AB219" s="270"/>
      <c r="AC219" s="270"/>
      <c r="AD219" s="270"/>
      <c r="AE219" s="270"/>
      <c r="AF219" s="113"/>
      <c r="AG219" s="270"/>
      <c r="AH219" s="270"/>
      <c r="AI219" s="270"/>
      <c r="AJ219" s="270"/>
      <c r="AK219" s="270"/>
      <c r="AL219" s="113"/>
      <c r="AM219" s="270"/>
      <c r="AN219" s="270"/>
      <c r="AO219" s="270"/>
      <c r="AP219" s="270"/>
      <c r="AQ219" s="270"/>
      <c r="AR219" s="113"/>
      <c r="AS219" s="531"/>
      <c r="AT219" s="270"/>
      <c r="AU219" s="270"/>
      <c r="AV219" s="270"/>
      <c r="AW219" s="270"/>
      <c r="AX219" s="113"/>
      <c r="AY219" s="412"/>
      <c r="AZ219" s="412"/>
      <c r="BA219" s="412"/>
      <c r="BB219" s="412"/>
      <c r="BC219" s="291"/>
      <c r="BD219" s="113"/>
      <c r="BE219" s="291">
        <v>0.83</v>
      </c>
      <c r="BF219" s="291">
        <v>0.93</v>
      </c>
      <c r="BG219" s="412"/>
      <c r="BH219" s="291">
        <v>0.73</v>
      </c>
      <c r="BI219" s="291">
        <v>0.88</v>
      </c>
      <c r="BJ219" s="113"/>
      <c r="BK219" s="270"/>
      <c r="BL219" s="270"/>
      <c r="BM219" s="270"/>
      <c r="BN219" s="270"/>
      <c r="BO219" s="1125"/>
      <c r="BP219" s="113"/>
      <c r="BQ219" s="331">
        <f>BQ218/BK218-1</f>
        <v>3.2258064516129004E-2</v>
      </c>
      <c r="BR219" s="331">
        <f>BR218/BL218-1</f>
        <v>0.21875</v>
      </c>
      <c r="BS219" s="331">
        <f>BS218/BM218-1</f>
        <v>0.13157894736842102</v>
      </c>
      <c r="BT219" s="331">
        <f>BT218/BN218-1</f>
        <v>-2.1276595744680882E-2</v>
      </c>
      <c r="BU219" s="1136">
        <f>BU218/BO218-1</f>
        <v>8.1081081081081141E-2</v>
      </c>
      <c r="BV219" s="113"/>
      <c r="BW219" s="331">
        <f>BW218/BQ218-1</f>
        <v>9.375E-2</v>
      </c>
      <c r="BX219" s="331">
        <f>BX218/BR218-1</f>
        <v>-7.6923076923076872E-2</v>
      </c>
      <c r="BY219" s="331">
        <f>BY218/BS218-1</f>
        <v>-4.6511627906976716E-2</v>
      </c>
      <c r="BZ219" s="331">
        <f>BZ218/BT218-1</f>
        <v>-0.34782608695652173</v>
      </c>
      <c r="CA219" s="1136">
        <f>CA218/BU218-1</f>
        <v>-0.11250000000000004</v>
      </c>
      <c r="CB219" s="930"/>
      <c r="CC219" s="331"/>
      <c r="CD219" s="270"/>
      <c r="CE219" s="270"/>
      <c r="CF219" s="270"/>
      <c r="CG219" s="1125"/>
      <c r="CH219" s="113"/>
      <c r="CI219" s="931"/>
      <c r="CJ219" s="931"/>
      <c r="CK219" s="412"/>
      <c r="CL219" s="270"/>
      <c r="CM219" s="1125"/>
      <c r="CN219" s="113"/>
      <c r="CO219" s="270"/>
      <c r="CP219" s="270"/>
      <c r="CQ219" s="270"/>
      <c r="CR219" s="270"/>
      <c r="CS219" s="1125"/>
      <c r="CT219" s="270"/>
      <c r="CU219" s="270"/>
      <c r="CV219" s="270"/>
      <c r="CW219" s="270"/>
      <c r="CX219" s="270"/>
      <c r="CY219" s="1125"/>
      <c r="CZ219" s="270"/>
      <c r="DA219" s="270"/>
      <c r="DB219" s="270"/>
      <c r="DC219" s="270"/>
      <c r="DD219" s="270"/>
      <c r="DE219" s="1125"/>
      <c r="DF219" s="270"/>
      <c r="DG219" s="270"/>
      <c r="DH219" s="270"/>
      <c r="DI219" s="270"/>
      <c r="DJ219" s="270"/>
      <c r="DK219" s="1125"/>
      <c r="DL219" s="113"/>
      <c r="DM219" s="270"/>
      <c r="DN219" s="270"/>
      <c r="DO219" s="270"/>
      <c r="DP219" s="270"/>
      <c r="DQ219" s="1125"/>
      <c r="DR219" s="270"/>
      <c r="DS219" s="270"/>
      <c r="DT219" s="270"/>
      <c r="DU219" s="270"/>
      <c r="DV219" s="270"/>
      <c r="DW219" s="1125"/>
      <c r="DX219" s="270"/>
      <c r="DY219" s="270"/>
      <c r="DZ219" s="270"/>
      <c r="EA219" s="270"/>
      <c r="EB219" s="270"/>
      <c r="EC219" s="1125"/>
      <c r="ED219" s="270"/>
      <c r="EE219" s="270"/>
      <c r="EF219" s="270"/>
      <c r="EG219" s="270"/>
      <c r="EH219" s="270"/>
      <c r="EI219" s="1125"/>
      <c r="EJ219" s="270"/>
      <c r="EK219" s="270"/>
      <c r="EL219" s="270"/>
      <c r="EM219" s="270"/>
      <c r="EN219" s="270"/>
      <c r="EO219" s="1125"/>
      <c r="EP219" s="270"/>
      <c r="EQ219" s="270"/>
      <c r="ER219" s="270"/>
      <c r="ES219" s="270"/>
      <c r="ET219" s="270"/>
      <c r="EU219" s="1125"/>
    </row>
    <row r="220" spans="1:190" hidden="1" outlineLevel="2">
      <c r="A220" s="1064" t="s">
        <v>1930</v>
      </c>
      <c r="B220" s="113"/>
      <c r="C220" s="226"/>
      <c r="D220" s="226"/>
      <c r="E220" s="226"/>
      <c r="F220" s="226"/>
      <c r="G220" s="270"/>
      <c r="H220" s="113"/>
      <c r="I220" s="270"/>
      <c r="J220" s="270"/>
      <c r="K220" s="270"/>
      <c r="L220" s="270"/>
      <c r="M220" s="270"/>
      <c r="N220" s="113"/>
      <c r="O220" s="270"/>
      <c r="P220" s="270"/>
      <c r="Q220" s="270"/>
      <c r="R220" s="270"/>
      <c r="S220" s="270"/>
      <c r="T220" s="113"/>
      <c r="U220" s="270"/>
      <c r="V220" s="270"/>
      <c r="W220" s="270"/>
      <c r="X220" s="270"/>
      <c r="Y220" s="270"/>
      <c r="Z220" s="113"/>
      <c r="AA220" s="270"/>
      <c r="AB220" s="270"/>
      <c r="AC220" s="270"/>
      <c r="AD220" s="270"/>
      <c r="AE220" s="270"/>
      <c r="AF220" s="113"/>
      <c r="AG220" s="270"/>
      <c r="AH220" s="270"/>
      <c r="AI220" s="270"/>
      <c r="AJ220" s="270"/>
      <c r="AK220" s="270"/>
      <c r="AL220" s="113"/>
      <c r="AM220" s="270"/>
      <c r="AN220" s="270"/>
      <c r="AO220" s="270"/>
      <c r="AP220" s="270"/>
      <c r="AQ220" s="270"/>
      <c r="AR220" s="113"/>
      <c r="AS220" s="531"/>
      <c r="AT220" s="270"/>
      <c r="AU220" s="270"/>
      <c r="AV220" s="270"/>
      <c r="AW220" s="270"/>
      <c r="AX220" s="113"/>
      <c r="AY220" s="412"/>
      <c r="AZ220" s="412"/>
      <c r="BA220" s="412"/>
      <c r="BB220" s="412"/>
      <c r="BC220" s="291"/>
      <c r="BD220" s="113"/>
      <c r="BE220" s="291"/>
      <c r="BF220" s="291"/>
      <c r="BG220" s="412"/>
      <c r="BH220" s="291"/>
      <c r="BI220" s="291"/>
      <c r="BJ220" s="113"/>
      <c r="BK220" s="1060">
        <f>BK209/BK218*1000</f>
        <v>2812.9032258064517</v>
      </c>
      <c r="BL220" s="1060">
        <f>BL209/BL218*1000</f>
        <v>2810.0000000000005</v>
      </c>
      <c r="BM220" s="1060">
        <f>BM209/BM218*1000</f>
        <v>2645.7894736842109</v>
      </c>
      <c r="BN220" s="1060">
        <f>BN209/BN218*1000</f>
        <v>2537.872340425532</v>
      </c>
      <c r="BO220" s="1135">
        <f>BO209/BO218*1000</f>
        <v>2682.0270270270275</v>
      </c>
      <c r="BP220" s="113"/>
      <c r="BQ220" s="1060">
        <f>BQ209/BQ218*1000</f>
        <v>3305.8999999999996</v>
      </c>
      <c r="BR220" s="1060">
        <f>BR209/BR218*1000</f>
        <v>3128.2051282051284</v>
      </c>
      <c r="BS220" s="1060">
        <f>BS209/BS218*1000</f>
        <v>3008.3720930232553</v>
      </c>
      <c r="BT220" s="1060">
        <f>BT209/BT218*1000</f>
        <v>3125.2173913043475</v>
      </c>
      <c r="BU220" s="1135">
        <f>BU209/BU218*1000</f>
        <v>3130.6799999999994</v>
      </c>
      <c r="BV220" s="113"/>
      <c r="BW220" s="1060">
        <f>BW209/BW218*1000</f>
        <v>4171.4285714285716</v>
      </c>
      <c r="BX220" s="1060">
        <f>BX209/BX218*1000</f>
        <v>4611.1111111111104</v>
      </c>
      <c r="BY220" s="1060">
        <f>BY209/BY218*1000</f>
        <v>3975.6097560975609</v>
      </c>
      <c r="BZ220" s="1060">
        <f>BZ209/BZ218*1000</f>
        <v>4734.7333333333336</v>
      </c>
      <c r="CA220" s="1135">
        <f>CA209/CA218*1000</f>
        <v>4345.3661971830988</v>
      </c>
      <c r="CB220" s="930"/>
      <c r="CC220" s="1060"/>
      <c r="CD220" s="270"/>
      <c r="CE220" s="270"/>
      <c r="CF220" s="270"/>
      <c r="CG220" s="1125"/>
      <c r="CH220" s="113"/>
      <c r="CI220" s="931"/>
      <c r="CJ220" s="931"/>
      <c r="CK220" s="412"/>
      <c r="CL220" s="270"/>
      <c r="CM220" s="1125"/>
      <c r="CN220" s="113"/>
      <c r="CO220" s="270"/>
      <c r="CP220" s="270"/>
      <c r="CQ220" s="270"/>
      <c r="CR220" s="270"/>
      <c r="CS220" s="1125"/>
      <c r="CT220" s="270"/>
      <c r="CU220" s="270"/>
      <c r="CV220" s="270"/>
      <c r="CW220" s="270"/>
      <c r="CX220" s="270"/>
      <c r="CY220" s="1125"/>
      <c r="CZ220" s="270"/>
      <c r="DA220" s="270"/>
      <c r="DB220" s="270"/>
      <c r="DC220" s="270"/>
      <c r="DD220" s="270"/>
      <c r="DE220" s="1125"/>
      <c r="DF220" s="270"/>
      <c r="DG220" s="270"/>
      <c r="DH220" s="270"/>
      <c r="DI220" s="270"/>
      <c r="DJ220" s="270"/>
      <c r="DK220" s="1125"/>
      <c r="DL220" s="113"/>
      <c r="DM220" s="270"/>
      <c r="DN220" s="270"/>
      <c r="DO220" s="270"/>
      <c r="DP220" s="270"/>
      <c r="DQ220" s="1125"/>
      <c r="DR220" s="270"/>
      <c r="DS220" s="270"/>
      <c r="DT220" s="270"/>
      <c r="DU220" s="270"/>
      <c r="DV220" s="270"/>
      <c r="DW220" s="1125"/>
      <c r="DX220" s="270"/>
      <c r="DY220" s="270"/>
      <c r="DZ220" s="270"/>
      <c r="EA220" s="270"/>
      <c r="EB220" s="270"/>
      <c r="EC220" s="1125"/>
      <c r="ED220" s="270"/>
      <c r="EE220" s="270"/>
      <c r="EF220" s="270"/>
      <c r="EG220" s="270"/>
      <c r="EH220" s="270"/>
      <c r="EI220" s="1125"/>
      <c r="EJ220" s="270"/>
      <c r="EK220" s="270"/>
      <c r="EL220" s="270"/>
      <c r="EM220" s="270"/>
      <c r="EN220" s="270"/>
      <c r="EO220" s="1125"/>
      <c r="EP220" s="270"/>
      <c r="EQ220" s="270"/>
      <c r="ER220" s="270"/>
      <c r="ES220" s="270"/>
      <c r="ET220" s="270"/>
      <c r="EU220" s="1125"/>
    </row>
    <row r="221" spans="1:190" hidden="1" outlineLevel="2">
      <c r="A221" s="1065" t="s">
        <v>4583</v>
      </c>
      <c r="B221" s="111"/>
      <c r="C221" s="913"/>
      <c r="D221" s="913"/>
      <c r="E221" s="913"/>
      <c r="F221" s="913"/>
      <c r="G221" s="936"/>
      <c r="H221" s="111"/>
      <c r="I221" s="936"/>
      <c r="J221" s="936"/>
      <c r="K221" s="936"/>
      <c r="L221" s="936"/>
      <c r="M221" s="936"/>
      <c r="N221" s="111"/>
      <c r="O221" s="936"/>
      <c r="P221" s="936"/>
      <c r="Q221" s="936"/>
      <c r="R221" s="936"/>
      <c r="S221" s="936"/>
      <c r="T221" s="111"/>
      <c r="U221" s="936"/>
      <c r="V221" s="936"/>
      <c r="W221" s="936"/>
      <c r="X221" s="936"/>
      <c r="Y221" s="936"/>
      <c r="Z221" s="111"/>
      <c r="AA221" s="936"/>
      <c r="AB221" s="936"/>
      <c r="AC221" s="936"/>
      <c r="AD221" s="936"/>
      <c r="AE221" s="936"/>
      <c r="AF221" s="111"/>
      <c r="AG221" s="936"/>
      <c r="AH221" s="936"/>
      <c r="AI221" s="936"/>
      <c r="AJ221" s="936"/>
      <c r="AK221" s="936"/>
      <c r="AL221" s="111"/>
      <c r="AM221" s="936"/>
      <c r="AN221" s="936"/>
      <c r="AO221" s="936"/>
      <c r="AP221" s="936"/>
      <c r="AQ221" s="936"/>
      <c r="AR221" s="111"/>
      <c r="AS221" s="1066"/>
      <c r="AT221" s="936"/>
      <c r="AU221" s="936"/>
      <c r="AV221" s="936"/>
      <c r="AW221" s="936"/>
      <c r="AX221" s="111"/>
      <c r="AY221" s="914"/>
      <c r="AZ221" s="914"/>
      <c r="BA221" s="914"/>
      <c r="BB221" s="914"/>
      <c r="BC221" s="915"/>
      <c r="BD221" s="111"/>
      <c r="BE221" s="915"/>
      <c r="BF221" s="915"/>
      <c r="BG221" s="914"/>
      <c r="BH221" s="915"/>
      <c r="BI221" s="915"/>
      <c r="BJ221" s="111"/>
      <c r="BK221" s="1067"/>
      <c r="BL221" s="1067"/>
      <c r="BM221" s="1067"/>
      <c r="BN221" s="1067"/>
      <c r="BO221" s="1141"/>
      <c r="BP221" s="111"/>
      <c r="BQ221" s="985">
        <f>BQ220/BK220-1</f>
        <v>0.17526261467889892</v>
      </c>
      <c r="BR221" s="985">
        <f t="shared" ref="BR221:CA221" si="44">BR220/BL220-1</f>
        <v>0.11324025914773239</v>
      </c>
      <c r="BS221" s="985">
        <f t="shared" si="44"/>
        <v>0.13704137194035892</v>
      </c>
      <c r="BT221" s="985">
        <f t="shared" si="44"/>
        <v>0.23143207068497929</v>
      </c>
      <c r="BU221" s="1172">
        <f t="shared" si="44"/>
        <v>0.16728130195999347</v>
      </c>
      <c r="BV221" s="111"/>
      <c r="BW221" s="985">
        <f t="shared" si="44"/>
        <v>0.26181329484514726</v>
      </c>
      <c r="BX221" s="985">
        <f>BX220/BR220-1</f>
        <v>0.47404371584699412</v>
      </c>
      <c r="BY221" s="985">
        <f t="shared" si="44"/>
        <v>0.32151530235153958</v>
      </c>
      <c r="BZ221" s="985">
        <f t="shared" si="44"/>
        <v>0.51500927471712132</v>
      </c>
      <c r="CA221" s="1172">
        <f t="shared" si="44"/>
        <v>0.38799436454160108</v>
      </c>
      <c r="CB221" s="1090"/>
      <c r="CC221" s="985"/>
      <c r="CD221" s="936"/>
      <c r="CE221" s="936"/>
      <c r="CF221" s="936"/>
      <c r="CG221" s="1185"/>
      <c r="CH221" s="111"/>
      <c r="CI221" s="1091"/>
      <c r="CJ221" s="1091"/>
      <c r="CK221" s="914"/>
      <c r="CL221" s="936"/>
      <c r="CM221" s="1185"/>
      <c r="CN221" s="111"/>
      <c r="CO221" s="936"/>
      <c r="CP221" s="936"/>
      <c r="CQ221" s="936"/>
      <c r="CR221" s="936"/>
      <c r="CS221" s="1185"/>
      <c r="CT221" s="936"/>
      <c r="CU221" s="936"/>
      <c r="CV221" s="936"/>
      <c r="CW221" s="936"/>
      <c r="CX221" s="936"/>
      <c r="CY221" s="1185"/>
      <c r="CZ221" s="936"/>
      <c r="DA221" s="936"/>
      <c r="DB221" s="936"/>
      <c r="DC221" s="936"/>
      <c r="DD221" s="936"/>
      <c r="DE221" s="1185"/>
      <c r="DF221" s="936"/>
      <c r="DG221" s="936"/>
      <c r="DH221" s="936"/>
      <c r="DI221" s="936"/>
      <c r="DJ221" s="936"/>
      <c r="DK221" s="1185"/>
      <c r="DL221" s="111"/>
      <c r="DM221" s="936"/>
      <c r="DN221" s="936"/>
      <c r="DO221" s="936"/>
      <c r="DP221" s="936"/>
      <c r="DQ221" s="1185"/>
      <c r="DR221" s="270"/>
      <c r="DS221" s="936"/>
      <c r="DT221" s="936"/>
      <c r="DU221" s="936"/>
      <c r="DV221" s="936"/>
      <c r="DW221" s="1185"/>
      <c r="DX221" s="270"/>
      <c r="DY221" s="936"/>
      <c r="DZ221" s="936"/>
      <c r="EA221" s="936"/>
      <c r="EB221" s="936"/>
      <c r="EC221" s="1185"/>
      <c r="ED221" s="270"/>
      <c r="EE221" s="936"/>
      <c r="EF221" s="936"/>
      <c r="EG221" s="936"/>
      <c r="EH221" s="936"/>
      <c r="EI221" s="1185"/>
      <c r="EJ221" s="270"/>
      <c r="EK221" s="936"/>
      <c r="EL221" s="936"/>
      <c r="EM221" s="936"/>
      <c r="EN221" s="936"/>
      <c r="EO221" s="1185"/>
      <c r="EP221" s="270"/>
      <c r="EQ221" s="936"/>
      <c r="ER221" s="936"/>
      <c r="ES221" s="936"/>
      <c r="ET221" s="936"/>
      <c r="EU221" s="1185"/>
    </row>
    <row r="222" spans="1:190" hidden="1" outlineLevel="2">
      <c r="A222" s="545"/>
      <c r="B222" s="113"/>
      <c r="C222" s="226"/>
      <c r="D222" s="226"/>
      <c r="E222" s="226"/>
      <c r="F222" s="226"/>
      <c r="G222" s="270"/>
      <c r="H222" s="113"/>
      <c r="I222" s="270"/>
      <c r="J222" s="270"/>
      <c r="K222" s="270"/>
      <c r="L222" s="270"/>
      <c r="M222" s="270"/>
      <c r="N222" s="113"/>
      <c r="O222" s="270"/>
      <c r="P222" s="270"/>
      <c r="Q222" s="270"/>
      <c r="R222" s="270"/>
      <c r="S222" s="270"/>
      <c r="T222" s="113"/>
      <c r="U222" s="270"/>
      <c r="V222" s="270"/>
      <c r="W222" s="270"/>
      <c r="X222" s="270"/>
      <c r="Y222" s="270"/>
      <c r="Z222" s="113"/>
      <c r="AA222" s="270"/>
      <c r="AB222" s="270"/>
      <c r="AC222" s="270"/>
      <c r="AD222" s="270"/>
      <c r="AE222" s="270"/>
      <c r="AF222" s="113"/>
      <c r="AG222" s="270"/>
      <c r="AH222" s="270"/>
      <c r="AI222" s="270"/>
      <c r="AJ222" s="270"/>
      <c r="AK222" s="270"/>
      <c r="AL222" s="113"/>
      <c r="AM222" s="270"/>
      <c r="AN222" s="270"/>
      <c r="AO222" s="270"/>
      <c r="AP222" s="270"/>
      <c r="AQ222" s="270"/>
      <c r="AR222" s="113"/>
      <c r="AS222" s="531"/>
      <c r="AT222" s="270"/>
      <c r="AU222" s="270"/>
      <c r="AV222" s="270"/>
      <c r="AW222" s="270"/>
      <c r="AX222" s="113"/>
      <c r="AY222" s="412"/>
      <c r="AZ222" s="412"/>
      <c r="BA222" s="412"/>
      <c r="BB222" s="412"/>
      <c r="BC222" s="291"/>
      <c r="BD222" s="113"/>
      <c r="BE222" s="291"/>
      <c r="BF222" s="291"/>
      <c r="BG222" s="412"/>
      <c r="BH222" s="291"/>
      <c r="BI222" s="291"/>
      <c r="BJ222" s="113"/>
      <c r="BK222" s="270"/>
      <c r="BL222" s="270"/>
      <c r="BM222" s="270"/>
      <c r="BN222" s="270"/>
      <c r="BO222" s="1125"/>
      <c r="BP222" s="113"/>
      <c r="BQ222" s="270"/>
      <c r="BR222" s="270"/>
      <c r="BS222" s="270"/>
      <c r="BT222" s="270"/>
      <c r="BU222" s="1125"/>
      <c r="BV222" s="113"/>
      <c r="BW222" s="331"/>
      <c r="BX222" s="270"/>
      <c r="BY222" s="270"/>
      <c r="BZ222" s="270"/>
      <c r="CA222" s="1125"/>
      <c r="CB222" s="930"/>
      <c r="CC222" s="931"/>
      <c r="CD222" s="270"/>
      <c r="CE222" s="270"/>
      <c r="CF222" s="270"/>
      <c r="CG222" s="1125"/>
      <c r="CH222" s="113"/>
      <c r="CI222" s="931"/>
      <c r="CJ222" s="931"/>
      <c r="CK222" s="412"/>
      <c r="CL222" s="270"/>
      <c r="CM222" s="1125"/>
      <c r="CN222" s="113"/>
      <c r="CO222" s="270"/>
      <c r="CP222" s="270"/>
      <c r="CQ222" s="270"/>
      <c r="CR222" s="270"/>
      <c r="CS222" s="1125"/>
      <c r="CT222" s="270"/>
      <c r="CU222" s="270"/>
      <c r="CV222" s="270"/>
      <c r="CW222" s="270"/>
      <c r="CX222" s="270"/>
      <c r="CY222" s="1125"/>
      <c r="CZ222" s="270"/>
      <c r="DA222" s="270"/>
      <c r="DB222" s="270"/>
      <c r="DC222" s="270"/>
      <c r="DD222" s="270"/>
      <c r="DE222" s="1125"/>
      <c r="DF222" s="270"/>
      <c r="DG222" s="270"/>
      <c r="DH222" s="270"/>
      <c r="DI222" s="270"/>
      <c r="DJ222" s="270"/>
      <c r="DK222" s="1125"/>
      <c r="DL222" s="113"/>
      <c r="DM222" s="270"/>
      <c r="DN222" s="270"/>
      <c r="DO222" s="270"/>
      <c r="DP222" s="270"/>
      <c r="DQ222" s="1125"/>
      <c r="DR222" s="270"/>
      <c r="DS222" s="270"/>
      <c r="DT222" s="270"/>
      <c r="DU222" s="270"/>
      <c r="DV222" s="270"/>
      <c r="DW222" s="1125"/>
      <c r="DX222" s="270"/>
      <c r="DY222" s="270"/>
      <c r="DZ222" s="270"/>
      <c r="EA222" s="270"/>
      <c r="EB222" s="270"/>
      <c r="EC222" s="1125"/>
      <c r="ED222" s="270"/>
      <c r="EE222" s="270"/>
      <c r="EF222" s="270"/>
      <c r="EG222" s="270"/>
      <c r="EH222" s="270"/>
      <c r="EI222" s="1125"/>
      <c r="EJ222" s="270"/>
      <c r="EK222" s="270"/>
      <c r="EL222" s="270"/>
      <c r="EM222" s="270"/>
      <c r="EN222" s="270"/>
      <c r="EO222" s="1125"/>
      <c r="EP222" s="270"/>
      <c r="EQ222" s="270"/>
      <c r="ER222" s="270"/>
      <c r="ES222" s="270"/>
      <c r="ET222" s="270"/>
      <c r="EU222" s="1125"/>
    </row>
    <row r="223" spans="1:190" hidden="1" outlineLevel="3">
      <c r="A223" s="417" t="s">
        <v>5583</v>
      </c>
      <c r="B223" s="99"/>
      <c r="C223" s="148"/>
      <c r="D223" s="148"/>
      <c r="E223" s="148"/>
      <c r="F223" s="148"/>
      <c r="G223" s="990"/>
      <c r="H223" s="99"/>
      <c r="I223" s="990"/>
      <c r="J223" s="990"/>
      <c r="K223" s="990"/>
      <c r="L223" s="990"/>
      <c r="M223" s="990"/>
      <c r="N223" s="99"/>
      <c r="O223" s="990"/>
      <c r="P223" s="990"/>
      <c r="Q223" s="990"/>
      <c r="R223" s="990"/>
      <c r="S223" s="990"/>
      <c r="T223" s="99"/>
      <c r="U223" s="990"/>
      <c r="V223" s="990"/>
      <c r="W223" s="990"/>
      <c r="X223" s="990"/>
      <c r="Y223" s="990"/>
      <c r="Z223" s="99"/>
      <c r="AA223" s="990"/>
      <c r="AB223" s="990"/>
      <c r="AC223" s="990"/>
      <c r="AD223" s="990"/>
      <c r="AE223" s="990"/>
      <c r="AF223" s="99"/>
      <c r="AG223" s="990"/>
      <c r="AH223" s="990"/>
      <c r="AI223" s="990"/>
      <c r="AJ223" s="990"/>
      <c r="AK223" s="990"/>
      <c r="AL223" s="99"/>
      <c r="AM223" s="990"/>
      <c r="AN223" s="990"/>
      <c r="AO223" s="990"/>
      <c r="AP223" s="990"/>
      <c r="AQ223" s="990"/>
      <c r="AR223" s="99"/>
      <c r="AS223" s="1058"/>
      <c r="AT223" s="990"/>
      <c r="AU223" s="990"/>
      <c r="AV223" s="990"/>
      <c r="AW223" s="990"/>
      <c r="AX223" s="99"/>
      <c r="AY223" s="95"/>
      <c r="AZ223" s="95"/>
      <c r="BA223" s="95"/>
      <c r="BB223" s="95"/>
      <c r="BC223" s="811">
        <v>480</v>
      </c>
      <c r="BD223" s="99"/>
      <c r="BE223" s="697"/>
      <c r="BF223" s="95"/>
      <c r="BG223" s="95"/>
      <c r="BH223" s="95"/>
      <c r="BI223" s="811">
        <f>BI225+BI244+BI248</f>
        <v>720</v>
      </c>
      <c r="BJ223" s="99"/>
      <c r="BK223" s="990"/>
      <c r="BL223" s="990"/>
      <c r="BM223" s="990"/>
      <c r="BN223" s="990"/>
      <c r="BO223" s="1142">
        <f>BO225+BO244+BO248</f>
        <v>980</v>
      </c>
      <c r="BP223" s="99"/>
      <c r="BQ223" s="990"/>
      <c r="BR223" s="990"/>
      <c r="BS223" s="990"/>
      <c r="BT223" s="990"/>
      <c r="BU223" s="1142">
        <f>BU225+BU244+BU248</f>
        <v>1210</v>
      </c>
      <c r="BV223" s="99"/>
      <c r="BW223" s="990">
        <f>BW225+BW241</f>
        <v>1253</v>
      </c>
      <c r="BX223" s="990">
        <f>BX225+BX241</f>
        <v>1304</v>
      </c>
      <c r="BY223" s="990">
        <f>BY225+BY241</f>
        <v>1358</v>
      </c>
      <c r="BZ223" s="990">
        <f>BZ225+BZ241</f>
        <v>1410</v>
      </c>
      <c r="CA223" s="1142">
        <f>CA225+CA241</f>
        <v>1410</v>
      </c>
      <c r="CB223" s="990"/>
      <c r="CC223" s="990"/>
      <c r="CD223" s="990"/>
      <c r="CE223" s="990"/>
      <c r="CF223" s="990"/>
      <c r="CG223" s="1142">
        <f>CG225+CG241</f>
        <v>1554.7</v>
      </c>
      <c r="CH223" s="99"/>
      <c r="CI223" s="990"/>
      <c r="CJ223" s="990"/>
      <c r="CK223" s="95"/>
      <c r="CL223" s="990"/>
      <c r="CM223" s="1142">
        <f>CM225+CM241</f>
        <v>1723.0349999999999</v>
      </c>
      <c r="CN223" s="99"/>
      <c r="CO223" s="990"/>
      <c r="CP223" s="990"/>
      <c r="CQ223" s="990"/>
      <c r="CR223" s="990"/>
      <c r="CS223" s="1101"/>
      <c r="CT223" s="990"/>
      <c r="CU223" s="990"/>
      <c r="CV223" s="990"/>
      <c r="CW223" s="990"/>
      <c r="CX223" s="990"/>
      <c r="CY223" s="1101"/>
      <c r="CZ223" s="990"/>
      <c r="DA223" s="990"/>
      <c r="DB223" s="990"/>
      <c r="DC223" s="990"/>
      <c r="DD223" s="990"/>
      <c r="DE223" s="1101"/>
      <c r="DF223" s="990"/>
      <c r="DG223" s="990"/>
      <c r="DH223" s="990"/>
      <c r="DI223" s="990"/>
      <c r="DJ223" s="990"/>
      <c r="DK223" s="1101"/>
      <c r="DL223" s="99"/>
      <c r="DM223" s="990"/>
      <c r="DN223" s="990"/>
      <c r="DO223" s="990"/>
      <c r="DP223" s="990"/>
      <c r="DQ223" s="1101"/>
      <c r="DR223" s="990"/>
      <c r="DS223" s="990"/>
      <c r="DT223" s="990"/>
      <c r="DU223" s="990"/>
      <c r="DV223" s="990"/>
      <c r="DW223" s="1101"/>
      <c r="DX223" s="990"/>
      <c r="DY223" s="990"/>
      <c r="DZ223" s="990"/>
      <c r="EA223" s="990"/>
      <c r="EB223" s="990"/>
      <c r="EC223" s="1101"/>
      <c r="ED223" s="990"/>
      <c r="EE223" s="990"/>
      <c r="EF223" s="990"/>
      <c r="EG223" s="990"/>
      <c r="EH223" s="990"/>
      <c r="EI223" s="1101"/>
      <c r="EJ223" s="990"/>
      <c r="EK223" s="990"/>
      <c r="EL223" s="990"/>
      <c r="EM223" s="990"/>
      <c r="EN223" s="990"/>
      <c r="EO223" s="1101"/>
      <c r="EP223" s="990"/>
      <c r="EQ223" s="990"/>
      <c r="ER223" s="990"/>
      <c r="ES223" s="990"/>
      <c r="ET223" s="990"/>
      <c r="EU223" s="1101"/>
    </row>
    <row r="224" spans="1:190" hidden="1" outlineLevel="3">
      <c r="A224" s="545"/>
      <c r="B224" s="113"/>
      <c r="C224" s="226"/>
      <c r="D224" s="226"/>
      <c r="E224" s="226"/>
      <c r="F224" s="226"/>
      <c r="G224" s="270"/>
      <c r="H224" s="113"/>
      <c r="I224" s="270"/>
      <c r="J224" s="270"/>
      <c r="K224" s="270"/>
      <c r="L224" s="270"/>
      <c r="M224" s="270"/>
      <c r="N224" s="113"/>
      <c r="O224" s="270"/>
      <c r="P224" s="270"/>
      <c r="Q224" s="270"/>
      <c r="R224" s="270"/>
      <c r="S224" s="270"/>
      <c r="T224" s="113"/>
      <c r="U224" s="270"/>
      <c r="V224" s="270"/>
      <c r="W224" s="270"/>
      <c r="X224" s="270"/>
      <c r="Y224" s="270"/>
      <c r="Z224" s="113"/>
      <c r="AA224" s="270"/>
      <c r="AB224" s="270"/>
      <c r="AC224" s="270"/>
      <c r="AD224" s="270"/>
      <c r="AE224" s="270"/>
      <c r="AF224" s="113"/>
      <c r="AG224" s="270"/>
      <c r="AH224" s="270"/>
      <c r="AI224" s="270"/>
      <c r="AJ224" s="270"/>
      <c r="AK224" s="270"/>
      <c r="AL224" s="113"/>
      <c r="AM224" s="270"/>
      <c r="AN224" s="270"/>
      <c r="AO224" s="270"/>
      <c r="AP224" s="270"/>
      <c r="AQ224" s="270"/>
      <c r="AR224" s="113"/>
      <c r="AS224" s="531"/>
      <c r="AT224" s="270"/>
      <c r="AU224" s="270"/>
      <c r="AV224" s="270"/>
      <c r="AW224" s="270"/>
      <c r="AX224" s="113"/>
      <c r="AY224" s="412"/>
      <c r="AZ224" s="412"/>
      <c r="BA224" s="412"/>
      <c r="BB224" s="412"/>
      <c r="BC224" s="291"/>
      <c r="BD224" s="113"/>
      <c r="BE224" s="291"/>
      <c r="BF224" s="412"/>
      <c r="BG224" s="412"/>
      <c r="BH224" s="412"/>
      <c r="BI224" s="412"/>
      <c r="BJ224" s="113"/>
      <c r="BK224" s="270"/>
      <c r="BL224" s="270"/>
      <c r="BM224" s="270"/>
      <c r="BN224" s="270"/>
      <c r="BO224" s="1125"/>
      <c r="BP224" s="113"/>
      <c r="BQ224" s="270"/>
      <c r="BR224" s="270"/>
      <c r="BS224" s="270"/>
      <c r="BT224" s="270"/>
      <c r="BU224" s="1125"/>
      <c r="BV224" s="113"/>
      <c r="BW224" s="270"/>
      <c r="BX224" s="270"/>
      <c r="BY224" s="270"/>
      <c r="BZ224" s="270"/>
      <c r="CA224" s="1125"/>
      <c r="CB224" s="930"/>
      <c r="CC224" s="931"/>
      <c r="CD224" s="270"/>
      <c r="CE224" s="270"/>
      <c r="CF224" s="270"/>
      <c r="CG224" s="1125"/>
      <c r="CH224" s="113"/>
      <c r="CI224" s="931"/>
      <c r="CJ224" s="931"/>
      <c r="CK224" s="412"/>
      <c r="CL224" s="270"/>
      <c r="CM224" s="1125"/>
      <c r="CN224" s="113"/>
      <c r="CO224" s="270"/>
      <c r="CP224" s="270"/>
      <c r="CQ224" s="270"/>
      <c r="CR224" s="270"/>
      <c r="CS224" s="1125"/>
      <c r="CT224" s="270"/>
      <c r="CU224" s="270"/>
      <c r="CV224" s="270"/>
      <c r="CW224" s="270"/>
      <c r="CX224" s="270"/>
      <c r="CY224" s="1125"/>
      <c r="CZ224" s="270"/>
      <c r="DA224" s="270"/>
      <c r="DB224" s="270"/>
      <c r="DC224" s="270"/>
      <c r="DD224" s="270"/>
      <c r="DE224" s="1125"/>
      <c r="DF224" s="270"/>
      <c r="DG224" s="270"/>
      <c r="DH224" s="270"/>
      <c r="DI224" s="270"/>
      <c r="DJ224" s="270"/>
      <c r="DK224" s="1125"/>
      <c r="DL224" s="113"/>
      <c r="DM224" s="270"/>
      <c r="DN224" s="270"/>
      <c r="DO224" s="270"/>
      <c r="DP224" s="270"/>
      <c r="DQ224" s="1125"/>
      <c r="DR224" s="270"/>
      <c r="DS224" s="270"/>
      <c r="DT224" s="270"/>
      <c r="DU224" s="270"/>
      <c r="DV224" s="270"/>
      <c r="DW224" s="1125"/>
      <c r="DX224" s="270"/>
      <c r="DY224" s="270"/>
      <c r="DZ224" s="270"/>
      <c r="EA224" s="270"/>
      <c r="EB224" s="270"/>
      <c r="EC224" s="1125"/>
      <c r="ED224" s="270"/>
      <c r="EE224" s="270"/>
      <c r="EF224" s="270"/>
      <c r="EG224" s="270"/>
      <c r="EH224" s="270"/>
      <c r="EI224" s="1125"/>
      <c r="EJ224" s="270"/>
      <c r="EK224" s="270"/>
      <c r="EL224" s="270"/>
      <c r="EM224" s="270"/>
      <c r="EN224" s="270"/>
      <c r="EO224" s="1125"/>
      <c r="EP224" s="270"/>
      <c r="EQ224" s="270"/>
      <c r="ER224" s="270"/>
      <c r="ES224" s="270"/>
      <c r="ET224" s="270"/>
      <c r="EU224" s="1125"/>
    </row>
    <row r="225" spans="1:192" hidden="1" outlineLevel="2" collapsed="1">
      <c r="A225" s="1028" t="s">
        <v>2325</v>
      </c>
      <c r="B225" s="190"/>
      <c r="C225" s="698"/>
      <c r="D225" s="698"/>
      <c r="E225" s="698"/>
      <c r="F225" s="698"/>
      <c r="G225" s="698"/>
      <c r="H225" s="190"/>
      <c r="I225" s="698"/>
      <c r="J225" s="698"/>
      <c r="K225" s="698"/>
      <c r="L225" s="698"/>
      <c r="M225" s="698"/>
      <c r="N225" s="190"/>
      <c r="O225" s="698"/>
      <c r="P225" s="698"/>
      <c r="Q225" s="698"/>
      <c r="R225" s="698"/>
      <c r="S225" s="1029"/>
      <c r="T225" s="411"/>
      <c r="U225" s="1029"/>
      <c r="V225" s="1029"/>
      <c r="W225" s="1029"/>
      <c r="X225" s="1029"/>
      <c r="Y225" s="1029"/>
      <c r="Z225" s="411"/>
      <c r="AA225" s="1029"/>
      <c r="AB225" s="1029"/>
      <c r="AC225" s="1029"/>
      <c r="AD225" s="1029"/>
      <c r="AE225" s="1029"/>
      <c r="AF225" s="190"/>
      <c r="AG225" s="1030"/>
      <c r="AH225" s="1030"/>
      <c r="AI225" s="1030"/>
      <c r="AJ225" s="1030"/>
      <c r="AK225" s="1030"/>
      <c r="AL225" s="190"/>
      <c r="AM225" s="1031"/>
      <c r="AN225" s="1031"/>
      <c r="AO225" s="1031"/>
      <c r="AP225" s="1031"/>
      <c r="AQ225" s="1031"/>
      <c r="AR225" s="758"/>
      <c r="AS225" s="1031"/>
      <c r="AT225" s="1031"/>
      <c r="AU225" s="932">
        <v>250</v>
      </c>
      <c r="AV225" s="1048">
        <f>(AU225+AY225)/2</f>
        <v>278.3</v>
      </c>
      <c r="AW225" s="1048">
        <f>AV225</f>
        <v>278.3</v>
      </c>
      <c r="AX225" s="413"/>
      <c r="AY225" s="933">
        <v>306.60000000000002</v>
      </c>
      <c r="AZ225" s="933">
        <v>349.5</v>
      </c>
      <c r="BA225" s="933">
        <v>388.8</v>
      </c>
      <c r="BB225" s="933">
        <v>422.9</v>
      </c>
      <c r="BC225" s="933">
        <f>BB225</f>
        <v>422.9</v>
      </c>
      <c r="BD225" s="1049"/>
      <c r="BE225" s="933">
        <v>445.8</v>
      </c>
      <c r="BF225" s="933">
        <v>470.8</v>
      </c>
      <c r="BG225" s="933">
        <v>511.3</v>
      </c>
      <c r="BH225" s="933">
        <v>548.6</v>
      </c>
      <c r="BI225" s="933">
        <f>BH225</f>
        <v>548.6</v>
      </c>
      <c r="BJ225" s="1049"/>
      <c r="BK225" s="933">
        <v>577.70000000000005</v>
      </c>
      <c r="BL225" s="933">
        <v>610.4</v>
      </c>
      <c r="BM225" s="933">
        <v>643.4</v>
      </c>
      <c r="BN225" s="933">
        <v>676</v>
      </c>
      <c r="BO225" s="1143">
        <f>BN225</f>
        <v>676</v>
      </c>
      <c r="BP225" s="1049"/>
      <c r="BQ225" s="933">
        <v>699</v>
      </c>
      <c r="BR225" s="933">
        <v>722</v>
      </c>
      <c r="BS225" s="933">
        <v>747</v>
      </c>
      <c r="BT225" s="933">
        <v>775</v>
      </c>
      <c r="BU225" s="1143">
        <f>BT225</f>
        <v>775</v>
      </c>
      <c r="BV225" s="413"/>
      <c r="BW225" s="933">
        <v>794</v>
      </c>
      <c r="BX225" s="933">
        <v>819</v>
      </c>
      <c r="BY225" s="933">
        <v>841</v>
      </c>
      <c r="BZ225" s="933">
        <v>869</v>
      </c>
      <c r="CA225" s="1143">
        <f>BZ225</f>
        <v>869</v>
      </c>
      <c r="CB225" s="1453"/>
      <c r="CC225" s="1454"/>
      <c r="CD225" s="1030"/>
      <c r="CE225" s="1030"/>
      <c r="CF225" s="1030"/>
      <c r="CG225" s="1143">
        <f>CA225+CG226</f>
        <v>939.5</v>
      </c>
      <c r="CH225" s="190"/>
      <c r="CI225" s="1454"/>
      <c r="CJ225" s="1454"/>
      <c r="CK225" s="1062"/>
      <c r="CL225" s="1030"/>
      <c r="CM225" s="1143">
        <f>CG225+CM226</f>
        <v>1026.2149999999999</v>
      </c>
      <c r="CN225" s="190"/>
      <c r="CO225" s="1030"/>
      <c r="CP225" s="1030"/>
      <c r="CQ225" s="1030"/>
      <c r="CR225" s="1030"/>
      <c r="CS225" s="1188"/>
      <c r="CT225" s="1030"/>
      <c r="CU225" s="1030"/>
      <c r="CV225" s="1030"/>
      <c r="CW225" s="1030"/>
      <c r="CX225" s="1030"/>
      <c r="CY225" s="1188"/>
      <c r="CZ225" s="1030"/>
      <c r="DA225" s="1030"/>
      <c r="DB225" s="1030"/>
      <c r="DC225" s="1030"/>
      <c r="DD225" s="1030"/>
      <c r="DE225" s="1188"/>
      <c r="DF225" s="1030"/>
      <c r="DG225" s="1030"/>
      <c r="DH225" s="1030"/>
      <c r="DI225" s="1030"/>
      <c r="DJ225" s="1030"/>
      <c r="DK225" s="1188"/>
      <c r="DL225" s="190"/>
      <c r="DM225" s="1030"/>
      <c r="DN225" s="1030"/>
      <c r="DO225" s="1030"/>
      <c r="DP225" s="1030"/>
      <c r="DQ225" s="1188"/>
      <c r="DR225" s="331"/>
      <c r="DS225" s="1030"/>
      <c r="DT225" s="1030"/>
      <c r="DU225" s="1030"/>
      <c r="DV225" s="1030"/>
      <c r="DW225" s="1188"/>
      <c r="DX225" s="331"/>
      <c r="DY225" s="1030"/>
      <c r="DZ225" s="1030"/>
      <c r="EA225" s="1030"/>
      <c r="EB225" s="1030"/>
      <c r="EC225" s="1188"/>
      <c r="ED225" s="331"/>
      <c r="EE225" s="1030"/>
      <c r="EF225" s="1030"/>
      <c r="EG225" s="1030"/>
      <c r="EH225" s="1030"/>
      <c r="EI225" s="1188"/>
      <c r="EJ225" s="331"/>
      <c r="EK225" s="1030"/>
      <c r="EL225" s="1030"/>
      <c r="EM225" s="1030"/>
      <c r="EN225" s="1030"/>
      <c r="EO225" s="1188"/>
      <c r="EP225" s="331"/>
      <c r="EQ225" s="1030"/>
      <c r="ER225" s="1030"/>
      <c r="ES225" s="1030"/>
      <c r="ET225" s="1030"/>
      <c r="EU225" s="1188"/>
    </row>
    <row r="226" spans="1:192" hidden="1" outlineLevel="2">
      <c r="A226" s="1032" t="s">
        <v>5521</v>
      </c>
      <c r="B226" s="113"/>
      <c r="C226" s="412"/>
      <c r="D226" s="412"/>
      <c r="E226" s="412"/>
      <c r="F226" s="412"/>
      <c r="G226" s="412"/>
      <c r="H226" s="113"/>
      <c r="I226" s="412"/>
      <c r="J226" s="412"/>
      <c r="K226" s="412"/>
      <c r="L226" s="412"/>
      <c r="M226" s="412"/>
      <c r="N226" s="113"/>
      <c r="O226" s="412"/>
      <c r="P226" s="412"/>
      <c r="Q226" s="412"/>
      <c r="R226" s="412"/>
      <c r="S226" s="1033"/>
      <c r="T226" s="327"/>
      <c r="U226" s="1033"/>
      <c r="V226" s="1033"/>
      <c r="W226" s="1033"/>
      <c r="X226" s="1033"/>
      <c r="Y226" s="1033"/>
      <c r="Z226" s="327"/>
      <c r="AA226" s="1033"/>
      <c r="AB226" s="1033"/>
      <c r="AC226" s="1033"/>
      <c r="AD226" s="1033"/>
      <c r="AE226" s="1033"/>
      <c r="AF226" s="113"/>
      <c r="AG226" s="331"/>
      <c r="AH226" s="331"/>
      <c r="AI226" s="331"/>
      <c r="AJ226" s="331"/>
      <c r="AK226" s="331"/>
      <c r="AL226" s="113"/>
      <c r="AM226" s="534"/>
      <c r="AN226" s="534"/>
      <c r="AO226" s="534"/>
      <c r="AP226" s="534"/>
      <c r="AQ226" s="534"/>
      <c r="AR226" s="415"/>
      <c r="AS226" s="534"/>
      <c r="AT226" s="534"/>
      <c r="AU226" s="534"/>
      <c r="AV226" s="1034">
        <f>AV225-AU225</f>
        <v>28.300000000000011</v>
      </c>
      <c r="AW226" s="1034"/>
      <c r="AX226" s="780"/>
      <c r="AY226" s="1035">
        <f>AY225-AV225</f>
        <v>28.300000000000011</v>
      </c>
      <c r="AZ226" s="1035">
        <f>AZ225-AY225</f>
        <v>42.899999999999977</v>
      </c>
      <c r="BA226" s="1035">
        <f>BA225-AZ225</f>
        <v>39.300000000000011</v>
      </c>
      <c r="BB226" s="1035">
        <f>BB225-BA225</f>
        <v>34.099999999999966</v>
      </c>
      <c r="BC226" s="1035">
        <f>BC225-AW225</f>
        <v>144.59999999999997</v>
      </c>
      <c r="BD226" s="331"/>
      <c r="BE226" s="1035">
        <f>BE225-BB225</f>
        <v>22.900000000000034</v>
      </c>
      <c r="BF226" s="1035">
        <f>BF225-BE225</f>
        <v>25</v>
      </c>
      <c r="BG226" s="1035">
        <f>BG225-BF225</f>
        <v>40.5</v>
      </c>
      <c r="BH226" s="1035">
        <f>BH225-BG225</f>
        <v>37.300000000000011</v>
      </c>
      <c r="BI226" s="1035">
        <f>BI225-BC225</f>
        <v>125.70000000000005</v>
      </c>
      <c r="BJ226" s="331"/>
      <c r="BK226" s="1035">
        <f>BK225-BH225</f>
        <v>29.100000000000023</v>
      </c>
      <c r="BL226" s="1035">
        <f>BL225-BK225</f>
        <v>32.699999999999932</v>
      </c>
      <c r="BM226" s="1035">
        <f>BM225-BL225</f>
        <v>33</v>
      </c>
      <c r="BN226" s="1035">
        <f>BN225-BM225</f>
        <v>32.600000000000023</v>
      </c>
      <c r="BO226" s="1144">
        <f>BO225-BI225</f>
        <v>127.39999999999998</v>
      </c>
      <c r="BP226" s="331"/>
      <c r="BQ226" s="1036">
        <f>BQ225-BN225</f>
        <v>23</v>
      </c>
      <c r="BR226" s="1036">
        <f>BR225-BQ225</f>
        <v>23</v>
      </c>
      <c r="BS226" s="1036">
        <f>BS225-BR225</f>
        <v>25</v>
      </c>
      <c r="BT226" s="1036">
        <f>BT225-BS225</f>
        <v>28</v>
      </c>
      <c r="BU226" s="1144">
        <f>BU225-BO225</f>
        <v>99</v>
      </c>
      <c r="BV226" s="113"/>
      <c r="BW226" s="1036">
        <f>BW225-BT225</f>
        <v>19</v>
      </c>
      <c r="BX226" s="1036">
        <f>BX225-BW225</f>
        <v>25</v>
      </c>
      <c r="BY226" s="1036">
        <f>BY225-BX225</f>
        <v>22</v>
      </c>
      <c r="BZ226" s="1036">
        <f>BZ225-BY225</f>
        <v>28</v>
      </c>
      <c r="CA226" s="1144">
        <f>CA225-BU225</f>
        <v>94</v>
      </c>
      <c r="CB226" s="930"/>
      <c r="CC226" s="1093"/>
      <c r="CD226" s="331"/>
      <c r="CE226" s="331"/>
      <c r="CF226" s="331"/>
      <c r="CG226" s="1144">
        <f>CA226*(1+CG228)</f>
        <v>70.5</v>
      </c>
      <c r="CH226" s="113"/>
      <c r="CI226" s="1036">
        <v>10</v>
      </c>
      <c r="CJ226" s="1093"/>
      <c r="CK226" s="291"/>
      <c r="CL226" s="331"/>
      <c r="CM226" s="1144">
        <f>CG226*(1+CM228)</f>
        <v>86.715000000000003</v>
      </c>
      <c r="CN226" s="113"/>
      <c r="CO226" s="331"/>
      <c r="CP226" s="331"/>
      <c r="CQ226" s="331"/>
      <c r="CR226" s="331"/>
      <c r="CS226" s="1136"/>
      <c r="CT226" s="331"/>
      <c r="CU226" s="331"/>
      <c r="CV226" s="331"/>
      <c r="CW226" s="331"/>
      <c r="CX226" s="331"/>
      <c r="CY226" s="1136"/>
      <c r="CZ226" s="331"/>
      <c r="DA226" s="331"/>
      <c r="DB226" s="331"/>
      <c r="DC226" s="331"/>
      <c r="DD226" s="331"/>
      <c r="DE226" s="1136"/>
      <c r="DF226" s="331"/>
      <c r="DG226" s="331"/>
      <c r="DH226" s="331"/>
      <c r="DI226" s="331"/>
      <c r="DJ226" s="331"/>
      <c r="DK226" s="1136"/>
      <c r="DL226" s="113"/>
      <c r="DM226" s="331"/>
      <c r="DN226" s="331"/>
      <c r="DO226" s="331"/>
      <c r="DP226" s="331"/>
      <c r="DQ226" s="1136"/>
      <c r="DR226" s="331"/>
      <c r="DS226" s="331"/>
      <c r="DT226" s="331"/>
      <c r="DU226" s="331"/>
      <c r="DV226" s="331"/>
      <c r="DW226" s="1136"/>
      <c r="DX226" s="331"/>
      <c r="DY226" s="331"/>
      <c r="DZ226" s="331"/>
      <c r="EA226" s="331"/>
      <c r="EB226" s="331"/>
      <c r="EC226" s="1136"/>
      <c r="ED226" s="331"/>
      <c r="EE226" s="331"/>
      <c r="EF226" s="331"/>
      <c r="EG226" s="331"/>
      <c r="EH226" s="331"/>
      <c r="EI226" s="1136"/>
      <c r="EJ226" s="331"/>
      <c r="EK226" s="331"/>
      <c r="EL226" s="331"/>
      <c r="EM226" s="331"/>
      <c r="EN226" s="331"/>
      <c r="EO226" s="1136"/>
      <c r="EP226" s="331"/>
      <c r="EQ226" s="331"/>
      <c r="ER226" s="331"/>
      <c r="ES226" s="331"/>
      <c r="ET226" s="331"/>
      <c r="EU226" s="1136"/>
    </row>
    <row r="227" spans="1:192" hidden="1" outlineLevel="2">
      <c r="A227" s="1032" t="s">
        <v>2997</v>
      </c>
      <c r="B227" s="113"/>
      <c r="C227" s="412"/>
      <c r="D227" s="412"/>
      <c r="E227" s="412"/>
      <c r="F227" s="412"/>
      <c r="G227" s="412"/>
      <c r="H227" s="113"/>
      <c r="I227" s="412"/>
      <c r="J227" s="412"/>
      <c r="K227" s="412"/>
      <c r="L227" s="412"/>
      <c r="M227" s="412"/>
      <c r="N227" s="113"/>
      <c r="O227" s="412"/>
      <c r="P227" s="412"/>
      <c r="Q227" s="412"/>
      <c r="R227" s="412"/>
      <c r="S227" s="1033"/>
      <c r="T227" s="327"/>
      <c r="U227" s="1033"/>
      <c r="V227" s="1033"/>
      <c r="W227" s="1033"/>
      <c r="X227" s="1033"/>
      <c r="Y227" s="1033"/>
      <c r="Z227" s="327"/>
      <c r="AA227" s="1033"/>
      <c r="AB227" s="1033"/>
      <c r="AC227" s="1033"/>
      <c r="AD227" s="1033"/>
      <c r="AE227" s="1033"/>
      <c r="AF227" s="113"/>
      <c r="AG227" s="331"/>
      <c r="AH227" s="331"/>
      <c r="AI227" s="331"/>
      <c r="AJ227" s="331"/>
      <c r="AK227" s="331"/>
      <c r="AL227" s="113"/>
      <c r="AM227" s="534"/>
      <c r="AN227" s="534"/>
      <c r="AO227" s="534"/>
      <c r="AP227" s="534"/>
      <c r="AQ227" s="534"/>
      <c r="AR227" s="415"/>
      <c r="AS227" s="534"/>
      <c r="AT227" s="534"/>
      <c r="AU227" s="534"/>
      <c r="AV227" s="1081">
        <f>AV225/AU225-1</f>
        <v>0.11319999999999997</v>
      </c>
      <c r="AW227" s="1034"/>
      <c r="AX227" s="780"/>
      <c r="AY227" s="544">
        <f>AY225/AV225-1</f>
        <v>0.10168882500898313</v>
      </c>
      <c r="AZ227" s="544">
        <f>AZ225/AY225-1</f>
        <v>0.13992172211350296</v>
      </c>
      <c r="BA227" s="544">
        <f>BA225/AZ225-1</f>
        <v>0.11244635193133057</v>
      </c>
      <c r="BB227" s="544">
        <f>BB225/BA225-1</f>
        <v>8.7705761316872355E-2</v>
      </c>
      <c r="BC227" s="1082"/>
      <c r="BD227" s="331"/>
      <c r="BE227" s="544">
        <f>BE225/BB225-1</f>
        <v>5.4149917238117906E-2</v>
      </c>
      <c r="BF227" s="544">
        <f>BF225/BE225-1</f>
        <v>5.6078959174517662E-2</v>
      </c>
      <c r="BG227" s="544">
        <f>BG225/BF225-1</f>
        <v>8.6023789294817243E-2</v>
      </c>
      <c r="BH227" s="544">
        <f>BH225/BG225-1</f>
        <v>7.295130060629762E-2</v>
      </c>
      <c r="BI227" s="291"/>
      <c r="BJ227" s="331"/>
      <c r="BK227" s="544">
        <f>BK225/BH225-1</f>
        <v>5.3044112285818512E-2</v>
      </c>
      <c r="BL227" s="544">
        <f>BL225/BK225-1</f>
        <v>5.6603773584905648E-2</v>
      </c>
      <c r="BM227" s="544">
        <f>BM225/BL225-1</f>
        <v>5.4062909567496709E-2</v>
      </c>
      <c r="BN227" s="544">
        <f>BN225/BM225-1</f>
        <v>5.0668324525955821E-2</v>
      </c>
      <c r="BO227" s="1137"/>
      <c r="BP227" s="331"/>
      <c r="BQ227" s="544">
        <f>BQ225/BN225-1</f>
        <v>3.4023668639053151E-2</v>
      </c>
      <c r="BR227" s="544">
        <f>BR225/BQ225-1</f>
        <v>3.2904148783977183E-2</v>
      </c>
      <c r="BS227" s="544">
        <f>BS225/BR225-1</f>
        <v>3.4626038781163437E-2</v>
      </c>
      <c r="BT227" s="544">
        <f>BT225/BS225-1</f>
        <v>3.7483266398929072E-2</v>
      </c>
      <c r="BU227" s="1137"/>
      <c r="BV227" s="113"/>
      <c r="BW227" s="544">
        <f>BW225/BT225-1</f>
        <v>2.4516129032257972E-2</v>
      </c>
      <c r="BX227" s="544">
        <f>BX225/BW225-1</f>
        <v>3.1486146095717871E-2</v>
      </c>
      <c r="BY227" s="544">
        <f>BY225/BX225-1</f>
        <v>2.6862026862026767E-2</v>
      </c>
      <c r="BZ227" s="544">
        <f>BZ225/BY225-1</f>
        <v>3.3293697978596937E-2</v>
      </c>
      <c r="CA227" s="1137"/>
      <c r="CB227" s="930"/>
      <c r="CC227" s="1093"/>
      <c r="CD227" s="331"/>
      <c r="CE227" s="331"/>
      <c r="CF227" s="331"/>
      <c r="CG227" s="1136"/>
      <c r="CH227" s="113"/>
      <c r="CI227" s="1093"/>
      <c r="CJ227" s="1093"/>
      <c r="CK227" s="291"/>
      <c r="CL227" s="331"/>
      <c r="CM227" s="1136"/>
      <c r="CN227" s="113"/>
      <c r="CO227" s="331"/>
      <c r="CP227" s="331"/>
      <c r="CQ227" s="331"/>
      <c r="CR227" s="331"/>
      <c r="CS227" s="1136"/>
      <c r="CT227" s="331"/>
      <c r="CU227" s="331"/>
      <c r="CV227" s="331"/>
      <c r="CW227" s="331"/>
      <c r="CX227" s="331"/>
      <c r="CY227" s="1136"/>
      <c r="CZ227" s="331"/>
      <c r="DA227" s="331"/>
      <c r="DB227" s="331"/>
      <c r="DC227" s="331"/>
      <c r="DD227" s="331"/>
      <c r="DE227" s="1136"/>
      <c r="DF227" s="331"/>
      <c r="DG227" s="331"/>
      <c r="DH227" s="331"/>
      <c r="DI227" s="331"/>
      <c r="DJ227" s="331"/>
      <c r="DK227" s="1136"/>
      <c r="DL227" s="113"/>
      <c r="DM227" s="331"/>
      <c r="DN227" s="331"/>
      <c r="DO227" s="331"/>
      <c r="DP227" s="331"/>
      <c r="DQ227" s="1136"/>
      <c r="DR227" s="331"/>
      <c r="DS227" s="331"/>
      <c r="DT227" s="331"/>
      <c r="DU227" s="331"/>
      <c r="DV227" s="331"/>
      <c r="DW227" s="1136"/>
      <c r="DX227" s="331"/>
      <c r="DY227" s="331"/>
      <c r="DZ227" s="331"/>
      <c r="EA227" s="331"/>
      <c r="EB227" s="331"/>
      <c r="EC227" s="1136"/>
      <c r="ED227" s="331"/>
      <c r="EE227" s="331"/>
      <c r="EF227" s="331"/>
      <c r="EG227" s="331"/>
      <c r="EH227" s="331"/>
      <c r="EI227" s="1136"/>
      <c r="EJ227" s="331"/>
      <c r="EK227" s="331"/>
      <c r="EL227" s="331"/>
      <c r="EM227" s="331"/>
      <c r="EN227" s="331"/>
      <c r="EO227" s="1136"/>
      <c r="EP227" s="331"/>
      <c r="EQ227" s="331"/>
      <c r="ER227" s="331"/>
      <c r="ES227" s="331"/>
      <c r="ET227" s="331"/>
      <c r="EU227" s="1136"/>
    </row>
    <row r="228" spans="1:192" hidden="1" outlineLevel="2">
      <c r="A228" s="1037" t="s">
        <v>670</v>
      </c>
      <c r="B228" s="111"/>
      <c r="C228" s="914"/>
      <c r="D228" s="914"/>
      <c r="E228" s="914"/>
      <c r="F228" s="914"/>
      <c r="G228" s="914"/>
      <c r="H228" s="111"/>
      <c r="I228" s="914"/>
      <c r="J228" s="914"/>
      <c r="K228" s="914"/>
      <c r="L228" s="914"/>
      <c r="M228" s="914"/>
      <c r="N228" s="111"/>
      <c r="O228" s="914"/>
      <c r="P228" s="914"/>
      <c r="Q228" s="914"/>
      <c r="R228" s="914"/>
      <c r="S228" s="1038"/>
      <c r="T228" s="1039"/>
      <c r="U228" s="1038"/>
      <c r="V228" s="1038"/>
      <c r="W228" s="1038"/>
      <c r="X228" s="1038"/>
      <c r="Y228" s="1038"/>
      <c r="Z228" s="1039"/>
      <c r="AA228" s="1038"/>
      <c r="AB228" s="1038"/>
      <c r="AC228" s="1038"/>
      <c r="AD228" s="1038"/>
      <c r="AE228" s="1038"/>
      <c r="AF228" s="111"/>
      <c r="AG228" s="985"/>
      <c r="AH228" s="985"/>
      <c r="AI228" s="985"/>
      <c r="AJ228" s="985"/>
      <c r="AK228" s="985"/>
      <c r="AL228" s="111"/>
      <c r="AM228" s="1040"/>
      <c r="AN228" s="1040"/>
      <c r="AO228" s="1040"/>
      <c r="AP228" s="1040"/>
      <c r="AQ228" s="1040"/>
      <c r="AR228" s="1041"/>
      <c r="AS228" s="1040"/>
      <c r="AT228" s="1040"/>
      <c r="AU228" s="1040"/>
      <c r="AV228" s="1042"/>
      <c r="AW228" s="1043"/>
      <c r="AX228" s="1044"/>
      <c r="AY228" s="1045"/>
      <c r="AZ228" s="1045"/>
      <c r="BA228" s="1045"/>
      <c r="BB228" s="1045"/>
      <c r="BC228" s="1046"/>
      <c r="BD228" s="985"/>
      <c r="BE228" s="1045"/>
      <c r="BF228" s="1045"/>
      <c r="BG228" s="1045"/>
      <c r="BH228" s="1045"/>
      <c r="BI228" s="915"/>
      <c r="BJ228" s="985"/>
      <c r="BK228" s="1045"/>
      <c r="BL228" s="1045"/>
      <c r="BM228" s="1045"/>
      <c r="BN228" s="1045"/>
      <c r="BO228" s="1145"/>
      <c r="BP228" s="985"/>
      <c r="BQ228" s="1045"/>
      <c r="BR228" s="1045"/>
      <c r="BS228" s="1045"/>
      <c r="BT228" s="1045">
        <v>0.2</v>
      </c>
      <c r="BU228" s="1145"/>
      <c r="BV228" s="111"/>
      <c r="BW228" s="1045"/>
      <c r="BX228" s="985">
        <v>0.28000000000000003</v>
      </c>
      <c r="BY228" s="985">
        <v>0.28000000000000003</v>
      </c>
      <c r="BZ228" s="985">
        <v>1.28</v>
      </c>
      <c r="CA228" s="1145"/>
      <c r="CB228" s="1090"/>
      <c r="CC228" s="1204"/>
      <c r="CD228" s="985"/>
      <c r="CE228" s="985"/>
      <c r="CF228" s="985"/>
      <c r="CG228" s="1172">
        <v>-0.25</v>
      </c>
      <c r="CH228" s="111"/>
      <c r="CI228" s="1204">
        <v>0.21</v>
      </c>
      <c r="CJ228" s="1204"/>
      <c r="CK228" s="915">
        <v>0.28999999999999998</v>
      </c>
      <c r="CL228" s="985">
        <v>0.23</v>
      </c>
      <c r="CM228" s="1172">
        <v>0.23</v>
      </c>
      <c r="CN228" s="111"/>
      <c r="CO228" s="985"/>
      <c r="CP228" s="985"/>
      <c r="CQ228" s="985"/>
      <c r="CR228" s="985"/>
      <c r="CS228" s="1172"/>
      <c r="CT228" s="985"/>
      <c r="CU228" s="985"/>
      <c r="CV228" s="985"/>
      <c r="CW228" s="985"/>
      <c r="CX228" s="985"/>
      <c r="CY228" s="1172"/>
      <c r="CZ228" s="985"/>
      <c r="DA228" s="985"/>
      <c r="DB228" s="985"/>
      <c r="DC228" s="985"/>
      <c r="DD228" s="985"/>
      <c r="DE228" s="1172"/>
      <c r="DF228" s="985"/>
      <c r="DG228" s="985"/>
      <c r="DH228" s="985"/>
      <c r="DI228" s="985"/>
      <c r="DJ228" s="985"/>
      <c r="DK228" s="1172"/>
      <c r="DL228" s="111"/>
      <c r="DM228" s="985"/>
      <c r="DN228" s="985"/>
      <c r="DO228" s="985"/>
      <c r="DP228" s="985"/>
      <c r="DQ228" s="1172"/>
      <c r="DR228" s="331"/>
      <c r="DS228" s="985"/>
      <c r="DT228" s="985"/>
      <c r="DU228" s="985"/>
      <c r="DV228" s="985"/>
      <c r="DW228" s="1172"/>
      <c r="DX228" s="331"/>
      <c r="DY228" s="985"/>
      <c r="DZ228" s="985"/>
      <c r="EA228" s="985"/>
      <c r="EB228" s="985"/>
      <c r="EC228" s="1172"/>
      <c r="ED228" s="331"/>
      <c r="EE228" s="985"/>
      <c r="EF228" s="985"/>
      <c r="EG228" s="985"/>
      <c r="EH228" s="985"/>
      <c r="EI228" s="1172"/>
      <c r="EJ228" s="331"/>
      <c r="EK228" s="985"/>
      <c r="EL228" s="985"/>
      <c r="EM228" s="985"/>
      <c r="EN228" s="985"/>
      <c r="EO228" s="1172"/>
      <c r="EP228" s="331"/>
      <c r="EQ228" s="985"/>
      <c r="ER228" s="985"/>
      <c r="ES228" s="985"/>
      <c r="ET228" s="985"/>
      <c r="EU228" s="1172"/>
    </row>
    <row r="229" spans="1:192" ht="18.75" hidden="1" customHeight="1" outlineLevel="2">
      <c r="A229" s="326"/>
      <c r="B229" s="90"/>
      <c r="C229" s="62"/>
      <c r="D229" s="62"/>
      <c r="E229" s="62"/>
      <c r="F229" s="62"/>
      <c r="G229" s="62"/>
      <c r="H229" s="90"/>
      <c r="I229" s="62"/>
      <c r="J229" s="62"/>
      <c r="K229" s="62"/>
      <c r="L229" s="62"/>
      <c r="M229" s="62"/>
      <c r="N229" s="90"/>
      <c r="O229" s="62"/>
      <c r="P229" s="62"/>
      <c r="Q229" s="62"/>
      <c r="R229" s="62"/>
      <c r="S229" s="330"/>
      <c r="T229" s="199"/>
      <c r="U229" s="330"/>
      <c r="V229" s="330"/>
      <c r="W229" s="330"/>
      <c r="X229" s="330"/>
      <c r="Y229" s="330"/>
      <c r="Z229" s="199"/>
      <c r="AA229" s="330"/>
      <c r="AB229" s="330"/>
      <c r="AC229" s="330"/>
      <c r="AD229" s="330"/>
      <c r="AE229" s="330"/>
      <c r="AF229" s="90"/>
      <c r="AG229" s="159"/>
      <c r="AH229" s="159"/>
      <c r="AI229" s="159"/>
      <c r="AJ229" s="159"/>
      <c r="AK229" s="159"/>
      <c r="AL229" s="90"/>
      <c r="AM229" s="320"/>
      <c r="AN229" s="320"/>
      <c r="AO229" s="320"/>
      <c r="AP229" s="320"/>
      <c r="AQ229" s="320"/>
      <c r="AR229" s="168"/>
      <c r="AS229" s="320"/>
      <c r="AT229" s="320"/>
      <c r="AU229" s="320"/>
      <c r="AV229" s="320"/>
      <c r="AW229" s="320"/>
      <c r="AX229" s="168"/>
      <c r="AY229" s="757"/>
      <c r="AZ229" s="276"/>
      <c r="BA229" s="276"/>
      <c r="BB229" s="276"/>
      <c r="BC229" s="757"/>
      <c r="BD229" s="113"/>
      <c r="BE229" s="276"/>
      <c r="BF229" s="276"/>
      <c r="BG229" s="116"/>
      <c r="BH229" s="116"/>
      <c r="BI229" s="1136">
        <f>BI230/BI225</f>
        <v>0.33653299307327739</v>
      </c>
      <c r="BJ229" s="113"/>
      <c r="BK229" s="159"/>
      <c r="BL229" s="159"/>
      <c r="BM229" s="159"/>
      <c r="BN229" s="270"/>
      <c r="BO229" s="1136">
        <f>BO230/BO225</f>
        <v>0.34278402366863903</v>
      </c>
      <c r="BP229" s="113"/>
      <c r="BQ229" s="159"/>
      <c r="BR229" s="159"/>
      <c r="BS229" s="159"/>
      <c r="BT229" s="159"/>
      <c r="BU229" s="1136">
        <f>BU230/BU225</f>
        <v>0.3660929032258064</v>
      </c>
      <c r="BV229" s="113"/>
      <c r="BW229" s="159">
        <f>BU225/BU223</f>
        <v>0.64049586776859502</v>
      </c>
      <c r="BX229" s="159"/>
      <c r="BY229" s="159"/>
      <c r="BZ229" s="159"/>
      <c r="CA229" s="1136">
        <v>0.37</v>
      </c>
      <c r="CB229" s="113"/>
      <c r="CC229" s="986"/>
      <c r="CD229" s="159"/>
      <c r="CE229" s="159"/>
      <c r="CF229" s="159"/>
      <c r="CG229" s="1136"/>
      <c r="CH229" s="113"/>
      <c r="CI229" s="986"/>
      <c r="CJ229" s="986"/>
      <c r="CK229" s="116"/>
      <c r="CL229" s="159"/>
      <c r="CM229" s="1136"/>
      <c r="CN229" s="113"/>
      <c r="CO229" s="159"/>
      <c r="CP229" s="159"/>
      <c r="CQ229" s="159"/>
      <c r="CR229" s="159"/>
      <c r="CS229" s="1136"/>
      <c r="CT229" s="331"/>
      <c r="CU229" s="159"/>
      <c r="CV229" s="159"/>
      <c r="CW229" s="159"/>
      <c r="CX229" s="159"/>
      <c r="CY229" s="1136"/>
      <c r="CZ229" s="331"/>
      <c r="DA229" s="159"/>
      <c r="DB229" s="159"/>
      <c r="DC229" s="159"/>
      <c r="DD229" s="159"/>
      <c r="DE229" s="1136"/>
      <c r="DF229" s="331"/>
      <c r="DG229" s="159"/>
      <c r="DH229" s="159"/>
      <c r="DI229" s="159"/>
      <c r="DJ229" s="159"/>
      <c r="DK229" s="1136"/>
      <c r="DL229" s="113"/>
      <c r="DM229" s="159"/>
      <c r="DN229" s="159"/>
      <c r="DO229" s="159"/>
      <c r="DP229" s="159"/>
      <c r="DQ229" s="1136"/>
      <c r="DR229" s="331"/>
      <c r="DS229" s="159"/>
      <c r="DT229" s="159"/>
      <c r="DU229" s="159"/>
      <c r="DV229" s="159"/>
      <c r="DW229" s="1136"/>
      <c r="DX229" s="331"/>
      <c r="DY229" s="159"/>
      <c r="DZ229" s="159"/>
      <c r="EA229" s="159"/>
      <c r="EB229" s="159"/>
      <c r="EC229" s="1136"/>
      <c r="ED229" s="331"/>
      <c r="EE229" s="159"/>
      <c r="EF229" s="159"/>
      <c r="EG229" s="159"/>
      <c r="EH229" s="159"/>
      <c r="EI229" s="1136"/>
      <c r="EJ229" s="331"/>
      <c r="EK229" s="159"/>
      <c r="EL229" s="159"/>
      <c r="EM229" s="159"/>
      <c r="EN229" s="159"/>
      <c r="EO229" s="1136"/>
      <c r="EP229" s="331"/>
      <c r="EQ229" s="159"/>
      <c r="ER229" s="159"/>
      <c r="ES229" s="159"/>
      <c r="ET229" s="159"/>
      <c r="EU229" s="1136"/>
    </row>
    <row r="230" spans="1:192" hidden="1" outlineLevel="2">
      <c r="A230" s="992" t="s">
        <v>5183</v>
      </c>
      <c r="B230" s="229"/>
      <c r="C230" s="993"/>
      <c r="D230" s="993"/>
      <c r="E230" s="993"/>
      <c r="F230" s="993"/>
      <c r="G230" s="993"/>
      <c r="H230" s="229"/>
      <c r="I230" s="993"/>
      <c r="J230" s="993"/>
      <c r="K230" s="993"/>
      <c r="L230" s="993"/>
      <c r="M230" s="993"/>
      <c r="N230" s="229"/>
      <c r="O230" s="993"/>
      <c r="P230" s="993"/>
      <c r="Q230" s="993"/>
      <c r="R230" s="993"/>
      <c r="S230" s="994"/>
      <c r="T230" s="992"/>
      <c r="U230" s="994"/>
      <c r="V230" s="994"/>
      <c r="W230" s="994"/>
      <c r="X230" s="994"/>
      <c r="Y230" s="994"/>
      <c r="Z230" s="992"/>
      <c r="AA230" s="994"/>
      <c r="AB230" s="994"/>
      <c r="AC230" s="994"/>
      <c r="AD230" s="994"/>
      <c r="AE230" s="994"/>
      <c r="AF230" s="229"/>
      <c r="AG230" s="995"/>
      <c r="AH230" s="995"/>
      <c r="AI230" s="995"/>
      <c r="AJ230" s="995"/>
      <c r="AK230" s="995"/>
      <c r="AL230" s="229"/>
      <c r="AM230" s="996"/>
      <c r="AN230" s="996"/>
      <c r="AO230" s="996"/>
      <c r="AP230" s="1053">
        <f>AS230-AS231</f>
        <v>76.370999999999995</v>
      </c>
      <c r="AQ230" s="1054">
        <f>AP230</f>
        <v>76.370999999999995</v>
      </c>
      <c r="AR230" s="1055"/>
      <c r="AS230" s="1053">
        <f>AT230-AT231</f>
        <v>83.670999999999992</v>
      </c>
      <c r="AT230" s="1053">
        <f>AU230-AU231</f>
        <v>89.24499999999999</v>
      </c>
      <c r="AU230" s="1053">
        <f>AV230-AV231</f>
        <v>94.120999999999995</v>
      </c>
      <c r="AV230" s="1054">
        <v>102.371</v>
      </c>
      <c r="AW230" s="1054">
        <f>AV230</f>
        <v>102.371</v>
      </c>
      <c r="AX230" s="1055"/>
      <c r="AY230" s="1052">
        <f>AV230+AY231</f>
        <v>110.622</v>
      </c>
      <c r="AZ230" s="1052">
        <f>AY230+AZ231</f>
        <v>118.02200000000001</v>
      </c>
      <c r="BA230" s="1052">
        <f>AZ230+BA231</f>
        <v>126.72200000000001</v>
      </c>
      <c r="BB230" s="1052">
        <f>BA230+BB231</f>
        <v>139.72200000000001</v>
      </c>
      <c r="BC230" s="1052">
        <f>BB230</f>
        <v>139.72200000000001</v>
      </c>
      <c r="BD230" s="1020"/>
      <c r="BE230" s="1052">
        <f>BC230+BE231</f>
        <v>148.922</v>
      </c>
      <c r="BF230" s="1052">
        <f>BE230+BF231</f>
        <v>159.12199999999999</v>
      </c>
      <c r="BG230" s="1052">
        <f>BF230+BG231</f>
        <v>171.12199999999999</v>
      </c>
      <c r="BH230" s="1052">
        <f>BG230+BH231</f>
        <v>184.62199999999999</v>
      </c>
      <c r="BI230" s="1052">
        <f>BH230</f>
        <v>184.62199999999999</v>
      </c>
      <c r="BJ230" s="1020"/>
      <c r="BK230" s="1052">
        <f>BI230+BK231</f>
        <v>194.02199999999999</v>
      </c>
      <c r="BL230" s="1052">
        <f>BK230+BL231</f>
        <v>203.72199999999998</v>
      </c>
      <c r="BM230" s="1052">
        <f>BL230+BM231</f>
        <v>216.72199999999998</v>
      </c>
      <c r="BN230" s="1052">
        <f>BM230+BN231</f>
        <v>231.72199999999998</v>
      </c>
      <c r="BO230" s="1146">
        <f>BN230</f>
        <v>231.72199999999998</v>
      </c>
      <c r="BP230" s="1020"/>
      <c r="BQ230" s="1052">
        <f>BO230+BQ231</f>
        <v>242.32199999999997</v>
      </c>
      <c r="BR230" s="1052">
        <f>BQ230+BR231</f>
        <v>253.32199999999997</v>
      </c>
      <c r="BS230" s="1052">
        <f>BR230+BS231</f>
        <v>266.72199999999998</v>
      </c>
      <c r="BT230" s="1052">
        <f>BS230+BT231</f>
        <v>283.72199999999998</v>
      </c>
      <c r="BU230" s="1146">
        <f>BT230</f>
        <v>283.72199999999998</v>
      </c>
      <c r="BV230" s="1020"/>
      <c r="BW230" s="1052">
        <f>BU230+BW231</f>
        <v>295.22199999999998</v>
      </c>
      <c r="BX230" s="1052">
        <f>BW230+BX231</f>
        <v>305.22199999999998</v>
      </c>
      <c r="BY230" s="995"/>
      <c r="BZ230" s="995"/>
      <c r="CA230" s="1146">
        <f>CA225*CA229</f>
        <v>321.52999999999997</v>
      </c>
      <c r="CB230" s="998"/>
      <c r="CC230" s="995"/>
      <c r="CD230" s="995"/>
      <c r="CE230" s="995"/>
      <c r="CF230" s="995"/>
      <c r="CG230" s="1189"/>
      <c r="CH230" s="998"/>
      <c r="CI230" s="995"/>
      <c r="CJ230" s="995"/>
      <c r="CK230" s="1364"/>
      <c r="CL230" s="995"/>
      <c r="CM230" s="1189"/>
      <c r="CN230" s="998"/>
      <c r="CO230" s="995"/>
      <c r="CP230" s="995"/>
      <c r="CQ230" s="995"/>
      <c r="CR230" s="995"/>
      <c r="CS230" s="1189"/>
      <c r="CT230" s="1092"/>
      <c r="CU230" s="995"/>
      <c r="CV230" s="995"/>
      <c r="CW230" s="995"/>
      <c r="CX230" s="995"/>
      <c r="CY230" s="1189"/>
      <c r="CZ230" s="1092"/>
      <c r="DA230" s="995"/>
      <c r="DB230" s="995"/>
      <c r="DC230" s="995"/>
      <c r="DD230" s="995"/>
      <c r="DE230" s="1189"/>
      <c r="DF230" s="1092"/>
      <c r="DG230" s="995"/>
      <c r="DH230" s="995"/>
      <c r="DI230" s="995"/>
      <c r="DJ230" s="995"/>
      <c r="DK230" s="1189"/>
      <c r="DL230" s="998"/>
      <c r="DM230" s="995"/>
      <c r="DN230" s="995"/>
      <c r="DO230" s="995"/>
      <c r="DP230" s="995"/>
      <c r="DQ230" s="1189"/>
      <c r="DR230" s="1092"/>
      <c r="DS230" s="995"/>
      <c r="DT230" s="995"/>
      <c r="DU230" s="995"/>
      <c r="DV230" s="995"/>
      <c r="DW230" s="1189"/>
      <c r="DX230" s="1092"/>
      <c r="DY230" s="995"/>
      <c r="DZ230" s="995"/>
      <c r="EA230" s="995"/>
      <c r="EB230" s="995"/>
      <c r="EC230" s="1189"/>
      <c r="ED230" s="1092"/>
      <c r="EE230" s="995"/>
      <c r="EF230" s="995"/>
      <c r="EG230" s="995"/>
      <c r="EH230" s="995"/>
      <c r="EI230" s="1189"/>
      <c r="EJ230" s="1092"/>
      <c r="EK230" s="995"/>
      <c r="EL230" s="995"/>
      <c r="EM230" s="995"/>
      <c r="EN230" s="995"/>
      <c r="EO230" s="1189"/>
      <c r="EP230" s="1092"/>
      <c r="EQ230" s="995"/>
      <c r="ER230" s="995"/>
      <c r="ES230" s="995"/>
      <c r="ET230" s="995"/>
      <c r="EU230" s="1189"/>
    </row>
    <row r="231" spans="1:192" hidden="1" outlineLevel="2">
      <c r="A231" s="999" t="s">
        <v>1862</v>
      </c>
      <c r="B231" s="1000"/>
      <c r="C231" s="1001"/>
      <c r="D231" s="1001"/>
      <c r="E231" s="1001"/>
      <c r="F231" s="1001"/>
      <c r="G231" s="1002"/>
      <c r="H231" s="1000"/>
      <c r="I231" s="1002"/>
      <c r="J231" s="1002"/>
      <c r="K231" s="1002"/>
      <c r="L231" s="1002"/>
      <c r="M231" s="1002"/>
      <c r="N231" s="1000"/>
      <c r="O231" s="1002"/>
      <c r="P231" s="1002"/>
      <c r="Q231" s="1002"/>
      <c r="R231" s="1002"/>
      <c r="S231" s="1002"/>
      <c r="T231" s="1000"/>
      <c r="U231" s="1002"/>
      <c r="V231" s="1002"/>
      <c r="W231" s="1002"/>
      <c r="X231" s="1002"/>
      <c r="Y231" s="1002"/>
      <c r="Z231" s="1000"/>
      <c r="AA231" s="1002"/>
      <c r="AB231" s="1002"/>
      <c r="AC231" s="1002"/>
      <c r="AD231" s="1002"/>
      <c r="AE231" s="1002"/>
      <c r="AF231" s="1000"/>
      <c r="AG231" s="1002"/>
      <c r="AH231" s="1002"/>
      <c r="AI231" s="1002"/>
      <c r="AJ231" s="1002"/>
      <c r="AK231" s="1002"/>
      <c r="AL231" s="1000"/>
      <c r="AM231" s="1003">
        <v>15</v>
      </c>
      <c r="AN231" s="1004">
        <v>14</v>
      </c>
      <c r="AO231" s="1004">
        <v>6.1</v>
      </c>
      <c r="AP231" s="1004"/>
      <c r="AQ231" s="1004"/>
      <c r="AR231" s="1004"/>
      <c r="AS231" s="1004">
        <v>7.3</v>
      </c>
      <c r="AT231" s="1004">
        <v>5.5739999999999998</v>
      </c>
      <c r="AU231" s="1004">
        <f>AW231-(AS231+AT231+AV231)</f>
        <v>4.8760000000000012</v>
      </c>
      <c r="AV231" s="1005">
        <v>8.25</v>
      </c>
      <c r="AW231" s="1004">
        <v>26</v>
      </c>
      <c r="AX231" s="1004"/>
      <c r="AY231" s="1006">
        <v>8.2509999999999994</v>
      </c>
      <c r="AZ231" s="1006">
        <v>7.4</v>
      </c>
      <c r="BA231" s="1006">
        <v>8.6999999999999993</v>
      </c>
      <c r="BB231" s="1006">
        <v>13</v>
      </c>
      <c r="BC231" s="1007">
        <f>BC230-AW230</f>
        <v>37.351000000000013</v>
      </c>
      <c r="BD231" s="1000"/>
      <c r="BE231" s="1006">
        <v>9.1999999999999993</v>
      </c>
      <c r="BF231" s="1006">
        <v>10.199999999999999</v>
      </c>
      <c r="BG231" s="1008">
        <v>12</v>
      </c>
      <c r="BH231" s="1006">
        <v>13.5</v>
      </c>
      <c r="BI231" s="1007">
        <f>SUM(BE231:BH231)</f>
        <v>44.9</v>
      </c>
      <c r="BJ231" s="1000"/>
      <c r="BK231" s="1005">
        <f>(31000-8500-13100)/1000</f>
        <v>9.4</v>
      </c>
      <c r="BL231" s="1005">
        <v>9.6999999999999993</v>
      </c>
      <c r="BM231" s="1009">
        <v>13</v>
      </c>
      <c r="BN231" s="1009">
        <v>15</v>
      </c>
      <c r="BO231" s="1147">
        <f>SUM(BK231:BN231)</f>
        <v>47.1</v>
      </c>
      <c r="BP231" s="1000"/>
      <c r="BQ231" s="1005">
        <v>10.6</v>
      </c>
      <c r="BR231" s="1009">
        <v>11</v>
      </c>
      <c r="BS231" s="1009">
        <v>13.4</v>
      </c>
      <c r="BT231" s="1009">
        <v>17</v>
      </c>
      <c r="BU231" s="1147">
        <f>SUM(BQ231:BT231)</f>
        <v>52</v>
      </c>
      <c r="BV231" s="1000"/>
      <c r="BW231" s="1004">
        <f>11.5</f>
        <v>11.5</v>
      </c>
      <c r="BX231" s="1002">
        <v>10</v>
      </c>
      <c r="BY231" s="1002"/>
      <c r="BZ231" s="1002"/>
      <c r="CA231" s="1147">
        <f>CA230-BU230</f>
        <v>37.807999999999993</v>
      </c>
      <c r="CB231" s="1000"/>
      <c r="CC231" s="1002">
        <f>CA231*4000</f>
        <v>151231.99999999997</v>
      </c>
      <c r="CD231" s="1002"/>
      <c r="CE231" s="1002"/>
      <c r="CF231" s="1002"/>
      <c r="CG231" s="1148"/>
      <c r="CH231" s="1000"/>
      <c r="CI231" s="1002"/>
      <c r="CJ231" s="1002"/>
      <c r="CK231" s="1018"/>
      <c r="CL231" s="1002"/>
      <c r="CM231" s="1148"/>
      <c r="CN231" s="1000"/>
      <c r="CO231" s="1002"/>
      <c r="CP231" s="1002"/>
      <c r="CQ231" s="1002"/>
      <c r="CR231" s="1002"/>
      <c r="CS231" s="1148"/>
      <c r="CT231" s="1002"/>
      <c r="CU231" s="1002"/>
      <c r="CV231" s="1002"/>
      <c r="CW231" s="1002"/>
      <c r="CX231" s="1002"/>
      <c r="CY231" s="1148"/>
      <c r="CZ231" s="1002"/>
      <c r="DA231" s="1002"/>
      <c r="DB231" s="1002"/>
      <c r="DC231" s="1002"/>
      <c r="DD231" s="1002"/>
      <c r="DE231" s="1148"/>
      <c r="DF231" s="1002"/>
      <c r="DG231" s="1002"/>
      <c r="DH231" s="1002"/>
      <c r="DI231" s="1002"/>
      <c r="DJ231" s="1002"/>
      <c r="DK231" s="1148"/>
      <c r="DL231" s="1000"/>
      <c r="DM231" s="1002"/>
      <c r="DN231" s="1002"/>
      <c r="DO231" s="1002"/>
      <c r="DP231" s="1002"/>
      <c r="DQ231" s="1148"/>
      <c r="DR231" s="1002"/>
      <c r="DS231" s="1002"/>
      <c r="DT231" s="1002"/>
      <c r="DU231" s="1002"/>
      <c r="DV231" s="1002"/>
      <c r="DW231" s="1148"/>
      <c r="DX231" s="1002"/>
      <c r="DY231" s="1002"/>
      <c r="DZ231" s="1002"/>
      <c r="EA231" s="1002"/>
      <c r="EB231" s="1002"/>
      <c r="EC231" s="1148"/>
      <c r="ED231" s="1002"/>
      <c r="EE231" s="1002"/>
      <c r="EF231" s="1002"/>
      <c r="EG231" s="1002"/>
      <c r="EH231" s="1002"/>
      <c r="EI231" s="1148"/>
      <c r="EJ231" s="1002"/>
      <c r="EK231" s="1002"/>
      <c r="EL231" s="1002"/>
      <c r="EM231" s="1002"/>
      <c r="EN231" s="1002"/>
      <c r="EO231" s="1148"/>
      <c r="EP231" s="1002"/>
      <c r="EQ231" s="1002"/>
      <c r="ER231" s="1002"/>
      <c r="ES231" s="1002"/>
      <c r="ET231" s="1002"/>
      <c r="EU231" s="1148"/>
    </row>
    <row r="232" spans="1:192" hidden="1" outlineLevel="2">
      <c r="A232" s="999" t="s">
        <v>2999</v>
      </c>
      <c r="B232" s="1000"/>
      <c r="C232" s="1001"/>
      <c r="D232" s="1001"/>
      <c r="E232" s="1001"/>
      <c r="F232" s="1001"/>
      <c r="G232" s="1002"/>
      <c r="H232" s="1000"/>
      <c r="I232" s="1002"/>
      <c r="J232" s="1002"/>
      <c r="K232" s="1002"/>
      <c r="L232" s="1002"/>
      <c r="M232" s="1002"/>
      <c r="N232" s="1000"/>
      <c r="O232" s="1002"/>
      <c r="P232" s="1002"/>
      <c r="Q232" s="1002"/>
      <c r="R232" s="1002"/>
      <c r="S232" s="1002"/>
      <c r="T232" s="1000"/>
      <c r="U232" s="1002"/>
      <c r="V232" s="1002"/>
      <c r="W232" s="1002"/>
      <c r="X232" s="1002"/>
      <c r="Y232" s="1002"/>
      <c r="Z232" s="1000"/>
      <c r="AA232" s="1002"/>
      <c r="AB232" s="1002"/>
      <c r="AC232" s="1002"/>
      <c r="AD232" s="1002"/>
      <c r="AE232" s="1002"/>
      <c r="AF232" s="1000"/>
      <c r="AG232" s="1002"/>
      <c r="AH232" s="1002"/>
      <c r="AI232" s="1002"/>
      <c r="AJ232" s="1002"/>
      <c r="AK232" s="1002"/>
      <c r="AL232" s="1000"/>
      <c r="AM232" s="1003"/>
      <c r="AN232" s="1004"/>
      <c r="AO232" s="1004"/>
      <c r="AP232" s="1004"/>
      <c r="AQ232" s="1004"/>
      <c r="AR232" s="1004"/>
      <c r="AS232" s="1004"/>
      <c r="AT232" s="1004"/>
      <c r="AU232" s="1004"/>
      <c r="AV232" s="1010">
        <f>AV231/AV226</f>
        <v>0.29151943462897517</v>
      </c>
      <c r="AW232" s="1004"/>
      <c r="AX232" s="1004"/>
      <c r="AY232" s="1011">
        <f>AY231/AY226</f>
        <v>0.29155477031802107</v>
      </c>
      <c r="AZ232" s="1011">
        <f>AZ231/AZ226</f>
        <v>0.17249417249417259</v>
      </c>
      <c r="BA232" s="1011">
        <f>BA231/BA226</f>
        <v>0.22137404580152664</v>
      </c>
      <c r="BB232" s="1011">
        <f>BB231/BB226</f>
        <v>0.38123167155425258</v>
      </c>
      <c r="BC232" s="1007"/>
      <c r="BD232" s="1000"/>
      <c r="BE232" s="1011">
        <f>BE231/BE226</f>
        <v>0.40174672489082908</v>
      </c>
      <c r="BF232" s="1011">
        <f>BF231/BF226</f>
        <v>0.40799999999999997</v>
      </c>
      <c r="BG232" s="1011">
        <f>BG231/BG226</f>
        <v>0.29629629629629628</v>
      </c>
      <c r="BH232" s="1011">
        <f>BH231/BH226</f>
        <v>0.36193029490616613</v>
      </c>
      <c r="BI232" s="1012"/>
      <c r="BJ232" s="1000"/>
      <c r="BK232" s="1011">
        <f>BK231/BK226</f>
        <v>0.32302405498281761</v>
      </c>
      <c r="BL232" s="1011">
        <f>BL231/BL226</f>
        <v>0.29663608562691191</v>
      </c>
      <c r="BM232" s="1011">
        <f>BM231/BM226</f>
        <v>0.39393939393939392</v>
      </c>
      <c r="BN232" s="1011">
        <f>BN231/BN226</f>
        <v>0.46012269938650274</v>
      </c>
      <c r="BO232" s="1148"/>
      <c r="BP232" s="1000"/>
      <c r="BQ232" s="1011">
        <f>BQ231/BQ226</f>
        <v>0.46086956521739131</v>
      </c>
      <c r="BR232" s="1011">
        <f>BR231/BR226</f>
        <v>0.47826086956521741</v>
      </c>
      <c r="BS232" s="1011">
        <f>BS231/BS226</f>
        <v>0.53600000000000003</v>
      </c>
      <c r="BT232" s="1011">
        <f>BT231/BT226</f>
        <v>0.6071428571428571</v>
      </c>
      <c r="BU232" s="1148"/>
      <c r="BV232" s="1000"/>
      <c r="BW232" s="1011">
        <f>BW231/BW226</f>
        <v>0.60526315789473684</v>
      </c>
      <c r="BX232" s="1011">
        <f>BX231/BX226</f>
        <v>0.4</v>
      </c>
      <c r="BY232" s="1002"/>
      <c r="BZ232" s="1002"/>
      <c r="CA232" s="1645"/>
      <c r="CB232" s="1000"/>
      <c r="CC232" s="1002"/>
      <c r="CD232" s="1002"/>
      <c r="CE232" s="1002"/>
      <c r="CF232" s="1002"/>
      <c r="CG232" s="1148"/>
      <c r="CH232" s="1000"/>
      <c r="CI232" s="1002"/>
      <c r="CJ232" s="1002"/>
      <c r="CK232" s="1018"/>
      <c r="CL232" s="1002"/>
      <c r="CM232" s="1148"/>
      <c r="CN232" s="1000"/>
      <c r="CO232" s="1002"/>
      <c r="CP232" s="1002"/>
      <c r="CQ232" s="1002"/>
      <c r="CR232" s="1002"/>
      <c r="CS232" s="1148"/>
      <c r="CT232" s="1002"/>
      <c r="CU232" s="1002"/>
      <c r="CV232" s="1002"/>
      <c r="CW232" s="1002"/>
      <c r="CX232" s="1002"/>
      <c r="CY232" s="1148"/>
      <c r="CZ232" s="1002"/>
      <c r="DA232" s="1002"/>
      <c r="DB232" s="1002"/>
      <c r="DC232" s="1002"/>
      <c r="DD232" s="1002"/>
      <c r="DE232" s="1148"/>
      <c r="DF232" s="1002"/>
      <c r="DG232" s="1002"/>
      <c r="DH232" s="1002"/>
      <c r="DI232" s="1002"/>
      <c r="DJ232" s="1002"/>
      <c r="DK232" s="1148"/>
      <c r="DL232" s="1000"/>
      <c r="DM232" s="1002"/>
      <c r="DN232" s="1002"/>
      <c r="DO232" s="1002"/>
      <c r="DP232" s="1002"/>
      <c r="DQ232" s="1148"/>
      <c r="DR232" s="1002"/>
      <c r="DS232" s="1002"/>
      <c r="DT232" s="1002"/>
      <c r="DU232" s="1002"/>
      <c r="DV232" s="1002"/>
      <c r="DW232" s="1148"/>
      <c r="DX232" s="1002"/>
      <c r="DY232" s="1002"/>
      <c r="DZ232" s="1002"/>
      <c r="EA232" s="1002"/>
      <c r="EB232" s="1002"/>
      <c r="EC232" s="1148"/>
      <c r="ED232" s="1002"/>
      <c r="EE232" s="1002"/>
      <c r="EF232" s="1002"/>
      <c r="EG232" s="1002"/>
      <c r="EH232" s="1002"/>
      <c r="EI232" s="1148"/>
      <c r="EJ232" s="1002"/>
      <c r="EK232" s="1002"/>
      <c r="EL232" s="1002"/>
      <c r="EM232" s="1002"/>
      <c r="EN232" s="1002"/>
      <c r="EO232" s="1148"/>
      <c r="EP232" s="1002"/>
      <c r="EQ232" s="1002"/>
      <c r="ER232" s="1002"/>
      <c r="ES232" s="1002"/>
      <c r="ET232" s="1002"/>
      <c r="EU232" s="1148"/>
    </row>
    <row r="233" spans="1:192" hidden="1" outlineLevel="2">
      <c r="A233" s="999" t="s">
        <v>2997</v>
      </c>
      <c r="B233" s="1000"/>
      <c r="C233" s="1001"/>
      <c r="D233" s="1001"/>
      <c r="E233" s="1001"/>
      <c r="F233" s="1001"/>
      <c r="G233" s="1002"/>
      <c r="H233" s="1000"/>
      <c r="I233" s="1002"/>
      <c r="J233" s="1002"/>
      <c r="K233" s="1002"/>
      <c r="L233" s="1002"/>
      <c r="M233" s="1002"/>
      <c r="N233" s="1000"/>
      <c r="O233" s="1002"/>
      <c r="P233" s="1002"/>
      <c r="Q233" s="1002"/>
      <c r="R233" s="1002"/>
      <c r="S233" s="1002"/>
      <c r="T233" s="1000"/>
      <c r="U233" s="1002"/>
      <c r="V233" s="1002"/>
      <c r="W233" s="1002"/>
      <c r="X233" s="1002"/>
      <c r="Y233" s="1002"/>
      <c r="Z233" s="1000"/>
      <c r="AA233" s="1002"/>
      <c r="AB233" s="1002"/>
      <c r="AC233" s="1002"/>
      <c r="AD233" s="1002"/>
      <c r="AE233" s="1002"/>
      <c r="AF233" s="1000"/>
      <c r="AG233" s="1002"/>
      <c r="AH233" s="1002"/>
      <c r="AI233" s="1002"/>
      <c r="AJ233" s="1002"/>
      <c r="AK233" s="1002"/>
      <c r="AL233" s="1000"/>
      <c r="AM233" s="1003"/>
      <c r="AN233" s="1004"/>
      <c r="AO233" s="1004"/>
      <c r="AP233" s="1004"/>
      <c r="AQ233" s="1004"/>
      <c r="AR233" s="1004"/>
      <c r="AS233" s="1004"/>
      <c r="AT233" s="1004"/>
      <c r="AU233" s="1004"/>
      <c r="AV233" s="1013">
        <f>AV230/AU230-1</f>
        <v>8.765312735733799E-2</v>
      </c>
      <c r="AW233" s="1014"/>
      <c r="AX233" s="1015"/>
      <c r="AY233" s="1016">
        <f>AY230/AV230-1</f>
        <v>8.059899776303836E-2</v>
      </c>
      <c r="AZ233" s="1016">
        <f>AZ230/AY230-1</f>
        <v>6.6894469454539029E-2</v>
      </c>
      <c r="BA233" s="1016">
        <f>BA230/AZ230-1</f>
        <v>7.3715070071681543E-2</v>
      </c>
      <c r="BB233" s="1016">
        <f>BB230/BA230-1</f>
        <v>0.10258676472909212</v>
      </c>
      <c r="BC233" s="1017"/>
      <c r="BD233" s="1000"/>
      <c r="BE233" s="1016">
        <f>BE230/BB230-1</f>
        <v>6.5845035141208985E-2</v>
      </c>
      <c r="BF233" s="1016">
        <f>BF230/BE230-1</f>
        <v>6.8492230832247758E-2</v>
      </c>
      <c r="BG233" s="1016">
        <f>BG230/BF230-1</f>
        <v>7.5413833410842068E-2</v>
      </c>
      <c r="BH233" s="1016">
        <f>BH230/BG230-1</f>
        <v>7.8891083554423203E-2</v>
      </c>
      <c r="BI233" s="1018"/>
      <c r="BJ233" s="1000"/>
      <c r="BK233" s="1016">
        <f>BK230/BH230-1</f>
        <v>5.0914842218153789E-2</v>
      </c>
      <c r="BL233" s="1016">
        <f>BL230/BK230-1</f>
        <v>4.9994330539835596E-2</v>
      </c>
      <c r="BM233" s="1016">
        <f>BM230/BL230-1</f>
        <v>6.3812450299918444E-2</v>
      </c>
      <c r="BN233" s="1016">
        <f>BN230/BM230-1</f>
        <v>6.9213093271564441E-2</v>
      </c>
      <c r="BO233" s="1148"/>
      <c r="BP233" s="1000"/>
      <c r="BQ233" s="1016">
        <f>BQ230/BN230-1</f>
        <v>4.5744469666237908E-2</v>
      </c>
      <c r="BR233" s="1016">
        <f>BR230/BQ230-1</f>
        <v>4.5394144980645645E-2</v>
      </c>
      <c r="BS233" s="1016">
        <f>BS230/BR230-1</f>
        <v>5.2897103291463132E-2</v>
      </c>
      <c r="BT233" s="1016">
        <f>BT230/BS230-1</f>
        <v>6.3736774619266523E-2</v>
      </c>
      <c r="BU233" s="1148"/>
      <c r="BV233" s="1000"/>
      <c r="BW233" s="1016">
        <f>BW230/BT230-1</f>
        <v>4.0532634057281358E-2</v>
      </c>
      <c r="BX233" s="1016">
        <f>BX230/BW230-1</f>
        <v>3.3872814356653569E-2</v>
      </c>
      <c r="BY233" s="1002"/>
      <c r="BZ233" s="1002"/>
      <c r="CA233" s="1148"/>
      <c r="CB233" s="1000"/>
      <c r="CC233" s="1002"/>
      <c r="CD233" s="1002"/>
      <c r="CE233" s="1002"/>
      <c r="CF233" s="1002"/>
      <c r="CG233" s="1148"/>
      <c r="CH233" s="1000"/>
      <c r="CI233" s="1002"/>
      <c r="CJ233" s="1002"/>
      <c r="CK233" s="1018"/>
      <c r="CL233" s="1002"/>
      <c r="CM233" s="1148"/>
      <c r="CN233" s="1000"/>
      <c r="CO233" s="1002"/>
      <c r="CP233" s="1002"/>
      <c r="CQ233" s="1002"/>
      <c r="CR233" s="1002"/>
      <c r="CS233" s="1148"/>
      <c r="CT233" s="1002"/>
      <c r="CU233" s="1002"/>
      <c r="CV233" s="1002"/>
      <c r="CW233" s="1002"/>
      <c r="CX233" s="1002"/>
      <c r="CY233" s="1148"/>
      <c r="CZ233" s="1002"/>
      <c r="DA233" s="1002"/>
      <c r="DB233" s="1002"/>
      <c r="DC233" s="1002"/>
      <c r="DD233" s="1002"/>
      <c r="DE233" s="1148"/>
      <c r="DF233" s="1002"/>
      <c r="DG233" s="1002"/>
      <c r="DH233" s="1002"/>
      <c r="DI233" s="1002"/>
      <c r="DJ233" s="1002"/>
      <c r="DK233" s="1148"/>
      <c r="DL233" s="1000"/>
      <c r="DM233" s="1002"/>
      <c r="DN233" s="1002"/>
      <c r="DO233" s="1002"/>
      <c r="DP233" s="1002"/>
      <c r="DQ233" s="1148"/>
      <c r="DR233" s="1002"/>
      <c r="DS233" s="1002"/>
      <c r="DT233" s="1002"/>
      <c r="DU233" s="1002"/>
      <c r="DV233" s="1002"/>
      <c r="DW233" s="1148"/>
      <c r="DX233" s="1002"/>
      <c r="DY233" s="1002"/>
      <c r="DZ233" s="1002"/>
      <c r="EA233" s="1002"/>
      <c r="EB233" s="1002"/>
      <c r="EC233" s="1148"/>
      <c r="ED233" s="1002"/>
      <c r="EE233" s="1002"/>
      <c r="EF233" s="1002"/>
      <c r="EG233" s="1002"/>
      <c r="EH233" s="1002"/>
      <c r="EI233" s="1148"/>
      <c r="EJ233" s="1002"/>
      <c r="EK233" s="1002"/>
      <c r="EL233" s="1002"/>
      <c r="EM233" s="1002"/>
      <c r="EN233" s="1002"/>
      <c r="EO233" s="1148"/>
      <c r="EP233" s="1002"/>
      <c r="EQ233" s="1002"/>
      <c r="ER233" s="1002"/>
      <c r="ES233" s="1002"/>
      <c r="ET233" s="1002"/>
      <c r="EU233" s="1148"/>
    </row>
    <row r="234" spans="1:192" ht="6" hidden="1" customHeight="1" outlineLevel="2">
      <c r="A234" s="229"/>
      <c r="B234" s="998"/>
      <c r="C234" s="1019"/>
      <c r="D234" s="1019"/>
      <c r="E234" s="1019"/>
      <c r="F234" s="1019"/>
      <c r="G234" s="1020"/>
      <c r="H234" s="998"/>
      <c r="I234" s="1020"/>
      <c r="J234" s="1020"/>
      <c r="K234" s="1020"/>
      <c r="L234" s="1020"/>
      <c r="M234" s="1020"/>
      <c r="N234" s="998"/>
      <c r="O234" s="1020"/>
      <c r="P234" s="1020"/>
      <c r="Q234" s="1020"/>
      <c r="R234" s="1020"/>
      <c r="S234" s="1020"/>
      <c r="T234" s="998"/>
      <c r="U234" s="1020"/>
      <c r="V234" s="1020"/>
      <c r="W234" s="1020"/>
      <c r="X234" s="1020"/>
      <c r="Y234" s="1020"/>
      <c r="Z234" s="998"/>
      <c r="AA234" s="1020"/>
      <c r="AB234" s="1020"/>
      <c r="AC234" s="1020"/>
      <c r="AD234" s="1020"/>
      <c r="AE234" s="1020"/>
      <c r="AF234" s="998"/>
      <c r="AG234" s="1020"/>
      <c r="AH234" s="1020"/>
      <c r="AI234" s="1020"/>
      <c r="AJ234" s="1020"/>
      <c r="AK234" s="1020"/>
      <c r="AL234" s="998"/>
      <c r="AM234" s="997"/>
      <c r="AN234" s="1021"/>
      <c r="AO234" s="1021"/>
      <c r="AP234" s="1021"/>
      <c r="AQ234" s="1021"/>
      <c r="AR234" s="1021"/>
      <c r="AS234" s="1021"/>
      <c r="AT234" s="1021"/>
      <c r="AU234" s="1021"/>
      <c r="AV234" s="1022"/>
      <c r="AW234" s="1021"/>
      <c r="AX234" s="1021"/>
      <c r="AY234" s="1023"/>
      <c r="AZ234" s="1023"/>
      <c r="BA234" s="1023"/>
      <c r="BB234" s="1023"/>
      <c r="BC234" s="1024"/>
      <c r="BD234" s="998"/>
      <c r="BE234" s="1023"/>
      <c r="BF234" s="1023"/>
      <c r="BG234" s="1025"/>
      <c r="BH234" s="1026"/>
      <c r="BI234" s="1026"/>
      <c r="BJ234" s="998"/>
      <c r="BK234" s="1020"/>
      <c r="BL234" s="1020"/>
      <c r="BM234" s="1020"/>
      <c r="BN234" s="1020"/>
      <c r="BO234" s="1149"/>
      <c r="BP234" s="998"/>
      <c r="BQ234" s="1020"/>
      <c r="BR234" s="1020"/>
      <c r="BS234" s="1020"/>
      <c r="BT234" s="1020"/>
      <c r="BU234" s="1149"/>
      <c r="BV234" s="998"/>
      <c r="BW234" s="1020"/>
      <c r="BX234" s="1020"/>
      <c r="BY234" s="1020"/>
      <c r="BZ234" s="1020"/>
      <c r="CA234" s="1149"/>
      <c r="CB234" s="998"/>
      <c r="CC234" s="1020"/>
      <c r="CD234" s="1020"/>
      <c r="CE234" s="1020"/>
      <c r="CF234" s="1020"/>
      <c r="CG234" s="1149"/>
      <c r="CH234" s="998"/>
      <c r="CI234" s="1020"/>
      <c r="CJ234" s="1020"/>
      <c r="CK234" s="1026"/>
      <c r="CL234" s="1020"/>
      <c r="CM234" s="1149"/>
      <c r="CN234" s="998"/>
      <c r="CO234" s="1020"/>
      <c r="CP234" s="1020"/>
      <c r="CQ234" s="1020"/>
      <c r="CR234" s="1020"/>
      <c r="CS234" s="1149"/>
      <c r="CT234" s="1020"/>
      <c r="CU234" s="1020"/>
      <c r="CV234" s="1020"/>
      <c r="CW234" s="1020"/>
      <c r="CX234" s="1020"/>
      <c r="CY234" s="1149"/>
      <c r="CZ234" s="1020"/>
      <c r="DA234" s="1020"/>
      <c r="DB234" s="1020"/>
      <c r="DC234" s="1020"/>
      <c r="DD234" s="1020"/>
      <c r="DE234" s="1149"/>
      <c r="DF234" s="1020"/>
      <c r="DG234" s="1020"/>
      <c r="DH234" s="1020"/>
      <c r="DI234" s="1020"/>
      <c r="DJ234" s="1020"/>
      <c r="DK234" s="1149"/>
      <c r="DL234" s="998"/>
      <c r="DM234" s="1020"/>
      <c r="DN234" s="1020"/>
      <c r="DO234" s="1020"/>
      <c r="DP234" s="1020"/>
      <c r="DQ234" s="1149"/>
      <c r="DR234" s="1020"/>
      <c r="DS234" s="1020"/>
      <c r="DT234" s="1020"/>
      <c r="DU234" s="1020"/>
      <c r="DV234" s="1020"/>
      <c r="DW234" s="1149"/>
      <c r="DX234" s="1020"/>
      <c r="DY234" s="1020"/>
      <c r="DZ234" s="1020"/>
      <c r="EA234" s="1020"/>
      <c r="EB234" s="1020"/>
      <c r="EC234" s="1149"/>
      <c r="ED234" s="1020"/>
      <c r="EE234" s="1020"/>
      <c r="EF234" s="1020"/>
      <c r="EG234" s="1020"/>
      <c r="EH234" s="1020"/>
      <c r="EI234" s="1149"/>
      <c r="EJ234" s="1020"/>
      <c r="EK234" s="1020"/>
      <c r="EL234" s="1020"/>
      <c r="EM234" s="1020"/>
      <c r="EN234" s="1020"/>
      <c r="EO234" s="1149"/>
      <c r="EP234" s="1020"/>
      <c r="EQ234" s="1020"/>
      <c r="ER234" s="1020"/>
      <c r="ES234" s="1020"/>
      <c r="ET234" s="1020"/>
      <c r="EU234" s="1149"/>
    </row>
    <row r="235" spans="1:192" hidden="1" outlineLevel="2">
      <c r="A235" s="992" t="s">
        <v>5652</v>
      </c>
      <c r="B235" s="998"/>
      <c r="C235" s="1019"/>
      <c r="D235" s="1019"/>
      <c r="E235" s="1019"/>
      <c r="F235" s="1019"/>
      <c r="G235" s="1020"/>
      <c r="H235" s="998"/>
      <c r="I235" s="1020"/>
      <c r="J235" s="1020"/>
      <c r="K235" s="1020"/>
      <c r="L235" s="1020"/>
      <c r="M235" s="1020"/>
      <c r="N235" s="998"/>
      <c r="O235" s="1020"/>
      <c r="P235" s="1020"/>
      <c r="Q235" s="1020"/>
      <c r="R235" s="1020"/>
      <c r="S235" s="1020"/>
      <c r="T235" s="998"/>
      <c r="U235" s="1020"/>
      <c r="V235" s="1020"/>
      <c r="W235" s="1020"/>
      <c r="X235" s="1020"/>
      <c r="Y235" s="1020"/>
      <c r="Z235" s="998"/>
      <c r="AA235" s="1020"/>
      <c r="AB235" s="1020"/>
      <c r="AC235" s="1020"/>
      <c r="AD235" s="1020"/>
      <c r="AE235" s="1020"/>
      <c r="AF235" s="998"/>
      <c r="AG235" s="1020"/>
      <c r="AH235" s="1020"/>
      <c r="AI235" s="1020"/>
      <c r="AJ235" s="1020"/>
      <c r="AK235" s="1020"/>
      <c r="AL235" s="998"/>
      <c r="AM235" s="997"/>
      <c r="AN235" s="1021"/>
      <c r="AO235" s="1021"/>
      <c r="AP235" s="1021"/>
      <c r="AQ235" s="1021"/>
      <c r="AR235" s="1021"/>
      <c r="AS235" s="1021"/>
      <c r="AT235" s="1021"/>
      <c r="AU235" s="1020">
        <f>AU225-AU230</f>
        <v>155.87900000000002</v>
      </c>
      <c r="AV235" s="1050">
        <f>AV225-AV230</f>
        <v>175.92900000000003</v>
      </c>
      <c r="AW235" s="1020">
        <f>AW225-AW230</f>
        <v>175.92900000000003</v>
      </c>
      <c r="AX235" s="1020"/>
      <c r="AY235" s="1026">
        <f>AY225-AY230</f>
        <v>195.97800000000001</v>
      </c>
      <c r="AZ235" s="1026">
        <f>AZ225-AZ230</f>
        <v>231.47800000000001</v>
      </c>
      <c r="BA235" s="1026">
        <f>BA225-BA230</f>
        <v>262.07799999999997</v>
      </c>
      <c r="BB235" s="1026">
        <f>BB225-BB230</f>
        <v>283.178</v>
      </c>
      <c r="BC235" s="1026">
        <f>BC225-BC230</f>
        <v>283.178</v>
      </c>
      <c r="BD235" s="1020"/>
      <c r="BE235" s="1026">
        <f>BE225-BE230</f>
        <v>296.87800000000004</v>
      </c>
      <c r="BF235" s="1026">
        <f>BF225-BF230</f>
        <v>311.678</v>
      </c>
      <c r="BG235" s="1051">
        <f>BF235+BG236</f>
        <v>340.178</v>
      </c>
      <c r="BH235" s="1052">
        <f>BG235+BH236</f>
        <v>363.97800000000001</v>
      </c>
      <c r="BI235" s="1026"/>
      <c r="BJ235" s="1020"/>
      <c r="BK235" s="1026">
        <f>BK225-BK230</f>
        <v>383.67800000000005</v>
      </c>
      <c r="BL235" s="1026">
        <f>BL225-BL230</f>
        <v>406.678</v>
      </c>
      <c r="BM235" s="1026">
        <f>BM225-BM230</f>
        <v>426.678</v>
      </c>
      <c r="BN235" s="1026">
        <f>BN225-BN230</f>
        <v>444.27800000000002</v>
      </c>
      <c r="BO235" s="1149">
        <f>BN235</f>
        <v>444.27800000000002</v>
      </c>
      <c r="BP235" s="1020"/>
      <c r="BQ235" s="1026">
        <f>BQ225-BQ230</f>
        <v>456.678</v>
      </c>
      <c r="BR235" s="1026">
        <f>BR225-BR230</f>
        <v>468.678</v>
      </c>
      <c r="BS235" s="1026">
        <f>BS225-BS230</f>
        <v>480.27800000000002</v>
      </c>
      <c r="BT235" s="1026">
        <f>BT225-BT230</f>
        <v>491.27800000000002</v>
      </c>
      <c r="BU235" s="1149">
        <f>BT235</f>
        <v>491.27800000000002</v>
      </c>
      <c r="BV235" s="1020"/>
      <c r="BW235" s="1026">
        <f>BW225-BW230</f>
        <v>498.77800000000002</v>
      </c>
      <c r="BX235" s="1026">
        <f>BX225-BX230</f>
        <v>513.77800000000002</v>
      </c>
      <c r="BY235" s="1020"/>
      <c r="BZ235" s="1020"/>
      <c r="CA235" s="1149">
        <f>CA225-CA230</f>
        <v>547.47</v>
      </c>
      <c r="CB235" s="998"/>
      <c r="CC235" s="1020"/>
      <c r="CD235" s="1020"/>
      <c r="CE235" s="1020"/>
      <c r="CF235" s="1020"/>
      <c r="CG235" s="1149"/>
      <c r="CH235" s="998"/>
      <c r="CI235" s="1020"/>
      <c r="CJ235" s="1020"/>
      <c r="CK235" s="1026"/>
      <c r="CL235" s="1020"/>
      <c r="CM235" s="1149"/>
      <c r="CN235" s="998"/>
      <c r="CO235" s="1020"/>
      <c r="CP235" s="1020"/>
      <c r="CQ235" s="1020"/>
      <c r="CR235" s="1020"/>
      <c r="CS235" s="1149"/>
      <c r="CT235" s="1020"/>
      <c r="CU235" s="1020"/>
      <c r="CV235" s="1020"/>
      <c r="CW235" s="1020"/>
      <c r="CX235" s="1020"/>
      <c r="CY235" s="1149"/>
      <c r="CZ235" s="1020"/>
      <c r="DA235" s="1020"/>
      <c r="DB235" s="1020"/>
      <c r="DC235" s="1020"/>
      <c r="DD235" s="1020"/>
      <c r="DE235" s="1149"/>
      <c r="DF235" s="1020"/>
      <c r="DG235" s="1020"/>
      <c r="DH235" s="1020"/>
      <c r="DI235" s="1020"/>
      <c r="DJ235" s="1020"/>
      <c r="DK235" s="1149"/>
      <c r="DL235" s="998"/>
      <c r="DM235" s="1020"/>
      <c r="DN235" s="1020"/>
      <c r="DO235" s="1020"/>
      <c r="DP235" s="1020"/>
      <c r="DQ235" s="1149"/>
      <c r="DR235" s="1020"/>
      <c r="DS235" s="1020"/>
      <c r="DT235" s="1020"/>
      <c r="DU235" s="1020"/>
      <c r="DV235" s="1020"/>
      <c r="DW235" s="1149"/>
      <c r="DX235" s="1020"/>
      <c r="DY235" s="1020"/>
      <c r="DZ235" s="1020"/>
      <c r="EA235" s="1020"/>
      <c r="EB235" s="1020"/>
      <c r="EC235" s="1149"/>
      <c r="ED235" s="1020"/>
      <c r="EE235" s="1020"/>
      <c r="EF235" s="1020"/>
      <c r="EG235" s="1020"/>
      <c r="EH235" s="1020"/>
      <c r="EI235" s="1149"/>
      <c r="EJ235" s="1020"/>
      <c r="EK235" s="1020"/>
      <c r="EL235" s="1020"/>
      <c r="EM235" s="1020"/>
      <c r="EN235" s="1020"/>
      <c r="EO235" s="1149"/>
      <c r="EP235" s="1020"/>
      <c r="EQ235" s="1020"/>
      <c r="ER235" s="1020"/>
      <c r="ES235" s="1020"/>
      <c r="ET235" s="1020"/>
      <c r="EU235" s="1149"/>
    </row>
    <row r="236" spans="1:192" hidden="1" outlineLevel="2">
      <c r="A236" s="999" t="s">
        <v>2996</v>
      </c>
      <c r="B236" s="998"/>
      <c r="C236" s="1019"/>
      <c r="D236" s="1019"/>
      <c r="E236" s="1019"/>
      <c r="F236" s="1019"/>
      <c r="G236" s="1020"/>
      <c r="H236" s="998"/>
      <c r="I236" s="1020"/>
      <c r="J236" s="1020"/>
      <c r="K236" s="1020"/>
      <c r="L236" s="1020"/>
      <c r="M236" s="1020"/>
      <c r="N236" s="998"/>
      <c r="O236" s="1020"/>
      <c r="P236" s="1020"/>
      <c r="Q236" s="1020"/>
      <c r="R236" s="1020"/>
      <c r="S236" s="1020"/>
      <c r="T236" s="998"/>
      <c r="U236" s="1020"/>
      <c r="V236" s="1020"/>
      <c r="W236" s="1020"/>
      <c r="X236" s="1020"/>
      <c r="Y236" s="1020"/>
      <c r="Z236" s="998"/>
      <c r="AA236" s="1020"/>
      <c r="AB236" s="1020"/>
      <c r="AC236" s="1020"/>
      <c r="AD236" s="1020"/>
      <c r="AE236" s="1020"/>
      <c r="AF236" s="998"/>
      <c r="AG236" s="1020"/>
      <c r="AH236" s="1020"/>
      <c r="AI236" s="1020"/>
      <c r="AJ236" s="1020"/>
      <c r="AK236" s="1020"/>
      <c r="AL236" s="998"/>
      <c r="AM236" s="997"/>
      <c r="AN236" s="1021"/>
      <c r="AO236" s="1021"/>
      <c r="AP236" s="1021"/>
      <c r="AQ236" s="1021"/>
      <c r="AR236" s="1021"/>
      <c r="AS236" s="1021"/>
      <c r="AT236" s="1021"/>
      <c r="AU236" s="1021"/>
      <c r="AV236" s="1005">
        <f>AV235-AU235</f>
        <v>20.050000000000011</v>
      </c>
      <c r="AW236" s="1004"/>
      <c r="AX236" s="1004"/>
      <c r="AY236" s="1007">
        <f>AY235-AV235</f>
        <v>20.048999999999978</v>
      </c>
      <c r="AZ236" s="1007">
        <f>AZ235-AY235</f>
        <v>35.5</v>
      </c>
      <c r="BA236" s="1007">
        <f>BA235-AZ235</f>
        <v>30.599999999999966</v>
      </c>
      <c r="BB236" s="1007">
        <f>BB235-BA235</f>
        <v>21.100000000000023</v>
      </c>
      <c r="BC236" s="1007">
        <f>SUM(AY236:BB236)</f>
        <v>107.24899999999997</v>
      </c>
      <c r="BD236" s="998"/>
      <c r="BE236" s="1007">
        <f>BE235-BB235</f>
        <v>13.700000000000045</v>
      </c>
      <c r="BF236" s="1007">
        <f>BF235-BE235</f>
        <v>14.799999999999955</v>
      </c>
      <c r="BG236" s="1027">
        <f>BG226-BG231</f>
        <v>28.5</v>
      </c>
      <c r="BH236" s="1007">
        <f>BH226-BH231</f>
        <v>23.800000000000011</v>
      </c>
      <c r="BI236" s="1007">
        <f>SUM(BE236:BH236)</f>
        <v>80.800000000000011</v>
      </c>
      <c r="BJ236" s="998"/>
      <c r="BK236" s="1007">
        <f>BK235-BH235</f>
        <v>19.700000000000045</v>
      </c>
      <c r="BL236" s="1007">
        <f>BL235-BK235</f>
        <v>22.999999999999943</v>
      </c>
      <c r="BM236" s="1007">
        <f>BM235-BL235</f>
        <v>20</v>
      </c>
      <c r="BN236" s="1007">
        <f>BN235-BM235</f>
        <v>17.600000000000023</v>
      </c>
      <c r="BO236" s="1147">
        <f>SUM(BK236:BN236)</f>
        <v>80.300000000000011</v>
      </c>
      <c r="BP236" s="998"/>
      <c r="BQ236" s="1007">
        <f>BQ235-BN235</f>
        <v>12.399999999999977</v>
      </c>
      <c r="BR236" s="1007">
        <f>BR235-BQ235</f>
        <v>12</v>
      </c>
      <c r="BS236" s="1007">
        <f>BS235-BR235</f>
        <v>11.600000000000023</v>
      </c>
      <c r="BT236" s="1007">
        <f>BT235-BS235</f>
        <v>11</v>
      </c>
      <c r="BU236" s="1147">
        <f>SUM(BQ236:BT236)</f>
        <v>47</v>
      </c>
      <c r="BV236" s="998"/>
      <c r="BW236" s="1007">
        <f>BW235-BT235</f>
        <v>7.5</v>
      </c>
      <c r="BX236" s="1007">
        <f>BX235-BW235</f>
        <v>15</v>
      </c>
      <c r="BY236" s="1020"/>
      <c r="BZ236" s="1020"/>
      <c r="CA236" s="1147">
        <f>SUM(BW236:BZ236)</f>
        <v>22.5</v>
      </c>
      <c r="CB236" s="998"/>
      <c r="CC236" s="1020"/>
      <c r="CD236" s="1020"/>
      <c r="CE236" s="1020"/>
      <c r="CF236" s="1020"/>
      <c r="CG236" s="1149"/>
      <c r="CH236" s="998"/>
      <c r="CI236" s="1020"/>
      <c r="CJ236" s="1020"/>
      <c r="CK236" s="1026"/>
      <c r="CL236" s="1020"/>
      <c r="CM236" s="1149"/>
      <c r="CN236" s="998"/>
      <c r="CO236" s="1020"/>
      <c r="CP236" s="1020"/>
      <c r="CQ236" s="1020"/>
      <c r="CR236" s="1020"/>
      <c r="CS236" s="1149"/>
      <c r="CT236" s="1020"/>
      <c r="CU236" s="1020"/>
      <c r="CV236" s="1020"/>
      <c r="CW236" s="1020"/>
      <c r="CX236" s="1020"/>
      <c r="CY236" s="1149"/>
      <c r="CZ236" s="1020"/>
      <c r="DA236" s="1020"/>
      <c r="DB236" s="1020"/>
      <c r="DC236" s="1020"/>
      <c r="DD236" s="1020"/>
      <c r="DE236" s="1149"/>
      <c r="DF236" s="1020"/>
      <c r="DG236" s="1020"/>
      <c r="DH236" s="1020"/>
      <c r="DI236" s="1020"/>
      <c r="DJ236" s="1020"/>
      <c r="DK236" s="1149"/>
      <c r="DL236" s="998"/>
      <c r="DM236" s="1020"/>
      <c r="DN236" s="1020"/>
      <c r="DO236" s="1020"/>
      <c r="DP236" s="1020"/>
      <c r="DQ236" s="1149"/>
      <c r="DR236" s="1020"/>
      <c r="DS236" s="1020"/>
      <c r="DT236" s="1020"/>
      <c r="DU236" s="1020"/>
      <c r="DV236" s="1020"/>
      <c r="DW236" s="1149"/>
      <c r="DX236" s="1020"/>
      <c r="DY236" s="1020"/>
      <c r="DZ236" s="1020"/>
      <c r="EA236" s="1020"/>
      <c r="EB236" s="1020"/>
      <c r="EC236" s="1149"/>
      <c r="ED236" s="1020"/>
      <c r="EE236" s="1020"/>
      <c r="EF236" s="1020"/>
      <c r="EG236" s="1020"/>
      <c r="EH236" s="1020"/>
      <c r="EI236" s="1149"/>
      <c r="EJ236" s="1020"/>
      <c r="EK236" s="1020"/>
      <c r="EL236" s="1020"/>
      <c r="EM236" s="1020"/>
      <c r="EN236" s="1020"/>
      <c r="EO236" s="1149"/>
      <c r="EP236" s="1020"/>
      <c r="EQ236" s="1020"/>
      <c r="ER236" s="1020"/>
      <c r="ES236" s="1020"/>
      <c r="ET236" s="1020"/>
      <c r="EU236" s="1149"/>
    </row>
    <row r="237" spans="1:192" hidden="1" outlineLevel="2">
      <c r="A237" s="999" t="s">
        <v>2998</v>
      </c>
      <c r="B237" s="1000"/>
      <c r="C237" s="1001"/>
      <c r="D237" s="1001"/>
      <c r="E237" s="1001"/>
      <c r="F237" s="1001"/>
      <c r="G237" s="1002"/>
      <c r="H237" s="1000"/>
      <c r="I237" s="1002"/>
      <c r="J237" s="1002"/>
      <c r="K237" s="1002"/>
      <c r="L237" s="1002"/>
      <c r="M237" s="1002"/>
      <c r="N237" s="1000"/>
      <c r="O237" s="1002"/>
      <c r="P237" s="1002"/>
      <c r="Q237" s="1002"/>
      <c r="R237" s="1002"/>
      <c r="S237" s="1002"/>
      <c r="T237" s="1000"/>
      <c r="U237" s="1002"/>
      <c r="V237" s="1002"/>
      <c r="W237" s="1002"/>
      <c r="X237" s="1002"/>
      <c r="Y237" s="1002"/>
      <c r="Z237" s="1000"/>
      <c r="AA237" s="1002"/>
      <c r="AB237" s="1002"/>
      <c r="AC237" s="1002"/>
      <c r="AD237" s="1002"/>
      <c r="AE237" s="1002"/>
      <c r="AF237" s="1000"/>
      <c r="AG237" s="1002"/>
      <c r="AH237" s="1002"/>
      <c r="AI237" s="1002"/>
      <c r="AJ237" s="1002"/>
      <c r="AK237" s="1002"/>
      <c r="AL237" s="1000"/>
      <c r="AM237" s="1003"/>
      <c r="AN237" s="1004"/>
      <c r="AO237" s="1004"/>
      <c r="AP237" s="1004"/>
      <c r="AQ237" s="1004"/>
      <c r="AR237" s="1004"/>
      <c r="AS237" s="1004"/>
      <c r="AT237" s="1004"/>
      <c r="AU237" s="1004"/>
      <c r="AV237" s="1010">
        <f>AV236/AV226</f>
        <v>0.70848056537102488</v>
      </c>
      <c r="AW237" s="1005"/>
      <c r="AX237" s="1005"/>
      <c r="AY237" s="1011">
        <f>AY236/AY226</f>
        <v>0.70844522968197776</v>
      </c>
      <c r="AZ237" s="1011">
        <f>AZ236/AZ226</f>
        <v>0.82750582750582791</v>
      </c>
      <c r="BA237" s="1011">
        <f>BA236/BA226</f>
        <v>0.77862595419847214</v>
      </c>
      <c r="BB237" s="1011">
        <f>BB236/BB226</f>
        <v>0.61876832844574914</v>
      </c>
      <c r="BC237" s="1007"/>
      <c r="BD237" s="1000"/>
      <c r="BE237" s="1011">
        <f>BE236/BE226</f>
        <v>0.59825327510917137</v>
      </c>
      <c r="BF237" s="1011">
        <f>BF236/BF226</f>
        <v>0.59199999999999819</v>
      </c>
      <c r="BG237" s="1018"/>
      <c r="BH237" s="1018"/>
      <c r="BI237" s="1018"/>
      <c r="BJ237" s="1000"/>
      <c r="BK237" s="1011">
        <f>BK236/BK226</f>
        <v>0.67697594501718317</v>
      </c>
      <c r="BL237" s="1011">
        <f>BL236/BL226</f>
        <v>0.70336391437308843</v>
      </c>
      <c r="BM237" s="1011">
        <f>BM236/BM226</f>
        <v>0.60606060606060608</v>
      </c>
      <c r="BN237" s="1011">
        <f>BN236/BN226</f>
        <v>0.53987730061349726</v>
      </c>
      <c r="BO237" s="1148"/>
      <c r="BP237" s="1000"/>
      <c r="BQ237" s="1011">
        <f>BQ236/BQ226</f>
        <v>0.53913043478260769</v>
      </c>
      <c r="BR237" s="1011">
        <f>BR236/BR226</f>
        <v>0.52173913043478259</v>
      </c>
      <c r="BS237" s="1011">
        <f>BS236/BS226</f>
        <v>0.46400000000000091</v>
      </c>
      <c r="BT237" s="1011">
        <f>BT236/BT226</f>
        <v>0.39285714285714285</v>
      </c>
      <c r="BU237" s="1148"/>
      <c r="BV237" s="1000"/>
      <c r="BW237" s="1011">
        <f>BW236/BW226</f>
        <v>0.39473684210526316</v>
      </c>
      <c r="BX237" s="1011">
        <f>BX236/BX226</f>
        <v>0.6</v>
      </c>
      <c r="BY237" s="1002"/>
      <c r="BZ237" s="1002"/>
      <c r="CA237" s="1148"/>
      <c r="CB237" s="1000"/>
      <c r="CC237" s="1002"/>
      <c r="CD237" s="1002"/>
      <c r="CE237" s="1002"/>
      <c r="CF237" s="1002"/>
      <c r="CG237" s="1148"/>
      <c r="CH237" s="1000"/>
      <c r="CI237" s="1002"/>
      <c r="CJ237" s="1002"/>
      <c r="CK237" s="1018"/>
      <c r="CL237" s="1002"/>
      <c r="CM237" s="1148"/>
      <c r="CN237" s="1000"/>
      <c r="CO237" s="1002"/>
      <c r="CP237" s="1002"/>
      <c r="CQ237" s="1002"/>
      <c r="CR237" s="1002"/>
      <c r="CS237" s="1148"/>
      <c r="CT237" s="1002"/>
      <c r="CU237" s="1002"/>
      <c r="CV237" s="1002"/>
      <c r="CW237" s="1002"/>
      <c r="CX237" s="1002"/>
      <c r="CY237" s="1148"/>
      <c r="CZ237" s="1002"/>
      <c r="DA237" s="1002"/>
      <c r="DB237" s="1002"/>
      <c r="DC237" s="1002"/>
      <c r="DD237" s="1002"/>
      <c r="DE237" s="1148"/>
      <c r="DF237" s="1002"/>
      <c r="DG237" s="1002"/>
      <c r="DH237" s="1002"/>
      <c r="DI237" s="1002"/>
      <c r="DJ237" s="1002"/>
      <c r="DK237" s="1148"/>
      <c r="DL237" s="1000"/>
      <c r="DM237" s="1002"/>
      <c r="DN237" s="1002"/>
      <c r="DO237" s="1002"/>
      <c r="DP237" s="1002"/>
      <c r="DQ237" s="1148"/>
      <c r="DR237" s="1002"/>
      <c r="DS237" s="1002"/>
      <c r="DT237" s="1002"/>
      <c r="DU237" s="1002"/>
      <c r="DV237" s="1002"/>
      <c r="DW237" s="1148"/>
      <c r="DX237" s="1002"/>
      <c r="DY237" s="1002"/>
      <c r="DZ237" s="1002"/>
      <c r="EA237" s="1002"/>
      <c r="EB237" s="1002"/>
      <c r="EC237" s="1148"/>
      <c r="ED237" s="1002"/>
      <c r="EE237" s="1002"/>
      <c r="EF237" s="1002"/>
      <c r="EG237" s="1002"/>
      <c r="EH237" s="1002"/>
      <c r="EI237" s="1148"/>
      <c r="EJ237" s="1002"/>
      <c r="EK237" s="1002"/>
      <c r="EL237" s="1002"/>
      <c r="EM237" s="1002"/>
      <c r="EN237" s="1002"/>
      <c r="EO237" s="1148"/>
      <c r="EP237" s="1002"/>
      <c r="EQ237" s="1002"/>
      <c r="ER237" s="1002"/>
      <c r="ES237" s="1002"/>
      <c r="ET237" s="1002"/>
      <c r="EU237" s="1148"/>
    </row>
    <row r="238" spans="1:192" hidden="1" outlineLevel="2">
      <c r="A238" s="992" t="s">
        <v>3785</v>
      </c>
      <c r="B238" s="1000"/>
      <c r="C238" s="1001"/>
      <c r="D238" s="1001"/>
      <c r="E238" s="1001"/>
      <c r="F238" s="1001"/>
      <c r="G238" s="1002"/>
      <c r="H238" s="1000"/>
      <c r="I238" s="1002"/>
      <c r="J238" s="1002"/>
      <c r="K238" s="1002"/>
      <c r="L238" s="1002"/>
      <c r="M238" s="1002"/>
      <c r="N238" s="1000"/>
      <c r="O238" s="1002"/>
      <c r="P238" s="1002"/>
      <c r="Q238" s="1002"/>
      <c r="R238" s="1002"/>
      <c r="S238" s="1002"/>
      <c r="T238" s="1000"/>
      <c r="U238" s="1002"/>
      <c r="V238" s="1002"/>
      <c r="W238" s="1002"/>
      <c r="X238" s="1002"/>
      <c r="Y238" s="1002"/>
      <c r="Z238" s="1000"/>
      <c r="AA238" s="1002"/>
      <c r="AB238" s="1002"/>
      <c r="AC238" s="1002"/>
      <c r="AD238" s="1002"/>
      <c r="AE238" s="1002"/>
      <c r="AF238" s="1000"/>
      <c r="AG238" s="1002"/>
      <c r="AH238" s="1002"/>
      <c r="AI238" s="1002"/>
      <c r="AJ238" s="1002"/>
      <c r="AK238" s="1002"/>
      <c r="AL238" s="1000"/>
      <c r="AM238" s="1003"/>
      <c r="AN238" s="1004"/>
      <c r="AO238" s="1004"/>
      <c r="AP238" s="1004"/>
      <c r="AQ238" s="1004"/>
      <c r="AR238" s="1004"/>
      <c r="AS238" s="1004"/>
      <c r="AT238" s="1004"/>
      <c r="AU238" s="1004"/>
      <c r="AV238" s="1010"/>
      <c r="AW238" s="1005"/>
      <c r="AX238" s="1005"/>
      <c r="AY238" s="1011"/>
      <c r="AZ238" s="1011"/>
      <c r="BA238" s="1011"/>
      <c r="BB238" s="1011"/>
      <c r="BC238" s="1007"/>
      <c r="BD238" s="1000"/>
      <c r="BE238" s="1011"/>
      <c r="BF238" s="1011"/>
      <c r="BG238" s="1018"/>
      <c r="BH238" s="1018"/>
      <c r="BI238" s="1018"/>
      <c r="BJ238" s="1000"/>
      <c r="BK238" s="1011"/>
      <c r="BL238" s="1011"/>
      <c r="BM238" s="1011"/>
      <c r="BN238" s="1011"/>
      <c r="BO238" s="1148"/>
      <c r="BP238" s="1000"/>
      <c r="BQ238" s="1011"/>
      <c r="BR238" s="1011"/>
      <c r="BS238" s="1011"/>
      <c r="BT238" s="1011"/>
      <c r="BU238" s="1148"/>
      <c r="BV238" s="1000"/>
      <c r="BW238" s="1011"/>
      <c r="BX238" s="1011"/>
      <c r="BY238" s="1002"/>
      <c r="BZ238" s="1002"/>
      <c r="CA238" s="1148"/>
      <c r="CB238" s="1000"/>
      <c r="CC238" s="1002"/>
      <c r="CD238" s="1002"/>
      <c r="CE238" s="1002"/>
      <c r="CF238" s="1002"/>
      <c r="CG238" s="1645">
        <v>-0.25</v>
      </c>
      <c r="CH238" s="1000"/>
      <c r="CI238" s="1011">
        <v>0.21</v>
      </c>
      <c r="CJ238" s="1011"/>
      <c r="CK238" s="1012">
        <v>0.28999999999999998</v>
      </c>
      <c r="CL238" s="1011">
        <v>0.23</v>
      </c>
      <c r="CM238" s="1645">
        <v>0.23</v>
      </c>
      <c r="CN238" s="1000"/>
      <c r="CO238" s="1011">
        <v>0.08</v>
      </c>
      <c r="CP238" s="1011">
        <v>0.25</v>
      </c>
      <c r="CQ238" s="1002"/>
      <c r="CR238" s="1002"/>
      <c r="CS238" s="1148"/>
      <c r="CT238" s="1002"/>
      <c r="CU238" s="1002"/>
      <c r="CV238" s="1002"/>
      <c r="CW238" s="1002"/>
      <c r="CX238" s="1002"/>
      <c r="CY238" s="1148"/>
      <c r="CZ238" s="1002"/>
      <c r="DA238" s="1002"/>
      <c r="DB238" s="1002"/>
      <c r="DC238" s="1002"/>
      <c r="DD238" s="1002"/>
      <c r="DE238" s="1148"/>
      <c r="DF238" s="1002"/>
      <c r="DG238" s="1002"/>
      <c r="DH238" s="1002"/>
      <c r="DI238" s="1002"/>
      <c r="DJ238" s="1002"/>
      <c r="DK238" s="1148"/>
      <c r="DL238" s="1000"/>
      <c r="DM238" s="1002"/>
      <c r="DN238" s="1002"/>
      <c r="DO238" s="1002"/>
      <c r="DP238" s="1002"/>
      <c r="DQ238" s="1148"/>
      <c r="DR238" s="1002"/>
      <c r="DS238" s="1002"/>
      <c r="DT238" s="1002"/>
      <c r="DU238" s="1002"/>
      <c r="DV238" s="1002"/>
      <c r="DW238" s="1148"/>
      <c r="DX238" s="1002"/>
      <c r="DY238" s="1002"/>
      <c r="DZ238" s="1002"/>
      <c r="EA238" s="1002"/>
      <c r="EB238" s="1002"/>
      <c r="EC238" s="1148"/>
      <c r="ED238" s="1002"/>
      <c r="EE238" s="1002"/>
      <c r="EF238" s="1002"/>
      <c r="EG238" s="1002"/>
      <c r="EH238" s="1002"/>
      <c r="EI238" s="1148"/>
      <c r="EJ238" s="1002"/>
      <c r="EK238" s="1002"/>
      <c r="EL238" s="1002"/>
      <c r="EM238" s="1002"/>
      <c r="EN238" s="1002"/>
      <c r="EO238" s="1148"/>
      <c r="EP238" s="1002"/>
      <c r="EQ238" s="1002"/>
      <c r="ER238" s="1002"/>
      <c r="ES238" s="1002"/>
      <c r="ET238" s="1002"/>
      <c r="EU238" s="1148"/>
    </row>
    <row r="239" spans="1:192" ht="3" hidden="1" customHeight="1" outlineLevel="2">
      <c r="A239" s="999" t="s">
        <v>2997</v>
      </c>
      <c r="B239" s="998"/>
      <c r="C239" s="1019"/>
      <c r="D239" s="1019"/>
      <c r="E239" s="1019"/>
      <c r="F239" s="1019"/>
      <c r="G239" s="1020"/>
      <c r="H239" s="998"/>
      <c r="I239" s="1020"/>
      <c r="J239" s="1020"/>
      <c r="K239" s="1020"/>
      <c r="L239" s="1020"/>
      <c r="M239" s="1020"/>
      <c r="N239" s="998"/>
      <c r="O239" s="1020"/>
      <c r="P239" s="1020"/>
      <c r="Q239" s="1020"/>
      <c r="R239" s="1020"/>
      <c r="S239" s="1020"/>
      <c r="T239" s="998"/>
      <c r="U239" s="1020"/>
      <c r="V239" s="1020"/>
      <c r="W239" s="1020"/>
      <c r="X239" s="1020"/>
      <c r="Y239" s="1020"/>
      <c r="Z239" s="998"/>
      <c r="AA239" s="1020"/>
      <c r="AB239" s="1020"/>
      <c r="AC239" s="1020"/>
      <c r="AD239" s="1020"/>
      <c r="AE239" s="1020"/>
      <c r="AF239" s="998"/>
      <c r="AG239" s="1020"/>
      <c r="AH239" s="1020"/>
      <c r="AI239" s="1020"/>
      <c r="AJ239" s="1020"/>
      <c r="AK239" s="1020"/>
      <c r="AL239" s="998"/>
      <c r="AM239" s="997"/>
      <c r="AN239" s="1021"/>
      <c r="AO239" s="1021"/>
      <c r="AP239" s="1021"/>
      <c r="AQ239" s="1021"/>
      <c r="AR239" s="1021"/>
      <c r="AS239" s="1021"/>
      <c r="AT239" s="1021"/>
      <c r="AU239" s="1021"/>
      <c r="AV239" s="1013">
        <f>AV235/AU235-1</f>
        <v>0.12862540816915691</v>
      </c>
      <c r="AW239" s="1014"/>
      <c r="AX239" s="1015"/>
      <c r="AY239" s="1016">
        <f>AY235/AV235-1</f>
        <v>0.11396074552802538</v>
      </c>
      <c r="AZ239" s="1016">
        <f>AZ235/AY235-1</f>
        <v>0.18114278133259853</v>
      </c>
      <c r="BA239" s="1016">
        <f>BA235/AZ235-1</f>
        <v>0.13219398819758243</v>
      </c>
      <c r="BB239" s="1016">
        <f>BB235/BA235-1</f>
        <v>8.0510382405238223E-2</v>
      </c>
      <c r="BC239" s="1017"/>
      <c r="BD239" s="998"/>
      <c r="BE239" s="1016">
        <f>BE235/BB235-1</f>
        <v>4.8379464506423719E-2</v>
      </c>
      <c r="BF239" s="1016">
        <f>BF235/BE235-1</f>
        <v>4.9852127810076752E-2</v>
      </c>
      <c r="BG239" s="1026"/>
      <c r="BH239" s="1026"/>
      <c r="BI239" s="1026"/>
      <c r="BJ239" s="998"/>
      <c r="BK239" s="1016">
        <f>BK235/BH235-1</f>
        <v>5.4124150360736145E-2</v>
      </c>
      <c r="BL239" s="1016">
        <f>BL235/BK235-1</f>
        <v>5.9946100636470989E-2</v>
      </c>
      <c r="BM239" s="1016">
        <f>BM235/BL235-1</f>
        <v>4.917895730774724E-2</v>
      </c>
      <c r="BN239" s="1016">
        <f>BN235/BM235-1</f>
        <v>4.1248904325978941E-2</v>
      </c>
      <c r="BO239" s="1149"/>
      <c r="BP239" s="998"/>
      <c r="BQ239" s="1016">
        <f>BQ235/BN235-1</f>
        <v>2.7910452464447788E-2</v>
      </c>
      <c r="BR239" s="1016">
        <f>BR235/BQ235-1</f>
        <v>2.6276720139792209E-2</v>
      </c>
      <c r="BS239" s="1016">
        <f>BS235/BR235-1</f>
        <v>2.4750468338603504E-2</v>
      </c>
      <c r="BT239" s="1016">
        <f>BT235/BS235-1</f>
        <v>2.2903401779802435E-2</v>
      </c>
      <c r="BU239" s="1149"/>
      <c r="BV239" s="998"/>
      <c r="BW239" s="1016">
        <f>BW235/BT235-1</f>
        <v>1.5266305431955063E-2</v>
      </c>
      <c r="BX239" s="1016">
        <f>BX235/BW235-1</f>
        <v>3.0073499633103351E-2</v>
      </c>
      <c r="BY239" s="1020"/>
      <c r="BZ239" s="1020"/>
      <c r="CA239" s="1149"/>
      <c r="CB239" s="998"/>
      <c r="CC239" s="1020"/>
      <c r="CD239" s="1020"/>
      <c r="CE239" s="1020"/>
      <c r="CF239" s="1020"/>
      <c r="CG239" s="1149"/>
      <c r="CH239" s="998"/>
      <c r="CI239" s="1020"/>
      <c r="CJ239" s="1020"/>
      <c r="CK239" s="1026"/>
      <c r="CL239" s="1020"/>
      <c r="CM239" s="1149"/>
      <c r="CN239" s="998"/>
      <c r="CO239" s="1020"/>
      <c r="CP239" s="1020"/>
      <c r="CQ239" s="1020"/>
      <c r="CR239" s="1020"/>
      <c r="CS239" s="1149"/>
      <c r="CT239" s="1020"/>
      <c r="CU239" s="1020"/>
      <c r="CV239" s="1020"/>
      <c r="CW239" s="1020"/>
      <c r="CX239" s="1020"/>
      <c r="CY239" s="1149"/>
      <c r="CZ239" s="1020"/>
      <c r="DA239" s="1020"/>
      <c r="DB239" s="1020"/>
      <c r="DC239" s="1020"/>
      <c r="DD239" s="1020"/>
      <c r="DE239" s="1149"/>
      <c r="DF239" s="1020"/>
      <c r="DG239" s="1020"/>
      <c r="DH239" s="1020"/>
      <c r="DI239" s="1020"/>
      <c r="DJ239" s="1020"/>
      <c r="DK239" s="1149"/>
      <c r="DL239" s="998"/>
      <c r="DM239" s="1020"/>
      <c r="DN239" s="1020"/>
      <c r="DO239" s="1020"/>
      <c r="DP239" s="1020"/>
      <c r="DQ239" s="1149"/>
      <c r="DR239" s="1020"/>
      <c r="DS239" s="1020"/>
      <c r="DT239" s="1020"/>
      <c r="DU239" s="1020"/>
      <c r="DV239" s="1020"/>
      <c r="DW239" s="1149"/>
      <c r="DX239" s="1020"/>
      <c r="DY239" s="1020"/>
      <c r="DZ239" s="1020"/>
      <c r="EA239" s="1020"/>
      <c r="EB239" s="1020"/>
      <c r="EC239" s="1149"/>
      <c r="ED239" s="1020"/>
      <c r="EE239" s="1020"/>
      <c r="EF239" s="1020"/>
      <c r="EG239" s="1020"/>
      <c r="EH239" s="1020"/>
      <c r="EI239" s="1149"/>
      <c r="EJ239" s="1020"/>
      <c r="EK239" s="1020"/>
      <c r="EL239" s="1020"/>
      <c r="EM239" s="1020"/>
      <c r="EN239" s="1020"/>
      <c r="EO239" s="1149"/>
      <c r="EP239" s="1020"/>
      <c r="EQ239" s="1020"/>
      <c r="ER239" s="1020"/>
      <c r="ES239" s="1020"/>
      <c r="ET239" s="1020"/>
      <c r="EU239" s="1149"/>
    </row>
    <row r="240" spans="1:192" ht="15" hidden="1" customHeight="1" outlineLevel="2">
      <c r="A240" s="326"/>
      <c r="B240" s="90"/>
      <c r="C240" s="62"/>
      <c r="D240" s="62"/>
      <c r="E240" s="62"/>
      <c r="F240" s="62"/>
      <c r="G240" s="62"/>
      <c r="H240" s="90"/>
      <c r="I240" s="62"/>
      <c r="J240" s="62"/>
      <c r="K240" s="62"/>
      <c r="L240" s="62"/>
      <c r="M240" s="62"/>
      <c r="N240" s="90"/>
      <c r="O240" s="62"/>
      <c r="P240" s="62"/>
      <c r="Q240" s="62"/>
      <c r="R240" s="62"/>
      <c r="S240" s="330"/>
      <c r="T240" s="199"/>
      <c r="U240" s="330"/>
      <c r="V240" s="330"/>
      <c r="W240" s="330"/>
      <c r="X240" s="330"/>
      <c r="Y240" s="330"/>
      <c r="Z240" s="199"/>
      <c r="AA240" s="330"/>
      <c r="AB240" s="330"/>
      <c r="AC240" s="330"/>
      <c r="AD240" s="330"/>
      <c r="AE240" s="330"/>
      <c r="AF240" s="90"/>
      <c r="AG240" s="159"/>
      <c r="AH240" s="159"/>
      <c r="AI240" s="159"/>
      <c r="AJ240" s="159"/>
      <c r="AK240" s="159"/>
      <c r="AL240" s="90"/>
      <c r="AM240" s="320"/>
      <c r="AN240" s="320"/>
      <c r="AO240" s="320"/>
      <c r="AP240" s="320"/>
      <c r="AQ240" s="320"/>
      <c r="AR240" s="168"/>
      <c r="AS240" s="320"/>
      <c r="AT240" s="320"/>
      <c r="AU240" s="320"/>
      <c r="AV240" s="320"/>
      <c r="AW240" s="320"/>
      <c r="AX240" s="168"/>
      <c r="AY240" s="276"/>
      <c r="AZ240" s="276"/>
      <c r="BA240" s="276"/>
      <c r="BB240" s="276"/>
      <c r="BC240" s="276"/>
      <c r="BD240" s="113"/>
      <c r="BE240" s="276"/>
      <c r="BF240" s="116"/>
      <c r="BG240" s="116"/>
      <c r="BH240" s="116"/>
      <c r="BI240" s="116"/>
      <c r="BJ240" s="113"/>
      <c r="BK240" s="159"/>
      <c r="BL240" s="159"/>
      <c r="BM240" s="159"/>
      <c r="BN240" s="159"/>
      <c r="BO240" s="1136"/>
      <c r="BP240" s="113"/>
      <c r="BQ240" s="159"/>
      <c r="BR240" s="159"/>
      <c r="BS240" s="159"/>
      <c r="BT240" s="159"/>
      <c r="BU240" s="1136"/>
      <c r="BV240" s="113"/>
      <c r="BW240" s="159"/>
      <c r="BX240" s="159"/>
      <c r="BY240" s="159"/>
      <c r="BZ240" s="159"/>
      <c r="CA240" s="1136"/>
      <c r="CB240" s="113"/>
      <c r="CC240" s="159"/>
      <c r="CD240" s="159"/>
      <c r="CE240" s="159"/>
      <c r="CF240" s="159"/>
      <c r="CG240" s="1136"/>
      <c r="CH240" s="113"/>
      <c r="CI240" s="159"/>
      <c r="CJ240" s="159"/>
      <c r="CK240" s="116"/>
      <c r="CL240" s="159"/>
      <c r="CM240" s="1136"/>
      <c r="CN240" s="113"/>
      <c r="CO240" s="159"/>
      <c r="CP240" s="159"/>
      <c r="CQ240" s="159"/>
      <c r="CR240" s="159"/>
      <c r="CS240" s="1136"/>
      <c r="CT240" s="331"/>
      <c r="CU240" s="159"/>
      <c r="CV240" s="159"/>
      <c r="CW240" s="159"/>
      <c r="CX240" s="159"/>
      <c r="CY240" s="1136"/>
      <c r="CZ240" s="331"/>
      <c r="DA240" s="159"/>
      <c r="DB240" s="159"/>
      <c r="DC240" s="159"/>
      <c r="DD240" s="159"/>
      <c r="DE240" s="1136"/>
      <c r="DF240" s="331"/>
      <c r="DG240" s="159"/>
      <c r="DH240" s="159"/>
      <c r="DI240" s="159"/>
      <c r="DJ240" s="159"/>
      <c r="DK240" s="1136"/>
      <c r="DL240" s="113"/>
      <c r="DM240" s="159"/>
      <c r="DN240" s="159"/>
      <c r="DO240" s="159"/>
      <c r="DP240" s="159"/>
      <c r="DQ240" s="1136"/>
      <c r="DR240" s="331"/>
      <c r="DS240" s="159"/>
      <c r="DT240" s="159"/>
      <c r="DU240" s="159"/>
      <c r="DV240" s="159"/>
      <c r="DW240" s="1136"/>
      <c r="DX240" s="331"/>
      <c r="DY240" s="159"/>
      <c r="DZ240" s="159"/>
      <c r="EA240" s="159"/>
      <c r="EB240" s="159"/>
      <c r="EC240" s="1136"/>
      <c r="ED240" s="331"/>
      <c r="EE240" s="159"/>
      <c r="EF240" s="159"/>
      <c r="EG240" s="159"/>
      <c r="EH240" s="159"/>
      <c r="EI240" s="1136"/>
      <c r="EJ240" s="331"/>
      <c r="EK240" s="159"/>
      <c r="EL240" s="159"/>
      <c r="EM240" s="159"/>
      <c r="EN240" s="159"/>
      <c r="EO240" s="1136"/>
      <c r="EP240" s="331"/>
      <c r="EQ240" s="159"/>
      <c r="ER240" s="159"/>
      <c r="ES240" s="159"/>
      <c r="ET240" s="159"/>
      <c r="EU240" s="1136"/>
    </row>
    <row r="241" spans="1:197" hidden="1" outlineLevel="3">
      <c r="A241" s="1028" t="s">
        <v>5162</v>
      </c>
      <c r="B241" s="190"/>
      <c r="C241" s="1068"/>
      <c r="D241" s="1068"/>
      <c r="E241" s="1068"/>
      <c r="F241" s="1068"/>
      <c r="G241" s="1068"/>
      <c r="H241" s="1069"/>
      <c r="I241" s="1068"/>
      <c r="J241" s="1068"/>
      <c r="K241" s="1068"/>
      <c r="L241" s="1068"/>
      <c r="M241" s="1068"/>
      <c r="N241" s="1069"/>
      <c r="O241" s="1068"/>
      <c r="P241" s="1068"/>
      <c r="Q241" s="1068"/>
      <c r="R241" s="1068"/>
      <c r="S241" s="1070"/>
      <c r="T241" s="1070"/>
      <c r="U241" s="1070"/>
      <c r="V241" s="1070"/>
      <c r="W241" s="1070"/>
      <c r="X241" s="1070"/>
      <c r="Y241" s="1070"/>
      <c r="Z241" s="1070"/>
      <c r="AA241" s="1070"/>
      <c r="AB241" s="1070"/>
      <c r="AC241" s="1070"/>
      <c r="AD241" s="1070"/>
      <c r="AE241" s="1070"/>
      <c r="AF241" s="1069"/>
      <c r="AG241" s="1071"/>
      <c r="AH241" s="1071"/>
      <c r="AI241" s="1071"/>
      <c r="AJ241" s="1071"/>
      <c r="AK241" s="1071"/>
      <c r="AL241" s="1069"/>
      <c r="AM241" s="1071"/>
      <c r="AN241" s="1071"/>
      <c r="AO241" s="1071"/>
      <c r="AP241" s="1071"/>
      <c r="AQ241" s="1071"/>
      <c r="AR241" s="1069"/>
      <c r="AS241" s="1071"/>
      <c r="AT241" s="1071"/>
      <c r="AU241" s="1071"/>
      <c r="AV241" s="1071"/>
      <c r="AW241" s="1071"/>
      <c r="AX241" s="1069"/>
      <c r="AY241" s="1072"/>
      <c r="AZ241" s="1072"/>
      <c r="BA241" s="1072"/>
      <c r="BB241" s="1072"/>
      <c r="BC241" s="1072">
        <f>BC244+BC248</f>
        <v>57.100000000000023</v>
      </c>
      <c r="BD241" s="1069"/>
      <c r="BE241" s="1089">
        <f>(BI241-BC241)/4+BC241</f>
        <v>85.675000000000011</v>
      </c>
      <c r="BF241" s="1089">
        <f>(BI241-BC241)/4+BE241</f>
        <v>114.25</v>
      </c>
      <c r="BG241" s="1089">
        <f>(BI241-BC241)/4+BF241</f>
        <v>142.82499999999999</v>
      </c>
      <c r="BH241" s="1071">
        <f>BI241</f>
        <v>171.39999999999998</v>
      </c>
      <c r="BI241" s="1071">
        <f>BI244+BI248</f>
        <v>171.39999999999998</v>
      </c>
      <c r="BJ241" s="1069"/>
      <c r="BK241" s="1089">
        <f>(BO241-BI241)/4+BI241</f>
        <v>204.54999999999998</v>
      </c>
      <c r="BL241" s="1089">
        <f>(BO241-BI241)/4+BK241</f>
        <v>237.7</v>
      </c>
      <c r="BM241" s="1089">
        <f>(BO241-BI241)/4+BL241</f>
        <v>270.85000000000002</v>
      </c>
      <c r="BN241" s="1071">
        <f>BO241</f>
        <v>304</v>
      </c>
      <c r="BO241" s="1150">
        <f>BO244+BO248</f>
        <v>304</v>
      </c>
      <c r="BP241" s="1069"/>
      <c r="BQ241" s="1089">
        <f>(BU241-BO241)/4+BO241</f>
        <v>336.75</v>
      </c>
      <c r="BR241" s="1089">
        <f>(BU241-BO241)/4+BQ241</f>
        <v>369.5</v>
      </c>
      <c r="BS241" s="1071">
        <f>BT241-BT242</f>
        <v>406.5</v>
      </c>
      <c r="BT241" s="1071">
        <f>BU241</f>
        <v>435</v>
      </c>
      <c r="BU241" s="1150">
        <f>BU244+BU248</f>
        <v>435</v>
      </c>
      <c r="BV241" s="1069"/>
      <c r="BW241" s="1071">
        <f>BU241+BW242</f>
        <v>459</v>
      </c>
      <c r="BX241" s="1071">
        <f>BW241+BX242</f>
        <v>485</v>
      </c>
      <c r="BY241" s="1071">
        <f>BX241+BY242</f>
        <v>517</v>
      </c>
      <c r="BZ241" s="1071">
        <f>BY241+BZ242</f>
        <v>541</v>
      </c>
      <c r="CA241" s="1150">
        <f>BZ241</f>
        <v>541</v>
      </c>
      <c r="CB241" s="1069"/>
      <c r="CC241" s="1483"/>
      <c r="CD241" s="1071"/>
      <c r="CE241" s="1071"/>
      <c r="CF241" s="1071"/>
      <c r="CG241" s="1150">
        <f>CA241+CG242</f>
        <v>615.20000000000005</v>
      </c>
      <c r="CH241" s="1069"/>
      <c r="CI241" s="1483"/>
      <c r="CJ241" s="1483"/>
      <c r="CK241" s="1072"/>
      <c r="CL241" s="1071"/>
      <c r="CM241" s="1150">
        <f>CG241+CM242</f>
        <v>696.82</v>
      </c>
      <c r="CN241" s="1069"/>
      <c r="CO241" s="1071"/>
      <c r="CP241" s="1071"/>
      <c r="CQ241" s="1071"/>
      <c r="CR241" s="1071"/>
      <c r="CS241" s="1150"/>
      <c r="CT241" s="1071"/>
      <c r="CU241" s="1071"/>
      <c r="CV241" s="1071"/>
      <c r="CW241" s="1071"/>
      <c r="CX241" s="1071"/>
      <c r="CY241" s="1150"/>
      <c r="CZ241" s="1071"/>
      <c r="DA241" s="1071"/>
      <c r="DB241" s="1071"/>
      <c r="DC241" s="1071"/>
      <c r="DD241" s="1071"/>
      <c r="DE241" s="1150"/>
      <c r="DF241" s="1071"/>
      <c r="DG241" s="1071"/>
      <c r="DH241" s="1071"/>
      <c r="DI241" s="1071"/>
      <c r="DJ241" s="1071"/>
      <c r="DK241" s="1150"/>
      <c r="DL241" s="1069"/>
      <c r="DM241" s="1071"/>
      <c r="DN241" s="1071"/>
      <c r="DO241" s="1071"/>
      <c r="DP241" s="1071"/>
      <c r="DQ241" s="1150"/>
      <c r="DR241" s="802"/>
      <c r="DS241" s="1071"/>
      <c r="DT241" s="1071"/>
      <c r="DU241" s="1071"/>
      <c r="DV241" s="1071"/>
      <c r="DW241" s="1150"/>
      <c r="DX241" s="802"/>
      <c r="DY241" s="1071"/>
      <c r="DZ241" s="1071"/>
      <c r="EA241" s="1071"/>
      <c r="EB241" s="1071"/>
      <c r="EC241" s="1150"/>
      <c r="ED241" s="802"/>
      <c r="EE241" s="1071"/>
      <c r="EF241" s="1071"/>
      <c r="EG241" s="1071"/>
      <c r="EH241" s="1071"/>
      <c r="EI241" s="1150"/>
      <c r="EJ241" s="802"/>
      <c r="EK241" s="1071"/>
      <c r="EL241" s="1071"/>
      <c r="EM241" s="1071"/>
      <c r="EN241" s="1071"/>
      <c r="EO241" s="1150"/>
      <c r="EP241" s="802"/>
      <c r="EQ241" s="1071"/>
      <c r="ER241" s="1071"/>
      <c r="ES241" s="1071"/>
      <c r="ET241" s="1071"/>
      <c r="EU241" s="1150"/>
    </row>
    <row r="242" spans="1:197" hidden="1" outlineLevel="3">
      <c r="A242" s="1032" t="s">
        <v>5161</v>
      </c>
      <c r="B242" s="113"/>
      <c r="C242" s="1083"/>
      <c r="D242" s="1083"/>
      <c r="E242" s="1083"/>
      <c r="F242" s="1083"/>
      <c r="G242" s="1083"/>
      <c r="H242" s="803"/>
      <c r="I242" s="1083"/>
      <c r="J242" s="1083"/>
      <c r="K242" s="1083"/>
      <c r="L242" s="1083"/>
      <c r="M242" s="1083"/>
      <c r="N242" s="803"/>
      <c r="O242" s="1083"/>
      <c r="P242" s="1083"/>
      <c r="Q242" s="1083"/>
      <c r="R242" s="1083"/>
      <c r="S242" s="1084"/>
      <c r="T242" s="1084"/>
      <c r="U242" s="1084"/>
      <c r="V242" s="1084"/>
      <c r="W242" s="1084"/>
      <c r="X242" s="1084"/>
      <c r="Y242" s="1084"/>
      <c r="Z242" s="1084"/>
      <c r="AA242" s="1084"/>
      <c r="AB242" s="1084"/>
      <c r="AC242" s="1084"/>
      <c r="AD242" s="1084"/>
      <c r="AE242" s="1084"/>
      <c r="AF242" s="803"/>
      <c r="AG242" s="802"/>
      <c r="AH242" s="802"/>
      <c r="AI242" s="802"/>
      <c r="AJ242" s="802"/>
      <c r="AK242" s="802"/>
      <c r="AL242" s="803"/>
      <c r="AM242" s="802"/>
      <c r="AN242" s="802"/>
      <c r="AO242" s="802"/>
      <c r="AP242" s="802"/>
      <c r="AQ242" s="802"/>
      <c r="AR242" s="803"/>
      <c r="AS242" s="802"/>
      <c r="AT242" s="802"/>
      <c r="AU242" s="802"/>
      <c r="AV242" s="802"/>
      <c r="AW242" s="802"/>
      <c r="AX242" s="803"/>
      <c r="AY242" s="1085"/>
      <c r="AZ242" s="1085"/>
      <c r="BA242" s="1085"/>
      <c r="BB242" s="1085"/>
      <c r="BC242" s="1085"/>
      <c r="BD242" s="803"/>
      <c r="BE242" s="1085"/>
      <c r="BF242" s="1085"/>
      <c r="BG242" s="1085"/>
      <c r="BH242" s="1085"/>
      <c r="BI242" s="1086"/>
      <c r="BJ242" s="1087"/>
      <c r="BK242" s="1088"/>
      <c r="BL242" s="1088"/>
      <c r="BM242" s="1088"/>
      <c r="BN242" s="1088"/>
      <c r="BO242" s="1151"/>
      <c r="BP242" s="1087"/>
      <c r="BQ242" s="1088"/>
      <c r="BR242" s="1088"/>
      <c r="BS242" s="1088"/>
      <c r="BT242" s="1088">
        <f>BT245+BT249</f>
        <v>28.5</v>
      </c>
      <c r="BU242" s="1151"/>
      <c r="BV242" s="1087"/>
      <c r="BW242" s="1088">
        <v>24</v>
      </c>
      <c r="BX242" s="802">
        <v>26</v>
      </c>
      <c r="BY242" s="802">
        <v>32</v>
      </c>
      <c r="BZ242" s="802">
        <v>24</v>
      </c>
      <c r="CA242" s="1190">
        <f>SUM(BW242:BZ242)</f>
        <v>106</v>
      </c>
      <c r="CB242" s="803"/>
      <c r="CC242" s="1484"/>
      <c r="CD242" s="802"/>
      <c r="CE242" s="802"/>
      <c r="CF242" s="802"/>
      <c r="CG242" s="1190">
        <f>CA242*(1+CG243)</f>
        <v>74.199999999999989</v>
      </c>
      <c r="CH242" s="803"/>
      <c r="CI242" s="1484"/>
      <c r="CJ242" s="1484"/>
      <c r="CK242" s="1085"/>
      <c r="CL242" s="802"/>
      <c r="CM242" s="1190">
        <f>CG242*(1+CM243)</f>
        <v>81.61999999999999</v>
      </c>
      <c r="CN242" s="803"/>
      <c r="CO242" s="802"/>
      <c r="CP242" s="802"/>
      <c r="CQ242" s="802"/>
      <c r="CR242" s="802"/>
      <c r="CS242" s="1190"/>
      <c r="CT242" s="802"/>
      <c r="CU242" s="802"/>
      <c r="CV242" s="802"/>
      <c r="CW242" s="802"/>
      <c r="CX242" s="802"/>
      <c r="CY242" s="1190"/>
      <c r="CZ242" s="802"/>
      <c r="DA242" s="802"/>
      <c r="DB242" s="802"/>
      <c r="DC242" s="802"/>
      <c r="DD242" s="802"/>
      <c r="DE242" s="1190"/>
      <c r="DF242" s="802"/>
      <c r="DG242" s="802"/>
      <c r="DH242" s="802"/>
      <c r="DI242" s="802"/>
      <c r="DJ242" s="802"/>
      <c r="DK242" s="1190"/>
      <c r="DL242" s="803"/>
      <c r="DM242" s="802"/>
      <c r="DN242" s="802"/>
      <c r="DO242" s="802"/>
      <c r="DP242" s="802"/>
      <c r="DQ242" s="1190"/>
      <c r="DR242" s="802"/>
      <c r="DS242" s="802"/>
      <c r="DT242" s="802"/>
      <c r="DU242" s="802"/>
      <c r="DV242" s="802"/>
      <c r="DW242" s="1190"/>
      <c r="DX242" s="802"/>
      <c r="DY242" s="802"/>
      <c r="DZ242" s="802"/>
      <c r="EA242" s="802"/>
      <c r="EB242" s="802"/>
      <c r="EC242" s="1190"/>
      <c r="ED242" s="802"/>
      <c r="EE242" s="802"/>
      <c r="EF242" s="802"/>
      <c r="EG242" s="802"/>
      <c r="EH242" s="802"/>
      <c r="EI242" s="1190"/>
      <c r="EJ242" s="802"/>
      <c r="EK242" s="802"/>
      <c r="EL242" s="802"/>
      <c r="EM242" s="802"/>
      <c r="EN242" s="802"/>
      <c r="EO242" s="1190"/>
      <c r="EP242" s="802"/>
      <c r="EQ242" s="802"/>
      <c r="ER242" s="802"/>
      <c r="ES242" s="802"/>
      <c r="ET242" s="802"/>
      <c r="EU242" s="1190"/>
    </row>
    <row r="243" spans="1:197" hidden="1" outlineLevel="3">
      <c r="A243" s="1037"/>
      <c r="B243" s="111"/>
      <c r="C243" s="1073"/>
      <c r="D243" s="1073"/>
      <c r="E243" s="1073"/>
      <c r="F243" s="1073"/>
      <c r="G243" s="1073"/>
      <c r="H243" s="1074"/>
      <c r="I243" s="1073"/>
      <c r="J243" s="1073"/>
      <c r="K243" s="1073"/>
      <c r="L243" s="1073"/>
      <c r="M243" s="1073"/>
      <c r="N243" s="1074"/>
      <c r="O243" s="1073"/>
      <c r="P243" s="1073"/>
      <c r="Q243" s="1073"/>
      <c r="R243" s="1073"/>
      <c r="S243" s="1075"/>
      <c r="T243" s="1075"/>
      <c r="U243" s="1075"/>
      <c r="V243" s="1075"/>
      <c r="W243" s="1075"/>
      <c r="X243" s="1075"/>
      <c r="Y243" s="1075"/>
      <c r="Z243" s="1075"/>
      <c r="AA243" s="1075"/>
      <c r="AB243" s="1075"/>
      <c r="AC243" s="1075"/>
      <c r="AD243" s="1075"/>
      <c r="AE243" s="1075"/>
      <c r="AF243" s="1074"/>
      <c r="AG243" s="1076"/>
      <c r="AH243" s="1076"/>
      <c r="AI243" s="1076"/>
      <c r="AJ243" s="1076"/>
      <c r="AK243" s="1076"/>
      <c r="AL243" s="1074"/>
      <c r="AM243" s="1076"/>
      <c r="AN243" s="1076"/>
      <c r="AO243" s="1076"/>
      <c r="AP243" s="1076"/>
      <c r="AQ243" s="1076"/>
      <c r="AR243" s="1074"/>
      <c r="AS243" s="1076"/>
      <c r="AT243" s="1076"/>
      <c r="AU243" s="1076"/>
      <c r="AV243" s="1076"/>
      <c r="AW243" s="1076"/>
      <c r="AX243" s="1074"/>
      <c r="AY243" s="1077"/>
      <c r="AZ243" s="1077"/>
      <c r="BA243" s="1077"/>
      <c r="BB243" s="1077"/>
      <c r="BC243" s="1077"/>
      <c r="BD243" s="1074"/>
      <c r="BE243" s="1077"/>
      <c r="BF243" s="1077"/>
      <c r="BG243" s="1077"/>
      <c r="BH243" s="1077"/>
      <c r="BI243" s="1078"/>
      <c r="BJ243" s="1079"/>
      <c r="BK243" s="1080"/>
      <c r="BL243" s="1080"/>
      <c r="BM243" s="1080"/>
      <c r="BN243" s="1080"/>
      <c r="BO243" s="1172">
        <f>BO241/(BO177+BO193+BO194)</f>
        <v>8.6931655704889907E-2</v>
      </c>
      <c r="BP243" s="1079"/>
      <c r="BQ243" s="1080"/>
      <c r="BR243" s="1080"/>
      <c r="BS243" s="1080"/>
      <c r="BT243" s="1080"/>
      <c r="BU243" s="1172">
        <f>BU241/(BU177+BU193+BU194)</f>
        <v>0.11885245901639344</v>
      </c>
      <c r="BV243" s="1079"/>
      <c r="BW243" s="1080"/>
      <c r="BX243" s="1076"/>
      <c r="BY243" s="1076"/>
      <c r="BZ243" s="1076"/>
      <c r="CA243" s="1172">
        <f>CA241/(CA177+CA193+CA194)</f>
        <v>0.14095883272537779</v>
      </c>
      <c r="CB243" s="1074"/>
      <c r="CC243" s="1076"/>
      <c r="CD243" s="1076"/>
      <c r="CE243" s="1076"/>
      <c r="CF243" s="1076"/>
      <c r="CG243" s="1651">
        <v>-0.3</v>
      </c>
      <c r="CH243" s="1074"/>
      <c r="CI243" s="1076"/>
      <c r="CJ243" s="1076"/>
      <c r="CK243" s="1077"/>
      <c r="CL243" s="1076"/>
      <c r="CM243" s="1651">
        <v>0.1</v>
      </c>
      <c r="CN243" s="1074"/>
      <c r="CO243" s="1076"/>
      <c r="CP243" s="1076"/>
      <c r="CQ243" s="1076"/>
      <c r="CR243" s="1076"/>
      <c r="CS243" s="1191"/>
      <c r="CT243" s="1076"/>
      <c r="CU243" s="1076"/>
      <c r="CV243" s="1076"/>
      <c r="CW243" s="1076"/>
      <c r="CX243" s="1076"/>
      <c r="CY243" s="1191"/>
      <c r="CZ243" s="1076"/>
      <c r="DA243" s="1076"/>
      <c r="DB243" s="1076"/>
      <c r="DC243" s="1076"/>
      <c r="DD243" s="1076"/>
      <c r="DE243" s="1191"/>
      <c r="DF243" s="1076"/>
      <c r="DG243" s="1076"/>
      <c r="DH243" s="1076"/>
      <c r="DI243" s="1076"/>
      <c r="DJ243" s="1076"/>
      <c r="DK243" s="1191"/>
      <c r="DL243" s="1074"/>
      <c r="DM243" s="1076"/>
      <c r="DN243" s="1076"/>
      <c r="DO243" s="1076"/>
      <c r="DP243" s="1076"/>
      <c r="DQ243" s="1191"/>
      <c r="DR243" s="802"/>
      <c r="DS243" s="1076"/>
      <c r="DT243" s="1076"/>
      <c r="DU243" s="1076"/>
      <c r="DV243" s="1076"/>
      <c r="DW243" s="1191"/>
      <c r="DX243" s="802"/>
      <c r="DY243" s="1076"/>
      <c r="DZ243" s="1076"/>
      <c r="EA243" s="1076"/>
      <c r="EB243" s="1076"/>
      <c r="EC243" s="1191"/>
      <c r="ED243" s="802"/>
      <c r="EE243" s="1076"/>
      <c r="EF243" s="1076"/>
      <c r="EG243" s="1076"/>
      <c r="EH243" s="1076"/>
      <c r="EI243" s="1191"/>
      <c r="EJ243" s="802"/>
      <c r="EK243" s="1076"/>
      <c r="EL243" s="1076"/>
      <c r="EM243" s="1076"/>
      <c r="EN243" s="1076"/>
      <c r="EO243" s="1191"/>
      <c r="EP243" s="802"/>
      <c r="EQ243" s="1076"/>
      <c r="ER243" s="1076"/>
      <c r="ES243" s="1076"/>
      <c r="ET243" s="1076"/>
      <c r="EU243" s="1191"/>
    </row>
    <row r="244" spans="1:197" ht="10.5" hidden="1" customHeight="1" outlineLevel="3">
      <c r="A244" s="1056" t="s">
        <v>5582</v>
      </c>
      <c r="B244" s="782"/>
      <c r="C244" s="782"/>
      <c r="D244" s="782"/>
      <c r="E244" s="782"/>
      <c r="F244" s="782"/>
      <c r="G244" s="782"/>
      <c r="H244" s="782"/>
      <c r="I244" s="782"/>
      <c r="J244" s="782"/>
      <c r="K244" s="782"/>
      <c r="L244" s="782"/>
      <c r="M244" s="782"/>
      <c r="N244" s="782"/>
      <c r="O244" s="782"/>
      <c r="P244" s="782"/>
      <c r="Q244" s="782"/>
      <c r="R244" s="782"/>
      <c r="S244" s="782"/>
      <c r="T244" s="782"/>
      <c r="U244" s="782"/>
      <c r="V244" s="782"/>
      <c r="W244" s="782"/>
      <c r="X244" s="782"/>
      <c r="Y244" s="782"/>
      <c r="Z244" s="782"/>
      <c r="AA244" s="782"/>
      <c r="AB244" s="782"/>
      <c r="AC244" s="782"/>
      <c r="AD244" s="782"/>
      <c r="AE244" s="782"/>
      <c r="AF244" s="782"/>
      <c r="AG244" s="782"/>
      <c r="AH244" s="782"/>
      <c r="AI244" s="782"/>
      <c r="AJ244" s="782"/>
      <c r="AK244" s="782"/>
      <c r="AL244" s="782"/>
      <c r="AM244" s="782"/>
      <c r="AN244" s="782"/>
      <c r="AO244" s="782"/>
      <c r="AP244" s="782"/>
      <c r="AQ244" s="782"/>
      <c r="AR244" s="782"/>
      <c r="AS244" s="782"/>
      <c r="AT244" s="782"/>
      <c r="AU244" s="782"/>
      <c r="AV244" s="782"/>
      <c r="AW244" s="103"/>
      <c r="AX244" s="782"/>
      <c r="AY244" s="783"/>
      <c r="AZ244" s="783"/>
      <c r="BA244" s="783"/>
      <c r="BB244" s="783"/>
      <c r="BC244" s="501">
        <f>480-BC225-BC248</f>
        <v>42.100000000000023</v>
      </c>
      <c r="BD244" s="782"/>
      <c r="BE244" s="783"/>
      <c r="BF244" s="783"/>
      <c r="BG244" s="783"/>
      <c r="BH244" s="783"/>
      <c r="BI244" s="501">
        <f>720-BI225-BI248</f>
        <v>91.399999999999977</v>
      </c>
      <c r="BJ244" s="782"/>
      <c r="BK244" s="782"/>
      <c r="BL244" s="782"/>
      <c r="BM244" s="782"/>
      <c r="BN244" s="782"/>
      <c r="BO244" s="1152">
        <f>980-BO225-BO248</f>
        <v>184</v>
      </c>
      <c r="BP244" s="783"/>
      <c r="BQ244" s="783"/>
      <c r="BR244" s="783"/>
      <c r="BS244" s="783"/>
      <c r="BT244" s="783"/>
      <c r="BU244" s="1152">
        <f>1210-BU225-BU248</f>
        <v>285</v>
      </c>
      <c r="BV244" s="782"/>
      <c r="BW244" s="501"/>
      <c r="BX244" s="782"/>
      <c r="BY244" s="782"/>
      <c r="BZ244" s="782"/>
      <c r="CA244" s="1177"/>
      <c r="CB244" s="782"/>
      <c r="CC244" s="782"/>
      <c r="CD244" s="782"/>
      <c r="CE244" s="782"/>
      <c r="CF244" s="782"/>
      <c r="CG244" s="1177"/>
      <c r="CH244" s="782"/>
      <c r="CI244" s="782"/>
      <c r="CJ244" s="782"/>
      <c r="CK244" s="783"/>
      <c r="CL244" s="782"/>
      <c r="CM244" s="1177"/>
      <c r="CN244" s="782"/>
      <c r="CO244" s="782"/>
      <c r="CP244" s="782"/>
      <c r="CQ244" s="782"/>
      <c r="CR244" s="782"/>
      <c r="CS244" s="1177"/>
      <c r="CT244" s="782"/>
      <c r="CU244" s="782"/>
      <c r="CV244" s="782"/>
      <c r="CW244" s="782"/>
      <c r="CX244" s="782"/>
      <c r="CY244" s="1177"/>
      <c r="CZ244" s="782"/>
      <c r="DA244" s="782"/>
      <c r="DB244" s="782"/>
      <c r="DC244" s="782"/>
      <c r="DD244" s="782"/>
      <c r="DE244" s="1177"/>
      <c r="DF244" s="782"/>
      <c r="DG244" s="782"/>
      <c r="DH244" s="782"/>
      <c r="DI244" s="782"/>
      <c r="DJ244" s="782"/>
      <c r="DK244" s="1177"/>
      <c r="DL244" s="782"/>
      <c r="DM244" s="782"/>
      <c r="DN244" s="782"/>
      <c r="DO244" s="782"/>
      <c r="DP244" s="782"/>
      <c r="DQ244" s="1177"/>
      <c r="DR244" s="782"/>
      <c r="DS244" s="782"/>
      <c r="DT244" s="782"/>
      <c r="DU244" s="782"/>
      <c r="DV244" s="782"/>
      <c r="DW244" s="1177"/>
      <c r="DX244" s="782"/>
      <c r="DY244" s="782"/>
      <c r="DZ244" s="782"/>
      <c r="EA244" s="782"/>
      <c r="EB244" s="782"/>
      <c r="EC244" s="1177"/>
      <c r="ED244" s="782"/>
      <c r="EE244" s="782"/>
      <c r="EF244" s="782"/>
      <c r="EG244" s="782"/>
      <c r="EH244" s="782"/>
      <c r="EI244" s="1177"/>
      <c r="EJ244" s="782"/>
      <c r="EK244" s="782"/>
      <c r="EL244" s="782"/>
      <c r="EM244" s="782"/>
      <c r="EN244" s="782"/>
      <c r="EO244" s="1177"/>
      <c r="EP244" s="782"/>
      <c r="EQ244" s="782"/>
      <c r="ER244" s="782"/>
      <c r="ES244" s="782"/>
      <c r="ET244" s="782"/>
      <c r="EU244" s="1177"/>
    </row>
    <row r="245" spans="1:197" ht="10.5" hidden="1" customHeight="1" outlineLevel="3">
      <c r="A245" s="781" t="s">
        <v>664</v>
      </c>
      <c r="B245" s="782"/>
      <c r="C245" s="782"/>
      <c r="D245" s="782"/>
      <c r="E245" s="782"/>
      <c r="F245" s="782"/>
      <c r="G245" s="782"/>
      <c r="H245" s="782"/>
      <c r="I245" s="782"/>
      <c r="J245" s="782"/>
      <c r="K245" s="782"/>
      <c r="L245" s="782"/>
      <c r="M245" s="782"/>
      <c r="N245" s="782"/>
      <c r="O245" s="782"/>
      <c r="P245" s="782"/>
      <c r="Q245" s="782"/>
      <c r="R245" s="782"/>
      <c r="S245" s="782"/>
      <c r="T245" s="782"/>
      <c r="U245" s="782"/>
      <c r="V245" s="782"/>
      <c r="W245" s="782"/>
      <c r="X245" s="782"/>
      <c r="Y245" s="782"/>
      <c r="Z245" s="782"/>
      <c r="AA245" s="782"/>
      <c r="AB245" s="782"/>
      <c r="AC245" s="782"/>
      <c r="AD245" s="782"/>
      <c r="AE245" s="782"/>
      <c r="AF245" s="782"/>
      <c r="AG245" s="782"/>
      <c r="AH245" s="782"/>
      <c r="AI245" s="782"/>
      <c r="AJ245" s="782"/>
      <c r="AK245" s="782"/>
      <c r="AL245" s="782"/>
      <c r="AM245" s="782"/>
      <c r="AN245" s="782"/>
      <c r="AO245" s="782"/>
      <c r="AP245" s="782"/>
      <c r="AQ245" s="782"/>
      <c r="AR245" s="782"/>
      <c r="AS245" s="782"/>
      <c r="AT245" s="782"/>
      <c r="AU245" s="782"/>
      <c r="AV245" s="782"/>
      <c r="AW245" s="103"/>
      <c r="AX245" s="782"/>
      <c r="AY245" s="783"/>
      <c r="AZ245" s="783"/>
      <c r="BA245" s="783"/>
      <c r="BB245" s="783"/>
      <c r="BC245" s="501"/>
      <c r="BD245" s="782"/>
      <c r="BE245" s="783"/>
      <c r="BF245" s="783"/>
      <c r="BG245" s="783"/>
      <c r="BH245" s="783"/>
      <c r="BI245" s="501"/>
      <c r="BJ245" s="782"/>
      <c r="BK245" s="782"/>
      <c r="BL245" s="782"/>
      <c r="BM245" s="782"/>
      <c r="BN245" s="782"/>
      <c r="BO245" s="1152"/>
      <c r="BP245" s="783"/>
      <c r="BQ245" s="783"/>
      <c r="BR245" s="783"/>
      <c r="BS245" s="783">
        <v>21.4</v>
      </c>
      <c r="BT245" s="783">
        <v>21</v>
      </c>
      <c r="BU245" s="1152"/>
      <c r="BV245" s="782"/>
      <c r="BW245" s="501"/>
      <c r="BX245" s="782"/>
      <c r="BY245" s="782"/>
      <c r="BZ245" s="782"/>
      <c r="CA245" s="1177"/>
      <c r="CB245" s="782"/>
      <c r="CC245" s="782"/>
      <c r="CD245" s="782"/>
      <c r="CE245" s="782"/>
      <c r="CF245" s="782"/>
      <c r="CG245" s="1177"/>
      <c r="CH245" s="782"/>
      <c r="CI245" s="782"/>
      <c r="CJ245" s="782"/>
      <c r="CK245" s="783"/>
      <c r="CL245" s="782"/>
      <c r="CM245" s="1177"/>
      <c r="CN245" s="782"/>
      <c r="CO245" s="782"/>
      <c r="CP245" s="782"/>
      <c r="CQ245" s="782"/>
      <c r="CR245" s="782"/>
      <c r="CS245" s="1177"/>
      <c r="CT245" s="782"/>
      <c r="CU245" s="782"/>
      <c r="CV245" s="782"/>
      <c r="CW245" s="782"/>
      <c r="CX245" s="782"/>
      <c r="CY245" s="1177"/>
      <c r="CZ245" s="782"/>
      <c r="DA245" s="782"/>
      <c r="DB245" s="782"/>
      <c r="DC245" s="782"/>
      <c r="DD245" s="782"/>
      <c r="DE245" s="1177"/>
      <c r="DF245" s="782"/>
      <c r="DG245" s="782"/>
      <c r="DH245" s="782"/>
      <c r="DI245" s="782"/>
      <c r="DJ245" s="782"/>
      <c r="DK245" s="1177"/>
      <c r="DL245" s="782"/>
      <c r="DM245" s="782"/>
      <c r="DN245" s="782"/>
      <c r="DO245" s="782"/>
      <c r="DP245" s="782"/>
      <c r="DQ245" s="1177"/>
      <c r="DR245" s="782"/>
      <c r="DS245" s="782"/>
      <c r="DT245" s="782"/>
      <c r="DU245" s="782"/>
      <c r="DV245" s="782"/>
      <c r="DW245" s="1177"/>
      <c r="DX245" s="782"/>
      <c r="DY245" s="782"/>
      <c r="DZ245" s="782"/>
      <c r="EA245" s="782"/>
      <c r="EB245" s="782"/>
      <c r="EC245" s="1177"/>
      <c r="ED245" s="782"/>
      <c r="EE245" s="782"/>
      <c r="EF245" s="782"/>
      <c r="EG245" s="782"/>
      <c r="EH245" s="782"/>
      <c r="EI245" s="1177"/>
      <c r="EJ245" s="782"/>
      <c r="EK245" s="782"/>
      <c r="EL245" s="782"/>
      <c r="EM245" s="782"/>
      <c r="EN245" s="782"/>
      <c r="EO245" s="1177"/>
      <c r="EP245" s="782"/>
      <c r="EQ245" s="782"/>
      <c r="ER245" s="782"/>
      <c r="ES245" s="782"/>
      <c r="ET245" s="782"/>
      <c r="EU245" s="1177"/>
    </row>
    <row r="246" spans="1:197" ht="10.5" hidden="1" customHeight="1" outlineLevel="3">
      <c r="A246" s="1056" t="s">
        <v>3784</v>
      </c>
      <c r="B246" s="782"/>
      <c r="C246" s="782"/>
      <c r="D246" s="782"/>
      <c r="E246" s="782"/>
      <c r="F246" s="782"/>
      <c r="G246" s="782"/>
      <c r="H246" s="782"/>
      <c r="I246" s="782"/>
      <c r="J246" s="782"/>
      <c r="K246" s="782"/>
      <c r="L246" s="782"/>
      <c r="M246" s="782"/>
      <c r="N246" s="782"/>
      <c r="O246" s="782"/>
      <c r="P246" s="782"/>
      <c r="Q246" s="782"/>
      <c r="R246" s="782"/>
      <c r="S246" s="782"/>
      <c r="T246" s="782"/>
      <c r="U246" s="782"/>
      <c r="V246" s="782"/>
      <c r="W246" s="782"/>
      <c r="X246" s="782"/>
      <c r="Y246" s="782"/>
      <c r="Z246" s="782"/>
      <c r="AA246" s="782"/>
      <c r="AB246" s="782"/>
      <c r="AC246" s="782"/>
      <c r="AD246" s="782"/>
      <c r="AE246" s="782"/>
      <c r="AF246" s="782"/>
      <c r="AG246" s="782"/>
      <c r="AH246" s="782"/>
      <c r="AI246" s="782"/>
      <c r="AJ246" s="782"/>
      <c r="AK246" s="782"/>
      <c r="AL246" s="782"/>
      <c r="AM246" s="782"/>
      <c r="AN246" s="782"/>
      <c r="AO246" s="782"/>
      <c r="AP246" s="782"/>
      <c r="AQ246" s="782"/>
      <c r="AR246" s="782"/>
      <c r="AS246" s="782"/>
      <c r="AT246" s="782"/>
      <c r="AU246" s="782"/>
      <c r="AV246" s="782"/>
      <c r="AW246" s="103"/>
      <c r="AX246" s="782"/>
      <c r="AY246" s="783"/>
      <c r="AZ246" s="783"/>
      <c r="BA246" s="783"/>
      <c r="BB246" s="783"/>
      <c r="BC246" s="501"/>
      <c r="BD246" s="782"/>
      <c r="BE246" s="783"/>
      <c r="BF246" s="783"/>
      <c r="BG246" s="783"/>
      <c r="BH246" s="783"/>
      <c r="BI246" s="501"/>
      <c r="BJ246" s="782"/>
      <c r="BK246" s="782"/>
      <c r="BL246" s="782"/>
      <c r="BM246" s="782"/>
      <c r="BN246" s="782"/>
      <c r="BO246" s="1152"/>
      <c r="BP246" s="783"/>
      <c r="BQ246" s="783"/>
      <c r="BR246" s="783"/>
      <c r="BS246" s="783"/>
      <c r="BT246" s="783"/>
      <c r="BU246" s="1152"/>
      <c r="BV246" s="782"/>
      <c r="BW246" s="501"/>
      <c r="BX246" s="782"/>
      <c r="BY246" s="782"/>
      <c r="BZ246" s="782"/>
      <c r="CA246" s="1177"/>
      <c r="CB246" s="782"/>
      <c r="CC246" s="782"/>
      <c r="CD246" s="782"/>
      <c r="CE246" s="782"/>
      <c r="CF246" s="782"/>
      <c r="CG246" s="1643">
        <v>-0.24</v>
      </c>
      <c r="CH246" s="782"/>
      <c r="CI246" s="1346">
        <v>0.13</v>
      </c>
      <c r="CJ246" s="1346"/>
      <c r="CK246" s="1346">
        <v>0.22</v>
      </c>
      <c r="CL246" s="1346">
        <v>0.4</v>
      </c>
      <c r="CM246" s="1347">
        <v>0.24</v>
      </c>
      <c r="CN246" s="782"/>
      <c r="CO246" s="1346">
        <v>0.19</v>
      </c>
      <c r="CP246" s="1346">
        <v>0.42</v>
      </c>
      <c r="CQ246" s="782"/>
      <c r="CR246" s="782"/>
      <c r="CS246" s="1177"/>
      <c r="CT246" s="782"/>
      <c r="CU246" s="782"/>
      <c r="CV246" s="782"/>
      <c r="CW246" s="782"/>
      <c r="CX246" s="782"/>
      <c r="CY246" s="1177"/>
      <c r="CZ246" s="782"/>
      <c r="DA246" s="782"/>
      <c r="DB246" s="782"/>
      <c r="DC246" s="782"/>
      <c r="DD246" s="782"/>
      <c r="DE246" s="1177"/>
      <c r="DF246" s="782"/>
      <c r="DG246" s="782"/>
      <c r="DH246" s="782"/>
      <c r="DI246" s="782"/>
      <c r="DJ246" s="782"/>
      <c r="DK246" s="1177"/>
      <c r="DL246" s="782"/>
      <c r="DM246" s="782"/>
      <c r="DN246" s="782"/>
      <c r="DO246" s="782"/>
      <c r="DP246" s="782"/>
      <c r="DQ246" s="1177"/>
      <c r="DR246" s="782"/>
      <c r="DS246" s="782"/>
      <c r="DT246" s="782"/>
      <c r="DU246" s="782"/>
      <c r="DV246" s="782"/>
      <c r="DW246" s="1177"/>
      <c r="DX246" s="782"/>
      <c r="DY246" s="782"/>
      <c r="DZ246" s="782"/>
      <c r="EA246" s="782"/>
      <c r="EB246" s="782"/>
      <c r="EC246" s="1177"/>
      <c r="ED246" s="782"/>
      <c r="EE246" s="782"/>
      <c r="EF246" s="782"/>
      <c r="EG246" s="782"/>
      <c r="EH246" s="782"/>
      <c r="EI246" s="1177"/>
      <c r="EJ246" s="782"/>
      <c r="EK246" s="782"/>
      <c r="EL246" s="782"/>
      <c r="EM246" s="782"/>
      <c r="EN246" s="782"/>
      <c r="EO246" s="1177"/>
      <c r="EP246" s="782"/>
      <c r="EQ246" s="782"/>
      <c r="ER246" s="782"/>
      <c r="ES246" s="782"/>
      <c r="ET246" s="782"/>
      <c r="EU246" s="1177"/>
    </row>
    <row r="247" spans="1:197" ht="5.25" hidden="1" customHeight="1" outlineLevel="3">
      <c r="A247" s="1057"/>
      <c r="B247" s="782"/>
      <c r="C247" s="782"/>
      <c r="D247" s="782"/>
      <c r="E247" s="782"/>
      <c r="F247" s="782"/>
      <c r="G247" s="782"/>
      <c r="H247" s="782"/>
      <c r="I247" s="782"/>
      <c r="J247" s="782"/>
      <c r="K247" s="782"/>
      <c r="L247" s="782"/>
      <c r="M247" s="782"/>
      <c r="N247" s="782"/>
      <c r="O247" s="782"/>
      <c r="P247" s="782"/>
      <c r="Q247" s="782"/>
      <c r="R247" s="782"/>
      <c r="S247" s="782"/>
      <c r="T247" s="782"/>
      <c r="U247" s="782"/>
      <c r="V247" s="782"/>
      <c r="W247" s="782"/>
      <c r="X247" s="782"/>
      <c r="Y247" s="782"/>
      <c r="Z247" s="782"/>
      <c r="AA247" s="782"/>
      <c r="AB247" s="782"/>
      <c r="AC247" s="782"/>
      <c r="AD247" s="782"/>
      <c r="AE247" s="782"/>
      <c r="AF247" s="782"/>
      <c r="AG247" s="782"/>
      <c r="AH247" s="782"/>
      <c r="AI247" s="782"/>
      <c r="AJ247" s="782"/>
      <c r="AK247" s="782"/>
      <c r="AL247" s="782"/>
      <c r="AM247" s="782"/>
      <c r="AN247" s="782"/>
      <c r="AO247" s="782"/>
      <c r="AP247" s="782"/>
      <c r="AQ247" s="782"/>
      <c r="AR247" s="782"/>
      <c r="AS247" s="782"/>
      <c r="AT247" s="782"/>
      <c r="AU247" s="782"/>
      <c r="AV247" s="782"/>
      <c r="AW247" s="103"/>
      <c r="AX247" s="782"/>
      <c r="AY247" s="783"/>
      <c r="AZ247" s="783"/>
      <c r="BA247" s="783"/>
      <c r="BB247" s="783"/>
      <c r="BC247" s="783"/>
      <c r="BD247" s="782"/>
      <c r="BE247" s="783"/>
      <c r="BF247" s="783"/>
      <c r="BG247" s="783"/>
      <c r="BH247" s="783"/>
      <c r="BI247" s="783"/>
      <c r="BJ247" s="782"/>
      <c r="BK247" s="782"/>
      <c r="BL247" s="782"/>
      <c r="BM247" s="782"/>
      <c r="BN247" s="782"/>
      <c r="BO247" s="1111"/>
      <c r="BP247" s="783"/>
      <c r="BQ247" s="783"/>
      <c r="BR247" s="783"/>
      <c r="BS247" s="783"/>
      <c r="BT247" s="783"/>
      <c r="BU247" s="1152"/>
      <c r="BV247" s="782"/>
      <c r="BW247" s="501"/>
      <c r="BX247" s="782"/>
      <c r="BY247" s="782"/>
      <c r="BZ247" s="782"/>
      <c r="CA247" s="1177"/>
      <c r="CB247" s="782"/>
      <c r="CC247" s="782"/>
      <c r="CD247" s="782"/>
      <c r="CE247" s="782"/>
      <c r="CF247" s="782"/>
      <c r="CG247" s="1177"/>
      <c r="CH247" s="782"/>
      <c r="CI247" s="782"/>
      <c r="CJ247" s="782"/>
      <c r="CK247" s="783"/>
      <c r="CL247" s="782"/>
      <c r="CM247" s="1177"/>
      <c r="CN247" s="782"/>
      <c r="CO247" s="782"/>
      <c r="CP247" s="782"/>
      <c r="CQ247" s="782"/>
      <c r="CR247" s="782"/>
      <c r="CS247" s="1177"/>
      <c r="CT247" s="782"/>
      <c r="CU247" s="782"/>
      <c r="CV247" s="782"/>
      <c r="CW247" s="782"/>
      <c r="CX247" s="782"/>
      <c r="CY247" s="1177"/>
      <c r="CZ247" s="782"/>
      <c r="DA247" s="782"/>
      <c r="DB247" s="782"/>
      <c r="DC247" s="782"/>
      <c r="DD247" s="782"/>
      <c r="DE247" s="1177"/>
      <c r="DF247" s="782"/>
      <c r="DG247" s="782"/>
      <c r="DH247" s="782"/>
      <c r="DI247" s="782"/>
      <c r="DJ247" s="782"/>
      <c r="DK247" s="1177"/>
      <c r="DL247" s="782"/>
      <c r="DM247" s="782"/>
      <c r="DN247" s="782"/>
      <c r="DO247" s="782"/>
      <c r="DP247" s="782"/>
      <c r="DQ247" s="1177"/>
      <c r="DR247" s="782"/>
      <c r="DS247" s="782"/>
      <c r="DT247" s="782"/>
      <c r="DU247" s="782"/>
      <c r="DV247" s="782"/>
      <c r="DW247" s="1177"/>
      <c r="DX247" s="782"/>
      <c r="DY247" s="782"/>
      <c r="DZ247" s="782"/>
      <c r="EA247" s="782"/>
      <c r="EB247" s="782"/>
      <c r="EC247" s="1177"/>
      <c r="ED247" s="782"/>
      <c r="EE247" s="782"/>
      <c r="EF247" s="782"/>
      <c r="EG247" s="782"/>
      <c r="EH247" s="782"/>
      <c r="EI247" s="1177"/>
      <c r="EJ247" s="782"/>
      <c r="EK247" s="782"/>
      <c r="EL247" s="782"/>
      <c r="EM247" s="782"/>
      <c r="EN247" s="782"/>
      <c r="EO247" s="1177"/>
      <c r="EP247" s="782"/>
      <c r="EQ247" s="782"/>
      <c r="ER247" s="782"/>
      <c r="ES247" s="782"/>
      <c r="ET247" s="782"/>
      <c r="EU247" s="1177"/>
    </row>
    <row r="248" spans="1:197" ht="10.5" hidden="1" customHeight="1" outlineLevel="3">
      <c r="A248" s="1056" t="s">
        <v>663</v>
      </c>
      <c r="B248" s="782"/>
      <c r="C248" s="782"/>
      <c r="D248" s="782"/>
      <c r="E248" s="782"/>
      <c r="F248" s="782"/>
      <c r="G248" s="782"/>
      <c r="H248" s="782"/>
      <c r="I248" s="782"/>
      <c r="J248" s="782"/>
      <c r="K248" s="782"/>
      <c r="L248" s="782"/>
      <c r="M248" s="782"/>
      <c r="N248" s="782"/>
      <c r="O248" s="782"/>
      <c r="P248" s="782"/>
      <c r="Q248" s="782"/>
      <c r="R248" s="782"/>
      <c r="S248" s="782"/>
      <c r="T248" s="782"/>
      <c r="U248" s="782"/>
      <c r="V248" s="782"/>
      <c r="W248" s="782"/>
      <c r="X248" s="782"/>
      <c r="Y248" s="782"/>
      <c r="Z248" s="782"/>
      <c r="AA248" s="782"/>
      <c r="AB248" s="782"/>
      <c r="AC248" s="782"/>
      <c r="AD248" s="782"/>
      <c r="AE248" s="782"/>
      <c r="AF248" s="782"/>
      <c r="AG248" s="782"/>
      <c r="AH248" s="782"/>
      <c r="AI248" s="782"/>
      <c r="AJ248" s="782"/>
      <c r="AK248" s="782"/>
      <c r="AL248" s="782"/>
      <c r="AM248" s="782"/>
      <c r="AN248" s="782"/>
      <c r="AO248" s="782"/>
      <c r="AP248" s="782"/>
      <c r="AQ248" s="782"/>
      <c r="AR248" s="782"/>
      <c r="AS248" s="782"/>
      <c r="AT248" s="782"/>
      <c r="AU248" s="782"/>
      <c r="AV248" s="782"/>
      <c r="AW248" s="103"/>
      <c r="AX248" s="782"/>
      <c r="AY248" s="783"/>
      <c r="AZ248" s="783"/>
      <c r="BA248" s="783"/>
      <c r="BB248" s="783"/>
      <c r="BC248" s="783">
        <v>15</v>
      </c>
      <c r="BD248" s="782"/>
      <c r="BE248" s="783"/>
      <c r="BF248" s="783"/>
      <c r="BG248" s="783"/>
      <c r="BH248" s="783"/>
      <c r="BI248" s="783">
        <v>80</v>
      </c>
      <c r="BJ248" s="782"/>
      <c r="BK248" s="782"/>
      <c r="BL248" s="782"/>
      <c r="BM248" s="782"/>
      <c r="BN248" s="782"/>
      <c r="BO248" s="1111">
        <v>120</v>
      </c>
      <c r="BP248" s="783"/>
      <c r="BQ248" s="783"/>
      <c r="BR248" s="783"/>
      <c r="BS248" s="783"/>
      <c r="BT248" s="783"/>
      <c r="BU248" s="1152">
        <v>150</v>
      </c>
      <c r="BV248" s="782"/>
      <c r="BW248" s="501"/>
      <c r="BX248" s="782"/>
      <c r="BY248" s="782"/>
      <c r="BZ248" s="782"/>
      <c r="CA248" s="1177"/>
      <c r="CB248" s="782"/>
      <c r="CC248" s="782"/>
      <c r="CD248" s="782"/>
      <c r="CE248" s="782"/>
      <c r="CF248" s="782"/>
      <c r="CG248" s="1177"/>
      <c r="CH248" s="782"/>
      <c r="CI248" s="782"/>
      <c r="CJ248" s="782"/>
      <c r="CK248" s="783"/>
      <c r="CL248" s="782"/>
      <c r="CM248" s="1177"/>
      <c r="CN248" s="782"/>
      <c r="CO248" s="782"/>
      <c r="CP248" s="782"/>
      <c r="CQ248" s="782"/>
      <c r="CR248" s="782"/>
      <c r="CS248" s="1177"/>
      <c r="CT248" s="782"/>
      <c r="CU248" s="782"/>
      <c r="CV248" s="782"/>
      <c r="CW248" s="782"/>
      <c r="CX248" s="782"/>
      <c r="CY248" s="1177"/>
      <c r="CZ248" s="782"/>
      <c r="DA248" s="782"/>
      <c r="DB248" s="782"/>
      <c r="DC248" s="782"/>
      <c r="DD248" s="782"/>
      <c r="DE248" s="1177"/>
      <c r="DF248" s="782"/>
      <c r="DG248" s="782"/>
      <c r="DH248" s="782"/>
      <c r="DI248" s="782"/>
      <c r="DJ248" s="782"/>
      <c r="DK248" s="1177"/>
      <c r="DL248" s="782"/>
      <c r="DM248" s="782"/>
      <c r="DN248" s="782"/>
      <c r="DO248" s="782"/>
      <c r="DP248" s="782"/>
      <c r="DQ248" s="1177"/>
      <c r="DR248" s="782"/>
      <c r="DS248" s="782"/>
      <c r="DT248" s="782"/>
      <c r="DU248" s="782"/>
      <c r="DV248" s="782"/>
      <c r="DW248" s="1177"/>
      <c r="DX248" s="782"/>
      <c r="DY248" s="782"/>
      <c r="DZ248" s="782"/>
      <c r="EA248" s="782"/>
      <c r="EB248" s="782"/>
      <c r="EC248" s="1177"/>
      <c r="ED248" s="782"/>
      <c r="EE248" s="782"/>
      <c r="EF248" s="782"/>
      <c r="EG248" s="782"/>
      <c r="EH248" s="782"/>
      <c r="EI248" s="1177"/>
      <c r="EJ248" s="782"/>
      <c r="EK248" s="782"/>
      <c r="EL248" s="782"/>
      <c r="EM248" s="782"/>
      <c r="EN248" s="782"/>
      <c r="EO248" s="1177"/>
      <c r="EP248" s="782"/>
      <c r="EQ248" s="782"/>
      <c r="ER248" s="782"/>
      <c r="ES248" s="782"/>
      <c r="ET248" s="782"/>
      <c r="EU248" s="1177"/>
    </row>
    <row r="249" spans="1:197" ht="10.5" hidden="1" customHeight="1" outlineLevel="3">
      <c r="A249" s="781" t="s">
        <v>665</v>
      </c>
      <c r="B249" s="782"/>
      <c r="C249" s="782"/>
      <c r="D249" s="782"/>
      <c r="E249" s="782"/>
      <c r="F249" s="782"/>
      <c r="G249" s="782"/>
      <c r="H249" s="782"/>
      <c r="I249" s="782"/>
      <c r="J249" s="782"/>
      <c r="K249" s="782"/>
      <c r="L249" s="782"/>
      <c r="M249" s="782"/>
      <c r="N249" s="782"/>
      <c r="O249" s="782"/>
      <c r="P249" s="782"/>
      <c r="Q249" s="782"/>
      <c r="R249" s="782"/>
      <c r="S249" s="782"/>
      <c r="T249" s="782"/>
      <c r="U249" s="782"/>
      <c r="V249" s="782"/>
      <c r="W249" s="782"/>
      <c r="X249" s="782"/>
      <c r="Y249" s="782"/>
      <c r="Z249" s="782"/>
      <c r="AA249" s="782"/>
      <c r="AB249" s="782"/>
      <c r="AC249" s="782"/>
      <c r="AD249" s="782"/>
      <c r="AE249" s="782"/>
      <c r="AF249" s="782"/>
      <c r="AG249" s="782"/>
      <c r="AH249" s="782"/>
      <c r="AI249" s="782"/>
      <c r="AJ249" s="782"/>
      <c r="AK249" s="782"/>
      <c r="AL249" s="782"/>
      <c r="AM249" s="782"/>
      <c r="AN249" s="782"/>
      <c r="AO249" s="782"/>
      <c r="AP249" s="782"/>
      <c r="AQ249" s="782"/>
      <c r="AR249" s="782"/>
      <c r="AS249" s="782"/>
      <c r="AT249" s="782"/>
      <c r="AU249" s="782"/>
      <c r="AV249" s="782"/>
      <c r="AW249" s="103"/>
      <c r="AX249" s="782"/>
      <c r="AY249" s="783"/>
      <c r="AZ249" s="783"/>
      <c r="BA249" s="783"/>
      <c r="BB249" s="783"/>
      <c r="BC249" s="783"/>
      <c r="BD249" s="782"/>
      <c r="BE249" s="783"/>
      <c r="BF249" s="783"/>
      <c r="BG249" s="783"/>
      <c r="BH249" s="783"/>
      <c r="BI249" s="783"/>
      <c r="BJ249" s="782"/>
      <c r="BK249" s="782"/>
      <c r="BL249" s="782"/>
      <c r="BM249" s="782"/>
      <c r="BN249" s="782"/>
      <c r="BO249" s="1111"/>
      <c r="BP249" s="783"/>
      <c r="BQ249" s="783"/>
      <c r="BR249" s="783"/>
      <c r="BS249" s="783">
        <v>8.1999999999999993</v>
      </c>
      <c r="BT249" s="783">
        <v>7.5</v>
      </c>
      <c r="BU249" s="1152"/>
      <c r="BV249" s="782"/>
      <c r="BW249" s="501"/>
      <c r="BX249" s="782"/>
      <c r="BY249" s="782"/>
      <c r="BZ249" s="782"/>
      <c r="CA249" s="1177"/>
      <c r="CB249" s="782"/>
      <c r="CC249" s="782"/>
      <c r="CD249" s="782"/>
      <c r="CE249" s="782"/>
      <c r="CF249" s="782"/>
      <c r="CG249" s="1177"/>
      <c r="CH249" s="782"/>
      <c r="CI249" s="782"/>
      <c r="CJ249" s="782"/>
      <c r="CK249" s="783"/>
      <c r="CL249" s="782"/>
      <c r="CM249" s="1177"/>
      <c r="CN249" s="782"/>
      <c r="CO249" s="782"/>
      <c r="CP249" s="782"/>
      <c r="CQ249" s="782"/>
      <c r="CR249" s="782"/>
      <c r="CS249" s="1177"/>
      <c r="CT249" s="782"/>
      <c r="CU249" s="782"/>
      <c r="CV249" s="782"/>
      <c r="CW249" s="782"/>
      <c r="CX249" s="782"/>
      <c r="CY249" s="1177"/>
      <c r="CZ249" s="782"/>
      <c r="DA249" s="782"/>
      <c r="DB249" s="782"/>
      <c r="DC249" s="782"/>
      <c r="DD249" s="782"/>
      <c r="DE249" s="1177"/>
      <c r="DF249" s="782"/>
      <c r="DG249" s="782"/>
      <c r="DH249" s="782"/>
      <c r="DI249" s="782"/>
      <c r="DJ249" s="782"/>
      <c r="DK249" s="1177"/>
      <c r="DL249" s="782"/>
      <c r="DM249" s="782"/>
      <c r="DN249" s="782"/>
      <c r="DO249" s="782"/>
      <c r="DP249" s="782"/>
      <c r="DQ249" s="1177"/>
      <c r="DR249" s="782"/>
      <c r="DS249" s="782"/>
      <c r="DT249" s="782"/>
      <c r="DU249" s="782"/>
      <c r="DV249" s="782"/>
      <c r="DW249" s="1177"/>
      <c r="DX249" s="782"/>
      <c r="DY249" s="782"/>
      <c r="DZ249" s="782"/>
      <c r="EA249" s="782"/>
      <c r="EB249" s="782"/>
      <c r="EC249" s="1177"/>
      <c r="ED249" s="782"/>
      <c r="EE249" s="782"/>
      <c r="EF249" s="782"/>
      <c r="EG249" s="782"/>
      <c r="EH249" s="782"/>
      <c r="EI249" s="1177"/>
      <c r="EJ249" s="782"/>
      <c r="EK249" s="782"/>
      <c r="EL249" s="782"/>
      <c r="EM249" s="782"/>
      <c r="EN249" s="782"/>
      <c r="EO249" s="1177"/>
      <c r="EP249" s="782"/>
      <c r="EQ249" s="782"/>
      <c r="ER249" s="782"/>
      <c r="ES249" s="782"/>
      <c r="ET249" s="782"/>
      <c r="EU249" s="1177"/>
    </row>
    <row r="250" spans="1:197" ht="10.5" hidden="1" customHeight="1" outlineLevel="3">
      <c r="A250" s="269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83"/>
      <c r="AX250" s="147"/>
      <c r="AY250" s="141"/>
      <c r="AZ250" s="141"/>
      <c r="BA250" s="141"/>
      <c r="BB250" s="141"/>
      <c r="BC250" s="141"/>
      <c r="BD250" s="147"/>
      <c r="BE250" s="141"/>
      <c r="BF250" s="141"/>
      <c r="BG250" s="141"/>
      <c r="BH250" s="141"/>
      <c r="BI250" s="141"/>
      <c r="BJ250" s="147"/>
      <c r="BK250" s="147"/>
      <c r="BL250" s="147"/>
      <c r="BM250" s="147"/>
      <c r="BN250" s="147"/>
      <c r="BO250" s="1096"/>
      <c r="BP250" s="147"/>
      <c r="BQ250" s="147"/>
      <c r="BR250" s="147"/>
      <c r="BS250" s="147"/>
      <c r="BT250" s="147"/>
      <c r="BU250" s="1338"/>
      <c r="BV250" s="147"/>
      <c r="BW250" s="147"/>
      <c r="BX250" s="147"/>
      <c r="BY250" s="147"/>
      <c r="BZ250" s="147"/>
      <c r="CA250" s="1096"/>
      <c r="CB250" s="147"/>
      <c r="CC250" s="147"/>
      <c r="CD250" s="147"/>
      <c r="CE250" s="147"/>
      <c r="CF250" s="147"/>
      <c r="CG250" s="1096"/>
      <c r="CH250" s="147"/>
      <c r="CI250" s="147"/>
      <c r="CJ250" s="147"/>
      <c r="CK250" s="141"/>
      <c r="CL250" s="147"/>
      <c r="CM250" s="1096"/>
      <c r="CN250" s="147"/>
      <c r="CO250" s="147"/>
      <c r="CP250" s="147"/>
      <c r="CQ250" s="147"/>
      <c r="CR250" s="147"/>
      <c r="CS250" s="1096"/>
      <c r="CT250" s="147"/>
      <c r="CU250" s="147"/>
      <c r="CV250" s="147"/>
      <c r="CW250" s="147"/>
      <c r="CX250" s="147"/>
      <c r="CY250" s="1096"/>
      <c r="CZ250" s="147"/>
      <c r="DA250" s="147"/>
      <c r="DB250" s="147"/>
      <c r="DC250" s="147"/>
      <c r="DD250" s="147"/>
      <c r="DE250" s="1096"/>
      <c r="DF250" s="147"/>
      <c r="DG250" s="147"/>
      <c r="DH250" s="147"/>
      <c r="DI250" s="147"/>
      <c r="DJ250" s="147"/>
      <c r="DK250" s="1096"/>
      <c r="DL250" s="147"/>
      <c r="DM250" s="147"/>
      <c r="DN250" s="147"/>
      <c r="DO250" s="147"/>
      <c r="DP250" s="147"/>
      <c r="DQ250" s="1096"/>
      <c r="DR250" s="147"/>
      <c r="DS250" s="147"/>
      <c r="DT250" s="147"/>
      <c r="DU250" s="147"/>
      <c r="DV250" s="147"/>
      <c r="DW250" s="1096"/>
      <c r="DX250" s="147"/>
      <c r="DY250" s="147"/>
      <c r="DZ250" s="147"/>
      <c r="EA250" s="147"/>
      <c r="EB250" s="147"/>
      <c r="EC250" s="1096"/>
      <c r="ED250" s="147"/>
      <c r="EE250" s="147"/>
      <c r="EF250" s="147"/>
      <c r="EG250" s="147"/>
      <c r="EH250" s="147"/>
      <c r="EI250" s="1096"/>
      <c r="EJ250" s="147"/>
      <c r="EK250" s="147"/>
      <c r="EL250" s="147"/>
      <c r="EM250" s="147"/>
      <c r="EN250" s="147"/>
      <c r="EO250" s="1096"/>
      <c r="EP250" s="147"/>
      <c r="EQ250" s="147"/>
      <c r="ER250" s="147"/>
      <c r="ES250" s="147"/>
      <c r="ET250" s="147"/>
      <c r="EU250" s="1096"/>
    </row>
    <row r="251" spans="1:197" ht="10.5" hidden="1" customHeight="1" outlineLevel="3">
      <c r="A251" s="1047" t="s">
        <v>2389</v>
      </c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83"/>
      <c r="AX251" s="147"/>
      <c r="AY251" s="141"/>
      <c r="AZ251" s="141"/>
      <c r="BA251" s="141"/>
      <c r="BB251" s="141"/>
      <c r="BC251" s="141"/>
      <c r="BD251" s="147"/>
      <c r="BE251" s="141"/>
      <c r="BF251" s="141"/>
      <c r="BG251" s="141"/>
      <c r="BH251" s="141"/>
      <c r="BI251" s="141"/>
      <c r="BJ251" s="147"/>
      <c r="BK251" s="147"/>
      <c r="BL251" s="147"/>
      <c r="BM251" s="147"/>
      <c r="BN251" s="147"/>
      <c r="BO251" s="1096"/>
      <c r="BP251" s="147"/>
      <c r="BQ251" s="147"/>
      <c r="BR251" s="147"/>
      <c r="BS251" s="147"/>
      <c r="BT251" s="147"/>
      <c r="BU251" s="1544"/>
      <c r="BV251" s="147"/>
      <c r="BW251" s="147"/>
      <c r="BX251" s="147"/>
      <c r="BY251" s="1094">
        <f>BY209-151</f>
        <v>12</v>
      </c>
      <c r="BZ251" s="147"/>
      <c r="CA251" s="1096"/>
      <c r="CB251" s="147"/>
      <c r="CC251" s="147"/>
      <c r="CD251" s="147"/>
      <c r="CE251" s="147"/>
      <c r="CF251" s="147"/>
      <c r="CG251" s="1096"/>
      <c r="CH251" s="147"/>
      <c r="CI251" s="147"/>
      <c r="CJ251" s="147"/>
      <c r="CK251" s="141"/>
      <c r="CL251" s="147"/>
      <c r="CM251" s="1096"/>
      <c r="CN251" s="147"/>
      <c r="CO251" s="147"/>
      <c r="CP251" s="147"/>
      <c r="CQ251" s="147"/>
      <c r="CR251" s="147"/>
      <c r="CS251" s="1096"/>
      <c r="CT251" s="147"/>
      <c r="CU251" s="147"/>
      <c r="CV251" s="147"/>
      <c r="CW251" s="147"/>
      <c r="CX251" s="147"/>
      <c r="CY251" s="1096"/>
      <c r="CZ251" s="147"/>
      <c r="DA251" s="147"/>
      <c r="DB251" s="147"/>
      <c r="DC251" s="147"/>
      <c r="DD251" s="147"/>
      <c r="DE251" s="1096"/>
      <c r="DF251" s="147"/>
      <c r="DG251" s="147"/>
      <c r="DH251" s="147"/>
      <c r="DI251" s="147"/>
      <c r="DJ251" s="147"/>
      <c r="DK251" s="1096"/>
      <c r="DL251" s="147"/>
      <c r="DM251" s="147"/>
      <c r="DN251" s="147"/>
      <c r="DO251" s="147"/>
      <c r="DP251" s="147"/>
      <c r="DQ251" s="1096"/>
      <c r="DR251" s="147"/>
      <c r="DS251" s="147"/>
      <c r="DT251" s="147"/>
      <c r="DU251" s="147"/>
      <c r="DV251" s="147"/>
      <c r="DW251" s="1096"/>
      <c r="DX251" s="147"/>
      <c r="DY251" s="147"/>
      <c r="DZ251" s="147"/>
      <c r="EA251" s="147"/>
      <c r="EB251" s="147"/>
      <c r="EC251" s="1096"/>
      <c r="ED251" s="147"/>
      <c r="EE251" s="147"/>
      <c r="EF251" s="147"/>
      <c r="EG251" s="147"/>
      <c r="EH251" s="147"/>
      <c r="EI251" s="1096"/>
      <c r="EJ251" s="147"/>
      <c r="EK251" s="147"/>
      <c r="EL251" s="147"/>
      <c r="EM251" s="147"/>
      <c r="EN251" s="147"/>
      <c r="EO251" s="1096"/>
      <c r="EP251" s="147"/>
      <c r="EQ251" s="147"/>
      <c r="ER251" s="147"/>
      <c r="ES251" s="147"/>
      <c r="ET251" s="147"/>
      <c r="EU251" s="1096"/>
    </row>
    <row r="252" spans="1:197" ht="12" hidden="1" customHeight="1" outlineLevel="2" collapsed="1">
      <c r="A252" s="269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83"/>
      <c r="AX252" s="147"/>
      <c r="AY252" s="141"/>
      <c r="AZ252" s="141"/>
      <c r="BA252" s="141"/>
      <c r="BB252" s="141"/>
      <c r="BC252" s="141"/>
      <c r="BD252" s="147"/>
      <c r="BE252" s="141"/>
      <c r="BF252" s="141"/>
      <c r="BG252" s="141"/>
      <c r="BH252" s="141"/>
      <c r="BI252" s="141"/>
      <c r="BJ252" s="147"/>
      <c r="BK252" s="147"/>
      <c r="BL252" s="147"/>
      <c r="BM252" s="147"/>
      <c r="BN252" s="147"/>
      <c r="BO252" s="1096"/>
      <c r="BP252" s="147"/>
      <c r="BQ252" s="147"/>
      <c r="BR252" s="147"/>
      <c r="BS252" s="147"/>
      <c r="BT252" s="147"/>
      <c r="BU252" s="1096"/>
      <c r="BV252" s="147"/>
      <c r="BW252" s="147"/>
      <c r="BX252" s="147"/>
      <c r="BY252" s="147"/>
      <c r="BZ252" s="147"/>
      <c r="CA252" s="1096"/>
      <c r="CB252" s="147"/>
      <c r="CC252" s="147"/>
      <c r="CD252" s="147"/>
      <c r="CE252" s="147"/>
      <c r="CF252" s="147"/>
      <c r="CG252" s="1096"/>
      <c r="CH252" s="147"/>
      <c r="CI252" s="147"/>
      <c r="CJ252" s="147"/>
      <c r="CK252" s="141"/>
      <c r="CL252" s="147"/>
      <c r="CM252" s="1096"/>
      <c r="CN252" s="147"/>
      <c r="CO252" s="147"/>
      <c r="CP252" s="147"/>
      <c r="CQ252" s="147"/>
      <c r="CR252" s="147"/>
      <c r="CS252" s="1096"/>
      <c r="CT252" s="147"/>
      <c r="CU252" s="147"/>
      <c r="CV252" s="147"/>
      <c r="CW252" s="147"/>
      <c r="CX252" s="147"/>
      <c r="CY252" s="1096"/>
      <c r="CZ252" s="147"/>
      <c r="DA252" s="147"/>
      <c r="DB252" s="147"/>
      <c r="DC252" s="147"/>
      <c r="DD252" s="147"/>
      <c r="DE252" s="1096"/>
      <c r="DF252" s="147"/>
      <c r="DG252" s="147"/>
      <c r="DH252" s="147"/>
      <c r="DI252" s="147"/>
      <c r="DJ252" s="147"/>
      <c r="DK252" s="1096"/>
      <c r="DL252" s="147"/>
      <c r="DM252" s="147"/>
      <c r="DN252" s="147"/>
      <c r="DO252" s="147"/>
      <c r="DP252" s="147"/>
      <c r="DQ252" s="1096"/>
      <c r="DR252" s="147"/>
      <c r="DS252" s="147"/>
      <c r="DT252" s="147"/>
      <c r="DU252" s="147"/>
      <c r="DV252" s="147"/>
      <c r="DW252" s="1096"/>
      <c r="DX252" s="147"/>
      <c r="DY252" s="147"/>
      <c r="DZ252" s="147"/>
      <c r="EA252" s="147"/>
      <c r="EB252" s="147"/>
      <c r="EC252" s="1096"/>
      <c r="ED252" s="147"/>
      <c r="EE252" s="147"/>
      <c r="EF252" s="147"/>
      <c r="EG252" s="147"/>
      <c r="EH252" s="147"/>
      <c r="EI252" s="1096"/>
      <c r="EJ252" s="147"/>
      <c r="EK252" s="147"/>
      <c r="EL252" s="147"/>
      <c r="EM252" s="147"/>
      <c r="EN252" s="147"/>
      <c r="EO252" s="1096"/>
      <c r="EP252" s="147"/>
      <c r="EQ252" s="147"/>
      <c r="ER252" s="147"/>
      <c r="ES252" s="147"/>
      <c r="ET252" s="147"/>
      <c r="EU252" s="1096"/>
    </row>
    <row r="253" spans="1:197" ht="12" hidden="1" customHeight="1" outlineLevel="2">
      <c r="A253" s="1047" t="s">
        <v>4744</v>
      </c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83"/>
      <c r="AX253" s="147"/>
      <c r="AY253" s="141"/>
      <c r="AZ253" s="141"/>
      <c r="BA253" s="141"/>
      <c r="BB253" s="141"/>
      <c r="BC253" s="141"/>
      <c r="BD253" s="147"/>
      <c r="BE253" s="141"/>
      <c r="BF253" s="141"/>
      <c r="BG253" s="141"/>
      <c r="BH253" s="141"/>
      <c r="BI253" s="141"/>
      <c r="BJ253" s="147"/>
      <c r="BK253" s="147"/>
      <c r="BL253" s="147"/>
      <c r="BM253" s="147"/>
      <c r="BN253" s="147"/>
      <c r="BO253" s="1096"/>
      <c r="BP253" s="147"/>
      <c r="BQ253" s="147"/>
      <c r="BR253" s="147"/>
      <c r="BS253" s="147"/>
      <c r="BT253" s="147"/>
      <c r="BU253" s="1096"/>
      <c r="BV253" s="147"/>
      <c r="BW253" s="147"/>
      <c r="BX253" s="147"/>
      <c r="BY253" s="147"/>
      <c r="BZ253" s="147"/>
      <c r="CA253" s="1096"/>
      <c r="CB253" s="147"/>
      <c r="CC253" s="147"/>
      <c r="CD253" s="147"/>
      <c r="CE253" s="147"/>
      <c r="CF253" s="147"/>
      <c r="CG253" s="1096"/>
      <c r="CH253" s="147"/>
      <c r="CI253" s="147"/>
      <c r="CJ253" s="147"/>
      <c r="CK253" s="141"/>
      <c r="CL253" s="147"/>
      <c r="CM253" s="1644">
        <v>0.27</v>
      </c>
      <c r="CN253" s="147"/>
      <c r="CO253" s="929">
        <v>0.19</v>
      </c>
      <c r="CP253" s="147"/>
      <c r="CQ253" s="147"/>
      <c r="CR253" s="147"/>
      <c r="CS253" s="1096"/>
      <c r="CT253" s="147"/>
      <c r="CU253" s="147"/>
      <c r="CV253" s="147"/>
      <c r="CW253" s="147"/>
      <c r="CX253" s="147"/>
      <c r="CY253" s="1096"/>
      <c r="CZ253" s="147"/>
      <c r="DA253" s="147"/>
      <c r="DB253" s="147"/>
      <c r="DC253" s="147"/>
      <c r="DD253" s="147"/>
      <c r="DE253" s="1096"/>
      <c r="DF253" s="147"/>
      <c r="DG253" s="147"/>
      <c r="DH253" s="147"/>
      <c r="DI253" s="147"/>
      <c r="DJ253" s="147"/>
      <c r="DK253" s="1096"/>
      <c r="DL253" s="147"/>
      <c r="DM253" s="147"/>
      <c r="DN253" s="147"/>
      <c r="DO253" s="147"/>
      <c r="DP253" s="147"/>
      <c r="DQ253" s="1096"/>
      <c r="DR253" s="147"/>
      <c r="DS253" s="147"/>
      <c r="DT253" s="147"/>
      <c r="DU253" s="147"/>
      <c r="DV253" s="147"/>
      <c r="DW253" s="1096"/>
      <c r="DX253" s="147"/>
      <c r="DY253" s="147"/>
      <c r="DZ253" s="147"/>
      <c r="EA253" s="147"/>
      <c r="EB253" s="147"/>
      <c r="EC253" s="1096"/>
      <c r="ED253" s="147"/>
      <c r="EE253" s="147"/>
      <c r="EF253" s="147"/>
      <c r="EG253" s="147"/>
      <c r="EH253" s="147"/>
      <c r="EI253" s="1096"/>
      <c r="EJ253" s="147"/>
      <c r="EK253" s="147"/>
      <c r="EL253" s="147"/>
      <c r="EM253" s="147"/>
      <c r="EN253" s="147"/>
      <c r="EO253" s="1096"/>
      <c r="EP253" s="147"/>
      <c r="EQ253" s="147"/>
      <c r="ER253" s="147"/>
      <c r="ES253" s="147"/>
      <c r="ET253" s="147"/>
      <c r="EU253" s="1096"/>
    </row>
    <row r="254" spans="1:197" ht="12" hidden="1" customHeight="1" outlineLevel="2">
      <c r="A254" s="269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83"/>
      <c r="AX254" s="147"/>
      <c r="AY254" s="141"/>
      <c r="AZ254" s="141"/>
      <c r="BA254" s="141"/>
      <c r="BB254" s="141"/>
      <c r="BC254" s="141"/>
      <c r="BD254" s="147"/>
      <c r="BE254" s="141"/>
      <c r="BF254" s="141"/>
      <c r="BG254" s="141"/>
      <c r="BH254" s="141"/>
      <c r="BI254" s="141"/>
      <c r="BJ254" s="147"/>
      <c r="BK254" s="147"/>
      <c r="BL254" s="147"/>
      <c r="BM254" s="147"/>
      <c r="BN254" s="147"/>
      <c r="BO254" s="1096"/>
      <c r="BP254" s="147"/>
      <c r="BQ254" s="147"/>
      <c r="BR254" s="147"/>
      <c r="BS254" s="147"/>
      <c r="BT254" s="147"/>
      <c r="BU254" s="1096"/>
      <c r="BV254" s="147"/>
      <c r="BW254" s="147"/>
      <c r="BX254" s="147"/>
      <c r="BY254" s="147"/>
      <c r="BZ254" s="147"/>
      <c r="CA254" s="1096"/>
      <c r="CB254" s="147"/>
      <c r="CC254" s="147"/>
      <c r="CD254" s="147"/>
      <c r="CE254" s="147"/>
      <c r="CF254" s="147"/>
      <c r="CG254" s="1096"/>
      <c r="CH254" s="147"/>
      <c r="CI254" s="147"/>
      <c r="CJ254" s="147"/>
      <c r="CK254" s="141"/>
      <c r="CL254" s="147"/>
      <c r="CM254" s="1096"/>
      <c r="CN254" s="147"/>
      <c r="CO254" s="147"/>
      <c r="CP254" s="147"/>
      <c r="CQ254" s="147"/>
      <c r="CR254" s="147"/>
      <c r="CS254" s="1096"/>
      <c r="CT254" s="147"/>
      <c r="CU254" s="147"/>
      <c r="CV254" s="147"/>
      <c r="CW254" s="147"/>
      <c r="CX254" s="147"/>
      <c r="CY254" s="1096"/>
      <c r="CZ254" s="147"/>
      <c r="DA254" s="147"/>
      <c r="DB254" s="147"/>
      <c r="DC254" s="147"/>
      <c r="DD254" s="147"/>
      <c r="DE254" s="1096"/>
      <c r="DF254" s="147"/>
      <c r="DG254" s="147"/>
      <c r="DH254" s="147"/>
      <c r="DI254" s="147"/>
      <c r="DJ254" s="147"/>
      <c r="DK254" s="1096"/>
      <c r="DL254" s="147"/>
      <c r="DM254" s="147"/>
      <c r="DN254" s="147"/>
      <c r="DO254" s="147"/>
      <c r="DP254" s="147"/>
      <c r="DQ254" s="1096"/>
      <c r="DR254" s="147"/>
      <c r="DS254" s="147"/>
      <c r="DT254" s="147"/>
      <c r="DU254" s="147"/>
      <c r="DV254" s="147"/>
      <c r="DW254" s="1096"/>
      <c r="DX254" s="147"/>
      <c r="DY254" s="147"/>
      <c r="DZ254" s="147"/>
      <c r="EA254" s="147"/>
      <c r="EB254" s="147"/>
      <c r="EC254" s="1096"/>
      <c r="ED254" s="147"/>
      <c r="EE254" s="147"/>
      <c r="EF254" s="147"/>
      <c r="EG254" s="147"/>
      <c r="EH254" s="147"/>
      <c r="EI254" s="1096"/>
      <c r="EJ254" s="147"/>
      <c r="EK254" s="147"/>
      <c r="EL254" s="147"/>
      <c r="EM254" s="147"/>
      <c r="EN254" s="147"/>
      <c r="EO254" s="1096"/>
      <c r="EP254" s="147"/>
      <c r="EQ254" s="147"/>
      <c r="ER254" s="147"/>
      <c r="ES254" s="147"/>
      <c r="ET254" s="147"/>
      <c r="EU254" s="1096"/>
    </row>
    <row r="255" spans="1:197" ht="12" hidden="1" customHeight="1" outlineLevel="1" collapsed="1">
      <c r="A255" s="269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83"/>
      <c r="AX255" s="147"/>
      <c r="AY255" s="141"/>
      <c r="AZ255" s="141"/>
      <c r="BA255" s="141"/>
      <c r="BB255" s="141"/>
      <c r="BC255" s="141"/>
      <c r="BD255" s="147"/>
      <c r="BE255" s="141"/>
      <c r="BF255" s="141"/>
      <c r="BG255" s="141"/>
      <c r="BH255" s="141"/>
      <c r="BI255" s="141"/>
      <c r="BJ255" s="147"/>
      <c r="BK255" s="147"/>
      <c r="BL255" s="147"/>
      <c r="BM255" s="147"/>
      <c r="BN255" s="147"/>
      <c r="BO255" s="1096"/>
      <c r="BP255" s="147"/>
      <c r="BQ255" s="147"/>
      <c r="BR255" s="147"/>
      <c r="BS255" s="147"/>
      <c r="BT255" s="147"/>
      <c r="BU255" s="1096"/>
      <c r="BV255" s="147"/>
      <c r="BW255" s="147"/>
      <c r="BX255" s="147"/>
      <c r="BY255" s="147"/>
      <c r="BZ255" s="147"/>
      <c r="CA255" s="1096"/>
      <c r="CB255" s="147"/>
      <c r="CC255" s="147"/>
      <c r="CD255" s="147"/>
      <c r="CE255" s="147"/>
      <c r="CF255" s="147"/>
      <c r="CG255" s="1096"/>
      <c r="CH255" s="147"/>
      <c r="CI255" s="147"/>
      <c r="CJ255" s="147"/>
      <c r="CK255" s="141"/>
      <c r="CL255" s="147"/>
      <c r="CM255" s="1096"/>
      <c r="CN255" s="147"/>
      <c r="CO255" s="147"/>
      <c r="CP255" s="147"/>
      <c r="CQ255" s="147"/>
      <c r="CR255" s="147"/>
      <c r="CS255" s="1096"/>
      <c r="CT255" s="147"/>
      <c r="CU255" s="147"/>
      <c r="CV255" s="147"/>
      <c r="CW255" s="147"/>
      <c r="CX255" s="147"/>
      <c r="CY255" s="1096"/>
      <c r="CZ255" s="147"/>
      <c r="DA255" s="147"/>
      <c r="DB255" s="147"/>
      <c r="DC255" s="147"/>
      <c r="DD255" s="147"/>
      <c r="DE255" s="1096"/>
      <c r="DF255" s="147"/>
      <c r="DG255" s="147"/>
      <c r="DH255" s="147"/>
      <c r="DI255" s="147"/>
      <c r="DJ255" s="147"/>
      <c r="DK255" s="1096"/>
      <c r="DL255" s="147"/>
      <c r="DM255" s="147"/>
      <c r="DN255" s="147"/>
      <c r="DO255" s="147"/>
      <c r="DP255" s="147"/>
      <c r="DQ255" s="1096"/>
      <c r="DR255" s="147"/>
      <c r="DS255" s="147"/>
      <c r="DT255" s="147"/>
      <c r="DU255" s="147"/>
      <c r="DV255" s="147"/>
      <c r="DW255" s="1096"/>
      <c r="DX255" s="147"/>
      <c r="DY255" s="147"/>
      <c r="DZ255" s="147"/>
      <c r="EA255" s="147"/>
      <c r="EB255" s="147"/>
      <c r="EC255" s="1096"/>
      <c r="ED255" s="147"/>
      <c r="EE255" s="147"/>
      <c r="EF255" s="147"/>
      <c r="EG255" s="147"/>
      <c r="EH255" s="147"/>
      <c r="EI255" s="1096"/>
      <c r="EJ255" s="147"/>
      <c r="EK255" s="147"/>
      <c r="EL255" s="147"/>
      <c r="EM255" s="147"/>
      <c r="EN255" s="147"/>
      <c r="EO255" s="1096"/>
      <c r="EP255" s="147"/>
      <c r="EQ255" s="147"/>
      <c r="ER255" s="147"/>
      <c r="ES255" s="147"/>
      <c r="ET255" s="147"/>
      <c r="EU255" s="1096"/>
    </row>
    <row r="256" spans="1:197" ht="12.75" hidden="1" customHeight="1" collapsed="1">
      <c r="A256" s="1620" t="s">
        <v>2791</v>
      </c>
      <c r="B256" s="1621"/>
      <c r="C256" s="1621"/>
      <c r="D256" s="1621"/>
      <c r="E256" s="1621"/>
      <c r="F256" s="1621"/>
      <c r="G256" s="1621"/>
      <c r="H256" s="1621"/>
      <c r="I256" s="1621"/>
      <c r="J256" s="1621"/>
      <c r="K256" s="1621"/>
      <c r="L256" s="1621"/>
      <c r="M256" s="1621"/>
      <c r="N256" s="1621"/>
      <c r="O256" s="1621"/>
      <c r="P256" s="1621"/>
      <c r="Q256" s="1621"/>
      <c r="R256" s="1621"/>
      <c r="S256" s="1622"/>
      <c r="T256" s="1622"/>
      <c r="U256" s="1622"/>
      <c r="V256" s="1622"/>
      <c r="W256" s="1622"/>
      <c r="X256" s="1622"/>
      <c r="Y256" s="1622"/>
      <c r="Z256" s="1622"/>
      <c r="AA256" s="1622"/>
      <c r="AB256" s="1622"/>
      <c r="AC256" s="1622"/>
      <c r="AD256" s="1622"/>
      <c r="AE256" s="1622"/>
      <c r="AF256" s="1621"/>
      <c r="AG256" s="1622"/>
      <c r="AH256" s="1622"/>
      <c r="AI256" s="1622"/>
      <c r="AJ256" s="1622"/>
      <c r="AK256" s="1622"/>
      <c r="AL256" s="1621"/>
      <c r="AM256" s="1622"/>
      <c r="AN256" s="1622"/>
      <c r="AO256" s="1622"/>
      <c r="AP256" s="1622"/>
      <c r="AQ256" s="1622"/>
      <c r="AR256" s="1623"/>
      <c r="AS256" s="1622"/>
      <c r="AT256" s="1622"/>
      <c r="AU256" s="1622"/>
      <c r="AV256" s="1622"/>
      <c r="AW256" s="1622"/>
      <c r="AX256" s="1621"/>
      <c r="AY256" s="1622"/>
      <c r="AZ256" s="1622"/>
      <c r="BA256" s="1622"/>
      <c r="BB256" s="1622"/>
      <c r="BC256" s="1622"/>
      <c r="BD256" s="1621"/>
      <c r="BE256" s="1622"/>
      <c r="BF256" s="1622"/>
      <c r="BG256" s="1622"/>
      <c r="BH256" s="1622"/>
      <c r="BI256" s="1622"/>
      <c r="BJ256" s="1621"/>
      <c r="BK256" s="1623"/>
      <c r="BL256" s="1623"/>
      <c r="BM256" s="1624"/>
      <c r="BN256" s="1624"/>
      <c r="BO256" s="1625"/>
      <c r="BP256" s="1621"/>
      <c r="BQ256" s="1623"/>
      <c r="BR256" s="1623"/>
      <c r="BS256" s="1623"/>
      <c r="BT256" s="1623"/>
      <c r="BU256" s="1625"/>
      <c r="BV256" s="1626"/>
      <c r="BW256" s="1623"/>
      <c r="BX256" s="1623"/>
      <c r="BY256" s="1623"/>
      <c r="BZ256" s="1623"/>
      <c r="CA256" s="1625"/>
      <c r="CB256" s="1621"/>
      <c r="CC256" s="1638">
        <v>258</v>
      </c>
      <c r="CD256" s="1638">
        <v>244</v>
      </c>
      <c r="CE256" s="1639">
        <f>CK256/(1.16)</f>
        <v>248.27586206896552</v>
      </c>
      <c r="CF256" s="1640">
        <v>270</v>
      </c>
      <c r="CG256" s="1627">
        <f>SUM(CC256:CF256)</f>
        <v>1020.2758620689656</v>
      </c>
      <c r="CH256" s="1626"/>
      <c r="CI256" s="1638">
        <v>295</v>
      </c>
      <c r="CJ256" s="1639">
        <f>CK256/(0.99)</f>
        <v>290.90909090909093</v>
      </c>
      <c r="CK256" s="1638">
        <v>288</v>
      </c>
      <c r="CL256" s="1638">
        <v>309</v>
      </c>
      <c r="CM256" s="1627">
        <f>SUM(CI256:CL256)</f>
        <v>1182.909090909091</v>
      </c>
      <c r="CN256" s="1626"/>
      <c r="CO256" s="1639">
        <v>324.5</v>
      </c>
      <c r="CP256" s="1639">
        <v>308</v>
      </c>
      <c r="CQ256" s="1639">
        <v>311</v>
      </c>
      <c r="CR256" s="1638">
        <v>331</v>
      </c>
      <c r="CS256" s="1706">
        <f>SUM(CO256:CR256)</f>
        <v>1274.5</v>
      </c>
      <c r="CT256" s="142"/>
      <c r="CU256" s="1711">
        <v>343</v>
      </c>
      <c r="CV256" s="1711">
        <v>325</v>
      </c>
      <c r="CW256" s="1711">
        <v>302</v>
      </c>
      <c r="CX256" s="1638">
        <v>331</v>
      </c>
      <c r="CY256" s="1706">
        <f>SUM(CU256:CX256)</f>
        <v>1301</v>
      </c>
      <c r="CZ256" s="142"/>
      <c r="DA256" s="1639">
        <v>312</v>
      </c>
      <c r="DB256" s="1711">
        <v>289</v>
      </c>
      <c r="DC256" s="1711">
        <v>275</v>
      </c>
      <c r="DD256" s="1711">
        <v>288</v>
      </c>
      <c r="DE256" s="1706">
        <f>SUM(DA256:DD256)</f>
        <v>1164</v>
      </c>
      <c r="DF256" s="142"/>
      <c r="DG256" s="1639">
        <v>299</v>
      </c>
      <c r="DH256" s="1711">
        <v>307</v>
      </c>
      <c r="DI256" s="1711">
        <v>288</v>
      </c>
      <c r="DJ256" s="1711">
        <v>298</v>
      </c>
      <c r="DK256" s="1706">
        <f>SUM(DG256:DJ256)</f>
        <v>1192</v>
      </c>
      <c r="DL256" s="1626"/>
      <c r="DM256" s="1639">
        <v>299</v>
      </c>
      <c r="DN256" s="1711">
        <v>272</v>
      </c>
      <c r="DO256" s="1711">
        <v>267</v>
      </c>
      <c r="DP256" s="1711">
        <v>296</v>
      </c>
      <c r="DQ256" s="1706">
        <f>SUM(DM256:DP256)</f>
        <v>1134</v>
      </c>
      <c r="DR256" s="147"/>
      <c r="DS256" s="1639">
        <v>299</v>
      </c>
      <c r="DT256" s="1626"/>
      <c r="DU256" s="1626"/>
      <c r="DV256" s="1626"/>
      <c r="DW256" s="1628"/>
      <c r="DX256" s="147"/>
      <c r="DY256" s="1626"/>
      <c r="DZ256" s="1626"/>
      <c r="EA256" s="1626"/>
      <c r="EB256" s="1626"/>
      <c r="EC256" s="1628"/>
      <c r="ED256" s="147"/>
      <c r="EE256" s="1626"/>
      <c r="EF256" s="1626"/>
      <c r="EG256" s="1626"/>
      <c r="EH256" s="1626"/>
      <c r="EI256" s="1628"/>
      <c r="EJ256" s="147"/>
      <c r="EK256" s="1626"/>
      <c r="EL256" s="1626"/>
      <c r="EM256" s="1626"/>
      <c r="EN256" s="1626"/>
      <c r="EO256" s="1628"/>
      <c r="EP256" s="147"/>
      <c r="EQ256" s="1626"/>
      <c r="ER256" s="1626"/>
      <c r="ES256" s="1626"/>
      <c r="ET256" s="1626"/>
      <c r="EU256" s="1628"/>
    </row>
    <row r="257" spans="1:196" ht="12.75" hidden="1" customHeight="1">
      <c r="A257" s="583" t="s">
        <v>345</v>
      </c>
      <c r="B257" s="875"/>
      <c r="C257" s="875"/>
      <c r="D257" s="875"/>
      <c r="E257" s="875"/>
      <c r="F257" s="875"/>
      <c r="G257" s="875"/>
      <c r="H257" s="875"/>
      <c r="I257" s="875"/>
      <c r="J257" s="875"/>
      <c r="K257" s="875"/>
      <c r="L257" s="875"/>
      <c r="M257" s="875"/>
      <c r="N257" s="875"/>
      <c r="O257" s="632"/>
      <c r="P257" s="632"/>
      <c r="Q257" s="632"/>
      <c r="R257" s="632"/>
      <c r="S257" s="632"/>
      <c r="T257" s="1549"/>
      <c r="U257" s="632"/>
      <c r="V257" s="632"/>
      <c r="W257" s="632"/>
      <c r="X257" s="632"/>
      <c r="Y257" s="632"/>
      <c r="Z257" s="1549"/>
      <c r="AA257" s="632"/>
      <c r="AB257" s="632"/>
      <c r="AC257" s="632"/>
      <c r="AD257" s="632"/>
      <c r="AE257" s="632"/>
      <c r="AF257" s="875"/>
      <c r="AG257" s="632"/>
      <c r="AH257" s="632"/>
      <c r="AI257" s="632"/>
      <c r="AJ257" s="632"/>
      <c r="AK257" s="632"/>
      <c r="AL257" s="875"/>
      <c r="AM257" s="632"/>
      <c r="AN257" s="632"/>
      <c r="AO257" s="632"/>
      <c r="AP257" s="632"/>
      <c r="AQ257" s="632"/>
      <c r="AR257" s="980"/>
      <c r="AS257" s="632"/>
      <c r="AT257" s="632"/>
      <c r="AU257" s="632"/>
      <c r="AV257" s="632"/>
      <c r="AW257" s="632"/>
      <c r="AX257" s="875"/>
      <c r="AY257" s="632"/>
      <c r="AZ257" s="632"/>
      <c r="BA257" s="632"/>
      <c r="BB257" s="632"/>
      <c r="BC257" s="632"/>
      <c r="BD257" s="875"/>
      <c r="BE257" s="632"/>
      <c r="BF257" s="632"/>
      <c r="BG257" s="632"/>
      <c r="BH257" s="632"/>
      <c r="BI257" s="632"/>
      <c r="BJ257" s="875"/>
      <c r="BK257" s="632"/>
      <c r="BL257" s="632"/>
      <c r="BM257" s="632"/>
      <c r="BN257" s="632"/>
      <c r="BO257" s="1115"/>
      <c r="BP257" s="875"/>
      <c r="BQ257" s="632"/>
      <c r="BR257" s="632"/>
      <c r="BS257" s="632"/>
      <c r="BT257" s="632"/>
      <c r="BU257" s="1115"/>
      <c r="BV257" s="147"/>
      <c r="BW257" s="632"/>
      <c r="BX257" s="632"/>
      <c r="BY257" s="632"/>
      <c r="BZ257" s="632"/>
      <c r="CA257" s="1115"/>
      <c r="CB257" s="875"/>
      <c r="CC257" s="263"/>
      <c r="CD257" s="263"/>
      <c r="CE257" s="263"/>
      <c r="CF257" s="1500"/>
      <c r="CG257" s="1518"/>
      <c r="CH257" s="147"/>
      <c r="CI257" s="263">
        <f>IF(CC256&lt;&gt;"",CI256/CC256-1,"-")</f>
        <v>0.14341085271317833</v>
      </c>
      <c r="CJ257" s="263">
        <f>IF(CD256&lt;&gt;"",CJ256/CD256-1,"-")</f>
        <v>0.19225037257824162</v>
      </c>
      <c r="CK257" s="263">
        <f>IF(CE256&lt;&gt;"",CK256/CE256-1,"-")</f>
        <v>0.15999999999999992</v>
      </c>
      <c r="CL257" s="263">
        <f>IF(CF256&lt;&gt;"",CL256/CF256-1,"-")</f>
        <v>0.14444444444444438</v>
      </c>
      <c r="CM257" s="1518">
        <f>CM256/CG256-1</f>
        <v>0.15940123145747043</v>
      </c>
      <c r="CN257" s="147"/>
      <c r="CO257" s="263">
        <f>IF(CI256&lt;&gt;"",CO256/CI256-1,"-")</f>
        <v>0.10000000000000009</v>
      </c>
      <c r="CP257" s="263">
        <f>IF(CJ256&lt;&gt;"",CP256/CJ256-1,"-")</f>
        <v>5.8749999999999858E-2</v>
      </c>
      <c r="CQ257" s="263">
        <f>IF(CK256&lt;&gt;"",CQ256/CK256-1,"-")</f>
        <v>7.986111111111116E-2</v>
      </c>
      <c r="CR257" s="263">
        <f>IF(CL256&lt;&gt;"",CR256/CL256-1,"-")</f>
        <v>7.1197411003236288E-2</v>
      </c>
      <c r="CS257" s="1518">
        <f>CS256/CM256-1</f>
        <v>7.7428527513064838E-2</v>
      </c>
      <c r="CT257" s="263"/>
      <c r="CU257" s="263">
        <f>IF(CO256&lt;&gt;"",CU256/CO256-1,"-")</f>
        <v>5.7010785824345156E-2</v>
      </c>
      <c r="CV257" s="263">
        <f>IF(CP256&lt;&gt;"",CV256/CP256-1,"-")</f>
        <v>5.5194805194805241E-2</v>
      </c>
      <c r="CW257" s="263">
        <f>IF(CQ256&lt;&gt;"",CW256/CQ256-1,"-")</f>
        <v>-2.8938906752411619E-2</v>
      </c>
      <c r="CX257" s="263">
        <f>IF(CR256&lt;&gt;"",CX256/CR256-1,"-")</f>
        <v>0</v>
      </c>
      <c r="CY257" s="1518">
        <f>CY256/CS256-1</f>
        <v>2.0792467634366485E-2</v>
      </c>
      <c r="CZ257" s="263"/>
      <c r="DA257" s="263">
        <f>IF(CU256&lt;&gt;"",DA256/CU256-1,"-")</f>
        <v>-9.0379008746355738E-2</v>
      </c>
      <c r="DB257" s="263">
        <f>IF(CV256&lt;&gt;"",DB256/CV256-1,"-")</f>
        <v>-0.11076923076923073</v>
      </c>
      <c r="DC257" s="263">
        <f>IF(CW256&lt;&gt;"",DC256/CW256-1,"-")</f>
        <v>-8.9403973509933787E-2</v>
      </c>
      <c r="DD257" s="263">
        <f>IF(CX256&lt;&gt;"",DD256/CX256-1,"-")</f>
        <v>-0.12990936555891242</v>
      </c>
      <c r="DE257" s="1518">
        <f>DE256/CY256-1</f>
        <v>-0.10530361260568788</v>
      </c>
      <c r="DF257" s="263"/>
      <c r="DG257" s="263">
        <f>IF(DA256&lt;&gt;"",DG256/DA256-1,"-")</f>
        <v>-4.166666666666663E-2</v>
      </c>
      <c r="DH257" s="263">
        <f>IF(DB256&lt;&gt;"",DH256/DB256-1,"-")</f>
        <v>6.2283737024221519E-2</v>
      </c>
      <c r="DI257" s="263">
        <f>IF(DC256&lt;&gt;"",DI256/DC256-1,"-")</f>
        <v>4.7272727272727355E-2</v>
      </c>
      <c r="DJ257" s="263">
        <f>IF(DD256&lt;&gt;"",DJ256/DD256-1,"-")</f>
        <v>3.4722222222222321E-2</v>
      </c>
      <c r="DK257" s="1518">
        <f>DK256/DE256-1</f>
        <v>2.405498281786933E-2</v>
      </c>
      <c r="DL257" s="147"/>
      <c r="DM257" s="263">
        <f>IF(DG256&lt;&gt;"",DM256/DG256-1,"-")</f>
        <v>0</v>
      </c>
      <c r="DN257" s="263">
        <f>IF(DH256&lt;&gt;"",DN256/DH256-1,"-")</f>
        <v>-0.11400651465798051</v>
      </c>
      <c r="DO257" s="263">
        <f>IF(DI256&lt;&gt;"",DO256/DI256-1,"-")</f>
        <v>-7.291666666666663E-2</v>
      </c>
      <c r="DP257" s="263">
        <f>IF(DJ256&lt;&gt;"",DP256/DJ256-1,"-")</f>
        <v>-6.7114093959731447E-3</v>
      </c>
      <c r="DQ257" s="1518">
        <f>DQ256/DK256-1</f>
        <v>-4.8657718120805327E-2</v>
      </c>
      <c r="DR257" s="147"/>
      <c r="DS257" s="263">
        <f>IF(DM256&lt;&gt;"",DS256/DM256-1,"-")</f>
        <v>0</v>
      </c>
      <c r="DT257" s="147"/>
      <c r="DU257" s="147"/>
      <c r="DV257" s="147"/>
      <c r="DW257" s="1096"/>
      <c r="DX257" s="147"/>
      <c r="DY257" s="147"/>
      <c r="DZ257" s="147"/>
      <c r="EA257" s="147"/>
      <c r="EB257" s="147"/>
      <c r="EC257" s="1096"/>
      <c r="ED257" s="147"/>
      <c r="EE257" s="147"/>
      <c r="EF257" s="147"/>
      <c r="EG257" s="147"/>
      <c r="EH257" s="147"/>
      <c r="EI257" s="1096"/>
      <c r="EJ257" s="147"/>
      <c r="EK257" s="147"/>
      <c r="EL257" s="147"/>
      <c r="EM257" s="147"/>
      <c r="EN257" s="147"/>
      <c r="EO257" s="1096"/>
      <c r="EP257" s="147"/>
      <c r="EQ257" s="147"/>
      <c r="ER257" s="147"/>
      <c r="ES257" s="147"/>
      <c r="ET257" s="147"/>
      <c r="EU257" s="1096"/>
    </row>
    <row r="258" spans="1:196" ht="12.75" hidden="1" customHeight="1">
      <c r="A258" s="583" t="s">
        <v>344</v>
      </c>
      <c r="B258" s="875"/>
      <c r="C258" s="875"/>
      <c r="D258" s="875"/>
      <c r="E258" s="875"/>
      <c r="F258" s="875"/>
      <c r="G258" s="875"/>
      <c r="H258" s="875"/>
      <c r="I258" s="875"/>
      <c r="J258" s="875"/>
      <c r="K258" s="875"/>
      <c r="L258" s="875"/>
      <c r="M258" s="875"/>
      <c r="N258" s="875"/>
      <c r="O258" s="632"/>
      <c r="P258" s="632"/>
      <c r="Q258" s="632"/>
      <c r="R258" s="632"/>
      <c r="S258" s="980"/>
      <c r="T258" s="1549"/>
      <c r="U258" s="632"/>
      <c r="V258" s="632"/>
      <c r="W258" s="632"/>
      <c r="X258" s="632"/>
      <c r="Y258" s="980"/>
      <c r="Z258" s="1549"/>
      <c r="AA258" s="632"/>
      <c r="AB258" s="632"/>
      <c r="AC258" s="632"/>
      <c r="AD258" s="632"/>
      <c r="AE258" s="980"/>
      <c r="AF258" s="875"/>
      <c r="AG258" s="632"/>
      <c r="AH258" s="632"/>
      <c r="AI258" s="632"/>
      <c r="AJ258" s="632"/>
      <c r="AK258" s="980"/>
      <c r="AL258" s="875"/>
      <c r="AM258" s="632"/>
      <c r="AN258" s="632"/>
      <c r="AO258" s="632"/>
      <c r="AP258" s="632"/>
      <c r="AQ258" s="980"/>
      <c r="AR258" s="980"/>
      <c r="AS258" s="632"/>
      <c r="AT258" s="632"/>
      <c r="AU258" s="632"/>
      <c r="AV258" s="632"/>
      <c r="AW258" s="980"/>
      <c r="AX258" s="875"/>
      <c r="AY258" s="632">
        <f>(BO209/AW209)^(1/3)-1</f>
        <v>0.55502583347620726</v>
      </c>
      <c r="AZ258" s="632"/>
      <c r="BA258" s="632"/>
      <c r="BB258" s="632"/>
      <c r="BC258" s="980"/>
      <c r="BD258" s="875"/>
      <c r="BE258" s="632"/>
      <c r="BF258" s="632"/>
      <c r="BG258" s="632"/>
      <c r="BH258" s="632"/>
      <c r="BI258" s="980"/>
      <c r="BJ258" s="875"/>
      <c r="BK258" s="632"/>
      <c r="BL258" s="632"/>
      <c r="BM258" s="632"/>
      <c r="BN258" s="632"/>
      <c r="BO258" s="1116"/>
      <c r="BP258" s="875"/>
      <c r="BQ258" s="632"/>
      <c r="BR258" s="632"/>
      <c r="BS258" s="632"/>
      <c r="BT258" s="632"/>
      <c r="BU258" s="1116"/>
      <c r="BV258" s="147"/>
      <c r="BW258" s="632"/>
      <c r="BX258" s="632"/>
      <c r="BY258" s="263"/>
      <c r="BZ258" s="632"/>
      <c r="CA258" s="1116"/>
      <c r="CB258" s="875"/>
      <c r="CC258" s="263"/>
      <c r="CD258" s="263"/>
      <c r="CE258" s="263"/>
      <c r="CF258" s="1500"/>
      <c r="CG258" s="1519"/>
      <c r="CH258" s="147"/>
      <c r="CI258" s="263">
        <f>IF(CF256&lt;&gt;"",CI256/CF256-1,"-")</f>
        <v>9.259259259259256E-2</v>
      </c>
      <c r="CJ258" s="263">
        <f>IF(CI256&lt;&gt;"",CJ256/CI256-1,"-")</f>
        <v>-1.3867488443759513E-2</v>
      </c>
      <c r="CK258" s="263">
        <f>IF(CJ256&lt;&gt;"",CK256/CJ256-1,"-")</f>
        <v>-1.000000000000012E-2</v>
      </c>
      <c r="CL258" s="263">
        <f>IF(CK256&lt;&gt;"",CL256/CK256-1,"-")</f>
        <v>7.2916666666666741E-2</v>
      </c>
      <c r="CM258" s="1519"/>
      <c r="CN258" s="147"/>
      <c r="CO258" s="263">
        <f>IF(CL256&lt;&gt;"",CO256/CL256-1,"-")</f>
        <v>5.0161812297734532E-2</v>
      </c>
      <c r="CP258" s="263">
        <f>IF(CO256&lt;&gt;"",CP256/CO256-1,"-")</f>
        <v>-5.084745762711862E-2</v>
      </c>
      <c r="CQ258" s="263">
        <f>IF(CP256&lt;&gt;"",CQ256/CP256-1,"-")</f>
        <v>9.7402597402598268E-3</v>
      </c>
      <c r="CR258" s="263">
        <f>IF(CQ256&lt;&gt;"",CR256/CQ256-1,"-")</f>
        <v>6.4308681672025747E-2</v>
      </c>
      <c r="CS258" s="1519"/>
      <c r="CT258" s="141"/>
      <c r="CU258" s="263">
        <f>IF(CR256&lt;&gt;"",CU256/CR256-1,"-")</f>
        <v>3.6253776435045237E-2</v>
      </c>
      <c r="CV258" s="263">
        <f>IF(CU256&lt;&gt;"",CV256/CU256-1,"-")</f>
        <v>-5.2478134110787167E-2</v>
      </c>
      <c r="CW258" s="263">
        <f>IF(CV256&lt;&gt;"",CW256/CV256-1,"-")</f>
        <v>-7.0769230769230806E-2</v>
      </c>
      <c r="CX258" s="263">
        <f>IF(CW256&lt;&gt;"",CX256/CW256-1,"-")</f>
        <v>9.6026490066225101E-2</v>
      </c>
      <c r="CY258" s="1519"/>
      <c r="CZ258" s="141"/>
      <c r="DA258" s="263">
        <f>IF(CX256&lt;&gt;"",DA256/CX256-1,"-")</f>
        <v>-5.7401812688821718E-2</v>
      </c>
      <c r="DB258" s="263">
        <f>IF(DA256&lt;&gt;"",DB256/DA256-1,"-")</f>
        <v>-7.3717948717948678E-2</v>
      </c>
      <c r="DC258" s="263">
        <f>IF(DB256&lt;&gt;"",DC256/DB256-1,"-")</f>
        <v>-4.8442906574394429E-2</v>
      </c>
      <c r="DD258" s="263">
        <f>IF(DC256&lt;&gt;"",DD256/DC256-1,"-")</f>
        <v>4.7272727272727355E-2</v>
      </c>
      <c r="DE258" s="1519"/>
      <c r="DF258" s="141"/>
      <c r="DG258" s="263">
        <f>IF(DD256&lt;&gt;"",DG256/DD256-1,"-")</f>
        <v>3.819444444444442E-2</v>
      </c>
      <c r="DH258" s="263">
        <f>IF(DG256&lt;&gt;"",DH256/DG256-1,"-")</f>
        <v>2.6755852842809347E-2</v>
      </c>
      <c r="DI258" s="263">
        <f>IF(DH256&lt;&gt;"",DI256/DH256-1,"-")</f>
        <v>-6.1889250814332275E-2</v>
      </c>
      <c r="DJ258" s="263">
        <f>IF(DI256&lt;&gt;"",DJ256/DI256-1,"-")</f>
        <v>3.4722222222222321E-2</v>
      </c>
      <c r="DK258" s="1519"/>
      <c r="DL258" s="147"/>
      <c r="DM258" s="263">
        <f>IF(DJ256&lt;&gt;"",DM256/DJ256-1,"-")</f>
        <v>3.3557046979866278E-3</v>
      </c>
      <c r="DN258" s="263">
        <f>IF(DM256&lt;&gt;"",DN256/DM256-1,"-")</f>
        <v>-9.0301003344481656E-2</v>
      </c>
      <c r="DO258" s="263">
        <f>IF(DN256&lt;&gt;"",DO256/DN256-1,"-")</f>
        <v>-1.8382352941176516E-2</v>
      </c>
      <c r="DP258" s="263">
        <f>IF(DO256&lt;&gt;"",DP256/DO256-1,"-")</f>
        <v>0.10861423220973787</v>
      </c>
      <c r="DQ258" s="1519"/>
      <c r="DR258" s="147"/>
      <c r="DS258" s="263">
        <f>IF(DP256&lt;&gt;"",DS256/DP256-1,"-")</f>
        <v>1.0135135135135087E-2</v>
      </c>
      <c r="DT258" s="147"/>
      <c r="DU258" s="147"/>
      <c r="DV258" s="147"/>
      <c r="DW258" s="1096"/>
      <c r="DX258" s="147"/>
      <c r="DY258" s="147"/>
      <c r="DZ258" s="147"/>
      <c r="EA258" s="147"/>
      <c r="EB258" s="147"/>
      <c r="EC258" s="1096"/>
      <c r="ED258" s="147"/>
      <c r="EE258" s="147"/>
      <c r="EF258" s="147"/>
      <c r="EG258" s="147"/>
      <c r="EH258" s="147"/>
      <c r="EI258" s="1096"/>
      <c r="EJ258" s="147"/>
      <c r="EK258" s="147"/>
      <c r="EL258" s="147"/>
      <c r="EM258" s="147"/>
      <c r="EN258" s="147"/>
      <c r="EO258" s="1096"/>
      <c r="EP258" s="147"/>
      <c r="EQ258" s="147"/>
      <c r="ER258" s="147"/>
      <c r="ES258" s="147"/>
      <c r="ET258" s="147"/>
      <c r="EU258" s="1096"/>
    </row>
    <row r="259" spans="1:196" ht="12.75" hidden="1" customHeight="1">
      <c r="A259" s="583" t="s">
        <v>5579</v>
      </c>
      <c r="B259" s="875"/>
      <c r="C259" s="875"/>
      <c r="D259" s="875"/>
      <c r="E259" s="875"/>
      <c r="F259" s="875"/>
      <c r="G259" s="875"/>
      <c r="H259" s="875"/>
      <c r="I259" s="875"/>
      <c r="J259" s="875"/>
      <c r="K259" s="875"/>
      <c r="L259" s="875"/>
      <c r="M259" s="875"/>
      <c r="N259" s="875"/>
      <c r="O259" s="632"/>
      <c r="P259" s="632"/>
      <c r="Q259" s="632"/>
      <c r="R259" s="632"/>
      <c r="S259" s="980"/>
      <c r="T259" s="1549"/>
      <c r="U259" s="632"/>
      <c r="V259" s="632"/>
      <c r="W259" s="632"/>
      <c r="X259" s="632"/>
      <c r="Y259" s="980"/>
      <c r="Z259" s="1549"/>
      <c r="AA259" s="632"/>
      <c r="AB259" s="632"/>
      <c r="AC259" s="632"/>
      <c r="AD259" s="632"/>
      <c r="AE259" s="980"/>
      <c r="AF259" s="875"/>
      <c r="AG259" s="632"/>
      <c r="AH259" s="632"/>
      <c r="AI259" s="632"/>
      <c r="AJ259" s="632"/>
      <c r="AK259" s="980"/>
      <c r="AL259" s="875"/>
      <c r="AM259" s="632"/>
      <c r="AN259" s="632"/>
      <c r="AO259" s="632"/>
      <c r="AP259" s="632"/>
      <c r="AQ259" s="980"/>
      <c r="AR259" s="980"/>
      <c r="AS259" s="632"/>
      <c r="AT259" s="632"/>
      <c r="AU259" s="632"/>
      <c r="AV259" s="632"/>
      <c r="AW259" s="980"/>
      <c r="AX259" s="875"/>
      <c r="AY259" s="632"/>
      <c r="AZ259" s="632"/>
      <c r="BA259" s="632"/>
      <c r="BB259" s="632"/>
      <c r="BC259" s="980"/>
      <c r="BD259" s="875"/>
      <c r="BE259" s="632"/>
      <c r="BF259" s="632"/>
      <c r="BG259" s="632"/>
      <c r="BH259" s="632"/>
      <c r="BI259" s="980"/>
      <c r="BJ259" s="875"/>
      <c r="BK259" s="632"/>
      <c r="BL259" s="632"/>
      <c r="BM259" s="632"/>
      <c r="BN259" s="632"/>
      <c r="BO259" s="1115"/>
      <c r="BP259" s="875"/>
      <c r="BQ259" s="632"/>
      <c r="BR259" s="632"/>
      <c r="BS259" s="632"/>
      <c r="BT259" s="632"/>
      <c r="BU259" s="1115"/>
      <c r="BV259" s="147"/>
      <c r="BW259" s="632"/>
      <c r="BX259" s="632"/>
      <c r="BY259" s="632"/>
      <c r="BZ259" s="632"/>
      <c r="CA259" s="1115"/>
      <c r="CB259" s="875"/>
      <c r="CC259" s="263"/>
      <c r="CD259" s="263"/>
      <c r="CE259" s="263"/>
      <c r="CF259" s="1500"/>
      <c r="CG259" s="1518"/>
      <c r="CH259" s="147"/>
      <c r="CI259" s="263">
        <f>CI256/CI$90</f>
        <v>0.62105263157894741</v>
      </c>
      <c r="CJ259" s="263">
        <f>CJ256/CJ$90</f>
        <v>0.61489979054975885</v>
      </c>
      <c r="CK259" s="263">
        <f>CK256/CK$90</f>
        <v>0.60377358490566035</v>
      </c>
      <c r="CL259" s="263">
        <f>CL256/CL$90</f>
        <v>0.58522727272727271</v>
      </c>
      <c r="CM259" s="1518">
        <f>CM256/CM$90</f>
        <v>0.60827330226209231</v>
      </c>
      <c r="CN259" s="147"/>
      <c r="CO259" s="263">
        <f t="shared" ref="CO259:DE259" si="45">CO256/CO$90</f>
        <v>0.61458333333333337</v>
      </c>
      <c r="CP259" s="263">
        <f t="shared" si="45"/>
        <v>0.56307129798903111</v>
      </c>
      <c r="CQ259" s="263">
        <f t="shared" si="45"/>
        <v>0.56648451730418947</v>
      </c>
      <c r="CR259" s="263">
        <f t="shared" si="45"/>
        <v>0.5591216216216216</v>
      </c>
      <c r="CS259" s="1518">
        <f t="shared" si="45"/>
        <v>0.5751353790613718</v>
      </c>
      <c r="CT259" s="263"/>
      <c r="CU259" s="263">
        <f t="shared" si="45"/>
        <v>0.58135593220338988</v>
      </c>
      <c r="CV259" s="263">
        <f t="shared" si="45"/>
        <v>0.5711775043936731</v>
      </c>
      <c r="CW259" s="263">
        <f t="shared" si="45"/>
        <v>0.55109489051094895</v>
      </c>
      <c r="CX259" s="263">
        <f t="shared" si="45"/>
        <v>0.54530477759472817</v>
      </c>
      <c r="CY259" s="1518">
        <f t="shared" si="45"/>
        <v>0.56222990492653413</v>
      </c>
      <c r="CZ259" s="263"/>
      <c r="DA259" s="263">
        <f t="shared" si="45"/>
        <v>0.54640980735551659</v>
      </c>
      <c r="DB259" s="263">
        <f t="shared" si="45"/>
        <v>0.51515151515151514</v>
      </c>
      <c r="DC259" s="263">
        <f t="shared" si="45"/>
        <v>0.49549549549549549</v>
      </c>
      <c r="DD259" s="263">
        <f t="shared" si="45"/>
        <v>0.49063032367972742</v>
      </c>
      <c r="DE259" s="1518">
        <f t="shared" si="45"/>
        <v>0.51187335092348285</v>
      </c>
      <c r="DF259" s="263"/>
      <c r="DG259" s="263">
        <f>DG256/DG$90</f>
        <v>0.50421585160202365</v>
      </c>
      <c r="DH259" s="263">
        <f>DH256/DH$90</f>
        <v>0.48119122257053293</v>
      </c>
      <c r="DI259" s="263">
        <f>DI256/DI$90</f>
        <v>0.46601941747572817</v>
      </c>
      <c r="DJ259" s="263">
        <f>DJ256/DJ$90</f>
        <v>0.44879518072289154</v>
      </c>
      <c r="DK259" s="1518">
        <f>DK256/DK$90</f>
        <v>0.47433346597692</v>
      </c>
      <c r="DL259" s="147"/>
      <c r="DM259" s="263">
        <f>DM256/DM$90</f>
        <v>0.46213292117465227</v>
      </c>
      <c r="DN259" s="263">
        <f>DN256/DN$90</f>
        <v>0.44663382594417078</v>
      </c>
      <c r="DO259" s="263">
        <f>DO256/DO$90</f>
        <v>0.44500000000000001</v>
      </c>
      <c r="DP259" s="263">
        <f>DP256/DP$90</f>
        <v>0.4567901234567901</v>
      </c>
      <c r="DQ259" s="1518">
        <f>DQ256/DQ$90</f>
        <v>0.45287539936102239</v>
      </c>
      <c r="DR259" s="147"/>
      <c r="DS259" s="263">
        <f>DS256/DS$90</f>
        <v>0.583984375</v>
      </c>
      <c r="DT259" s="147"/>
      <c r="DU259" s="147"/>
      <c r="DV259" s="147"/>
      <c r="DW259" s="1096"/>
      <c r="DX259" s="147"/>
      <c r="DY259" s="147"/>
      <c r="DZ259" s="147"/>
      <c r="EA259" s="147"/>
      <c r="EB259" s="147"/>
      <c r="EC259" s="1096"/>
      <c r="ED259" s="147"/>
      <c r="EE259" s="147"/>
      <c r="EF259" s="147"/>
      <c r="EG259" s="147"/>
      <c r="EH259" s="147"/>
      <c r="EI259" s="1096"/>
      <c r="EJ259" s="147"/>
      <c r="EK259" s="147"/>
      <c r="EL259" s="147"/>
      <c r="EM259" s="147"/>
      <c r="EN259" s="147"/>
      <c r="EO259" s="1096"/>
      <c r="EP259" s="147"/>
      <c r="EQ259" s="147"/>
      <c r="ER259" s="147"/>
      <c r="ES259" s="147"/>
      <c r="ET259" s="147"/>
      <c r="EU259" s="1096"/>
    </row>
    <row r="260" spans="1:196" ht="12.75" hidden="1" customHeight="1">
      <c r="A260" s="1629" t="s">
        <v>2792</v>
      </c>
      <c r="B260" s="875"/>
      <c r="C260" s="875"/>
      <c r="D260" s="875"/>
      <c r="E260" s="875"/>
      <c r="F260" s="875"/>
      <c r="G260" s="875"/>
      <c r="H260" s="875"/>
      <c r="I260" s="875"/>
      <c r="J260" s="875"/>
      <c r="K260" s="875"/>
      <c r="L260" s="875"/>
      <c r="M260" s="875"/>
      <c r="N260" s="875"/>
      <c r="O260" s="875"/>
      <c r="P260" s="875"/>
      <c r="Q260" s="875"/>
      <c r="R260" s="875"/>
      <c r="S260" s="1549"/>
      <c r="T260" s="1549"/>
      <c r="U260" s="1549"/>
      <c r="V260" s="1549"/>
      <c r="W260" s="1549"/>
      <c r="X260" s="1549"/>
      <c r="Y260" s="1549"/>
      <c r="Z260" s="1549"/>
      <c r="AA260" s="1549"/>
      <c r="AB260" s="1549"/>
      <c r="AC260" s="1549"/>
      <c r="AD260" s="1549"/>
      <c r="AE260" s="1549"/>
      <c r="AF260" s="875"/>
      <c r="AG260" s="1549"/>
      <c r="AH260" s="1549"/>
      <c r="AI260" s="1549"/>
      <c r="AJ260" s="1549"/>
      <c r="AK260" s="1549"/>
      <c r="AL260" s="875"/>
      <c r="AM260" s="1549"/>
      <c r="AN260" s="1549"/>
      <c r="AO260" s="1549"/>
      <c r="AP260" s="1549"/>
      <c r="AQ260" s="1549"/>
      <c r="AR260" s="980"/>
      <c r="AS260" s="1549"/>
      <c r="AT260" s="1549"/>
      <c r="AU260" s="1549"/>
      <c r="AV260" s="1549"/>
      <c r="AW260" s="1549"/>
      <c r="AX260" s="875"/>
      <c r="AY260" s="1549"/>
      <c r="AZ260" s="1549"/>
      <c r="BA260" s="1549"/>
      <c r="BB260" s="1549"/>
      <c r="BC260" s="1549"/>
      <c r="BD260" s="875"/>
      <c r="BE260" s="1549"/>
      <c r="BF260" s="1549"/>
      <c r="BG260" s="1549"/>
      <c r="BH260" s="1549"/>
      <c r="BI260" s="1549"/>
      <c r="BJ260" s="875"/>
      <c r="BK260" s="893"/>
      <c r="BL260" s="893"/>
      <c r="BM260" s="893"/>
      <c r="BN260" s="893"/>
      <c r="BO260" s="1348"/>
      <c r="BP260" s="875"/>
      <c r="BQ260" s="980"/>
      <c r="BR260" s="980"/>
      <c r="BS260" s="980"/>
      <c r="BT260" s="980"/>
      <c r="BU260" s="1348"/>
      <c r="BV260" s="147"/>
      <c r="BW260" s="980"/>
      <c r="BX260" s="980"/>
      <c r="BY260" s="980"/>
      <c r="BZ260" s="980"/>
      <c r="CA260" s="1348"/>
      <c r="CB260" s="875"/>
      <c r="CC260" s="141">
        <v>79</v>
      </c>
      <c r="CD260" s="141">
        <v>85</v>
      </c>
      <c r="CE260" s="142">
        <f>CK260/(1.24)</f>
        <v>89.516129032258064</v>
      </c>
      <c r="CF260" s="1504">
        <v>99</v>
      </c>
      <c r="CG260" s="1523">
        <f>SUM(CC260:CF260)</f>
        <v>352.51612903225805</v>
      </c>
      <c r="CH260" s="147"/>
      <c r="CI260" s="141">
        <v>104</v>
      </c>
      <c r="CJ260" s="142">
        <v>109</v>
      </c>
      <c r="CK260" s="141">
        <v>111</v>
      </c>
      <c r="CL260" s="141">
        <v>129</v>
      </c>
      <c r="CM260" s="1523">
        <f>SUM(CI260:CL260)</f>
        <v>453</v>
      </c>
      <c r="CN260" s="147"/>
      <c r="CO260" s="141">
        <v>124</v>
      </c>
      <c r="CP260" s="142">
        <v>158</v>
      </c>
      <c r="CQ260" s="142">
        <v>151</v>
      </c>
      <c r="CR260" s="141">
        <v>162</v>
      </c>
      <c r="CS260" s="1523">
        <f>SUM(CO260:CR260)</f>
        <v>595</v>
      </c>
      <c r="CT260" s="142"/>
      <c r="CU260" s="175">
        <v>164</v>
      </c>
      <c r="CV260" s="175">
        <v>164</v>
      </c>
      <c r="CW260" s="175">
        <v>164</v>
      </c>
      <c r="CX260" s="141">
        <v>188</v>
      </c>
      <c r="CY260" s="1523">
        <f>SUM(CU260:CX260)</f>
        <v>680</v>
      </c>
      <c r="CZ260" s="142"/>
      <c r="DA260" s="142">
        <v>176</v>
      </c>
      <c r="DB260" s="175">
        <v>193</v>
      </c>
      <c r="DC260" s="175">
        <v>199</v>
      </c>
      <c r="DD260" s="175">
        <v>216</v>
      </c>
      <c r="DE260" s="1523">
        <f>SUM(DA260:DD260)</f>
        <v>784</v>
      </c>
      <c r="DF260" s="142"/>
      <c r="DG260" s="142">
        <v>210</v>
      </c>
      <c r="DH260" s="175">
        <v>232</v>
      </c>
      <c r="DI260" s="175">
        <v>225</v>
      </c>
      <c r="DJ260" s="175">
        <v>249</v>
      </c>
      <c r="DK260" s="1523">
        <f>SUM(DG260:DJ260)</f>
        <v>916</v>
      </c>
      <c r="DL260" s="147"/>
      <c r="DM260" s="142">
        <v>240</v>
      </c>
      <c r="DN260" s="175">
        <v>226</v>
      </c>
      <c r="DO260" s="175">
        <v>218</v>
      </c>
      <c r="DP260" s="175">
        <v>232</v>
      </c>
      <c r="DQ260" s="1523">
        <f>SUM(DM260:DP260)</f>
        <v>916</v>
      </c>
      <c r="DR260" s="147"/>
      <c r="DS260" s="142">
        <v>240</v>
      </c>
      <c r="DT260" s="147"/>
      <c r="DU260" s="147"/>
      <c r="DV260" s="147"/>
      <c r="DW260" s="1096"/>
      <c r="DX260" s="147"/>
      <c r="DY260" s="147"/>
      <c r="DZ260" s="147"/>
      <c r="EA260" s="147"/>
      <c r="EB260" s="147"/>
      <c r="EC260" s="1096"/>
      <c r="ED260" s="147"/>
      <c r="EE260" s="147"/>
      <c r="EF260" s="147"/>
      <c r="EG260" s="147"/>
      <c r="EH260" s="147"/>
      <c r="EI260" s="1096"/>
      <c r="EJ260" s="147"/>
      <c r="EK260" s="147"/>
      <c r="EL260" s="147"/>
      <c r="EM260" s="147"/>
      <c r="EN260" s="147"/>
      <c r="EO260" s="1096"/>
      <c r="EP260" s="147"/>
      <c r="EQ260" s="147"/>
      <c r="ER260" s="147"/>
      <c r="ES260" s="147"/>
      <c r="ET260" s="147"/>
      <c r="EU260" s="1096"/>
    </row>
    <row r="261" spans="1:196" ht="12.75" hidden="1" customHeight="1">
      <c r="A261" s="583" t="s">
        <v>345</v>
      </c>
      <c r="B261" s="875"/>
      <c r="C261" s="875"/>
      <c r="D261" s="875"/>
      <c r="E261" s="875"/>
      <c r="F261" s="875"/>
      <c r="G261" s="875"/>
      <c r="H261" s="875"/>
      <c r="I261" s="875"/>
      <c r="J261" s="875"/>
      <c r="K261" s="875"/>
      <c r="L261" s="875"/>
      <c r="M261" s="875"/>
      <c r="N261" s="875"/>
      <c r="O261" s="632"/>
      <c r="P261" s="632"/>
      <c r="Q261" s="632"/>
      <c r="R261" s="632"/>
      <c r="S261" s="632"/>
      <c r="T261" s="1549"/>
      <c r="U261" s="632"/>
      <c r="V261" s="632"/>
      <c r="W261" s="632"/>
      <c r="X261" s="632"/>
      <c r="Y261" s="632"/>
      <c r="Z261" s="1549"/>
      <c r="AA261" s="632"/>
      <c r="AB261" s="632"/>
      <c r="AC261" s="632"/>
      <c r="AD261" s="632"/>
      <c r="AE261" s="632"/>
      <c r="AF261" s="875"/>
      <c r="AG261" s="632"/>
      <c r="AH261" s="632"/>
      <c r="AI261" s="632"/>
      <c r="AJ261" s="632"/>
      <c r="AK261" s="632"/>
      <c r="AL261" s="875"/>
      <c r="AM261" s="632"/>
      <c r="AN261" s="632"/>
      <c r="AO261" s="632"/>
      <c r="AP261" s="632"/>
      <c r="AQ261" s="632"/>
      <c r="AR261" s="980"/>
      <c r="AS261" s="632"/>
      <c r="AT261" s="632"/>
      <c r="AU261" s="632"/>
      <c r="AV261" s="632"/>
      <c r="AW261" s="632"/>
      <c r="AX261" s="875"/>
      <c r="AY261" s="632"/>
      <c r="AZ261" s="632"/>
      <c r="BA261" s="632"/>
      <c r="BB261" s="632"/>
      <c r="BC261" s="632"/>
      <c r="BD261" s="875"/>
      <c r="BE261" s="632"/>
      <c r="BF261" s="632"/>
      <c r="BG261" s="632"/>
      <c r="BH261" s="632"/>
      <c r="BI261" s="632"/>
      <c r="BJ261" s="875"/>
      <c r="BK261" s="632"/>
      <c r="BL261" s="632"/>
      <c r="BM261" s="632"/>
      <c r="BN261" s="632"/>
      <c r="BO261" s="1115"/>
      <c r="BP261" s="875"/>
      <c r="BQ261" s="632"/>
      <c r="BR261" s="632"/>
      <c r="BS261" s="632"/>
      <c r="BT261" s="632"/>
      <c r="BU261" s="1115"/>
      <c r="BV261" s="147"/>
      <c r="BW261" s="632"/>
      <c r="BX261" s="632"/>
      <c r="BY261" s="632"/>
      <c r="BZ261" s="632"/>
      <c r="CA261" s="1115"/>
      <c r="CB261" s="875"/>
      <c r="CC261" s="263"/>
      <c r="CD261" s="263"/>
      <c r="CE261" s="263"/>
      <c r="CF261" s="1500"/>
      <c r="CG261" s="1518"/>
      <c r="CH261" s="147"/>
      <c r="CI261" s="263">
        <f>IF(CC260&lt;&gt;"",CI260/CC260-1,"-")</f>
        <v>0.31645569620253156</v>
      </c>
      <c r="CJ261" s="263">
        <f>IF(CD260&lt;&gt;"",CJ260/CD260-1,"-")</f>
        <v>0.2823529411764707</v>
      </c>
      <c r="CK261" s="263">
        <f>IF(CE260&lt;&gt;"",CK260/CE260-1,"-")</f>
        <v>0.24</v>
      </c>
      <c r="CL261" s="263">
        <f>IF(CF260&lt;&gt;"",CL260/CF260-1,"-")</f>
        <v>0.30303030303030298</v>
      </c>
      <c r="CM261" s="1518">
        <f>CM260/CG260-1</f>
        <v>0.2850475841874085</v>
      </c>
      <c r="CN261" s="147"/>
      <c r="CO261" s="263">
        <f>IF(CI260&lt;&gt;"",CO260/CI260-1,"-")</f>
        <v>0.19230769230769229</v>
      </c>
      <c r="CP261" s="263">
        <f>IF(CJ260&lt;&gt;"",CP260/CJ260-1,"-")</f>
        <v>0.44954128440366969</v>
      </c>
      <c r="CQ261" s="263">
        <f>IF(CK260&lt;&gt;"",CQ260/CK260-1,"-")</f>
        <v>0.36036036036036045</v>
      </c>
      <c r="CR261" s="263">
        <f>IF(CL260&lt;&gt;"",CR260/CL260-1,"-")</f>
        <v>0.2558139534883721</v>
      </c>
      <c r="CS261" s="1518">
        <f>CS260/CM260-1</f>
        <v>0.31346578366445921</v>
      </c>
      <c r="CT261" s="263"/>
      <c r="CU261" s="263">
        <f>IF(CO260&lt;&gt;"",CU260/CO260-1,"-")</f>
        <v>0.32258064516129026</v>
      </c>
      <c r="CV261" s="263">
        <f>IF(CP260&lt;&gt;"",CV260/CP260-1,"-")</f>
        <v>3.7974683544303778E-2</v>
      </c>
      <c r="CW261" s="263">
        <f>IF(CQ260&lt;&gt;"",CW260/CQ260-1,"-")</f>
        <v>8.6092715231788075E-2</v>
      </c>
      <c r="CX261" s="263">
        <f>IF(CR260&lt;&gt;"",CX260/CR260-1,"-")</f>
        <v>0.16049382716049387</v>
      </c>
      <c r="CY261" s="1518">
        <f>CY260/CS260-1</f>
        <v>0.14285714285714279</v>
      </c>
      <c r="CZ261" s="263"/>
      <c r="DA261" s="263">
        <f>IF(CU260&lt;&gt;"",DA260/CU260-1,"-")</f>
        <v>7.3170731707317138E-2</v>
      </c>
      <c r="DB261" s="263">
        <f>IF(CV260&lt;&gt;"",DB260/CV260-1,"-")</f>
        <v>0.17682926829268286</v>
      </c>
      <c r="DC261" s="263">
        <f>IF(CW260&lt;&gt;"",DC260/CW260-1,"-")</f>
        <v>0.21341463414634143</v>
      </c>
      <c r="DD261" s="263">
        <f>IF(CX260&lt;&gt;"",DD260/CX260-1,"-")</f>
        <v>0.14893617021276606</v>
      </c>
      <c r="DE261" s="1518">
        <f>DE260/CY260-1</f>
        <v>0.15294117647058814</v>
      </c>
      <c r="DF261" s="263"/>
      <c r="DG261" s="263">
        <f>IF(DA260&lt;&gt;"",DG260/DA260-1,"-")</f>
        <v>0.19318181818181812</v>
      </c>
      <c r="DH261" s="263">
        <f>IF(DB260&lt;&gt;"",DH260/DB260-1,"-")</f>
        <v>0.20207253886010368</v>
      </c>
      <c r="DI261" s="263">
        <f>IF(DC260&lt;&gt;"",DI260/DC260-1,"-")</f>
        <v>0.13065326633165819</v>
      </c>
      <c r="DJ261" s="263">
        <f>IF(DD260&lt;&gt;"",DJ260/DD260-1,"-")</f>
        <v>0.15277777777777768</v>
      </c>
      <c r="DK261" s="1518">
        <f>DK260/DE260-1</f>
        <v>0.16836734693877542</v>
      </c>
      <c r="DL261" s="147"/>
      <c r="DM261" s="263">
        <f>IF(DG260&lt;&gt;"",DM260/DG260-1,"-")</f>
        <v>0.14285714285714279</v>
      </c>
      <c r="DN261" s="263">
        <f>IF(DH260&lt;&gt;"",DN260/DH260-1,"-")</f>
        <v>-2.5862068965517238E-2</v>
      </c>
      <c r="DO261" s="263">
        <f>IF(DI260&lt;&gt;"",DO260/DI260-1,"-")</f>
        <v>-3.1111111111111089E-2</v>
      </c>
      <c r="DP261" s="263">
        <f>IF(DJ260&lt;&gt;"",DP260/DJ260-1,"-")</f>
        <v>-6.8273092369477872E-2</v>
      </c>
      <c r="DQ261" s="1518">
        <f>DQ260/DK260-1</f>
        <v>0</v>
      </c>
      <c r="DR261" s="147"/>
      <c r="DS261" s="263">
        <f>IF(DM260&lt;&gt;"",DS260/DM260-1,"-")</f>
        <v>0</v>
      </c>
      <c r="DT261" s="147"/>
      <c r="DU261" s="147"/>
      <c r="DV261" s="147"/>
      <c r="DW261" s="1096"/>
      <c r="DX261" s="147"/>
      <c r="DY261" s="147"/>
      <c r="DZ261" s="147"/>
      <c r="EA261" s="147"/>
      <c r="EB261" s="147"/>
      <c r="EC261" s="1096"/>
      <c r="ED261" s="147"/>
      <c r="EE261" s="147"/>
      <c r="EF261" s="147"/>
      <c r="EG261" s="147"/>
      <c r="EH261" s="147"/>
      <c r="EI261" s="1096"/>
      <c r="EJ261" s="147"/>
      <c r="EK261" s="147"/>
      <c r="EL261" s="147"/>
      <c r="EM261" s="147"/>
      <c r="EN261" s="147"/>
      <c r="EO261" s="1096"/>
      <c r="EP261" s="147"/>
      <c r="EQ261" s="147"/>
      <c r="ER261" s="147"/>
      <c r="ES261" s="147"/>
      <c r="ET261" s="147"/>
      <c r="EU261" s="1096"/>
    </row>
    <row r="262" spans="1:196" ht="9" hidden="1" customHeight="1">
      <c r="A262" s="583" t="s">
        <v>344</v>
      </c>
      <c r="B262" s="875"/>
      <c r="C262" s="875"/>
      <c r="D262" s="875"/>
      <c r="E262" s="875"/>
      <c r="F262" s="875"/>
      <c r="G262" s="875"/>
      <c r="H262" s="875"/>
      <c r="I262" s="875"/>
      <c r="J262" s="875"/>
      <c r="K262" s="875"/>
      <c r="L262" s="875"/>
      <c r="M262" s="875"/>
      <c r="N262" s="875"/>
      <c r="O262" s="632"/>
      <c r="P262" s="632"/>
      <c r="Q262" s="632"/>
      <c r="R262" s="632"/>
      <c r="S262" s="980"/>
      <c r="T262" s="1549"/>
      <c r="U262" s="632"/>
      <c r="V262" s="632"/>
      <c r="W262" s="632"/>
      <c r="X262" s="632"/>
      <c r="Y262" s="980"/>
      <c r="Z262" s="1549"/>
      <c r="AA262" s="632"/>
      <c r="AB262" s="632"/>
      <c r="AC262" s="632"/>
      <c r="AD262" s="632"/>
      <c r="AE262" s="980"/>
      <c r="AF262" s="875"/>
      <c r="AG262" s="632"/>
      <c r="AH262" s="632"/>
      <c r="AI262" s="632"/>
      <c r="AJ262" s="632"/>
      <c r="AK262" s="980"/>
      <c r="AL262" s="875"/>
      <c r="AM262" s="632"/>
      <c r="AN262" s="632"/>
      <c r="AO262" s="632"/>
      <c r="AP262" s="632"/>
      <c r="AQ262" s="980"/>
      <c r="AR262" s="980"/>
      <c r="AS262" s="632"/>
      <c r="AT262" s="632"/>
      <c r="AU262" s="632"/>
      <c r="AV262" s="632"/>
      <c r="AW262" s="980"/>
      <c r="AX262" s="875"/>
      <c r="AY262" s="632"/>
      <c r="AZ262" s="632"/>
      <c r="BA262" s="632"/>
      <c r="BB262" s="632"/>
      <c r="BC262" s="980"/>
      <c r="BD262" s="875"/>
      <c r="BE262" s="632"/>
      <c r="BF262" s="632"/>
      <c r="BG262" s="632"/>
      <c r="BH262" s="632"/>
      <c r="BI262" s="980"/>
      <c r="BJ262" s="875"/>
      <c r="BK262" s="632"/>
      <c r="BL262" s="632"/>
      <c r="BM262" s="632"/>
      <c r="BN262" s="632"/>
      <c r="BO262" s="1116"/>
      <c r="BP262" s="875"/>
      <c r="BQ262" s="632"/>
      <c r="BR262" s="632"/>
      <c r="BS262" s="632"/>
      <c r="BT262" s="632"/>
      <c r="BU262" s="1116"/>
      <c r="BV262" s="147"/>
      <c r="BW262" s="632"/>
      <c r="BX262" s="632"/>
      <c r="BY262" s="263"/>
      <c r="BZ262" s="632"/>
      <c r="CA262" s="1116"/>
      <c r="CB262" s="875"/>
      <c r="CC262" s="263"/>
      <c r="CD262" s="263"/>
      <c r="CE262" s="263"/>
      <c r="CF262" s="1500"/>
      <c r="CG262" s="1519"/>
      <c r="CH262" s="147"/>
      <c r="CI262" s="263">
        <f>IF(CF260&lt;&gt;"",CI260/CF260-1,"-")</f>
        <v>5.0505050505050608E-2</v>
      </c>
      <c r="CJ262" s="263">
        <f>IF(CI260&lt;&gt;"",CJ260/CI260-1,"-")</f>
        <v>4.8076923076923128E-2</v>
      </c>
      <c r="CK262" s="263">
        <f>IF(CJ260&lt;&gt;"",CK260/CJ260-1,"-")</f>
        <v>1.8348623853210899E-2</v>
      </c>
      <c r="CL262" s="263">
        <f>IF(CK260&lt;&gt;"",CL260/CK260-1,"-")</f>
        <v>0.16216216216216206</v>
      </c>
      <c r="CM262" s="1519"/>
      <c r="CN262" s="147"/>
      <c r="CO262" s="263">
        <f>IF(CL260&lt;&gt;"",CO260/CL260-1,"-")</f>
        <v>-3.8759689922480578E-2</v>
      </c>
      <c r="CP262" s="263">
        <f>IF(CO260&lt;&gt;"",CP260/CO260-1,"-")</f>
        <v>0.27419354838709675</v>
      </c>
      <c r="CQ262" s="263">
        <f>IF(CP260&lt;&gt;"",CQ260/CP260-1,"-")</f>
        <v>-4.4303797468354444E-2</v>
      </c>
      <c r="CR262" s="263">
        <f>IF(CQ260&lt;&gt;"",CR260/CQ260-1,"-")</f>
        <v>7.2847682119205226E-2</v>
      </c>
      <c r="CS262" s="1519"/>
      <c r="CT262" s="141"/>
      <c r="CU262" s="263">
        <f>IF(CR260&lt;&gt;"",CU260/CR260-1,"-")</f>
        <v>1.2345679012345734E-2</v>
      </c>
      <c r="CV262" s="263">
        <f>IF(CU260&lt;&gt;"",CV260/CU260-1,"-")</f>
        <v>0</v>
      </c>
      <c r="CW262" s="263">
        <f>IF(CV260&lt;&gt;"",CW260/CV260-1,"-")</f>
        <v>0</v>
      </c>
      <c r="CX262" s="263">
        <f>IF(CW260&lt;&gt;"",CX260/CW260-1,"-")</f>
        <v>0.14634146341463405</v>
      </c>
      <c r="CY262" s="1519"/>
      <c r="CZ262" s="141"/>
      <c r="DA262" s="263">
        <f>IF(CX260&lt;&gt;"",DA260/CX260-1,"-")</f>
        <v>-6.3829787234042534E-2</v>
      </c>
      <c r="DB262" s="263">
        <f>IF(DA260&lt;&gt;"",DB260/DA260-1,"-")</f>
        <v>9.6590909090909172E-2</v>
      </c>
      <c r="DC262" s="263">
        <f>IF(DB260&lt;&gt;"",DC260/DB260-1,"-")</f>
        <v>3.1088082901554515E-2</v>
      </c>
      <c r="DD262" s="263">
        <f>IF(DC260&lt;&gt;"",DD260/DC260-1,"-")</f>
        <v>8.5427135678391997E-2</v>
      </c>
      <c r="DE262" s="1519"/>
      <c r="DF262" s="141"/>
      <c r="DG262" s="263">
        <f>IF(DD260&lt;&gt;"",DG260/DD260-1,"-")</f>
        <v>-2.777777777777779E-2</v>
      </c>
      <c r="DH262" s="263">
        <f>IF(DG260&lt;&gt;"",DH260/DG260-1,"-")</f>
        <v>0.10476190476190483</v>
      </c>
      <c r="DI262" s="263">
        <f>IF(DH260&lt;&gt;"",DI260/DH260-1,"-")</f>
        <v>-3.0172413793103425E-2</v>
      </c>
      <c r="DJ262" s="263">
        <f>IF(DI260&lt;&gt;"",DJ260/DI260-1,"-")</f>
        <v>0.10666666666666669</v>
      </c>
      <c r="DK262" s="1519"/>
      <c r="DL262" s="147"/>
      <c r="DM262" s="263">
        <f>IF(DJ260&lt;&gt;"",DM260/DJ260-1,"-")</f>
        <v>-3.6144578313253017E-2</v>
      </c>
      <c r="DN262" s="263">
        <f>IF(DM260&lt;&gt;"",DN260/DM260-1,"-")</f>
        <v>-5.8333333333333348E-2</v>
      </c>
      <c r="DO262" s="263">
        <f>IF(DN260&lt;&gt;"",DO260/DN260-1,"-")</f>
        <v>-3.539823008849563E-2</v>
      </c>
      <c r="DP262" s="263">
        <f>IF(DO260&lt;&gt;"",DP260/DO260-1,"-")</f>
        <v>6.4220183486238591E-2</v>
      </c>
      <c r="DQ262" s="1519"/>
      <c r="DR262" s="147"/>
      <c r="DS262" s="263">
        <f>IF(DP260&lt;&gt;"",DS260/DP260-1,"-")</f>
        <v>3.4482758620689724E-2</v>
      </c>
      <c r="DT262" s="147"/>
      <c r="DU262" s="147"/>
      <c r="DV262" s="147"/>
      <c r="DW262" s="1096"/>
      <c r="DX262" s="147"/>
      <c r="DY262" s="147"/>
      <c r="DZ262" s="147"/>
      <c r="EA262" s="147"/>
      <c r="EB262" s="147"/>
      <c r="EC262" s="1096"/>
      <c r="ED262" s="147"/>
      <c r="EE262" s="147"/>
      <c r="EF262" s="147"/>
      <c r="EG262" s="147"/>
      <c r="EH262" s="147"/>
      <c r="EI262" s="1096"/>
      <c r="EJ262" s="147"/>
      <c r="EK262" s="147"/>
      <c r="EL262" s="147"/>
      <c r="EM262" s="147"/>
      <c r="EN262" s="147"/>
      <c r="EO262" s="1096"/>
      <c r="EP262" s="147"/>
      <c r="EQ262" s="147"/>
      <c r="ER262" s="147"/>
      <c r="ES262" s="147"/>
      <c r="ET262" s="147"/>
      <c r="EU262" s="1096"/>
    </row>
    <row r="263" spans="1:196" ht="12.75" hidden="1" customHeight="1">
      <c r="A263" s="583" t="s">
        <v>5579</v>
      </c>
      <c r="B263" s="875"/>
      <c r="C263" s="875"/>
      <c r="D263" s="875"/>
      <c r="E263" s="875"/>
      <c r="F263" s="875"/>
      <c r="G263" s="875"/>
      <c r="H263" s="875"/>
      <c r="I263" s="875"/>
      <c r="J263" s="875"/>
      <c r="K263" s="875"/>
      <c r="L263" s="875"/>
      <c r="M263" s="875"/>
      <c r="N263" s="875"/>
      <c r="O263" s="632"/>
      <c r="P263" s="632"/>
      <c r="Q263" s="632"/>
      <c r="R263" s="632"/>
      <c r="S263" s="980"/>
      <c r="T263" s="1549"/>
      <c r="U263" s="632"/>
      <c r="V263" s="632"/>
      <c r="W263" s="632"/>
      <c r="X263" s="632"/>
      <c r="Y263" s="980"/>
      <c r="Z263" s="1549"/>
      <c r="AA263" s="632"/>
      <c r="AB263" s="632"/>
      <c r="AC263" s="632"/>
      <c r="AD263" s="632"/>
      <c r="AE263" s="980"/>
      <c r="AF263" s="875"/>
      <c r="AG263" s="632"/>
      <c r="AH263" s="632"/>
      <c r="AI263" s="632"/>
      <c r="AJ263" s="632"/>
      <c r="AK263" s="980"/>
      <c r="AL263" s="875"/>
      <c r="AM263" s="632"/>
      <c r="AN263" s="632"/>
      <c r="AO263" s="632"/>
      <c r="AP263" s="632"/>
      <c r="AQ263" s="980"/>
      <c r="AR263" s="980"/>
      <c r="AS263" s="632"/>
      <c r="AT263" s="632"/>
      <c r="AU263" s="632"/>
      <c r="AV263" s="632"/>
      <c r="AW263" s="980"/>
      <c r="AX263" s="875"/>
      <c r="AY263" s="632"/>
      <c r="AZ263" s="632"/>
      <c r="BA263" s="632"/>
      <c r="BB263" s="632"/>
      <c r="BC263" s="980"/>
      <c r="BD263" s="875"/>
      <c r="BE263" s="632"/>
      <c r="BF263" s="632"/>
      <c r="BG263" s="632"/>
      <c r="BH263" s="632"/>
      <c r="BI263" s="980"/>
      <c r="BJ263" s="875"/>
      <c r="BK263" s="632"/>
      <c r="BL263" s="632"/>
      <c r="BM263" s="632"/>
      <c r="BN263" s="632"/>
      <c r="BO263" s="1115"/>
      <c r="BP263" s="875"/>
      <c r="BQ263" s="632"/>
      <c r="BR263" s="632"/>
      <c r="BS263" s="632"/>
      <c r="BT263" s="632"/>
      <c r="BU263" s="1115"/>
      <c r="BV263" s="147"/>
      <c r="BW263" s="632"/>
      <c r="BX263" s="632"/>
      <c r="BY263" s="632"/>
      <c r="BZ263" s="632"/>
      <c r="CA263" s="1115"/>
      <c r="CB263" s="875"/>
      <c r="CC263" s="263"/>
      <c r="CD263" s="263"/>
      <c r="CE263" s="263"/>
      <c r="CF263" s="1500"/>
      <c r="CG263" s="1518"/>
      <c r="CH263" s="147"/>
      <c r="CI263" s="263">
        <f>CI260/CI$90</f>
        <v>0.21894736842105264</v>
      </c>
      <c r="CJ263" s="263">
        <f>CJ260/CJ$90</f>
        <v>0.23039526527161275</v>
      </c>
      <c r="CK263" s="263">
        <f>CK260/CK$90</f>
        <v>0.23270440251572327</v>
      </c>
      <c r="CL263" s="263">
        <f>CL260/CL$90</f>
        <v>0.24431818181818182</v>
      </c>
      <c r="CM263" s="1518">
        <f>CM260/CM$90</f>
        <v>0.23294081349308376</v>
      </c>
      <c r="CN263" s="147"/>
      <c r="CO263" s="263">
        <f t="shared" ref="CO263:DE263" si="46">CO260/CO$90</f>
        <v>0.23484848484848486</v>
      </c>
      <c r="CP263" s="263">
        <f t="shared" si="46"/>
        <v>0.28884826325411334</v>
      </c>
      <c r="CQ263" s="263">
        <f t="shared" si="46"/>
        <v>0.27504553734061932</v>
      </c>
      <c r="CR263" s="263">
        <f t="shared" si="46"/>
        <v>0.27364864864864863</v>
      </c>
      <c r="CS263" s="1518">
        <f t="shared" si="46"/>
        <v>0.26850180505415161</v>
      </c>
      <c r="CT263" s="263"/>
      <c r="CU263" s="263">
        <f t="shared" si="46"/>
        <v>0.27796610169491526</v>
      </c>
      <c r="CV263" s="263">
        <f t="shared" si="46"/>
        <v>0.28822495606326887</v>
      </c>
      <c r="CW263" s="263">
        <f t="shared" si="46"/>
        <v>0.29927007299270075</v>
      </c>
      <c r="CX263" s="263">
        <f t="shared" si="46"/>
        <v>0.30971993410214166</v>
      </c>
      <c r="CY263" s="1518">
        <f t="shared" si="46"/>
        <v>0.29386343993085567</v>
      </c>
      <c r="CZ263" s="263"/>
      <c r="DA263" s="263">
        <f t="shared" si="46"/>
        <v>0.30823117338003503</v>
      </c>
      <c r="DB263" s="263">
        <f t="shared" si="46"/>
        <v>0.34402852049910876</v>
      </c>
      <c r="DC263" s="263">
        <f t="shared" si="46"/>
        <v>0.35855855855855856</v>
      </c>
      <c r="DD263" s="263">
        <f t="shared" si="46"/>
        <v>0.36797274275979558</v>
      </c>
      <c r="DE263" s="1518">
        <f t="shared" si="46"/>
        <v>0.34476693051890939</v>
      </c>
      <c r="DF263" s="263"/>
      <c r="DG263" s="263">
        <f>DG260/DG$90</f>
        <v>0.35413153456998314</v>
      </c>
      <c r="DH263" s="263">
        <f>DH260/DH$90</f>
        <v>0.36363636363636365</v>
      </c>
      <c r="DI263" s="263">
        <f>DI260/DI$90</f>
        <v>0.36407766990291263</v>
      </c>
      <c r="DJ263" s="263">
        <f>DJ260/DJ$90</f>
        <v>0.375</v>
      </c>
      <c r="DK263" s="1518">
        <f>DK260/DK$90</f>
        <v>0.36450457620374055</v>
      </c>
      <c r="DL263" s="147"/>
      <c r="DM263" s="263">
        <f>DM260/DM$90</f>
        <v>0.37094281298299847</v>
      </c>
      <c r="DN263" s="263">
        <f>DN260/DN$90</f>
        <v>0.37110016420361247</v>
      </c>
      <c r="DO263" s="263">
        <f>DO260/DO$90</f>
        <v>0.36333333333333334</v>
      </c>
      <c r="DP263" s="263">
        <f>DP260/DP$90</f>
        <v>0.35802469135802467</v>
      </c>
      <c r="DQ263" s="1518">
        <f>DQ260/DQ$90</f>
        <v>0.36581469648562298</v>
      </c>
      <c r="DR263" s="147"/>
      <c r="DS263" s="263">
        <f>DS260/DS$90</f>
        <v>0.46875</v>
      </c>
      <c r="DT263" s="147"/>
      <c r="DU263" s="147"/>
      <c r="DV263" s="147"/>
      <c r="DW263" s="1096"/>
      <c r="DX263" s="147"/>
      <c r="DY263" s="147"/>
      <c r="DZ263" s="147"/>
      <c r="EA263" s="147"/>
      <c r="EB263" s="147"/>
      <c r="EC263" s="1096"/>
      <c r="ED263" s="147"/>
      <c r="EE263" s="147"/>
      <c r="EF263" s="147"/>
      <c r="EG263" s="147"/>
      <c r="EH263" s="147"/>
      <c r="EI263" s="1096"/>
      <c r="EJ263" s="147"/>
      <c r="EK263" s="147"/>
      <c r="EL263" s="147"/>
      <c r="EM263" s="147"/>
      <c r="EN263" s="147"/>
      <c r="EO263" s="1096"/>
      <c r="EP263" s="147"/>
      <c r="EQ263" s="147"/>
      <c r="ER263" s="147"/>
      <c r="ES263" s="147"/>
      <c r="ET263" s="147"/>
      <c r="EU263" s="1096"/>
    </row>
    <row r="264" spans="1:196" ht="12.75" hidden="1" customHeight="1">
      <c r="A264" s="1629" t="s">
        <v>2793</v>
      </c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280"/>
      <c r="T264" s="280"/>
      <c r="U264" s="280"/>
      <c r="V264" s="280"/>
      <c r="W264" s="280"/>
      <c r="X264" s="280"/>
      <c r="Y264" s="280"/>
      <c r="Z264" s="280"/>
      <c r="AA264" s="280"/>
      <c r="AB264" s="280"/>
      <c r="AC264" s="280"/>
      <c r="AD264" s="280"/>
      <c r="AE264" s="280"/>
      <c r="AF264" s="147"/>
      <c r="AG264" s="280"/>
      <c r="AH264" s="280"/>
      <c r="AI264" s="280"/>
      <c r="AJ264" s="280"/>
      <c r="AK264" s="280"/>
      <c r="AL264" s="147"/>
      <c r="AM264" s="280"/>
      <c r="AN264" s="280"/>
      <c r="AO264" s="280"/>
      <c r="AP264" s="280"/>
      <c r="AQ264" s="280"/>
      <c r="AR264" s="141"/>
      <c r="AS264" s="280"/>
      <c r="AT264" s="280"/>
      <c r="AU264" s="280"/>
      <c r="AV264" s="280"/>
      <c r="AW264" s="280"/>
      <c r="AX264" s="147"/>
      <c r="AY264" s="280"/>
      <c r="AZ264" s="280"/>
      <c r="BA264" s="280"/>
      <c r="BB264" s="280"/>
      <c r="BC264" s="280"/>
      <c r="BD264" s="147"/>
      <c r="BE264" s="280"/>
      <c r="BF264" s="280"/>
      <c r="BG264" s="280"/>
      <c r="BH264" s="280"/>
      <c r="BI264" s="280"/>
      <c r="BJ264" s="147"/>
      <c r="BK264" s="142"/>
      <c r="BL264" s="142"/>
      <c r="BM264" s="142"/>
      <c r="BN264" s="142"/>
      <c r="BO264" s="1107"/>
      <c r="BP264" s="147"/>
      <c r="BQ264" s="141"/>
      <c r="BR264" s="141"/>
      <c r="BS264" s="141"/>
      <c r="BT264" s="141"/>
      <c r="BU264" s="1107"/>
      <c r="BV264" s="147"/>
      <c r="BW264" s="141"/>
      <c r="BX264" s="141"/>
      <c r="BY264" s="141"/>
      <c r="BZ264" s="141"/>
      <c r="CA264" s="1107"/>
      <c r="CB264" s="147"/>
      <c r="CC264" s="141">
        <v>88</v>
      </c>
      <c r="CD264" s="141">
        <v>87</v>
      </c>
      <c r="CE264" s="142">
        <v>85</v>
      </c>
      <c r="CF264" s="1504">
        <v>87</v>
      </c>
      <c r="CG264" s="1523">
        <f>SUM(CC264:CF264)</f>
        <v>347</v>
      </c>
      <c r="CH264" s="147"/>
      <c r="CI264" s="141">
        <v>76</v>
      </c>
      <c r="CJ264" s="142">
        <v>76</v>
      </c>
      <c r="CK264" s="141">
        <v>78</v>
      </c>
      <c r="CL264" s="141">
        <v>90</v>
      </c>
      <c r="CM264" s="1523">
        <f>SUM(CI264:CL264)</f>
        <v>320</v>
      </c>
      <c r="CN264" s="147"/>
      <c r="CO264" s="141">
        <v>79</v>
      </c>
      <c r="CP264" s="142">
        <v>80</v>
      </c>
      <c r="CQ264" s="142">
        <v>87</v>
      </c>
      <c r="CR264" s="141">
        <v>99</v>
      </c>
      <c r="CS264" s="1523">
        <f>SUM(CO264:CR264)</f>
        <v>345</v>
      </c>
      <c r="CT264" s="142"/>
      <c r="CU264" s="142">
        <v>82</v>
      </c>
      <c r="CV264" s="142">
        <f>CV90-CV256-CV260</f>
        <v>80</v>
      </c>
      <c r="CW264" s="142">
        <v>81</v>
      </c>
      <c r="CX264" s="141">
        <v>89</v>
      </c>
      <c r="CY264" s="1523">
        <f>SUM(CU264:CX264)</f>
        <v>332</v>
      </c>
      <c r="CZ264" s="142"/>
      <c r="DA264" s="142">
        <v>82</v>
      </c>
      <c r="DB264" s="142">
        <v>80</v>
      </c>
      <c r="DC264" s="142">
        <v>82</v>
      </c>
      <c r="DD264" s="142">
        <v>83</v>
      </c>
      <c r="DE264" s="1523">
        <f>SUM(DA264:DD264)</f>
        <v>327</v>
      </c>
      <c r="DF264" s="142"/>
      <c r="DG264" s="142">
        <v>83</v>
      </c>
      <c r="DH264" s="142">
        <v>99</v>
      </c>
      <c r="DI264" s="142">
        <v>105</v>
      </c>
      <c r="DJ264" s="142">
        <v>117</v>
      </c>
      <c r="DK264" s="1523">
        <f>SUM(DG264:DJ264)</f>
        <v>404</v>
      </c>
      <c r="DL264" s="147"/>
      <c r="DM264" s="142">
        <v>108</v>
      </c>
      <c r="DN264" s="142">
        <v>112</v>
      </c>
      <c r="DO264" s="142">
        <v>114</v>
      </c>
      <c r="DP264" s="142">
        <v>120</v>
      </c>
      <c r="DQ264" s="1523">
        <f>SUM(DM264:DP264)</f>
        <v>454</v>
      </c>
      <c r="DR264" s="147"/>
      <c r="DS264" s="142">
        <v>108</v>
      </c>
      <c r="DT264" s="147"/>
      <c r="DU264" s="147"/>
      <c r="DV264" s="147"/>
      <c r="DW264" s="1096"/>
      <c r="DX264" s="147"/>
      <c r="DY264" s="147"/>
      <c r="DZ264" s="147"/>
      <c r="EA264" s="147"/>
      <c r="EB264" s="147"/>
      <c r="EC264" s="1096"/>
      <c r="ED264" s="147"/>
      <c r="EE264" s="147"/>
      <c r="EF264" s="147"/>
      <c r="EG264" s="147"/>
      <c r="EH264" s="147"/>
      <c r="EI264" s="1096"/>
      <c r="EJ264" s="147"/>
      <c r="EK264" s="147"/>
      <c r="EL264" s="147"/>
      <c r="EM264" s="147"/>
      <c r="EN264" s="147"/>
      <c r="EO264" s="1096"/>
      <c r="EP264" s="147"/>
      <c r="EQ264" s="147"/>
      <c r="ER264" s="147"/>
      <c r="ES264" s="147"/>
      <c r="ET264" s="147"/>
      <c r="EU264" s="1096"/>
    </row>
    <row r="265" spans="1:196" ht="12.75" hidden="1" customHeight="1">
      <c r="A265" s="583" t="s">
        <v>345</v>
      </c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263"/>
      <c r="P265" s="263"/>
      <c r="Q265" s="263"/>
      <c r="R265" s="263"/>
      <c r="S265" s="263"/>
      <c r="T265" s="147"/>
      <c r="U265" s="263"/>
      <c r="V265" s="263"/>
      <c r="W265" s="263"/>
      <c r="X265" s="263"/>
      <c r="Y265" s="263"/>
      <c r="Z265" s="141"/>
      <c r="AA265" s="263"/>
      <c r="AB265" s="263"/>
      <c r="AC265" s="263"/>
      <c r="AD265" s="263"/>
      <c r="AE265" s="263"/>
      <c r="AF265" s="147"/>
      <c r="AG265" s="263"/>
      <c r="AH265" s="263"/>
      <c r="AI265" s="263"/>
      <c r="AJ265" s="263"/>
      <c r="AK265" s="263"/>
      <c r="AL265" s="147"/>
      <c r="AM265" s="263"/>
      <c r="AN265" s="263"/>
      <c r="AO265" s="263"/>
      <c r="AP265" s="263"/>
      <c r="AQ265" s="263"/>
      <c r="AR265" s="141"/>
      <c r="AS265" s="263"/>
      <c r="AT265" s="263"/>
      <c r="AU265" s="263"/>
      <c r="AV265" s="263"/>
      <c r="AW265" s="263"/>
      <c r="AX265" s="147"/>
      <c r="AY265" s="263"/>
      <c r="AZ265" s="263"/>
      <c r="BA265" s="263"/>
      <c r="BB265" s="263"/>
      <c r="BC265" s="263"/>
      <c r="BD265" s="147"/>
      <c r="BE265" s="263"/>
      <c r="BF265" s="263"/>
      <c r="BG265" s="263"/>
      <c r="BH265" s="263"/>
      <c r="BI265" s="263"/>
      <c r="BJ265" s="147"/>
      <c r="BK265" s="263"/>
      <c r="BL265" s="263"/>
      <c r="BM265" s="263"/>
      <c r="BN265" s="263"/>
      <c r="BO265" s="1104"/>
      <c r="BP265" s="147"/>
      <c r="BQ265" s="263"/>
      <c r="BR265" s="263"/>
      <c r="BS265" s="263"/>
      <c r="BT265" s="263"/>
      <c r="BU265" s="1104"/>
      <c r="BV265" s="147"/>
      <c r="BW265" s="263"/>
      <c r="BX265" s="263"/>
      <c r="BY265" s="263"/>
      <c r="BZ265" s="263"/>
      <c r="CA265" s="1104"/>
      <c r="CB265" s="147"/>
      <c r="CC265" s="263"/>
      <c r="CD265" s="263"/>
      <c r="CE265" s="263"/>
      <c r="CF265" s="1500"/>
      <c r="CG265" s="1518"/>
      <c r="CH265" s="147"/>
      <c r="CI265" s="263">
        <f>IF(CC264&lt;&gt;"",CI264/CC264-1,"-")</f>
        <v>-0.13636363636363635</v>
      </c>
      <c r="CJ265" s="263">
        <f>IF(CD264&lt;&gt;"",CJ264/CD264-1,"-")</f>
        <v>-0.12643678160919536</v>
      </c>
      <c r="CK265" s="263">
        <f>IF(CE264&lt;&gt;"",CK264/CE264-1,"-")</f>
        <v>-8.2352941176470629E-2</v>
      </c>
      <c r="CL265" s="263">
        <f>IF(CF264&lt;&gt;"",CL264/CF264-1,"-")</f>
        <v>3.4482758620689724E-2</v>
      </c>
      <c r="CM265" s="1518">
        <f>CM264/CG264-1</f>
        <v>-7.7809798270893404E-2</v>
      </c>
      <c r="CN265" s="147"/>
      <c r="CO265" s="263">
        <f>IF(CI264&lt;&gt;"",CO264/CI264-1,"-")</f>
        <v>3.9473684210526327E-2</v>
      </c>
      <c r="CP265" s="263">
        <f>IF(CJ264&lt;&gt;"",CP264/CJ264-1,"-")</f>
        <v>5.2631578947368363E-2</v>
      </c>
      <c r="CQ265" s="263">
        <f>IF(CK264&lt;&gt;"",CQ264/CK264-1,"-")</f>
        <v>0.11538461538461542</v>
      </c>
      <c r="CR265" s="263">
        <f>IF(CL264&lt;&gt;"",CR264/CL264-1,"-")</f>
        <v>0.10000000000000009</v>
      </c>
      <c r="CS265" s="1518">
        <f>CS264/CM264-1</f>
        <v>7.8125E-2</v>
      </c>
      <c r="CT265" s="263"/>
      <c r="CU265" s="263">
        <f>IF(CO264&lt;&gt;"",CU264/CO264-1,"-")</f>
        <v>3.7974683544303778E-2</v>
      </c>
      <c r="CV265" s="263">
        <f>IF(CP264&lt;&gt;"",CV264/CP264-1,"-")</f>
        <v>0</v>
      </c>
      <c r="CW265" s="263">
        <f>IF(CQ264&lt;&gt;"",CW264/CQ264-1,"-")</f>
        <v>-6.8965517241379337E-2</v>
      </c>
      <c r="CX265" s="263">
        <f>IF(CR264&lt;&gt;"",CX264/CR264-1,"-")</f>
        <v>-0.10101010101010099</v>
      </c>
      <c r="CY265" s="1518">
        <f>CY264/CS264-1</f>
        <v>-3.7681159420289823E-2</v>
      </c>
      <c r="CZ265" s="263"/>
      <c r="DA265" s="263">
        <f>IF(CU264&lt;&gt;"",DA264/CU264-1,"-")</f>
        <v>0</v>
      </c>
      <c r="DB265" s="263">
        <f>IF(CV264&lt;&gt;"",DB264/CV264-1,"-")</f>
        <v>0</v>
      </c>
      <c r="DC265" s="263">
        <f>IF(CW264&lt;&gt;"",DC264/CW264-1,"-")</f>
        <v>1.2345679012345734E-2</v>
      </c>
      <c r="DD265" s="263">
        <f>IF(CX264&lt;&gt;"",DD264/CX264-1,"-")</f>
        <v>-6.7415730337078705E-2</v>
      </c>
      <c r="DE265" s="1518">
        <f>DE264/CY264-1</f>
        <v>-1.5060240963855387E-2</v>
      </c>
      <c r="DF265" s="263"/>
      <c r="DG265" s="263">
        <f>IF(DA264&lt;&gt;"",DG264/DA264-1,"-")</f>
        <v>1.2195121951219523E-2</v>
      </c>
      <c r="DH265" s="263">
        <f>IF(DB264&lt;&gt;"",DH264/DB264-1,"-")</f>
        <v>0.23750000000000004</v>
      </c>
      <c r="DI265" s="263">
        <f>IF(DC264&lt;&gt;"",DI264/DC264-1,"-")</f>
        <v>0.28048780487804881</v>
      </c>
      <c r="DJ265" s="263">
        <f>IF(DD264&lt;&gt;"",DJ264/DD264-1,"-")</f>
        <v>0.40963855421686746</v>
      </c>
      <c r="DK265" s="1518">
        <f>DK264/DE264-1</f>
        <v>0.23547400611620795</v>
      </c>
      <c r="DL265" s="147"/>
      <c r="DM265" s="263">
        <f>IF(DG264&lt;&gt;"",DM264/DG264-1,"-")</f>
        <v>0.3012048192771084</v>
      </c>
      <c r="DN265" s="263">
        <f>IF(DH264&lt;&gt;"",DN264/DH264-1,"-")</f>
        <v>0.13131313131313127</v>
      </c>
      <c r="DO265" s="263">
        <f>IF(DI264&lt;&gt;"",DO264/DI264-1,"-")</f>
        <v>8.5714285714285632E-2</v>
      </c>
      <c r="DP265" s="263">
        <f>IF(DJ264&lt;&gt;"",DP264/DJ264-1,"-")</f>
        <v>2.564102564102555E-2</v>
      </c>
      <c r="DQ265" s="1518">
        <f>DQ264/DK264-1</f>
        <v>0.12376237623762387</v>
      </c>
      <c r="DR265" s="147"/>
      <c r="DS265" s="263">
        <f>IF(DM264&lt;&gt;"",DS264/DM264-1,"-")</f>
        <v>0</v>
      </c>
      <c r="DT265" s="147"/>
      <c r="DU265" s="147"/>
      <c r="DV265" s="147"/>
      <c r="DW265" s="1096"/>
      <c r="DX265" s="147"/>
      <c r="DY265" s="147"/>
      <c r="DZ265" s="147"/>
      <c r="EA265" s="147"/>
      <c r="EB265" s="147"/>
      <c r="EC265" s="1096"/>
      <c r="ED265" s="147"/>
      <c r="EE265" s="147"/>
      <c r="EF265" s="147"/>
      <c r="EG265" s="147"/>
      <c r="EH265" s="147"/>
      <c r="EI265" s="1096"/>
      <c r="EJ265" s="147"/>
      <c r="EK265" s="147"/>
      <c r="EL265" s="147"/>
      <c r="EM265" s="147"/>
      <c r="EN265" s="147"/>
      <c r="EO265" s="1096"/>
      <c r="EP265" s="147"/>
      <c r="EQ265" s="147"/>
      <c r="ER265" s="147"/>
      <c r="ES265" s="147"/>
      <c r="ET265" s="147"/>
      <c r="EU265" s="1096"/>
    </row>
    <row r="266" spans="1:196" ht="12.75" hidden="1" customHeight="1">
      <c r="A266" s="583" t="s">
        <v>344</v>
      </c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263"/>
      <c r="P266" s="263"/>
      <c r="Q266" s="263"/>
      <c r="R266" s="263"/>
      <c r="S266" s="141"/>
      <c r="T266" s="147"/>
      <c r="U266" s="263"/>
      <c r="V266" s="263"/>
      <c r="W266" s="263"/>
      <c r="X266" s="263"/>
      <c r="Y266" s="141"/>
      <c r="Z266" s="141"/>
      <c r="AA266" s="263"/>
      <c r="AB266" s="263"/>
      <c r="AC266" s="263"/>
      <c r="AD266" s="263"/>
      <c r="AE266" s="141"/>
      <c r="AF266" s="147"/>
      <c r="AG266" s="263"/>
      <c r="AH266" s="263"/>
      <c r="AI266" s="263"/>
      <c r="AJ266" s="263"/>
      <c r="AK266" s="141"/>
      <c r="AL266" s="147"/>
      <c r="AM266" s="263"/>
      <c r="AN266" s="263"/>
      <c r="AO266" s="263"/>
      <c r="AP266" s="263"/>
      <c r="AQ266" s="141"/>
      <c r="AR266" s="141"/>
      <c r="AS266" s="263"/>
      <c r="AT266" s="263"/>
      <c r="AU266" s="263"/>
      <c r="AV266" s="263"/>
      <c r="AW266" s="141"/>
      <c r="AX266" s="147"/>
      <c r="AY266" s="263"/>
      <c r="AZ266" s="263"/>
      <c r="BA266" s="263"/>
      <c r="BB266" s="263"/>
      <c r="BC266" s="141"/>
      <c r="BD266" s="147"/>
      <c r="BE266" s="263"/>
      <c r="BF266" s="263"/>
      <c r="BG266" s="263"/>
      <c r="BH266" s="263"/>
      <c r="BI266" s="141"/>
      <c r="BJ266" s="147"/>
      <c r="BK266" s="263"/>
      <c r="BL266" s="263"/>
      <c r="BM266" s="263"/>
      <c r="BN266" s="263"/>
      <c r="BO266" s="1105"/>
      <c r="BP266" s="147"/>
      <c r="BQ266" s="263"/>
      <c r="BR266" s="263"/>
      <c r="BS266" s="263"/>
      <c r="BT266" s="263"/>
      <c r="BU266" s="1105"/>
      <c r="BV266" s="147"/>
      <c r="BW266" s="263"/>
      <c r="BX266" s="263"/>
      <c r="BY266" s="263"/>
      <c r="BZ266" s="263"/>
      <c r="CA266" s="1105"/>
      <c r="CB266" s="147"/>
      <c r="CC266" s="263"/>
      <c r="CD266" s="263"/>
      <c r="CE266" s="263"/>
      <c r="CF266" s="1500"/>
      <c r="CG266" s="1519"/>
      <c r="CH266" s="147"/>
      <c r="CI266" s="263">
        <f>IF(CF264&lt;&gt;"",CI264/CF264-1,"-")</f>
        <v>-0.12643678160919536</v>
      </c>
      <c r="CJ266" s="263">
        <f>IF(CI264&lt;&gt;"",CJ264/CI264-1,"-")</f>
        <v>0</v>
      </c>
      <c r="CK266" s="263">
        <f>IF(CJ264&lt;&gt;"",CK264/CJ264-1,"-")</f>
        <v>2.6315789473684292E-2</v>
      </c>
      <c r="CL266" s="263">
        <f>IF(CK264&lt;&gt;"",CL264/CK264-1,"-")</f>
        <v>0.15384615384615374</v>
      </c>
      <c r="CM266" s="1519"/>
      <c r="CN266" s="147"/>
      <c r="CO266" s="263">
        <f>IF(CL264&lt;&gt;"",CO264/CL264-1,"-")</f>
        <v>-0.12222222222222223</v>
      </c>
      <c r="CP266" s="263">
        <f>IF(CO264&lt;&gt;"",CP264/CO264-1,"-")</f>
        <v>1.2658227848101333E-2</v>
      </c>
      <c r="CQ266" s="263">
        <f>IF(CP264&lt;&gt;"",CQ264/CP264-1,"-")</f>
        <v>8.7499999999999911E-2</v>
      </c>
      <c r="CR266" s="263">
        <f>IF(CQ264&lt;&gt;"",CR264/CQ264-1,"-")</f>
        <v>0.13793103448275867</v>
      </c>
      <c r="CS266" s="1519"/>
      <c r="CT266" s="141"/>
      <c r="CU266" s="263">
        <f>IF(CR264&lt;&gt;"",CU264/CR264-1,"-")</f>
        <v>-0.17171717171717171</v>
      </c>
      <c r="CV266" s="263">
        <f>IF(CU264&lt;&gt;"",CV264/CU264-1,"-")</f>
        <v>-2.4390243902439046E-2</v>
      </c>
      <c r="CW266" s="263">
        <f>IF(CV264&lt;&gt;"",CW264/CV264-1,"-")</f>
        <v>1.2499999999999956E-2</v>
      </c>
      <c r="CX266" s="263">
        <f>IF(CW264&lt;&gt;"",CX264/CW264-1,"-")</f>
        <v>9.8765432098765427E-2</v>
      </c>
      <c r="CY266" s="1519"/>
      <c r="CZ266" s="141"/>
      <c r="DA266" s="263">
        <f>IF(CX264&lt;&gt;"",DA264/CX264-1,"-")</f>
        <v>-7.8651685393258397E-2</v>
      </c>
      <c r="DB266" s="263">
        <f>IF(DA264&lt;&gt;"",DB264/DA264-1,"-")</f>
        <v>-2.4390243902439046E-2</v>
      </c>
      <c r="DC266" s="263">
        <f>IF(DB264&lt;&gt;"",DC264/DB264-1,"-")</f>
        <v>2.4999999999999911E-2</v>
      </c>
      <c r="DD266" s="263">
        <f>IF(DC264&lt;&gt;"",DD264/DC264-1,"-")</f>
        <v>1.2195121951219523E-2</v>
      </c>
      <c r="DE266" s="1519"/>
      <c r="DF266" s="141"/>
      <c r="DG266" s="263">
        <f>IF(DD264&lt;&gt;"",DG264/DD264-1,"-")</f>
        <v>0</v>
      </c>
      <c r="DH266" s="263">
        <f>IF(DG264&lt;&gt;"",DH264/DG264-1,"-")</f>
        <v>0.19277108433734935</v>
      </c>
      <c r="DI266" s="263">
        <f>IF(DH264&lt;&gt;"",DI264/DH264-1,"-")</f>
        <v>6.0606060606060552E-2</v>
      </c>
      <c r="DJ266" s="263">
        <f>IF(DI264&lt;&gt;"",DJ264/DI264-1,"-")</f>
        <v>0.11428571428571432</v>
      </c>
      <c r="DK266" s="1519"/>
      <c r="DL266" s="147"/>
      <c r="DM266" s="263">
        <f>IF(DJ264&lt;&gt;"",DM264/DJ264-1,"-")</f>
        <v>-7.6923076923076872E-2</v>
      </c>
      <c r="DN266" s="263">
        <f>IF(DM264&lt;&gt;"",DN264/DM264-1,"-")</f>
        <v>3.7037037037036979E-2</v>
      </c>
      <c r="DO266" s="263">
        <f>IF(DN264&lt;&gt;"",DO264/DN264-1,"-")</f>
        <v>1.7857142857142794E-2</v>
      </c>
      <c r="DP266" s="263">
        <f>IF(DO264&lt;&gt;"",DP264/DO264-1,"-")</f>
        <v>5.2631578947368363E-2</v>
      </c>
      <c r="DQ266" s="1519"/>
      <c r="DR266" s="147"/>
      <c r="DS266" s="263">
        <f>IF(DP264&lt;&gt;"",DS264/DP264-1,"-")</f>
        <v>-9.9999999999999978E-2</v>
      </c>
      <c r="DT266" s="147"/>
      <c r="DU266" s="147"/>
      <c r="DV266" s="147"/>
      <c r="DW266" s="1096"/>
      <c r="DX266" s="147"/>
      <c r="DY266" s="147"/>
      <c r="DZ266" s="147"/>
      <c r="EA266" s="147"/>
      <c r="EB266" s="147"/>
      <c r="EC266" s="1096"/>
      <c r="ED266" s="147"/>
      <c r="EE266" s="147"/>
      <c r="EF266" s="147"/>
      <c r="EG266" s="147"/>
      <c r="EH266" s="147"/>
      <c r="EI266" s="1096"/>
      <c r="EJ266" s="147"/>
      <c r="EK266" s="147"/>
      <c r="EL266" s="147"/>
      <c r="EM266" s="147"/>
      <c r="EN266" s="147"/>
      <c r="EO266" s="1096"/>
      <c r="EP266" s="147"/>
      <c r="EQ266" s="147"/>
      <c r="ER266" s="147"/>
      <c r="ES266" s="147"/>
      <c r="ET266" s="147"/>
      <c r="EU266" s="1096"/>
    </row>
    <row r="267" spans="1:196" ht="12.75" hidden="1" customHeight="1">
      <c r="A267" s="1630" t="s">
        <v>5579</v>
      </c>
      <c r="B267" s="964"/>
      <c r="C267" s="964"/>
      <c r="D267" s="964"/>
      <c r="E267" s="964"/>
      <c r="F267" s="964"/>
      <c r="G267" s="964"/>
      <c r="H267" s="964"/>
      <c r="I267" s="964"/>
      <c r="J267" s="964"/>
      <c r="K267" s="964"/>
      <c r="L267" s="964"/>
      <c r="M267" s="964"/>
      <c r="N267" s="964"/>
      <c r="O267" s="965"/>
      <c r="P267" s="965"/>
      <c r="Q267" s="965"/>
      <c r="R267" s="965"/>
      <c r="S267" s="966"/>
      <c r="T267" s="967"/>
      <c r="U267" s="965"/>
      <c r="V267" s="965"/>
      <c r="W267" s="965"/>
      <c r="X267" s="965"/>
      <c r="Y267" s="966"/>
      <c r="Z267" s="967"/>
      <c r="AA267" s="965"/>
      <c r="AB267" s="965"/>
      <c r="AC267" s="965"/>
      <c r="AD267" s="965"/>
      <c r="AE267" s="966"/>
      <c r="AF267" s="964"/>
      <c r="AG267" s="965"/>
      <c r="AH267" s="965"/>
      <c r="AI267" s="965"/>
      <c r="AJ267" s="965"/>
      <c r="AK267" s="966"/>
      <c r="AL267" s="964"/>
      <c r="AM267" s="965"/>
      <c r="AN267" s="965"/>
      <c r="AO267" s="965"/>
      <c r="AP267" s="965"/>
      <c r="AQ267" s="966"/>
      <c r="AR267" s="966"/>
      <c r="AS267" s="965"/>
      <c r="AT267" s="965"/>
      <c r="AU267" s="965"/>
      <c r="AV267" s="965"/>
      <c r="AW267" s="966"/>
      <c r="AX267" s="964"/>
      <c r="AY267" s="965"/>
      <c r="AZ267" s="965"/>
      <c r="BA267" s="965"/>
      <c r="BB267" s="965"/>
      <c r="BC267" s="966"/>
      <c r="BD267" s="964"/>
      <c r="BE267" s="965"/>
      <c r="BF267" s="965"/>
      <c r="BG267" s="965"/>
      <c r="BH267" s="965"/>
      <c r="BI267" s="966"/>
      <c r="BJ267" s="964"/>
      <c r="BK267" s="965"/>
      <c r="BL267" s="965"/>
      <c r="BM267" s="965"/>
      <c r="BN267" s="965"/>
      <c r="BO267" s="1106"/>
      <c r="BP267" s="964"/>
      <c r="BQ267" s="965"/>
      <c r="BR267" s="965"/>
      <c r="BS267" s="965"/>
      <c r="BT267" s="965"/>
      <c r="BU267" s="1106"/>
      <c r="BV267" s="964"/>
      <c r="BW267" s="965"/>
      <c r="BX267" s="965"/>
      <c r="BY267" s="965"/>
      <c r="BZ267" s="965"/>
      <c r="CA267" s="1106"/>
      <c r="CB267" s="964"/>
      <c r="CC267" s="965"/>
      <c r="CD267" s="965"/>
      <c r="CE267" s="965"/>
      <c r="CF267" s="1501"/>
      <c r="CG267" s="1520"/>
      <c r="CH267" s="964"/>
      <c r="CI267" s="965">
        <f>CI264/CI$90</f>
        <v>0.16</v>
      </c>
      <c r="CJ267" s="965">
        <f>CJ264/CJ$90</f>
        <v>0.1606425702811245</v>
      </c>
      <c r="CK267" s="965">
        <f>CK264/CK$90</f>
        <v>0.16352201257861634</v>
      </c>
      <c r="CL267" s="1641">
        <f>CL264/CL$90</f>
        <v>0.17045454545454544</v>
      </c>
      <c r="CM267" s="1642">
        <f>CM264/CM$90</f>
        <v>0.16454980202601943</v>
      </c>
      <c r="CN267" s="964"/>
      <c r="CO267" s="965">
        <f t="shared" ref="CO267:DE267" si="47">CO264/CO$90</f>
        <v>0.14962121212121213</v>
      </c>
      <c r="CP267" s="965">
        <f t="shared" si="47"/>
        <v>0.14625228519195613</v>
      </c>
      <c r="CQ267" s="965">
        <f t="shared" si="47"/>
        <v>0.15846994535519127</v>
      </c>
      <c r="CR267" s="1641">
        <f t="shared" si="47"/>
        <v>0.16722972972972974</v>
      </c>
      <c r="CS267" s="1642">
        <f t="shared" si="47"/>
        <v>0.15568592057761732</v>
      </c>
      <c r="CT267" s="965"/>
      <c r="CU267" s="965">
        <f t="shared" si="47"/>
        <v>0.13898305084745763</v>
      </c>
      <c r="CV267" s="965">
        <f t="shared" si="47"/>
        <v>0.14059753954305801</v>
      </c>
      <c r="CW267" s="965">
        <f t="shared" si="47"/>
        <v>0.1478102189781022</v>
      </c>
      <c r="CX267" s="1641">
        <f t="shared" si="47"/>
        <v>0.14662273476112025</v>
      </c>
      <c r="CY267" s="1642">
        <f t="shared" si="47"/>
        <v>0.14347450302506481</v>
      </c>
      <c r="CZ267" s="965"/>
      <c r="DA267" s="965">
        <f t="shared" si="47"/>
        <v>0.14360770577933449</v>
      </c>
      <c r="DB267" s="965">
        <f t="shared" si="47"/>
        <v>0.14260249554367202</v>
      </c>
      <c r="DC267" s="965">
        <f t="shared" si="47"/>
        <v>0.14774774774774774</v>
      </c>
      <c r="DD267" s="965">
        <f t="shared" si="47"/>
        <v>0.141396933560477</v>
      </c>
      <c r="DE267" s="1642">
        <f t="shared" si="47"/>
        <v>0.14379947229551451</v>
      </c>
      <c r="DF267" s="965"/>
      <c r="DG267" s="965">
        <f>DG264/DG$90</f>
        <v>0.1399662731871838</v>
      </c>
      <c r="DH267" s="965">
        <f>DH264/DH$90</f>
        <v>0.15517241379310345</v>
      </c>
      <c r="DI267" s="965">
        <f>DI264/DI$90</f>
        <v>0.16990291262135923</v>
      </c>
      <c r="DJ267" s="965">
        <f>DJ264/DJ$90</f>
        <v>0.17620481927710843</v>
      </c>
      <c r="DK267" s="1642">
        <f>DK264/DK$90</f>
        <v>0.16076402705929169</v>
      </c>
      <c r="DL267" s="964"/>
      <c r="DM267" s="965">
        <f>DM264/DM$90</f>
        <v>0.16692426584234932</v>
      </c>
      <c r="DN267" s="965">
        <f>DN264/DN$90</f>
        <v>0.18390804597701149</v>
      </c>
      <c r="DO267" s="965">
        <f>DO264/DO$90</f>
        <v>0.19</v>
      </c>
      <c r="DP267" s="965">
        <f>DP264/DP$90</f>
        <v>0.18518518518518517</v>
      </c>
      <c r="DQ267" s="1642">
        <f>DQ264/DQ$90</f>
        <v>0.18130990415335463</v>
      </c>
      <c r="DR267" s="147"/>
      <c r="DS267" s="965">
        <f>DS264/DS$90</f>
        <v>0.2109375</v>
      </c>
      <c r="DT267" s="964"/>
      <c r="DU267" s="964"/>
      <c r="DV267" s="964"/>
      <c r="DW267" s="1175"/>
      <c r="DX267" s="147"/>
      <c r="DY267" s="964"/>
      <c r="DZ267" s="964"/>
      <c r="EA267" s="964"/>
      <c r="EB267" s="964"/>
      <c r="EC267" s="1175"/>
      <c r="ED267" s="147"/>
      <c r="EE267" s="964"/>
      <c r="EF267" s="964"/>
      <c r="EG267" s="964"/>
      <c r="EH267" s="964"/>
      <c r="EI267" s="1175"/>
      <c r="EJ267" s="147"/>
      <c r="EK267" s="964"/>
      <c r="EL267" s="964"/>
      <c r="EM267" s="964"/>
      <c r="EN267" s="964"/>
      <c r="EO267" s="1175"/>
      <c r="EP267" s="147"/>
      <c r="EQ267" s="964"/>
      <c r="ER267" s="964"/>
      <c r="ES267" s="964"/>
      <c r="ET267" s="964"/>
      <c r="EU267" s="1175"/>
    </row>
    <row r="268" spans="1:196" s="1793" customFormat="1" ht="12.75" hidden="1" customHeight="1">
      <c r="A268" s="583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263"/>
      <c r="P268" s="263"/>
      <c r="Q268" s="263"/>
      <c r="R268" s="263"/>
      <c r="S268" s="141"/>
      <c r="T268" s="280"/>
      <c r="U268" s="263"/>
      <c r="V268" s="263"/>
      <c r="W268" s="263"/>
      <c r="X268" s="263"/>
      <c r="Y268" s="141"/>
      <c r="Z268" s="280"/>
      <c r="AA268" s="263"/>
      <c r="AB268" s="263"/>
      <c r="AC268" s="263"/>
      <c r="AD268" s="263"/>
      <c r="AE268" s="141"/>
      <c r="AF268" s="147"/>
      <c r="AG268" s="263"/>
      <c r="AH268" s="263"/>
      <c r="AI268" s="263"/>
      <c r="AJ268" s="263"/>
      <c r="AK268" s="141"/>
      <c r="AL268" s="147"/>
      <c r="AM268" s="263"/>
      <c r="AN268" s="263"/>
      <c r="AO268" s="263"/>
      <c r="AP268" s="263"/>
      <c r="AQ268" s="141"/>
      <c r="AR268" s="141"/>
      <c r="AS268" s="263"/>
      <c r="AT268" s="263"/>
      <c r="AU268" s="263"/>
      <c r="AV268" s="263"/>
      <c r="AW268" s="141"/>
      <c r="AX268" s="147"/>
      <c r="AY268" s="263"/>
      <c r="AZ268" s="263"/>
      <c r="BA268" s="263"/>
      <c r="BB268" s="263"/>
      <c r="BC268" s="141"/>
      <c r="BD268" s="147"/>
      <c r="BE268" s="263"/>
      <c r="BF268" s="263"/>
      <c r="BG268" s="263"/>
      <c r="BH268" s="263"/>
      <c r="BI268" s="141"/>
      <c r="BJ268" s="147"/>
      <c r="BK268" s="263"/>
      <c r="BL268" s="263"/>
      <c r="BM268" s="263"/>
      <c r="BN268" s="263"/>
      <c r="BO268" s="1104"/>
      <c r="BP268" s="147"/>
      <c r="BQ268" s="263"/>
      <c r="BR268" s="263"/>
      <c r="BS268" s="263"/>
      <c r="BT268" s="263"/>
      <c r="BU268" s="1104"/>
      <c r="BV268" s="147"/>
      <c r="BW268" s="263"/>
      <c r="BX268" s="263"/>
      <c r="BY268" s="263"/>
      <c r="BZ268" s="263"/>
      <c r="CA268" s="1104"/>
      <c r="CB268" s="147"/>
      <c r="CC268" s="263"/>
      <c r="CD268" s="263"/>
      <c r="CE268" s="263"/>
      <c r="CF268" s="1500"/>
      <c r="CG268" s="1518"/>
      <c r="CH268" s="147"/>
      <c r="CI268" s="263"/>
      <c r="CJ268" s="263"/>
      <c r="CK268" s="263"/>
      <c r="CL268" s="263"/>
      <c r="CM268" s="1500"/>
      <c r="CN268" s="147"/>
      <c r="CO268" s="263"/>
      <c r="CP268" s="263"/>
      <c r="CQ268" s="263"/>
      <c r="CR268" s="263"/>
      <c r="CS268" s="1500"/>
      <c r="CT268" s="263"/>
      <c r="CU268" s="263"/>
      <c r="CV268" s="263"/>
      <c r="CW268" s="263"/>
      <c r="CX268" s="263"/>
      <c r="CY268" s="1500"/>
      <c r="CZ268" s="263"/>
      <c r="DA268" s="263"/>
      <c r="DB268" s="263"/>
      <c r="DC268" s="263"/>
      <c r="DD268" s="263"/>
      <c r="DE268" s="1500"/>
      <c r="DF268" s="263"/>
      <c r="DG268" s="263"/>
      <c r="DH268" s="263"/>
      <c r="DI268" s="263"/>
      <c r="DJ268" s="263"/>
      <c r="DK268" s="1797"/>
      <c r="DL268" s="147"/>
      <c r="DM268" s="147"/>
      <c r="DN268" s="147"/>
      <c r="DO268" s="147"/>
      <c r="DP268" s="147"/>
      <c r="DQ268" s="1096"/>
      <c r="DR268" s="147"/>
      <c r="DS268" s="147"/>
      <c r="DT268" s="147"/>
      <c r="DU268" s="147"/>
      <c r="DV268" s="147"/>
      <c r="DW268" s="1096"/>
      <c r="DX268" s="147"/>
      <c r="DY268" s="147"/>
      <c r="DZ268" s="147"/>
      <c r="EA268" s="147"/>
      <c r="EB268" s="147"/>
      <c r="EC268" s="1096"/>
      <c r="ED268" s="147"/>
      <c r="EE268" s="147"/>
      <c r="EF268" s="147"/>
      <c r="EG268" s="147"/>
      <c r="EH268" s="147"/>
      <c r="EI268" s="1096"/>
      <c r="EJ268" s="147"/>
      <c r="EK268" s="147"/>
      <c r="EL268" s="147"/>
      <c r="EM268" s="147"/>
      <c r="EN268" s="147"/>
      <c r="EO268" s="1096"/>
      <c r="EP268" s="147"/>
      <c r="EQ268" s="147"/>
      <c r="ER268" s="147"/>
      <c r="ES268" s="147"/>
      <c r="ET268" s="147"/>
      <c r="EU268" s="1096"/>
    </row>
    <row r="269" spans="1:196" s="1793" customFormat="1" ht="12.75" customHeight="1">
      <c r="A269" s="583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263"/>
      <c r="P269" s="263"/>
      <c r="Q269" s="263"/>
      <c r="R269" s="263"/>
      <c r="S269" s="141"/>
      <c r="T269" s="280"/>
      <c r="U269" s="263"/>
      <c r="V269" s="263"/>
      <c r="W269" s="263"/>
      <c r="X269" s="263"/>
      <c r="Y269" s="141"/>
      <c r="Z269" s="280"/>
      <c r="AA269" s="263"/>
      <c r="AB269" s="263"/>
      <c r="AC269" s="263"/>
      <c r="AD269" s="263"/>
      <c r="AE269" s="141"/>
      <c r="AF269" s="147"/>
      <c r="AG269" s="263"/>
      <c r="AH269" s="263"/>
      <c r="AI269" s="263"/>
      <c r="AJ269" s="263"/>
      <c r="AK269" s="141"/>
      <c r="AL269" s="147"/>
      <c r="AM269" s="263"/>
      <c r="AN269" s="263"/>
      <c r="AO269" s="263"/>
      <c r="AP269" s="263"/>
      <c r="AQ269" s="141"/>
      <c r="AR269" s="141"/>
      <c r="AS269" s="263"/>
      <c r="AT269" s="263"/>
      <c r="AU269" s="263"/>
      <c r="AV269" s="263"/>
      <c r="AW269" s="141"/>
      <c r="AX269" s="147"/>
      <c r="AY269" s="263"/>
      <c r="AZ269" s="263"/>
      <c r="BA269" s="263"/>
      <c r="BB269" s="263"/>
      <c r="BC269" s="141"/>
      <c r="BD269" s="147"/>
      <c r="BE269" s="263"/>
      <c r="BF269" s="263"/>
      <c r="BG269" s="263"/>
      <c r="BH269" s="263"/>
      <c r="BI269" s="141"/>
      <c r="BJ269" s="147"/>
      <c r="BK269" s="263"/>
      <c r="BL269" s="263"/>
      <c r="BM269" s="263"/>
      <c r="BN269" s="263"/>
      <c r="BO269" s="1104"/>
      <c r="BP269" s="147"/>
      <c r="BQ269" s="263"/>
      <c r="BR269" s="263"/>
      <c r="BS269" s="263"/>
      <c r="BT269" s="263"/>
      <c r="BU269" s="1104"/>
      <c r="BV269" s="147"/>
      <c r="BW269" s="263"/>
      <c r="BX269" s="263"/>
      <c r="BY269" s="263"/>
      <c r="BZ269" s="263"/>
      <c r="CA269" s="1104"/>
      <c r="CB269" s="147"/>
      <c r="CC269" s="263"/>
      <c r="CD269" s="263"/>
      <c r="CE269" s="263"/>
      <c r="CF269" s="1500"/>
      <c r="CG269" s="1518"/>
      <c r="CH269" s="147"/>
      <c r="CI269" s="263"/>
      <c r="CJ269" s="263"/>
      <c r="CK269" s="263"/>
      <c r="CL269" s="263"/>
      <c r="CM269" s="1500"/>
      <c r="CN269" s="147"/>
      <c r="CO269" s="263"/>
      <c r="CP269" s="263"/>
      <c r="CQ269" s="263"/>
      <c r="CR269" s="263"/>
      <c r="CS269" s="1500"/>
      <c r="CT269" s="263"/>
      <c r="CU269" s="263"/>
      <c r="CV269" s="263"/>
      <c r="CW269" s="263"/>
      <c r="CX269" s="263"/>
      <c r="CY269" s="1500"/>
      <c r="CZ269" s="13"/>
      <c r="DA269" s="12"/>
      <c r="DB269" s="12"/>
      <c r="DC269" s="12"/>
      <c r="DD269" s="13"/>
      <c r="DE269" s="2119"/>
      <c r="DF269" s="13"/>
      <c r="DG269" s="12"/>
      <c r="DH269" s="12"/>
      <c r="DI269" s="89"/>
      <c r="DJ269" s="1745"/>
      <c r="DK269" s="2119"/>
      <c r="DL269" s="147"/>
      <c r="DM269" s="147"/>
      <c r="DN269" s="147"/>
      <c r="DO269" s="147"/>
      <c r="DP269" s="147"/>
      <c r="DQ269" s="1096"/>
      <c r="DR269" s="147"/>
      <c r="DS269" s="147"/>
      <c r="DT269" s="147"/>
      <c r="DU269" s="147"/>
      <c r="DV269" s="147"/>
      <c r="DW269" s="1096"/>
      <c r="DX269" s="147"/>
      <c r="DY269" s="147"/>
      <c r="DZ269" s="147"/>
      <c r="EA269" s="147"/>
      <c r="EB269" s="147"/>
      <c r="EC269" s="1096"/>
      <c r="ED269" s="147"/>
      <c r="EE269" s="75"/>
      <c r="EF269" s="75"/>
      <c r="EG269" s="75"/>
      <c r="EH269" s="75"/>
      <c r="EI269" s="1338"/>
      <c r="EJ269" s="75"/>
      <c r="EK269" s="75"/>
      <c r="EL269" s="75"/>
      <c r="EM269" s="75"/>
      <c r="EN269" s="75"/>
      <c r="EO269" s="1338"/>
      <c r="EP269" s="75"/>
      <c r="EQ269" s="75"/>
      <c r="ER269" s="75"/>
      <c r="ES269" s="75"/>
      <c r="ET269" s="75"/>
      <c r="EU269" s="1338"/>
    </row>
    <row r="270" spans="1:196" s="1793" customFormat="1" ht="12.75" customHeight="1">
      <c r="A270" s="583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263"/>
      <c r="P270" s="263"/>
      <c r="Q270" s="263"/>
      <c r="R270" s="263"/>
      <c r="S270" s="141"/>
      <c r="T270" s="280"/>
      <c r="U270" s="263"/>
      <c r="V270" s="263"/>
      <c r="W270" s="263"/>
      <c r="X270" s="263"/>
      <c r="Y270" s="141"/>
      <c r="Z270" s="280"/>
      <c r="AA270" s="263"/>
      <c r="AB270" s="263"/>
      <c r="AC270" s="263"/>
      <c r="AD270" s="263"/>
      <c r="AE270" s="141"/>
      <c r="AF270" s="147"/>
      <c r="AG270" s="263"/>
      <c r="AH270" s="263"/>
      <c r="AI270" s="263"/>
      <c r="AJ270" s="263"/>
      <c r="AK270" s="141"/>
      <c r="AL270" s="147"/>
      <c r="AM270" s="263"/>
      <c r="AN270" s="263"/>
      <c r="AO270" s="263"/>
      <c r="AP270" s="263"/>
      <c r="AQ270" s="141"/>
      <c r="AR270" s="141"/>
      <c r="AS270" s="263"/>
      <c r="AT270" s="263"/>
      <c r="AU270" s="263"/>
      <c r="AV270" s="263"/>
      <c r="AW270" s="141"/>
      <c r="AX270" s="147"/>
      <c r="AY270" s="263"/>
      <c r="AZ270" s="263"/>
      <c r="BA270" s="263"/>
      <c r="BB270" s="263"/>
      <c r="BC270" s="141"/>
      <c r="BD270" s="147"/>
      <c r="BE270" s="263"/>
      <c r="BF270" s="263"/>
      <c r="BG270" s="263"/>
      <c r="BH270" s="263"/>
      <c r="BI270" s="141"/>
      <c r="BJ270" s="147"/>
      <c r="BK270" s="263"/>
      <c r="BL270" s="263"/>
      <c r="BM270" s="263"/>
      <c r="BN270" s="263"/>
      <c r="BO270" s="1104"/>
      <c r="BP270" s="147"/>
      <c r="BQ270" s="263"/>
      <c r="BR270" s="263"/>
      <c r="BS270" s="263"/>
      <c r="BT270" s="263"/>
      <c r="BU270" s="1104"/>
      <c r="BV270" s="147"/>
      <c r="BW270" s="263"/>
      <c r="BX270" s="263"/>
      <c r="BY270" s="263"/>
      <c r="BZ270" s="263"/>
      <c r="CA270" s="1104"/>
      <c r="CB270" s="147"/>
      <c r="CC270" s="263"/>
      <c r="CD270" s="263"/>
      <c r="CE270" s="263"/>
      <c r="CF270" s="1500"/>
      <c r="CG270" s="1518"/>
      <c r="CH270" s="147"/>
      <c r="CI270" s="263"/>
      <c r="CJ270" s="263"/>
      <c r="CK270" s="263"/>
      <c r="CL270" s="263"/>
      <c r="CM270" s="1500"/>
      <c r="CN270" s="147"/>
      <c r="CO270" s="263"/>
      <c r="CP270" s="263"/>
      <c r="CQ270" s="263"/>
      <c r="CR270" s="263"/>
      <c r="CS270" s="1500"/>
      <c r="CT270" s="263"/>
      <c r="CU270" s="263"/>
      <c r="CV270" s="263"/>
      <c r="CW270" s="263"/>
      <c r="CX270" s="263"/>
      <c r="CY270" s="1500"/>
      <c r="CZ270" s="16"/>
      <c r="DA270" s="15" t="str">
        <f>DA5</f>
        <v>2014</v>
      </c>
      <c r="DB270" s="16"/>
      <c r="DC270" s="17"/>
      <c r="DD270" s="16"/>
      <c r="DE270" s="2120"/>
      <c r="DF270" s="16"/>
      <c r="DG270" s="15" t="str">
        <f>DG5</f>
        <v>2015</v>
      </c>
      <c r="DH270" s="16"/>
      <c r="DI270" s="17"/>
      <c r="DJ270" s="2121"/>
      <c r="DK270" s="2120"/>
      <c r="DL270" s="16"/>
      <c r="DM270" s="15" t="str">
        <f>DM5</f>
        <v>2016</v>
      </c>
      <c r="DN270" s="16"/>
      <c r="DO270" s="16"/>
      <c r="DP270" s="16"/>
      <c r="DQ270" s="2120"/>
      <c r="DR270" s="16"/>
      <c r="DS270" s="15" t="str">
        <f>DS5</f>
        <v>2017</v>
      </c>
      <c r="DT270" s="16"/>
      <c r="DU270" s="17"/>
      <c r="DV270" s="16"/>
      <c r="DW270" s="2120"/>
      <c r="DX270" s="16"/>
      <c r="DY270" s="15" t="str">
        <f>DY5</f>
        <v>2018</v>
      </c>
      <c r="DZ270" s="16"/>
      <c r="EA270" s="17"/>
      <c r="EB270" s="16"/>
      <c r="EC270" s="2120"/>
      <c r="ED270" s="16"/>
      <c r="EE270" s="15" t="str">
        <f>EE5</f>
        <v>2019e</v>
      </c>
      <c r="EF270" s="16"/>
      <c r="EG270" s="17"/>
      <c r="EH270" s="16"/>
      <c r="EI270" s="2120"/>
      <c r="EJ270" s="16"/>
      <c r="EK270" s="15" t="str">
        <f>EK5</f>
        <v>2020e</v>
      </c>
      <c r="EL270" s="16"/>
      <c r="EM270" s="17"/>
      <c r="EN270" s="16"/>
      <c r="EO270" s="2120"/>
      <c r="EP270" s="16"/>
      <c r="EQ270" s="15" t="str">
        <f>EQ5</f>
        <v>2021e</v>
      </c>
      <c r="ER270" s="16"/>
      <c r="ES270" s="17"/>
      <c r="ET270" s="16"/>
      <c r="EU270" s="2120"/>
    </row>
    <row r="271" spans="1:196" ht="12.75" customHeight="1">
      <c r="A271" s="583"/>
      <c r="B271" s="875"/>
      <c r="C271" s="875"/>
      <c r="D271" s="875"/>
      <c r="E271" s="875"/>
      <c r="F271" s="875"/>
      <c r="G271" s="875"/>
      <c r="H271" s="875"/>
      <c r="I271" s="875"/>
      <c r="J271" s="875"/>
      <c r="K271" s="875"/>
      <c r="L271" s="875"/>
      <c r="M271" s="875"/>
      <c r="N271" s="875"/>
      <c r="O271" s="632"/>
      <c r="P271" s="632"/>
      <c r="Q271" s="632"/>
      <c r="R271" s="632"/>
      <c r="S271" s="980"/>
      <c r="T271" s="1549"/>
      <c r="U271" s="632"/>
      <c r="V271" s="632"/>
      <c r="W271" s="632"/>
      <c r="X271" s="632"/>
      <c r="Y271" s="980"/>
      <c r="Z271" s="1549"/>
      <c r="AA271" s="632"/>
      <c r="AB271" s="632"/>
      <c r="AC271" s="632"/>
      <c r="AD271" s="632"/>
      <c r="AE271" s="980"/>
      <c r="AF271" s="875"/>
      <c r="AG271" s="632"/>
      <c r="AH271" s="632"/>
      <c r="AI271" s="632"/>
      <c r="AJ271" s="632"/>
      <c r="AK271" s="980"/>
      <c r="AL271" s="875"/>
      <c r="AM271" s="632"/>
      <c r="AN271" s="632"/>
      <c r="AO271" s="632"/>
      <c r="AP271" s="632"/>
      <c r="AQ271" s="980"/>
      <c r="AR271" s="980"/>
      <c r="AS271" s="632"/>
      <c r="AT271" s="632"/>
      <c r="AU271" s="632"/>
      <c r="AV271" s="632"/>
      <c r="AW271" s="980"/>
      <c r="AX271" s="875"/>
      <c r="AY271" s="632"/>
      <c r="AZ271" s="632"/>
      <c r="BA271" s="632"/>
      <c r="BB271" s="632"/>
      <c r="BC271" s="980"/>
      <c r="BD271" s="875"/>
      <c r="BE271" s="632"/>
      <c r="BF271" s="632"/>
      <c r="BG271" s="632"/>
      <c r="BH271" s="632"/>
      <c r="BI271" s="980"/>
      <c r="BJ271" s="875"/>
      <c r="BK271" s="632"/>
      <c r="BL271" s="632"/>
      <c r="BM271" s="632"/>
      <c r="BN271" s="632"/>
      <c r="BO271" s="1116"/>
      <c r="BP271" s="875"/>
      <c r="BQ271" s="632"/>
      <c r="BR271" s="632"/>
      <c r="BS271" s="632"/>
      <c r="BT271" s="632"/>
      <c r="BU271" s="1116"/>
      <c r="BV271" s="147"/>
      <c r="BW271" s="632"/>
      <c r="BX271" s="632"/>
      <c r="BY271" s="263"/>
      <c r="BZ271" s="632"/>
      <c r="CA271" s="1116"/>
      <c r="CB271" s="875"/>
      <c r="CC271" s="263"/>
      <c r="CD271" s="263"/>
      <c r="CE271" s="263"/>
      <c r="CF271" s="1500"/>
      <c r="CG271" s="1519"/>
      <c r="CH271" s="147"/>
      <c r="CI271" s="263"/>
      <c r="CJ271" s="263"/>
      <c r="CK271" s="263"/>
      <c r="CL271" s="263"/>
      <c r="CM271" s="1519"/>
      <c r="CN271" s="147"/>
      <c r="CO271" s="263"/>
      <c r="CP271" s="263"/>
      <c r="CQ271" s="263"/>
      <c r="CR271" s="263"/>
      <c r="CS271" s="1519"/>
      <c r="CT271" s="141"/>
      <c r="CU271" s="263"/>
      <c r="CV271" s="263"/>
      <c r="CW271" s="263"/>
      <c r="CX271" s="263"/>
      <c r="CY271" s="1519"/>
      <c r="CZ271" s="20"/>
      <c r="DA271" s="20" t="str">
        <f>DA6</f>
        <v>4/13</v>
      </c>
      <c r="DB271" s="20" t="str">
        <f>DB6</f>
        <v>7/13</v>
      </c>
      <c r="DC271" s="20" t="str">
        <f>DC6</f>
        <v>10/13</v>
      </c>
      <c r="DD271" s="20" t="str">
        <f>DD6</f>
        <v>1/14</v>
      </c>
      <c r="DE271" s="1095" t="str">
        <f>DE6</f>
        <v>FY14</v>
      </c>
      <c r="DF271" s="20"/>
      <c r="DG271" s="20" t="str">
        <f>DG6</f>
        <v>4/14</v>
      </c>
      <c r="DH271" s="20" t="str">
        <f>DH6</f>
        <v>7/14</v>
      </c>
      <c r="DI271" s="20" t="str">
        <f>DI6</f>
        <v>10/14</v>
      </c>
      <c r="DJ271" s="2122" t="str">
        <f>DJ6</f>
        <v>1/15</v>
      </c>
      <c r="DK271" s="1095" t="str">
        <f>DK6</f>
        <v>FY15</v>
      </c>
      <c r="DL271" s="20"/>
      <c r="DM271" s="20" t="str">
        <f>DM6</f>
        <v>4/15</v>
      </c>
      <c r="DN271" s="20" t="str">
        <f>DN6</f>
        <v>7/15</v>
      </c>
      <c r="DO271" s="20" t="str">
        <f>DO6</f>
        <v>10/15</v>
      </c>
      <c r="DP271" s="20" t="str">
        <f>DP6</f>
        <v>1/16</v>
      </c>
      <c r="DQ271" s="1095" t="str">
        <f>DQ6</f>
        <v>FY16</v>
      </c>
      <c r="DR271" s="20"/>
      <c r="DS271" s="20" t="str">
        <f>DS6</f>
        <v>4/16</v>
      </c>
      <c r="DT271" s="20" t="str">
        <f>DT6</f>
        <v>7/16</v>
      </c>
      <c r="DU271" s="20" t="str">
        <f>DU6</f>
        <v>10/16</v>
      </c>
      <c r="DV271" s="20" t="str">
        <f>DV6</f>
        <v>1/17</v>
      </c>
      <c r="DW271" s="1095" t="str">
        <f>DW6</f>
        <v>FY17</v>
      </c>
      <c r="DX271" s="20"/>
      <c r="DY271" s="20" t="str">
        <f>DY6</f>
        <v>4/17</v>
      </c>
      <c r="DZ271" s="20" t="str">
        <f>DZ6</f>
        <v>7/17</v>
      </c>
      <c r="EA271" s="20" t="str">
        <f>EA6</f>
        <v>10/17</v>
      </c>
      <c r="EB271" s="20" t="str">
        <f>EB6</f>
        <v>1/18</v>
      </c>
      <c r="EC271" s="1095" t="str">
        <f>EC6</f>
        <v>FY18</v>
      </c>
      <c r="ED271" s="20"/>
      <c r="EE271" s="20" t="str">
        <f>EE6</f>
        <v>4/18e</v>
      </c>
      <c r="EF271" s="20" t="str">
        <f>EF6</f>
        <v>7/18e</v>
      </c>
      <c r="EG271" s="20" t="str">
        <f>EG6</f>
        <v>10/18e</v>
      </c>
      <c r="EH271" s="20" t="str">
        <f>EH6</f>
        <v>1/19e</v>
      </c>
      <c r="EI271" s="1095" t="str">
        <f>EI6</f>
        <v>FY19e</v>
      </c>
      <c r="EJ271" s="20"/>
      <c r="EK271" s="20" t="str">
        <f>EK6</f>
        <v>4/19e</v>
      </c>
      <c r="EL271" s="20" t="str">
        <f>EL6</f>
        <v>7/19e</v>
      </c>
      <c r="EM271" s="20" t="str">
        <f>EM6</f>
        <v>10/19e</v>
      </c>
      <c r="EN271" s="20" t="str">
        <f>EN6</f>
        <v>1/20e</v>
      </c>
      <c r="EO271" s="1095" t="str">
        <f>EO6</f>
        <v>FY20e</v>
      </c>
      <c r="EP271" s="20"/>
      <c r="EQ271" s="20" t="str">
        <f>EQ6</f>
        <v>4/20e</v>
      </c>
      <c r="ER271" s="20" t="str">
        <f>ER6</f>
        <v>7/20e</v>
      </c>
      <c r="ES271" s="20" t="str">
        <f>ES6</f>
        <v>10/20e</v>
      </c>
      <c r="ET271" s="20" t="str">
        <f>ET6</f>
        <v>1/21e</v>
      </c>
      <c r="EU271" s="1095" t="str">
        <f>EU6</f>
        <v>FY21e</v>
      </c>
    </row>
    <row r="272" spans="1:196" s="1804" customFormat="1" collapsed="1">
      <c r="A272" s="1633" t="s">
        <v>7000</v>
      </c>
      <c r="B272" s="919"/>
      <c r="C272" s="919"/>
      <c r="D272" s="919"/>
      <c r="E272" s="919"/>
      <c r="F272" s="919"/>
      <c r="G272" s="919"/>
      <c r="H272" s="919"/>
      <c r="I272" s="919"/>
      <c r="J272" s="919"/>
      <c r="K272" s="919"/>
      <c r="L272" s="919"/>
      <c r="M272" s="919"/>
      <c r="N272" s="919"/>
      <c r="O272" s="919"/>
      <c r="P272" s="919"/>
      <c r="Q272" s="919"/>
      <c r="R272" s="919"/>
      <c r="S272" s="920"/>
      <c r="T272" s="920"/>
      <c r="U272" s="920"/>
      <c r="V272" s="920"/>
      <c r="W272" s="920"/>
      <c r="X272" s="920"/>
      <c r="Y272" s="920"/>
      <c r="Z272" s="920"/>
      <c r="AA272" s="920"/>
      <c r="AB272" s="920"/>
      <c r="AC272" s="920"/>
      <c r="AD272" s="920"/>
      <c r="AE272" s="921"/>
      <c r="AF272" s="919"/>
      <c r="AG272" s="919"/>
      <c r="AH272" s="919"/>
      <c r="AI272" s="921"/>
      <c r="AJ272" s="919"/>
      <c r="AK272" s="921"/>
      <c r="AL272" s="919"/>
      <c r="AM272" s="922"/>
      <c r="AN272" s="922"/>
      <c r="AO272" s="922"/>
      <c r="AP272" s="922"/>
      <c r="AQ272" s="922"/>
      <c r="AR272" s="919"/>
      <c r="AS272" s="922"/>
      <c r="AT272" s="922"/>
      <c r="AU272" s="922"/>
      <c r="AV272" s="922"/>
      <c r="AW272" s="922"/>
      <c r="AX272" s="919"/>
      <c r="AY272" s="922"/>
      <c r="AZ272" s="922"/>
      <c r="BA272" s="922"/>
      <c r="BB272" s="922"/>
      <c r="BC272" s="922"/>
      <c r="BD272" s="919"/>
      <c r="BE272" s="922"/>
      <c r="BF272" s="922"/>
      <c r="BG272" s="922"/>
      <c r="BH272" s="922"/>
      <c r="BI272" s="922"/>
      <c r="BJ272" s="919"/>
      <c r="BK272" s="919"/>
      <c r="BL272" s="919"/>
      <c r="BM272" s="919"/>
      <c r="BN272" s="919"/>
      <c r="BO272" s="1103"/>
      <c r="BP272" s="919"/>
      <c r="BQ272" s="919"/>
      <c r="BR272" s="919"/>
      <c r="BS272" s="919"/>
      <c r="BT272" s="919"/>
      <c r="BU272" s="1103"/>
      <c r="BV272" s="919"/>
      <c r="BW272" s="919"/>
      <c r="BX272" s="919"/>
      <c r="BY272" s="919"/>
      <c r="BZ272" s="919"/>
      <c r="CA272" s="1103"/>
      <c r="CB272" s="919"/>
      <c r="CC272" s="919"/>
      <c r="CD272" s="919"/>
      <c r="CE272" s="919"/>
      <c r="CF272" s="1491"/>
      <c r="CG272" s="1541"/>
      <c r="CH272" s="919"/>
      <c r="CI272" s="919"/>
      <c r="CJ272" s="919"/>
      <c r="CK272" s="922"/>
      <c r="CL272" s="922"/>
      <c r="CM272" s="1103"/>
      <c r="CN272" s="919"/>
      <c r="CO272" s="919"/>
      <c r="CP272" s="919"/>
      <c r="CQ272" s="919"/>
      <c r="CR272" s="919"/>
      <c r="CS272" s="1103"/>
      <c r="CT272" s="919"/>
      <c r="CU272" s="919"/>
      <c r="CV272" s="919"/>
      <c r="CW272" s="919"/>
      <c r="CX272" s="919"/>
      <c r="CY272" s="1103"/>
      <c r="CZ272" s="919"/>
      <c r="DA272" s="919"/>
      <c r="DB272" s="919"/>
      <c r="DC272" s="919"/>
      <c r="DD272" s="919"/>
      <c r="DE272" s="1103"/>
      <c r="DF272" s="919"/>
      <c r="DG272" s="1798"/>
      <c r="DH272" s="1798"/>
      <c r="DI272" s="1798"/>
      <c r="DJ272" s="1798"/>
      <c r="DK272" s="1799"/>
      <c r="DL272" s="919"/>
      <c r="DM272" s="919"/>
      <c r="DN272" s="919"/>
      <c r="DO272" s="919"/>
      <c r="DP272" s="919"/>
      <c r="DQ272" s="1103"/>
      <c r="DR272" s="919"/>
      <c r="DS272" s="919"/>
      <c r="DT272" s="919"/>
      <c r="DU272" s="919"/>
      <c r="DV272" s="919"/>
      <c r="DW272" s="1103"/>
      <c r="DX272" s="919"/>
      <c r="DY272" s="919"/>
      <c r="DZ272" s="919"/>
      <c r="EA272" s="919"/>
      <c r="EB272" s="919"/>
      <c r="EC272" s="1103"/>
      <c r="ED272" s="919"/>
      <c r="EE272" s="919"/>
      <c r="EF272" s="919"/>
      <c r="EG272" s="919"/>
      <c r="EH272" s="919"/>
      <c r="EI272" s="1103"/>
      <c r="EJ272" s="919"/>
      <c r="EK272" s="919"/>
      <c r="EL272" s="919"/>
      <c r="EM272" s="919"/>
      <c r="EN272" s="919"/>
      <c r="EO272" s="1103"/>
      <c r="EP272" s="919"/>
      <c r="EQ272" s="919"/>
      <c r="ER272" s="919"/>
      <c r="ES272" s="919"/>
      <c r="ET272" s="919"/>
      <c r="EU272" s="1103"/>
    </row>
    <row r="273" spans="1:151" s="1771" customFormat="1" ht="12.75" customHeight="1">
      <c r="A273" s="2071" t="s">
        <v>7109</v>
      </c>
      <c r="B273" s="1762"/>
      <c r="C273" s="1762"/>
      <c r="D273" s="1762"/>
      <c r="E273" s="1762"/>
      <c r="F273" s="1762"/>
      <c r="G273" s="1762"/>
      <c r="H273" s="1762"/>
      <c r="I273" s="1762"/>
      <c r="J273" s="1762"/>
      <c r="K273" s="1762"/>
      <c r="L273" s="1762"/>
      <c r="M273" s="1762"/>
      <c r="N273" s="1762"/>
      <c r="O273" s="1763"/>
      <c r="P273" s="1763"/>
      <c r="Q273" s="1763"/>
      <c r="R273" s="1763"/>
      <c r="S273" s="1764"/>
      <c r="T273" s="1765"/>
      <c r="U273" s="1763"/>
      <c r="V273" s="1763"/>
      <c r="W273" s="1763"/>
      <c r="X273" s="1763"/>
      <c r="Y273" s="1764"/>
      <c r="Z273" s="1765"/>
      <c r="AA273" s="1763"/>
      <c r="AB273" s="1763"/>
      <c r="AC273" s="1763"/>
      <c r="AD273" s="1763"/>
      <c r="AE273" s="1764"/>
      <c r="AF273" s="1762"/>
      <c r="AG273" s="1763"/>
      <c r="AH273" s="1763"/>
      <c r="AI273" s="1763"/>
      <c r="AJ273" s="1763"/>
      <c r="AK273" s="1764"/>
      <c r="AL273" s="1762"/>
      <c r="AM273" s="1763"/>
      <c r="AN273" s="1763"/>
      <c r="AO273" s="1763"/>
      <c r="AP273" s="1763"/>
      <c r="AQ273" s="1764"/>
      <c r="AR273" s="1764"/>
      <c r="AS273" s="1763"/>
      <c r="AT273" s="1763"/>
      <c r="AU273" s="1763"/>
      <c r="AV273" s="1763"/>
      <c r="AW273" s="1764"/>
      <c r="AX273" s="1762"/>
      <c r="AY273" s="1763"/>
      <c r="AZ273" s="1763"/>
      <c r="BA273" s="1763"/>
      <c r="BB273" s="1763"/>
      <c r="BC273" s="1764"/>
      <c r="BD273" s="1762"/>
      <c r="BE273" s="1763"/>
      <c r="BF273" s="1763"/>
      <c r="BG273" s="1763"/>
      <c r="BH273" s="1763"/>
      <c r="BI273" s="1764"/>
      <c r="BJ273" s="1762"/>
      <c r="BK273" s="1763"/>
      <c r="BL273" s="1763"/>
      <c r="BM273" s="1763"/>
      <c r="BN273" s="1763"/>
      <c r="BO273" s="1766"/>
      <c r="BP273" s="1762"/>
      <c r="BQ273" s="1763"/>
      <c r="BR273" s="1763"/>
      <c r="BS273" s="1763"/>
      <c r="BT273" s="1763"/>
      <c r="BU273" s="1766"/>
      <c r="BV273" s="1548"/>
      <c r="BW273" s="1763"/>
      <c r="BX273" s="1763"/>
      <c r="BY273" s="1767"/>
      <c r="BZ273" s="1763"/>
      <c r="CA273" s="1766"/>
      <c r="CB273" s="1762"/>
      <c r="CC273" s="1767"/>
      <c r="CD273" s="1767"/>
      <c r="CE273" s="1767"/>
      <c r="CF273" s="1768"/>
      <c r="CG273" s="1769"/>
      <c r="CH273" s="1548"/>
      <c r="CI273" s="1767"/>
      <c r="CJ273" s="1767"/>
      <c r="CK273" s="1767"/>
      <c r="CL273" s="1767"/>
      <c r="CM273" s="1769"/>
      <c r="CN273" s="1548"/>
      <c r="CO273" s="1767"/>
      <c r="CP273" s="1767"/>
      <c r="CQ273" s="1767"/>
      <c r="CR273" s="1767"/>
      <c r="CS273" s="1769"/>
      <c r="CT273" s="1776"/>
      <c r="CU273" s="1767"/>
      <c r="CV273" s="1767"/>
      <c r="CW273" s="1767"/>
      <c r="CX273" s="1767"/>
      <c r="CY273" s="1769"/>
      <c r="CZ273" s="1776"/>
      <c r="DA273" s="1767"/>
      <c r="DB273" s="1767"/>
      <c r="DC273" s="1767"/>
      <c r="DD273" s="1767"/>
      <c r="DE273" s="1769"/>
      <c r="DF273" s="1776"/>
      <c r="DG273" s="1548">
        <v>89</v>
      </c>
      <c r="DH273" s="1548">
        <v>74</v>
      </c>
      <c r="DI273" s="1548">
        <v>121</v>
      </c>
      <c r="DJ273" s="1548">
        <v>100</v>
      </c>
      <c r="DK273" s="1770">
        <f>SUM(DG273:DJ273)</f>
        <v>384</v>
      </c>
      <c r="DL273" s="1548"/>
      <c r="DM273" s="1548">
        <v>95</v>
      </c>
      <c r="DN273" s="1548">
        <v>61</v>
      </c>
      <c r="DO273" s="1548">
        <v>80</v>
      </c>
      <c r="DP273" s="1548">
        <v>109</v>
      </c>
      <c r="DQ273" s="1770">
        <f>SUM(DM273:DP273)</f>
        <v>345</v>
      </c>
      <c r="DR273" s="1895"/>
      <c r="DS273" s="1548">
        <f>SUM(DS276:DS277)</f>
        <v>127</v>
      </c>
      <c r="DT273" s="1548">
        <f t="shared" ref="DT273:DV273" si="48">SUM(DT276:DT277)</f>
        <v>109</v>
      </c>
      <c r="DU273" s="1548">
        <f t="shared" si="48"/>
        <v>132</v>
      </c>
      <c r="DV273" s="1548">
        <f t="shared" si="48"/>
        <v>157</v>
      </c>
      <c r="DW273" s="1770">
        <f>SUM(DS273:DV273)</f>
        <v>525</v>
      </c>
      <c r="DX273" s="1895"/>
      <c r="DY273" s="1548">
        <f t="shared" ref="DY273:EA273" si="49">DY276+DY277</f>
        <v>186</v>
      </c>
      <c r="DZ273" s="1895">
        <f t="shared" si="49"/>
        <v>153</v>
      </c>
      <c r="EA273" s="1548">
        <f t="shared" si="49"/>
        <v>146</v>
      </c>
      <c r="EB273" s="1548">
        <v>127</v>
      </c>
      <c r="EC273" s="1770">
        <f>SUM(DY273:EB273)</f>
        <v>612</v>
      </c>
      <c r="ED273" s="1895"/>
      <c r="EE273" s="1895">
        <f t="shared" ref="EE273:EH273" si="50">EE276+EE277</f>
        <v>130.05678505755705</v>
      </c>
      <c r="EF273" s="1895">
        <f t="shared" si="50"/>
        <v>135.47581776828858</v>
      </c>
      <c r="EG273" s="1895">
        <f t="shared" si="50"/>
        <v>135.47581776828858</v>
      </c>
      <c r="EH273" s="1895">
        <f t="shared" si="50"/>
        <v>140.89485047902011</v>
      </c>
      <c r="EI273" s="1896">
        <f>EI276+EI277</f>
        <v>541.90327107315431</v>
      </c>
      <c r="EJ273" s="1895"/>
      <c r="EK273" s="1895">
        <f t="shared" ref="EK273:EN273" si="51">EK276+EK277</f>
        <v>146.09676150454095</v>
      </c>
      <c r="EL273" s="1895">
        <f t="shared" si="51"/>
        <v>140.25289104435933</v>
      </c>
      <c r="EM273" s="1895">
        <f t="shared" si="51"/>
        <v>143.17482627445011</v>
      </c>
      <c r="EN273" s="1895">
        <f t="shared" si="51"/>
        <v>154.86256719481341</v>
      </c>
      <c r="EO273" s="1896">
        <f>EO276+EO277</f>
        <v>584.3870460181638</v>
      </c>
      <c r="EP273" s="1895"/>
      <c r="EQ273" s="1895">
        <f t="shared" ref="EQ273:ET273" si="52">EQ276+EQ277</f>
        <v>150.23885780107204</v>
      </c>
      <c r="ER273" s="1895">
        <f t="shared" si="52"/>
        <v>144.22930348902915</v>
      </c>
      <c r="ES273" s="1895">
        <f t="shared" si="52"/>
        <v>147.2340806450506</v>
      </c>
      <c r="ET273" s="1895">
        <f t="shared" si="52"/>
        <v>159.25318926913639</v>
      </c>
      <c r="EU273" s="1896">
        <f>EU276+EU277</f>
        <v>600.95543120428817</v>
      </c>
    </row>
    <row r="274" spans="1:151" s="1771" customFormat="1" ht="12.75" customHeight="1">
      <c r="A274" s="1548" t="s">
        <v>7052</v>
      </c>
      <c r="B274" s="1762"/>
      <c r="C274" s="1762"/>
      <c r="D274" s="1762"/>
      <c r="E274" s="1762"/>
      <c r="F274" s="1762"/>
      <c r="G274" s="1762"/>
      <c r="H274" s="1762"/>
      <c r="I274" s="1762"/>
      <c r="J274" s="1762"/>
      <c r="K274" s="1762"/>
      <c r="L274" s="1762"/>
      <c r="M274" s="1762"/>
      <c r="N274" s="1762"/>
      <c r="O274" s="1763"/>
      <c r="P274" s="1763"/>
      <c r="Q274" s="1763"/>
      <c r="R274" s="1763"/>
      <c r="S274" s="1764"/>
      <c r="T274" s="1765"/>
      <c r="U274" s="1763"/>
      <c r="V274" s="1763"/>
      <c r="W274" s="1763"/>
      <c r="X274" s="1763"/>
      <c r="Y274" s="1764"/>
      <c r="Z274" s="1765"/>
      <c r="AA274" s="1763"/>
      <c r="AB274" s="1763"/>
      <c r="AC274" s="1763"/>
      <c r="AD274" s="1763"/>
      <c r="AE274" s="1764"/>
      <c r="AF274" s="1762"/>
      <c r="AG274" s="1763"/>
      <c r="AH274" s="1763"/>
      <c r="AI274" s="1763"/>
      <c r="AJ274" s="1763"/>
      <c r="AK274" s="1764"/>
      <c r="AL274" s="1762"/>
      <c r="AM274" s="1763"/>
      <c r="AN274" s="1763"/>
      <c r="AO274" s="1763"/>
      <c r="AP274" s="1763"/>
      <c r="AQ274" s="1764"/>
      <c r="AR274" s="1764"/>
      <c r="AS274" s="1763"/>
      <c r="AT274" s="1763"/>
      <c r="AU274" s="1763"/>
      <c r="AV274" s="1763"/>
      <c r="AW274" s="1764"/>
      <c r="AX274" s="1762"/>
      <c r="AY274" s="1763"/>
      <c r="AZ274" s="1763"/>
      <c r="BA274" s="1763"/>
      <c r="BB274" s="1763"/>
      <c r="BC274" s="1764"/>
      <c r="BD274" s="1762"/>
      <c r="BE274" s="1763"/>
      <c r="BF274" s="1763"/>
      <c r="BG274" s="1763"/>
      <c r="BH274" s="1763"/>
      <c r="BI274" s="1764"/>
      <c r="BJ274" s="1762"/>
      <c r="BK274" s="1763"/>
      <c r="BL274" s="1763"/>
      <c r="BM274" s="1763"/>
      <c r="BN274" s="1763"/>
      <c r="BO274" s="1766"/>
      <c r="BP274" s="1762"/>
      <c r="BQ274" s="1763"/>
      <c r="BR274" s="1763"/>
      <c r="BS274" s="1763"/>
      <c r="BT274" s="1763"/>
      <c r="BU274" s="1766"/>
      <c r="BV274" s="1548"/>
      <c r="BW274" s="1763"/>
      <c r="BX274" s="1763"/>
      <c r="BY274" s="1767"/>
      <c r="BZ274" s="1763"/>
      <c r="CA274" s="1766"/>
      <c r="CB274" s="1762"/>
      <c r="CC274" s="1767"/>
      <c r="CD274" s="1767"/>
      <c r="CE274" s="1767"/>
      <c r="CF274" s="1768"/>
      <c r="CG274" s="1769"/>
      <c r="CH274" s="1548"/>
      <c r="CI274" s="1767"/>
      <c r="CJ274" s="1767"/>
      <c r="CK274" s="1767"/>
      <c r="CL274" s="1767"/>
      <c r="CM274" s="1769"/>
      <c r="CN274" s="1548"/>
      <c r="CO274" s="1767"/>
      <c r="CP274" s="1767"/>
      <c r="CQ274" s="1767"/>
      <c r="CR274" s="1767"/>
      <c r="CS274" s="1769"/>
      <c r="CT274" s="1776"/>
      <c r="CU274" s="1767"/>
      <c r="CV274" s="1767"/>
      <c r="CW274" s="1767"/>
      <c r="CX274" s="1767"/>
      <c r="CY274" s="1769"/>
      <c r="CZ274" s="1776"/>
      <c r="DA274" s="1767"/>
      <c r="DB274" s="1767"/>
      <c r="DC274" s="1767"/>
      <c r="DD274" s="1767"/>
      <c r="DE274" s="1769"/>
      <c r="DF274" s="1776"/>
      <c r="DG274" s="1548">
        <f>DG273-DG275</f>
        <v>74</v>
      </c>
      <c r="DH274" s="1548">
        <f>DH273-DH275</f>
        <v>54</v>
      </c>
      <c r="DI274" s="1548">
        <f>DI273-DI275</f>
        <v>91</v>
      </c>
      <c r="DJ274" s="1548">
        <f>DJ273-DJ275</f>
        <v>75</v>
      </c>
      <c r="DK274" s="1770"/>
      <c r="DL274" s="1548"/>
      <c r="DM274" s="1548">
        <f>DM273*0.5</f>
        <v>47.5</v>
      </c>
      <c r="DN274" s="1548">
        <f>DN273-DN275</f>
        <v>26</v>
      </c>
      <c r="DO274" s="1548"/>
      <c r="DP274" s="1548"/>
      <c r="DQ274" s="1770"/>
      <c r="DR274" s="1548"/>
      <c r="DS274" s="1548"/>
      <c r="DT274" s="1548"/>
      <c r="DU274" s="1548"/>
      <c r="DV274" s="1548"/>
      <c r="DW274" s="1770"/>
      <c r="DX274" s="1895"/>
      <c r="DY274" s="1548"/>
      <c r="DZ274" s="1895"/>
      <c r="EA274" s="1548"/>
      <c r="EB274" s="1548"/>
      <c r="EC274" s="1770"/>
      <c r="ED274" s="1895"/>
      <c r="EE274" s="1895"/>
      <c r="EF274" s="1895"/>
      <c r="EG274" s="1895"/>
      <c r="EH274" s="1895"/>
      <c r="EI274" s="1896"/>
      <c r="EJ274" s="1895"/>
      <c r="EK274" s="1895"/>
      <c r="EL274" s="1895"/>
      <c r="EM274" s="1895"/>
      <c r="EN274" s="1895"/>
      <c r="EO274" s="1896"/>
      <c r="EP274" s="1895"/>
      <c r="EQ274" s="1895"/>
      <c r="ER274" s="1895"/>
      <c r="ES274" s="1895"/>
      <c r="ET274" s="1895"/>
      <c r="EU274" s="1896"/>
    </row>
    <row r="275" spans="1:151" s="1771" customFormat="1" ht="12.75" customHeight="1">
      <c r="A275" s="1548" t="s">
        <v>7053</v>
      </c>
      <c r="B275" s="1762"/>
      <c r="C275" s="1762"/>
      <c r="D275" s="1762"/>
      <c r="E275" s="1762"/>
      <c r="F275" s="1762"/>
      <c r="G275" s="1762"/>
      <c r="H275" s="1762"/>
      <c r="I275" s="1762"/>
      <c r="J275" s="1762"/>
      <c r="K275" s="1762"/>
      <c r="L275" s="1762"/>
      <c r="M275" s="1762"/>
      <c r="N275" s="1762"/>
      <c r="O275" s="1763"/>
      <c r="P275" s="1763"/>
      <c r="Q275" s="1763"/>
      <c r="R275" s="1763"/>
      <c r="S275" s="1764"/>
      <c r="T275" s="1765"/>
      <c r="U275" s="1763"/>
      <c r="V275" s="1763"/>
      <c r="W275" s="1763"/>
      <c r="X275" s="1763"/>
      <c r="Y275" s="1764"/>
      <c r="Z275" s="1765"/>
      <c r="AA275" s="1763"/>
      <c r="AB275" s="1763"/>
      <c r="AC275" s="1763"/>
      <c r="AD275" s="1763"/>
      <c r="AE275" s="1764"/>
      <c r="AF275" s="1762"/>
      <c r="AG275" s="1763"/>
      <c r="AH275" s="1763"/>
      <c r="AI275" s="1763"/>
      <c r="AJ275" s="1763"/>
      <c r="AK275" s="1764"/>
      <c r="AL275" s="1762"/>
      <c r="AM275" s="1763"/>
      <c r="AN275" s="1763"/>
      <c r="AO275" s="1763"/>
      <c r="AP275" s="1763"/>
      <c r="AQ275" s="1764"/>
      <c r="AR275" s="1764"/>
      <c r="AS275" s="1763"/>
      <c r="AT275" s="1763"/>
      <c r="AU275" s="1763"/>
      <c r="AV275" s="1763"/>
      <c r="AW275" s="1764"/>
      <c r="AX275" s="1762"/>
      <c r="AY275" s="1763"/>
      <c r="AZ275" s="1763"/>
      <c r="BA275" s="1763"/>
      <c r="BB275" s="1763"/>
      <c r="BC275" s="1764"/>
      <c r="BD275" s="1762"/>
      <c r="BE275" s="1763"/>
      <c r="BF275" s="1763"/>
      <c r="BG275" s="1763"/>
      <c r="BH275" s="1763"/>
      <c r="BI275" s="1764"/>
      <c r="BJ275" s="1762"/>
      <c r="BK275" s="1763"/>
      <c r="BL275" s="1763"/>
      <c r="BM275" s="1763"/>
      <c r="BN275" s="1763"/>
      <c r="BO275" s="1766"/>
      <c r="BP275" s="1762"/>
      <c r="BQ275" s="1763"/>
      <c r="BR275" s="1763"/>
      <c r="BS275" s="1763"/>
      <c r="BT275" s="1763"/>
      <c r="BU275" s="1766"/>
      <c r="BV275" s="1548"/>
      <c r="BW275" s="1763"/>
      <c r="BX275" s="1763"/>
      <c r="BY275" s="1767"/>
      <c r="BZ275" s="1763"/>
      <c r="CA275" s="1766"/>
      <c r="CB275" s="1762"/>
      <c r="CC275" s="1767"/>
      <c r="CD275" s="1767"/>
      <c r="CE275" s="1767"/>
      <c r="CF275" s="1768"/>
      <c r="CG275" s="1769"/>
      <c r="CH275" s="1548"/>
      <c r="CI275" s="1767"/>
      <c r="CJ275" s="1767"/>
      <c r="CK275" s="1767"/>
      <c r="CL275" s="1767"/>
      <c r="CM275" s="1769"/>
      <c r="CN275" s="1548"/>
      <c r="CO275" s="1767"/>
      <c r="CP275" s="1767"/>
      <c r="CQ275" s="1767"/>
      <c r="CR275" s="1767"/>
      <c r="CS275" s="1769"/>
      <c r="CT275" s="1776"/>
      <c r="CU275" s="1767"/>
      <c r="CV275" s="1767"/>
      <c r="CW275" s="1767"/>
      <c r="CX275" s="1767"/>
      <c r="CY275" s="1769"/>
      <c r="CZ275" s="1776"/>
      <c r="DA275" s="1767"/>
      <c r="DB275" s="1767"/>
      <c r="DC275" s="1767"/>
      <c r="DD275" s="1767"/>
      <c r="DE275" s="1769"/>
      <c r="DF275" s="1776"/>
      <c r="DG275" s="1548">
        <v>15</v>
      </c>
      <c r="DH275" s="1548">
        <v>20</v>
      </c>
      <c r="DI275" s="1548">
        <v>30</v>
      </c>
      <c r="DJ275" s="1548">
        <f>DK275-DI275-DH275-DG275</f>
        <v>25</v>
      </c>
      <c r="DK275" s="1770">
        <v>90</v>
      </c>
      <c r="DL275" s="1548"/>
      <c r="DM275" s="1548">
        <f>DM273-DM274</f>
        <v>47.5</v>
      </c>
      <c r="DN275" s="1548">
        <v>35</v>
      </c>
      <c r="DO275" s="1548"/>
      <c r="DP275" s="1548"/>
      <c r="DQ275" s="1770"/>
      <c r="DR275" s="1548"/>
      <c r="DS275" s="1548"/>
      <c r="DT275" s="1548"/>
      <c r="DU275" s="1548"/>
      <c r="DV275" s="1548"/>
      <c r="DW275" s="1770"/>
      <c r="DX275" s="1895"/>
      <c r="DY275" s="1548"/>
      <c r="DZ275" s="1895"/>
      <c r="EA275" s="1548"/>
      <c r="EB275" s="1548"/>
      <c r="EC275" s="1770"/>
      <c r="ED275" s="1895"/>
      <c r="EE275" s="1895"/>
      <c r="EF275" s="1895"/>
      <c r="EG275" s="1895"/>
      <c r="EH275" s="1895"/>
      <c r="EI275" s="1896"/>
      <c r="EJ275" s="1895"/>
      <c r="EK275" s="1895"/>
      <c r="EL275" s="1895"/>
      <c r="EM275" s="1895"/>
      <c r="EN275" s="1895"/>
      <c r="EO275" s="1896"/>
      <c r="EP275" s="1895"/>
      <c r="EQ275" s="1895"/>
      <c r="ER275" s="1895"/>
      <c r="ES275" s="1895"/>
      <c r="ET275" s="1895"/>
      <c r="EU275" s="1896"/>
    </row>
    <row r="276" spans="1:151" s="1996" customFormat="1" ht="12.75" customHeight="1">
      <c r="A276" s="1548" t="s">
        <v>7201</v>
      </c>
      <c r="B276" s="1548"/>
      <c r="C276" s="1548"/>
      <c r="D276" s="1548"/>
      <c r="E276" s="1548"/>
      <c r="F276" s="1548"/>
      <c r="G276" s="1548"/>
      <c r="H276" s="1548"/>
      <c r="I276" s="1548"/>
      <c r="J276" s="1548"/>
      <c r="K276" s="1548"/>
      <c r="L276" s="1548"/>
      <c r="M276" s="1548"/>
      <c r="N276" s="1548"/>
      <c r="O276" s="1767"/>
      <c r="P276" s="1767"/>
      <c r="Q276" s="1767"/>
      <c r="R276" s="1767"/>
      <c r="S276" s="1776"/>
      <c r="T276" s="1995"/>
      <c r="U276" s="1767"/>
      <c r="V276" s="1767"/>
      <c r="W276" s="1767"/>
      <c r="X276" s="1767"/>
      <c r="Y276" s="1776"/>
      <c r="Z276" s="1995"/>
      <c r="AA276" s="1767"/>
      <c r="AB276" s="1767"/>
      <c r="AC276" s="1767"/>
      <c r="AD276" s="1767"/>
      <c r="AE276" s="1776"/>
      <c r="AF276" s="1548"/>
      <c r="AG276" s="1767"/>
      <c r="AH276" s="1767"/>
      <c r="AI276" s="1767"/>
      <c r="AJ276" s="1767"/>
      <c r="AK276" s="1776"/>
      <c r="AL276" s="1548"/>
      <c r="AM276" s="1767"/>
      <c r="AN276" s="1767"/>
      <c r="AO276" s="1767"/>
      <c r="AP276" s="1767"/>
      <c r="AQ276" s="1776"/>
      <c r="AR276" s="1776"/>
      <c r="AS276" s="1767"/>
      <c r="AT276" s="1767"/>
      <c r="AU276" s="1767"/>
      <c r="AV276" s="1767"/>
      <c r="AW276" s="1776"/>
      <c r="AX276" s="1548"/>
      <c r="AY276" s="1767"/>
      <c r="AZ276" s="1767"/>
      <c r="BA276" s="1767"/>
      <c r="BB276" s="1767"/>
      <c r="BC276" s="1776"/>
      <c r="BD276" s="1548"/>
      <c r="BE276" s="1767"/>
      <c r="BF276" s="1767"/>
      <c r="BG276" s="1767"/>
      <c r="BH276" s="1767"/>
      <c r="BI276" s="1776"/>
      <c r="BJ276" s="1548"/>
      <c r="BK276" s="1767"/>
      <c r="BL276" s="1767"/>
      <c r="BM276" s="1767"/>
      <c r="BN276" s="1767"/>
      <c r="BO276" s="1680"/>
      <c r="BP276" s="1548"/>
      <c r="BQ276" s="1767"/>
      <c r="BR276" s="1767"/>
      <c r="BS276" s="1767"/>
      <c r="BT276" s="1767"/>
      <c r="BU276" s="1680"/>
      <c r="BV276" s="1548"/>
      <c r="BW276" s="1767"/>
      <c r="BX276" s="1767"/>
      <c r="BY276" s="1767"/>
      <c r="BZ276" s="1767"/>
      <c r="CA276" s="1680"/>
      <c r="CB276" s="1548"/>
      <c r="CC276" s="1767"/>
      <c r="CD276" s="1767"/>
      <c r="CE276" s="1767"/>
      <c r="CF276" s="1768"/>
      <c r="CG276" s="1769"/>
      <c r="CH276" s="1548"/>
      <c r="CI276" s="1767"/>
      <c r="CJ276" s="1767"/>
      <c r="CK276" s="1767"/>
      <c r="CL276" s="1767"/>
      <c r="CM276" s="1769"/>
      <c r="CN276" s="1548"/>
      <c r="CO276" s="1767"/>
      <c r="CP276" s="1767"/>
      <c r="CQ276" s="1767"/>
      <c r="CR276" s="1767"/>
      <c r="CS276" s="1769"/>
      <c r="CT276" s="1776"/>
      <c r="CU276" s="1767"/>
      <c r="CV276" s="1767"/>
      <c r="CW276" s="1767"/>
      <c r="CX276" s="1767"/>
      <c r="CY276" s="1769"/>
      <c r="CZ276" s="1776"/>
      <c r="DA276" s="1767"/>
      <c r="DB276" s="1767"/>
      <c r="DC276" s="1767"/>
      <c r="DD276" s="1767"/>
      <c r="DE276" s="1769"/>
      <c r="DF276" s="1776"/>
      <c r="DG276" s="1548"/>
      <c r="DH276" s="1548">
        <f>130-102</f>
        <v>28</v>
      </c>
      <c r="DI276" s="1548">
        <f>158-130</f>
        <v>28</v>
      </c>
      <c r="DJ276" s="1548">
        <f>220-158</f>
        <v>62</v>
      </c>
      <c r="DK276" s="1770"/>
      <c r="DL276" s="1548"/>
      <c r="DM276" s="1548">
        <f>270-220</f>
        <v>50</v>
      </c>
      <c r="DN276" s="1548">
        <f>319-270</f>
        <v>49</v>
      </c>
      <c r="DO276" s="1548">
        <v>47</v>
      </c>
      <c r="DP276" s="1548">
        <v>62</v>
      </c>
      <c r="DQ276" s="1770">
        <f>+SUM(DM276:DP276)</f>
        <v>208</v>
      </c>
      <c r="DR276" s="1548"/>
      <c r="DS276" s="1548">
        <v>140</v>
      </c>
      <c r="DT276" s="1548">
        <v>125</v>
      </c>
      <c r="DU276" s="1548">
        <v>167</v>
      </c>
      <c r="DV276" s="1548">
        <v>228</v>
      </c>
      <c r="DW276" s="1770">
        <f>+SUM(DS276:DV276)</f>
        <v>660</v>
      </c>
      <c r="DX276" s="1895"/>
      <c r="DY276" s="1548">
        <v>233</v>
      </c>
      <c r="DZ276" s="1548">
        <v>270</v>
      </c>
      <c r="EA276" s="1548">
        <v>307</v>
      </c>
      <c r="EB276" s="1548">
        <v>370.5</v>
      </c>
      <c r="EC276" s="1770">
        <f>+SUM(DY276:EB276)</f>
        <v>1180.5</v>
      </c>
      <c r="ED276" s="1895"/>
      <c r="EE276" s="2070">
        <f>$EI$276*EE286</f>
        <v>305.61050444640989</v>
      </c>
      <c r="EF276" s="2070">
        <f t="shared" ref="EF276:EH276" si="53">$EI$276*EF286</f>
        <v>318.3442754650103</v>
      </c>
      <c r="EG276" s="2070">
        <f t="shared" si="53"/>
        <v>318.3442754650103</v>
      </c>
      <c r="EH276" s="2070">
        <f t="shared" si="53"/>
        <v>331.07804648361071</v>
      </c>
      <c r="EI276" s="1896">
        <f>'Biz Transition Scenarios'!M47+'Biz Transition Scenarios'!M55+'Biz Transition Scenarios'!M57+'Biz Transition Scenarios'!M90+'Biz Transition Scenarios'!M77</f>
        <v>1273.3771018600412</v>
      </c>
      <c r="EJ276" s="1895"/>
      <c r="EK276" s="2070">
        <f>$EO$276*EK286</f>
        <v>312.17506466044705</v>
      </c>
      <c r="EL276" s="2070">
        <f>$EO$276*EL286</f>
        <v>299.68806207402918</v>
      </c>
      <c r="EM276" s="2070">
        <f>$EO$276*EM286</f>
        <v>305.93156336723808</v>
      </c>
      <c r="EN276" s="2070">
        <f>$EO$276*EN286</f>
        <v>330.90556854007389</v>
      </c>
      <c r="EO276" s="1896">
        <f>'Biz Transition Scenarios'!N47+'Biz Transition Scenarios'!N55+'Biz Transition Scenarios'!N57+'Biz Transition Scenarios'!N90+'Biz Transition Scenarios'!N77</f>
        <v>1248.7002586417882</v>
      </c>
      <c r="EP276" s="1895"/>
      <c r="EQ276" s="2294">
        <f>$EU$276*EQ286</f>
        <v>163.41819332298815</v>
      </c>
      <c r="ER276" s="2294">
        <f t="shared" ref="ER276:ET276" si="54">$EU$276*ER286</f>
        <v>156.88146559006861</v>
      </c>
      <c r="ES276" s="2294">
        <f t="shared" si="54"/>
        <v>160.14982945652838</v>
      </c>
      <c r="ET276" s="2294">
        <f t="shared" si="54"/>
        <v>173.22328492236744</v>
      </c>
      <c r="EU276" s="1896">
        <f>'Biz Transition Scenarios'!O47+'Biz Transition Scenarios'!O55+'Biz Transition Scenarios'!O57+'Biz Transition Scenarios'!O90+'Biz Transition Scenarios'!O77</f>
        <v>653.67277329195258</v>
      </c>
    </row>
    <row r="277" spans="1:151" s="1996" customFormat="1" ht="12.75" customHeight="1">
      <c r="A277" s="1548" t="s">
        <v>5979</v>
      </c>
      <c r="B277" s="1548"/>
      <c r="C277" s="1548"/>
      <c r="D277" s="1548"/>
      <c r="E277" s="1548"/>
      <c r="F277" s="1548"/>
      <c r="G277" s="1548"/>
      <c r="H277" s="1548"/>
      <c r="I277" s="1548"/>
      <c r="J277" s="1548"/>
      <c r="K277" s="1548"/>
      <c r="L277" s="1548"/>
      <c r="M277" s="1548"/>
      <c r="N277" s="1548"/>
      <c r="O277" s="1767"/>
      <c r="P277" s="1767"/>
      <c r="Q277" s="1767"/>
      <c r="R277" s="1767"/>
      <c r="S277" s="1776"/>
      <c r="T277" s="1995"/>
      <c r="U277" s="1767"/>
      <c r="V277" s="1767"/>
      <c r="W277" s="1767"/>
      <c r="X277" s="1767"/>
      <c r="Y277" s="1776"/>
      <c r="Z277" s="1995"/>
      <c r="AA277" s="1767"/>
      <c r="AB277" s="1767"/>
      <c r="AC277" s="1767"/>
      <c r="AD277" s="1767"/>
      <c r="AE277" s="1776"/>
      <c r="AF277" s="1548"/>
      <c r="AG277" s="1767"/>
      <c r="AH277" s="1767"/>
      <c r="AI277" s="1767"/>
      <c r="AJ277" s="1767"/>
      <c r="AK277" s="1776"/>
      <c r="AL277" s="1548"/>
      <c r="AM277" s="1767"/>
      <c r="AN277" s="1767"/>
      <c r="AO277" s="1767"/>
      <c r="AP277" s="1767"/>
      <c r="AQ277" s="1776"/>
      <c r="AR277" s="1776"/>
      <c r="AS277" s="1767"/>
      <c r="AT277" s="1767"/>
      <c r="AU277" s="1767"/>
      <c r="AV277" s="1767"/>
      <c r="AW277" s="1776"/>
      <c r="AX277" s="1548"/>
      <c r="AY277" s="1767"/>
      <c r="AZ277" s="1767"/>
      <c r="BA277" s="1767"/>
      <c r="BB277" s="1767"/>
      <c r="BC277" s="1776"/>
      <c r="BD277" s="1548"/>
      <c r="BE277" s="1767"/>
      <c r="BF277" s="1767"/>
      <c r="BG277" s="1767"/>
      <c r="BH277" s="1767"/>
      <c r="BI277" s="1776"/>
      <c r="BJ277" s="1548"/>
      <c r="BK277" s="1767"/>
      <c r="BL277" s="1767"/>
      <c r="BM277" s="1767"/>
      <c r="BN277" s="1767"/>
      <c r="BO277" s="1680"/>
      <c r="BP277" s="1548"/>
      <c r="BQ277" s="1767"/>
      <c r="BR277" s="1767"/>
      <c r="BS277" s="1767"/>
      <c r="BT277" s="1767"/>
      <c r="BU277" s="1680"/>
      <c r="BV277" s="1548"/>
      <c r="BW277" s="1767"/>
      <c r="BX277" s="1767"/>
      <c r="BY277" s="1767"/>
      <c r="BZ277" s="1767"/>
      <c r="CA277" s="1680"/>
      <c r="CB277" s="1548"/>
      <c r="CC277" s="1767"/>
      <c r="CD277" s="1767"/>
      <c r="CE277" s="1767"/>
      <c r="CF277" s="1768"/>
      <c r="CG277" s="1769"/>
      <c r="CH277" s="1548"/>
      <c r="CI277" s="1767"/>
      <c r="CJ277" s="1767"/>
      <c r="CK277" s="1767"/>
      <c r="CL277" s="1767"/>
      <c r="CM277" s="1769"/>
      <c r="CN277" s="1548"/>
      <c r="CO277" s="1767"/>
      <c r="CP277" s="1767"/>
      <c r="CQ277" s="1767"/>
      <c r="CR277" s="1767"/>
      <c r="CS277" s="1769"/>
      <c r="CT277" s="1776"/>
      <c r="CU277" s="1767"/>
      <c r="CV277" s="1767"/>
      <c r="CW277" s="1767"/>
      <c r="CX277" s="1767"/>
      <c r="CY277" s="1769"/>
      <c r="CZ277" s="1776"/>
      <c r="DA277" s="1767"/>
      <c r="DB277" s="1767"/>
      <c r="DC277" s="1767"/>
      <c r="DD277" s="1767"/>
      <c r="DE277" s="1769"/>
      <c r="DF277" s="1776"/>
      <c r="DG277" s="1548"/>
      <c r="DH277" s="1548">
        <f>1882-1837</f>
        <v>45</v>
      </c>
      <c r="DI277" s="1548">
        <f>1976-1882</f>
        <v>94</v>
      </c>
      <c r="DJ277" s="1548">
        <f>2013-1976</f>
        <v>37</v>
      </c>
      <c r="DK277" s="1770"/>
      <c r="DL277" s="1548"/>
      <c r="DM277" s="1548">
        <f>2058-2013</f>
        <v>45</v>
      </c>
      <c r="DN277" s="1548">
        <f>2070-2058</f>
        <v>12</v>
      </c>
      <c r="DO277" s="1548">
        <v>33</v>
      </c>
      <c r="DP277" s="1548">
        <f>+DP273-DP276</f>
        <v>47</v>
      </c>
      <c r="DQ277" s="1770">
        <f>+SUM(DM277:DP277)</f>
        <v>137</v>
      </c>
      <c r="DR277" s="1548"/>
      <c r="DS277" s="1548">
        <v>-13</v>
      </c>
      <c r="DT277" s="1548">
        <v>-16</v>
      </c>
      <c r="DU277" s="1548">
        <v>-35</v>
      </c>
      <c r="DV277" s="1548">
        <v>-71</v>
      </c>
      <c r="DW277" s="1770">
        <f>+SUM(DS277:DV277)</f>
        <v>-135</v>
      </c>
      <c r="DX277" s="1895"/>
      <c r="DY277" s="1548">
        <v>-47</v>
      </c>
      <c r="DZ277" s="1548">
        <v>-117</v>
      </c>
      <c r="EA277" s="1548">
        <v>-161</v>
      </c>
      <c r="EB277" s="1548">
        <v>-244.5</v>
      </c>
      <c r="EC277" s="1770">
        <f>+SUM(DY277:EB277)</f>
        <v>-569.5</v>
      </c>
      <c r="ED277" s="1895"/>
      <c r="EE277" s="1895">
        <f>$EI$277*EE286</f>
        <v>-175.55371938885284</v>
      </c>
      <c r="EF277" s="1895">
        <f t="shared" ref="EF277:EH277" si="55">$EI$277*EF286</f>
        <v>-182.86845769672172</v>
      </c>
      <c r="EG277" s="1895">
        <f t="shared" si="55"/>
        <v>-182.86845769672172</v>
      </c>
      <c r="EH277" s="1895">
        <f t="shared" si="55"/>
        <v>-190.1831960045906</v>
      </c>
      <c r="EI277" s="1896">
        <f>'Biz Transition Scenarios'!M37+'Biz Transition Scenarios'!M73</f>
        <v>-731.47383078688688</v>
      </c>
      <c r="EJ277" s="1895"/>
      <c r="EK277" s="1895">
        <f>$EO$277*EK286</f>
        <v>-166.0783031559061</v>
      </c>
      <c r="EL277" s="1895">
        <f>$EO$277*EL286</f>
        <v>-159.43517102966985</v>
      </c>
      <c r="EM277" s="1895">
        <f>$EO$277*EM286</f>
        <v>-162.75673709278797</v>
      </c>
      <c r="EN277" s="1895">
        <f>$EO$277*EN286</f>
        <v>-176.04300134526048</v>
      </c>
      <c r="EO277" s="1896">
        <f>'Biz Transition Scenarios'!N37+'Biz Transition Scenarios'!N73</f>
        <v>-664.31321262362439</v>
      </c>
      <c r="EP277" s="1895"/>
      <c r="EQ277" s="2293">
        <f>$EU$277*EQ286</f>
        <v>-13.179335521916101</v>
      </c>
      <c r="ER277" s="2293">
        <f t="shared" ref="ER277:ET277" si="56">$EU$277*ER286</f>
        <v>-12.652162101039456</v>
      </c>
      <c r="ES277" s="2293">
        <f t="shared" si="56"/>
        <v>-12.91574881147778</v>
      </c>
      <c r="ET277" s="2293">
        <f t="shared" si="56"/>
        <v>-13.970095653231068</v>
      </c>
      <c r="EU277" s="1896">
        <f>'Biz Transition Scenarios'!O37+'Biz Transition Scenarios'!O73</f>
        <v>-52.717342087664406</v>
      </c>
    </row>
    <row r="278" spans="1:151" s="1996" customFormat="1" ht="12.75" customHeight="1">
      <c r="A278" s="1548" t="s">
        <v>7229</v>
      </c>
      <c r="B278" s="1548"/>
      <c r="C278" s="1548"/>
      <c r="D278" s="1548"/>
      <c r="E278" s="1548"/>
      <c r="F278" s="1548"/>
      <c r="G278" s="1548"/>
      <c r="H278" s="1548"/>
      <c r="I278" s="1548"/>
      <c r="J278" s="1548"/>
      <c r="K278" s="1548"/>
      <c r="L278" s="1548"/>
      <c r="M278" s="1548"/>
      <c r="N278" s="1548"/>
      <c r="O278" s="1767"/>
      <c r="P278" s="1767"/>
      <c r="Q278" s="1767"/>
      <c r="R278" s="1767"/>
      <c r="S278" s="1776"/>
      <c r="T278" s="1995"/>
      <c r="U278" s="1767"/>
      <c r="V278" s="1767"/>
      <c r="W278" s="1767"/>
      <c r="X278" s="1767"/>
      <c r="Y278" s="1776"/>
      <c r="Z278" s="1995"/>
      <c r="AA278" s="1767"/>
      <c r="AB278" s="1767"/>
      <c r="AC278" s="1767"/>
      <c r="AD278" s="1767"/>
      <c r="AE278" s="1776"/>
      <c r="AF278" s="1548"/>
      <c r="AG278" s="1767"/>
      <c r="AH278" s="1767"/>
      <c r="AI278" s="1767"/>
      <c r="AJ278" s="1767"/>
      <c r="AK278" s="1776"/>
      <c r="AL278" s="1548"/>
      <c r="AM278" s="1767"/>
      <c r="AN278" s="1767"/>
      <c r="AO278" s="1767"/>
      <c r="AP278" s="1767"/>
      <c r="AQ278" s="1776"/>
      <c r="AR278" s="1776"/>
      <c r="AS278" s="1767"/>
      <c r="AT278" s="1767"/>
      <c r="AU278" s="1767"/>
      <c r="AV278" s="1767"/>
      <c r="AW278" s="1776"/>
      <c r="AX278" s="1548"/>
      <c r="AY278" s="1767"/>
      <c r="AZ278" s="1767"/>
      <c r="BA278" s="1767"/>
      <c r="BB278" s="1767"/>
      <c r="BC278" s="1776"/>
      <c r="BD278" s="1548"/>
      <c r="BE278" s="1767"/>
      <c r="BF278" s="1767"/>
      <c r="BG278" s="1767"/>
      <c r="BH278" s="1767"/>
      <c r="BI278" s="1776"/>
      <c r="BJ278" s="1548"/>
      <c r="BK278" s="1767"/>
      <c r="BL278" s="1767"/>
      <c r="BM278" s="1767"/>
      <c r="BN278" s="1767"/>
      <c r="BO278" s="1680"/>
      <c r="BP278" s="1548"/>
      <c r="BQ278" s="1767"/>
      <c r="BR278" s="1767"/>
      <c r="BS278" s="1767"/>
      <c r="BT278" s="1767"/>
      <c r="BU278" s="1680"/>
      <c r="BV278" s="1548"/>
      <c r="BW278" s="1767"/>
      <c r="BX278" s="1767"/>
      <c r="BY278" s="1767"/>
      <c r="BZ278" s="1767"/>
      <c r="CA278" s="1680"/>
      <c r="CB278" s="1548"/>
      <c r="CC278" s="1767"/>
      <c r="CD278" s="1767"/>
      <c r="CE278" s="1767"/>
      <c r="CF278" s="1768"/>
      <c r="CG278" s="1769"/>
      <c r="CH278" s="1548"/>
      <c r="CI278" s="1767"/>
      <c r="CJ278" s="1767"/>
      <c r="CK278" s="1767"/>
      <c r="CL278" s="1767"/>
      <c r="CM278" s="1769"/>
      <c r="CN278" s="1548"/>
      <c r="CO278" s="1767"/>
      <c r="CP278" s="1767"/>
      <c r="CQ278" s="1767"/>
      <c r="CR278" s="1767"/>
      <c r="CS278" s="1769"/>
      <c r="CT278" s="1776"/>
      <c r="CU278" s="1767"/>
      <c r="CV278" s="1767"/>
      <c r="CW278" s="1767"/>
      <c r="CX278" s="1767"/>
      <c r="CY278" s="1769"/>
      <c r="CZ278" s="1776"/>
      <c r="DA278" s="1767"/>
      <c r="DB278" s="1767"/>
      <c r="DC278" s="1767"/>
      <c r="DD278" s="1767"/>
      <c r="DE278" s="1769"/>
      <c r="DF278" s="1776"/>
      <c r="DG278" s="1548"/>
      <c r="DH278" s="1548"/>
      <c r="DI278" s="1548"/>
      <c r="DJ278" s="1548"/>
      <c r="DK278" s="1770"/>
      <c r="DL278" s="1548"/>
      <c r="DM278" s="1548"/>
      <c r="DN278" s="1548"/>
      <c r="DO278" s="1548"/>
      <c r="DP278" s="1548"/>
      <c r="DQ278" s="1770"/>
      <c r="DR278" s="1548"/>
      <c r="DS278" s="1548"/>
      <c r="DT278" s="1548"/>
      <c r="DU278" s="1548"/>
      <c r="DV278" s="1548"/>
      <c r="DW278" s="1657"/>
      <c r="DX278" s="1895"/>
      <c r="DY278" s="1548"/>
      <c r="DZ278" s="1548">
        <v>63</v>
      </c>
      <c r="EA278" s="1548">
        <v>110</v>
      </c>
      <c r="EB278" s="1548">
        <v>168</v>
      </c>
      <c r="EC278" s="1770">
        <f>+SUM(DY278:EB278)</f>
        <v>341</v>
      </c>
      <c r="ED278" s="1895"/>
      <c r="EE278" s="1895"/>
      <c r="EF278" s="1895"/>
      <c r="EG278" s="1895"/>
      <c r="EH278" s="1895"/>
      <c r="EI278" s="1896"/>
      <c r="EJ278" s="1895"/>
      <c r="EK278" s="1895"/>
      <c r="EL278" s="1895"/>
      <c r="EM278" s="1895"/>
      <c r="EN278" s="1895"/>
      <c r="EO278" s="1896"/>
      <c r="EP278" s="1895"/>
      <c r="EQ278" s="1895"/>
      <c r="ER278" s="1895"/>
      <c r="ES278" s="1895"/>
      <c r="ET278" s="1895"/>
      <c r="EU278" s="1896"/>
    </row>
    <row r="279" spans="1:151" s="1771" customFormat="1" ht="12.75" customHeight="1">
      <c r="A279" s="1761"/>
      <c r="B279" s="1762"/>
      <c r="C279" s="1762"/>
      <c r="D279" s="1762"/>
      <c r="E279" s="1762"/>
      <c r="F279" s="1762"/>
      <c r="G279" s="1762"/>
      <c r="H279" s="1762"/>
      <c r="I279" s="1762"/>
      <c r="J279" s="1762"/>
      <c r="K279" s="1762"/>
      <c r="L279" s="1762"/>
      <c r="M279" s="1762"/>
      <c r="N279" s="1762"/>
      <c r="O279" s="1763"/>
      <c r="P279" s="1763"/>
      <c r="Q279" s="1763"/>
      <c r="R279" s="1763"/>
      <c r="S279" s="1764"/>
      <c r="T279" s="1765"/>
      <c r="U279" s="1763"/>
      <c r="V279" s="1763"/>
      <c r="W279" s="1763"/>
      <c r="X279" s="1763"/>
      <c r="Y279" s="1764"/>
      <c r="Z279" s="1765"/>
      <c r="AA279" s="1763"/>
      <c r="AB279" s="1763"/>
      <c r="AC279" s="1763"/>
      <c r="AD279" s="1763"/>
      <c r="AE279" s="1764"/>
      <c r="AF279" s="1762"/>
      <c r="AG279" s="1763"/>
      <c r="AH279" s="1763"/>
      <c r="AI279" s="1763"/>
      <c r="AJ279" s="1763"/>
      <c r="AK279" s="1764"/>
      <c r="AL279" s="1762"/>
      <c r="AM279" s="1763"/>
      <c r="AN279" s="1763"/>
      <c r="AO279" s="1763"/>
      <c r="AP279" s="1763"/>
      <c r="AQ279" s="1764"/>
      <c r="AR279" s="1764"/>
      <c r="AS279" s="1763"/>
      <c r="AT279" s="1763"/>
      <c r="AU279" s="1763"/>
      <c r="AV279" s="1763"/>
      <c r="AW279" s="1764"/>
      <c r="AX279" s="1762"/>
      <c r="AY279" s="1763"/>
      <c r="AZ279" s="1763"/>
      <c r="BA279" s="1763"/>
      <c r="BB279" s="1763"/>
      <c r="BC279" s="1764"/>
      <c r="BD279" s="1762"/>
      <c r="BE279" s="1763"/>
      <c r="BF279" s="1763"/>
      <c r="BG279" s="1763"/>
      <c r="BH279" s="1763"/>
      <c r="BI279" s="1764"/>
      <c r="BJ279" s="1762"/>
      <c r="BK279" s="1763"/>
      <c r="BL279" s="1763"/>
      <c r="BM279" s="1763"/>
      <c r="BN279" s="1763"/>
      <c r="BO279" s="1766"/>
      <c r="BP279" s="1762"/>
      <c r="BQ279" s="1763"/>
      <c r="BR279" s="1763"/>
      <c r="BS279" s="1763"/>
      <c r="BT279" s="1763"/>
      <c r="BU279" s="1766"/>
      <c r="BV279" s="1548"/>
      <c r="BW279" s="1763"/>
      <c r="BX279" s="1763"/>
      <c r="BY279" s="1767"/>
      <c r="BZ279" s="1763"/>
      <c r="CA279" s="1766"/>
      <c r="CB279" s="1762"/>
      <c r="CC279" s="1767"/>
      <c r="CD279" s="1767"/>
      <c r="CE279" s="1767"/>
      <c r="CF279" s="1768"/>
      <c r="CG279" s="1769"/>
      <c r="CH279" s="1548"/>
      <c r="CI279" s="1767"/>
      <c r="CJ279" s="1767"/>
      <c r="CK279" s="1767"/>
      <c r="CL279" s="1767"/>
      <c r="CM279" s="1769"/>
      <c r="CN279" s="1548"/>
      <c r="CO279" s="1767"/>
      <c r="CP279" s="1767"/>
      <c r="CQ279" s="1767"/>
      <c r="CR279" s="1767"/>
      <c r="CS279" s="1769"/>
      <c r="CT279" s="1776"/>
      <c r="CU279" s="1767"/>
      <c r="CV279" s="1767"/>
      <c r="CW279" s="1767"/>
      <c r="CX279" s="1767"/>
      <c r="CY279" s="1769"/>
      <c r="CZ279" s="1776"/>
      <c r="DA279" s="1767"/>
      <c r="DB279" s="1767"/>
      <c r="DC279" s="1767"/>
      <c r="DD279" s="1767"/>
      <c r="DE279" s="1769"/>
      <c r="DF279" s="1776"/>
      <c r="DG279" s="1548"/>
      <c r="DH279" s="1548"/>
      <c r="DI279" s="1548"/>
      <c r="DJ279" s="1548"/>
      <c r="DK279" s="1770"/>
      <c r="DL279" s="1548"/>
      <c r="DM279" s="1548"/>
      <c r="DN279" s="1548"/>
      <c r="DO279" s="1548"/>
      <c r="DP279" s="2028"/>
      <c r="DQ279" s="2029"/>
      <c r="DR279" s="1548"/>
      <c r="DS279" s="1658"/>
      <c r="DT279" s="1548"/>
      <c r="DU279" s="1548"/>
      <c r="DV279" s="2028"/>
      <c r="DW279" s="2029"/>
      <c r="DX279" s="1895"/>
      <c r="DY279" s="1658"/>
      <c r="DZ279" s="2274"/>
      <c r="EA279" s="1548"/>
      <c r="EB279" s="1548"/>
      <c r="EC279" s="1778"/>
      <c r="ED279" s="1895"/>
      <c r="EE279" s="2292"/>
      <c r="EF279" s="1895"/>
      <c r="EG279" s="1895"/>
      <c r="EH279" s="1895"/>
      <c r="EI279" s="1896"/>
      <c r="EJ279" s="1895"/>
      <c r="EK279" s="1895"/>
      <c r="EL279" s="1895"/>
      <c r="EM279" s="1895"/>
      <c r="EN279" s="1895"/>
      <c r="EO279" s="1896"/>
      <c r="EP279" s="1895"/>
      <c r="EQ279" s="1895"/>
      <c r="ER279" s="1895"/>
      <c r="ES279" s="1895"/>
      <c r="ET279" s="1895"/>
      <c r="EU279" s="1896"/>
    </row>
    <row r="280" spans="1:151" s="1771" customFormat="1" ht="12.75" customHeight="1">
      <c r="A280" s="1761" t="s">
        <v>6982</v>
      </c>
      <c r="B280" s="1762"/>
      <c r="C280" s="1762"/>
      <c r="D280" s="1762"/>
      <c r="E280" s="1762"/>
      <c r="F280" s="1762"/>
      <c r="G280" s="1762"/>
      <c r="H280" s="1762"/>
      <c r="I280" s="1762"/>
      <c r="J280" s="1762"/>
      <c r="K280" s="1762"/>
      <c r="L280" s="1762"/>
      <c r="M280" s="1762"/>
      <c r="N280" s="1762"/>
      <c r="O280" s="1763"/>
      <c r="P280" s="1763"/>
      <c r="Q280" s="1763"/>
      <c r="R280" s="1763"/>
      <c r="S280" s="1764"/>
      <c r="T280" s="1765"/>
      <c r="U280" s="1763"/>
      <c r="V280" s="1763"/>
      <c r="W280" s="1763"/>
      <c r="X280" s="1763"/>
      <c r="Y280" s="1764"/>
      <c r="Z280" s="1765"/>
      <c r="AA280" s="1763"/>
      <c r="AB280" s="1763"/>
      <c r="AC280" s="1763"/>
      <c r="AD280" s="1763"/>
      <c r="AE280" s="1764"/>
      <c r="AF280" s="1762"/>
      <c r="AG280" s="1763"/>
      <c r="AH280" s="1763"/>
      <c r="AI280" s="1763"/>
      <c r="AJ280" s="1763"/>
      <c r="AK280" s="1764"/>
      <c r="AL280" s="1762"/>
      <c r="AM280" s="1763"/>
      <c r="AN280" s="1763"/>
      <c r="AO280" s="1763"/>
      <c r="AP280" s="1763"/>
      <c r="AQ280" s="1764"/>
      <c r="AR280" s="1764"/>
      <c r="AS280" s="1763"/>
      <c r="AT280" s="1763"/>
      <c r="AU280" s="1763"/>
      <c r="AV280" s="1763"/>
      <c r="AW280" s="1764"/>
      <c r="AX280" s="1762"/>
      <c r="AY280" s="1763"/>
      <c r="AZ280" s="1763"/>
      <c r="BA280" s="1763"/>
      <c r="BB280" s="1763"/>
      <c r="BC280" s="1764"/>
      <c r="BD280" s="1762"/>
      <c r="BE280" s="1763"/>
      <c r="BF280" s="1763"/>
      <c r="BG280" s="1763"/>
      <c r="BH280" s="1763"/>
      <c r="BI280" s="1764"/>
      <c r="BJ280" s="1762"/>
      <c r="BK280" s="1763"/>
      <c r="BL280" s="1763"/>
      <c r="BM280" s="1763"/>
      <c r="BN280" s="1763"/>
      <c r="BO280" s="1766"/>
      <c r="BP280" s="1762"/>
      <c r="BQ280" s="1763"/>
      <c r="BR280" s="1763"/>
      <c r="BS280" s="1763"/>
      <c r="BT280" s="1763"/>
      <c r="BU280" s="1766"/>
      <c r="BV280" s="1548"/>
      <c r="BW280" s="1763"/>
      <c r="BX280" s="1763"/>
      <c r="BY280" s="1767"/>
      <c r="BZ280" s="1763"/>
      <c r="CA280" s="1766"/>
      <c r="CB280" s="1762"/>
      <c r="CC280" s="1767"/>
      <c r="CD280" s="1767"/>
      <c r="CE280" s="1767"/>
      <c r="CF280" s="1768"/>
      <c r="CG280" s="1769"/>
      <c r="CH280" s="1548"/>
      <c r="CI280" s="1767"/>
      <c r="CJ280" s="1767"/>
      <c r="CK280" s="1767"/>
      <c r="CL280" s="1767"/>
      <c r="CM280" s="1769"/>
      <c r="CN280" s="1548"/>
      <c r="CO280" s="1767"/>
      <c r="CP280" s="1767"/>
      <c r="CQ280" s="1767"/>
      <c r="CR280" s="1767"/>
      <c r="CS280" s="1769"/>
      <c r="CT280" s="1776"/>
      <c r="CU280" s="1767"/>
      <c r="CV280" s="1767"/>
      <c r="CW280" s="1767"/>
      <c r="CX280" s="1767"/>
      <c r="CY280" s="1769"/>
      <c r="CZ280" s="1776"/>
      <c r="DA280" s="1767"/>
      <c r="DB280" s="1767"/>
      <c r="DC280" s="1767"/>
      <c r="DD280" s="1767"/>
      <c r="DE280" s="1769">
        <f>DG280-DG273</f>
        <v>1851</v>
      </c>
      <c r="DF280" s="1776"/>
      <c r="DG280" s="1548">
        <v>1940</v>
      </c>
      <c r="DH280" s="1548">
        <f>DG280+DH273</f>
        <v>2014</v>
      </c>
      <c r="DI280" s="1548">
        <f>DH280+DI273</f>
        <v>2135</v>
      </c>
      <c r="DJ280" s="1548">
        <f>DI280+DJ273</f>
        <v>2235</v>
      </c>
      <c r="DK280" s="1770">
        <f>DJ280</f>
        <v>2235</v>
      </c>
      <c r="DL280" s="1548"/>
      <c r="DM280" s="1548">
        <f>DJ280+DM273</f>
        <v>2330</v>
      </c>
      <c r="DN280" s="1548">
        <f>DM280+DN273</f>
        <v>2391</v>
      </c>
      <c r="DO280" s="1548">
        <f>DN280+DO273</f>
        <v>2471</v>
      </c>
      <c r="DP280" s="1548">
        <f>DO280+DP273</f>
        <v>2580</v>
      </c>
      <c r="DQ280" s="1770">
        <f>DP280</f>
        <v>2580</v>
      </c>
      <c r="DR280" s="1548"/>
      <c r="DS280" s="1548">
        <f>DS273+DQ280</f>
        <v>2707</v>
      </c>
      <c r="DT280" s="1548">
        <f>SUM(DT281:DT282)</f>
        <v>2816</v>
      </c>
      <c r="DU280" s="1548">
        <f t="shared" ref="DU280:DV280" si="57">SUM(DU281:DU282)</f>
        <v>2948</v>
      </c>
      <c r="DV280" s="1548">
        <f t="shared" si="57"/>
        <v>3105</v>
      </c>
      <c r="DW280" s="1770">
        <f>DV280</f>
        <v>3105</v>
      </c>
      <c r="DX280" s="1895"/>
      <c r="DY280" s="1548">
        <f>DY273+DW280</f>
        <v>3291</v>
      </c>
      <c r="DZ280" s="1895">
        <f>DZ273+DY280</f>
        <v>3444</v>
      </c>
      <c r="EA280" s="1548">
        <f>EA273+DZ280</f>
        <v>3590</v>
      </c>
      <c r="EB280" s="1548">
        <f t="shared" ref="EB280" si="58">SUM(EB281:EB282)</f>
        <v>3716</v>
      </c>
      <c r="EC280" s="1770">
        <f>EB280</f>
        <v>3716</v>
      </c>
      <c r="ED280" s="1895"/>
      <c r="EE280" s="1895">
        <f>EE273+EC280</f>
        <v>3846.0567850575571</v>
      </c>
      <c r="EF280" s="1895">
        <f>EF273+EE280</f>
        <v>3981.5326028258455</v>
      </c>
      <c r="EG280" s="1895">
        <f>EG273+EF280</f>
        <v>4117.0084205941339</v>
      </c>
      <c r="EH280" s="1895">
        <f>EH273+EG280</f>
        <v>4257.9032710731544</v>
      </c>
      <c r="EI280" s="1896">
        <f>EH280</f>
        <v>4257.9032710731544</v>
      </c>
      <c r="EJ280" s="1895"/>
      <c r="EK280" s="1895">
        <f>EK273+EI280</f>
        <v>4404.0000325776955</v>
      </c>
      <c r="EL280" s="1895">
        <f>EL273+EK280</f>
        <v>4544.2529236220544</v>
      </c>
      <c r="EM280" s="1895">
        <f>EM273+EL280</f>
        <v>4687.4277498965048</v>
      </c>
      <c r="EN280" s="1895">
        <f>EN273+EM280</f>
        <v>4842.2903170913178</v>
      </c>
      <c r="EO280" s="1896">
        <f>EN280</f>
        <v>4842.2903170913178</v>
      </c>
      <c r="EP280" s="1895"/>
      <c r="EQ280" s="1895">
        <f>EQ273+EO280</f>
        <v>4992.5291748923901</v>
      </c>
      <c r="ER280" s="1895">
        <f>ER273+EQ280</f>
        <v>5136.7584783814191</v>
      </c>
      <c r="ES280" s="1895">
        <f>ES273+ER280</f>
        <v>5283.9925590264693</v>
      </c>
      <c r="ET280" s="1895">
        <f>ET273+ES280</f>
        <v>5443.2457482956061</v>
      </c>
      <c r="EU280" s="1896">
        <f>ET280</f>
        <v>5443.2457482956061</v>
      </c>
    </row>
    <row r="281" spans="1:151" s="2005" customFormat="1" ht="12.75" customHeight="1">
      <c r="A281" s="1548" t="s">
        <v>7205</v>
      </c>
      <c r="B281" s="1762"/>
      <c r="C281" s="1762"/>
      <c r="D281" s="1762"/>
      <c r="E281" s="1762"/>
      <c r="F281" s="1762"/>
      <c r="G281" s="1762"/>
      <c r="H281" s="1762"/>
      <c r="I281" s="1762"/>
      <c r="J281" s="1762"/>
      <c r="K281" s="1762"/>
      <c r="L281" s="1762"/>
      <c r="M281" s="1762"/>
      <c r="N281" s="1762"/>
      <c r="O281" s="1763"/>
      <c r="P281" s="1763"/>
      <c r="Q281" s="1763"/>
      <c r="R281" s="1763"/>
      <c r="S281" s="1764"/>
      <c r="T281" s="1765"/>
      <c r="U281" s="1763"/>
      <c r="V281" s="1763"/>
      <c r="W281" s="1763"/>
      <c r="X281" s="1763"/>
      <c r="Y281" s="1764"/>
      <c r="Z281" s="1765"/>
      <c r="AA281" s="1763"/>
      <c r="AB281" s="1763"/>
      <c r="AC281" s="1763"/>
      <c r="AD281" s="1763"/>
      <c r="AE281" s="1764"/>
      <c r="AF281" s="1762"/>
      <c r="AG281" s="1763"/>
      <c r="AH281" s="1763"/>
      <c r="AI281" s="1763"/>
      <c r="AJ281" s="1763"/>
      <c r="AK281" s="1764"/>
      <c r="AL281" s="1762"/>
      <c r="AM281" s="1763"/>
      <c r="AN281" s="1763"/>
      <c r="AO281" s="1763"/>
      <c r="AP281" s="1763"/>
      <c r="AQ281" s="1764"/>
      <c r="AR281" s="1764"/>
      <c r="AS281" s="1763"/>
      <c r="AT281" s="1763"/>
      <c r="AU281" s="1763"/>
      <c r="AV281" s="1763"/>
      <c r="AW281" s="1764"/>
      <c r="AX281" s="1762"/>
      <c r="AY281" s="1763"/>
      <c r="AZ281" s="1763"/>
      <c r="BA281" s="1763"/>
      <c r="BB281" s="1763"/>
      <c r="BC281" s="1764"/>
      <c r="BD281" s="1762"/>
      <c r="BE281" s="1763"/>
      <c r="BF281" s="1763"/>
      <c r="BG281" s="1763"/>
      <c r="BH281" s="1763"/>
      <c r="BI281" s="1764"/>
      <c r="BJ281" s="1762"/>
      <c r="BK281" s="1763"/>
      <c r="BL281" s="1763"/>
      <c r="BM281" s="1763"/>
      <c r="BN281" s="1763"/>
      <c r="BO281" s="1766"/>
      <c r="BP281" s="1762"/>
      <c r="BQ281" s="1763"/>
      <c r="BR281" s="1763"/>
      <c r="BS281" s="1763"/>
      <c r="BT281" s="1763"/>
      <c r="BU281" s="1766"/>
      <c r="BV281" s="1548"/>
      <c r="BW281" s="1763"/>
      <c r="BX281" s="1763"/>
      <c r="BY281" s="1767"/>
      <c r="BZ281" s="1763"/>
      <c r="CA281" s="1766"/>
      <c r="CB281" s="1762"/>
      <c r="CC281" s="1767"/>
      <c r="CD281" s="1767"/>
      <c r="CE281" s="1767"/>
      <c r="CF281" s="1767"/>
      <c r="CG281" s="1776"/>
      <c r="CH281" s="1548"/>
      <c r="CI281" s="1767"/>
      <c r="CJ281" s="1767"/>
      <c r="CK281" s="1767"/>
      <c r="CL281" s="1767"/>
      <c r="CM281" s="1776"/>
      <c r="CN281" s="1548"/>
      <c r="CO281" s="1767"/>
      <c r="CP281" s="1767"/>
      <c r="CQ281" s="1767"/>
      <c r="CR281" s="1767"/>
      <c r="CS281" s="1776"/>
      <c r="CT281" s="1776"/>
      <c r="CU281" s="1767"/>
      <c r="CV281" s="1767"/>
      <c r="CW281" s="1767"/>
      <c r="CX281" s="1767"/>
      <c r="CY281" s="1776"/>
      <c r="CZ281" s="1776"/>
      <c r="DA281" s="1767"/>
      <c r="DB281" s="1767"/>
      <c r="DC281" s="1767"/>
      <c r="DD281" s="1767"/>
      <c r="DE281" s="1770"/>
      <c r="DF281" s="1776"/>
      <c r="DG281" s="1548"/>
      <c r="DH281" s="1548">
        <f>+DI281-DI276</f>
        <v>130</v>
      </c>
      <c r="DI281" s="1548">
        <f>+DJ281-DJ276</f>
        <v>158</v>
      </c>
      <c r="DJ281" s="1548">
        <f>+DM281-DM276</f>
        <v>220</v>
      </c>
      <c r="DK281" s="1770"/>
      <c r="DL281" s="1548"/>
      <c r="DM281" s="1548">
        <f>+DN281-DN276</f>
        <v>270</v>
      </c>
      <c r="DN281" s="1548">
        <f>+DO281-DO276</f>
        <v>319</v>
      </c>
      <c r="DO281" s="1548">
        <v>366</v>
      </c>
      <c r="DP281" s="1548">
        <v>427</v>
      </c>
      <c r="DQ281" s="1770"/>
      <c r="DR281" s="1548"/>
      <c r="DS281" s="1548">
        <f>+DP281+DS276</f>
        <v>567</v>
      </c>
      <c r="DT281" s="1548">
        <f>DS281+DT276</f>
        <v>692</v>
      </c>
      <c r="DU281" s="1548">
        <f t="shared" ref="DU281:DV281" si="59">DT281+DU276</f>
        <v>859</v>
      </c>
      <c r="DV281" s="1548">
        <f t="shared" si="59"/>
        <v>1087</v>
      </c>
      <c r="DW281" s="1770">
        <f>DV281</f>
        <v>1087</v>
      </c>
      <c r="DX281" s="1895"/>
      <c r="DY281" s="1548">
        <f>+DV281+DY276</f>
        <v>1320</v>
      </c>
      <c r="DZ281" s="1895">
        <f>DZ276+DY281</f>
        <v>1590</v>
      </c>
      <c r="EA281" s="1548">
        <f>EA276+DZ281</f>
        <v>1897</v>
      </c>
      <c r="EB281" s="1548">
        <f t="shared" ref="EB281:EB282" si="60">EA281+EB276</f>
        <v>2267.5</v>
      </c>
      <c r="EC281" s="1770">
        <f>EB281</f>
        <v>2267.5</v>
      </c>
      <c r="ED281" s="1895"/>
      <c r="EE281" s="1895">
        <f>EE276+EC281</f>
        <v>2573.1105044464098</v>
      </c>
      <c r="EF281" s="1895">
        <f>EF276+EE281</f>
        <v>2891.4547799114202</v>
      </c>
      <c r="EG281" s="1895">
        <f>EG276+EF281</f>
        <v>3209.7990553764307</v>
      </c>
      <c r="EH281" s="1895">
        <f>EH276+EG281</f>
        <v>3540.8771018600414</v>
      </c>
      <c r="EI281" s="1896">
        <f>EH281</f>
        <v>3540.8771018600414</v>
      </c>
      <c r="EJ281" s="1895"/>
      <c r="EK281" s="1895">
        <f>EK276+EI281</f>
        <v>3853.0521665204883</v>
      </c>
      <c r="EL281" s="1895">
        <f>EL276+EK281</f>
        <v>4152.7402285945172</v>
      </c>
      <c r="EM281" s="1895">
        <f>EM276+EL281</f>
        <v>4458.6717919617549</v>
      </c>
      <c r="EN281" s="1895">
        <f>EN276+EM281</f>
        <v>4789.5773605018285</v>
      </c>
      <c r="EO281" s="1896">
        <f>EN281</f>
        <v>4789.5773605018285</v>
      </c>
      <c r="EP281" s="1895"/>
      <c r="EQ281" s="1895">
        <f>EQ276+EO281</f>
        <v>4952.9955538248169</v>
      </c>
      <c r="ER281" s="1895">
        <f>ER276+EQ281</f>
        <v>5109.8770194148856</v>
      </c>
      <c r="ES281" s="1895">
        <f>ES276+ER281</f>
        <v>5270.0268488714137</v>
      </c>
      <c r="ET281" s="1895">
        <f>ET276+ES281</f>
        <v>5443.2501337937811</v>
      </c>
      <c r="EU281" s="1896">
        <f>ET281</f>
        <v>5443.2501337937811</v>
      </c>
    </row>
    <row r="282" spans="1:151" s="2005" customFormat="1" ht="12.75" customHeight="1">
      <c r="A282" s="1548" t="s">
        <v>7086</v>
      </c>
      <c r="B282" s="1762"/>
      <c r="C282" s="1762"/>
      <c r="D282" s="1762"/>
      <c r="E282" s="1762"/>
      <c r="F282" s="1762"/>
      <c r="G282" s="1762"/>
      <c r="H282" s="1762"/>
      <c r="I282" s="1762"/>
      <c r="J282" s="1762"/>
      <c r="K282" s="1762"/>
      <c r="L282" s="1762"/>
      <c r="M282" s="1762"/>
      <c r="N282" s="1762"/>
      <c r="O282" s="1763"/>
      <c r="P282" s="1763"/>
      <c r="Q282" s="1763"/>
      <c r="R282" s="1763"/>
      <c r="S282" s="1764"/>
      <c r="T282" s="1765"/>
      <c r="U282" s="1763"/>
      <c r="V282" s="1763"/>
      <c r="W282" s="1763"/>
      <c r="X282" s="1763"/>
      <c r="Y282" s="1764"/>
      <c r="Z282" s="1765"/>
      <c r="AA282" s="1763"/>
      <c r="AB282" s="1763"/>
      <c r="AC282" s="1763"/>
      <c r="AD282" s="1763"/>
      <c r="AE282" s="1764"/>
      <c r="AF282" s="1762"/>
      <c r="AG282" s="1763"/>
      <c r="AH282" s="1763"/>
      <c r="AI282" s="1763"/>
      <c r="AJ282" s="1763"/>
      <c r="AK282" s="1764"/>
      <c r="AL282" s="1762"/>
      <c r="AM282" s="1763"/>
      <c r="AN282" s="1763"/>
      <c r="AO282" s="1763"/>
      <c r="AP282" s="1763"/>
      <c r="AQ282" s="1764"/>
      <c r="AR282" s="1764"/>
      <c r="AS282" s="1763"/>
      <c r="AT282" s="1763"/>
      <c r="AU282" s="1763"/>
      <c r="AV282" s="1763"/>
      <c r="AW282" s="1764"/>
      <c r="AX282" s="1762"/>
      <c r="AY282" s="1763"/>
      <c r="AZ282" s="1763"/>
      <c r="BA282" s="1763"/>
      <c r="BB282" s="1763"/>
      <c r="BC282" s="1764"/>
      <c r="BD282" s="1762"/>
      <c r="BE282" s="1763"/>
      <c r="BF282" s="1763"/>
      <c r="BG282" s="1763"/>
      <c r="BH282" s="1763"/>
      <c r="BI282" s="1764"/>
      <c r="BJ282" s="1762"/>
      <c r="BK282" s="1763"/>
      <c r="BL282" s="1763"/>
      <c r="BM282" s="1763"/>
      <c r="BN282" s="1763"/>
      <c r="BO282" s="1766"/>
      <c r="BP282" s="1762"/>
      <c r="BQ282" s="1763"/>
      <c r="BR282" s="1763"/>
      <c r="BS282" s="1763"/>
      <c r="BT282" s="1763"/>
      <c r="BU282" s="1766"/>
      <c r="BV282" s="1548"/>
      <c r="BW282" s="1763"/>
      <c r="BX282" s="1763"/>
      <c r="BY282" s="1767"/>
      <c r="BZ282" s="1763"/>
      <c r="CA282" s="1766"/>
      <c r="CB282" s="1762"/>
      <c r="CC282" s="1767"/>
      <c r="CD282" s="1767"/>
      <c r="CE282" s="1767"/>
      <c r="CF282" s="1767"/>
      <c r="CG282" s="1776"/>
      <c r="CH282" s="1548"/>
      <c r="CI282" s="1767"/>
      <c r="CJ282" s="1767"/>
      <c r="CK282" s="1767"/>
      <c r="CL282" s="1767"/>
      <c r="CM282" s="1776"/>
      <c r="CN282" s="1548"/>
      <c r="CO282" s="1767"/>
      <c r="CP282" s="1767"/>
      <c r="CQ282" s="1767"/>
      <c r="CR282" s="1767"/>
      <c r="CS282" s="1776"/>
      <c r="CT282" s="1776"/>
      <c r="CU282" s="1767"/>
      <c r="CV282" s="1767"/>
      <c r="CW282" s="1767"/>
      <c r="CX282" s="1767"/>
      <c r="CY282" s="1776"/>
      <c r="CZ282" s="1776"/>
      <c r="DA282" s="1767"/>
      <c r="DB282" s="1767"/>
      <c r="DC282" s="1767"/>
      <c r="DD282" s="1767"/>
      <c r="DE282" s="1770"/>
      <c r="DF282" s="1776"/>
      <c r="DG282" s="1548"/>
      <c r="DH282" s="1548">
        <f>+DI282-DI277</f>
        <v>1884</v>
      </c>
      <c r="DI282" s="1548">
        <f>+DJ282-DJ277</f>
        <v>1978</v>
      </c>
      <c r="DJ282" s="1548">
        <f>+DM282-DM277</f>
        <v>2015</v>
      </c>
      <c r="DK282" s="1770"/>
      <c r="DL282" s="1548"/>
      <c r="DM282" s="1548">
        <f>+DN282-DN277</f>
        <v>2060</v>
      </c>
      <c r="DN282" s="1548">
        <f>+DO282-DO277</f>
        <v>2072</v>
      </c>
      <c r="DO282" s="1548">
        <f>+DO280-DO281</f>
        <v>2105</v>
      </c>
      <c r="DP282" s="1548">
        <f>+DP280-DP281</f>
        <v>2153</v>
      </c>
      <c r="DQ282" s="1770"/>
      <c r="DR282" s="1548"/>
      <c r="DS282" s="1548">
        <f>+DS280-DS281</f>
        <v>2140</v>
      </c>
      <c r="DT282" s="1548">
        <f>DS282+DT277</f>
        <v>2124</v>
      </c>
      <c r="DU282" s="1548">
        <f t="shared" ref="DU282:DV282" si="61">DT282+DU277</f>
        <v>2089</v>
      </c>
      <c r="DV282" s="1548">
        <f t="shared" si="61"/>
        <v>2018</v>
      </c>
      <c r="DW282" s="1770">
        <f>DV282</f>
        <v>2018</v>
      </c>
      <c r="DX282" s="1895"/>
      <c r="DY282" s="1548">
        <f>+DY280-DY281</f>
        <v>1971</v>
      </c>
      <c r="DZ282" s="1895">
        <f>DY282+DZ277</f>
        <v>1854</v>
      </c>
      <c r="EA282" s="1548">
        <f t="shared" ref="EA282" si="62">DZ282+EA277</f>
        <v>1693</v>
      </c>
      <c r="EB282" s="1548">
        <f t="shared" si="60"/>
        <v>1448.5</v>
      </c>
      <c r="EC282" s="1770">
        <f>EB282</f>
        <v>1448.5</v>
      </c>
      <c r="ED282" s="1895"/>
      <c r="EE282" s="1895">
        <f>EC282+EE277</f>
        <v>1272.9462806111471</v>
      </c>
      <c r="EF282" s="1895">
        <f>EE282+EF277</f>
        <v>1090.0778229144255</v>
      </c>
      <c r="EG282" s="1895">
        <f t="shared" ref="EG282:EH282" si="63">EF282+EG277</f>
        <v>907.20936521770375</v>
      </c>
      <c r="EH282" s="1895">
        <f t="shared" si="63"/>
        <v>717.02616921311312</v>
      </c>
      <c r="EI282" s="1896">
        <f>EH282</f>
        <v>717.02616921311312</v>
      </c>
      <c r="EJ282" s="1895"/>
      <c r="EK282" s="1895">
        <f>EI282+EK277</f>
        <v>550.94786605720697</v>
      </c>
      <c r="EL282" s="1895">
        <f>EK282+EL277</f>
        <v>391.51269502753712</v>
      </c>
      <c r="EM282" s="1895">
        <f>EL282+EM277</f>
        <v>228.75595793474915</v>
      </c>
      <c r="EN282" s="1895">
        <f>EM282+EN277</f>
        <v>52.71295658948867</v>
      </c>
      <c r="EO282" s="1896">
        <f>EN282</f>
        <v>52.71295658948867</v>
      </c>
      <c r="EP282" s="1895"/>
      <c r="EQ282" s="1895">
        <f>EO282+EQ277</f>
        <v>39.533621067572568</v>
      </c>
      <c r="ER282" s="1895">
        <f>EQ282+ER277</f>
        <v>26.88145896653311</v>
      </c>
      <c r="ES282" s="1895">
        <f>ER282+ES277</f>
        <v>13.96571015505533</v>
      </c>
      <c r="ET282" s="1895">
        <f>ES282+ET277</f>
        <v>-4.3854981757380784E-3</v>
      </c>
      <c r="EU282" s="1896">
        <f>ET282</f>
        <v>-4.3854981757380784E-3</v>
      </c>
    </row>
    <row r="283" spans="1:151" s="1771" customFormat="1" ht="12.75" customHeight="1">
      <c r="A283" s="1761"/>
      <c r="B283" s="1762"/>
      <c r="C283" s="1762"/>
      <c r="D283" s="1762"/>
      <c r="E283" s="1762"/>
      <c r="F283" s="1762"/>
      <c r="G283" s="1762"/>
      <c r="H283" s="1762"/>
      <c r="I283" s="1762"/>
      <c r="J283" s="1762"/>
      <c r="K283" s="1762"/>
      <c r="L283" s="1762"/>
      <c r="M283" s="1762"/>
      <c r="N283" s="1762"/>
      <c r="O283" s="1763"/>
      <c r="P283" s="1763"/>
      <c r="Q283" s="1763"/>
      <c r="R283" s="1763"/>
      <c r="S283" s="1764"/>
      <c r="T283" s="1765"/>
      <c r="U283" s="1763"/>
      <c r="V283" s="1763"/>
      <c r="W283" s="1763"/>
      <c r="X283" s="1763"/>
      <c r="Y283" s="1764"/>
      <c r="Z283" s="1765"/>
      <c r="AA283" s="1763"/>
      <c r="AB283" s="1763"/>
      <c r="AC283" s="1763"/>
      <c r="AD283" s="1763"/>
      <c r="AE283" s="1764"/>
      <c r="AF283" s="1762"/>
      <c r="AG283" s="1763"/>
      <c r="AH283" s="1763"/>
      <c r="AI283" s="1763"/>
      <c r="AJ283" s="1763"/>
      <c r="AK283" s="1764"/>
      <c r="AL283" s="1762"/>
      <c r="AM283" s="1763"/>
      <c r="AN283" s="1763"/>
      <c r="AO283" s="1763"/>
      <c r="AP283" s="1763"/>
      <c r="AQ283" s="1764"/>
      <c r="AR283" s="1764"/>
      <c r="AS283" s="1763"/>
      <c r="AT283" s="1763"/>
      <c r="AU283" s="1763"/>
      <c r="AV283" s="1763"/>
      <c r="AW283" s="1764"/>
      <c r="AX283" s="1762"/>
      <c r="AY283" s="1763"/>
      <c r="AZ283" s="1763"/>
      <c r="BA283" s="1763"/>
      <c r="BB283" s="1763"/>
      <c r="BC283" s="1764"/>
      <c r="BD283" s="1762"/>
      <c r="BE283" s="1763"/>
      <c r="BF283" s="1763"/>
      <c r="BG283" s="1763"/>
      <c r="BH283" s="1763"/>
      <c r="BI283" s="1764"/>
      <c r="BJ283" s="1762"/>
      <c r="BK283" s="1763"/>
      <c r="BL283" s="1763"/>
      <c r="BM283" s="1763"/>
      <c r="BN283" s="1763"/>
      <c r="BO283" s="1766"/>
      <c r="BP283" s="1762"/>
      <c r="BQ283" s="1763"/>
      <c r="BR283" s="1763"/>
      <c r="BS283" s="1763"/>
      <c r="BT283" s="1763"/>
      <c r="BU283" s="1766"/>
      <c r="BV283" s="1548"/>
      <c r="BW283" s="1763"/>
      <c r="BX283" s="1763"/>
      <c r="BY283" s="1767"/>
      <c r="BZ283" s="1763"/>
      <c r="CA283" s="1766"/>
      <c r="CB283" s="1762"/>
      <c r="CC283" s="1767"/>
      <c r="CD283" s="1767"/>
      <c r="CE283" s="1767"/>
      <c r="CF283" s="1767"/>
      <c r="CG283" s="1776"/>
      <c r="CH283" s="1548"/>
      <c r="CI283" s="1767"/>
      <c r="CJ283" s="1767"/>
      <c r="CK283" s="1767"/>
      <c r="CL283" s="1767"/>
      <c r="CM283" s="1776"/>
      <c r="CN283" s="1548"/>
      <c r="CO283" s="1767"/>
      <c r="CP283" s="1767"/>
      <c r="CQ283" s="1767"/>
      <c r="CR283" s="1767"/>
      <c r="CS283" s="1776"/>
      <c r="CT283" s="1776"/>
      <c r="CU283" s="1767"/>
      <c r="CV283" s="1767"/>
      <c r="CW283" s="1767"/>
      <c r="CX283" s="1767"/>
      <c r="CY283" s="1776"/>
      <c r="CZ283" s="1776"/>
      <c r="DA283" s="1767"/>
      <c r="DB283" s="1767"/>
      <c r="DC283" s="1767"/>
      <c r="DD283" s="1767"/>
      <c r="DE283" s="1770"/>
      <c r="DF283" s="1776"/>
      <c r="DG283" s="1548"/>
      <c r="DH283" s="1548"/>
      <c r="DI283" s="1548"/>
      <c r="DJ283" s="1548"/>
      <c r="DK283" s="1770"/>
      <c r="DL283" s="1548"/>
      <c r="DM283" s="1548"/>
      <c r="DN283" s="1548"/>
      <c r="DO283" s="1548"/>
      <c r="DP283" s="1548"/>
      <c r="DQ283" s="1896"/>
      <c r="DR283" s="1548"/>
      <c r="DS283" s="1548"/>
      <c r="DT283" s="1548"/>
      <c r="DU283" s="1658"/>
      <c r="DV283" s="1548"/>
      <c r="DW283" s="1896"/>
      <c r="DX283" s="1895"/>
      <c r="DY283" s="1548"/>
      <c r="DZ283" s="2274"/>
      <c r="EA283" s="1658"/>
      <c r="EB283" s="1548"/>
      <c r="EC283" s="1896"/>
      <c r="ED283" s="1895"/>
      <c r="EE283" s="1895"/>
      <c r="EF283" s="1895"/>
      <c r="EG283" s="1895"/>
      <c r="EH283" s="1895"/>
      <c r="EI283" s="1896"/>
      <c r="EJ283" s="1895"/>
      <c r="EK283" s="1895"/>
      <c r="EL283" s="1895"/>
      <c r="EM283" s="1895"/>
      <c r="EN283" s="1895"/>
      <c r="EO283" s="1896"/>
      <c r="EP283" s="1895"/>
      <c r="EQ283" s="1895"/>
      <c r="ER283" s="1895"/>
      <c r="ES283" s="1895"/>
      <c r="ET283" s="1895"/>
      <c r="EU283" s="1896"/>
    </row>
    <row r="284" spans="1:151" s="1782" customFormat="1" ht="12" customHeight="1">
      <c r="A284" s="1784" t="s">
        <v>6997</v>
      </c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83"/>
      <c r="AX284" s="147"/>
      <c r="AY284" s="141"/>
      <c r="AZ284" s="141"/>
      <c r="BA284" s="141"/>
      <c r="BB284" s="141"/>
      <c r="BC284" s="141"/>
      <c r="BD284" s="147"/>
      <c r="BE284" s="141"/>
      <c r="BF284" s="141"/>
      <c r="BG284" s="141"/>
      <c r="BH284" s="141"/>
      <c r="BI284" s="141"/>
      <c r="BJ284" s="147"/>
      <c r="BK284" s="147"/>
      <c r="BL284" s="147"/>
      <c r="BM284" s="147"/>
      <c r="BN284" s="147"/>
      <c r="BO284" s="1096"/>
      <c r="BP284" s="147"/>
      <c r="BQ284" s="147"/>
      <c r="BR284" s="147"/>
      <c r="BS284" s="147"/>
      <c r="BT284" s="147"/>
      <c r="BU284" s="1096"/>
      <c r="BV284" s="147"/>
      <c r="BW284" s="147"/>
      <c r="BX284" s="147"/>
      <c r="BY284" s="147"/>
      <c r="BZ284" s="147"/>
      <c r="CA284" s="1096"/>
      <c r="CB284" s="147"/>
      <c r="CC284" s="147"/>
      <c r="CD284" s="147"/>
      <c r="CE284" s="147"/>
      <c r="CF284" s="147"/>
      <c r="CG284" s="1096"/>
      <c r="CH284" s="147"/>
      <c r="CI284" s="147"/>
      <c r="CJ284" s="147"/>
      <c r="CK284" s="141"/>
      <c r="CL284" s="147"/>
      <c r="CM284" s="1096"/>
      <c r="CN284" s="147"/>
      <c r="CO284" s="147"/>
      <c r="CP284" s="147"/>
      <c r="CQ284" s="147"/>
      <c r="CR284" s="147"/>
      <c r="CS284" s="1096"/>
      <c r="CT284" s="147"/>
      <c r="CU284" s="147"/>
      <c r="CV284" s="147"/>
      <c r="CW284" s="147"/>
      <c r="CX284" s="147"/>
      <c r="CY284" s="1096"/>
      <c r="CZ284" s="147"/>
      <c r="DA284" s="147"/>
      <c r="DB284" s="147"/>
      <c r="DC284" s="147"/>
      <c r="DD284" s="147"/>
      <c r="DE284" s="1096"/>
      <c r="DF284" s="147"/>
      <c r="DG284" s="1548">
        <v>0</v>
      </c>
      <c r="DH284" s="1548">
        <v>0</v>
      </c>
      <c r="DI284" s="1548">
        <v>25</v>
      </c>
      <c r="DJ284" s="1548">
        <v>17</v>
      </c>
      <c r="DK284" s="1770">
        <f>SUM(DG284:DJ284)</f>
        <v>42</v>
      </c>
      <c r="DL284" s="147"/>
      <c r="DM284" s="1548"/>
      <c r="DN284" s="1548"/>
      <c r="DO284" s="1548"/>
      <c r="DP284" s="1548"/>
      <c r="DQ284" s="1898"/>
      <c r="DR284" s="147"/>
      <c r="DS284" s="1658"/>
      <c r="DT284" s="1658"/>
      <c r="DU284" s="147"/>
      <c r="DV284" s="1548"/>
      <c r="DW284" s="1898"/>
      <c r="DX284" s="1897"/>
      <c r="DY284" s="1658"/>
      <c r="DZ284" s="1899"/>
      <c r="EA284" s="147"/>
      <c r="EB284" s="1548"/>
      <c r="EC284" s="1898"/>
      <c r="ED284" s="1897"/>
      <c r="EE284" s="1897"/>
      <c r="EF284" s="1897"/>
      <c r="EG284" s="1897"/>
      <c r="EH284" s="1897"/>
      <c r="EI284" s="1898"/>
      <c r="EJ284" s="1897"/>
      <c r="EK284" s="1897"/>
      <c r="EL284" s="1897"/>
      <c r="EM284" s="1897"/>
      <c r="EN284" s="1897"/>
      <c r="EO284" s="1898"/>
      <c r="EP284" s="1897"/>
      <c r="EQ284" s="1897"/>
      <c r="ER284" s="1897"/>
      <c r="ES284" s="1897"/>
      <c r="ET284" s="1897"/>
      <c r="EU284" s="1898"/>
    </row>
    <row r="285" spans="1:151" s="1782" customFormat="1" ht="12" customHeight="1">
      <c r="A285" s="1783" t="s">
        <v>6988</v>
      </c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83"/>
      <c r="AX285" s="147"/>
      <c r="AY285" s="141"/>
      <c r="AZ285" s="141"/>
      <c r="BA285" s="141"/>
      <c r="BB285" s="141"/>
      <c r="BC285" s="141"/>
      <c r="BD285" s="147"/>
      <c r="BE285" s="141"/>
      <c r="BF285" s="141"/>
      <c r="BG285" s="141"/>
      <c r="BH285" s="141"/>
      <c r="BI285" s="141"/>
      <c r="BJ285" s="147"/>
      <c r="BK285" s="147"/>
      <c r="BL285" s="147"/>
      <c r="BM285" s="147"/>
      <c r="BN285" s="147"/>
      <c r="BO285" s="1096"/>
      <c r="BP285" s="147"/>
      <c r="BQ285" s="147"/>
      <c r="BR285" s="147"/>
      <c r="BS285" s="147"/>
      <c r="BT285" s="147"/>
      <c r="BU285" s="1096"/>
      <c r="BV285" s="147"/>
      <c r="BW285" s="147"/>
      <c r="BX285" s="147"/>
      <c r="BY285" s="147"/>
      <c r="BZ285" s="147"/>
      <c r="CA285" s="1096"/>
      <c r="CB285" s="147"/>
      <c r="CC285" s="147"/>
      <c r="CD285" s="147"/>
      <c r="CE285" s="147"/>
      <c r="CF285" s="147"/>
      <c r="CG285" s="1096"/>
      <c r="CH285" s="147"/>
      <c r="CI285" s="147"/>
      <c r="CJ285" s="147"/>
      <c r="CK285" s="141"/>
      <c r="CL285" s="147"/>
      <c r="CM285" s="1096"/>
      <c r="CN285" s="147"/>
      <c r="CO285" s="147"/>
      <c r="CP285" s="147"/>
      <c r="CQ285" s="147"/>
      <c r="CR285" s="147"/>
      <c r="CS285" s="1096"/>
      <c r="CT285" s="147"/>
      <c r="CU285" s="147"/>
      <c r="CV285" s="147"/>
      <c r="CW285" s="147"/>
      <c r="CX285" s="147"/>
      <c r="CY285" s="1096"/>
      <c r="CZ285" s="147"/>
      <c r="DA285" s="147"/>
      <c r="DB285" s="147"/>
      <c r="DC285" s="147"/>
      <c r="DD285" s="147"/>
      <c r="DE285" s="1785">
        <f>DE280</f>
        <v>1851</v>
      </c>
      <c r="DF285" s="147"/>
      <c r="DG285" s="1548">
        <f>DG273-DG284</f>
        <v>89</v>
      </c>
      <c r="DH285" s="1548">
        <f>DH273-DH284</f>
        <v>74</v>
      </c>
      <c r="DI285" s="1548">
        <f>DI273-DI284</f>
        <v>96</v>
      </c>
      <c r="DJ285" s="1548">
        <f>DJ273-DJ284</f>
        <v>83</v>
      </c>
      <c r="DK285" s="1770">
        <f>DK273-DK284</f>
        <v>342</v>
      </c>
      <c r="DL285" s="147"/>
      <c r="DM285" s="1548">
        <f>DM273-DM284</f>
        <v>95</v>
      </c>
      <c r="DN285" s="1548">
        <f>DN273-DN284</f>
        <v>61</v>
      </c>
      <c r="DO285" s="1548">
        <f>DO273-DO284</f>
        <v>80</v>
      </c>
      <c r="DP285" s="1548">
        <f>DP273-DP284</f>
        <v>109</v>
      </c>
      <c r="DQ285" s="1785">
        <f>SUM(DM285:DP285)</f>
        <v>345</v>
      </c>
      <c r="DR285" s="147"/>
      <c r="DS285" s="1548">
        <f>DS273</f>
        <v>127</v>
      </c>
      <c r="DT285" s="1548">
        <f>+DT273</f>
        <v>109</v>
      </c>
      <c r="DU285" s="1548">
        <f>+DU273-13</f>
        <v>119</v>
      </c>
      <c r="DV285" s="1548">
        <f>DV273</f>
        <v>157</v>
      </c>
      <c r="DW285" s="1785">
        <f>SUM(DS285:DV285)</f>
        <v>512</v>
      </c>
      <c r="DX285" s="1899"/>
      <c r="DY285" s="1548">
        <v>186</v>
      </c>
      <c r="DZ285" s="2232">
        <v>153</v>
      </c>
      <c r="EA285" s="1548">
        <v>146</v>
      </c>
      <c r="EB285" s="1548">
        <f>EB273</f>
        <v>127</v>
      </c>
      <c r="EC285" s="1785">
        <f>SUM(DY285:EB285)</f>
        <v>612</v>
      </c>
      <c r="ED285" s="1899"/>
      <c r="EE285" s="2232">
        <f>EE286*$EI$285</f>
        <v>130.05678505755702</v>
      </c>
      <c r="EF285" s="2232">
        <f t="shared" ref="EF285:EH285" si="64">EF286*$EI$285</f>
        <v>135.47581776828858</v>
      </c>
      <c r="EG285" s="2232">
        <f t="shared" si="64"/>
        <v>135.47581776828858</v>
      </c>
      <c r="EH285" s="2232">
        <f t="shared" si="64"/>
        <v>140.89485047902014</v>
      </c>
      <c r="EI285" s="2234">
        <f>EI273</f>
        <v>541.90327107315431</v>
      </c>
      <c r="EJ285" s="2235"/>
      <c r="EK285" s="2232">
        <f>EK286*$EO$285</f>
        <v>146.09676150454095</v>
      </c>
      <c r="EL285" s="2232">
        <f t="shared" ref="EL285:EN285" si="65">EL286*$EO$285</f>
        <v>140.2528910443593</v>
      </c>
      <c r="EM285" s="2232">
        <f t="shared" si="65"/>
        <v>143.17482627445014</v>
      </c>
      <c r="EN285" s="2232">
        <f t="shared" si="65"/>
        <v>154.86256719481341</v>
      </c>
      <c r="EO285" s="2234">
        <f>EO273</f>
        <v>584.3870460181638</v>
      </c>
      <c r="EP285" s="2235"/>
      <c r="EQ285" s="2232">
        <f>EQ286*$EU$285</f>
        <v>150.23885780107204</v>
      </c>
      <c r="ER285" s="2232">
        <f t="shared" ref="ER285:ET285" si="66">ER286*$EU$285</f>
        <v>144.22930348902915</v>
      </c>
      <c r="ES285" s="2232">
        <f t="shared" si="66"/>
        <v>147.2340806450506</v>
      </c>
      <c r="ET285" s="2232">
        <f t="shared" si="66"/>
        <v>159.25318926913639</v>
      </c>
      <c r="EU285" s="2234">
        <f>EU273</f>
        <v>600.95543120428817</v>
      </c>
    </row>
    <row r="286" spans="1:151" s="1793" customFormat="1" ht="12" customHeight="1">
      <c r="A286" s="1795" t="s">
        <v>7230</v>
      </c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83"/>
      <c r="AX286" s="147"/>
      <c r="AY286" s="141"/>
      <c r="AZ286" s="141"/>
      <c r="BA286" s="141"/>
      <c r="BB286" s="141"/>
      <c r="BC286" s="141"/>
      <c r="BD286" s="147"/>
      <c r="BE286" s="141"/>
      <c r="BF286" s="141"/>
      <c r="BG286" s="141"/>
      <c r="BH286" s="141"/>
      <c r="BI286" s="141"/>
      <c r="BJ286" s="147"/>
      <c r="BK286" s="147"/>
      <c r="BL286" s="147"/>
      <c r="BM286" s="147"/>
      <c r="BN286" s="147"/>
      <c r="BO286" s="1096"/>
      <c r="BP286" s="147"/>
      <c r="BQ286" s="147"/>
      <c r="BR286" s="147"/>
      <c r="BS286" s="147"/>
      <c r="BT286" s="147"/>
      <c r="BU286" s="1096"/>
      <c r="BV286" s="147"/>
      <c r="BW286" s="147"/>
      <c r="BX286" s="147"/>
      <c r="BY286" s="147"/>
      <c r="BZ286" s="147"/>
      <c r="CA286" s="1096"/>
      <c r="CB286" s="147"/>
      <c r="CC286" s="147"/>
      <c r="CD286" s="147"/>
      <c r="CE286" s="147"/>
      <c r="CF286" s="147"/>
      <c r="CG286" s="1096"/>
      <c r="CH286" s="147"/>
      <c r="CI286" s="147"/>
      <c r="CJ286" s="147"/>
      <c r="CK286" s="141"/>
      <c r="CL286" s="147"/>
      <c r="CM286" s="1096"/>
      <c r="CN286" s="147"/>
      <c r="CO286" s="147"/>
      <c r="CP286" s="147"/>
      <c r="CQ286" s="147"/>
      <c r="CR286" s="147"/>
      <c r="CS286" s="1096"/>
      <c r="CT286" s="147"/>
      <c r="CU286" s="147"/>
      <c r="CV286" s="147"/>
      <c r="CW286" s="147"/>
      <c r="CX286" s="147"/>
      <c r="CY286" s="1096"/>
      <c r="CZ286" s="147"/>
      <c r="DA286" s="147"/>
      <c r="DB286" s="147"/>
      <c r="DC286" s="147"/>
      <c r="DD286" s="147"/>
      <c r="DE286" s="1785"/>
      <c r="DF286" s="147"/>
      <c r="DG286" s="532">
        <f>DG285/$DK$285</f>
        <v>0.26023391812865498</v>
      </c>
      <c r="DH286" s="532">
        <f>DH285/$DK$285</f>
        <v>0.21637426900584794</v>
      </c>
      <c r="DI286" s="532">
        <f>DI285/$DK$285</f>
        <v>0.2807017543859649</v>
      </c>
      <c r="DJ286" s="532">
        <f>DJ285/$DK$285</f>
        <v>0.24269005847953215</v>
      </c>
      <c r="DK286" s="1163">
        <f>SUM(DG286:DJ286)</f>
        <v>1</v>
      </c>
      <c r="DL286" s="147"/>
      <c r="DM286" s="532">
        <f>DM285/DQ273</f>
        <v>0.27536231884057971</v>
      </c>
      <c r="DN286" s="532">
        <f>DN285/DQ273</f>
        <v>0.17681159420289855</v>
      </c>
      <c r="DO286" s="532">
        <f>DO285/DQ273</f>
        <v>0.2318840579710145</v>
      </c>
      <c r="DP286" s="532">
        <f>DP285/DQ273</f>
        <v>0.31594202898550727</v>
      </c>
      <c r="DQ286" s="1163">
        <f>SUM(DM286:DP286)</f>
        <v>1</v>
      </c>
      <c r="DR286" s="147"/>
      <c r="DS286" s="532">
        <f>DS285/DW273</f>
        <v>0.2419047619047619</v>
      </c>
      <c r="DT286" s="532">
        <f>DT285/$DW$273</f>
        <v>0.20761904761904762</v>
      </c>
      <c r="DU286" s="532">
        <f>DU285/$DW$273</f>
        <v>0.22666666666666666</v>
      </c>
      <c r="DV286" s="532">
        <f>1-SUM(DS286:DU286)</f>
        <v>0.32380952380952377</v>
      </c>
      <c r="DW286" s="1163"/>
      <c r="DX286" s="1897"/>
      <c r="DY286" s="532">
        <f>DY285/$EC$273</f>
        <v>0.30392156862745096</v>
      </c>
      <c r="DZ286" s="532">
        <f t="shared" ref="DZ286:EA286" si="67">DZ285/$EC$273</f>
        <v>0.25</v>
      </c>
      <c r="EA286" s="532">
        <f t="shared" si="67"/>
        <v>0.23856209150326799</v>
      </c>
      <c r="EB286" s="532">
        <f>1-SUM(DY286:EA286)</f>
        <v>0.20751633986928097</v>
      </c>
      <c r="EC286" s="1163"/>
      <c r="ED286" s="1897"/>
      <c r="EE286" s="2233">
        <v>0.24</v>
      </c>
      <c r="EF286" s="2233">
        <v>0.25</v>
      </c>
      <c r="EG286" s="2233">
        <v>0.25</v>
      </c>
      <c r="EH286" s="2233">
        <f>1-SUM(EE286:EG286)</f>
        <v>0.26</v>
      </c>
      <c r="EI286" s="2236"/>
      <c r="EJ286" s="2237"/>
      <c r="EK286" s="2233">
        <v>0.25</v>
      </c>
      <c r="EL286" s="2233">
        <v>0.24</v>
      </c>
      <c r="EM286" s="2233">
        <v>0.245</v>
      </c>
      <c r="EN286" s="2233">
        <f>1-SUM(EK286:EM286)</f>
        <v>0.26500000000000001</v>
      </c>
      <c r="EO286" s="2236"/>
      <c r="EP286" s="2237"/>
      <c r="EQ286" s="2233">
        <v>0.25</v>
      </c>
      <c r="ER286" s="2233">
        <v>0.24</v>
      </c>
      <c r="ES286" s="2233">
        <v>0.245</v>
      </c>
      <c r="ET286" s="2233">
        <f>1-SUM(EQ286:ES286)</f>
        <v>0.26500000000000001</v>
      </c>
      <c r="EU286" s="2236"/>
    </row>
    <row r="287" spans="1:151" s="2280" customFormat="1" ht="12" customHeight="1">
      <c r="A287" s="1795" t="s">
        <v>7231</v>
      </c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83"/>
      <c r="AX287" s="147"/>
      <c r="AY287" s="141"/>
      <c r="AZ287" s="141"/>
      <c r="BA287" s="141"/>
      <c r="BB287" s="141"/>
      <c r="BC287" s="141"/>
      <c r="BD287" s="147"/>
      <c r="BE287" s="141"/>
      <c r="BF287" s="141"/>
      <c r="BG287" s="141"/>
      <c r="BH287" s="141"/>
      <c r="BI287" s="141"/>
      <c r="BJ287" s="147"/>
      <c r="BK287" s="147"/>
      <c r="BL287" s="147"/>
      <c r="BM287" s="147"/>
      <c r="BN287" s="147"/>
      <c r="BO287" s="1096"/>
      <c r="BP287" s="147"/>
      <c r="BQ287" s="147"/>
      <c r="BR287" s="147"/>
      <c r="BS287" s="147"/>
      <c r="BT287" s="147"/>
      <c r="BU287" s="1096"/>
      <c r="BV287" s="147"/>
      <c r="BW287" s="147"/>
      <c r="BX287" s="147"/>
      <c r="BY287" s="147"/>
      <c r="BZ287" s="147"/>
      <c r="CA287" s="1096"/>
      <c r="CB287" s="147"/>
      <c r="CC287" s="147"/>
      <c r="CD287" s="147"/>
      <c r="CE287" s="147"/>
      <c r="CF287" s="147"/>
      <c r="CG287" s="1096"/>
      <c r="CH287" s="147"/>
      <c r="CI287" s="147"/>
      <c r="CJ287" s="147"/>
      <c r="CK287" s="141"/>
      <c r="CL287" s="147"/>
      <c r="CM287" s="1096"/>
      <c r="CN287" s="147"/>
      <c r="CO287" s="147"/>
      <c r="CP287" s="147"/>
      <c r="CQ287" s="147"/>
      <c r="CR287" s="147"/>
      <c r="CS287" s="1096"/>
      <c r="CT287" s="147"/>
      <c r="CU287" s="147"/>
      <c r="CV287" s="147"/>
      <c r="CW287" s="147"/>
      <c r="CX287" s="147"/>
      <c r="CY287" s="1096"/>
      <c r="CZ287" s="147"/>
      <c r="DA287" s="147"/>
      <c r="DB287" s="147"/>
      <c r="DC287" s="147"/>
      <c r="DD287" s="147"/>
      <c r="DE287" s="1785"/>
      <c r="DF287" s="147"/>
      <c r="DG287" s="532"/>
      <c r="DH287" s="532"/>
      <c r="DI287" s="532"/>
      <c r="DJ287" s="532"/>
      <c r="DK287" s="1163"/>
      <c r="DL287" s="147"/>
      <c r="DM287" s="532"/>
      <c r="DN287" s="532"/>
      <c r="DO287" s="532"/>
      <c r="DP287" s="532"/>
      <c r="DQ287" s="1163"/>
      <c r="DR287" s="147"/>
      <c r="DS287" s="532">
        <f>DS276/$DW$276</f>
        <v>0.21212121212121213</v>
      </c>
      <c r="DT287" s="532">
        <f t="shared" ref="DT287:DV287" si="68">DT276/$DW$276</f>
        <v>0.18939393939393939</v>
      </c>
      <c r="DU287" s="532">
        <f t="shared" si="68"/>
        <v>0.25303030303030305</v>
      </c>
      <c r="DV287" s="532">
        <f t="shared" si="68"/>
        <v>0.34545454545454546</v>
      </c>
      <c r="DW287" s="1163"/>
      <c r="DX287" s="1897"/>
      <c r="DY287" s="532">
        <f>DY276/$EC$276</f>
        <v>0.1973739940703092</v>
      </c>
      <c r="DZ287" s="532">
        <f t="shared" ref="DZ287:EA287" si="69">DZ276/$EC$276</f>
        <v>0.22871664548919948</v>
      </c>
      <c r="EA287" s="532">
        <f t="shared" si="69"/>
        <v>0.26005929690808977</v>
      </c>
      <c r="EB287" s="532">
        <f>EB276/$EC$276</f>
        <v>0.31385006353240152</v>
      </c>
      <c r="EC287" s="1163"/>
      <c r="ED287" s="1897"/>
      <c r="EE287" s="2233"/>
      <c r="EF287" s="2233"/>
      <c r="EG287" s="2233"/>
      <c r="EH287" s="2233"/>
      <c r="EI287" s="2236"/>
      <c r="EJ287" s="2237"/>
      <c r="EK287" s="2233"/>
      <c r="EL287" s="2233"/>
      <c r="EM287" s="2233"/>
      <c r="EN287" s="2233"/>
      <c r="EO287" s="2236"/>
      <c r="EP287" s="2237"/>
      <c r="EQ287" s="2233"/>
      <c r="ER287" s="2233"/>
      <c r="ES287" s="2233"/>
      <c r="ET287" s="2233"/>
      <c r="EU287" s="2236"/>
    </row>
    <row r="288" spans="1:151" s="2230" customFormat="1" ht="12" customHeight="1">
      <c r="A288" s="1795" t="s">
        <v>7217</v>
      </c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83"/>
      <c r="AX288" s="147"/>
      <c r="AY288" s="141"/>
      <c r="AZ288" s="141"/>
      <c r="BA288" s="141"/>
      <c r="BB288" s="141"/>
      <c r="BC288" s="141"/>
      <c r="BD288" s="147"/>
      <c r="BE288" s="141"/>
      <c r="BF288" s="141"/>
      <c r="BG288" s="141"/>
      <c r="BH288" s="141"/>
      <c r="BI288" s="141"/>
      <c r="BJ288" s="147"/>
      <c r="BK288" s="147"/>
      <c r="BL288" s="147"/>
      <c r="BM288" s="147"/>
      <c r="BN288" s="147"/>
      <c r="BO288" s="1096"/>
      <c r="BP288" s="147"/>
      <c r="BQ288" s="147"/>
      <c r="BR288" s="147"/>
      <c r="BS288" s="147"/>
      <c r="BT288" s="147"/>
      <c r="BU288" s="1096"/>
      <c r="BV288" s="147"/>
      <c r="BW288" s="147"/>
      <c r="BX288" s="147"/>
      <c r="BY288" s="147"/>
      <c r="BZ288" s="147"/>
      <c r="CA288" s="1096"/>
      <c r="CB288" s="147"/>
      <c r="CC288" s="147"/>
      <c r="CD288" s="147"/>
      <c r="CE288" s="147"/>
      <c r="CF288" s="147"/>
      <c r="CG288" s="1096"/>
      <c r="CH288" s="147"/>
      <c r="CI288" s="147"/>
      <c r="CJ288" s="147"/>
      <c r="CK288" s="141"/>
      <c r="CL288" s="147"/>
      <c r="CM288" s="1096"/>
      <c r="CN288" s="147"/>
      <c r="CO288" s="147"/>
      <c r="CP288" s="147"/>
      <c r="CQ288" s="147"/>
      <c r="CR288" s="147"/>
      <c r="CS288" s="1096"/>
      <c r="CT288" s="147"/>
      <c r="CU288" s="147"/>
      <c r="CV288" s="147"/>
      <c r="CW288" s="147"/>
      <c r="CX288" s="147"/>
      <c r="CY288" s="1096"/>
      <c r="CZ288" s="147"/>
      <c r="DA288" s="147"/>
      <c r="DB288" s="147"/>
      <c r="DC288" s="147"/>
      <c r="DD288" s="147"/>
      <c r="DE288" s="1785"/>
      <c r="DF288" s="147"/>
      <c r="DG288" s="532"/>
      <c r="DH288" s="532"/>
      <c r="DI288" s="532"/>
      <c r="DJ288" s="532"/>
      <c r="DK288" s="1163"/>
      <c r="DL288" s="147"/>
      <c r="DM288" s="532"/>
      <c r="DN288" s="532"/>
      <c r="DO288" s="532"/>
      <c r="DP288" s="532"/>
      <c r="DQ288" s="1163"/>
      <c r="DR288" s="147"/>
      <c r="DS288" s="532"/>
      <c r="DT288" s="532"/>
      <c r="DU288" s="532"/>
      <c r="DV288" s="532"/>
      <c r="DW288" s="1163"/>
      <c r="DX288" s="1897"/>
      <c r="DY288" s="532">
        <f>DY277/$EC$277</f>
        <v>8.2528533801580331E-2</v>
      </c>
      <c r="DZ288" s="532">
        <f>DZ277/$EC$277</f>
        <v>0.2054433713784021</v>
      </c>
      <c r="EA288" s="532">
        <f>EA277/$EC$277</f>
        <v>0.28270412642669007</v>
      </c>
      <c r="EB288" s="532">
        <f>EB277/$EC$277</f>
        <v>0.42932396839332748</v>
      </c>
      <c r="EC288" s="1163"/>
      <c r="ED288" s="1897"/>
      <c r="EE288" s="2233"/>
      <c r="EF288" s="2233"/>
      <c r="EG288" s="2233"/>
      <c r="EH288" s="2233"/>
      <c r="EI288" s="2236"/>
      <c r="EJ288" s="2237"/>
      <c r="EK288" s="2233"/>
      <c r="EL288" s="2233"/>
      <c r="EM288" s="2233"/>
      <c r="EN288" s="2233"/>
      <c r="EO288" s="2236"/>
      <c r="EP288" s="2237"/>
      <c r="EQ288" s="2233"/>
      <c r="ER288" s="2233"/>
      <c r="ES288" s="2233"/>
      <c r="ET288" s="2233"/>
      <c r="EU288" s="2236"/>
    </row>
    <row r="289" spans="1:155" s="1782" customFormat="1" ht="12" customHeight="1">
      <c r="A289" s="1783" t="s">
        <v>6989</v>
      </c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83"/>
      <c r="AX289" s="147"/>
      <c r="AY289" s="141"/>
      <c r="AZ289" s="141"/>
      <c r="BA289" s="141"/>
      <c r="BB289" s="141"/>
      <c r="BC289" s="141"/>
      <c r="BD289" s="147"/>
      <c r="BE289" s="141"/>
      <c r="BF289" s="141"/>
      <c r="BG289" s="141"/>
      <c r="BH289" s="141"/>
      <c r="BI289" s="141"/>
      <c r="BJ289" s="147"/>
      <c r="BK289" s="147"/>
      <c r="BL289" s="147"/>
      <c r="BM289" s="147"/>
      <c r="BN289" s="147"/>
      <c r="BO289" s="1096"/>
      <c r="BP289" s="147"/>
      <c r="BQ289" s="147"/>
      <c r="BR289" s="147"/>
      <c r="BS289" s="147"/>
      <c r="BT289" s="147"/>
      <c r="BU289" s="1096"/>
      <c r="BV289" s="147"/>
      <c r="BW289" s="147"/>
      <c r="BX289" s="147"/>
      <c r="BY289" s="147"/>
      <c r="BZ289" s="147"/>
      <c r="CA289" s="1096"/>
      <c r="CB289" s="147"/>
      <c r="CC289" s="147"/>
      <c r="CD289" s="147"/>
      <c r="CE289" s="147"/>
      <c r="CF289" s="147"/>
      <c r="CG289" s="1096"/>
      <c r="CH289" s="147"/>
      <c r="CI289" s="147"/>
      <c r="CJ289" s="147"/>
      <c r="CK289" s="141"/>
      <c r="CL289" s="147"/>
      <c r="CM289" s="1096"/>
      <c r="CN289" s="147"/>
      <c r="CO289" s="147"/>
      <c r="CP289" s="147"/>
      <c r="CQ289" s="147"/>
      <c r="CR289" s="147"/>
      <c r="CS289" s="1096"/>
      <c r="CT289" s="147"/>
      <c r="CU289" s="147"/>
      <c r="CV289" s="147"/>
      <c r="CW289" s="147"/>
      <c r="CX289" s="147"/>
      <c r="CY289" s="1096"/>
      <c r="CZ289" s="147"/>
      <c r="DA289" s="147"/>
      <c r="DB289" s="147"/>
      <c r="DC289" s="147"/>
      <c r="DD289" s="147"/>
      <c r="DE289" s="1785"/>
      <c r="DF289" s="147"/>
      <c r="DG289" s="1548"/>
      <c r="DH289" s="1548">
        <v>10</v>
      </c>
      <c r="DI289" s="1548">
        <v>26</v>
      </c>
      <c r="DJ289" s="1548">
        <v>48</v>
      </c>
      <c r="DK289" s="1770"/>
      <c r="DL289" s="147"/>
      <c r="DM289" s="1548"/>
      <c r="DN289" s="1548"/>
      <c r="DO289" s="532"/>
      <c r="DP289" s="1548"/>
      <c r="DQ289" s="1096"/>
      <c r="DR289" s="147"/>
      <c r="DS289" s="1548"/>
      <c r="DT289" s="147"/>
      <c r="DU289" s="147"/>
      <c r="DV289" s="1548"/>
      <c r="DW289" s="1096"/>
      <c r="DX289" s="147"/>
      <c r="DY289" s="1548"/>
      <c r="DZ289" s="147"/>
      <c r="EA289" s="147"/>
      <c r="EB289" s="1548"/>
      <c r="EC289" s="1096"/>
      <c r="ED289" s="147"/>
      <c r="EE289" s="147"/>
      <c r="EF289" s="147"/>
      <c r="EG289" s="147"/>
      <c r="EH289" s="147"/>
      <c r="EI289" s="1096"/>
      <c r="EJ289" s="147"/>
      <c r="EK289" s="147"/>
      <c r="EL289" s="147"/>
      <c r="EM289" s="147"/>
      <c r="EN289" s="147"/>
      <c r="EO289" s="1096"/>
      <c r="EP289" s="147"/>
      <c r="EQ289" s="147"/>
      <c r="ER289" s="147"/>
      <c r="ES289" s="147"/>
      <c r="ET289" s="147"/>
      <c r="EU289" s="1096"/>
    </row>
    <row r="290" spans="1:155" s="1993" customFormat="1" ht="12" customHeight="1">
      <c r="A290" s="1783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83"/>
      <c r="AX290" s="147"/>
      <c r="AY290" s="141"/>
      <c r="AZ290" s="141"/>
      <c r="BA290" s="141"/>
      <c r="BB290" s="141"/>
      <c r="BC290" s="141"/>
      <c r="BD290" s="147"/>
      <c r="BE290" s="141"/>
      <c r="BF290" s="141"/>
      <c r="BG290" s="141"/>
      <c r="BH290" s="141"/>
      <c r="BI290" s="141"/>
      <c r="BJ290" s="147"/>
      <c r="BK290" s="147"/>
      <c r="BL290" s="147"/>
      <c r="BM290" s="147"/>
      <c r="BN290" s="147"/>
      <c r="BO290" s="1096"/>
      <c r="BP290" s="147"/>
      <c r="BQ290" s="147"/>
      <c r="BR290" s="147"/>
      <c r="BS290" s="147"/>
      <c r="BT290" s="147"/>
      <c r="BU290" s="1096"/>
      <c r="BV290" s="147"/>
      <c r="BW290" s="147"/>
      <c r="BX290" s="147"/>
      <c r="BY290" s="147"/>
      <c r="BZ290" s="147"/>
      <c r="CA290" s="1096"/>
      <c r="CB290" s="147"/>
      <c r="CC290" s="147"/>
      <c r="CD290" s="147"/>
      <c r="CE290" s="147"/>
      <c r="CF290" s="147"/>
      <c r="CG290" s="1096"/>
      <c r="CH290" s="147"/>
      <c r="CI290" s="147"/>
      <c r="CJ290" s="147"/>
      <c r="CK290" s="141"/>
      <c r="CL290" s="147"/>
      <c r="CM290" s="1096"/>
      <c r="CN290" s="147"/>
      <c r="CO290" s="147"/>
      <c r="CP290" s="147"/>
      <c r="CQ290" s="147"/>
      <c r="CR290" s="147"/>
      <c r="CS290" s="1096"/>
      <c r="CT290" s="147"/>
      <c r="CU290" s="147"/>
      <c r="CV290" s="147"/>
      <c r="CW290" s="147"/>
      <c r="CX290" s="147"/>
      <c r="CY290" s="1096"/>
      <c r="CZ290" s="147"/>
      <c r="DA290" s="147"/>
      <c r="DB290" s="147"/>
      <c r="DC290" s="147"/>
      <c r="DD290" s="147"/>
      <c r="DE290" s="1785"/>
      <c r="DF290" s="147"/>
      <c r="DG290" s="1548"/>
      <c r="DH290" s="1548"/>
      <c r="DI290" s="1548"/>
      <c r="DJ290" s="1548"/>
      <c r="DK290" s="1770"/>
      <c r="DL290" s="147"/>
      <c r="DM290" s="1548"/>
      <c r="DN290" s="1548"/>
      <c r="DO290" s="1548"/>
      <c r="DP290" s="1548"/>
      <c r="DQ290" s="1096"/>
      <c r="DR290" s="147"/>
      <c r="DS290" s="1548"/>
      <c r="DT290" s="1548"/>
      <c r="DU290" s="2083"/>
      <c r="DV290" s="1548"/>
      <c r="DW290" s="1096"/>
      <c r="DX290" s="147"/>
      <c r="DY290" s="1548"/>
      <c r="DZ290" s="147"/>
      <c r="EA290" s="2083"/>
      <c r="EB290" s="1548"/>
      <c r="EC290" s="1096"/>
      <c r="ED290" s="147"/>
      <c r="EE290" s="147"/>
      <c r="EF290" s="147"/>
      <c r="EG290" s="147"/>
      <c r="EH290" s="147"/>
      <c r="EI290" s="1096"/>
      <c r="EJ290" s="147"/>
      <c r="EK290" s="147"/>
      <c r="EL290" s="147"/>
      <c r="EM290" s="147"/>
      <c r="EN290" s="147"/>
      <c r="EO290" s="1096"/>
      <c r="EP290" s="147"/>
      <c r="EQ290" s="147"/>
      <c r="ER290" s="147"/>
      <c r="ES290" s="147"/>
      <c r="ET290" s="147"/>
      <c r="EU290" s="1096"/>
    </row>
    <row r="291" spans="1:155" s="1993" customFormat="1" ht="12" customHeight="1">
      <c r="A291" s="1783" t="s">
        <v>7057</v>
      </c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83"/>
      <c r="AX291" s="147"/>
      <c r="AY291" s="141"/>
      <c r="AZ291" s="141"/>
      <c r="BA291" s="141"/>
      <c r="BB291" s="141"/>
      <c r="BC291" s="141"/>
      <c r="BD291" s="147"/>
      <c r="BE291" s="141"/>
      <c r="BF291" s="141"/>
      <c r="BG291" s="141"/>
      <c r="BH291" s="141"/>
      <c r="BI291" s="141"/>
      <c r="BJ291" s="147"/>
      <c r="BK291" s="147"/>
      <c r="BL291" s="147"/>
      <c r="BM291" s="147"/>
      <c r="BN291" s="147"/>
      <c r="BO291" s="1096"/>
      <c r="BP291" s="147"/>
      <c r="BQ291" s="147"/>
      <c r="BR291" s="147"/>
      <c r="BS291" s="147"/>
      <c r="BT291" s="147"/>
      <c r="BU291" s="1096"/>
      <c r="BV291" s="147"/>
      <c r="BW291" s="147"/>
      <c r="BX291" s="147"/>
      <c r="BY291" s="147"/>
      <c r="BZ291" s="147"/>
      <c r="CA291" s="1096"/>
      <c r="CB291" s="147"/>
      <c r="CC291" s="147"/>
      <c r="CD291" s="147"/>
      <c r="CE291" s="147"/>
      <c r="CF291" s="147"/>
      <c r="CG291" s="1096"/>
      <c r="CH291" s="147"/>
      <c r="CI291" s="147"/>
      <c r="CJ291" s="147"/>
      <c r="CK291" s="141"/>
      <c r="CL291" s="147"/>
      <c r="CM291" s="1096"/>
      <c r="CN291" s="147"/>
      <c r="CO291" s="147"/>
      <c r="CP291" s="147"/>
      <c r="CQ291" s="147"/>
      <c r="CR291" s="147"/>
      <c r="CS291" s="1096"/>
      <c r="CT291" s="147"/>
      <c r="CU291" s="147"/>
      <c r="CV291" s="147"/>
      <c r="CW291" s="147"/>
      <c r="CX291" s="147"/>
      <c r="CY291" s="1096"/>
      <c r="CZ291" s="147"/>
      <c r="DA291" s="147"/>
      <c r="DB291" s="147"/>
      <c r="DC291" s="147"/>
      <c r="DD291" s="147"/>
      <c r="DE291" s="1785"/>
      <c r="DF291" s="147"/>
      <c r="DG291" s="1548">
        <f>+DG296+DG301</f>
        <v>1066</v>
      </c>
      <c r="DH291" s="1548">
        <f>+DH296+DH301</f>
        <v>1119</v>
      </c>
      <c r="DI291" s="1548">
        <v>1181</v>
      </c>
      <c r="DJ291" s="1548">
        <v>1255</v>
      </c>
      <c r="DK291" s="1770"/>
      <c r="DL291" s="147"/>
      <c r="DM291" s="1548">
        <f>DM296+DM301</f>
        <v>1321</v>
      </c>
      <c r="DN291" s="1548">
        <f>DN296+DN301</f>
        <v>1337</v>
      </c>
      <c r="DO291" s="1548">
        <f>DO296+DO301</f>
        <v>1354</v>
      </c>
      <c r="DP291" s="1548">
        <f>DP296+DP301</f>
        <v>1376</v>
      </c>
      <c r="DQ291" s="1096"/>
      <c r="DR291" s="147"/>
      <c r="DS291" s="1548">
        <f>DS296+DS301</f>
        <v>1475</v>
      </c>
      <c r="DT291" s="1548">
        <f>DT296+DT301</f>
        <v>1510</v>
      </c>
      <c r="DU291" s="1548">
        <f>DU296+DU301</f>
        <v>1536</v>
      </c>
      <c r="DV291" s="1548">
        <f>DV296+DV301</f>
        <v>1639</v>
      </c>
      <c r="DW291" s="2068">
        <f>DV291</f>
        <v>1639</v>
      </c>
      <c r="DX291" s="147"/>
      <c r="DY291" s="1548">
        <f>DY296+DY301</f>
        <v>1744</v>
      </c>
      <c r="DZ291" s="2221">
        <f>DZ296+DZ301</f>
        <v>1830</v>
      </c>
      <c r="EA291" s="1548">
        <f>EA296+EA301</f>
        <v>1902</v>
      </c>
      <c r="EB291" s="1548">
        <f>EB296+EB301</f>
        <v>2054</v>
      </c>
      <c r="EC291" s="2068">
        <f>EB291</f>
        <v>2054</v>
      </c>
      <c r="ED291" s="147"/>
      <c r="EE291" s="2221">
        <f>EE296+EE301</f>
        <v>2143.7575817882594</v>
      </c>
      <c r="EF291" s="2221">
        <f t="shared" ref="EF291:EH291" si="70">EF296+EF301</f>
        <v>2175.7523961058896</v>
      </c>
      <c r="EG291" s="2221">
        <f t="shared" si="70"/>
        <v>2281.0700246521656</v>
      </c>
      <c r="EH291" s="2221">
        <f t="shared" si="70"/>
        <v>2652.3447652043978</v>
      </c>
      <c r="EI291" s="2068">
        <f>'Biz Transition Scenarios'!M150</f>
        <v>2652.8915259124269</v>
      </c>
      <c r="EJ291" s="147"/>
      <c r="EK291" s="2221">
        <f>EK296+EK301</f>
        <v>2547.9456070336287</v>
      </c>
      <c r="EL291" s="2221">
        <f t="shared" ref="EL291:EN291" si="71">EL296+EL301</f>
        <v>2519.3455711240463</v>
      </c>
      <c r="EM291" s="2221">
        <f t="shared" si="71"/>
        <v>2569.7718506376623</v>
      </c>
      <c r="EN291" s="2221">
        <f t="shared" si="71"/>
        <v>3328.5715727518527</v>
      </c>
      <c r="EO291" s="2068">
        <f>'Biz Transition Scenarios'!N150</f>
        <v>3328.4660470721383</v>
      </c>
      <c r="EP291" s="147"/>
      <c r="EQ291" s="2221">
        <f>EQ296+EQ301</f>
        <v>2920.464939397642</v>
      </c>
      <c r="ER291" s="2221">
        <f t="shared" ref="ER291:ET291" si="72">ER296+ER301</f>
        <v>2882.1094485634017</v>
      </c>
      <c r="ES291" s="2221">
        <f t="shared" si="72"/>
        <v>2955.3666836398047</v>
      </c>
      <c r="ET291" s="2221">
        <f t="shared" si="72"/>
        <v>3876.1874718419053</v>
      </c>
      <c r="EU291" s="2068">
        <f>'Biz Transition Scenarios'!O150</f>
        <v>3876.187232778826</v>
      </c>
      <c r="EY291" s="2034"/>
    </row>
    <row r="292" spans="1:155" s="1993" customFormat="1" ht="12" customHeight="1">
      <c r="A292" s="1997" t="s">
        <v>7084</v>
      </c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83"/>
      <c r="AX292" s="147"/>
      <c r="AY292" s="141"/>
      <c r="AZ292" s="141"/>
      <c r="BA292" s="141"/>
      <c r="BB292" s="141"/>
      <c r="BC292" s="141"/>
      <c r="BD292" s="147"/>
      <c r="BE292" s="141"/>
      <c r="BF292" s="141"/>
      <c r="BG292" s="141"/>
      <c r="BH292" s="141"/>
      <c r="BI292" s="141"/>
      <c r="BJ292" s="147"/>
      <c r="BK292" s="147"/>
      <c r="BL292" s="147"/>
      <c r="BM292" s="147"/>
      <c r="BN292" s="147"/>
      <c r="BO292" s="1096"/>
      <c r="BP292" s="147"/>
      <c r="BQ292" s="147"/>
      <c r="BR292" s="147"/>
      <c r="BS292" s="147"/>
      <c r="BT292" s="147"/>
      <c r="BU292" s="1096"/>
      <c r="BV292" s="147"/>
      <c r="BW292" s="147"/>
      <c r="BX292" s="147"/>
      <c r="BY292" s="147"/>
      <c r="BZ292" s="147"/>
      <c r="CA292" s="1096"/>
      <c r="CB292" s="147"/>
      <c r="CC292" s="147"/>
      <c r="CD292" s="147"/>
      <c r="CE292" s="147"/>
      <c r="CF292" s="147"/>
      <c r="CG292" s="1096"/>
      <c r="CH292" s="147"/>
      <c r="CI292" s="147"/>
      <c r="CJ292" s="147"/>
      <c r="CK292" s="141"/>
      <c r="CL292" s="147"/>
      <c r="CM292" s="1096"/>
      <c r="CN292" s="147"/>
      <c r="CO292" s="147"/>
      <c r="CP292" s="147"/>
      <c r="CQ292" s="147"/>
      <c r="CR292" s="147"/>
      <c r="CS292" s="1096"/>
      <c r="CT292" s="147"/>
      <c r="CU292" s="147"/>
      <c r="CV292" s="147"/>
      <c r="CW292" s="147"/>
      <c r="CX292" s="147"/>
      <c r="CY292" s="1096"/>
      <c r="CZ292" s="147"/>
      <c r="DA292" s="147"/>
      <c r="DB292" s="147"/>
      <c r="DC292" s="147"/>
      <c r="DD292" s="147"/>
      <c r="DE292" s="1785"/>
      <c r="DF292" s="147"/>
      <c r="DG292" s="1548"/>
      <c r="DH292" s="263">
        <f>+DH291/DG291-1</f>
        <v>4.971857410881797E-2</v>
      </c>
      <c r="DI292" s="263">
        <f t="shared" ref="DI292" si="73">+DI291/DH291-1</f>
        <v>5.5406613047363829E-2</v>
      </c>
      <c r="DJ292" s="263">
        <f t="shared" ref="DJ292" si="74">+DJ291/DI291-1</f>
        <v>6.2658763759525726E-2</v>
      </c>
      <c r="DK292" s="2001"/>
      <c r="DL292" s="126"/>
      <c r="DM292" s="263">
        <f>+DM291/DJ291-1</f>
        <v>5.2589641434263035E-2</v>
      </c>
      <c r="DN292" s="263">
        <f t="shared" ref="DN292" si="75">+DN291/DM291-1</f>
        <v>1.2112036336108911E-2</v>
      </c>
      <c r="DO292" s="263">
        <f t="shared" ref="DO292:DP292" si="76">+DO291/DN291-1</f>
        <v>1.2715033657441976E-2</v>
      </c>
      <c r="DP292" s="263">
        <f t="shared" si="76"/>
        <v>1.6248153618906969E-2</v>
      </c>
      <c r="DQ292" s="1998"/>
      <c r="DR292" s="147"/>
      <c r="DS292" s="263">
        <f>+DS291/DP291-1</f>
        <v>7.1947674418604723E-2</v>
      </c>
      <c r="DT292" s="263">
        <f t="shared" ref="DT292" si="77">+DT291/DS291-1</f>
        <v>2.3728813559322104E-2</v>
      </c>
      <c r="DU292" s="263">
        <f t="shared" ref="DU292:DV292" si="78">+DU291/DT291-1</f>
        <v>1.7218543046357615E-2</v>
      </c>
      <c r="DV292" s="263">
        <f t="shared" si="78"/>
        <v>6.7057291666666741E-2</v>
      </c>
      <c r="DW292" s="1105"/>
      <c r="DX292" s="147"/>
      <c r="DY292" s="263">
        <f>+DY291/DV291-1</f>
        <v>6.406345332519825E-2</v>
      </c>
      <c r="DZ292" s="263">
        <f t="shared" ref="DZ292" si="79">+DZ291/DY291-1</f>
        <v>4.9311926605504652E-2</v>
      </c>
      <c r="EA292" s="263">
        <f t="shared" ref="EA292" si="80">+EA291/DZ291-1</f>
        <v>3.9344262295081922E-2</v>
      </c>
      <c r="EB292" s="263">
        <f t="shared" ref="EB292" si="81">+EB291/EA291-1</f>
        <v>7.9915878023133491E-2</v>
      </c>
      <c r="EC292" s="1105"/>
      <c r="ED292" s="147"/>
      <c r="EE292" s="263">
        <f>+EE291/EB291-1</f>
        <v>4.3698920052706702E-2</v>
      </c>
      <c r="EF292" s="263">
        <f t="shared" ref="EF292" si="82">+EF291/EE291-1</f>
        <v>1.4924641941530092E-2</v>
      </c>
      <c r="EG292" s="263">
        <f t="shared" ref="EG292" si="83">+EG291/EF291-1</f>
        <v>4.8405153424061931E-2</v>
      </c>
      <c r="EH292" s="263">
        <f t="shared" ref="EH292" si="84">+EH291/EG291-1</f>
        <v>0.16276341214419632</v>
      </c>
      <c r="EI292" s="1096"/>
      <c r="EJ292" s="147"/>
      <c r="EK292" s="263">
        <f>+EK291/EH291-1</f>
        <v>-3.9361081387443209E-2</v>
      </c>
      <c r="EL292" s="263">
        <f t="shared" ref="EL292" si="85">+EL291/EK291-1</f>
        <v>-1.1224743507330714E-2</v>
      </c>
      <c r="EM292" s="263">
        <f t="shared" ref="EM292" si="86">+EM291/EL291-1</f>
        <v>2.0015626316447488E-2</v>
      </c>
      <c r="EN292" s="263">
        <f t="shared" ref="EN292" si="87">+EN291/EM291-1</f>
        <v>0.29527902328212607</v>
      </c>
      <c r="EO292" s="1096"/>
      <c r="EP292" s="147"/>
      <c r="EQ292" s="263">
        <f>+EQ291/EN291-1</f>
        <v>-0.12260713775693699</v>
      </c>
      <c r="ER292" s="263">
        <f t="shared" ref="ER292" si="88">+ER291/EQ291-1</f>
        <v>-1.3133350897939988E-2</v>
      </c>
      <c r="ES292" s="263">
        <f t="shared" ref="ES292" si="89">+ES291/ER291-1</f>
        <v>2.5417922665261106E-2</v>
      </c>
      <c r="ET292" s="263">
        <f t="shared" ref="ET292" si="90">+ET291/ES291-1</f>
        <v>0.31157581673351809</v>
      </c>
      <c r="EU292" s="1096"/>
    </row>
    <row r="293" spans="1:155" s="1790" customFormat="1" ht="12" customHeight="1">
      <c r="A293" s="1997" t="s">
        <v>6985</v>
      </c>
      <c r="B293" s="126"/>
      <c r="C293" s="126"/>
      <c r="D293" s="126"/>
      <c r="E293" s="126"/>
      <c r="F293" s="126"/>
      <c r="G293" s="126"/>
      <c r="H293" s="126"/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  <c r="T293" s="126"/>
      <c r="U293" s="126"/>
      <c r="V293" s="126"/>
      <c r="W293" s="126"/>
      <c r="X293" s="126"/>
      <c r="Y293" s="126"/>
      <c r="Z293" s="126"/>
      <c r="AA293" s="126"/>
      <c r="AB293" s="126"/>
      <c r="AC293" s="126"/>
      <c r="AD293" s="126"/>
      <c r="AE293" s="126"/>
      <c r="AF293" s="126"/>
      <c r="AG293" s="126"/>
      <c r="AH293" s="126"/>
      <c r="AI293" s="126"/>
      <c r="AJ293" s="126"/>
      <c r="AK293" s="126"/>
      <c r="AL293" s="126"/>
      <c r="AM293" s="126"/>
      <c r="AN293" s="126"/>
      <c r="AO293" s="126"/>
      <c r="AP293" s="126"/>
      <c r="AQ293" s="126"/>
      <c r="AR293" s="126"/>
      <c r="AS293" s="126"/>
      <c r="AT293" s="126"/>
      <c r="AU293" s="126"/>
      <c r="AV293" s="126"/>
      <c r="AW293" s="744"/>
      <c r="AX293" s="126"/>
      <c r="AY293" s="125"/>
      <c r="AZ293" s="125"/>
      <c r="BA293" s="125"/>
      <c r="BB293" s="125"/>
      <c r="BC293" s="125"/>
      <c r="BD293" s="126"/>
      <c r="BE293" s="125"/>
      <c r="BF293" s="125"/>
      <c r="BG293" s="125"/>
      <c r="BH293" s="125"/>
      <c r="BI293" s="125"/>
      <c r="BJ293" s="126"/>
      <c r="BK293" s="126"/>
      <c r="BL293" s="126"/>
      <c r="BM293" s="126"/>
      <c r="BN293" s="126"/>
      <c r="BO293" s="1998"/>
      <c r="BP293" s="126"/>
      <c r="BQ293" s="126"/>
      <c r="BR293" s="126"/>
      <c r="BS293" s="126"/>
      <c r="BT293" s="126"/>
      <c r="BU293" s="1998"/>
      <c r="BV293" s="126"/>
      <c r="BW293" s="126"/>
      <c r="BX293" s="126"/>
      <c r="BY293" s="126"/>
      <c r="BZ293" s="126"/>
      <c r="CA293" s="1998"/>
      <c r="CB293" s="126"/>
      <c r="CC293" s="126"/>
      <c r="CD293" s="126"/>
      <c r="CE293" s="126"/>
      <c r="CF293" s="126"/>
      <c r="CG293" s="1998"/>
      <c r="CH293" s="126"/>
      <c r="CI293" s="126"/>
      <c r="CJ293" s="126"/>
      <c r="CK293" s="125"/>
      <c r="CL293" s="126"/>
      <c r="CM293" s="1998"/>
      <c r="CN293" s="126"/>
      <c r="CO293" s="126"/>
      <c r="CP293" s="126"/>
      <c r="CQ293" s="126"/>
      <c r="CR293" s="126"/>
      <c r="CS293" s="1998"/>
      <c r="CT293" s="126"/>
      <c r="CU293" s="126"/>
      <c r="CV293" s="126"/>
      <c r="CW293" s="126"/>
      <c r="CX293" s="126"/>
      <c r="CY293" s="1998"/>
      <c r="CZ293" s="126"/>
      <c r="DA293" s="126"/>
      <c r="DB293" s="126"/>
      <c r="DC293" s="126"/>
      <c r="DD293" s="126"/>
      <c r="DE293" s="1999"/>
      <c r="DF293" s="126"/>
      <c r="DG293" s="2000"/>
      <c r="DH293" s="2000"/>
      <c r="DI293" s="2000"/>
      <c r="DJ293" s="2000"/>
      <c r="DK293" s="2001"/>
      <c r="DL293" s="126"/>
      <c r="DM293" s="2002">
        <f t="shared" ref="DM293:DN293" si="91">+DM291/DG291-1</f>
        <v>0.2392120075046904</v>
      </c>
      <c r="DN293" s="2002">
        <f t="shared" si="91"/>
        <v>0.19481680071492402</v>
      </c>
      <c r="DO293" s="2002">
        <f>+DO291/DI291-1</f>
        <v>0.14648602878916184</v>
      </c>
      <c r="DP293" s="2027">
        <f>+DP291/DJ291-1</f>
        <v>9.6414342629482119E-2</v>
      </c>
      <c r="DQ293" s="1998"/>
      <c r="DR293" s="126"/>
      <c r="DS293" s="2002">
        <f t="shared" ref="DS293:DU293" si="92">+DS291/DM291-1</f>
        <v>0.11657834973504921</v>
      </c>
      <c r="DT293" s="2002">
        <f t="shared" si="92"/>
        <v>0.12939416604338061</v>
      </c>
      <c r="DU293" s="2002">
        <f t="shared" si="92"/>
        <v>0.13441654357459387</v>
      </c>
      <c r="DV293" s="2027">
        <f>+DV291/DP291-1</f>
        <v>0.19113372093023262</v>
      </c>
      <c r="DW293" s="2246"/>
      <c r="DX293" s="126"/>
      <c r="DY293" s="2002">
        <f t="shared" ref="DY293" si="93">+DY291/DS291-1</f>
        <v>0.18237288135593221</v>
      </c>
      <c r="DZ293" s="2002">
        <f t="shared" ref="DZ293" si="94">+DZ291/DT291-1</f>
        <v>0.21192052980132448</v>
      </c>
      <c r="EA293" s="2002">
        <f t="shared" ref="EA293" si="95">+EA291/DU291-1</f>
        <v>0.23828125</v>
      </c>
      <c r="EB293" s="2027">
        <f>+EB291/DV291-1</f>
        <v>0.25320317266626002</v>
      </c>
      <c r="EC293" s="1779">
        <f>EC291/DW291-1</f>
        <v>0.25320317266626002</v>
      </c>
      <c r="ED293" s="126"/>
      <c r="EE293" s="2002">
        <f t="shared" ref="EE293" si="96">+EE291/DY291-1</f>
        <v>0.22921879689693769</v>
      </c>
      <c r="EF293" s="2002">
        <f t="shared" ref="EF293" si="97">+EF291/DZ291-1</f>
        <v>0.18893573557698895</v>
      </c>
      <c r="EG293" s="2002">
        <f t="shared" ref="EG293" si="98">+EG291/EA291-1</f>
        <v>0.19930074902847816</v>
      </c>
      <c r="EH293" s="2002">
        <f t="shared" ref="EH293" si="99">+EH291/EB291-1</f>
        <v>0.29130709114138154</v>
      </c>
      <c r="EI293" s="2246">
        <f>EI291/EC291-1</f>
        <v>0.29157328428063622</v>
      </c>
      <c r="EJ293" s="126"/>
      <c r="EK293" s="2002">
        <f t="shared" ref="EK293" si="100">+EK291/EE291-1</f>
        <v>0.18854185225001396</v>
      </c>
      <c r="EL293" s="2002">
        <f t="shared" ref="EL293" si="101">+EL291/EF291-1</f>
        <v>0.1579192446866251</v>
      </c>
      <c r="EM293" s="2002">
        <f t="shared" ref="EM293" si="102">+EM291/EG291-1</f>
        <v>0.12656421015813413</v>
      </c>
      <c r="EN293" s="2002">
        <f t="shared" ref="EN293" si="103">+EN291/EH291-1</f>
        <v>0.254954339427794</v>
      </c>
      <c r="EO293" s="2246">
        <f>EO291/EI291-1</f>
        <v>0.2546559158416235</v>
      </c>
      <c r="EP293" s="126"/>
      <c r="EQ293" s="2002">
        <f t="shared" ref="EQ293" si="104">+EQ291/EK291-1</f>
        <v>0.14620380095072272</v>
      </c>
      <c r="ER293" s="2002">
        <f t="shared" ref="ER293" si="105">+ER291/EL291-1</f>
        <v>0.14399131329867632</v>
      </c>
      <c r="ES293" s="2002">
        <f t="shared" ref="ES293" si="106">+ES291/EM291-1</f>
        <v>0.15005022056976025</v>
      </c>
      <c r="ET293" s="2002">
        <f t="shared" ref="ET293" si="107">+ET291/EN291-1</f>
        <v>0.16451979088354651</v>
      </c>
      <c r="EU293" s="2246">
        <f>EU291/EO291-1</f>
        <v>0.16455663899245332</v>
      </c>
      <c r="EY293" s="2295"/>
    </row>
    <row r="294" spans="1:155" s="1790" customFormat="1" ht="12" customHeight="1">
      <c r="A294" s="1997" t="s">
        <v>7085</v>
      </c>
      <c r="B294" s="126"/>
      <c r="C294" s="126"/>
      <c r="D294" s="126"/>
      <c r="E294" s="126"/>
      <c r="F294" s="126"/>
      <c r="G294" s="126"/>
      <c r="H294" s="126"/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  <c r="T294" s="126"/>
      <c r="U294" s="126"/>
      <c r="V294" s="126"/>
      <c r="W294" s="126"/>
      <c r="X294" s="126"/>
      <c r="Y294" s="126"/>
      <c r="Z294" s="126"/>
      <c r="AA294" s="126"/>
      <c r="AB294" s="126"/>
      <c r="AC294" s="126"/>
      <c r="AD294" s="126"/>
      <c r="AE294" s="126"/>
      <c r="AF294" s="126"/>
      <c r="AG294" s="126"/>
      <c r="AH294" s="126"/>
      <c r="AI294" s="126"/>
      <c r="AJ294" s="126"/>
      <c r="AK294" s="126"/>
      <c r="AL294" s="126"/>
      <c r="AM294" s="126"/>
      <c r="AN294" s="126"/>
      <c r="AO294" s="126"/>
      <c r="AP294" s="126"/>
      <c r="AQ294" s="126"/>
      <c r="AR294" s="126"/>
      <c r="AS294" s="126"/>
      <c r="AT294" s="126"/>
      <c r="AU294" s="126"/>
      <c r="AV294" s="126"/>
      <c r="AW294" s="744"/>
      <c r="AX294" s="126"/>
      <c r="AY294" s="125"/>
      <c r="AZ294" s="125"/>
      <c r="BA294" s="125"/>
      <c r="BB294" s="125"/>
      <c r="BC294" s="125"/>
      <c r="BD294" s="126"/>
      <c r="BE294" s="125"/>
      <c r="BF294" s="125"/>
      <c r="BG294" s="125"/>
      <c r="BH294" s="125"/>
      <c r="BI294" s="125"/>
      <c r="BJ294" s="126"/>
      <c r="BK294" s="126"/>
      <c r="BL294" s="126"/>
      <c r="BM294" s="126"/>
      <c r="BN294" s="126"/>
      <c r="BO294" s="1998"/>
      <c r="BP294" s="126"/>
      <c r="BQ294" s="126"/>
      <c r="BR294" s="126"/>
      <c r="BS294" s="126"/>
      <c r="BT294" s="126"/>
      <c r="BU294" s="1998"/>
      <c r="BV294" s="126"/>
      <c r="BW294" s="126"/>
      <c r="BX294" s="126"/>
      <c r="BY294" s="126"/>
      <c r="BZ294" s="126"/>
      <c r="CA294" s="1998"/>
      <c r="CB294" s="126"/>
      <c r="CC294" s="126"/>
      <c r="CD294" s="126"/>
      <c r="CE294" s="126"/>
      <c r="CF294" s="126"/>
      <c r="CG294" s="1998"/>
      <c r="CH294" s="126"/>
      <c r="CI294" s="126"/>
      <c r="CJ294" s="126"/>
      <c r="CK294" s="125"/>
      <c r="CL294" s="126"/>
      <c r="CM294" s="1998"/>
      <c r="CN294" s="126"/>
      <c r="CO294" s="126"/>
      <c r="CP294" s="126"/>
      <c r="CQ294" s="126"/>
      <c r="CR294" s="126"/>
      <c r="CS294" s="1998"/>
      <c r="CT294" s="126"/>
      <c r="CU294" s="126"/>
      <c r="CV294" s="126"/>
      <c r="CW294" s="126"/>
      <c r="CX294" s="126"/>
      <c r="CY294" s="1998"/>
      <c r="CZ294" s="126"/>
      <c r="DA294" s="126"/>
      <c r="DB294" s="126"/>
      <c r="DC294" s="126"/>
      <c r="DD294" s="126"/>
      <c r="DE294" s="1999"/>
      <c r="DF294" s="126"/>
      <c r="DG294" s="2000"/>
      <c r="DH294" s="2000"/>
      <c r="DI294" s="2000"/>
      <c r="DJ294" s="2000"/>
      <c r="DK294" s="2001"/>
      <c r="DL294" s="126"/>
      <c r="DM294" s="2002"/>
      <c r="DN294" s="2002">
        <v>0.23</v>
      </c>
      <c r="DO294" s="2002">
        <v>0.18</v>
      </c>
      <c r="DP294" s="2027">
        <v>0.12</v>
      </c>
      <c r="DQ294" s="1998"/>
      <c r="DR294" s="126"/>
      <c r="DS294" s="2002">
        <v>0.12</v>
      </c>
      <c r="DT294" s="2002">
        <v>0.14000000000000001</v>
      </c>
      <c r="DU294" s="2002">
        <v>0.15</v>
      </c>
      <c r="DV294" s="2027">
        <v>0.2</v>
      </c>
      <c r="DW294" s="2069"/>
      <c r="DX294" s="126"/>
      <c r="DY294" s="2002">
        <v>0.2</v>
      </c>
      <c r="DZ294" s="2004">
        <v>0.23</v>
      </c>
      <c r="EA294" s="2002">
        <v>0.25</v>
      </c>
      <c r="EB294" s="2027">
        <v>0.25</v>
      </c>
      <c r="EC294" s="2069"/>
      <c r="ED294" s="126"/>
      <c r="EE294" s="126"/>
      <c r="EF294" s="126"/>
      <c r="EG294" s="126"/>
      <c r="EH294" s="126"/>
      <c r="EI294" s="1998"/>
      <c r="EJ294" s="126"/>
      <c r="EK294" s="126"/>
      <c r="EL294" s="126"/>
      <c r="EM294" s="126"/>
      <c r="EN294" s="126"/>
      <c r="EO294" s="1998"/>
      <c r="EP294" s="126"/>
      <c r="EQ294" s="126"/>
      <c r="ER294" s="126"/>
      <c r="ES294" s="126"/>
      <c r="ET294" s="126"/>
      <c r="EU294" s="1998"/>
    </row>
    <row r="295" spans="1:155" s="1790" customFormat="1" ht="12" customHeight="1">
      <c r="A295" s="1997"/>
      <c r="B295" s="126"/>
      <c r="C295" s="126"/>
      <c r="D295" s="126"/>
      <c r="E295" s="126"/>
      <c r="F295" s="126"/>
      <c r="G295" s="126"/>
      <c r="H295" s="126"/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  <c r="T295" s="126"/>
      <c r="U295" s="126"/>
      <c r="V295" s="126"/>
      <c r="W295" s="126"/>
      <c r="X295" s="126"/>
      <c r="Y295" s="126"/>
      <c r="Z295" s="126"/>
      <c r="AA295" s="126"/>
      <c r="AB295" s="126"/>
      <c r="AC295" s="126"/>
      <c r="AD295" s="126"/>
      <c r="AE295" s="126"/>
      <c r="AF295" s="126"/>
      <c r="AG295" s="126"/>
      <c r="AH295" s="126"/>
      <c r="AI295" s="126"/>
      <c r="AJ295" s="126"/>
      <c r="AK295" s="126"/>
      <c r="AL295" s="126"/>
      <c r="AM295" s="126"/>
      <c r="AN295" s="126"/>
      <c r="AO295" s="126"/>
      <c r="AP295" s="126"/>
      <c r="AQ295" s="126"/>
      <c r="AR295" s="126"/>
      <c r="AS295" s="126"/>
      <c r="AT295" s="126"/>
      <c r="AU295" s="126"/>
      <c r="AV295" s="126"/>
      <c r="AW295" s="744"/>
      <c r="AX295" s="126"/>
      <c r="AY295" s="125"/>
      <c r="AZ295" s="125"/>
      <c r="BA295" s="125"/>
      <c r="BB295" s="125"/>
      <c r="BC295" s="125"/>
      <c r="BD295" s="126"/>
      <c r="BE295" s="125"/>
      <c r="BF295" s="125"/>
      <c r="BG295" s="125"/>
      <c r="BH295" s="125"/>
      <c r="BI295" s="125"/>
      <c r="BJ295" s="126"/>
      <c r="BK295" s="126"/>
      <c r="BL295" s="126"/>
      <c r="BM295" s="126"/>
      <c r="BN295" s="126"/>
      <c r="BO295" s="1998"/>
      <c r="BP295" s="126"/>
      <c r="BQ295" s="126"/>
      <c r="BR295" s="126"/>
      <c r="BS295" s="126"/>
      <c r="BT295" s="126"/>
      <c r="BU295" s="1998"/>
      <c r="BV295" s="126"/>
      <c r="BW295" s="126"/>
      <c r="BX295" s="126"/>
      <c r="BY295" s="126"/>
      <c r="BZ295" s="126"/>
      <c r="CA295" s="1998"/>
      <c r="CB295" s="126"/>
      <c r="CC295" s="126"/>
      <c r="CD295" s="126"/>
      <c r="CE295" s="126"/>
      <c r="CF295" s="126"/>
      <c r="CG295" s="1998"/>
      <c r="CH295" s="126"/>
      <c r="CI295" s="126"/>
      <c r="CJ295" s="126"/>
      <c r="CK295" s="125"/>
      <c r="CL295" s="126"/>
      <c r="CM295" s="1998"/>
      <c r="CN295" s="126"/>
      <c r="CO295" s="126"/>
      <c r="CP295" s="126"/>
      <c r="CQ295" s="126"/>
      <c r="CR295" s="126"/>
      <c r="CS295" s="1998"/>
      <c r="CT295" s="126"/>
      <c r="CU295" s="126"/>
      <c r="CV295" s="126"/>
      <c r="CW295" s="126"/>
      <c r="CX295" s="126"/>
      <c r="CY295" s="1998"/>
      <c r="CZ295" s="126"/>
      <c r="DA295" s="126"/>
      <c r="DB295" s="126"/>
      <c r="DC295" s="126"/>
      <c r="DD295" s="126"/>
      <c r="DE295" s="1999"/>
      <c r="DF295" s="126"/>
      <c r="DG295" s="2000"/>
      <c r="DH295" s="2000"/>
      <c r="DI295" s="2000"/>
      <c r="DJ295" s="2000"/>
      <c r="DK295" s="2001"/>
      <c r="DL295" s="126"/>
      <c r="DM295" s="2002"/>
      <c r="DN295" s="2002"/>
      <c r="DO295" s="2002"/>
      <c r="DP295" s="2027"/>
      <c r="DQ295" s="1998"/>
      <c r="DR295" s="126"/>
      <c r="DS295" s="2002"/>
      <c r="DT295" s="2002"/>
      <c r="DU295" s="126"/>
      <c r="DV295" s="2027"/>
      <c r="DW295" s="2069"/>
      <c r="DX295" s="126"/>
      <c r="DY295" s="2002"/>
      <c r="DZ295" s="126"/>
      <c r="EA295" s="126"/>
      <c r="EB295" s="2027"/>
      <c r="EC295" s="2069"/>
      <c r="ED295" s="126"/>
      <c r="EE295" s="126"/>
      <c r="EF295" s="126"/>
      <c r="EG295" s="126"/>
      <c r="EH295" s="126"/>
      <c r="EI295" s="1998"/>
      <c r="EJ295" s="126"/>
      <c r="EK295" s="126"/>
      <c r="EL295" s="126"/>
      <c r="EM295" s="126"/>
      <c r="EN295" s="126"/>
      <c r="EO295" s="1998"/>
      <c r="EP295" s="126"/>
      <c r="EQ295" s="126"/>
      <c r="ER295" s="126"/>
      <c r="ES295" s="126"/>
      <c r="ET295" s="126"/>
      <c r="EU295" s="1998"/>
    </row>
    <row r="296" spans="1:155" s="1993" customFormat="1" ht="12" customHeight="1">
      <c r="A296" s="1783" t="s">
        <v>7083</v>
      </c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83"/>
      <c r="AX296" s="147"/>
      <c r="AY296" s="141"/>
      <c r="AZ296" s="141"/>
      <c r="BA296" s="141"/>
      <c r="BB296" s="141"/>
      <c r="BC296" s="141"/>
      <c r="BD296" s="147"/>
      <c r="BE296" s="141"/>
      <c r="BF296" s="141"/>
      <c r="BG296" s="141"/>
      <c r="BH296" s="141"/>
      <c r="BI296" s="141"/>
      <c r="BJ296" s="147"/>
      <c r="BK296" s="147"/>
      <c r="BL296" s="147"/>
      <c r="BM296" s="147"/>
      <c r="BN296" s="147"/>
      <c r="BO296" s="1096"/>
      <c r="BP296" s="147"/>
      <c r="BQ296" s="147"/>
      <c r="BR296" s="147"/>
      <c r="BS296" s="147"/>
      <c r="BT296" s="147"/>
      <c r="BU296" s="1096"/>
      <c r="BV296" s="147"/>
      <c r="BW296" s="147"/>
      <c r="BX296" s="147"/>
      <c r="BY296" s="147"/>
      <c r="BZ296" s="147"/>
      <c r="CA296" s="1096"/>
      <c r="CB296" s="147"/>
      <c r="CC296" s="147"/>
      <c r="CD296" s="147"/>
      <c r="CE296" s="147"/>
      <c r="CF296" s="147"/>
      <c r="CG296" s="1096"/>
      <c r="CH296" s="147"/>
      <c r="CI296" s="147"/>
      <c r="CJ296" s="147"/>
      <c r="CK296" s="141"/>
      <c r="CL296" s="147"/>
      <c r="CM296" s="1096"/>
      <c r="CN296" s="147"/>
      <c r="CO296" s="147"/>
      <c r="CP296" s="147"/>
      <c r="CQ296" s="147"/>
      <c r="CR296" s="147"/>
      <c r="CS296" s="1096"/>
      <c r="CT296" s="147"/>
      <c r="CU296" s="147"/>
      <c r="CV296" s="147"/>
      <c r="CW296" s="147"/>
      <c r="CX296" s="147"/>
      <c r="CY296" s="1096"/>
      <c r="CZ296" s="147"/>
      <c r="DA296" s="147"/>
      <c r="DB296" s="147"/>
      <c r="DC296" s="147"/>
      <c r="DD296" s="147"/>
      <c r="DE296" s="1785"/>
      <c r="DF296" s="147"/>
      <c r="DG296" s="1548">
        <v>987</v>
      </c>
      <c r="DH296" s="1548">
        <v>1028</v>
      </c>
      <c r="DI296" s="1548">
        <v>1071</v>
      </c>
      <c r="DJ296" s="1548">
        <v>1103</v>
      </c>
      <c r="DK296" s="1770"/>
      <c r="DL296" s="147"/>
      <c r="DM296" s="1548">
        <v>1141</v>
      </c>
      <c r="DN296" s="1548">
        <v>1133</v>
      </c>
      <c r="DO296" s="1548">
        <v>1133</v>
      </c>
      <c r="DP296" s="1548">
        <v>1121</v>
      </c>
      <c r="DQ296" s="1096"/>
      <c r="DR296" s="147"/>
      <c r="DS296" s="1548">
        <v>1135</v>
      </c>
      <c r="DT296" s="1548">
        <v>1107</v>
      </c>
      <c r="DU296" s="1548">
        <v>1088</v>
      </c>
      <c r="DV296" s="1548">
        <v>1068</v>
      </c>
      <c r="DW296" s="1105"/>
      <c r="DX296" s="147"/>
      <c r="DY296" s="1548">
        <v>1052</v>
      </c>
      <c r="DZ296" s="2067">
        <v>1046</v>
      </c>
      <c r="EA296" s="1548">
        <v>978</v>
      </c>
      <c r="EB296" s="1548">
        <v>879</v>
      </c>
      <c r="EC296" s="1105"/>
      <c r="ED296" s="147"/>
      <c r="EE296" s="1548">
        <f>EE282*EE318</f>
        <v>781.33455620667962</v>
      </c>
      <c r="EF296" s="1548">
        <f t="shared" ref="EF296:EH296" si="108">EF282*EF318</f>
        <v>707.25707291465062</v>
      </c>
      <c r="EG296" s="1548">
        <f t="shared" si="108"/>
        <v>655.08768398029702</v>
      </c>
      <c r="EH296" s="1548">
        <f t="shared" si="108"/>
        <v>493.63947539291087</v>
      </c>
      <c r="EI296" s="2241">
        <f>'Biz Transition Scenarios'!M137</f>
        <v>493.6921788240046</v>
      </c>
      <c r="EJ296" s="147"/>
      <c r="EK296" s="1548">
        <f>EK282*EK318</f>
        <v>405.80622730959442</v>
      </c>
      <c r="EL296" s="1548">
        <f t="shared" ref="EL296:EN296" si="109">EL282*EL318</f>
        <v>304.82240831626171</v>
      </c>
      <c r="EM296" s="1548">
        <f t="shared" si="109"/>
        <v>198.21913189029945</v>
      </c>
      <c r="EN296" s="1548">
        <f t="shared" si="109"/>
        <v>54.399371786437889</v>
      </c>
      <c r="EO296" s="2241">
        <f>'Biz Transition Scenarios'!N137</f>
        <v>54.302960884788462</v>
      </c>
      <c r="EP296" s="147"/>
      <c r="EQ296" s="1548">
        <f>EQ282*EQ318</f>
        <v>29.11888874736638</v>
      </c>
      <c r="ER296" s="1548">
        <f t="shared" ref="ER296:ET296" si="110">ER282*ER318</f>
        <v>20.929260188247685</v>
      </c>
      <c r="ES296" s="1548">
        <f t="shared" si="110"/>
        <v>12.10141571025763</v>
      </c>
      <c r="ET296" s="1548">
        <f t="shared" si="110"/>
        <v>-4.5258008877895693E-3</v>
      </c>
      <c r="EU296" s="2241">
        <f>'Biz Transition Scenarios'!O137</f>
        <v>0</v>
      </c>
    </row>
    <row r="297" spans="1:155" s="1993" customFormat="1" ht="12" customHeight="1">
      <c r="A297" s="1997" t="s">
        <v>7084</v>
      </c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83"/>
      <c r="AX297" s="147"/>
      <c r="AY297" s="141"/>
      <c r="AZ297" s="141"/>
      <c r="BA297" s="141"/>
      <c r="BB297" s="141"/>
      <c r="BC297" s="141"/>
      <c r="BD297" s="147"/>
      <c r="BE297" s="141"/>
      <c r="BF297" s="141"/>
      <c r="BG297" s="141"/>
      <c r="BH297" s="141"/>
      <c r="BI297" s="141"/>
      <c r="BJ297" s="147"/>
      <c r="BK297" s="147"/>
      <c r="BL297" s="147"/>
      <c r="BM297" s="147"/>
      <c r="BN297" s="147"/>
      <c r="BO297" s="1096"/>
      <c r="BP297" s="147"/>
      <c r="BQ297" s="147"/>
      <c r="BR297" s="147"/>
      <c r="BS297" s="147"/>
      <c r="BT297" s="147"/>
      <c r="BU297" s="1096"/>
      <c r="BV297" s="147"/>
      <c r="BW297" s="147"/>
      <c r="BX297" s="147"/>
      <c r="BY297" s="147"/>
      <c r="BZ297" s="147"/>
      <c r="CA297" s="1096"/>
      <c r="CB297" s="147"/>
      <c r="CC297" s="147"/>
      <c r="CD297" s="147"/>
      <c r="CE297" s="147"/>
      <c r="CF297" s="147"/>
      <c r="CG297" s="1096"/>
      <c r="CH297" s="147"/>
      <c r="CI297" s="147"/>
      <c r="CJ297" s="147"/>
      <c r="CK297" s="141"/>
      <c r="CL297" s="147"/>
      <c r="CM297" s="1096"/>
      <c r="CN297" s="147"/>
      <c r="CO297" s="147"/>
      <c r="CP297" s="147"/>
      <c r="CQ297" s="147"/>
      <c r="CR297" s="147"/>
      <c r="CS297" s="1096"/>
      <c r="CT297" s="147"/>
      <c r="CU297" s="147"/>
      <c r="CV297" s="147"/>
      <c r="CW297" s="147"/>
      <c r="CX297" s="147"/>
      <c r="CY297" s="1096"/>
      <c r="CZ297" s="147"/>
      <c r="DA297" s="147"/>
      <c r="DB297" s="147"/>
      <c r="DC297" s="147"/>
      <c r="DD297" s="147"/>
      <c r="DE297" s="1785"/>
      <c r="DF297" s="147"/>
      <c r="DG297" s="1548"/>
      <c r="DH297" s="532">
        <f>+DH296/DG296-1</f>
        <v>4.1540020263424626E-2</v>
      </c>
      <c r="DI297" s="532">
        <f t="shared" ref="DI297" si="111">+DI296/DH296-1</f>
        <v>4.182879377431914E-2</v>
      </c>
      <c r="DJ297" s="532">
        <f t="shared" ref="DJ297" si="112">+DJ296/DI296-1</f>
        <v>2.9878618113912125E-2</v>
      </c>
      <c r="DK297" s="1770"/>
      <c r="DL297" s="147"/>
      <c r="DM297" s="532">
        <f>+DM296/DJ296-1</f>
        <v>3.4451495920217567E-2</v>
      </c>
      <c r="DN297" s="532">
        <f t="shared" ref="DN297" si="113">+DN296/DM296-1</f>
        <v>-7.0113935144610062E-3</v>
      </c>
      <c r="DO297" s="532">
        <f t="shared" ref="DO297:DP297" si="114">+DO296/DN296-1</f>
        <v>0</v>
      </c>
      <c r="DP297" s="532">
        <f t="shared" si="114"/>
        <v>-1.0591350397175625E-2</v>
      </c>
      <c r="DQ297" s="1096"/>
      <c r="DR297" s="147"/>
      <c r="DS297" s="532">
        <f>+DS296/DP296-1</f>
        <v>1.2488849241748534E-2</v>
      </c>
      <c r="DT297" s="532">
        <f t="shared" ref="DT297" si="115">+DT296/DS296-1</f>
        <v>-2.4669603524229089E-2</v>
      </c>
      <c r="DU297" s="532">
        <f t="shared" ref="DU297:DV297" si="116">+DU296/DT296-1</f>
        <v>-1.7163504968383037E-2</v>
      </c>
      <c r="DV297" s="532">
        <f t="shared" si="116"/>
        <v>-1.8382352941176516E-2</v>
      </c>
      <c r="DW297" s="1105"/>
      <c r="DX297" s="147"/>
      <c r="DY297" s="532">
        <f>+DY296/DV296-1</f>
        <v>-1.4981273408239737E-2</v>
      </c>
      <c r="DZ297" s="263">
        <f t="shared" ref="DZ297" si="117">+DZ296/DY296-1</f>
        <v>-5.7034220532319324E-3</v>
      </c>
      <c r="EA297" s="532">
        <f t="shared" ref="EA297" si="118">+EA296/DZ296-1</f>
        <v>-6.5009560229445484E-2</v>
      </c>
      <c r="EB297" s="532">
        <f t="shared" ref="EB297" si="119">+EB296/EA296-1</f>
        <v>-0.10122699386503065</v>
      </c>
      <c r="EC297" s="1105"/>
      <c r="ED297" s="147"/>
      <c r="EE297" s="532">
        <f>+EE296/EB296-1</f>
        <v>-0.1111097199013884</v>
      </c>
      <c r="EF297" s="532">
        <f t="shared" ref="EF297" si="120">+EF296/EE296-1</f>
        <v>-9.4808917260321368E-2</v>
      </c>
      <c r="EG297" s="532">
        <f t="shared" ref="EG297" si="121">+EG296/EF296-1</f>
        <v>-7.3762979448703581E-2</v>
      </c>
      <c r="EH297" s="532">
        <f t="shared" ref="EH297" si="122">+EH296/EG296-1</f>
        <v>-0.24645282232514387</v>
      </c>
      <c r="EI297" s="1096"/>
      <c r="EJ297" s="147"/>
      <c r="EK297" s="532">
        <f>+EK296/EH296-1</f>
        <v>-0.17792995184067451</v>
      </c>
      <c r="EL297" s="532">
        <f t="shared" ref="EL297" si="123">+EL296/EK296-1</f>
        <v>-0.2488473862582965</v>
      </c>
      <c r="EM297" s="532">
        <f t="shared" ref="EM297" si="124">+EM296/EL296-1</f>
        <v>-0.34972257129914941</v>
      </c>
      <c r="EN297" s="532">
        <f t="shared" ref="EN297" si="125">+EN296/EM296-1</f>
        <v>-0.72555942876117441</v>
      </c>
      <c r="EO297" s="1096"/>
      <c r="EP297" s="147"/>
      <c r="EQ297" s="532">
        <f>+EQ296/EN296-1</f>
        <v>-0.46472012835585896</v>
      </c>
      <c r="ER297" s="532">
        <f t="shared" ref="ER297" si="126">+ER296/EQ296-1</f>
        <v>-0.28124797722095063</v>
      </c>
      <c r="ES297" s="532">
        <f t="shared" ref="ES297" si="127">+ES296/ER296-1</f>
        <v>-0.42179438731174623</v>
      </c>
      <c r="ET297" s="532">
        <f t="shared" ref="ET297" si="128">+ET296/ES296-1</f>
        <v>-1.0003739893741486</v>
      </c>
      <c r="EU297" s="1096"/>
    </row>
    <row r="298" spans="1:155" s="1790" customFormat="1" ht="12" customHeight="1">
      <c r="A298" s="1997" t="s">
        <v>6985</v>
      </c>
      <c r="B298" s="126"/>
      <c r="C298" s="126"/>
      <c r="D298" s="126"/>
      <c r="E298" s="126"/>
      <c r="F298" s="126"/>
      <c r="G298" s="126"/>
      <c r="H298" s="126"/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  <c r="T298" s="126"/>
      <c r="U298" s="126"/>
      <c r="V298" s="126"/>
      <c r="W298" s="126"/>
      <c r="X298" s="126"/>
      <c r="Y298" s="126"/>
      <c r="Z298" s="126"/>
      <c r="AA298" s="126"/>
      <c r="AB298" s="126"/>
      <c r="AC298" s="126"/>
      <c r="AD298" s="126"/>
      <c r="AE298" s="126"/>
      <c r="AF298" s="126"/>
      <c r="AG298" s="126"/>
      <c r="AH298" s="126"/>
      <c r="AI298" s="126"/>
      <c r="AJ298" s="126"/>
      <c r="AK298" s="126"/>
      <c r="AL298" s="126"/>
      <c r="AM298" s="126"/>
      <c r="AN298" s="126"/>
      <c r="AO298" s="126"/>
      <c r="AP298" s="126"/>
      <c r="AQ298" s="126"/>
      <c r="AR298" s="126"/>
      <c r="AS298" s="126"/>
      <c r="AT298" s="126"/>
      <c r="AU298" s="126"/>
      <c r="AV298" s="126"/>
      <c r="AW298" s="744"/>
      <c r="AX298" s="126"/>
      <c r="AY298" s="125"/>
      <c r="AZ298" s="125"/>
      <c r="BA298" s="125"/>
      <c r="BB298" s="125"/>
      <c r="BC298" s="125"/>
      <c r="BD298" s="126"/>
      <c r="BE298" s="125"/>
      <c r="BF298" s="125"/>
      <c r="BG298" s="125"/>
      <c r="BH298" s="125"/>
      <c r="BI298" s="125"/>
      <c r="BJ298" s="126"/>
      <c r="BK298" s="126"/>
      <c r="BL298" s="126"/>
      <c r="BM298" s="126"/>
      <c r="BN298" s="126"/>
      <c r="BO298" s="1998"/>
      <c r="BP298" s="126"/>
      <c r="BQ298" s="126"/>
      <c r="BR298" s="126"/>
      <c r="BS298" s="126"/>
      <c r="BT298" s="126"/>
      <c r="BU298" s="1998"/>
      <c r="BV298" s="126"/>
      <c r="BW298" s="126"/>
      <c r="BX298" s="126"/>
      <c r="BY298" s="126"/>
      <c r="BZ298" s="126"/>
      <c r="CA298" s="1998"/>
      <c r="CB298" s="126"/>
      <c r="CC298" s="126"/>
      <c r="CD298" s="126"/>
      <c r="CE298" s="126"/>
      <c r="CF298" s="126"/>
      <c r="CG298" s="1998"/>
      <c r="CH298" s="126"/>
      <c r="CI298" s="126"/>
      <c r="CJ298" s="126"/>
      <c r="CK298" s="125"/>
      <c r="CL298" s="126"/>
      <c r="CM298" s="1998"/>
      <c r="CN298" s="126"/>
      <c r="CO298" s="126"/>
      <c r="CP298" s="126"/>
      <c r="CQ298" s="126"/>
      <c r="CR298" s="126"/>
      <c r="CS298" s="1998"/>
      <c r="CT298" s="126"/>
      <c r="CU298" s="126"/>
      <c r="CV298" s="126"/>
      <c r="CW298" s="126"/>
      <c r="CX298" s="126"/>
      <c r="CY298" s="1998"/>
      <c r="CZ298" s="126"/>
      <c r="DA298" s="126"/>
      <c r="DB298" s="126"/>
      <c r="DC298" s="126"/>
      <c r="DD298" s="126"/>
      <c r="DE298" s="1999"/>
      <c r="DF298" s="126"/>
      <c r="DG298" s="2000"/>
      <c r="DH298" s="2000"/>
      <c r="DI298" s="2000"/>
      <c r="DJ298" s="2000"/>
      <c r="DK298" s="2001"/>
      <c r="DL298" s="126"/>
      <c r="DM298" s="2002">
        <f t="shared" ref="DM298:DN298" si="129">+DM296/DG296-1</f>
        <v>0.15602836879432624</v>
      </c>
      <c r="DN298" s="2002">
        <f t="shared" si="129"/>
        <v>0.10214007782101175</v>
      </c>
      <c r="DO298" s="2002">
        <f>+DO296/DI296-1</f>
        <v>5.7889822595704965E-2</v>
      </c>
      <c r="DP298" s="2027">
        <f>+DP296/DJ296-1</f>
        <v>1.6319129646418906E-2</v>
      </c>
      <c r="DQ298" s="1998"/>
      <c r="DR298" s="126"/>
      <c r="DS298" s="2002">
        <f>+DS296/DM296-1</f>
        <v>-5.2585451358457824E-3</v>
      </c>
      <c r="DT298" s="2002">
        <f t="shared" ref="DT298" si="130">+DT296/DN296-1</f>
        <v>-2.2947925860547169E-2</v>
      </c>
      <c r="DU298" s="2002">
        <f t="shared" ref="DU298" si="131">+DU296/DO296-1</f>
        <v>-3.9717563989408622E-2</v>
      </c>
      <c r="DV298" s="2027">
        <f>+DV296/DP296-1</f>
        <v>-4.7279214986619134E-2</v>
      </c>
      <c r="DW298" s="2069"/>
      <c r="DX298" s="126"/>
      <c r="DY298" s="2002">
        <f>+DY296/DS296-1</f>
        <v>-7.3127753303964704E-2</v>
      </c>
      <c r="DZ298" s="2002">
        <f t="shared" ref="DZ298" si="132">+DZ296/DT296-1</f>
        <v>-5.5103884372177059E-2</v>
      </c>
      <c r="EA298" s="2002">
        <f t="shared" ref="EA298" si="133">+EA296/DU296-1</f>
        <v>-0.10110294117647056</v>
      </c>
      <c r="EB298" s="2027">
        <f>+EB296/DV296-1</f>
        <v>-0.1769662921348315</v>
      </c>
      <c r="EC298" s="2069"/>
      <c r="ED298" s="126"/>
      <c r="EE298" s="2002">
        <f>+EE296/DY296-1</f>
        <v>-0.2572865435297722</v>
      </c>
      <c r="EF298" s="2002">
        <f t="shared" ref="EF298" si="134">+EF296/DZ296-1</f>
        <v>-0.32384601059784834</v>
      </c>
      <c r="EG298" s="2002">
        <f t="shared" ref="EG298" si="135">+EG296/EA296-1</f>
        <v>-0.33017619224918504</v>
      </c>
      <c r="EH298" s="2002">
        <f t="shared" ref="EH298" si="136">+EH296/EB296-1</f>
        <v>-0.43840787782376467</v>
      </c>
      <c r="EI298" s="1998"/>
      <c r="EJ298" s="126"/>
      <c r="EK298" s="2002">
        <f>+EK296/EE296-1</f>
        <v>-0.48062424209194965</v>
      </c>
      <c r="EL298" s="2002">
        <f t="shared" ref="EL298" si="137">+EL296/EF296-1</f>
        <v>-0.56900762114676418</v>
      </c>
      <c r="EM298" s="2002">
        <f t="shared" ref="EM298" si="138">+EM296/EG296-1</f>
        <v>-0.69741587769453273</v>
      </c>
      <c r="EN298" s="2002">
        <f t="shared" ref="EN298" si="139">+EN296/EH296-1</f>
        <v>-0.88979938903156219</v>
      </c>
      <c r="EO298" s="1998"/>
      <c r="EP298" s="126"/>
      <c r="EQ298" s="2002">
        <f>+EQ296/EK296-1</f>
        <v>-0.92824435213718093</v>
      </c>
      <c r="ER298" s="2002">
        <f t="shared" ref="ER298" si="140">+ER296/EL296-1</f>
        <v>-0.93133949599094767</v>
      </c>
      <c r="ES298" s="2002">
        <f t="shared" ref="ES298" si="141">+ES296/EM296-1</f>
        <v>-0.93894930527213227</v>
      </c>
      <c r="ET298" s="2002">
        <f t="shared" ref="ET298" si="142">+ET296/EN296-1</f>
        <v>-1.0000831958300098</v>
      </c>
      <c r="EU298" s="1998"/>
    </row>
    <row r="299" spans="1:155" s="1790" customFormat="1" ht="12" customHeight="1">
      <c r="A299" s="1997" t="s">
        <v>7085</v>
      </c>
      <c r="B299" s="126"/>
      <c r="C299" s="126"/>
      <c r="D299" s="126"/>
      <c r="E299" s="126"/>
      <c r="F299" s="126"/>
      <c r="G299" s="126"/>
      <c r="H299" s="126"/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  <c r="W299" s="126"/>
      <c r="X299" s="126"/>
      <c r="Y299" s="126"/>
      <c r="Z299" s="126"/>
      <c r="AA299" s="126"/>
      <c r="AB299" s="126"/>
      <c r="AC299" s="126"/>
      <c r="AD299" s="126"/>
      <c r="AE299" s="126"/>
      <c r="AF299" s="126"/>
      <c r="AG299" s="126"/>
      <c r="AH299" s="126"/>
      <c r="AI299" s="126"/>
      <c r="AJ299" s="126"/>
      <c r="AK299" s="126"/>
      <c r="AL299" s="126"/>
      <c r="AM299" s="126"/>
      <c r="AN299" s="126"/>
      <c r="AO299" s="126"/>
      <c r="AP299" s="126"/>
      <c r="AQ299" s="126"/>
      <c r="AR299" s="126"/>
      <c r="AS299" s="126"/>
      <c r="AT299" s="126"/>
      <c r="AU299" s="126"/>
      <c r="AV299" s="126"/>
      <c r="AW299" s="744"/>
      <c r="AX299" s="126"/>
      <c r="AY299" s="125"/>
      <c r="AZ299" s="125"/>
      <c r="BA299" s="125"/>
      <c r="BB299" s="125"/>
      <c r="BC299" s="125"/>
      <c r="BD299" s="126"/>
      <c r="BE299" s="125"/>
      <c r="BF299" s="125"/>
      <c r="BG299" s="125"/>
      <c r="BH299" s="125"/>
      <c r="BI299" s="125"/>
      <c r="BJ299" s="126"/>
      <c r="BK299" s="126"/>
      <c r="BL299" s="126"/>
      <c r="BM299" s="126"/>
      <c r="BN299" s="126"/>
      <c r="BO299" s="1998"/>
      <c r="BP299" s="126"/>
      <c r="BQ299" s="126"/>
      <c r="BR299" s="126"/>
      <c r="BS299" s="126"/>
      <c r="BT299" s="126"/>
      <c r="BU299" s="1998"/>
      <c r="BV299" s="126"/>
      <c r="BW299" s="126"/>
      <c r="BX299" s="126"/>
      <c r="BY299" s="126"/>
      <c r="BZ299" s="126"/>
      <c r="CA299" s="1998"/>
      <c r="CB299" s="126"/>
      <c r="CC299" s="126"/>
      <c r="CD299" s="126"/>
      <c r="CE299" s="126"/>
      <c r="CF299" s="126"/>
      <c r="CG299" s="1998"/>
      <c r="CH299" s="126"/>
      <c r="CI299" s="126"/>
      <c r="CJ299" s="126"/>
      <c r="CK299" s="125"/>
      <c r="CL299" s="126"/>
      <c r="CM299" s="1998"/>
      <c r="CN299" s="126"/>
      <c r="CO299" s="126"/>
      <c r="CP299" s="126"/>
      <c r="CQ299" s="126"/>
      <c r="CR299" s="126"/>
      <c r="CS299" s="1998"/>
      <c r="CT299" s="126"/>
      <c r="CU299" s="126"/>
      <c r="CV299" s="126"/>
      <c r="CW299" s="126"/>
      <c r="CX299" s="126"/>
      <c r="CY299" s="1998"/>
      <c r="CZ299" s="126"/>
      <c r="DA299" s="126"/>
      <c r="DB299" s="126"/>
      <c r="DC299" s="126"/>
      <c r="DD299" s="126"/>
      <c r="DE299" s="1999"/>
      <c r="DF299" s="126"/>
      <c r="DG299" s="2000"/>
      <c r="DH299" s="2000"/>
      <c r="DI299" s="2000"/>
      <c r="DJ299" s="2000"/>
      <c r="DK299" s="2001"/>
      <c r="DL299" s="126"/>
      <c r="DM299" s="2002"/>
      <c r="DN299" s="2002"/>
      <c r="DO299" s="2002">
        <v>0.09</v>
      </c>
      <c r="DP299" s="263">
        <v>0.04</v>
      </c>
      <c r="DQ299" s="1998"/>
      <c r="DR299" s="126"/>
      <c r="DS299" s="2002">
        <v>0.02</v>
      </c>
      <c r="DT299" s="2080">
        <v>0.01</v>
      </c>
      <c r="DU299" s="2080">
        <v>0</v>
      </c>
      <c r="DV299" s="263">
        <v>-0.02</v>
      </c>
      <c r="DW299" s="2069"/>
      <c r="DX299" s="126"/>
      <c r="DY299" s="2002">
        <v>-0.06</v>
      </c>
      <c r="DZ299" s="2004">
        <v>-0.05</v>
      </c>
      <c r="EA299" s="2080">
        <v>-0.1</v>
      </c>
      <c r="EB299" s="263">
        <v>-0.17</v>
      </c>
      <c r="EC299" s="2069"/>
      <c r="ED299" s="126"/>
      <c r="EE299" s="126"/>
      <c r="EF299" s="126"/>
      <c r="EG299" s="126"/>
      <c r="EH299" s="126"/>
      <c r="EI299" s="1998"/>
      <c r="EJ299" s="126"/>
      <c r="EK299" s="126"/>
      <c r="EL299" s="126"/>
      <c r="EM299" s="126"/>
      <c r="EN299" s="126"/>
      <c r="EO299" s="1998"/>
      <c r="EP299" s="126"/>
      <c r="EQ299" s="126"/>
      <c r="ER299" s="126"/>
      <c r="ES299" s="126"/>
      <c r="ET299" s="126"/>
      <c r="EU299" s="1998"/>
    </row>
    <row r="300" spans="1:155" s="1790" customFormat="1" ht="12" customHeight="1">
      <c r="A300" s="1997"/>
      <c r="B300" s="126"/>
      <c r="C300" s="126"/>
      <c r="D300" s="126"/>
      <c r="E300" s="126"/>
      <c r="F300" s="126"/>
      <c r="G300" s="126"/>
      <c r="H300" s="126"/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  <c r="T300" s="126"/>
      <c r="U300" s="126"/>
      <c r="V300" s="126"/>
      <c r="W300" s="126"/>
      <c r="X300" s="126"/>
      <c r="Y300" s="126"/>
      <c r="Z300" s="126"/>
      <c r="AA300" s="126"/>
      <c r="AB300" s="126"/>
      <c r="AC300" s="126"/>
      <c r="AD300" s="126"/>
      <c r="AE300" s="126"/>
      <c r="AF300" s="126"/>
      <c r="AG300" s="126"/>
      <c r="AH300" s="126"/>
      <c r="AI300" s="126"/>
      <c r="AJ300" s="126"/>
      <c r="AK300" s="126"/>
      <c r="AL300" s="126"/>
      <c r="AM300" s="126"/>
      <c r="AN300" s="126"/>
      <c r="AO300" s="126"/>
      <c r="AP300" s="126"/>
      <c r="AQ300" s="126"/>
      <c r="AR300" s="126"/>
      <c r="AS300" s="126"/>
      <c r="AT300" s="126"/>
      <c r="AU300" s="126"/>
      <c r="AV300" s="126"/>
      <c r="AW300" s="744"/>
      <c r="AX300" s="126"/>
      <c r="AY300" s="125"/>
      <c r="AZ300" s="125"/>
      <c r="BA300" s="125"/>
      <c r="BB300" s="125"/>
      <c r="BC300" s="125"/>
      <c r="BD300" s="126"/>
      <c r="BE300" s="125"/>
      <c r="BF300" s="125"/>
      <c r="BG300" s="125"/>
      <c r="BH300" s="125"/>
      <c r="BI300" s="125"/>
      <c r="BJ300" s="126"/>
      <c r="BK300" s="126"/>
      <c r="BL300" s="126"/>
      <c r="BM300" s="126"/>
      <c r="BN300" s="126"/>
      <c r="BO300" s="1998"/>
      <c r="BP300" s="126"/>
      <c r="BQ300" s="126"/>
      <c r="BR300" s="126"/>
      <c r="BS300" s="126"/>
      <c r="BT300" s="126"/>
      <c r="BU300" s="1998"/>
      <c r="BV300" s="126"/>
      <c r="BW300" s="126"/>
      <c r="BX300" s="126"/>
      <c r="BY300" s="126"/>
      <c r="BZ300" s="126"/>
      <c r="CA300" s="1998"/>
      <c r="CB300" s="126"/>
      <c r="CC300" s="126"/>
      <c r="CD300" s="126"/>
      <c r="CE300" s="126"/>
      <c r="CF300" s="126"/>
      <c r="CG300" s="1998"/>
      <c r="CH300" s="126"/>
      <c r="CI300" s="126"/>
      <c r="CJ300" s="126"/>
      <c r="CK300" s="125"/>
      <c r="CL300" s="126"/>
      <c r="CM300" s="1998"/>
      <c r="CN300" s="126"/>
      <c r="CO300" s="126"/>
      <c r="CP300" s="126"/>
      <c r="CQ300" s="126"/>
      <c r="CR300" s="126"/>
      <c r="CS300" s="1998"/>
      <c r="CT300" s="126"/>
      <c r="CU300" s="126"/>
      <c r="CV300" s="126"/>
      <c r="CW300" s="126"/>
      <c r="CX300" s="126"/>
      <c r="CY300" s="1998"/>
      <c r="CZ300" s="126"/>
      <c r="DA300" s="126"/>
      <c r="DB300" s="126"/>
      <c r="DC300" s="126"/>
      <c r="DD300" s="126"/>
      <c r="DE300" s="1999"/>
      <c r="DF300" s="126"/>
      <c r="DG300" s="2000"/>
      <c r="DH300" s="2000"/>
      <c r="DI300" s="2000"/>
      <c r="DJ300" s="2000"/>
      <c r="DK300" s="2001"/>
      <c r="DL300" s="126"/>
      <c r="DM300" s="2002"/>
      <c r="DN300" s="2002"/>
      <c r="DO300" s="2002"/>
      <c r="DP300" s="2000"/>
      <c r="DQ300" s="1998"/>
      <c r="DR300" s="126"/>
      <c r="DS300" s="2002"/>
      <c r="DT300" s="126"/>
      <c r="DU300" s="126"/>
      <c r="DV300" s="2000"/>
      <c r="DW300" s="2069"/>
      <c r="DX300" s="126"/>
      <c r="DY300" s="2002"/>
      <c r="DZ300" s="126"/>
      <c r="EA300" s="126"/>
      <c r="EB300" s="2000"/>
      <c r="EC300" s="2069"/>
      <c r="ED300" s="126"/>
      <c r="EE300" s="126"/>
      <c r="EF300" s="126"/>
      <c r="EG300" s="126"/>
      <c r="EH300" s="126"/>
      <c r="EI300" s="1998"/>
      <c r="EJ300" s="126"/>
      <c r="EK300" s="126"/>
      <c r="EL300" s="126"/>
      <c r="EM300" s="126"/>
      <c r="EN300" s="126"/>
      <c r="EO300" s="1998"/>
      <c r="EP300" s="126"/>
      <c r="EQ300" s="126"/>
      <c r="ER300" s="126"/>
      <c r="ES300" s="126"/>
      <c r="ET300" s="126"/>
      <c r="EU300" s="1998"/>
    </row>
    <row r="301" spans="1:155" s="1993" customFormat="1" ht="12" customHeight="1">
      <c r="A301" s="1783" t="s">
        <v>7202</v>
      </c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83"/>
      <c r="AX301" s="147"/>
      <c r="AY301" s="141"/>
      <c r="AZ301" s="141"/>
      <c r="BA301" s="141"/>
      <c r="BB301" s="141"/>
      <c r="BC301" s="141"/>
      <c r="BD301" s="147"/>
      <c r="BE301" s="141"/>
      <c r="BF301" s="141"/>
      <c r="BG301" s="141"/>
      <c r="BH301" s="141"/>
      <c r="BI301" s="141"/>
      <c r="BJ301" s="147"/>
      <c r="BK301" s="147"/>
      <c r="BL301" s="147"/>
      <c r="BM301" s="147"/>
      <c r="BN301" s="147"/>
      <c r="BO301" s="1096"/>
      <c r="BP301" s="147"/>
      <c r="BQ301" s="147"/>
      <c r="BR301" s="147"/>
      <c r="BS301" s="147"/>
      <c r="BT301" s="147"/>
      <c r="BU301" s="1096"/>
      <c r="BV301" s="147"/>
      <c r="BW301" s="147"/>
      <c r="BX301" s="147"/>
      <c r="BY301" s="147"/>
      <c r="BZ301" s="147"/>
      <c r="CA301" s="1096"/>
      <c r="CB301" s="147"/>
      <c r="CC301" s="147"/>
      <c r="CD301" s="147"/>
      <c r="CE301" s="147"/>
      <c r="CF301" s="147"/>
      <c r="CG301" s="1096"/>
      <c r="CH301" s="147"/>
      <c r="CI301" s="147"/>
      <c r="CJ301" s="147"/>
      <c r="CK301" s="141"/>
      <c r="CL301" s="147"/>
      <c r="CM301" s="1096"/>
      <c r="CN301" s="147"/>
      <c r="CO301" s="147"/>
      <c r="CP301" s="147"/>
      <c r="CQ301" s="147"/>
      <c r="CR301" s="147"/>
      <c r="CS301" s="1096"/>
      <c r="CT301" s="147"/>
      <c r="CU301" s="147"/>
      <c r="CV301" s="147"/>
      <c r="CW301" s="147"/>
      <c r="CY301" s="1096"/>
      <c r="CZ301" s="147"/>
      <c r="DA301" s="147"/>
      <c r="DB301" s="147"/>
      <c r="DC301" s="147"/>
      <c r="DD301" s="147"/>
      <c r="DE301" s="1785"/>
      <c r="DF301" s="147"/>
      <c r="DG301" s="1548">
        <v>79</v>
      </c>
      <c r="DH301" s="1548">
        <v>91</v>
      </c>
      <c r="DI301" s="1548">
        <v>110</v>
      </c>
      <c r="DJ301" s="1548">
        <v>152</v>
      </c>
      <c r="DK301" s="1770"/>
      <c r="DL301" s="147"/>
      <c r="DM301" s="1548">
        <v>180</v>
      </c>
      <c r="DN301" s="1548">
        <v>204</v>
      </c>
      <c r="DO301" s="1548">
        <v>221</v>
      </c>
      <c r="DP301" s="1548">
        <v>255</v>
      </c>
      <c r="DQ301" s="1096"/>
      <c r="DR301" s="147"/>
      <c r="DS301" s="1548">
        <v>340</v>
      </c>
      <c r="DT301" s="141">
        <v>403</v>
      </c>
      <c r="DU301" s="2067">
        <v>448</v>
      </c>
      <c r="DV301" s="1548">
        <v>571</v>
      </c>
      <c r="DW301" s="2123"/>
      <c r="DX301" s="147"/>
      <c r="DY301" s="1548">
        <v>692</v>
      </c>
      <c r="DZ301" s="2067">
        <v>784</v>
      </c>
      <c r="EA301" s="2067">
        <v>924</v>
      </c>
      <c r="EB301" s="1548">
        <v>1175</v>
      </c>
      <c r="EC301" s="2123"/>
      <c r="ED301" s="147"/>
      <c r="EE301" s="2067">
        <f>EE281*EE314</f>
        <v>1362.4230255815796</v>
      </c>
      <c r="EF301" s="2067">
        <f t="shared" ref="EF301:EH301" si="143">EF281*EF314</f>
        <v>1468.4953231912391</v>
      </c>
      <c r="EG301" s="2067">
        <f t="shared" si="143"/>
        <v>1625.9823406718688</v>
      </c>
      <c r="EH301" s="2067">
        <f t="shared" si="143"/>
        <v>2158.7052898114871</v>
      </c>
      <c r="EI301" s="2068">
        <f>'Biz Transition Scenarios'!M141</f>
        <v>2159.1993470884222</v>
      </c>
      <c r="EJ301" s="147"/>
      <c r="EK301" s="2067">
        <f>EK281*EK314</f>
        <v>2142.1393797240344</v>
      </c>
      <c r="EL301" s="2067">
        <f t="shared" ref="EL301:EN301" si="144">EL281*EL314</f>
        <v>2214.5231628077845</v>
      </c>
      <c r="EM301" s="2067">
        <f t="shared" si="144"/>
        <v>2371.5527187473626</v>
      </c>
      <c r="EN301" s="2067">
        <f t="shared" si="144"/>
        <v>3274.172200965415</v>
      </c>
      <c r="EO301" s="2068">
        <f>'Biz Transition Scenarios'!N141</f>
        <v>3274.16308618735</v>
      </c>
      <c r="EP301" s="147"/>
      <c r="EQ301" s="2067">
        <f>EQ281*EQ314</f>
        <v>2891.3460506502756</v>
      </c>
      <c r="ER301" s="2067">
        <f t="shared" ref="ER301:ET301" si="145">ER281*ER314</f>
        <v>2861.1801883751541</v>
      </c>
      <c r="ES301" s="2067">
        <f t="shared" si="145"/>
        <v>2943.265267929547</v>
      </c>
      <c r="ET301" s="2067">
        <f t="shared" si="145"/>
        <v>3876.191997642793</v>
      </c>
      <c r="EU301" s="2068">
        <f>'Biz Transition Scenarios'!O141</f>
        <v>3876.187232778826</v>
      </c>
    </row>
    <row r="302" spans="1:155" s="1993" customFormat="1" ht="12" customHeight="1">
      <c r="A302" s="1997" t="s">
        <v>7084</v>
      </c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83"/>
      <c r="AX302" s="147"/>
      <c r="AY302" s="141"/>
      <c r="AZ302" s="141"/>
      <c r="BA302" s="141"/>
      <c r="BB302" s="141"/>
      <c r="BC302" s="141"/>
      <c r="BD302" s="147"/>
      <c r="BE302" s="141"/>
      <c r="BF302" s="141"/>
      <c r="BG302" s="141"/>
      <c r="BH302" s="141"/>
      <c r="BI302" s="141"/>
      <c r="BJ302" s="147"/>
      <c r="BK302" s="147"/>
      <c r="BL302" s="147"/>
      <c r="BM302" s="147"/>
      <c r="BN302" s="147"/>
      <c r="BO302" s="1096"/>
      <c r="BP302" s="147"/>
      <c r="BQ302" s="147"/>
      <c r="BR302" s="147"/>
      <c r="BS302" s="147"/>
      <c r="BT302" s="147"/>
      <c r="BU302" s="1096"/>
      <c r="BV302" s="147"/>
      <c r="BW302" s="147"/>
      <c r="BX302" s="147"/>
      <c r="BY302" s="147"/>
      <c r="BZ302" s="147"/>
      <c r="CA302" s="1096"/>
      <c r="CB302" s="147"/>
      <c r="CC302" s="147"/>
      <c r="CD302" s="147"/>
      <c r="CE302" s="147"/>
      <c r="CF302" s="147"/>
      <c r="CG302" s="1096"/>
      <c r="CH302" s="147"/>
      <c r="CI302" s="147"/>
      <c r="CJ302" s="147"/>
      <c r="CK302" s="141"/>
      <c r="CL302" s="147"/>
      <c r="CM302" s="1096"/>
      <c r="CN302" s="147"/>
      <c r="CO302" s="147"/>
      <c r="CP302" s="147"/>
      <c r="CQ302" s="147"/>
      <c r="CR302" s="147"/>
      <c r="CS302" s="1096"/>
      <c r="CT302" s="147"/>
      <c r="CU302" s="147"/>
      <c r="CV302" s="147"/>
      <c r="CW302" s="147"/>
      <c r="CY302" s="1096"/>
      <c r="CZ302" s="147"/>
      <c r="DA302" s="147"/>
      <c r="DB302" s="147"/>
      <c r="DC302" s="147"/>
      <c r="DD302" s="147"/>
      <c r="DE302" s="1785"/>
      <c r="DF302" s="147"/>
      <c r="DG302" s="1548"/>
      <c r="DH302" s="263">
        <f>+DH301/DG301-1</f>
        <v>0.15189873417721511</v>
      </c>
      <c r="DI302" s="263">
        <f t="shared" ref="DI302:DJ302" si="146">+DI301/DH301-1</f>
        <v>0.20879120879120872</v>
      </c>
      <c r="DJ302" s="263">
        <f t="shared" si="146"/>
        <v>0.38181818181818183</v>
      </c>
      <c r="DK302" s="2001"/>
      <c r="DL302" s="126"/>
      <c r="DM302" s="263">
        <f>+DM301/DJ301-1</f>
        <v>0.18421052631578938</v>
      </c>
      <c r="DN302" s="263">
        <f t="shared" ref="DN302" si="147">+DN301/DM301-1</f>
        <v>0.1333333333333333</v>
      </c>
      <c r="DO302" s="263">
        <f t="shared" ref="DO302:DP302" si="148">+DO301/DN301-1</f>
        <v>8.3333333333333259E-2</v>
      </c>
      <c r="DP302" s="263">
        <f t="shared" si="148"/>
        <v>0.15384615384615374</v>
      </c>
      <c r="DQ302" s="1096"/>
      <c r="DR302" s="147"/>
      <c r="DS302" s="263">
        <f>+DS301/DP301-1</f>
        <v>0.33333333333333326</v>
      </c>
      <c r="DT302" s="263">
        <f t="shared" ref="DT302" si="149">+DT301/DS301-1</f>
        <v>0.18529411764705883</v>
      </c>
      <c r="DU302" s="263">
        <f t="shared" ref="DU302:DV302" si="150">+DU301/DT301-1</f>
        <v>0.11166253101736978</v>
      </c>
      <c r="DV302" s="263">
        <f t="shared" si="150"/>
        <v>0.2745535714285714</v>
      </c>
      <c r="DW302" s="1096"/>
      <c r="DX302" s="147"/>
      <c r="DY302" s="263">
        <f>+DY301/DV301-1</f>
        <v>0.21190893169877412</v>
      </c>
      <c r="DZ302" s="263">
        <f t="shared" ref="DZ302" si="151">+DZ301/DY301-1</f>
        <v>0.13294797687861282</v>
      </c>
      <c r="EA302" s="263">
        <f t="shared" ref="EA302" si="152">+EA301/DZ301-1</f>
        <v>0.1785714285714286</v>
      </c>
      <c r="EB302" s="263">
        <f t="shared" ref="EB302" si="153">+EB301/EA301-1</f>
        <v>0.27164502164502169</v>
      </c>
      <c r="EC302" s="1096"/>
      <c r="ED302" s="147"/>
      <c r="EE302" s="263">
        <f>+EE301/EB301-1</f>
        <v>0.15950895794176989</v>
      </c>
      <c r="EF302" s="263">
        <f t="shared" ref="EF302" si="154">+EF301/EE301-1</f>
        <v>7.7855626055923555E-2</v>
      </c>
      <c r="EG302" s="263">
        <f t="shared" ref="EG302" si="155">+EG301/EF301-1</f>
        <v>0.10724379914155202</v>
      </c>
      <c r="EH302" s="263">
        <f t="shared" ref="EH302" si="156">+EH301/EG301-1</f>
        <v>0.32763144827236745</v>
      </c>
      <c r="EI302" s="1096"/>
      <c r="EJ302" s="147"/>
      <c r="EK302" s="263">
        <f>+EK301/EH301-1</f>
        <v>-7.6740026374324533E-3</v>
      </c>
      <c r="EL302" s="263">
        <f t="shared" ref="EL302" si="157">+EL301/EK301-1</f>
        <v>3.3790417079711643E-2</v>
      </c>
      <c r="EM302" s="263">
        <f t="shared" ref="EM302" si="158">+EM301/EL301-1</f>
        <v>7.0908969739779559E-2</v>
      </c>
      <c r="EN302" s="263">
        <f t="shared" ref="EN302" si="159">+EN301/EM301-1</f>
        <v>0.38060274818381834</v>
      </c>
      <c r="EO302" s="1096"/>
      <c r="EP302" s="147"/>
      <c r="EQ302" s="263">
        <f>+EQ301/EN301-1</f>
        <v>-0.11692303483679323</v>
      </c>
      <c r="ER302" s="263">
        <f t="shared" ref="ER302" si="160">+ER301/EQ301-1</f>
        <v>-1.0433155266329042E-2</v>
      </c>
      <c r="ES302" s="263">
        <f t="shared" ref="ES302" si="161">+ES301/ER301-1</f>
        <v>2.8689238059141031E-2</v>
      </c>
      <c r="ET302" s="263">
        <f t="shared" ref="ET302" si="162">+ET301/ES301-1</f>
        <v>0.31696997884581357</v>
      </c>
      <c r="EU302" s="1096"/>
    </row>
    <row r="303" spans="1:155" s="1790" customFormat="1" ht="12" customHeight="1">
      <c r="A303" s="1997" t="s">
        <v>6985</v>
      </c>
      <c r="B303" s="126"/>
      <c r="C303" s="126"/>
      <c r="D303" s="126"/>
      <c r="E303" s="126"/>
      <c r="F303" s="126"/>
      <c r="G303" s="126"/>
      <c r="H303" s="126"/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  <c r="T303" s="126"/>
      <c r="U303" s="126"/>
      <c r="V303" s="126"/>
      <c r="W303" s="126"/>
      <c r="X303" s="126"/>
      <c r="Y303" s="126"/>
      <c r="Z303" s="126"/>
      <c r="AA303" s="126"/>
      <c r="AB303" s="126"/>
      <c r="AC303" s="126"/>
      <c r="AD303" s="126"/>
      <c r="AE303" s="126"/>
      <c r="AF303" s="126"/>
      <c r="AG303" s="126"/>
      <c r="AH303" s="126"/>
      <c r="AI303" s="126"/>
      <c r="AJ303" s="126"/>
      <c r="AK303" s="126"/>
      <c r="AL303" s="126"/>
      <c r="AM303" s="126"/>
      <c r="AN303" s="126"/>
      <c r="AO303" s="126"/>
      <c r="AP303" s="126"/>
      <c r="AQ303" s="126"/>
      <c r="AR303" s="126"/>
      <c r="AS303" s="126"/>
      <c r="AT303" s="126"/>
      <c r="AU303" s="126"/>
      <c r="AV303" s="126"/>
      <c r="AW303" s="744"/>
      <c r="AX303" s="126"/>
      <c r="AY303" s="125"/>
      <c r="AZ303" s="125"/>
      <c r="BA303" s="125"/>
      <c r="BB303" s="125"/>
      <c r="BC303" s="125"/>
      <c r="BD303" s="126"/>
      <c r="BE303" s="125"/>
      <c r="BF303" s="125"/>
      <c r="BG303" s="125"/>
      <c r="BH303" s="125"/>
      <c r="BI303" s="125"/>
      <c r="BJ303" s="126"/>
      <c r="BK303" s="126"/>
      <c r="BL303" s="126"/>
      <c r="BM303" s="126"/>
      <c r="BN303" s="126"/>
      <c r="BO303" s="1998"/>
      <c r="BP303" s="126"/>
      <c r="BQ303" s="126"/>
      <c r="BR303" s="126"/>
      <c r="BS303" s="126"/>
      <c r="BT303" s="126"/>
      <c r="BU303" s="1998"/>
      <c r="BV303" s="126"/>
      <c r="BW303" s="126"/>
      <c r="BX303" s="126"/>
      <c r="BY303" s="126"/>
      <c r="BZ303" s="126"/>
      <c r="CA303" s="1998"/>
      <c r="CB303" s="126"/>
      <c r="CC303" s="126"/>
      <c r="CD303" s="126"/>
      <c r="CE303" s="126"/>
      <c r="CF303" s="126"/>
      <c r="CG303" s="1998"/>
      <c r="CH303" s="126"/>
      <c r="CI303" s="126"/>
      <c r="CJ303" s="126"/>
      <c r="CK303" s="125"/>
      <c r="CL303" s="126"/>
      <c r="CM303" s="1998"/>
      <c r="CN303" s="126"/>
      <c r="CO303" s="126"/>
      <c r="CP303" s="126"/>
      <c r="CQ303" s="126"/>
      <c r="CR303" s="126"/>
      <c r="CS303" s="1998"/>
      <c r="CT303" s="126"/>
      <c r="CU303" s="126"/>
      <c r="CV303" s="126"/>
      <c r="CW303" s="126"/>
      <c r="CY303" s="1998"/>
      <c r="CZ303" s="126"/>
      <c r="DA303" s="126"/>
      <c r="DB303" s="126"/>
      <c r="DC303" s="126"/>
      <c r="DD303" s="126"/>
      <c r="DE303" s="1999"/>
      <c r="DF303" s="126"/>
      <c r="DG303" s="2000"/>
      <c r="DH303" s="2000"/>
      <c r="DI303" s="2000"/>
      <c r="DJ303" s="2000"/>
      <c r="DK303" s="2001"/>
      <c r="DL303" s="126"/>
      <c r="DM303" s="2002">
        <f t="shared" ref="DM303:DN303" si="163">+DM301/DG301-1</f>
        <v>1.278481012658228</v>
      </c>
      <c r="DN303" s="2002">
        <f t="shared" si="163"/>
        <v>1.2417582417582418</v>
      </c>
      <c r="DO303" s="2002">
        <f>+DO301/DI301-1</f>
        <v>1.0090909090909093</v>
      </c>
      <c r="DP303" s="2027">
        <f>+DP301/DJ301-1</f>
        <v>0.67763157894736836</v>
      </c>
      <c r="DQ303" s="1998"/>
      <c r="DR303" s="126"/>
      <c r="DS303" s="2002">
        <f>+DS301/DM301-1</f>
        <v>0.88888888888888884</v>
      </c>
      <c r="DT303" s="2002">
        <f t="shared" ref="DT303:DU303" si="164">+DT301/DN301-1</f>
        <v>0.97549019607843146</v>
      </c>
      <c r="DU303" s="2002">
        <f t="shared" si="164"/>
        <v>1.0271493212669682</v>
      </c>
      <c r="DV303" s="2027">
        <f>+DV301/DP301-1</f>
        <v>1.2392156862745098</v>
      </c>
      <c r="DW303" s="1998"/>
      <c r="DX303" s="126"/>
      <c r="DY303" s="2002">
        <f>+DY301/DS301-1</f>
        <v>1.0352941176470587</v>
      </c>
      <c r="DZ303" s="2002">
        <f t="shared" ref="DZ303" si="165">+DZ301/DT301-1</f>
        <v>0.94540942928039695</v>
      </c>
      <c r="EA303" s="2002">
        <f t="shared" ref="EA303" si="166">+EA301/DU301-1</f>
        <v>1.0625</v>
      </c>
      <c r="EB303" s="2027">
        <f>+EB301/DV301-1</f>
        <v>1.0577933450087564</v>
      </c>
      <c r="EC303" s="1998"/>
      <c r="ED303" s="126"/>
      <c r="EE303" s="2002">
        <f>+EE301/DY301-1</f>
        <v>0.96881940112945042</v>
      </c>
      <c r="EF303" s="2002">
        <f t="shared" ref="EF303" si="167">+EF301/DZ301-1</f>
        <v>0.87308076937658052</v>
      </c>
      <c r="EG303" s="2002">
        <f t="shared" ref="EG303" si="168">+EG301/EA301-1</f>
        <v>0.75972114791327794</v>
      </c>
      <c r="EH303" s="2004">
        <v>1.1499999999999999</v>
      </c>
      <c r="EI303" s="1998"/>
      <c r="EJ303" s="126"/>
      <c r="EK303" s="2002">
        <f>+EK301/EE301-1</f>
        <v>0.57230121592345817</v>
      </c>
      <c r="EL303" s="2002">
        <f t="shared" ref="EL303" si="169">+EL301/EF301-1</f>
        <v>0.5080219377173949</v>
      </c>
      <c r="EM303" s="2002">
        <f t="shared" ref="EM303:EN303" si="170">+EM301/EG301-1</f>
        <v>0.45853534778699889</v>
      </c>
      <c r="EN303" s="2002">
        <f t="shared" si="170"/>
        <v>0.51672959547495156</v>
      </c>
      <c r="EO303" s="1998"/>
      <c r="EP303" s="126"/>
      <c r="EQ303" s="2002">
        <f>+EQ301/EK301-1</f>
        <v>0.34974692964318654</v>
      </c>
      <c r="ER303" s="2002">
        <f t="shared" ref="ER303" si="171">+ER301/EL301-1</f>
        <v>0.29200734335398693</v>
      </c>
      <c r="ES303" s="2002">
        <f t="shared" ref="ES303:ET303" si="172">+ES301/EM301-1</f>
        <v>0.2410709847024437</v>
      </c>
      <c r="ET303" s="2002">
        <f t="shared" si="172"/>
        <v>0.18386931405130968</v>
      </c>
      <c r="EU303" s="1998"/>
    </row>
    <row r="304" spans="1:155" s="1790" customFormat="1" ht="12" customHeight="1">
      <c r="A304" s="1997" t="s">
        <v>7085</v>
      </c>
      <c r="B304" s="126"/>
      <c r="C304" s="126"/>
      <c r="D304" s="126"/>
      <c r="E304" s="126"/>
      <c r="F304" s="126"/>
      <c r="G304" s="126"/>
      <c r="H304" s="126"/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  <c r="T304" s="126"/>
      <c r="U304" s="126"/>
      <c r="V304" s="126"/>
      <c r="W304" s="126"/>
      <c r="X304" s="126"/>
      <c r="Y304" s="126"/>
      <c r="Z304" s="126"/>
      <c r="AA304" s="126"/>
      <c r="AB304" s="126"/>
      <c r="AC304" s="126"/>
      <c r="AD304" s="126"/>
      <c r="AE304" s="126"/>
      <c r="AF304" s="126"/>
      <c r="AG304" s="126"/>
      <c r="AH304" s="126"/>
      <c r="AI304" s="126"/>
      <c r="AJ304" s="126"/>
      <c r="AK304" s="126"/>
      <c r="AL304" s="126"/>
      <c r="AM304" s="126"/>
      <c r="AN304" s="126"/>
      <c r="AO304" s="126"/>
      <c r="AP304" s="126"/>
      <c r="AQ304" s="126"/>
      <c r="AR304" s="126"/>
      <c r="AS304" s="126"/>
      <c r="AT304" s="126"/>
      <c r="AU304" s="126"/>
      <c r="AV304" s="126"/>
      <c r="AW304" s="744"/>
      <c r="AX304" s="126"/>
      <c r="AY304" s="125"/>
      <c r="AZ304" s="125"/>
      <c r="BA304" s="125"/>
      <c r="BB304" s="125"/>
      <c r="BC304" s="125"/>
      <c r="BD304" s="126"/>
      <c r="BE304" s="125"/>
      <c r="BF304" s="125"/>
      <c r="BG304" s="125"/>
      <c r="BH304" s="125"/>
      <c r="BI304" s="125"/>
      <c r="BJ304" s="126"/>
      <c r="BK304" s="126"/>
      <c r="BL304" s="126"/>
      <c r="BM304" s="126"/>
      <c r="BN304" s="126"/>
      <c r="BO304" s="1998"/>
      <c r="BP304" s="126"/>
      <c r="BQ304" s="126"/>
      <c r="BR304" s="126"/>
      <c r="BS304" s="126"/>
      <c r="BT304" s="126"/>
      <c r="BU304" s="1998"/>
      <c r="BV304" s="126"/>
      <c r="BW304" s="126"/>
      <c r="BX304" s="126"/>
      <c r="BY304" s="126"/>
      <c r="BZ304" s="126"/>
      <c r="CA304" s="1998"/>
      <c r="CB304" s="126"/>
      <c r="CC304" s="126"/>
      <c r="CD304" s="126"/>
      <c r="CE304" s="126"/>
      <c r="CF304" s="126"/>
      <c r="CG304" s="1998"/>
      <c r="CH304" s="126"/>
      <c r="CI304" s="126"/>
      <c r="CJ304" s="126"/>
      <c r="CK304" s="125"/>
      <c r="CL304" s="126"/>
      <c r="CM304" s="1998"/>
      <c r="CN304" s="126"/>
      <c r="CO304" s="126"/>
      <c r="CP304" s="126"/>
      <c r="CQ304" s="126"/>
      <c r="CR304" s="126"/>
      <c r="CS304" s="1998"/>
      <c r="CT304" s="126"/>
      <c r="CU304" s="126"/>
      <c r="CV304" s="126"/>
      <c r="CW304" s="126"/>
      <c r="CY304" s="1998"/>
      <c r="CZ304" s="126"/>
      <c r="DA304" s="126"/>
      <c r="DB304" s="126"/>
      <c r="DC304" s="126"/>
      <c r="DD304" s="126"/>
      <c r="DE304" s="1999"/>
      <c r="DF304" s="126"/>
      <c r="DG304" s="2000"/>
      <c r="DH304" s="2000"/>
      <c r="DI304" s="2000"/>
      <c r="DJ304" s="2000"/>
      <c r="DK304" s="2001"/>
      <c r="DL304" s="126"/>
      <c r="DM304" s="2002"/>
      <c r="DN304" s="2002"/>
      <c r="DO304" s="2002">
        <v>1.07</v>
      </c>
      <c r="DP304" s="2027">
        <v>0.74</v>
      </c>
      <c r="DQ304" s="1998"/>
      <c r="DR304" s="126"/>
      <c r="DS304" s="2002">
        <v>0.76</v>
      </c>
      <c r="DT304" s="2080">
        <v>0.86</v>
      </c>
      <c r="DU304" s="2080">
        <v>0.91</v>
      </c>
      <c r="DV304" s="2027">
        <v>1.0900000000000001</v>
      </c>
      <c r="DW304" s="1998"/>
      <c r="DX304" s="126"/>
      <c r="DY304" s="2002">
        <v>1.05</v>
      </c>
      <c r="DZ304" s="2004">
        <v>0.98</v>
      </c>
      <c r="EA304" s="2080">
        <v>1.08</v>
      </c>
      <c r="EB304" s="2027">
        <v>1.05</v>
      </c>
      <c r="EC304" s="1998"/>
      <c r="ED304" s="126"/>
      <c r="EE304" s="126"/>
      <c r="EF304" s="126"/>
      <c r="EG304" s="126"/>
      <c r="EH304" s="126"/>
      <c r="EI304" s="1998"/>
      <c r="EJ304" s="126"/>
      <c r="EK304" s="126"/>
      <c r="EL304" s="126"/>
      <c r="EM304" s="126"/>
      <c r="EN304" s="126"/>
      <c r="EO304" s="1998"/>
      <c r="EP304" s="126"/>
      <c r="EQ304" s="126"/>
      <c r="ER304" s="126"/>
      <c r="ES304" s="126"/>
      <c r="ET304" s="126"/>
      <c r="EU304" s="1998"/>
    </row>
    <row r="305" spans="1:151" s="1790" customFormat="1" ht="12" customHeight="1">
      <c r="A305" s="1997"/>
      <c r="B305" s="126"/>
      <c r="C305" s="126"/>
      <c r="D305" s="126"/>
      <c r="E305" s="126"/>
      <c r="F305" s="126"/>
      <c r="G305" s="126"/>
      <c r="H305" s="126"/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  <c r="T305" s="126"/>
      <c r="U305" s="126"/>
      <c r="V305" s="126"/>
      <c r="W305" s="126"/>
      <c r="X305" s="126"/>
      <c r="Y305" s="126"/>
      <c r="Z305" s="126"/>
      <c r="AA305" s="126"/>
      <c r="AB305" s="126"/>
      <c r="AC305" s="126"/>
      <c r="AD305" s="126"/>
      <c r="AE305" s="126"/>
      <c r="AF305" s="126"/>
      <c r="AG305" s="126"/>
      <c r="AH305" s="126"/>
      <c r="AI305" s="126"/>
      <c r="AJ305" s="126"/>
      <c r="AK305" s="126"/>
      <c r="AL305" s="126"/>
      <c r="AM305" s="126"/>
      <c r="AN305" s="126"/>
      <c r="AO305" s="126"/>
      <c r="AP305" s="126"/>
      <c r="AQ305" s="126"/>
      <c r="AR305" s="126"/>
      <c r="AS305" s="126"/>
      <c r="AT305" s="126"/>
      <c r="AU305" s="126"/>
      <c r="AV305" s="126"/>
      <c r="AW305" s="744"/>
      <c r="AX305" s="126"/>
      <c r="AY305" s="125"/>
      <c r="AZ305" s="125"/>
      <c r="BA305" s="125"/>
      <c r="BB305" s="125"/>
      <c r="BC305" s="125"/>
      <c r="BD305" s="126"/>
      <c r="BE305" s="125"/>
      <c r="BF305" s="125"/>
      <c r="BG305" s="125"/>
      <c r="BH305" s="125"/>
      <c r="BI305" s="125"/>
      <c r="BJ305" s="126"/>
      <c r="BK305" s="126"/>
      <c r="BL305" s="126"/>
      <c r="BM305" s="126"/>
      <c r="BN305" s="126"/>
      <c r="BO305" s="1998"/>
      <c r="BP305" s="126"/>
      <c r="BQ305" s="126"/>
      <c r="BR305" s="126"/>
      <c r="BS305" s="126"/>
      <c r="BT305" s="126"/>
      <c r="BU305" s="1998"/>
      <c r="BV305" s="126"/>
      <c r="BW305" s="126"/>
      <c r="BX305" s="126"/>
      <c r="BY305" s="126"/>
      <c r="BZ305" s="126"/>
      <c r="CA305" s="1998"/>
      <c r="CB305" s="126"/>
      <c r="CC305" s="126"/>
      <c r="CD305" s="126"/>
      <c r="CE305" s="126"/>
      <c r="CF305" s="126"/>
      <c r="CG305" s="1998"/>
      <c r="CH305" s="126"/>
      <c r="CI305" s="126"/>
      <c r="CJ305" s="126"/>
      <c r="CK305" s="125"/>
      <c r="CL305" s="126"/>
      <c r="CM305" s="1998"/>
      <c r="CN305" s="126"/>
      <c r="CO305" s="126"/>
      <c r="CP305" s="126"/>
      <c r="CQ305" s="126"/>
      <c r="CR305" s="126"/>
      <c r="CS305" s="1998"/>
      <c r="CT305" s="126"/>
      <c r="CU305" s="126"/>
      <c r="CV305" s="126"/>
      <c r="CW305" s="126"/>
      <c r="CY305" s="1998"/>
      <c r="CZ305" s="126"/>
      <c r="DA305" s="126"/>
      <c r="DB305" s="126"/>
      <c r="DC305" s="126"/>
      <c r="DD305" s="126"/>
      <c r="DE305" s="1999"/>
      <c r="DF305" s="126"/>
      <c r="DG305" s="2000"/>
      <c r="DH305" s="2000"/>
      <c r="DI305" s="2000"/>
      <c r="DJ305" s="2000"/>
      <c r="DK305" s="2001"/>
      <c r="DL305" s="126"/>
      <c r="DM305" s="2002"/>
      <c r="DN305" s="2002"/>
      <c r="DO305" s="2002"/>
      <c r="DP305" s="2027"/>
      <c r="DQ305" s="1998"/>
      <c r="DR305" s="126"/>
      <c r="DS305" s="2002"/>
      <c r="DT305" s="126"/>
      <c r="DU305" s="126"/>
      <c r="DV305" s="2027"/>
      <c r="DW305" s="1998"/>
      <c r="DX305" s="126"/>
      <c r="DY305" s="2002"/>
      <c r="DZ305" s="126"/>
      <c r="EA305" s="126"/>
      <c r="EB305" s="2027"/>
      <c r="EC305" s="1998"/>
      <c r="ED305" s="126"/>
      <c r="EE305" s="126"/>
      <c r="EF305" s="126"/>
      <c r="EG305" s="126"/>
      <c r="EH305" s="126"/>
      <c r="EI305" s="1998"/>
      <c r="EJ305" s="126"/>
      <c r="EK305" s="126"/>
      <c r="EL305" s="126"/>
      <c r="EM305" s="126"/>
      <c r="EN305" s="126"/>
      <c r="EO305" s="1998"/>
      <c r="EP305" s="126"/>
      <c r="EQ305" s="126"/>
      <c r="ER305" s="126"/>
      <c r="ES305" s="126"/>
      <c r="ET305" s="126"/>
      <c r="EU305" s="1998"/>
    </row>
    <row r="306" spans="1:151" s="1790" customFormat="1" ht="12" customHeight="1">
      <c r="A306" s="1997" t="s">
        <v>7203</v>
      </c>
      <c r="B306" s="126"/>
      <c r="C306" s="126"/>
      <c r="D306" s="126"/>
      <c r="E306" s="126"/>
      <c r="F306" s="126"/>
      <c r="G306" s="126"/>
      <c r="H306" s="126"/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  <c r="T306" s="126"/>
      <c r="U306" s="126"/>
      <c r="V306" s="126"/>
      <c r="W306" s="126"/>
      <c r="X306" s="126"/>
      <c r="Y306" s="126"/>
      <c r="Z306" s="126"/>
      <c r="AA306" s="126"/>
      <c r="AB306" s="126"/>
      <c r="AC306" s="126"/>
      <c r="AD306" s="126"/>
      <c r="AE306" s="126"/>
      <c r="AF306" s="126"/>
      <c r="AG306" s="126"/>
      <c r="AH306" s="126"/>
      <c r="AI306" s="126"/>
      <c r="AJ306" s="126"/>
      <c r="AK306" s="126"/>
      <c r="AL306" s="126"/>
      <c r="AM306" s="126"/>
      <c r="AN306" s="126"/>
      <c r="AO306" s="126"/>
      <c r="AP306" s="126"/>
      <c r="AQ306" s="126"/>
      <c r="AR306" s="126"/>
      <c r="AS306" s="126"/>
      <c r="AT306" s="126"/>
      <c r="AU306" s="126"/>
      <c r="AV306" s="126"/>
      <c r="AW306" s="744"/>
      <c r="AX306" s="126"/>
      <c r="AY306" s="125"/>
      <c r="AZ306" s="125"/>
      <c r="BA306" s="125"/>
      <c r="BB306" s="125"/>
      <c r="BC306" s="125"/>
      <c r="BD306" s="126"/>
      <c r="BE306" s="125"/>
      <c r="BF306" s="125"/>
      <c r="BG306" s="125"/>
      <c r="BH306" s="125"/>
      <c r="BI306" s="125"/>
      <c r="BJ306" s="126"/>
      <c r="BK306" s="126"/>
      <c r="BL306" s="126"/>
      <c r="BM306" s="126"/>
      <c r="BN306" s="126"/>
      <c r="BO306" s="1998"/>
      <c r="BP306" s="126"/>
      <c r="BQ306" s="126"/>
      <c r="BR306" s="126"/>
      <c r="BS306" s="126"/>
      <c r="BT306" s="126"/>
      <c r="BU306" s="1998"/>
      <c r="BV306" s="126"/>
      <c r="BW306" s="126"/>
      <c r="BX306" s="126"/>
      <c r="BY306" s="126"/>
      <c r="BZ306" s="126"/>
      <c r="CA306" s="1998"/>
      <c r="CB306" s="126"/>
      <c r="CC306" s="126"/>
      <c r="CD306" s="126"/>
      <c r="CE306" s="126"/>
      <c r="CF306" s="126"/>
      <c r="CG306" s="1998"/>
      <c r="CH306" s="126"/>
      <c r="CI306" s="126"/>
      <c r="CJ306" s="126"/>
      <c r="CK306" s="125"/>
      <c r="CL306" s="126"/>
      <c r="CM306" s="1998"/>
      <c r="CN306" s="126"/>
      <c r="CO306" s="126"/>
      <c r="CP306" s="126"/>
      <c r="CQ306" s="126"/>
      <c r="CR306" s="126"/>
      <c r="CS306" s="1998"/>
      <c r="CT306" s="126"/>
      <c r="CU306" s="126"/>
      <c r="CV306" s="126"/>
      <c r="CW306" s="126"/>
      <c r="CY306" s="1998"/>
      <c r="CZ306" s="126"/>
      <c r="DA306" s="126"/>
      <c r="DB306" s="126"/>
      <c r="DC306" s="126"/>
      <c r="DD306" s="126"/>
      <c r="DE306" s="1999"/>
      <c r="DF306" s="126"/>
      <c r="DG306" s="2000"/>
      <c r="DH306" s="2000">
        <f>+DH301-DG301</f>
        <v>12</v>
      </c>
      <c r="DI306" s="2000">
        <f>+DI301-DH301</f>
        <v>19</v>
      </c>
      <c r="DJ306" s="2000">
        <f>+DJ301-DI301</f>
        <v>42</v>
      </c>
      <c r="DK306" s="2001"/>
      <c r="DL306" s="126"/>
      <c r="DM306" s="2026">
        <f>+DM301-DJ301</f>
        <v>28</v>
      </c>
      <c r="DN306" s="2000">
        <f>+DN301-DM301</f>
        <v>24</v>
      </c>
      <c r="DO306" s="2000">
        <f>+DO301-DN301</f>
        <v>17</v>
      </c>
      <c r="DP306" s="2000">
        <f>+DP301-DO301</f>
        <v>34</v>
      </c>
      <c r="DQ306" s="1998"/>
      <c r="DR306" s="126"/>
      <c r="DS306" s="2026">
        <f>+DS301-DP301</f>
        <v>85</v>
      </c>
      <c r="DT306" s="2000">
        <f>+DT301-DS301</f>
        <v>63</v>
      </c>
      <c r="DU306" s="2000">
        <f>+DU301-DT301</f>
        <v>45</v>
      </c>
      <c r="DV306" s="2000">
        <f>+DV301-DU301</f>
        <v>123</v>
      </c>
      <c r="DW306" s="1998"/>
      <c r="DX306" s="126"/>
      <c r="DY306" s="2026">
        <f>+DY301-DV301</f>
        <v>121</v>
      </c>
      <c r="DZ306" s="2000">
        <f>+DZ301-DY301</f>
        <v>92</v>
      </c>
      <c r="EA306" s="2000">
        <f>+EA301-DZ301</f>
        <v>140</v>
      </c>
      <c r="EB306" s="2000">
        <f>+EB301-EA301</f>
        <v>251</v>
      </c>
      <c r="EC306" s="1998"/>
      <c r="ED306" s="126"/>
      <c r="EE306" s="2026">
        <f>+EE301-EB301</f>
        <v>187.42302558157962</v>
      </c>
      <c r="EF306" s="2000">
        <f>+EF301-EE301</f>
        <v>106.07229760965947</v>
      </c>
      <c r="EG306" s="2000">
        <f>+EG301-EF301</f>
        <v>157.48701748062967</v>
      </c>
      <c r="EH306" s="2000">
        <f>+EH301-EG301</f>
        <v>532.72294913961832</v>
      </c>
      <c r="EI306" s="1998"/>
      <c r="EJ306" s="126"/>
      <c r="EK306" s="2026"/>
      <c r="EL306" s="2000"/>
      <c r="EM306" s="2000"/>
      <c r="EN306" s="2000"/>
      <c r="EO306" s="1998"/>
      <c r="EP306" s="126"/>
      <c r="EQ306" s="2026"/>
      <c r="ER306" s="2000"/>
      <c r="ES306" s="2000"/>
      <c r="ET306" s="2000"/>
      <c r="EU306" s="1998"/>
    </row>
    <row r="307" spans="1:151" s="2038" customFormat="1" ht="12" customHeight="1">
      <c r="A307" s="1997" t="s">
        <v>7084</v>
      </c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83"/>
      <c r="AX307" s="147"/>
      <c r="AY307" s="141"/>
      <c r="AZ307" s="141"/>
      <c r="BA307" s="141"/>
      <c r="BB307" s="141"/>
      <c r="BC307" s="141"/>
      <c r="BD307" s="147"/>
      <c r="BE307" s="141"/>
      <c r="BF307" s="141"/>
      <c r="BG307" s="141"/>
      <c r="BH307" s="141"/>
      <c r="BI307" s="141"/>
      <c r="BJ307" s="147"/>
      <c r="BK307" s="147"/>
      <c r="BL307" s="147"/>
      <c r="BM307" s="147"/>
      <c r="BN307" s="147"/>
      <c r="BO307" s="1096"/>
      <c r="BP307" s="147"/>
      <c r="BQ307" s="147"/>
      <c r="BR307" s="147"/>
      <c r="BS307" s="147"/>
      <c r="BT307" s="147"/>
      <c r="BU307" s="1096"/>
      <c r="BV307" s="147"/>
      <c r="BW307" s="147"/>
      <c r="BX307" s="147"/>
      <c r="BY307" s="147"/>
      <c r="BZ307" s="147"/>
      <c r="CA307" s="1096"/>
      <c r="CB307" s="147"/>
      <c r="CC307" s="147"/>
      <c r="CD307" s="147"/>
      <c r="CE307" s="147"/>
      <c r="CF307" s="147"/>
      <c r="CG307" s="1096"/>
      <c r="CH307" s="147"/>
      <c r="CI307" s="147"/>
      <c r="CJ307" s="147"/>
      <c r="CK307" s="141"/>
      <c r="CL307" s="147"/>
      <c r="CM307" s="1096"/>
      <c r="CN307" s="147"/>
      <c r="CO307" s="147"/>
      <c r="CP307" s="147"/>
      <c r="CQ307" s="147"/>
      <c r="CR307" s="147"/>
      <c r="CS307" s="1096"/>
      <c r="CT307" s="147"/>
      <c r="CU307" s="147"/>
      <c r="CV307" s="147"/>
      <c r="CW307" s="147"/>
      <c r="CY307" s="1096"/>
      <c r="CZ307" s="147"/>
      <c r="DA307" s="147"/>
      <c r="DB307" s="147"/>
      <c r="DC307" s="147"/>
      <c r="DD307" s="147"/>
      <c r="DE307" s="1785"/>
      <c r="DF307" s="147"/>
      <c r="DG307" s="1548"/>
      <c r="DH307" s="263"/>
      <c r="DI307" s="263">
        <f t="shared" ref="DI307" si="173">+DI306/DH306-1</f>
        <v>0.58333333333333326</v>
      </c>
      <c r="DJ307" s="263">
        <f t="shared" ref="DJ307" si="174">+DJ306/DI306-1</f>
        <v>1.2105263157894739</v>
      </c>
      <c r="DK307" s="2001"/>
      <c r="DL307" s="126"/>
      <c r="DM307" s="263">
        <f>+DM306/DJ306-1</f>
        <v>-0.33333333333333337</v>
      </c>
      <c r="DN307" s="263">
        <f t="shared" ref="DN307" si="175">+DN306/DM306-1</f>
        <v>-0.1428571428571429</v>
      </c>
      <c r="DO307" s="263">
        <f t="shared" ref="DO307" si="176">+DO306/DN306-1</f>
        <v>-0.29166666666666663</v>
      </c>
      <c r="DP307" s="263">
        <f t="shared" ref="DP307" si="177">+DP306/DO306-1</f>
        <v>1</v>
      </c>
      <c r="DQ307" s="1096"/>
      <c r="DR307" s="147"/>
      <c r="DS307" s="263">
        <f>+DS306/DP306-1</f>
        <v>1.5</v>
      </c>
      <c r="DT307" s="263">
        <f t="shared" ref="DT307" si="178">+DT306/DS306-1</f>
        <v>-0.25882352941176467</v>
      </c>
      <c r="DU307" s="263">
        <f t="shared" ref="DU307:DV307" si="179">+DU306/DT306-1</f>
        <v>-0.2857142857142857</v>
      </c>
      <c r="DV307" s="263">
        <f t="shared" si="179"/>
        <v>1.7333333333333334</v>
      </c>
      <c r="DW307" s="1096"/>
      <c r="DX307" s="147"/>
      <c r="DY307" s="263">
        <f>+DY306/DV306-1</f>
        <v>-1.6260162601625994E-2</v>
      </c>
      <c r="DZ307" s="263">
        <f t="shared" ref="DZ307:EA307" si="180">+DZ306/DY306-1</f>
        <v>-0.23966942148760328</v>
      </c>
      <c r="EA307" s="263">
        <f t="shared" si="180"/>
        <v>0.52173913043478271</v>
      </c>
      <c r="EB307" s="263">
        <f t="shared" ref="EB307" si="181">+EB306/EA306-1</f>
        <v>0.79285714285714293</v>
      </c>
      <c r="EC307" s="1096"/>
      <c r="ED307" s="147"/>
      <c r="EE307" s="263">
        <f>+EE306/EB306-1</f>
        <v>-0.25329471879848753</v>
      </c>
      <c r="EF307" s="263">
        <f t="shared" ref="EF307" si="182">+EF306/EE306-1</f>
        <v>-0.43404873931303933</v>
      </c>
      <c r="EG307" s="263">
        <f t="shared" ref="EG307" si="183">+EG306/EF306-1</f>
        <v>0.48471392653502887</v>
      </c>
      <c r="EH307" s="263">
        <f t="shared" ref="EH307" si="184">+EH306/EG306-1</f>
        <v>2.3826467582011404</v>
      </c>
      <c r="EI307" s="1096"/>
      <c r="EJ307" s="147"/>
      <c r="EK307" s="263"/>
      <c r="EL307" s="263"/>
      <c r="EM307" s="263"/>
      <c r="EN307" s="263"/>
      <c r="EO307" s="1096"/>
      <c r="EP307" s="147"/>
      <c r="EQ307" s="263"/>
      <c r="ER307" s="263"/>
      <c r="ES307" s="263"/>
      <c r="ET307" s="263"/>
      <c r="EU307" s="1096"/>
    </row>
    <row r="308" spans="1:151" s="1790" customFormat="1" ht="12" customHeight="1">
      <c r="A308" s="1997" t="s">
        <v>6985</v>
      </c>
      <c r="B308" s="126"/>
      <c r="C308" s="126"/>
      <c r="D308" s="126"/>
      <c r="E308" s="126"/>
      <c r="F308" s="126"/>
      <c r="G308" s="126"/>
      <c r="H308" s="126"/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  <c r="T308" s="126"/>
      <c r="U308" s="126"/>
      <c r="V308" s="126"/>
      <c r="W308" s="126"/>
      <c r="X308" s="126"/>
      <c r="Y308" s="126"/>
      <c r="Z308" s="126"/>
      <c r="AA308" s="126"/>
      <c r="AB308" s="126"/>
      <c r="AC308" s="126"/>
      <c r="AD308" s="126"/>
      <c r="AE308" s="126"/>
      <c r="AF308" s="126"/>
      <c r="AG308" s="126"/>
      <c r="AH308" s="126"/>
      <c r="AI308" s="126"/>
      <c r="AJ308" s="126"/>
      <c r="AK308" s="126"/>
      <c r="AL308" s="126"/>
      <c r="AM308" s="126"/>
      <c r="AN308" s="126"/>
      <c r="AO308" s="126"/>
      <c r="AP308" s="126"/>
      <c r="AQ308" s="126"/>
      <c r="AR308" s="126"/>
      <c r="AS308" s="126"/>
      <c r="AT308" s="126"/>
      <c r="AU308" s="126"/>
      <c r="AV308" s="126"/>
      <c r="AW308" s="744"/>
      <c r="AX308" s="126"/>
      <c r="AY308" s="125"/>
      <c r="AZ308" s="125"/>
      <c r="BA308" s="125"/>
      <c r="BB308" s="125"/>
      <c r="BC308" s="125"/>
      <c r="BD308" s="126"/>
      <c r="BE308" s="125"/>
      <c r="BF308" s="125"/>
      <c r="BG308" s="125"/>
      <c r="BH308" s="125"/>
      <c r="BI308" s="125"/>
      <c r="BJ308" s="126"/>
      <c r="BK308" s="126"/>
      <c r="BL308" s="126"/>
      <c r="BM308" s="126"/>
      <c r="BN308" s="126"/>
      <c r="BO308" s="1998"/>
      <c r="BP308" s="126"/>
      <c r="BQ308" s="126"/>
      <c r="BR308" s="126"/>
      <c r="BS308" s="126"/>
      <c r="BT308" s="126"/>
      <c r="BU308" s="1998"/>
      <c r="BV308" s="126"/>
      <c r="BW308" s="126"/>
      <c r="BX308" s="126"/>
      <c r="BY308" s="126"/>
      <c r="BZ308" s="126"/>
      <c r="CA308" s="1998"/>
      <c r="CB308" s="126"/>
      <c r="CC308" s="126"/>
      <c r="CD308" s="126"/>
      <c r="CE308" s="126"/>
      <c r="CF308" s="126"/>
      <c r="CG308" s="1998"/>
      <c r="CH308" s="126"/>
      <c r="CI308" s="126"/>
      <c r="CJ308" s="126"/>
      <c r="CK308" s="125"/>
      <c r="CL308" s="126"/>
      <c r="CM308" s="1998"/>
      <c r="CN308" s="126"/>
      <c r="CO308" s="126"/>
      <c r="CP308" s="126"/>
      <c r="CQ308" s="126"/>
      <c r="CR308" s="126"/>
      <c r="CS308" s="1998"/>
      <c r="CT308" s="126"/>
      <c r="CU308" s="126"/>
      <c r="CV308" s="126"/>
      <c r="CW308" s="126"/>
      <c r="CY308" s="1998"/>
      <c r="CZ308" s="126"/>
      <c r="DA308" s="126"/>
      <c r="DB308" s="126"/>
      <c r="DC308" s="126"/>
      <c r="DD308" s="126"/>
      <c r="DE308" s="1999"/>
      <c r="DF308" s="126"/>
      <c r="DG308" s="2000"/>
      <c r="DH308" s="2000"/>
      <c r="DI308" s="2000"/>
      <c r="DJ308" s="2000"/>
      <c r="DK308" s="2001"/>
      <c r="DL308" s="126"/>
      <c r="DM308" s="2002"/>
      <c r="DN308" s="2002">
        <f t="shared" ref="DN308" si="185">+DN306/DH306-1</f>
        <v>1</v>
      </c>
      <c r="DO308" s="2002">
        <f>+DO306/DI306-1</f>
        <v>-0.10526315789473684</v>
      </c>
      <c r="DP308" s="2027">
        <f>+DP306/DJ306-1</f>
        <v>-0.19047619047619047</v>
      </c>
      <c r="DQ308" s="1998"/>
      <c r="DR308" s="126"/>
      <c r="DS308" s="2002">
        <f>+DS306/DM306-1</f>
        <v>2.0357142857142856</v>
      </c>
      <c r="DT308" s="2002">
        <f t="shared" ref="DT308" si="186">+DT306/DN306-1</f>
        <v>1.625</v>
      </c>
      <c r="DU308" s="2002">
        <f t="shared" ref="DU308" si="187">+DU306/DO306-1</f>
        <v>1.6470588235294117</v>
      </c>
      <c r="DV308" s="2027">
        <f>+DV306/DP306-1</f>
        <v>2.6176470588235294</v>
      </c>
      <c r="DW308" s="1998"/>
      <c r="DX308" s="126"/>
      <c r="DY308" s="2002">
        <f>+DY306/DS306-1</f>
        <v>0.42352941176470593</v>
      </c>
      <c r="DZ308" s="2002">
        <f t="shared" ref="DZ308:EA308" si="188">+DZ306/DT306-1</f>
        <v>0.46031746031746024</v>
      </c>
      <c r="EA308" s="2002">
        <f t="shared" si="188"/>
        <v>2.1111111111111112</v>
      </c>
      <c r="EB308" s="2027">
        <f>+EB306/DV306-1</f>
        <v>1.0406504065040649</v>
      </c>
      <c r="EC308" s="1998"/>
      <c r="ED308" s="126"/>
      <c r="EE308" s="2002">
        <f>+EE306/DY306-1</f>
        <v>0.54895062464115396</v>
      </c>
      <c r="EF308" s="2002">
        <f t="shared" ref="EF308" si="189">+EF306/DZ306-1</f>
        <v>0.15295975662673333</v>
      </c>
      <c r="EG308" s="2002">
        <f t="shared" ref="EG308" si="190">+EG306/EA306-1</f>
        <v>0.12490726771878347</v>
      </c>
      <c r="EH308" s="2002">
        <f t="shared" ref="EH308" si="191">+EH306/EB306-1</f>
        <v>1.1224021878072441</v>
      </c>
      <c r="EI308" s="1998"/>
      <c r="EJ308" s="126"/>
      <c r="EK308" s="2002"/>
      <c r="EL308" s="2002"/>
      <c r="EM308" s="2002"/>
      <c r="EN308" s="2002"/>
      <c r="EO308" s="1998"/>
      <c r="EP308" s="126"/>
      <c r="EQ308" s="2002"/>
      <c r="ER308" s="2002"/>
      <c r="ES308" s="2002"/>
      <c r="ET308" s="2002"/>
      <c r="EU308" s="1998"/>
    </row>
    <row r="309" spans="1:151" s="1790" customFormat="1" ht="12" customHeight="1">
      <c r="A309" s="1997"/>
      <c r="B309" s="126"/>
      <c r="C309" s="126"/>
      <c r="D309" s="126"/>
      <c r="E309" s="126"/>
      <c r="F309" s="126"/>
      <c r="G309" s="126"/>
      <c r="H309" s="126"/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  <c r="T309" s="126"/>
      <c r="U309" s="126"/>
      <c r="V309" s="126"/>
      <c r="W309" s="126"/>
      <c r="X309" s="126"/>
      <c r="Y309" s="126"/>
      <c r="Z309" s="126"/>
      <c r="AA309" s="126"/>
      <c r="AB309" s="126"/>
      <c r="AC309" s="126"/>
      <c r="AD309" s="126"/>
      <c r="AE309" s="126"/>
      <c r="AF309" s="126"/>
      <c r="AG309" s="126"/>
      <c r="AH309" s="126"/>
      <c r="AI309" s="126"/>
      <c r="AJ309" s="126"/>
      <c r="AK309" s="126"/>
      <c r="AL309" s="126"/>
      <c r="AM309" s="126"/>
      <c r="AN309" s="126"/>
      <c r="AO309" s="126"/>
      <c r="AP309" s="126"/>
      <c r="AQ309" s="126"/>
      <c r="AR309" s="126"/>
      <c r="AS309" s="126"/>
      <c r="AT309" s="126"/>
      <c r="AU309" s="126"/>
      <c r="AV309" s="126"/>
      <c r="AW309" s="744"/>
      <c r="AX309" s="126"/>
      <c r="AY309" s="125"/>
      <c r="AZ309" s="125"/>
      <c r="BA309" s="125"/>
      <c r="BB309" s="125"/>
      <c r="BC309" s="125"/>
      <c r="BD309" s="126"/>
      <c r="BE309" s="125"/>
      <c r="BF309" s="125"/>
      <c r="BG309" s="125"/>
      <c r="BH309" s="125"/>
      <c r="BI309" s="125"/>
      <c r="BJ309" s="126"/>
      <c r="BK309" s="126"/>
      <c r="BL309" s="126"/>
      <c r="BM309" s="126"/>
      <c r="BN309" s="126"/>
      <c r="BO309" s="1998"/>
      <c r="BP309" s="126"/>
      <c r="BQ309" s="126"/>
      <c r="BR309" s="126"/>
      <c r="BS309" s="126"/>
      <c r="BT309" s="126"/>
      <c r="BU309" s="1998"/>
      <c r="BV309" s="126"/>
      <c r="BW309" s="126"/>
      <c r="BX309" s="126"/>
      <c r="BY309" s="126"/>
      <c r="BZ309" s="126"/>
      <c r="CA309" s="1998"/>
      <c r="CB309" s="126"/>
      <c r="CC309" s="126"/>
      <c r="CD309" s="126"/>
      <c r="CE309" s="126"/>
      <c r="CF309" s="126"/>
      <c r="CG309" s="1998"/>
      <c r="CH309" s="126"/>
      <c r="CI309" s="126"/>
      <c r="CJ309" s="126"/>
      <c r="CK309" s="125"/>
      <c r="CL309" s="126"/>
      <c r="CM309" s="1998"/>
      <c r="CN309" s="126"/>
      <c r="CO309" s="126"/>
      <c r="CP309" s="126"/>
      <c r="CQ309" s="126"/>
      <c r="CR309" s="126"/>
      <c r="CS309" s="1998"/>
      <c r="CT309" s="126"/>
      <c r="CU309" s="126"/>
      <c r="CV309" s="126"/>
      <c r="CW309" s="126"/>
      <c r="CY309" s="1998"/>
      <c r="CZ309" s="126"/>
      <c r="DA309" s="126"/>
      <c r="DB309" s="126"/>
      <c r="DC309" s="126"/>
      <c r="DD309" s="126"/>
      <c r="DE309" s="1999"/>
      <c r="DF309" s="126"/>
      <c r="DG309" s="2000"/>
      <c r="DH309" s="2000"/>
      <c r="DI309" s="2000"/>
      <c r="DJ309" s="2000"/>
      <c r="DK309" s="2001"/>
      <c r="DL309" s="126"/>
      <c r="DM309" s="2002"/>
      <c r="DN309" s="2002"/>
      <c r="DO309" s="2002"/>
      <c r="DP309" s="2027"/>
      <c r="DQ309" s="1998"/>
      <c r="DR309" s="126"/>
      <c r="DS309" s="2002"/>
      <c r="DT309" s="126"/>
      <c r="DU309" s="126"/>
      <c r="DV309" s="2027"/>
      <c r="DW309" s="1998"/>
      <c r="DX309" s="126"/>
      <c r="DY309" s="2002"/>
      <c r="DZ309" s="126"/>
      <c r="EA309" s="126"/>
      <c r="EB309" s="2027"/>
      <c r="EC309" s="1998"/>
      <c r="ED309" s="126"/>
      <c r="EE309" s="126"/>
      <c r="EF309" s="126"/>
      <c r="EG309" s="126"/>
      <c r="EH309" s="126"/>
      <c r="EI309" s="1998"/>
      <c r="EJ309" s="126"/>
      <c r="EK309" s="126"/>
      <c r="EL309" s="126"/>
      <c r="EM309" s="126"/>
      <c r="EN309" s="126"/>
      <c r="EO309" s="1998"/>
      <c r="EP309" s="126"/>
      <c r="EQ309" s="126"/>
      <c r="ER309" s="126"/>
      <c r="ES309" s="126"/>
      <c r="ET309" s="126"/>
      <c r="EU309" s="1998"/>
    </row>
    <row r="310" spans="1:151" s="2048" customFormat="1" ht="12" customHeight="1">
      <c r="A310" s="2043" t="s">
        <v>7204</v>
      </c>
      <c r="B310" s="2044"/>
      <c r="C310" s="2044"/>
      <c r="D310" s="2044"/>
      <c r="E310" s="2044"/>
      <c r="F310" s="2044"/>
      <c r="G310" s="2044"/>
      <c r="H310" s="2044"/>
      <c r="I310" s="2044"/>
      <c r="J310" s="2044"/>
      <c r="K310" s="2044"/>
      <c r="L310" s="2044"/>
      <c r="M310" s="2044"/>
      <c r="N310" s="2044"/>
      <c r="O310" s="2044"/>
      <c r="P310" s="2044"/>
      <c r="Q310" s="2044"/>
      <c r="R310" s="2044"/>
      <c r="S310" s="2044"/>
      <c r="T310" s="2044"/>
      <c r="U310" s="2044"/>
      <c r="V310" s="2044"/>
      <c r="W310" s="2044"/>
      <c r="X310" s="2044"/>
      <c r="Y310" s="2044"/>
      <c r="Z310" s="2044"/>
      <c r="AA310" s="2044"/>
      <c r="AB310" s="2044"/>
      <c r="AC310" s="2044"/>
      <c r="AD310" s="2044"/>
      <c r="AE310" s="2044"/>
      <c r="AF310" s="2044"/>
      <c r="AG310" s="2044"/>
      <c r="AH310" s="2044"/>
      <c r="AI310" s="2044"/>
      <c r="AJ310" s="2044"/>
      <c r="AK310" s="2044"/>
      <c r="AL310" s="2044"/>
      <c r="AM310" s="2044"/>
      <c r="AN310" s="2044"/>
      <c r="AO310" s="2044"/>
      <c r="AP310" s="2044"/>
      <c r="AQ310" s="2044"/>
      <c r="AR310" s="2044"/>
      <c r="AS310" s="2044"/>
      <c r="AT310" s="2044"/>
      <c r="AU310" s="2044"/>
      <c r="AV310" s="2044"/>
      <c r="AW310" s="2045"/>
      <c r="AX310" s="2044"/>
      <c r="AY310" s="2046"/>
      <c r="AZ310" s="2046"/>
      <c r="BA310" s="2046"/>
      <c r="BB310" s="2046"/>
      <c r="BC310" s="2046"/>
      <c r="BD310" s="2044"/>
      <c r="BE310" s="2046"/>
      <c r="BF310" s="2046"/>
      <c r="BG310" s="2046"/>
      <c r="BH310" s="2046"/>
      <c r="BI310" s="2046"/>
      <c r="BJ310" s="2044"/>
      <c r="BK310" s="2044"/>
      <c r="BL310" s="2044"/>
      <c r="BM310" s="2044"/>
      <c r="BN310" s="2044"/>
      <c r="BO310" s="2047"/>
      <c r="BP310" s="2044"/>
      <c r="BQ310" s="2044"/>
      <c r="BR310" s="2044"/>
      <c r="BS310" s="2044"/>
      <c r="BT310" s="2044"/>
      <c r="BU310" s="2047"/>
      <c r="BV310" s="2044"/>
      <c r="BW310" s="2044"/>
      <c r="BX310" s="2044"/>
      <c r="BY310" s="2044"/>
      <c r="BZ310" s="2044"/>
      <c r="CA310" s="2047"/>
      <c r="CB310" s="2044"/>
      <c r="CC310" s="2044"/>
      <c r="CD310" s="2044"/>
      <c r="CE310" s="2044"/>
      <c r="CF310" s="2044"/>
      <c r="CG310" s="2047"/>
      <c r="CH310" s="2044"/>
      <c r="CI310" s="2044"/>
      <c r="CJ310" s="2044"/>
      <c r="CK310" s="2046"/>
      <c r="CL310" s="2044"/>
      <c r="CM310" s="2047"/>
      <c r="CN310" s="2044"/>
      <c r="CO310" s="2044"/>
      <c r="CP310" s="2044"/>
      <c r="CQ310" s="2044"/>
      <c r="CR310" s="2044"/>
      <c r="CS310" s="2047"/>
      <c r="CT310" s="2044"/>
      <c r="CU310" s="2044"/>
      <c r="CV310" s="2044"/>
      <c r="CW310" s="2044"/>
      <c r="CY310" s="2047"/>
      <c r="CZ310" s="2044"/>
      <c r="DA310" s="2044"/>
      <c r="DB310" s="2044"/>
      <c r="DC310" s="2044"/>
      <c r="DD310" s="2044"/>
      <c r="DE310" s="2047"/>
      <c r="DF310" s="2044"/>
      <c r="DG310" s="2049"/>
      <c r="DH310" s="2056">
        <f>+DH306/DH276</f>
        <v>0.42857142857142855</v>
      </c>
      <c r="DI310" s="2056">
        <f>+DI306/DI276</f>
        <v>0.6785714285714286</v>
      </c>
      <c r="DJ310" s="2056">
        <f>+DJ306/DJ276</f>
        <v>0.67741935483870963</v>
      </c>
      <c r="DK310" s="2053"/>
      <c r="DL310" s="2054"/>
      <c r="DM310" s="2052">
        <f>+DM306/DM276</f>
        <v>0.56000000000000005</v>
      </c>
      <c r="DN310" s="2052">
        <f>+DN306/DN276</f>
        <v>0.48979591836734693</v>
      </c>
      <c r="DO310" s="2052">
        <f>+DO306/DO276</f>
        <v>0.36170212765957449</v>
      </c>
      <c r="DP310" s="2052">
        <f>+DP306/DP276</f>
        <v>0.54838709677419351</v>
      </c>
      <c r="DQ310" s="2055"/>
      <c r="DR310" s="2054"/>
      <c r="DS310" s="2052">
        <f>+DS306/DS276</f>
        <v>0.6071428571428571</v>
      </c>
      <c r="DT310" s="2052">
        <f>+DT306/DT276</f>
        <v>0.504</v>
      </c>
      <c r="DU310" s="2052">
        <f>+DU306/DU276</f>
        <v>0.26946107784431139</v>
      </c>
      <c r="DV310" s="2052">
        <f>+DV306/DV276</f>
        <v>0.53947368421052633</v>
      </c>
      <c r="DW310" s="2047"/>
      <c r="DX310" s="2044"/>
      <c r="DY310" s="2052">
        <f>+DY306/DY276</f>
        <v>0.51931330472102999</v>
      </c>
      <c r="DZ310" s="2052">
        <f>+DZ306/DZ276</f>
        <v>0.34074074074074073</v>
      </c>
      <c r="EA310" s="2052">
        <f>+EA306/EA276</f>
        <v>0.4560260586319218</v>
      </c>
      <c r="EB310" s="2052">
        <f>+EB306/EB276</f>
        <v>0.67746288798920373</v>
      </c>
      <c r="EC310" s="2047"/>
      <c r="ED310" s="2044"/>
      <c r="EE310" s="2052">
        <f>+EE306/EE276</f>
        <v>0.61327416058908746</v>
      </c>
      <c r="EF310" s="2052">
        <f>+EF306/EF276</f>
        <v>0.33319995295884641</v>
      </c>
      <c r="EG310" s="2052">
        <f>+EG306/EG276</f>
        <v>0.49470661047881576</v>
      </c>
      <c r="EH310" s="2052">
        <f>+EH306/EH276</f>
        <v>1.609055492496962</v>
      </c>
      <c r="EI310" s="2047"/>
      <c r="EJ310" s="2044"/>
      <c r="EK310" s="2052"/>
      <c r="EL310" s="2052"/>
      <c r="EM310" s="2052"/>
      <c r="EN310" s="2052"/>
      <c r="EO310" s="2047"/>
      <c r="EP310" s="2044"/>
      <c r="EQ310" s="2052"/>
      <c r="ER310" s="2052"/>
      <c r="ES310" s="2052"/>
      <c r="ET310" s="2052"/>
      <c r="EU310" s="2047"/>
    </row>
    <row r="311" spans="1:151" s="2038" customFormat="1" ht="12" customHeight="1">
      <c r="A311" s="1997" t="s">
        <v>7084</v>
      </c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83"/>
      <c r="AX311" s="147"/>
      <c r="AY311" s="141"/>
      <c r="AZ311" s="141"/>
      <c r="BA311" s="141"/>
      <c r="BB311" s="141"/>
      <c r="BC311" s="141"/>
      <c r="BD311" s="147"/>
      <c r="BE311" s="141"/>
      <c r="BF311" s="141"/>
      <c r="BG311" s="141"/>
      <c r="BH311" s="141"/>
      <c r="BI311" s="141"/>
      <c r="BJ311" s="147"/>
      <c r="BK311" s="147"/>
      <c r="BL311" s="147"/>
      <c r="BM311" s="147"/>
      <c r="BN311" s="147"/>
      <c r="BO311" s="1096"/>
      <c r="BP311" s="147"/>
      <c r="BQ311" s="147"/>
      <c r="BR311" s="147"/>
      <c r="BS311" s="147"/>
      <c r="BT311" s="147"/>
      <c r="BU311" s="1096"/>
      <c r="BV311" s="147"/>
      <c r="BW311" s="147"/>
      <c r="BX311" s="147"/>
      <c r="BY311" s="147"/>
      <c r="BZ311" s="147"/>
      <c r="CA311" s="1096"/>
      <c r="CB311" s="147"/>
      <c r="CC311" s="147"/>
      <c r="CD311" s="147"/>
      <c r="CE311" s="147"/>
      <c r="CF311" s="147"/>
      <c r="CG311" s="1096"/>
      <c r="CH311" s="147"/>
      <c r="CI311" s="147"/>
      <c r="CJ311" s="147"/>
      <c r="CK311" s="141"/>
      <c r="CL311" s="147"/>
      <c r="CM311" s="1096"/>
      <c r="CN311" s="147"/>
      <c r="CO311" s="147"/>
      <c r="CP311" s="147"/>
      <c r="CQ311" s="147"/>
      <c r="CR311" s="147"/>
      <c r="CS311" s="1096"/>
      <c r="CT311" s="147"/>
      <c r="CU311" s="147"/>
      <c r="CV311" s="147"/>
      <c r="CW311" s="147"/>
      <c r="CY311" s="1096"/>
      <c r="CZ311" s="147"/>
      <c r="DA311" s="147"/>
      <c r="DB311" s="147"/>
      <c r="DC311" s="147"/>
      <c r="DD311" s="147"/>
      <c r="DE311" s="1785"/>
      <c r="DF311" s="147"/>
      <c r="DG311" s="1548"/>
      <c r="DH311" s="263"/>
      <c r="DI311" s="263">
        <f t="shared" ref="DI311" si="192">+DI310/DH310-1</f>
        <v>0.58333333333333348</v>
      </c>
      <c r="DJ311" s="263">
        <f t="shared" ref="DJ311" si="193">+DJ310/DI310-1</f>
        <v>-1.6977928692700761E-3</v>
      </c>
      <c r="DK311" s="2001"/>
      <c r="DL311" s="126"/>
      <c r="DM311" s="263">
        <f>+DM310/DJ310-1</f>
        <v>-0.17333333333333323</v>
      </c>
      <c r="DN311" s="263">
        <f t="shared" ref="DN311" si="194">+DN310/DM310-1</f>
        <v>-0.12536443148688059</v>
      </c>
      <c r="DO311" s="263">
        <f t="shared" ref="DO311" si="195">+DO310/DN310-1</f>
        <v>-0.26152482269503541</v>
      </c>
      <c r="DP311" s="263">
        <f t="shared" ref="DP311" si="196">+DP310/DO310-1</f>
        <v>0.51612903225806428</v>
      </c>
      <c r="DQ311" s="1096"/>
      <c r="DR311" s="147"/>
      <c r="DS311" s="263">
        <f>+DS310/DP310-1</f>
        <v>0.10714285714285721</v>
      </c>
      <c r="DT311" s="263">
        <f t="shared" ref="DT311" si="197">+DT310/DS310-1</f>
        <v>-0.16988235294117637</v>
      </c>
      <c r="DU311" s="263">
        <f t="shared" ref="DU311:DV311" si="198">+DU310/DT310-1</f>
        <v>-0.46535500427715992</v>
      </c>
      <c r="DV311" s="263">
        <f t="shared" si="198"/>
        <v>1.002046783625731</v>
      </c>
      <c r="DW311" s="1096"/>
      <c r="DX311" s="147"/>
      <c r="DY311" s="263">
        <f>+DY310/DV310-1</f>
        <v>-3.7370459541505419E-2</v>
      </c>
      <c r="DZ311" s="263">
        <f t="shared" ref="DZ311:EA311" si="199">+DZ310/DY310-1</f>
        <v>-0.34386287113559832</v>
      </c>
      <c r="EA311" s="263">
        <f t="shared" si="199"/>
        <v>0.33833734598498788</v>
      </c>
      <c r="EB311" s="263">
        <f t="shared" ref="EB311" si="200">+EB310/EA310-1</f>
        <v>0.48557933294775402</v>
      </c>
      <c r="EC311" s="1096"/>
      <c r="ED311" s="147"/>
      <c r="EE311" s="263">
        <f>+EE310/EB310-1</f>
        <v>-9.4748699210131848E-2</v>
      </c>
      <c r="EF311" s="263">
        <f t="shared" ref="EF311" si="201">+EF310/EE310-1</f>
        <v>-0.45668678974051768</v>
      </c>
      <c r="EG311" s="263">
        <f t="shared" ref="EG311" si="202">+EG310/EF310-1</f>
        <v>0.48471392653502887</v>
      </c>
      <c r="EH311" s="263">
        <f t="shared" ref="EH311" si="203">+EH310/EG310-1</f>
        <v>2.2525449598087888</v>
      </c>
      <c r="EI311" s="1096"/>
      <c r="EJ311" s="147"/>
      <c r="EK311" s="263"/>
      <c r="EL311" s="263"/>
      <c r="EM311" s="263"/>
      <c r="EN311" s="263"/>
      <c r="EO311" s="1096"/>
      <c r="EP311" s="147"/>
      <c r="EQ311" s="263"/>
      <c r="ER311" s="263"/>
      <c r="ES311" s="263"/>
      <c r="ET311" s="263"/>
      <c r="EU311" s="1096"/>
    </row>
    <row r="312" spans="1:151" s="1790" customFormat="1" ht="12" customHeight="1">
      <c r="A312" s="1997" t="s">
        <v>6985</v>
      </c>
      <c r="B312" s="126"/>
      <c r="C312" s="126"/>
      <c r="D312" s="126"/>
      <c r="E312" s="126"/>
      <c r="F312" s="126"/>
      <c r="G312" s="126"/>
      <c r="H312" s="126"/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  <c r="T312" s="126"/>
      <c r="U312" s="126"/>
      <c r="V312" s="126"/>
      <c r="W312" s="126"/>
      <c r="X312" s="126"/>
      <c r="Y312" s="126"/>
      <c r="Z312" s="126"/>
      <c r="AA312" s="126"/>
      <c r="AB312" s="126"/>
      <c r="AC312" s="126"/>
      <c r="AD312" s="126"/>
      <c r="AE312" s="126"/>
      <c r="AF312" s="126"/>
      <c r="AG312" s="126"/>
      <c r="AH312" s="126"/>
      <c r="AI312" s="126"/>
      <c r="AJ312" s="126"/>
      <c r="AK312" s="126"/>
      <c r="AL312" s="126"/>
      <c r="AM312" s="126"/>
      <c r="AN312" s="126"/>
      <c r="AO312" s="126"/>
      <c r="AP312" s="126"/>
      <c r="AQ312" s="126"/>
      <c r="AR312" s="126"/>
      <c r="AS312" s="126"/>
      <c r="AT312" s="126"/>
      <c r="AU312" s="126"/>
      <c r="AV312" s="126"/>
      <c r="AW312" s="744"/>
      <c r="AX312" s="126"/>
      <c r="AY312" s="125"/>
      <c r="AZ312" s="125"/>
      <c r="BA312" s="125"/>
      <c r="BB312" s="125"/>
      <c r="BC312" s="125"/>
      <c r="BD312" s="126"/>
      <c r="BE312" s="125"/>
      <c r="BF312" s="125"/>
      <c r="BG312" s="125"/>
      <c r="BH312" s="125"/>
      <c r="BI312" s="125"/>
      <c r="BJ312" s="126"/>
      <c r="BK312" s="126"/>
      <c r="BL312" s="126"/>
      <c r="BM312" s="126"/>
      <c r="BN312" s="126"/>
      <c r="BO312" s="1998"/>
      <c r="BP312" s="126"/>
      <c r="BQ312" s="126"/>
      <c r="BR312" s="126"/>
      <c r="BS312" s="126"/>
      <c r="BT312" s="126"/>
      <c r="BU312" s="1998"/>
      <c r="BV312" s="126"/>
      <c r="BW312" s="126"/>
      <c r="BX312" s="126"/>
      <c r="BY312" s="126"/>
      <c r="BZ312" s="126"/>
      <c r="CA312" s="1998"/>
      <c r="CB312" s="126"/>
      <c r="CC312" s="126"/>
      <c r="CD312" s="126"/>
      <c r="CE312" s="126"/>
      <c r="CF312" s="126"/>
      <c r="CG312" s="1998"/>
      <c r="CH312" s="126"/>
      <c r="CI312" s="126"/>
      <c r="CJ312" s="126"/>
      <c r="CK312" s="125"/>
      <c r="CL312" s="126"/>
      <c r="CM312" s="1998"/>
      <c r="CN312" s="126"/>
      <c r="CO312" s="126"/>
      <c r="CP312" s="126"/>
      <c r="CQ312" s="126"/>
      <c r="CR312" s="126"/>
      <c r="CS312" s="1998"/>
      <c r="CT312" s="126"/>
      <c r="CU312" s="126"/>
      <c r="CV312" s="126"/>
      <c r="CW312" s="126"/>
      <c r="CY312" s="1998"/>
      <c r="CZ312" s="126"/>
      <c r="DA312" s="126"/>
      <c r="DB312" s="126"/>
      <c r="DC312" s="126"/>
      <c r="DD312" s="126"/>
      <c r="DE312" s="1999"/>
      <c r="DF312" s="126"/>
      <c r="DG312" s="2000"/>
      <c r="DH312" s="2000"/>
      <c r="DI312" s="2000"/>
      <c r="DJ312" s="2000"/>
      <c r="DK312" s="2001"/>
      <c r="DL312" s="126"/>
      <c r="DM312" s="2002"/>
      <c r="DN312" s="2002">
        <f t="shared" ref="DN312" si="204">+DN310/DH310-1</f>
        <v>0.14285714285714279</v>
      </c>
      <c r="DO312" s="2002">
        <f>+DO310/DI310-1</f>
        <v>-0.46696528555431127</v>
      </c>
      <c r="DP312" s="2027">
        <f>+DP310/DJ310-1</f>
        <v>-0.19047619047619047</v>
      </c>
      <c r="DQ312" s="1998"/>
      <c r="DR312" s="126"/>
      <c r="DS312" s="2002">
        <f>+DS310/DM310-1</f>
        <v>8.4183673469387488E-2</v>
      </c>
      <c r="DT312" s="2002">
        <f t="shared" ref="DT312" si="205">+DT310/DN310-1</f>
        <v>2.9000000000000137E-2</v>
      </c>
      <c r="DU312" s="2002">
        <f t="shared" ref="DU312" si="206">+DU310/DO310-1</f>
        <v>-0.2550193730186685</v>
      </c>
      <c r="DV312" s="2027">
        <f>+DV310/DP310-1</f>
        <v>-1.6253869969040102E-2</v>
      </c>
      <c r="DW312" s="1998"/>
      <c r="DX312" s="126"/>
      <c r="DY312" s="2002">
        <f>+DY310/DS310-1</f>
        <v>-0.14466043928300931</v>
      </c>
      <c r="DZ312" s="2002">
        <f t="shared" ref="DZ312:EA312" si="207">+DZ310/DT310-1</f>
        <v>-0.32392710170487948</v>
      </c>
      <c r="EA312" s="2002">
        <f t="shared" si="207"/>
        <v>0.69236337314513197</v>
      </c>
      <c r="EB312" s="2027">
        <f>+EB310/DV310-1</f>
        <v>0.25578486554096291</v>
      </c>
      <c r="EC312" s="1998"/>
      <c r="ED312" s="126"/>
      <c r="EE312" s="2002">
        <f>+EE310/DY310-1</f>
        <v>0.18093288774592886</v>
      </c>
      <c r="EF312" s="2002">
        <f t="shared" ref="EF312" si="208">+EF310/DZ310-1</f>
        <v>-2.2130572838168105E-2</v>
      </c>
      <c r="EG312" s="2002">
        <f t="shared" ref="EG312" si="209">+EG310/EA310-1</f>
        <v>8.4820924407117415E-2</v>
      </c>
      <c r="EH312" s="2002">
        <f t="shared" ref="EH312" si="210">+EH310/EB310-1</f>
        <v>1.375119760837149</v>
      </c>
      <c r="EI312" s="1998"/>
      <c r="EJ312" s="126"/>
      <c r="EK312" s="2002"/>
      <c r="EL312" s="2002"/>
      <c r="EM312" s="2002"/>
      <c r="EN312" s="2002"/>
      <c r="EO312" s="1998"/>
      <c r="EP312" s="126"/>
      <c r="EQ312" s="2002"/>
      <c r="ER312" s="2002"/>
      <c r="ES312" s="2002"/>
      <c r="ET312" s="2002"/>
      <c r="EU312" s="1998"/>
    </row>
    <row r="313" spans="1:151" s="1790" customFormat="1" ht="12" customHeight="1">
      <c r="A313" s="1997"/>
      <c r="B313" s="126"/>
      <c r="C313" s="126"/>
      <c r="D313" s="126"/>
      <c r="E313" s="126"/>
      <c r="F313" s="126"/>
      <c r="G313" s="126"/>
      <c r="H313" s="126"/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  <c r="T313" s="126"/>
      <c r="U313" s="126"/>
      <c r="V313" s="126"/>
      <c r="W313" s="126"/>
      <c r="X313" s="126"/>
      <c r="Y313" s="126"/>
      <c r="Z313" s="126"/>
      <c r="AA313" s="126"/>
      <c r="AB313" s="126"/>
      <c r="AC313" s="126"/>
      <c r="AD313" s="126"/>
      <c r="AE313" s="126"/>
      <c r="AF313" s="126"/>
      <c r="AG313" s="126"/>
      <c r="AH313" s="126"/>
      <c r="AI313" s="126"/>
      <c r="AJ313" s="126"/>
      <c r="AK313" s="126"/>
      <c r="AL313" s="126"/>
      <c r="AM313" s="126"/>
      <c r="AN313" s="126"/>
      <c r="AO313" s="126"/>
      <c r="AP313" s="126"/>
      <c r="AQ313" s="126"/>
      <c r="AR313" s="126"/>
      <c r="AS313" s="126"/>
      <c r="AT313" s="126"/>
      <c r="AU313" s="126"/>
      <c r="AV313" s="126"/>
      <c r="AW313" s="744"/>
      <c r="AX313" s="126"/>
      <c r="AY313" s="125"/>
      <c r="AZ313" s="125"/>
      <c r="BA313" s="125"/>
      <c r="BB313" s="125"/>
      <c r="BC313" s="125"/>
      <c r="BD313" s="126"/>
      <c r="BE313" s="125"/>
      <c r="BF313" s="125"/>
      <c r="BG313" s="125"/>
      <c r="BH313" s="125"/>
      <c r="BI313" s="125"/>
      <c r="BJ313" s="126"/>
      <c r="BK313" s="126"/>
      <c r="BL313" s="126"/>
      <c r="BM313" s="126"/>
      <c r="BN313" s="126"/>
      <c r="BO313" s="1998"/>
      <c r="BP313" s="126"/>
      <c r="BQ313" s="126"/>
      <c r="BR313" s="126"/>
      <c r="BS313" s="126"/>
      <c r="BT313" s="126"/>
      <c r="BU313" s="1998"/>
      <c r="BV313" s="126"/>
      <c r="BW313" s="126"/>
      <c r="BX313" s="126"/>
      <c r="BY313" s="126"/>
      <c r="BZ313" s="126"/>
      <c r="CA313" s="1998"/>
      <c r="CB313" s="126"/>
      <c r="CC313" s="126"/>
      <c r="CD313" s="126"/>
      <c r="CE313" s="126"/>
      <c r="CF313" s="126"/>
      <c r="CG313" s="1998"/>
      <c r="CH313" s="126"/>
      <c r="CI313" s="126"/>
      <c r="CJ313" s="126"/>
      <c r="CK313" s="125"/>
      <c r="CL313" s="126"/>
      <c r="CM313" s="1998"/>
      <c r="CN313" s="126"/>
      <c r="CO313" s="126"/>
      <c r="CP313" s="126"/>
      <c r="CQ313" s="126"/>
      <c r="CR313" s="126"/>
      <c r="CS313" s="1998"/>
      <c r="CT313" s="126"/>
      <c r="CU313" s="126"/>
      <c r="CV313" s="126"/>
      <c r="CW313" s="126"/>
      <c r="CY313" s="1998"/>
      <c r="CZ313" s="126"/>
      <c r="DA313" s="126"/>
      <c r="DB313" s="126"/>
      <c r="DC313" s="126"/>
      <c r="DD313" s="126"/>
      <c r="DE313" s="1999"/>
      <c r="DF313" s="126"/>
      <c r="DG313" s="2000"/>
      <c r="DH313" s="2000"/>
      <c r="DI313" s="2000"/>
      <c r="DJ313" s="2000"/>
      <c r="DK313" s="2001"/>
      <c r="DL313" s="126"/>
      <c r="DM313" s="2002"/>
      <c r="DN313" s="2002"/>
      <c r="DO313" s="2002"/>
      <c r="DP313" s="2027"/>
      <c r="DQ313" s="1998"/>
      <c r="DR313" s="126"/>
      <c r="DS313" s="2002"/>
      <c r="DT313" s="126"/>
      <c r="DU313" s="126"/>
      <c r="DV313" s="2027"/>
      <c r="DW313" s="1998"/>
      <c r="DX313" s="126"/>
      <c r="DY313" s="2002"/>
      <c r="DZ313" s="126"/>
      <c r="EA313" s="126"/>
      <c r="EB313" s="2027"/>
      <c r="EC313" s="1998"/>
      <c r="ED313" s="126"/>
      <c r="EE313" s="126"/>
      <c r="EF313" s="126"/>
      <c r="EG313" s="126"/>
      <c r="EH313" s="126"/>
      <c r="EI313" s="1998"/>
      <c r="EJ313" s="126"/>
      <c r="EK313" s="126"/>
      <c r="EL313" s="126"/>
      <c r="EM313" s="126"/>
      <c r="EN313" s="126"/>
      <c r="EO313" s="1998"/>
      <c r="EP313" s="126"/>
      <c r="EQ313" s="126"/>
      <c r="ER313" s="126"/>
      <c r="ES313" s="126"/>
      <c r="ET313" s="126"/>
      <c r="EU313" s="1998"/>
    </row>
    <row r="314" spans="1:151" s="2048" customFormat="1" ht="12" customHeight="1">
      <c r="A314" s="2043" t="s">
        <v>7066</v>
      </c>
      <c r="B314" s="2044"/>
      <c r="C314" s="2044"/>
      <c r="D314" s="2044"/>
      <c r="E314" s="2044"/>
      <c r="F314" s="2044"/>
      <c r="G314" s="2044"/>
      <c r="H314" s="2044"/>
      <c r="I314" s="2044"/>
      <c r="J314" s="2044"/>
      <c r="K314" s="2044"/>
      <c r="L314" s="2044"/>
      <c r="M314" s="2044"/>
      <c r="N314" s="2044"/>
      <c r="O314" s="2044"/>
      <c r="P314" s="2044"/>
      <c r="Q314" s="2044"/>
      <c r="R314" s="2044"/>
      <c r="S314" s="2044"/>
      <c r="T314" s="2044"/>
      <c r="U314" s="2044"/>
      <c r="V314" s="2044"/>
      <c r="W314" s="2044"/>
      <c r="X314" s="2044"/>
      <c r="Y314" s="2044"/>
      <c r="Z314" s="2044"/>
      <c r="AA314" s="2044"/>
      <c r="AB314" s="2044"/>
      <c r="AC314" s="2044"/>
      <c r="AD314" s="2044"/>
      <c r="AE314" s="2044"/>
      <c r="AF314" s="2044"/>
      <c r="AG314" s="2044"/>
      <c r="AH314" s="2044"/>
      <c r="AI314" s="2044"/>
      <c r="AJ314" s="2044"/>
      <c r="AK314" s="2044"/>
      <c r="AL314" s="2044"/>
      <c r="AM314" s="2044"/>
      <c r="AN314" s="2044"/>
      <c r="AO314" s="2044"/>
      <c r="AP314" s="2044"/>
      <c r="AQ314" s="2044"/>
      <c r="AR314" s="2044"/>
      <c r="AS314" s="2044"/>
      <c r="AT314" s="2044"/>
      <c r="AU314" s="2044"/>
      <c r="AV314" s="2044"/>
      <c r="AW314" s="2045"/>
      <c r="AX314" s="2044"/>
      <c r="AY314" s="2046"/>
      <c r="AZ314" s="2046"/>
      <c r="BA314" s="2046"/>
      <c r="BB314" s="2046"/>
      <c r="BC314" s="2046"/>
      <c r="BD314" s="2044"/>
      <c r="BE314" s="2046"/>
      <c r="BF314" s="2046"/>
      <c r="BG314" s="2046"/>
      <c r="BH314" s="2046"/>
      <c r="BI314" s="2046"/>
      <c r="BJ314" s="2044"/>
      <c r="BK314" s="2044"/>
      <c r="BL314" s="2044"/>
      <c r="BM314" s="2044"/>
      <c r="BN314" s="2044"/>
      <c r="BO314" s="2047"/>
      <c r="BP314" s="2044"/>
      <c r="BQ314" s="2044"/>
      <c r="BR314" s="2044"/>
      <c r="BS314" s="2044"/>
      <c r="BT314" s="2044"/>
      <c r="BU314" s="2047"/>
      <c r="BV314" s="2044"/>
      <c r="BW314" s="2044"/>
      <c r="BX314" s="2044"/>
      <c r="BY314" s="2044"/>
      <c r="BZ314" s="2044"/>
      <c r="CA314" s="2047"/>
      <c r="CB314" s="2044"/>
      <c r="CC314" s="2044"/>
      <c r="CD314" s="2044"/>
      <c r="CE314" s="2044"/>
      <c r="CF314" s="2044"/>
      <c r="CG314" s="2047"/>
      <c r="CH314" s="2044"/>
      <c r="CI314" s="2044"/>
      <c r="CJ314" s="2044"/>
      <c r="CK314" s="2046"/>
      <c r="CL314" s="2044"/>
      <c r="CM314" s="2047"/>
      <c r="CN314" s="2044"/>
      <c r="CO314" s="2044"/>
      <c r="CP314" s="2044"/>
      <c r="CQ314" s="2044"/>
      <c r="CR314" s="2044"/>
      <c r="CS314" s="2047"/>
      <c r="CT314" s="2044"/>
      <c r="CU314" s="2044"/>
      <c r="CV314" s="2044"/>
      <c r="CW314" s="2044"/>
      <c r="CY314" s="2047"/>
      <c r="CZ314" s="2044"/>
      <c r="DA314" s="2044"/>
      <c r="DB314" s="2044"/>
      <c r="DC314" s="2044"/>
      <c r="DD314" s="2044"/>
      <c r="DE314" s="2047"/>
      <c r="DF314" s="2044"/>
      <c r="DG314" s="2051"/>
      <c r="DH314" s="2052">
        <f>+DH301/DH281</f>
        <v>0.7</v>
      </c>
      <c r="DI314" s="2052">
        <f>+DI301/DI281</f>
        <v>0.69620253164556967</v>
      </c>
      <c r="DJ314" s="2052">
        <f>+DJ301/DJ281</f>
        <v>0.69090909090909092</v>
      </c>
      <c r="DK314" s="2053"/>
      <c r="DL314" s="2054"/>
      <c r="DM314" s="2052">
        <f>+DM301/DM281</f>
        <v>0.66666666666666663</v>
      </c>
      <c r="DN314" s="2052">
        <f>+DN301/DN281</f>
        <v>0.63949843260188088</v>
      </c>
      <c r="DO314" s="2052">
        <f>+DO301/DO281</f>
        <v>0.60382513661202186</v>
      </c>
      <c r="DP314" s="2052">
        <f>+DP301/DP281</f>
        <v>0.59718969555035128</v>
      </c>
      <c r="DQ314" s="2055"/>
      <c r="DR314" s="2054"/>
      <c r="DS314" s="2052">
        <f>+DS301/DS281</f>
        <v>0.59964726631393295</v>
      </c>
      <c r="DT314" s="2052">
        <f>+DT301/DT281</f>
        <v>0.58236994219653182</v>
      </c>
      <c r="DU314" s="2052">
        <f>+DU301/DU281</f>
        <v>0.52153667054714781</v>
      </c>
      <c r="DV314" s="2052">
        <f>+DV301/DV281</f>
        <v>0.52529898804047837</v>
      </c>
      <c r="DW314" s="2066"/>
      <c r="DX314" s="2044"/>
      <c r="DY314" s="2052">
        <f>+DY301/DY281</f>
        <v>0.52424242424242429</v>
      </c>
      <c r="DZ314" s="2052">
        <f>+DZ301/DZ281</f>
        <v>0.49308176100628931</v>
      </c>
      <c r="EA314" s="2052">
        <f>+EA301/EA281</f>
        <v>0.4870848708487085</v>
      </c>
      <c r="EB314" s="2052">
        <f>+EB301/EB281</f>
        <v>0.51819184123484008</v>
      </c>
      <c r="EC314" s="2066"/>
      <c r="ED314" s="2044"/>
      <c r="EE314" s="2052">
        <f>DY314*(1+EE316)</f>
        <v>0.52948484848484856</v>
      </c>
      <c r="EF314" s="2052">
        <f t="shared" ref="EF314" si="211">DZ314*(1+EF316)</f>
        <v>0.50787421383647802</v>
      </c>
      <c r="EG314" s="2052">
        <f t="shared" ref="EG314" si="212">EA314*(1+EG316)</f>
        <v>0.50656826568265689</v>
      </c>
      <c r="EH314" s="2052">
        <f t="shared" ref="EH314" si="213">EB314*(1+EH316)</f>
        <v>0.60965270121278925</v>
      </c>
      <c r="EI314" s="2047"/>
      <c r="EJ314" s="2044"/>
      <c r="EK314" s="2052">
        <f>EE314*(1+EK316)</f>
        <v>0.55595909090909101</v>
      </c>
      <c r="EL314" s="2052">
        <f t="shared" ref="EL314" si="214">EF314*(1+EL316)</f>
        <v>0.53326792452830196</v>
      </c>
      <c r="EM314" s="2052">
        <f t="shared" ref="EM314" si="215">EG314*(1+EM316)</f>
        <v>0.53189667896678972</v>
      </c>
      <c r="EN314" s="2052">
        <f t="shared" ref="EN314" si="216">EH314*(1+EN316)</f>
        <v>0.68360357386990056</v>
      </c>
      <c r="EO314" s="2047"/>
      <c r="EP314" s="2044"/>
      <c r="EQ314" s="2052">
        <f>EK314*(1+EQ316)</f>
        <v>0.58375704545454554</v>
      </c>
      <c r="ER314" s="2052">
        <f t="shared" ref="ER314" si="217">EL314*(1+ER316)</f>
        <v>0.55993132075471708</v>
      </c>
      <c r="ES314" s="2052">
        <f t="shared" ref="ES314" si="218">EM314*(1+ES316)</f>
        <v>0.55849151291512922</v>
      </c>
      <c r="ET314" s="2052">
        <f t="shared" ref="ET314" si="219">EN314*(1+ET316)</f>
        <v>0.71210984290027546</v>
      </c>
      <c r="EU314" s="2047"/>
    </row>
    <row r="315" spans="1:151" s="1790" customFormat="1" ht="12" customHeight="1">
      <c r="A315" s="1997" t="s">
        <v>7084</v>
      </c>
      <c r="B315" s="126"/>
      <c r="C315" s="126"/>
      <c r="D315" s="126"/>
      <c r="E315" s="126"/>
      <c r="F315" s="126"/>
      <c r="G315" s="126"/>
      <c r="H315" s="126"/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  <c r="T315" s="126"/>
      <c r="U315" s="126"/>
      <c r="V315" s="126"/>
      <c r="W315" s="126"/>
      <c r="X315" s="126"/>
      <c r="Y315" s="126"/>
      <c r="Z315" s="126"/>
      <c r="AA315" s="126"/>
      <c r="AB315" s="126"/>
      <c r="AC315" s="126"/>
      <c r="AD315" s="126"/>
      <c r="AE315" s="126"/>
      <c r="AF315" s="126"/>
      <c r="AG315" s="126"/>
      <c r="AH315" s="126"/>
      <c r="AI315" s="126"/>
      <c r="AJ315" s="126"/>
      <c r="AK315" s="126"/>
      <c r="AL315" s="126"/>
      <c r="AM315" s="126"/>
      <c r="AN315" s="126"/>
      <c r="AO315" s="126"/>
      <c r="AP315" s="126"/>
      <c r="AQ315" s="126"/>
      <c r="AR315" s="126"/>
      <c r="AS315" s="126"/>
      <c r="AT315" s="126"/>
      <c r="AU315" s="126"/>
      <c r="AV315" s="126"/>
      <c r="AW315" s="744"/>
      <c r="AX315" s="126"/>
      <c r="AY315" s="125"/>
      <c r="AZ315" s="125"/>
      <c r="BA315" s="125"/>
      <c r="BB315" s="125"/>
      <c r="BC315" s="125"/>
      <c r="BD315" s="126"/>
      <c r="BE315" s="125"/>
      <c r="BF315" s="125"/>
      <c r="BG315" s="125"/>
      <c r="BH315" s="125"/>
      <c r="BI315" s="125"/>
      <c r="BJ315" s="126"/>
      <c r="BK315" s="126"/>
      <c r="BL315" s="126"/>
      <c r="BM315" s="126"/>
      <c r="BN315" s="126"/>
      <c r="BO315" s="1998"/>
      <c r="BP315" s="126"/>
      <c r="BQ315" s="126"/>
      <c r="BR315" s="126"/>
      <c r="BS315" s="126"/>
      <c r="BT315" s="126"/>
      <c r="BU315" s="1998"/>
      <c r="BV315" s="126"/>
      <c r="BW315" s="126"/>
      <c r="BX315" s="126"/>
      <c r="BY315" s="126"/>
      <c r="BZ315" s="126"/>
      <c r="CA315" s="1998"/>
      <c r="CB315" s="126"/>
      <c r="CC315" s="126"/>
      <c r="CD315" s="126"/>
      <c r="CE315" s="126"/>
      <c r="CF315" s="126"/>
      <c r="CG315" s="1998"/>
      <c r="CH315" s="126"/>
      <c r="CI315" s="126"/>
      <c r="CJ315" s="126"/>
      <c r="CK315" s="125"/>
      <c r="CL315" s="126"/>
      <c r="CM315" s="1998"/>
      <c r="CN315" s="126"/>
      <c r="CO315" s="126"/>
      <c r="CP315" s="126"/>
      <c r="CQ315" s="126"/>
      <c r="CR315" s="126"/>
      <c r="CS315" s="1998"/>
      <c r="CT315" s="126"/>
      <c r="CU315" s="126"/>
      <c r="CV315" s="126"/>
      <c r="CW315" s="126"/>
      <c r="CY315" s="1998"/>
      <c r="CZ315" s="126"/>
      <c r="DA315" s="126"/>
      <c r="DB315" s="126"/>
      <c r="DC315" s="126"/>
      <c r="DD315" s="126"/>
      <c r="DE315" s="1999"/>
      <c r="DF315" s="126"/>
      <c r="DG315" s="2000"/>
      <c r="DH315" s="2000"/>
      <c r="DI315" s="2002">
        <f>+DI314/DH314-1</f>
        <v>-5.4249547920433017E-3</v>
      </c>
      <c r="DJ315" s="2002">
        <f>+DJ314/DI314-1</f>
        <v>-7.603305785124026E-3</v>
      </c>
      <c r="DK315" s="2001"/>
      <c r="DL315" s="126"/>
      <c r="DM315" s="2002">
        <f>+DM314/DJ314-1</f>
        <v>-3.5087719298245723E-2</v>
      </c>
      <c r="DN315" s="2002">
        <f>+DN314/DM314-1</f>
        <v>-4.0752351097178674E-2</v>
      </c>
      <c r="DO315" s="2002">
        <f>+DO314/DN314-1</f>
        <v>-5.5783242258652055E-2</v>
      </c>
      <c r="DP315" s="2002">
        <f>+DP314/DO314-1</f>
        <v>-1.098901098901095E-2</v>
      </c>
      <c r="DQ315" s="1998"/>
      <c r="DR315" s="126"/>
      <c r="DS315" s="2002">
        <f>+DS314/DP314-1</f>
        <v>4.1152263374484299E-3</v>
      </c>
      <c r="DT315" s="2002">
        <f>+DT314/DS314-1</f>
        <v>-2.8812478748724835E-2</v>
      </c>
      <c r="DU315" s="2002">
        <f>+DU314/DT314-1</f>
        <v>-0.10445812402325994</v>
      </c>
      <c r="DV315" s="2002">
        <f>+DV314/DU314-1</f>
        <v>7.2139078722566197E-3</v>
      </c>
      <c r="DW315" s="1998"/>
      <c r="DX315" s="126"/>
      <c r="DY315" s="2002">
        <f>+DY314/DV314-1</f>
        <v>-2.0113570026003558E-3</v>
      </c>
      <c r="DZ315" s="2002">
        <f>+DZ314/DY314-1</f>
        <v>-5.9439415421529196E-2</v>
      </c>
      <c r="EA315" s="2002">
        <f>+EA314/DZ314-1</f>
        <v>-1.2162060396114116E-2</v>
      </c>
      <c r="EB315" s="2002">
        <f>+EB314/EA314-1</f>
        <v>6.3863552838194337E-2</v>
      </c>
      <c r="EC315" s="1998"/>
      <c r="ED315" s="126"/>
      <c r="EE315" s="2002">
        <f>+EE314/EB314-1</f>
        <v>2.179310122501632E-2</v>
      </c>
      <c r="EF315" s="2002">
        <f>+EF314/EE314-1</f>
        <v>-4.0814453350668356E-2</v>
      </c>
      <c r="EG315" s="2002">
        <f t="shared" ref="EG315" si="220">+EG314/EF314-1</f>
        <v>-2.5714007883094192E-3</v>
      </c>
      <c r="EH315" s="2002">
        <f t="shared" ref="EH315" si="221">+EH314/EG314-1</f>
        <v>0.20349564414820698</v>
      </c>
      <c r="EI315" s="1998"/>
      <c r="EJ315" s="126"/>
      <c r="EK315" s="2002">
        <f>+EK314/EH314-1</f>
        <v>-8.8072455345289069E-2</v>
      </c>
      <c r="EL315" s="2002">
        <f>+EL314/EK314-1</f>
        <v>-4.0814453350668245E-2</v>
      </c>
      <c r="EM315" s="2002">
        <f t="shared" ref="EM315" si="222">+EM314/EL314-1</f>
        <v>-2.5714007883095302E-3</v>
      </c>
      <c r="EN315" s="2002">
        <f t="shared" ref="EN315" si="223">+EN314/EM314-1</f>
        <v>0.28521872931750902</v>
      </c>
      <c r="EO315" s="1998"/>
      <c r="EP315" s="126"/>
      <c r="EQ315" s="2002">
        <f>+EQ314/EN314-1</f>
        <v>-0.14605910827838542</v>
      </c>
      <c r="ER315" s="2002">
        <f>+ER314/EQ314-1</f>
        <v>-4.0814453350668245E-2</v>
      </c>
      <c r="ES315" s="2002">
        <f t="shared" ref="ES315" si="224">+ES314/ER314-1</f>
        <v>-2.5714007883095302E-3</v>
      </c>
      <c r="ET315" s="2002">
        <f t="shared" ref="ET315" si="225">+ET314/ES314-1</f>
        <v>0.2750593812667137</v>
      </c>
      <c r="EU315" s="1998"/>
    </row>
    <row r="316" spans="1:151" s="1790" customFormat="1" ht="12" customHeight="1">
      <c r="A316" s="1997" t="s">
        <v>6985</v>
      </c>
      <c r="B316" s="126"/>
      <c r="C316" s="126"/>
      <c r="D316" s="126"/>
      <c r="E316" s="126"/>
      <c r="F316" s="126"/>
      <c r="G316" s="126"/>
      <c r="H316" s="126"/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  <c r="T316" s="126"/>
      <c r="U316" s="126"/>
      <c r="V316" s="126"/>
      <c r="W316" s="126"/>
      <c r="X316" s="126"/>
      <c r="Y316" s="126"/>
      <c r="Z316" s="126"/>
      <c r="AA316" s="126"/>
      <c r="AB316" s="126"/>
      <c r="AC316" s="126"/>
      <c r="AD316" s="126"/>
      <c r="AE316" s="126"/>
      <c r="AF316" s="126"/>
      <c r="AG316" s="126"/>
      <c r="AH316" s="126"/>
      <c r="AI316" s="126"/>
      <c r="AJ316" s="126"/>
      <c r="AK316" s="126"/>
      <c r="AL316" s="126"/>
      <c r="AM316" s="126"/>
      <c r="AN316" s="126"/>
      <c r="AO316" s="126"/>
      <c r="AP316" s="126"/>
      <c r="AQ316" s="126"/>
      <c r="AR316" s="126"/>
      <c r="AS316" s="126"/>
      <c r="AT316" s="126"/>
      <c r="AU316" s="126"/>
      <c r="AV316" s="126"/>
      <c r="AW316" s="744"/>
      <c r="AX316" s="126"/>
      <c r="AY316" s="125"/>
      <c r="AZ316" s="125"/>
      <c r="BA316" s="125"/>
      <c r="BB316" s="125"/>
      <c r="BC316" s="125"/>
      <c r="BD316" s="126"/>
      <c r="BE316" s="125"/>
      <c r="BF316" s="125"/>
      <c r="BG316" s="125"/>
      <c r="BH316" s="125"/>
      <c r="BI316" s="125"/>
      <c r="BJ316" s="126"/>
      <c r="BK316" s="126"/>
      <c r="BL316" s="126"/>
      <c r="BM316" s="126"/>
      <c r="BN316" s="126"/>
      <c r="BO316" s="1998"/>
      <c r="BP316" s="126"/>
      <c r="BQ316" s="126"/>
      <c r="BR316" s="126"/>
      <c r="BS316" s="126"/>
      <c r="BT316" s="126"/>
      <c r="BU316" s="1998"/>
      <c r="BV316" s="126"/>
      <c r="BW316" s="126"/>
      <c r="BX316" s="126"/>
      <c r="BY316" s="126"/>
      <c r="BZ316" s="126"/>
      <c r="CA316" s="1998"/>
      <c r="CB316" s="126"/>
      <c r="CC316" s="126"/>
      <c r="CD316" s="126"/>
      <c r="CE316" s="126"/>
      <c r="CF316" s="126"/>
      <c r="CG316" s="1998"/>
      <c r="CH316" s="126"/>
      <c r="CI316" s="126"/>
      <c r="CJ316" s="126"/>
      <c r="CK316" s="125"/>
      <c r="CL316" s="126"/>
      <c r="CM316" s="1998"/>
      <c r="CN316" s="126"/>
      <c r="CO316" s="126"/>
      <c r="CP316" s="126"/>
      <c r="CQ316" s="126"/>
      <c r="CR316" s="126"/>
      <c r="CS316" s="1998"/>
      <c r="CT316" s="126"/>
      <c r="CU316" s="126"/>
      <c r="CV316" s="126"/>
      <c r="CW316" s="126"/>
      <c r="CY316" s="1998"/>
      <c r="CZ316" s="126"/>
      <c r="DA316" s="126"/>
      <c r="DB316" s="126"/>
      <c r="DC316" s="126"/>
      <c r="DD316" s="126"/>
      <c r="DE316" s="1999"/>
      <c r="DF316" s="126"/>
      <c r="DG316" s="2000"/>
      <c r="DH316" s="2000"/>
      <c r="DI316" s="2000"/>
      <c r="DJ316" s="2000"/>
      <c r="DK316" s="2001"/>
      <c r="DL316" s="126"/>
      <c r="DM316" s="2002"/>
      <c r="DN316" s="2002">
        <f>+DN314/DH314-1</f>
        <v>-8.6430810568741578E-2</v>
      </c>
      <c r="DO316" s="2002">
        <f>+DO314/DI314-1</f>
        <v>-0.13268753104818687</v>
      </c>
      <c r="DP316" s="2002">
        <f>+DP314/DJ314-1</f>
        <v>-0.13564649328238632</v>
      </c>
      <c r="DQ316" s="1998"/>
      <c r="DR316" s="126"/>
      <c r="DS316" s="2002">
        <f>+DS314/DM314-1</f>
        <v>-0.10052910052910058</v>
      </c>
      <c r="DT316" s="2002">
        <f>+DT314/DN314-1</f>
        <v>-8.9333276663266403E-2</v>
      </c>
      <c r="DU316" s="2002">
        <f>+DU314/DO314-1</f>
        <v>-0.13627863610743851</v>
      </c>
      <c r="DV316" s="2002">
        <f>+DV314/DP314-1</f>
        <v>-0.12038169453614012</v>
      </c>
      <c r="DW316" s="2073"/>
      <c r="DX316" s="2074"/>
      <c r="DY316" s="2002">
        <f>+DY314/DS314-1</f>
        <v>-0.12574866310160415</v>
      </c>
      <c r="DZ316" s="2002">
        <f>+DZ314/DT314-1</f>
        <v>-0.15331866348299705</v>
      </c>
      <c r="EA316" s="2002">
        <f>+EA314/DU314-1</f>
        <v>-6.6058249868212848E-2</v>
      </c>
      <c r="EB316" s="2002">
        <f>+EB314/DV314-1</f>
        <v>-1.3529717298999655E-2</v>
      </c>
      <c r="EC316" s="2073"/>
      <c r="ED316" s="2074"/>
      <c r="EE316" s="2222">
        <v>0.01</v>
      </c>
      <c r="EF316" s="2223">
        <v>0.03</v>
      </c>
      <c r="EG316" s="2223">
        <v>0.04</v>
      </c>
      <c r="EH316" s="2223">
        <v>0.17649999999999999</v>
      </c>
      <c r="EI316" s="1998"/>
      <c r="EJ316" s="2074"/>
      <c r="EK316" s="2222">
        <v>0.05</v>
      </c>
      <c r="EL316" s="2223">
        <v>0.05</v>
      </c>
      <c r="EM316" s="2223">
        <v>0.05</v>
      </c>
      <c r="EN316" s="2223">
        <v>0.12130000000000001</v>
      </c>
      <c r="EO316" s="1998"/>
      <c r="EP316" s="2074"/>
      <c r="EQ316" s="2222">
        <v>0.05</v>
      </c>
      <c r="ER316" s="2223">
        <v>0.05</v>
      </c>
      <c r="ES316" s="2223">
        <v>0.05</v>
      </c>
      <c r="ET316" s="2223">
        <v>4.1700000000000001E-2</v>
      </c>
      <c r="EU316" s="1998"/>
    </row>
    <row r="317" spans="1:151" s="1790" customFormat="1" ht="12" customHeight="1">
      <c r="A317" s="1997"/>
      <c r="B317" s="126"/>
      <c r="C317" s="126"/>
      <c r="D317" s="126"/>
      <c r="E317" s="126"/>
      <c r="F317" s="126"/>
      <c r="G317" s="126"/>
      <c r="H317" s="126"/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  <c r="T317" s="126"/>
      <c r="U317" s="126"/>
      <c r="V317" s="126"/>
      <c r="W317" s="126"/>
      <c r="X317" s="126"/>
      <c r="Y317" s="126"/>
      <c r="Z317" s="126"/>
      <c r="AA317" s="126"/>
      <c r="AB317" s="126"/>
      <c r="AC317" s="126"/>
      <c r="AD317" s="126"/>
      <c r="AE317" s="126"/>
      <c r="AF317" s="126"/>
      <c r="AG317" s="126"/>
      <c r="AH317" s="126"/>
      <c r="AI317" s="126"/>
      <c r="AJ317" s="126"/>
      <c r="AK317" s="126"/>
      <c r="AL317" s="126"/>
      <c r="AM317" s="126"/>
      <c r="AN317" s="126"/>
      <c r="AO317" s="126"/>
      <c r="AP317" s="126"/>
      <c r="AQ317" s="126"/>
      <c r="AR317" s="126"/>
      <c r="AS317" s="126"/>
      <c r="AT317" s="126"/>
      <c r="AU317" s="126"/>
      <c r="AV317" s="126"/>
      <c r="AW317" s="744"/>
      <c r="AX317" s="126"/>
      <c r="AY317" s="125"/>
      <c r="AZ317" s="125"/>
      <c r="BA317" s="125"/>
      <c r="BB317" s="125"/>
      <c r="BC317" s="125"/>
      <c r="BD317" s="126"/>
      <c r="BE317" s="125"/>
      <c r="BF317" s="125"/>
      <c r="BG317" s="125"/>
      <c r="BH317" s="125"/>
      <c r="BI317" s="125"/>
      <c r="BJ317" s="126"/>
      <c r="BK317" s="126"/>
      <c r="BL317" s="126"/>
      <c r="BM317" s="126"/>
      <c r="BN317" s="126"/>
      <c r="BO317" s="1998"/>
      <c r="BP317" s="126"/>
      <c r="BQ317" s="126"/>
      <c r="BR317" s="126"/>
      <c r="BS317" s="126"/>
      <c r="BT317" s="126"/>
      <c r="BU317" s="1998"/>
      <c r="BV317" s="126"/>
      <c r="BW317" s="126"/>
      <c r="BX317" s="126"/>
      <c r="BY317" s="126"/>
      <c r="BZ317" s="126"/>
      <c r="CA317" s="1998"/>
      <c r="CB317" s="126"/>
      <c r="CC317" s="126"/>
      <c r="CD317" s="126"/>
      <c r="CE317" s="126"/>
      <c r="CF317" s="126"/>
      <c r="CG317" s="1998"/>
      <c r="CH317" s="126"/>
      <c r="CI317" s="126"/>
      <c r="CJ317" s="126"/>
      <c r="CK317" s="125"/>
      <c r="CL317" s="126"/>
      <c r="CM317" s="1998"/>
      <c r="CN317" s="126"/>
      <c r="CO317" s="126"/>
      <c r="CP317" s="126"/>
      <c r="CQ317" s="126"/>
      <c r="CR317" s="126"/>
      <c r="CS317" s="1998"/>
      <c r="CT317" s="126"/>
      <c r="CU317" s="126"/>
      <c r="CV317" s="126"/>
      <c r="CW317" s="126"/>
      <c r="CY317" s="1998"/>
      <c r="CZ317" s="126"/>
      <c r="DA317" s="126"/>
      <c r="DB317" s="126"/>
      <c r="DC317" s="126"/>
      <c r="DD317" s="126"/>
      <c r="DE317" s="1999"/>
      <c r="DF317" s="126"/>
      <c r="DG317" s="2000"/>
      <c r="DH317" s="2000"/>
      <c r="DI317" s="2000"/>
      <c r="DJ317" s="2000"/>
      <c r="DK317" s="2001"/>
      <c r="DL317" s="126"/>
      <c r="DM317" s="2002"/>
      <c r="DN317" s="2002"/>
      <c r="DO317" s="2002"/>
      <c r="DP317" s="2002"/>
      <c r="DQ317" s="1998"/>
      <c r="DR317" s="126"/>
      <c r="DS317" s="2002"/>
      <c r="DT317" s="126"/>
      <c r="DU317" s="126"/>
      <c r="DV317" s="2002"/>
      <c r="DW317" s="1998"/>
      <c r="DX317" s="126"/>
      <c r="DY317" s="2002"/>
      <c r="DZ317" s="126"/>
      <c r="EA317" s="126"/>
      <c r="EB317" s="2002"/>
      <c r="EC317" s="1998"/>
      <c r="ED317" s="126"/>
      <c r="EE317" s="126"/>
      <c r="EF317" s="126"/>
      <c r="EG317" s="126"/>
      <c r="EH317" s="126"/>
      <c r="EI317" s="1998"/>
      <c r="EJ317" s="126"/>
      <c r="EK317" s="126"/>
      <c r="EL317" s="126"/>
      <c r="EM317" s="126"/>
      <c r="EN317" s="126"/>
      <c r="EO317" s="1998"/>
      <c r="EP317" s="126"/>
      <c r="EQ317" s="126"/>
      <c r="ER317" s="126"/>
      <c r="ES317" s="126"/>
      <c r="ET317" s="126"/>
      <c r="EU317" s="1998"/>
    </row>
    <row r="318" spans="1:151" s="1790" customFormat="1" ht="12" customHeight="1">
      <c r="A318" s="1783" t="s">
        <v>7107</v>
      </c>
      <c r="B318" s="126"/>
      <c r="C318" s="126"/>
      <c r="D318" s="126"/>
      <c r="E318" s="126"/>
      <c r="F318" s="126"/>
      <c r="G318" s="126"/>
      <c r="H318" s="126"/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  <c r="T318" s="126"/>
      <c r="U318" s="126"/>
      <c r="V318" s="126"/>
      <c r="W318" s="126"/>
      <c r="X318" s="126"/>
      <c r="Y318" s="126"/>
      <c r="Z318" s="126"/>
      <c r="AA318" s="126"/>
      <c r="AB318" s="126"/>
      <c r="AC318" s="126"/>
      <c r="AD318" s="126"/>
      <c r="AE318" s="126"/>
      <c r="AF318" s="126"/>
      <c r="AG318" s="126"/>
      <c r="AH318" s="126"/>
      <c r="AI318" s="126"/>
      <c r="AJ318" s="126"/>
      <c r="AK318" s="126"/>
      <c r="AL318" s="126"/>
      <c r="AM318" s="126"/>
      <c r="AN318" s="126"/>
      <c r="AO318" s="126"/>
      <c r="AP318" s="126"/>
      <c r="AQ318" s="126"/>
      <c r="AR318" s="126"/>
      <c r="AS318" s="126"/>
      <c r="AT318" s="126"/>
      <c r="AU318" s="126"/>
      <c r="AV318" s="126"/>
      <c r="AW318" s="744"/>
      <c r="AX318" s="126"/>
      <c r="AY318" s="125"/>
      <c r="AZ318" s="125"/>
      <c r="BA318" s="125"/>
      <c r="BB318" s="125"/>
      <c r="BC318" s="125"/>
      <c r="BD318" s="126"/>
      <c r="BE318" s="125"/>
      <c r="BF318" s="125"/>
      <c r="BG318" s="125"/>
      <c r="BH318" s="125"/>
      <c r="BI318" s="125"/>
      <c r="BJ318" s="126"/>
      <c r="BK318" s="126"/>
      <c r="BL318" s="126"/>
      <c r="BM318" s="126"/>
      <c r="BN318" s="126"/>
      <c r="BO318" s="1998"/>
      <c r="BP318" s="126"/>
      <c r="BQ318" s="126"/>
      <c r="BR318" s="126"/>
      <c r="BS318" s="126"/>
      <c r="BT318" s="126"/>
      <c r="BU318" s="1998"/>
      <c r="BV318" s="126"/>
      <c r="BW318" s="126"/>
      <c r="BX318" s="126"/>
      <c r="BY318" s="126"/>
      <c r="BZ318" s="126"/>
      <c r="CA318" s="1998"/>
      <c r="CB318" s="126"/>
      <c r="CC318" s="126"/>
      <c r="CD318" s="126"/>
      <c r="CE318" s="126"/>
      <c r="CF318" s="126"/>
      <c r="CG318" s="1998"/>
      <c r="CH318" s="126"/>
      <c r="CI318" s="126"/>
      <c r="CJ318" s="126"/>
      <c r="CK318" s="125"/>
      <c r="CL318" s="126"/>
      <c r="CM318" s="1998"/>
      <c r="CN318" s="126"/>
      <c r="CO318" s="126"/>
      <c r="CP318" s="126"/>
      <c r="CQ318" s="126"/>
      <c r="CR318" s="126"/>
      <c r="CS318" s="1998"/>
      <c r="CT318" s="126"/>
      <c r="CU318" s="126"/>
      <c r="CV318" s="126"/>
      <c r="CW318" s="126"/>
      <c r="CY318" s="1998"/>
      <c r="CZ318" s="126"/>
      <c r="DA318" s="126"/>
      <c r="DB318" s="126"/>
      <c r="DC318" s="126"/>
      <c r="DD318" s="126"/>
      <c r="DE318" s="1999"/>
      <c r="DF318" s="126"/>
      <c r="DG318" s="2052"/>
      <c r="DH318" s="2052">
        <f>+DH296/DH282</f>
        <v>0.54564755838641188</v>
      </c>
      <c r="DI318" s="2052">
        <f>+DI296/DI282</f>
        <v>0.54145601617795758</v>
      </c>
      <c r="DJ318" s="2052">
        <f>+DJ296/DJ282</f>
        <v>0.54739454094292805</v>
      </c>
      <c r="DK318" s="2001"/>
      <c r="DL318" s="126"/>
      <c r="DM318" s="2052">
        <f t="shared" ref="DM318:DP318" si="226">+DM296/DM282</f>
        <v>0.55388349514563107</v>
      </c>
      <c r="DN318" s="2052">
        <f t="shared" si="226"/>
        <v>0.5468146718146718</v>
      </c>
      <c r="DO318" s="2052">
        <f t="shared" si="226"/>
        <v>0.53824228028503562</v>
      </c>
      <c r="DP318" s="2052">
        <f t="shared" si="226"/>
        <v>0.52066883418485832</v>
      </c>
      <c r="DQ318" s="1998"/>
      <c r="DR318" s="126"/>
      <c r="DS318" s="2052">
        <f>+DS296/DS282</f>
        <v>0.53037383177570097</v>
      </c>
      <c r="DT318" s="2052">
        <f>+DT296/DT282</f>
        <v>0.52118644067796616</v>
      </c>
      <c r="DU318" s="2052">
        <f t="shared" ref="DU318:DV318" si="227">+DU296/DU282</f>
        <v>0.52082336045955002</v>
      </c>
      <c r="DV318" s="2052">
        <f t="shared" si="227"/>
        <v>0.5292368681863231</v>
      </c>
      <c r="DW318" s="1998"/>
      <c r="DX318" s="126"/>
      <c r="DY318" s="2052">
        <f>+DY296/DY282</f>
        <v>0.53373921867072549</v>
      </c>
      <c r="DZ318" s="2052">
        <f>+DZ296/DZ282</f>
        <v>0.56418554476806904</v>
      </c>
      <c r="EA318" s="2052">
        <f t="shared" ref="EA318:EB318" si="228">+EA296/EA282</f>
        <v>0.57767277023036034</v>
      </c>
      <c r="EB318" s="2052">
        <f t="shared" si="228"/>
        <v>0.60683465654124957</v>
      </c>
      <c r="EC318" s="1998"/>
      <c r="ED318" s="126"/>
      <c r="EE318" s="2052">
        <f>DY318*(1+EE320)</f>
        <v>0.61380010147133424</v>
      </c>
      <c r="EF318" s="2052">
        <f t="shared" ref="EF318" si="229">DZ318*(1+EF320)</f>
        <v>0.6488133764832793</v>
      </c>
      <c r="EG318" s="2052">
        <f t="shared" ref="EG318" si="230">EA318*(1+EG320)</f>
        <v>0.72209096278795037</v>
      </c>
      <c r="EH318" s="2052">
        <f t="shared" ref="EH318" si="231">EB318*(1+EH320)</f>
        <v>0.6884539178460477</v>
      </c>
      <c r="EI318" s="1998"/>
      <c r="EJ318" s="126"/>
      <c r="EK318" s="2052">
        <f>EE318*(1+EK320)</f>
        <v>0.73656012176560104</v>
      </c>
      <c r="EL318" s="2052">
        <f t="shared" ref="EL318" si="232">EF318*(1+EL320)</f>
        <v>0.77857605177993516</v>
      </c>
      <c r="EM318" s="2052">
        <f t="shared" ref="EM318" si="233">EG318*(1+EM320)</f>
        <v>0.8665091553455404</v>
      </c>
      <c r="EN318" s="2052">
        <f t="shared" ref="EN318" si="234">EH318*(1+EN320)</f>
        <v>1.0319924228512256</v>
      </c>
      <c r="EO318" s="1998"/>
      <c r="EP318" s="126"/>
      <c r="EQ318" s="2052">
        <f>EK318*(1+EQ320)</f>
        <v>0.73656012176560104</v>
      </c>
      <c r="ER318" s="2052">
        <f t="shared" ref="ER318" si="235">EL318*(1+ER320)</f>
        <v>0.77857605177993516</v>
      </c>
      <c r="ES318" s="2052">
        <f t="shared" ref="ES318" si="236">EM318*(1+ES320)</f>
        <v>0.8665091553455404</v>
      </c>
      <c r="ET318" s="2052">
        <f t="shared" ref="ET318" si="237">EN318*(1+ET320)</f>
        <v>1.0319924228512256</v>
      </c>
      <c r="EU318" s="1998"/>
    </row>
    <row r="319" spans="1:151" s="1790" customFormat="1" ht="12" customHeight="1">
      <c r="A319" s="1997" t="s">
        <v>7084</v>
      </c>
      <c r="B319" s="126"/>
      <c r="C319" s="126"/>
      <c r="D319" s="126"/>
      <c r="E319" s="126"/>
      <c r="F319" s="126"/>
      <c r="G319" s="126"/>
      <c r="H319" s="126"/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  <c r="T319" s="126"/>
      <c r="U319" s="126"/>
      <c r="V319" s="126"/>
      <c r="W319" s="126"/>
      <c r="X319" s="126"/>
      <c r="Y319" s="126"/>
      <c r="Z319" s="126"/>
      <c r="AA319" s="126"/>
      <c r="AB319" s="126"/>
      <c r="AC319" s="126"/>
      <c r="AD319" s="126"/>
      <c r="AE319" s="126"/>
      <c r="AF319" s="126"/>
      <c r="AG319" s="126"/>
      <c r="AH319" s="126"/>
      <c r="AI319" s="126"/>
      <c r="AJ319" s="126"/>
      <c r="AK319" s="126"/>
      <c r="AL319" s="126"/>
      <c r="AM319" s="126"/>
      <c r="AN319" s="126"/>
      <c r="AO319" s="126"/>
      <c r="AP319" s="126"/>
      <c r="AQ319" s="126"/>
      <c r="AR319" s="126"/>
      <c r="AS319" s="126"/>
      <c r="AT319" s="126"/>
      <c r="AU319" s="126"/>
      <c r="AV319" s="126"/>
      <c r="AW319" s="744"/>
      <c r="AX319" s="126"/>
      <c r="AY319" s="125"/>
      <c r="AZ319" s="125"/>
      <c r="BA319" s="125"/>
      <c r="BB319" s="125"/>
      <c r="BC319" s="125"/>
      <c r="BD319" s="126"/>
      <c r="BE319" s="125"/>
      <c r="BF319" s="125"/>
      <c r="BG319" s="125"/>
      <c r="BH319" s="125"/>
      <c r="BI319" s="125"/>
      <c r="BJ319" s="126"/>
      <c r="BK319" s="126"/>
      <c r="BL319" s="126"/>
      <c r="BM319" s="126"/>
      <c r="BN319" s="126"/>
      <c r="BO319" s="1998"/>
      <c r="BP319" s="126"/>
      <c r="BQ319" s="126"/>
      <c r="BR319" s="126"/>
      <c r="BS319" s="126"/>
      <c r="BT319" s="126"/>
      <c r="BU319" s="1998"/>
      <c r="BV319" s="126"/>
      <c r="BW319" s="126"/>
      <c r="BX319" s="126"/>
      <c r="BY319" s="126"/>
      <c r="BZ319" s="126"/>
      <c r="CA319" s="1998"/>
      <c r="CB319" s="126"/>
      <c r="CC319" s="126"/>
      <c r="CD319" s="126"/>
      <c r="CE319" s="126"/>
      <c r="CF319" s="126"/>
      <c r="CG319" s="1998"/>
      <c r="CH319" s="126"/>
      <c r="CI319" s="126"/>
      <c r="CJ319" s="126"/>
      <c r="CK319" s="125"/>
      <c r="CL319" s="126"/>
      <c r="CM319" s="1998"/>
      <c r="CN319" s="126"/>
      <c r="CO319" s="126"/>
      <c r="CP319" s="126"/>
      <c r="CQ319" s="126"/>
      <c r="CR319" s="126"/>
      <c r="CS319" s="1998"/>
      <c r="CT319" s="126"/>
      <c r="CU319" s="126"/>
      <c r="CV319" s="126"/>
      <c r="CW319" s="126"/>
      <c r="CY319" s="1998"/>
      <c r="CZ319" s="126"/>
      <c r="DA319" s="126"/>
      <c r="DB319" s="126"/>
      <c r="DC319" s="126"/>
      <c r="DD319" s="126"/>
      <c r="DE319" s="1999"/>
      <c r="DF319" s="126"/>
      <c r="DG319" s="2000"/>
      <c r="DH319" s="2002"/>
      <c r="DI319" s="2002">
        <f t="shared" ref="DI319" si="238">+DI318/DH318-1</f>
        <v>-7.6817757983734802E-3</v>
      </c>
      <c r="DJ319" s="2002">
        <f>+DJ318/DI318-1</f>
        <v>1.0967695597676519E-2</v>
      </c>
      <c r="DK319" s="2001"/>
      <c r="DL319" s="126"/>
      <c r="DM319" s="2002">
        <f t="shared" ref="DM319" si="239">+DM318/DJ318-1</f>
        <v>1.1854254504484629E-2</v>
      </c>
      <c r="DN319" s="2002">
        <f t="shared" ref="DN319:DO319" si="240">+DN318/DM318-1</f>
        <v>-1.2762292779821327E-2</v>
      </c>
      <c r="DO319" s="2002">
        <f t="shared" si="240"/>
        <v>-1.5676959619952524E-2</v>
      </c>
      <c r="DP319" s="2002">
        <f>+DP318/DO318-1</f>
        <v>-3.2649694652138739E-2</v>
      </c>
      <c r="DQ319" s="1998"/>
      <c r="DR319" s="126"/>
      <c r="DS319" s="2002">
        <f>+DS318/DP318-1</f>
        <v>1.8639482438076893E-2</v>
      </c>
      <c r="DT319" s="2002">
        <f>+DT318/DS318-1</f>
        <v>-1.7322481893526476E-2</v>
      </c>
      <c r="DU319" s="2002">
        <f t="shared" ref="DU319" si="241">+DU318/DT318-1</f>
        <v>-6.9664171988781387E-4</v>
      </c>
      <c r="DV319" s="2002">
        <f>+DV318/DU318-1</f>
        <v>1.6154244155541342E-2</v>
      </c>
      <c r="DW319" s="1998"/>
      <c r="DX319" s="126"/>
      <c r="DY319" s="2002">
        <f>+DY318/DV318-1</f>
        <v>8.5072502598539934E-3</v>
      </c>
      <c r="DZ319" s="2002">
        <f>+DZ318/DY318-1</f>
        <v>5.7043449370593358E-2</v>
      </c>
      <c r="EA319" s="2002">
        <f t="shared" ref="EA319" si="242">+EA318/DZ318-1</f>
        <v>2.3905655838516227E-2</v>
      </c>
      <c r="EB319" s="2002">
        <f>+EB318/EA318-1</f>
        <v>5.048167027028172E-2</v>
      </c>
      <c r="EC319" s="1998"/>
      <c r="ED319" s="126"/>
      <c r="EE319" s="2002">
        <f>+EE318/EB318-1</f>
        <v>1.1478324210725477E-2</v>
      </c>
      <c r="EF319" s="2002">
        <f>+EF318/EE318-1</f>
        <v>5.7043449370593358E-2</v>
      </c>
      <c r="EG319" s="2002">
        <f t="shared" ref="EG319" si="243">+EG318/EF318-1</f>
        <v>0.112940930259257</v>
      </c>
      <c r="EH319" s="2002">
        <f t="shared" ref="EH319" si="244">+EH318/EG318-1</f>
        <v>-4.6582836062692201E-2</v>
      </c>
      <c r="EI319" s="1998"/>
      <c r="EJ319" s="126"/>
      <c r="EK319" s="2002">
        <f>+EK318/EH318-1</f>
        <v>6.9875706525227343E-2</v>
      </c>
      <c r="EL319" s="2002">
        <f>+EL318/EK318-1</f>
        <v>5.7043449370593358E-2</v>
      </c>
      <c r="EM319" s="2002">
        <f t="shared" ref="EM319" si="245">+EM318/EL318-1</f>
        <v>0.112940930259257</v>
      </c>
      <c r="EN319" s="2002">
        <f t="shared" ref="EN319" si="246">+EN318/EM318-1</f>
        <v>0.19097694061835391</v>
      </c>
      <c r="EO319" s="1998"/>
      <c r="EP319" s="126"/>
      <c r="EQ319" s="2002">
        <f>+EQ318/EN318-1</f>
        <v>-0.28627371145748692</v>
      </c>
      <c r="ER319" s="2002">
        <f>+ER318/EQ318-1</f>
        <v>5.7043449370593358E-2</v>
      </c>
      <c r="ES319" s="2002">
        <f t="shared" ref="ES319" si="247">+ES318/ER318-1</f>
        <v>0.112940930259257</v>
      </c>
      <c r="ET319" s="2002">
        <f t="shared" ref="ET319" si="248">+ET318/ES318-1</f>
        <v>0.19097694061835391</v>
      </c>
      <c r="EU319" s="1998"/>
    </row>
    <row r="320" spans="1:151" s="1790" customFormat="1" ht="12" customHeight="1">
      <c r="A320" s="1997" t="s">
        <v>6985</v>
      </c>
      <c r="B320" s="126"/>
      <c r="C320" s="126"/>
      <c r="D320" s="126"/>
      <c r="E320" s="126"/>
      <c r="F320" s="126"/>
      <c r="G320" s="126"/>
      <c r="H320" s="126"/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  <c r="T320" s="126"/>
      <c r="U320" s="126"/>
      <c r="V320" s="126"/>
      <c r="W320" s="126"/>
      <c r="X320" s="126"/>
      <c r="Y320" s="126"/>
      <c r="Z320" s="126"/>
      <c r="AA320" s="126"/>
      <c r="AB320" s="126"/>
      <c r="AC320" s="126"/>
      <c r="AD320" s="126"/>
      <c r="AE320" s="126"/>
      <c r="AF320" s="126"/>
      <c r="AG320" s="126"/>
      <c r="AH320" s="126"/>
      <c r="AI320" s="126"/>
      <c r="AJ320" s="126"/>
      <c r="AK320" s="126"/>
      <c r="AL320" s="126"/>
      <c r="AM320" s="126"/>
      <c r="AN320" s="126"/>
      <c r="AO320" s="126"/>
      <c r="AP320" s="126"/>
      <c r="AQ320" s="126"/>
      <c r="AR320" s="126"/>
      <c r="AS320" s="126"/>
      <c r="AT320" s="126"/>
      <c r="AU320" s="126"/>
      <c r="AV320" s="126"/>
      <c r="AW320" s="744"/>
      <c r="AX320" s="126"/>
      <c r="AY320" s="125"/>
      <c r="AZ320" s="125"/>
      <c r="BA320" s="125"/>
      <c r="BB320" s="125"/>
      <c r="BC320" s="125"/>
      <c r="BD320" s="126"/>
      <c r="BE320" s="125"/>
      <c r="BF320" s="125"/>
      <c r="BG320" s="125"/>
      <c r="BH320" s="125"/>
      <c r="BI320" s="125"/>
      <c r="BJ320" s="126"/>
      <c r="BK320" s="126"/>
      <c r="BL320" s="126"/>
      <c r="BM320" s="126"/>
      <c r="BN320" s="126"/>
      <c r="BO320" s="1998"/>
      <c r="BP320" s="126"/>
      <c r="BQ320" s="126"/>
      <c r="BR320" s="126"/>
      <c r="BS320" s="126"/>
      <c r="BT320" s="126"/>
      <c r="BU320" s="1998"/>
      <c r="BV320" s="126"/>
      <c r="BW320" s="126"/>
      <c r="BX320" s="126"/>
      <c r="BY320" s="126"/>
      <c r="BZ320" s="126"/>
      <c r="CA320" s="1998"/>
      <c r="CB320" s="126"/>
      <c r="CC320" s="126"/>
      <c r="CD320" s="126"/>
      <c r="CE320" s="126"/>
      <c r="CF320" s="126"/>
      <c r="CG320" s="1998"/>
      <c r="CH320" s="126"/>
      <c r="CI320" s="126"/>
      <c r="CJ320" s="126"/>
      <c r="CK320" s="125"/>
      <c r="CL320" s="126"/>
      <c r="CM320" s="1998"/>
      <c r="CN320" s="126"/>
      <c r="CO320" s="126"/>
      <c r="CP320" s="126"/>
      <c r="CQ320" s="126"/>
      <c r="CR320" s="126"/>
      <c r="CS320" s="1998"/>
      <c r="CT320" s="126"/>
      <c r="CU320" s="126"/>
      <c r="CV320" s="126"/>
      <c r="CW320" s="126"/>
      <c r="CY320" s="1998"/>
      <c r="CZ320" s="126"/>
      <c r="DA320" s="126"/>
      <c r="DB320" s="126"/>
      <c r="DC320" s="126"/>
      <c r="DD320" s="126"/>
      <c r="DE320" s="1999"/>
      <c r="DF320" s="126"/>
      <c r="DG320" s="2000"/>
      <c r="DH320" s="2002"/>
      <c r="DI320" s="2002"/>
      <c r="DJ320" s="2002"/>
      <c r="DK320" s="2001"/>
      <c r="DL320" s="126"/>
      <c r="DM320" s="2002"/>
      <c r="DN320" s="2002">
        <f t="shared" ref="DN320:DP320" si="249">+DN318/DH318-1</f>
        <v>2.1389510689122648E-3</v>
      </c>
      <c r="DO320" s="2002">
        <f t="shared" si="249"/>
        <v>-5.9353591000930184E-3</v>
      </c>
      <c r="DP320" s="2002">
        <f t="shared" si="249"/>
        <v>-4.8823480614243464E-2</v>
      </c>
      <c r="DQ320" s="1998"/>
      <c r="DR320" s="126"/>
      <c r="DS320" s="2002">
        <f>+DS318/DM318-1</f>
        <v>-4.244514157936552E-2</v>
      </c>
      <c r="DT320" s="2002">
        <f t="shared" ref="DT320" si="250">+DT318/DN318-1</f>
        <v>-4.6868221460948045E-2</v>
      </c>
      <c r="DU320" s="2002">
        <f t="shared" ref="DU320:DV320" si="251">+DU318/DO318-1</f>
        <v>-3.2362600381859785E-2</v>
      </c>
      <c r="DV320" s="2002">
        <f t="shared" si="251"/>
        <v>1.6455822662938102E-2</v>
      </c>
      <c r="DW320" s="1998"/>
      <c r="DX320" s="126"/>
      <c r="DY320" s="2002">
        <f>+DY318/DS318-1</f>
        <v>6.3453109738789149E-3</v>
      </c>
      <c r="DZ320" s="2002">
        <f t="shared" ref="DZ320:EA320" si="252">+DZ318/DT318-1</f>
        <v>8.2502346059059262E-2</v>
      </c>
      <c r="EA320" s="2002">
        <f t="shared" si="252"/>
        <v>0.10915295681178572</v>
      </c>
      <c r="EB320" s="2002">
        <f t="shared" ref="EB320" si="253">+EB318/DV318-1</f>
        <v>0.14662203829610632</v>
      </c>
      <c r="EC320" s="1998"/>
      <c r="ED320" s="126"/>
      <c r="EE320" s="2222">
        <v>0.15</v>
      </c>
      <c r="EF320" s="2223">
        <v>0.15</v>
      </c>
      <c r="EG320" s="2223">
        <v>0.25</v>
      </c>
      <c r="EH320" s="2223">
        <v>0.13450000000000001</v>
      </c>
      <c r="EI320" s="1998"/>
      <c r="EJ320" s="126"/>
      <c r="EK320" s="2222">
        <v>0.2</v>
      </c>
      <c r="EL320" s="2223">
        <v>0.2</v>
      </c>
      <c r="EM320" s="2223">
        <v>0.2</v>
      </c>
      <c r="EN320" s="2223">
        <v>0.499</v>
      </c>
      <c r="EO320" s="1998"/>
      <c r="EP320" s="126"/>
      <c r="EQ320" s="2222">
        <v>0</v>
      </c>
      <c r="ER320" s="2223">
        <v>0</v>
      </c>
      <c r="ES320" s="2223">
        <v>0</v>
      </c>
      <c r="ET320" s="2223">
        <v>0</v>
      </c>
      <c r="EU320" s="1998"/>
    </row>
    <row r="321" spans="1:223" s="1790" customFormat="1" ht="12" customHeight="1">
      <c r="A321" s="1997"/>
      <c r="B321" s="126"/>
      <c r="C321" s="126"/>
      <c r="D321" s="126"/>
      <c r="E321" s="126"/>
      <c r="F321" s="126"/>
      <c r="G321" s="126"/>
      <c r="H321" s="126"/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  <c r="T321" s="126"/>
      <c r="U321" s="126"/>
      <c r="V321" s="126"/>
      <c r="W321" s="126"/>
      <c r="X321" s="126"/>
      <c r="Y321" s="126"/>
      <c r="Z321" s="126"/>
      <c r="AA321" s="126"/>
      <c r="AB321" s="126"/>
      <c r="AC321" s="126"/>
      <c r="AD321" s="126"/>
      <c r="AE321" s="126"/>
      <c r="AF321" s="126"/>
      <c r="AG321" s="126"/>
      <c r="AH321" s="126"/>
      <c r="AI321" s="126"/>
      <c r="AJ321" s="126"/>
      <c r="AK321" s="126"/>
      <c r="AL321" s="126"/>
      <c r="AM321" s="126"/>
      <c r="AN321" s="126"/>
      <c r="AO321" s="126"/>
      <c r="AP321" s="126"/>
      <c r="AQ321" s="126"/>
      <c r="AR321" s="126"/>
      <c r="AS321" s="126"/>
      <c r="AT321" s="126"/>
      <c r="AU321" s="126"/>
      <c r="AV321" s="126"/>
      <c r="AW321" s="744"/>
      <c r="AX321" s="126"/>
      <c r="AY321" s="125"/>
      <c r="AZ321" s="125"/>
      <c r="BA321" s="125"/>
      <c r="BB321" s="125"/>
      <c r="BC321" s="125"/>
      <c r="BD321" s="126"/>
      <c r="BE321" s="125"/>
      <c r="BF321" s="125"/>
      <c r="BG321" s="125"/>
      <c r="BH321" s="125"/>
      <c r="BI321" s="125"/>
      <c r="BJ321" s="126"/>
      <c r="BK321" s="126"/>
      <c r="BL321" s="126"/>
      <c r="BM321" s="126"/>
      <c r="BN321" s="126"/>
      <c r="BO321" s="1998"/>
      <c r="BP321" s="126"/>
      <c r="BQ321" s="126"/>
      <c r="BR321" s="126"/>
      <c r="BS321" s="126"/>
      <c r="BT321" s="126"/>
      <c r="BU321" s="1998"/>
      <c r="BV321" s="126"/>
      <c r="BW321" s="126"/>
      <c r="BX321" s="126"/>
      <c r="BY321" s="126"/>
      <c r="BZ321" s="126"/>
      <c r="CA321" s="1998"/>
      <c r="CB321" s="126"/>
      <c r="CC321" s="126"/>
      <c r="CD321" s="126"/>
      <c r="CE321" s="126"/>
      <c r="CF321" s="126"/>
      <c r="CG321" s="1998"/>
      <c r="CH321" s="126"/>
      <c r="CI321" s="126"/>
      <c r="CJ321" s="126"/>
      <c r="CK321" s="125"/>
      <c r="CL321" s="126"/>
      <c r="CM321" s="1998"/>
      <c r="CN321" s="126"/>
      <c r="CO321" s="126"/>
      <c r="CP321" s="126"/>
      <c r="CQ321" s="126"/>
      <c r="CR321" s="126"/>
      <c r="CS321" s="1998"/>
      <c r="CT321" s="126"/>
      <c r="CU321" s="126"/>
      <c r="CV321" s="126"/>
      <c r="CW321" s="126"/>
      <c r="CY321" s="1998"/>
      <c r="CZ321" s="126"/>
      <c r="DA321" s="126"/>
      <c r="DB321" s="126"/>
      <c r="DC321" s="126"/>
      <c r="DD321" s="126"/>
      <c r="DE321" s="1999"/>
      <c r="DF321" s="126"/>
      <c r="DG321" s="2000"/>
      <c r="DH321" s="2000"/>
      <c r="DI321" s="2000"/>
      <c r="DJ321" s="2000"/>
      <c r="DK321" s="2001"/>
      <c r="DL321" s="126"/>
      <c r="DM321" s="2002"/>
      <c r="DN321" s="2002"/>
      <c r="DO321" s="2002"/>
      <c r="DP321" s="2002"/>
      <c r="DQ321" s="1998"/>
      <c r="DR321" s="126"/>
      <c r="DS321" s="2002"/>
      <c r="DT321" s="126"/>
      <c r="DU321" s="126"/>
      <c r="DV321" s="2002"/>
      <c r="DW321" s="1998"/>
      <c r="DX321" s="126"/>
      <c r="DY321" s="2002"/>
      <c r="DZ321" s="126"/>
      <c r="EA321" s="126"/>
      <c r="EB321" s="2002"/>
      <c r="EC321" s="1998"/>
      <c r="ED321" s="126"/>
      <c r="EE321" s="126"/>
      <c r="EF321" s="126"/>
      <c r="EG321" s="126"/>
      <c r="EH321" s="126"/>
      <c r="EI321" s="1998"/>
      <c r="EJ321" s="126"/>
      <c r="EK321" s="126"/>
      <c r="EL321" s="126"/>
      <c r="EM321" s="126"/>
      <c r="EN321" s="126"/>
      <c r="EO321" s="1998"/>
      <c r="EP321" s="126"/>
      <c r="EQ321" s="126"/>
      <c r="ER321" s="126"/>
      <c r="ES321" s="126"/>
      <c r="ET321" s="126"/>
      <c r="EU321" s="1998"/>
    </row>
    <row r="322" spans="1:223" s="2048" customFormat="1" ht="12" customHeight="1">
      <c r="A322" s="2043" t="s">
        <v>7106</v>
      </c>
      <c r="B322" s="2044"/>
      <c r="C322" s="2044"/>
      <c r="D322" s="2044"/>
      <c r="E322" s="2044"/>
      <c r="F322" s="2044"/>
      <c r="G322" s="2044"/>
      <c r="H322" s="2044"/>
      <c r="I322" s="2044"/>
      <c r="J322" s="2044"/>
      <c r="K322" s="2044"/>
      <c r="L322" s="2044"/>
      <c r="M322" s="2044"/>
      <c r="N322" s="2044"/>
      <c r="O322" s="2044"/>
      <c r="P322" s="2044"/>
      <c r="Q322" s="2044"/>
      <c r="R322" s="2044"/>
      <c r="S322" s="2044"/>
      <c r="T322" s="2044"/>
      <c r="U322" s="2044"/>
      <c r="V322" s="2044"/>
      <c r="W322" s="2044"/>
      <c r="X322" s="2044"/>
      <c r="Y322" s="2044"/>
      <c r="Z322" s="2044"/>
      <c r="AA322" s="2044"/>
      <c r="AB322" s="2044"/>
      <c r="AC322" s="2044"/>
      <c r="AD322" s="2044"/>
      <c r="AE322" s="2044"/>
      <c r="AF322" s="2044"/>
      <c r="AG322" s="2044"/>
      <c r="AH322" s="2044"/>
      <c r="AI322" s="2044"/>
      <c r="AJ322" s="2044"/>
      <c r="AK322" s="2044"/>
      <c r="AL322" s="2044"/>
      <c r="AM322" s="2044"/>
      <c r="AN322" s="2044"/>
      <c r="AO322" s="2044"/>
      <c r="AP322" s="2044"/>
      <c r="AQ322" s="2044"/>
      <c r="AR322" s="2044"/>
      <c r="AS322" s="2044"/>
      <c r="AT322" s="2044"/>
      <c r="AU322" s="2044"/>
      <c r="AV322" s="2044"/>
      <c r="AW322" s="2045"/>
      <c r="AX322" s="2044"/>
      <c r="AY322" s="2046"/>
      <c r="AZ322" s="2046"/>
      <c r="BA322" s="2046"/>
      <c r="BB322" s="2046"/>
      <c r="BC322" s="2046"/>
      <c r="BD322" s="2044"/>
      <c r="BE322" s="2046"/>
      <c r="BF322" s="2046"/>
      <c r="BG322" s="2046"/>
      <c r="BH322" s="2046"/>
      <c r="BI322" s="2046"/>
      <c r="BJ322" s="2044"/>
      <c r="BK322" s="2044"/>
      <c r="BL322" s="2044"/>
      <c r="BM322" s="2044"/>
      <c r="BN322" s="2044"/>
      <c r="BO322" s="2047"/>
      <c r="BP322" s="2044"/>
      <c r="BQ322" s="2044"/>
      <c r="BR322" s="2044"/>
      <c r="BS322" s="2044"/>
      <c r="BT322" s="2044"/>
      <c r="BU322" s="2047"/>
      <c r="BV322" s="2044"/>
      <c r="BW322" s="2044"/>
      <c r="BX322" s="2044"/>
      <c r="BY322" s="2044"/>
      <c r="BZ322" s="2044"/>
      <c r="CA322" s="2047"/>
      <c r="CB322" s="2044"/>
      <c r="CC322" s="2044"/>
      <c r="CD322" s="2044"/>
      <c r="CE322" s="2044"/>
      <c r="CF322" s="2044"/>
      <c r="CG322" s="2047"/>
      <c r="CH322" s="2044"/>
      <c r="CI322" s="2044"/>
      <c r="CJ322" s="2044"/>
      <c r="CK322" s="2046"/>
      <c r="CL322" s="2044"/>
      <c r="CM322" s="2047"/>
      <c r="CN322" s="2044"/>
      <c r="CO322" s="2044"/>
      <c r="CP322" s="2044"/>
      <c r="CQ322" s="2044"/>
      <c r="CR322" s="2044"/>
      <c r="CS322" s="2047"/>
      <c r="CT322" s="2044"/>
      <c r="CU322" s="2044"/>
      <c r="CV322" s="2044"/>
      <c r="CW322" s="2044"/>
      <c r="CY322" s="2047"/>
      <c r="CZ322" s="2044"/>
      <c r="DA322" s="2044"/>
      <c r="DB322" s="2044"/>
      <c r="DC322" s="2044"/>
      <c r="DD322" s="2044"/>
      <c r="DE322" s="2047"/>
      <c r="DF322" s="2044"/>
      <c r="DG322" s="2051"/>
      <c r="DH322" s="2052">
        <f t="shared" ref="DH322:DJ322" si="254">+DH291/DH280</f>
        <v>0.55561072492552133</v>
      </c>
      <c r="DI322" s="2052">
        <f t="shared" si="254"/>
        <v>0.55316159250585484</v>
      </c>
      <c r="DJ322" s="2052">
        <f t="shared" si="254"/>
        <v>0.56152125279642062</v>
      </c>
      <c r="DK322" s="2050"/>
      <c r="DL322" s="2044"/>
      <c r="DM322" s="2052">
        <f t="shared" ref="DM322:DP322" si="255">+DM291/DM280</f>
        <v>0.56695278969957086</v>
      </c>
      <c r="DN322" s="2052">
        <f t="shared" si="255"/>
        <v>0.55918025930572979</v>
      </c>
      <c r="DO322" s="2052">
        <f t="shared" si="255"/>
        <v>0.5479562929987859</v>
      </c>
      <c r="DP322" s="2052">
        <f t="shared" si="255"/>
        <v>0.53333333333333333</v>
      </c>
      <c r="DQ322" s="2047"/>
      <c r="DR322" s="2044"/>
      <c r="DS322" s="2052">
        <f>+DS291/DS280</f>
        <v>0.54488363502031767</v>
      </c>
      <c r="DT322" s="2052">
        <f>+DT291/DT280</f>
        <v>0.53622159090909094</v>
      </c>
      <c r="DU322" s="2052">
        <f t="shared" ref="DU322:DV322" si="256">+DU291/DU280</f>
        <v>0.52103120759837174</v>
      </c>
      <c r="DV322" s="2052">
        <f t="shared" si="256"/>
        <v>0.52785829307568433</v>
      </c>
      <c r="DW322" s="2047"/>
      <c r="DX322" s="2044"/>
      <c r="DY322" s="2052">
        <f>+DY291/DY280</f>
        <v>0.5299301124278335</v>
      </c>
      <c r="DZ322" s="2052">
        <f>+DZ291/DZ280</f>
        <v>0.53135888501742157</v>
      </c>
      <c r="EA322" s="2052">
        <f t="shared" ref="EA322:EB322" si="257">+EA291/EA280</f>
        <v>0.52980501392757662</v>
      </c>
      <c r="EB322" s="2052">
        <f t="shared" si="257"/>
        <v>0.55274488697524216</v>
      </c>
      <c r="EC322" s="2047"/>
      <c r="ED322" s="2044"/>
      <c r="EE322" s="2052">
        <f>+EE291/EE280</f>
        <v>0.55739103752108998</v>
      </c>
      <c r="EF322" s="2052">
        <f>+EF291/EF280</f>
        <v>0.54646102723400414</v>
      </c>
      <c r="EG322" s="2052">
        <f t="shared" ref="EG322:EH322" si="258">+EG291/EG280</f>
        <v>0.55406008237480842</v>
      </c>
      <c r="EH322" s="2052">
        <f t="shared" si="258"/>
        <v>0.62292273834015621</v>
      </c>
      <c r="EI322" s="2047"/>
      <c r="EJ322" s="2044"/>
      <c r="EK322" s="2052">
        <f>+EK291/EK280</f>
        <v>0.57855258587323311</v>
      </c>
      <c r="EL322" s="2052">
        <f>+EL291/EL280</f>
        <v>0.55440258574251411</v>
      </c>
      <c r="EM322" s="2052">
        <f t="shared" ref="EM322:EN322" si="259">+EM291/EM280</f>
        <v>0.54822644481174165</v>
      </c>
      <c r="EN322" s="2052">
        <f t="shared" si="259"/>
        <v>0.68739611935355205</v>
      </c>
      <c r="EO322" s="2047"/>
      <c r="EP322" s="2044"/>
      <c r="EQ322" s="2052">
        <f>+EQ291/EQ280</f>
        <v>0.58496702514724719</v>
      </c>
      <c r="ER322" s="2052">
        <f>+ER291/ER280</f>
        <v>0.56107552276266404</v>
      </c>
      <c r="ES322" s="2052">
        <f t="shared" ref="ES322:ET322" si="260">+ES291/ES280</f>
        <v>0.55930561041219673</v>
      </c>
      <c r="ET322" s="2052">
        <f t="shared" si="260"/>
        <v>0.71210958517822209</v>
      </c>
      <c r="EU322" s="2047"/>
    </row>
    <row r="323" spans="1:223" s="1790" customFormat="1" ht="12" customHeight="1">
      <c r="A323" s="1997" t="s">
        <v>7084</v>
      </c>
      <c r="B323" s="126"/>
      <c r="C323" s="126"/>
      <c r="D323" s="126"/>
      <c r="E323" s="126"/>
      <c r="F323" s="126"/>
      <c r="G323" s="126"/>
      <c r="H323" s="126"/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  <c r="T323" s="126"/>
      <c r="U323" s="126"/>
      <c r="V323" s="126"/>
      <c r="W323" s="126"/>
      <c r="X323" s="126"/>
      <c r="Y323" s="126"/>
      <c r="Z323" s="126"/>
      <c r="AA323" s="126"/>
      <c r="AB323" s="126"/>
      <c r="AC323" s="126"/>
      <c r="AD323" s="126"/>
      <c r="AE323" s="126"/>
      <c r="AF323" s="126"/>
      <c r="AG323" s="126"/>
      <c r="AH323" s="126"/>
      <c r="AI323" s="126"/>
      <c r="AJ323" s="126"/>
      <c r="AK323" s="126"/>
      <c r="AL323" s="126"/>
      <c r="AM323" s="126"/>
      <c r="AN323" s="126"/>
      <c r="AO323" s="126"/>
      <c r="AP323" s="126"/>
      <c r="AQ323" s="126"/>
      <c r="AR323" s="126"/>
      <c r="AS323" s="126"/>
      <c r="AT323" s="126"/>
      <c r="AU323" s="126"/>
      <c r="AV323" s="126"/>
      <c r="AW323" s="744"/>
      <c r="AX323" s="126"/>
      <c r="AY323" s="125"/>
      <c r="AZ323" s="125"/>
      <c r="BA323" s="125"/>
      <c r="BB323" s="125"/>
      <c r="BC323" s="125"/>
      <c r="BD323" s="126"/>
      <c r="BE323" s="125"/>
      <c r="BF323" s="125"/>
      <c r="BG323" s="125"/>
      <c r="BH323" s="125"/>
      <c r="BI323" s="125"/>
      <c r="BJ323" s="126"/>
      <c r="BK323" s="126"/>
      <c r="BL323" s="126"/>
      <c r="BM323" s="126"/>
      <c r="BN323" s="126"/>
      <c r="BO323" s="1998"/>
      <c r="BP323" s="126"/>
      <c r="BQ323" s="126"/>
      <c r="BR323" s="126"/>
      <c r="BS323" s="126"/>
      <c r="BT323" s="126"/>
      <c r="BU323" s="1998"/>
      <c r="BV323" s="126"/>
      <c r="BW323" s="126"/>
      <c r="BX323" s="126"/>
      <c r="BY323" s="126"/>
      <c r="BZ323" s="126"/>
      <c r="CA323" s="1998"/>
      <c r="CB323" s="126"/>
      <c r="CC323" s="126"/>
      <c r="CD323" s="126"/>
      <c r="CE323" s="126"/>
      <c r="CF323" s="126"/>
      <c r="CG323" s="1998"/>
      <c r="CH323" s="126"/>
      <c r="CI323" s="126"/>
      <c r="CJ323" s="126"/>
      <c r="CK323" s="125"/>
      <c r="CL323" s="126"/>
      <c r="CM323" s="1998"/>
      <c r="CN323" s="126"/>
      <c r="CO323" s="126"/>
      <c r="CP323" s="126"/>
      <c r="CQ323" s="126"/>
      <c r="CR323" s="126"/>
      <c r="CS323" s="1998"/>
      <c r="CT323" s="126"/>
      <c r="CU323" s="126"/>
      <c r="CV323" s="126"/>
      <c r="CW323" s="126"/>
      <c r="CY323" s="1998"/>
      <c r="CZ323" s="126"/>
      <c r="DA323" s="126"/>
      <c r="DB323" s="126"/>
      <c r="DC323" s="126"/>
      <c r="DD323" s="126"/>
      <c r="DE323" s="1999"/>
      <c r="DF323" s="126"/>
      <c r="DG323" s="2000"/>
      <c r="DH323" s="2000"/>
      <c r="DI323" s="2002">
        <f>+DI322/DH322-1</f>
        <v>-4.4080006194890942E-3</v>
      </c>
      <c r="DJ323" s="2002">
        <f>+DJ322/DI322-1</f>
        <v>1.5112510347466523E-2</v>
      </c>
      <c r="DK323" s="2001"/>
      <c r="DL323" s="126"/>
      <c r="DM323" s="2002">
        <f>+DM322/DJ322-1</f>
        <v>9.6728963972436688E-3</v>
      </c>
      <c r="DN323" s="2002">
        <f>+DN322/DM322-1</f>
        <v>-1.3709307961884742E-2</v>
      </c>
      <c r="DO323" s="2002">
        <f>+DO322/DN322-1</f>
        <v>-2.0072179087436637E-2</v>
      </c>
      <c r="DP323" s="2002">
        <f>+DP322/DO322-1</f>
        <v>-2.668636139832592E-2</v>
      </c>
      <c r="DQ323" s="1998"/>
      <c r="DR323" s="126"/>
      <c r="DS323" s="2002">
        <f>+DS322/DP322-1</f>
        <v>2.165681566309563E-2</v>
      </c>
      <c r="DT323" s="2002">
        <f>+DT322/DS322-1</f>
        <v>-1.5897053158705599E-2</v>
      </c>
      <c r="DU323" s="2002">
        <f t="shared" ref="DU323" si="261">+DU322/DT322-1</f>
        <v>-2.8328555896016683E-2</v>
      </c>
      <c r="DV323" s="2002">
        <f>+DV322/DU322-1</f>
        <v>1.3103026033279619E-2</v>
      </c>
      <c r="DW323" s="1998"/>
      <c r="DX323" s="126"/>
      <c r="DY323" s="2002">
        <f>+DY322/DV322-1</f>
        <v>3.9249536842118626E-3</v>
      </c>
      <c r="DZ323" s="2002">
        <f>+DZ322/DY322-1</f>
        <v>2.6961528625770725E-3</v>
      </c>
      <c r="EA323" s="2002">
        <f t="shared" ref="EA323" si="262">+EA322/DZ322-1</f>
        <v>-2.9243344444951358E-3</v>
      </c>
      <c r="EB323" s="2002">
        <f>+EB322/EA322-1</f>
        <v>4.3298708854426549E-2</v>
      </c>
      <c r="EC323" s="1998"/>
      <c r="ED323" s="126"/>
      <c r="EE323" s="2002">
        <f>+EE322/EB322-1</f>
        <v>8.4055966058278475E-3</v>
      </c>
      <c r="EF323" s="2002">
        <f>+EF322/EE322-1</f>
        <v>-1.9609232211008187E-2</v>
      </c>
      <c r="EG323" s="2002">
        <f t="shared" ref="EG323" si="263">+EG322/EF322-1</f>
        <v>1.3905941617224027E-2</v>
      </c>
      <c r="EH323" s="2002">
        <f t="shared" ref="EH323" si="264">+EH322/EG322-1</f>
        <v>0.12428734383857654</v>
      </c>
      <c r="EI323" s="1998"/>
      <c r="EJ323" s="126"/>
      <c r="EK323" s="2002">
        <f>+EK322/EH322-1</f>
        <v>-7.1228981920217094E-2</v>
      </c>
      <c r="EL323" s="2002">
        <f>+EL322/EK322-1</f>
        <v>-4.1742100407810678E-2</v>
      </c>
      <c r="EM323" s="2002">
        <f t="shared" ref="EM323" si="265">+EM322/EL322-1</f>
        <v>-1.1140173385917218E-2</v>
      </c>
      <c r="EN323" s="2002">
        <f t="shared" ref="EN323" si="266">+EN322/EM322-1</f>
        <v>0.25385436229658831</v>
      </c>
      <c r="EO323" s="1998"/>
      <c r="EP323" s="126"/>
      <c r="EQ323" s="2002">
        <f>+EQ322/EN322-1</f>
        <v>-0.14901028871479849</v>
      </c>
      <c r="ER323" s="2002">
        <f>+ER322/EQ322-1</f>
        <v>-4.0842477195307203E-2</v>
      </c>
      <c r="ES323" s="2002">
        <f t="shared" ref="ES323" si="267">+ES322/ER322-1</f>
        <v>-3.1544993118796105E-3</v>
      </c>
      <c r="ET323" s="2002">
        <f t="shared" ref="ET323" si="268">+ET322/ES322-1</f>
        <v>0.27320300730295188</v>
      </c>
      <c r="EU323" s="1998"/>
    </row>
    <row r="324" spans="1:223" s="1790" customFormat="1" ht="12" customHeight="1">
      <c r="A324" s="1997" t="s">
        <v>6985</v>
      </c>
      <c r="B324" s="126"/>
      <c r="C324" s="126"/>
      <c r="D324" s="126"/>
      <c r="E324" s="126"/>
      <c r="F324" s="126"/>
      <c r="G324" s="126"/>
      <c r="H324" s="126"/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  <c r="T324" s="126"/>
      <c r="U324" s="126"/>
      <c r="V324" s="126"/>
      <c r="W324" s="126"/>
      <c r="X324" s="126"/>
      <c r="Y324" s="126"/>
      <c r="Z324" s="126"/>
      <c r="AA324" s="126"/>
      <c r="AB324" s="126"/>
      <c r="AC324" s="126"/>
      <c r="AD324" s="126"/>
      <c r="AE324" s="126"/>
      <c r="AF324" s="126"/>
      <c r="AG324" s="126"/>
      <c r="AH324" s="126"/>
      <c r="AI324" s="126"/>
      <c r="AJ324" s="126"/>
      <c r="AK324" s="126"/>
      <c r="AL324" s="126"/>
      <c r="AM324" s="126"/>
      <c r="AN324" s="126"/>
      <c r="AO324" s="126"/>
      <c r="AP324" s="126"/>
      <c r="AQ324" s="126"/>
      <c r="AR324" s="126"/>
      <c r="AS324" s="126"/>
      <c r="AT324" s="126"/>
      <c r="AU324" s="126"/>
      <c r="AV324" s="126"/>
      <c r="AW324" s="744"/>
      <c r="AX324" s="126"/>
      <c r="AY324" s="125"/>
      <c r="AZ324" s="125"/>
      <c r="BA324" s="125"/>
      <c r="BB324" s="125"/>
      <c r="BC324" s="125"/>
      <c r="BD324" s="126"/>
      <c r="BE324" s="125"/>
      <c r="BF324" s="125"/>
      <c r="BG324" s="125"/>
      <c r="BH324" s="125"/>
      <c r="BI324" s="125"/>
      <c r="BJ324" s="126"/>
      <c r="BK324" s="126"/>
      <c r="BL324" s="126"/>
      <c r="BM324" s="126"/>
      <c r="BN324" s="126"/>
      <c r="BO324" s="1998"/>
      <c r="BP324" s="126"/>
      <c r="BQ324" s="126"/>
      <c r="BR324" s="126"/>
      <c r="BS324" s="126"/>
      <c r="BT324" s="126"/>
      <c r="BU324" s="1998"/>
      <c r="BV324" s="126"/>
      <c r="BW324" s="126"/>
      <c r="BX324" s="126"/>
      <c r="BY324" s="126"/>
      <c r="BZ324" s="126"/>
      <c r="CA324" s="1998"/>
      <c r="CB324" s="126"/>
      <c r="CC324" s="126"/>
      <c r="CD324" s="126"/>
      <c r="CE324" s="126"/>
      <c r="CF324" s="126"/>
      <c r="CG324" s="1998"/>
      <c r="CH324" s="126"/>
      <c r="CI324" s="126"/>
      <c r="CJ324" s="126"/>
      <c r="CK324" s="125"/>
      <c r="CL324" s="126"/>
      <c r="CM324" s="1998"/>
      <c r="CN324" s="126"/>
      <c r="CO324" s="126"/>
      <c r="CP324" s="126"/>
      <c r="CQ324" s="126"/>
      <c r="CR324" s="126"/>
      <c r="CS324" s="1998"/>
      <c r="CT324" s="126"/>
      <c r="CU324" s="126"/>
      <c r="CV324" s="126"/>
      <c r="CW324" s="126"/>
      <c r="CY324" s="1998"/>
      <c r="CZ324" s="126"/>
      <c r="DA324" s="126"/>
      <c r="DB324" s="126"/>
      <c r="DC324" s="126"/>
      <c r="DD324" s="126"/>
      <c r="DE324" s="1999"/>
      <c r="DF324" s="126"/>
      <c r="DG324" s="2000"/>
      <c r="DH324" s="2000"/>
      <c r="DI324" s="2000"/>
      <c r="DJ324" s="2000"/>
      <c r="DK324" s="2001"/>
      <c r="DL324" s="126"/>
      <c r="DM324" s="2002"/>
      <c r="DN324" s="2002">
        <f>+DN322/DH322-1</f>
        <v>6.4245238978908326E-3</v>
      </c>
      <c r="DO324" s="2002">
        <f>+DO322/DI322-1</f>
        <v>-9.4100884399594964E-3</v>
      </c>
      <c r="DP324" s="2002">
        <f>+DP322/DJ322-1</f>
        <v>-5.0199203187251129E-2</v>
      </c>
      <c r="DQ324" s="1998"/>
      <c r="DR324" s="126"/>
      <c r="DS324" s="2002">
        <f>+DS322/DM322-1</f>
        <v>-3.8925912492551062E-2</v>
      </c>
      <c r="DT324" s="2002">
        <f>+DT322/DN322-1</f>
        <v>-4.1057723363024268E-2</v>
      </c>
      <c r="DU324" s="2002">
        <f t="shared" ref="DU324" si="269">+DU322/DO322-1</f>
        <v>-4.913728657638361E-2</v>
      </c>
      <c r="DV324" s="2002">
        <f>+DV322/DP322-1</f>
        <v>-1.0265700483091833E-2</v>
      </c>
      <c r="DW324" s="1998"/>
      <c r="DX324" s="126"/>
      <c r="DY324" s="2002">
        <f>+DY322/DS322-1</f>
        <v>-2.7443515700240395E-2</v>
      </c>
      <c r="DZ324" s="2002">
        <f>+DZ322/DT322-1</f>
        <v>-9.0684634377092843E-3</v>
      </c>
      <c r="EA324" s="2002">
        <f t="shared" ref="EA324" si="270">+EA322/DU322-1</f>
        <v>1.6839310584958245E-2</v>
      </c>
      <c r="EB324" s="2002">
        <f>+EB322/DV322-1</f>
        <v>4.7146353909778504E-2</v>
      </c>
      <c r="EC324" s="1998"/>
      <c r="ED324" s="126"/>
      <c r="EE324" s="2002">
        <f>+EE322/DY322-1</f>
        <v>5.1819899358891641E-2</v>
      </c>
      <c r="EF324" s="2002">
        <f>+EF322/DZ322-1</f>
        <v>2.8421736499404604E-2</v>
      </c>
      <c r="EG324" s="2002">
        <f t="shared" ref="EG324" si="271">+EG322/EA322-1</f>
        <v>4.5781122884102077E-2</v>
      </c>
      <c r="EH324" s="2002">
        <f t="shared" ref="EH324" si="272">+EH322/EB322-1</f>
        <v>0.1269624613787832</v>
      </c>
      <c r="EI324" s="1998"/>
      <c r="EJ324" s="126"/>
      <c r="EK324" s="2002">
        <f>+EK322/EE322-1</f>
        <v>3.7965354531453999E-2</v>
      </c>
      <c r="EL324" s="2002">
        <f>+EL322/EF322-1</f>
        <v>1.4532707938400335E-2</v>
      </c>
      <c r="EM324" s="2002">
        <f t="shared" ref="EM324" si="273">+EM322/EG322-1</f>
        <v>-1.0528889823758214E-2</v>
      </c>
      <c r="EN324" s="2002">
        <f t="shared" ref="EN324" si="274">+EN322/EH322-1</f>
        <v>0.1035014088347328</v>
      </c>
      <c r="EO324" s="1998"/>
      <c r="EP324" s="126"/>
      <c r="EQ324" s="2002">
        <f>+EQ322/EK322-1</f>
        <v>1.1087046243743792E-2</v>
      </c>
      <c r="ER324" s="2002">
        <f>+ER322/EL322-1</f>
        <v>1.2036266048818689E-2</v>
      </c>
      <c r="ES324" s="2002">
        <f t="shared" ref="ES324" si="275">+ES322/EM322-1</f>
        <v>2.0209104659771659E-2</v>
      </c>
      <c r="ET324" s="2002">
        <f t="shared" ref="ET324" si="276">+ET322/EN322-1</f>
        <v>3.5952291741057962E-2</v>
      </c>
      <c r="EU324" s="1998"/>
    </row>
    <row r="325" spans="1:223" s="1790" customFormat="1" ht="12" customHeight="1">
      <c r="A325" s="1997"/>
      <c r="B325" s="126"/>
      <c r="C325" s="126"/>
      <c r="D325" s="126"/>
      <c r="E325" s="126"/>
      <c r="F325" s="126"/>
      <c r="G325" s="126"/>
      <c r="H325" s="126"/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  <c r="T325" s="126"/>
      <c r="U325" s="126"/>
      <c r="V325" s="126"/>
      <c r="W325" s="126"/>
      <c r="X325" s="126"/>
      <c r="Y325" s="126"/>
      <c r="Z325" s="126"/>
      <c r="AA325" s="126"/>
      <c r="AB325" s="126"/>
      <c r="AC325" s="126"/>
      <c r="AD325" s="126"/>
      <c r="AE325" s="126"/>
      <c r="AF325" s="126"/>
      <c r="AG325" s="126"/>
      <c r="AH325" s="126"/>
      <c r="AI325" s="126"/>
      <c r="AJ325" s="126"/>
      <c r="AK325" s="126"/>
      <c r="AL325" s="126"/>
      <c r="AM325" s="126"/>
      <c r="AN325" s="126"/>
      <c r="AO325" s="126"/>
      <c r="AP325" s="126"/>
      <c r="AQ325" s="126"/>
      <c r="AR325" s="126"/>
      <c r="AS325" s="126"/>
      <c r="AT325" s="126"/>
      <c r="AU325" s="126"/>
      <c r="AV325" s="126"/>
      <c r="AW325" s="744"/>
      <c r="AX325" s="126"/>
      <c r="AY325" s="125"/>
      <c r="AZ325" s="125"/>
      <c r="BA325" s="125"/>
      <c r="BB325" s="125"/>
      <c r="BC325" s="125"/>
      <c r="BD325" s="126"/>
      <c r="BE325" s="125"/>
      <c r="BF325" s="125"/>
      <c r="BG325" s="125"/>
      <c r="BH325" s="125"/>
      <c r="BI325" s="125"/>
      <c r="BJ325" s="126"/>
      <c r="BK325" s="126"/>
      <c r="BL325" s="126"/>
      <c r="BM325" s="126"/>
      <c r="BN325" s="126"/>
      <c r="BO325" s="1998"/>
      <c r="BP325" s="126"/>
      <c r="BQ325" s="126"/>
      <c r="BR325" s="126"/>
      <c r="BS325" s="126"/>
      <c r="BT325" s="126"/>
      <c r="BU325" s="1998"/>
      <c r="BV325" s="126"/>
      <c r="BW325" s="126"/>
      <c r="BX325" s="126"/>
      <c r="BY325" s="126"/>
      <c r="BZ325" s="126"/>
      <c r="CA325" s="1998"/>
      <c r="CB325" s="126"/>
      <c r="CC325" s="126"/>
      <c r="CD325" s="126"/>
      <c r="CE325" s="126"/>
      <c r="CF325" s="126"/>
      <c r="CG325" s="1998"/>
      <c r="CH325" s="126"/>
      <c r="CI325" s="126"/>
      <c r="CJ325" s="126"/>
      <c r="CK325" s="125"/>
      <c r="CL325" s="126"/>
      <c r="CM325" s="1998"/>
      <c r="CN325" s="126"/>
      <c r="CO325" s="126"/>
      <c r="CP325" s="126"/>
      <c r="CQ325" s="126"/>
      <c r="CR325" s="126"/>
      <c r="CS325" s="1998"/>
      <c r="CT325" s="126"/>
      <c r="CU325" s="126"/>
      <c r="CV325" s="126"/>
      <c r="CW325" s="126"/>
      <c r="CX325" s="126"/>
      <c r="CY325" s="1998"/>
      <c r="CZ325" s="126"/>
      <c r="DA325" s="126"/>
      <c r="DB325" s="126"/>
      <c r="DC325" s="126"/>
      <c r="DD325" s="126"/>
      <c r="DE325" s="1998"/>
      <c r="DF325" s="126"/>
      <c r="DG325" s="126"/>
      <c r="DH325" s="2003"/>
      <c r="DI325" s="2003"/>
      <c r="DJ325" s="2003"/>
      <c r="DK325" s="1998"/>
      <c r="DL325" s="126"/>
      <c r="DM325" s="126"/>
      <c r="DN325" s="126"/>
      <c r="DO325" s="2004"/>
      <c r="DP325" s="2003"/>
      <c r="DQ325" s="1998"/>
      <c r="DR325" s="126"/>
      <c r="DS325" s="126"/>
      <c r="DT325" s="126"/>
      <c r="DU325" s="126"/>
      <c r="DV325" s="126"/>
      <c r="DW325" s="1998"/>
      <c r="DX325" s="126"/>
      <c r="DY325" s="126"/>
      <c r="DZ325" s="126"/>
      <c r="EA325" s="126"/>
      <c r="EB325" s="126"/>
      <c r="EC325" s="1998"/>
      <c r="ED325" s="126"/>
      <c r="EE325" s="126"/>
      <c r="EF325" s="126"/>
      <c r="EG325" s="126"/>
      <c r="EH325" s="126"/>
      <c r="EI325" s="1998"/>
      <c r="EJ325" s="126"/>
      <c r="EK325" s="126"/>
      <c r="EL325" s="126"/>
      <c r="EM325" s="126"/>
      <c r="EN325" s="126"/>
      <c r="EO325" s="1998"/>
      <c r="EP325" s="126"/>
      <c r="EQ325" s="126"/>
      <c r="ER325" s="126"/>
      <c r="ES325" s="126"/>
      <c r="ET325" s="126"/>
      <c r="EU325" s="1998"/>
    </row>
    <row r="326" spans="1:223" ht="15" hidden="1" customHeight="1" outlineLevel="1" thickBot="1">
      <c r="A326" s="923" t="s">
        <v>713</v>
      </c>
      <c r="B326" s="924"/>
      <c r="C326" s="924"/>
      <c r="D326" s="924"/>
      <c r="E326" s="924"/>
      <c r="F326" s="924"/>
      <c r="G326" s="924"/>
      <c r="H326" s="924"/>
      <c r="I326" s="924"/>
      <c r="J326" s="924"/>
      <c r="K326" s="924"/>
      <c r="L326" s="924"/>
      <c r="M326" s="924"/>
      <c r="N326" s="924"/>
      <c r="O326" s="924"/>
      <c r="P326" s="924"/>
      <c r="Q326" s="924"/>
      <c r="R326" s="924"/>
      <c r="S326" s="925"/>
      <c r="T326" s="925"/>
      <c r="U326" s="925"/>
      <c r="V326" s="925"/>
      <c r="W326" s="925"/>
      <c r="X326" s="925"/>
      <c r="Y326" s="925"/>
      <c r="Z326" s="925"/>
      <c r="AA326" s="925"/>
      <c r="AB326" s="925"/>
      <c r="AC326" s="925"/>
      <c r="AD326" s="925"/>
      <c r="AE326" s="926"/>
      <c r="AF326" s="924"/>
      <c r="AG326" s="924"/>
      <c r="AH326" s="924"/>
      <c r="AI326" s="926"/>
      <c r="AJ326" s="924"/>
      <c r="AK326" s="926"/>
      <c r="AL326" s="924"/>
      <c r="AM326" s="927"/>
      <c r="AN326" s="927"/>
      <c r="AO326" s="927"/>
      <c r="AP326" s="927"/>
      <c r="AQ326" s="927"/>
      <c r="AR326" s="924"/>
      <c r="AS326" s="927"/>
      <c r="AT326" s="927"/>
      <c r="AU326" s="927"/>
      <c r="AV326" s="927"/>
      <c r="AW326" s="927"/>
      <c r="AX326" s="924"/>
      <c r="AY326" s="927"/>
      <c r="AZ326" s="927"/>
      <c r="BA326" s="927"/>
      <c r="BB326" s="927"/>
      <c r="BC326" s="927"/>
      <c r="BD326" s="924"/>
      <c r="BE326" s="927"/>
      <c r="BF326" s="927"/>
      <c r="BG326" s="927"/>
      <c r="BH326" s="927"/>
      <c r="BI326" s="927"/>
      <c r="BJ326" s="924"/>
      <c r="BK326" s="924"/>
      <c r="BL326" s="924"/>
      <c r="BM326" s="924"/>
      <c r="BN326" s="924"/>
      <c r="BO326" s="1153"/>
      <c r="BP326" s="924"/>
      <c r="BQ326" s="924"/>
      <c r="BR326" s="924"/>
      <c r="BS326" s="924"/>
      <c r="BT326" s="924"/>
      <c r="BU326" s="1153"/>
      <c r="BV326" s="924"/>
      <c r="BW326" s="924"/>
      <c r="BX326" s="924"/>
      <c r="BY326" s="924"/>
      <c r="BZ326" s="924"/>
      <c r="CA326" s="1153"/>
      <c r="CB326" s="924"/>
      <c r="CC326" s="924"/>
      <c r="CD326" s="924"/>
      <c r="CE326" s="924"/>
      <c r="CF326" s="924"/>
      <c r="CG326" s="1153"/>
      <c r="CH326" s="924"/>
      <c r="CI326" s="924"/>
      <c r="CJ326" s="924"/>
      <c r="CK326" s="927"/>
      <c r="CL326" s="924"/>
      <c r="CM326" s="1153"/>
      <c r="CN326" s="924"/>
      <c r="CO326" s="924"/>
      <c r="CP326" s="924"/>
      <c r="CQ326" s="924"/>
      <c r="CR326" s="924"/>
      <c r="CS326" s="1153"/>
      <c r="CT326" s="924"/>
      <c r="CU326" s="924"/>
      <c r="CV326" s="924"/>
      <c r="CW326" s="924"/>
      <c r="CX326" s="924"/>
      <c r="CY326" s="1153"/>
      <c r="CZ326" s="924"/>
      <c r="DA326" s="924"/>
      <c r="DB326" s="924"/>
      <c r="DC326" s="924"/>
      <c r="DD326" s="924"/>
      <c r="DE326" s="1153"/>
      <c r="DF326" s="924"/>
      <c r="DG326" s="924"/>
      <c r="DH326" s="924"/>
      <c r="DI326" s="924"/>
      <c r="DJ326" s="924"/>
      <c r="DK326" s="1153"/>
      <c r="DL326" s="924"/>
      <c r="DM326" s="924"/>
      <c r="DN326" s="924"/>
      <c r="DO326" s="924"/>
      <c r="DP326" s="924"/>
      <c r="DQ326" s="1153"/>
      <c r="DR326" s="919"/>
      <c r="DS326" s="924"/>
      <c r="DT326" s="924"/>
      <c r="DU326" s="924"/>
      <c r="DV326" s="924"/>
      <c r="DW326" s="1153"/>
      <c r="DX326" s="919"/>
      <c r="DY326" s="924"/>
      <c r="DZ326" s="924"/>
      <c r="EA326" s="924"/>
      <c r="EB326" s="924"/>
      <c r="EC326" s="1153"/>
      <c r="ED326" s="919"/>
      <c r="EE326" s="924"/>
      <c r="EF326" s="924"/>
      <c r="EG326" s="924"/>
      <c r="EH326" s="924"/>
      <c r="EI326" s="1153"/>
      <c r="EJ326" s="919"/>
      <c r="EK326" s="924"/>
      <c r="EL326" s="924"/>
      <c r="EM326" s="924"/>
      <c r="EN326" s="924"/>
      <c r="EO326" s="1153"/>
      <c r="EP326" s="919"/>
      <c r="EQ326" s="924"/>
      <c r="ER326" s="924"/>
      <c r="ES326" s="924"/>
      <c r="ET326" s="924"/>
      <c r="EU326" s="1153"/>
    </row>
    <row r="327" spans="1:223" ht="12.75" hidden="1" customHeight="1" outlineLevel="1">
      <c r="A327" s="113" t="s">
        <v>714</v>
      </c>
      <c r="B327" s="147"/>
      <c r="C327" s="147"/>
      <c r="D327" s="147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582">
        <v>25</v>
      </c>
      <c r="AH327" s="280">
        <v>61.2</v>
      </c>
      <c r="AI327" s="280">
        <v>48.8</v>
      </c>
      <c r="AJ327" s="280">
        <v>94.7</v>
      </c>
      <c r="AK327" s="175">
        <f>SUM(AG327:AJ327)</f>
        <v>229.7</v>
      </c>
      <c r="AL327" s="147"/>
      <c r="AM327" s="141">
        <v>38.9</v>
      </c>
      <c r="AN327" s="141">
        <v>26.5</v>
      </c>
      <c r="AO327" s="141">
        <v>21.3</v>
      </c>
      <c r="AP327" s="141">
        <v>38.1</v>
      </c>
      <c r="AQ327" s="141">
        <f>SUM(AM327:AP327)</f>
        <v>124.80000000000001</v>
      </c>
      <c r="AR327" s="147"/>
      <c r="AS327" s="141">
        <v>30.6</v>
      </c>
      <c r="AT327" s="175">
        <v>46</v>
      </c>
      <c r="AU327" s="141">
        <v>57.6</v>
      </c>
      <c r="AV327" s="141">
        <v>99.8</v>
      </c>
      <c r="AW327" s="141">
        <f>SUM(AS327:AV327)</f>
        <v>234</v>
      </c>
      <c r="AX327" s="147"/>
      <c r="AY327" s="142">
        <v>66.2</v>
      </c>
      <c r="AZ327" s="142">
        <v>46.4</v>
      </c>
      <c r="BA327" s="142">
        <v>55.8</v>
      </c>
      <c r="BB327" s="142">
        <v>92.9</v>
      </c>
      <c r="BC327" s="142">
        <f>SUM(AY327:BB327)</f>
        <v>261.29999999999995</v>
      </c>
      <c r="BD327" s="75"/>
      <c r="BE327" s="142">
        <v>60.4</v>
      </c>
      <c r="BF327" s="142">
        <v>71</v>
      </c>
      <c r="BG327" s="142">
        <v>63.6</v>
      </c>
      <c r="BH327" s="142">
        <v>76.099999999999994</v>
      </c>
      <c r="BI327" s="142">
        <f>SUM(BE327:BH327)</f>
        <v>271.10000000000002</v>
      </c>
      <c r="BJ327" s="75"/>
      <c r="BK327" s="142">
        <v>75.2</v>
      </c>
      <c r="BL327" s="142">
        <v>49.1</v>
      </c>
      <c r="BM327" s="142">
        <v>51</v>
      </c>
      <c r="BN327" s="142">
        <v>78</v>
      </c>
      <c r="BO327" s="1107">
        <f>SUM(BK327:BN327)</f>
        <v>253.3</v>
      </c>
      <c r="BP327" s="75"/>
      <c r="BQ327" s="142">
        <v>71</v>
      </c>
      <c r="BR327" s="142">
        <v>46</v>
      </c>
      <c r="BS327" s="142">
        <v>43.45</v>
      </c>
      <c r="BT327" s="142">
        <v>50</v>
      </c>
      <c r="BU327" s="1107">
        <f>SUM(BQ327:BT327)</f>
        <v>210.45</v>
      </c>
      <c r="BV327" s="75"/>
      <c r="BW327" s="142">
        <f>BQ327*(1-0.14)</f>
        <v>61.06</v>
      </c>
      <c r="BX327" s="142">
        <v>58</v>
      </c>
      <c r="BY327" s="142">
        <v>42.5</v>
      </c>
      <c r="BZ327" s="142">
        <v>34</v>
      </c>
      <c r="CA327" s="1107">
        <f>SUM(BW327:BZ327)</f>
        <v>195.56</v>
      </c>
      <c r="CB327" s="75"/>
      <c r="CC327" s="142">
        <v>43</v>
      </c>
      <c r="CD327" s="142">
        <v>26</v>
      </c>
      <c r="CE327" s="142">
        <v>26</v>
      </c>
      <c r="CF327" s="142">
        <v>37</v>
      </c>
      <c r="CG327" s="1107">
        <f>SUM(CC327:CF327)</f>
        <v>132</v>
      </c>
      <c r="CH327" s="75"/>
      <c r="CI327" s="142">
        <v>51</v>
      </c>
      <c r="CJ327" s="142">
        <v>18</v>
      </c>
      <c r="CK327" s="142">
        <v>32</v>
      </c>
      <c r="CL327" s="142">
        <v>61</v>
      </c>
      <c r="CM327" s="1107">
        <f>SUM(CI327:CL327)</f>
        <v>162</v>
      </c>
      <c r="CN327" s="75"/>
      <c r="CO327" s="142">
        <v>53</v>
      </c>
      <c r="CP327" s="142">
        <v>41</v>
      </c>
      <c r="CQ327" s="142">
        <v>37</v>
      </c>
      <c r="CR327" s="142">
        <v>54</v>
      </c>
      <c r="CS327" s="1107">
        <f>SUM(CO327:CR327)</f>
        <v>185</v>
      </c>
      <c r="CT327" s="142"/>
      <c r="CU327" s="142">
        <v>47</v>
      </c>
      <c r="CV327" s="893">
        <v>34</v>
      </c>
      <c r="CW327" s="142">
        <v>32</v>
      </c>
      <c r="CX327" s="142">
        <v>62</v>
      </c>
      <c r="CY327" s="1107">
        <f>SUM(CU327:CX327)</f>
        <v>175</v>
      </c>
      <c r="CZ327" s="142"/>
      <c r="DA327" s="142">
        <f>CU327*(1+DA328)</f>
        <v>42.300000000000004</v>
      </c>
      <c r="DB327" s="142">
        <f>CV327*(1+DB328)</f>
        <v>30.6</v>
      </c>
      <c r="DC327" s="142">
        <f>CW327*(1+DC328)</f>
        <v>28.8</v>
      </c>
      <c r="DD327" s="142">
        <f>CX327*(1+DD328)</f>
        <v>55.800000000000004</v>
      </c>
      <c r="DE327" s="1107">
        <f>SUM(DA327:DD327)</f>
        <v>157.5</v>
      </c>
      <c r="DF327" s="142"/>
      <c r="DG327" s="142">
        <f>DA327*(1+DG328)</f>
        <v>54.990000000000009</v>
      </c>
      <c r="DH327" s="142">
        <f>DB327*(1+DH328)</f>
        <v>45.900000000000006</v>
      </c>
      <c r="DI327" s="142">
        <f>DC327*(1+DI328)</f>
        <v>51.84</v>
      </c>
      <c r="DJ327" s="142">
        <f>DD327*(1+DJ328)</f>
        <v>111.60000000000001</v>
      </c>
      <c r="DK327" s="1107">
        <f>SUM(DG327:DJ327)</f>
        <v>264.33000000000004</v>
      </c>
      <c r="DL327" s="75"/>
      <c r="DM327" s="142">
        <f>DG327*(1+DM328)</f>
        <v>0</v>
      </c>
      <c r="DN327" s="142">
        <f>DH327*(1+DN328)</f>
        <v>0</v>
      </c>
      <c r="DO327" s="142">
        <f>DI327*(1+DO328)</f>
        <v>0</v>
      </c>
      <c r="DP327" s="142">
        <f>DJ327*(1+DP328)</f>
        <v>0</v>
      </c>
      <c r="DQ327" s="1107">
        <f>SUM(DM327:DP327)</f>
        <v>0</v>
      </c>
      <c r="DR327" s="142"/>
      <c r="DS327" s="142">
        <f>DM327*(1+DS328)</f>
        <v>0</v>
      </c>
      <c r="DT327" s="142">
        <f>DN327*(1+DT328)</f>
        <v>0</v>
      </c>
      <c r="DU327" s="142">
        <f>DO327*(1+DU328)</f>
        <v>0</v>
      </c>
      <c r="DV327" s="142">
        <f>DP327*(1+DV328)</f>
        <v>0</v>
      </c>
      <c r="DW327" s="1107">
        <f>SUM(DS327:DV327)</f>
        <v>0</v>
      </c>
      <c r="DX327" s="142"/>
      <c r="DY327" s="142">
        <f>DS327*(1+DY328)</f>
        <v>0</v>
      </c>
      <c r="DZ327" s="142">
        <f>DT327*(1+DZ328)</f>
        <v>0</v>
      </c>
      <c r="EA327" s="142">
        <f>DU327*(1+EA328)</f>
        <v>0</v>
      </c>
      <c r="EB327" s="142">
        <f>DV327*(1+EB328)</f>
        <v>0</v>
      </c>
      <c r="EC327" s="1107">
        <f>SUM(DY327:EB327)</f>
        <v>0</v>
      </c>
      <c r="ED327" s="142"/>
      <c r="EE327" s="142">
        <f>DY327*(1+EE328)</f>
        <v>0</v>
      </c>
      <c r="EF327" s="142">
        <f>DZ327*(1+EF328)</f>
        <v>0</v>
      </c>
      <c r="EG327" s="142">
        <f>EA327*(1+EG328)</f>
        <v>0</v>
      </c>
      <c r="EH327" s="142">
        <f>EB327*(1+EH328)</f>
        <v>0</v>
      </c>
      <c r="EI327" s="1107">
        <f>SUM(EE327:EH327)</f>
        <v>0</v>
      </c>
      <c r="EJ327" s="142"/>
      <c r="EK327" s="142">
        <f>EE327*(1+EK328)</f>
        <v>0</v>
      </c>
      <c r="EL327" s="142">
        <f>EF327*(1+EL328)</f>
        <v>0</v>
      </c>
      <c r="EM327" s="142">
        <f>EG327*(1+EM328)</f>
        <v>0</v>
      </c>
      <c r="EN327" s="142">
        <f>EH327*(1+EN328)</f>
        <v>0</v>
      </c>
      <c r="EO327" s="1107">
        <f>SUM(EK327:EN327)</f>
        <v>0</v>
      </c>
      <c r="EP327" s="142"/>
      <c r="EQ327" s="142">
        <f>EK327*(1+EQ328)</f>
        <v>0</v>
      </c>
      <c r="ER327" s="142">
        <f>EL327*(1+ER328)</f>
        <v>0</v>
      </c>
      <c r="ES327" s="142">
        <f>EM327*(1+ES328)</f>
        <v>0</v>
      </c>
      <c r="ET327" s="142">
        <f>EN327*(1+ET328)</f>
        <v>0</v>
      </c>
      <c r="EU327" s="1107">
        <f>SUM(EQ327:ET327)</f>
        <v>0</v>
      </c>
    </row>
    <row r="328" spans="1:223" ht="12.75" hidden="1" customHeight="1" outlineLevel="1">
      <c r="A328" s="583" t="s">
        <v>345</v>
      </c>
      <c r="B328" s="147"/>
      <c r="C328" s="147"/>
      <c r="D328" s="147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263" t="str">
        <f>IF(AA327&lt;&gt;"",AG327/AA327-1,"-")</f>
        <v>-</v>
      </c>
      <c r="AH328" s="263" t="str">
        <f>IF(AB327&lt;&gt;"",AH327/AB327-1,"-")</f>
        <v>-</v>
      </c>
      <c r="AI328" s="263" t="str">
        <f>IF(AC327&lt;&gt;"",AI327/AC327-1,"-")</f>
        <v>-</v>
      </c>
      <c r="AJ328" s="263" t="str">
        <f>IF(AD327&lt;&gt;"",AJ327/AD327-1,"-")</f>
        <v>-</v>
      </c>
      <c r="AK328" s="263"/>
      <c r="AL328" s="147"/>
      <c r="AM328" s="263">
        <f>IF(AG327&lt;&gt;"",AM327/AG327-1,"-")</f>
        <v>0.55600000000000005</v>
      </c>
      <c r="AN328" s="263">
        <f>IF(AH327&lt;&gt;"",AN327/AH327-1,"-")</f>
        <v>-0.56699346405228757</v>
      </c>
      <c r="AO328" s="263">
        <f>IF(AI327&lt;&gt;"",AO327/AI327-1,"-")</f>
        <v>-0.56352459016393441</v>
      </c>
      <c r="AP328" s="263">
        <f>IF(AJ327&lt;&gt;"",AP327/AJ327-1,"-")</f>
        <v>-0.59767687434002115</v>
      </c>
      <c r="AQ328" s="263">
        <f>IF(AK327&lt;&gt;"",AQ327/AK327-1,"-")</f>
        <v>-0.45668262951676086</v>
      </c>
      <c r="AR328" s="147"/>
      <c r="AS328" s="263">
        <f>IF(AM327&lt;&gt;"",AS327/AM327-1,"-")</f>
        <v>-0.2133676092544986</v>
      </c>
      <c r="AT328" s="263">
        <f>IF(AN327&lt;&gt;"",AT327/AN327-1,"-")</f>
        <v>0.73584905660377364</v>
      </c>
      <c r="AU328" s="263">
        <f>IF(AO327&lt;&gt;"",AU327/AO327-1,"-")</f>
        <v>1.704225352112676</v>
      </c>
      <c r="AV328" s="263">
        <f>IF(AP327&lt;&gt;"",AV327/AP327-1,"-")</f>
        <v>1.6194225721784776</v>
      </c>
      <c r="AW328" s="263">
        <f>IF(AQ327&lt;&gt;0,AW327/AQ327-1,"-")</f>
        <v>0.87499999999999978</v>
      </c>
      <c r="AX328" s="147"/>
      <c r="AY328" s="263">
        <f>IF(AS327&lt;&gt;"",AY327/AS327-1,"-")</f>
        <v>1.1633986928104574</v>
      </c>
      <c r="AZ328" s="263">
        <f>IF(AT327&lt;&gt;"",AZ327/AT327-1,"-")</f>
        <v>8.6956521739129933E-3</v>
      </c>
      <c r="BA328" s="263">
        <f>IF(AU327&lt;&gt;"",BA327/AU327-1,"-")</f>
        <v>-3.1250000000000111E-2</v>
      </c>
      <c r="BB328" s="263">
        <f>IF(AV327&lt;&gt;"",BB327/AV327-1,"-")</f>
        <v>-6.9138276553106115E-2</v>
      </c>
      <c r="BC328" s="263">
        <f>IF(AW327&lt;&gt;"",BC327/AW327-1,"-")</f>
        <v>0.11666666666666647</v>
      </c>
      <c r="BD328" s="147"/>
      <c r="BE328" s="263">
        <f>IF(AY327&lt;&gt;"",BE327/AY327-1,"-")</f>
        <v>-8.7613293051359564E-2</v>
      </c>
      <c r="BF328" s="263">
        <f>IF(AZ327&lt;&gt;"",BF327/AZ327-1,"-")</f>
        <v>0.53017241379310343</v>
      </c>
      <c r="BG328" s="263">
        <f>IF(BA327&lt;&gt;"",BG327/BA327-1,"-")</f>
        <v>0.13978494623655924</v>
      </c>
      <c r="BH328" s="263">
        <f>IF(BB327&lt;&gt;"",BH327/BB327-1,"-")</f>
        <v>-0.18083961248654479</v>
      </c>
      <c r="BI328" s="263">
        <f>IF(BC327&lt;&gt;"",BI327/BC327-1,"-")</f>
        <v>3.7504783773440797E-2</v>
      </c>
      <c r="BJ328" s="147"/>
      <c r="BK328" s="263">
        <f>IF(BE327&lt;&gt;"",BK327/BE327-1,"-")</f>
        <v>0.2450331125827816</v>
      </c>
      <c r="BL328" s="263">
        <f>IF(BF327&lt;&gt;"",BL327/BF327-1,"-")</f>
        <v>-0.30845070422535215</v>
      </c>
      <c r="BM328" s="263">
        <f>IF(BG327&lt;&gt;"",BM327/BG327-1,"-")</f>
        <v>-0.19811320754716988</v>
      </c>
      <c r="BN328" s="263">
        <f>IF(BH327&lt;&gt;"",BN327/BH327-1,"-")</f>
        <v>2.4967148488830526E-2</v>
      </c>
      <c r="BO328" s="1104">
        <f>IF(BI327&lt;&gt;"",BO327/BI327-1,"-")</f>
        <v>-6.5658428624123966E-2</v>
      </c>
      <c r="BP328" s="147"/>
      <c r="BQ328" s="263">
        <f>IF(BK327&lt;&gt;"",BQ327/BK327-1,"-")</f>
        <v>-5.5851063829787218E-2</v>
      </c>
      <c r="BR328" s="263">
        <f>IF(BL327&lt;&gt;"",BR327/BL327-1,"-")</f>
        <v>-6.313645621181263E-2</v>
      </c>
      <c r="BS328" s="263">
        <f>IF(BM327&lt;&gt;"",BS327/BM327-1,"-")</f>
        <v>-0.14803921568627443</v>
      </c>
      <c r="BT328" s="263">
        <f>IF(BN327&lt;&gt;"",BT327/BN327-1,"-")</f>
        <v>-0.35897435897435892</v>
      </c>
      <c r="BU328" s="1104">
        <f>IF(BO327&lt;&gt;"",BU327/BO327-1,"-")</f>
        <v>-0.1691669956573234</v>
      </c>
      <c r="BV328" s="147"/>
      <c r="BW328" s="263">
        <f>IF(BQ327&lt;&gt;"",BW327/BQ327-1,"-")</f>
        <v>-0.14000000000000001</v>
      </c>
      <c r="BX328" s="263">
        <f>IF(BR327&lt;&gt;"",BX327/BR327-1,"-")</f>
        <v>0.26086956521739135</v>
      </c>
      <c r="BY328" s="263">
        <f>IF(BS327&lt;&gt;"",BY327/BS327-1,"-")</f>
        <v>-2.1864211737629535E-2</v>
      </c>
      <c r="BZ328" s="263">
        <f>IF(BT327&lt;&gt;"",BZ327/BT327-1,"-")</f>
        <v>-0.31999999999999995</v>
      </c>
      <c r="CA328" s="1104">
        <f>IF(BU327&lt;&gt;"",CA327/BU327-1,"-")</f>
        <v>-7.0753148016155842E-2</v>
      </c>
      <c r="CB328" s="147"/>
      <c r="CC328" s="263">
        <f>IF(BW327&lt;&gt;"",CC327/BW327-1,"-")</f>
        <v>-0.29577464788732399</v>
      </c>
      <c r="CD328" s="263">
        <f>IF(BX327&lt;&gt;"",CD327/BX327-1,"-")</f>
        <v>-0.55172413793103448</v>
      </c>
      <c r="CE328" s="263">
        <f>IF(BY327&lt;&gt;"",CE327/BY327-1,"-")</f>
        <v>-0.38823529411764701</v>
      </c>
      <c r="CF328" s="263">
        <f>IF(BZ327&lt;&gt;"",CF327/BZ327-1,"-")</f>
        <v>8.8235294117646967E-2</v>
      </c>
      <c r="CG328" s="1104">
        <f>IF(CA327&lt;&gt;"",CG327/CA327-1,"-")</f>
        <v>-0.32501534056044179</v>
      </c>
      <c r="CH328" s="147"/>
      <c r="CI328" s="263">
        <f>IF(CC327&lt;&gt;"",CI327/CC327-1,"-")</f>
        <v>0.18604651162790709</v>
      </c>
      <c r="CJ328" s="263">
        <f>IF(CD327&lt;&gt;"",CJ327/CD327-1,"-")</f>
        <v>-0.30769230769230771</v>
      </c>
      <c r="CK328" s="263">
        <f>IF(CE327&lt;&gt;"",CK327/CE327-1,"-")</f>
        <v>0.23076923076923084</v>
      </c>
      <c r="CL328" s="263">
        <f>IF(CF327&lt;&gt;"",CL327/CF327-1,"-")</f>
        <v>0.64864864864864868</v>
      </c>
      <c r="CM328" s="1104">
        <f>IF(CG327&lt;&gt;"",CM327/CG327-1,"-")</f>
        <v>0.22727272727272729</v>
      </c>
      <c r="CN328" s="147"/>
      <c r="CO328" s="263">
        <f>IF(CI327&lt;&gt;"",CO327/CI327-1,"-")</f>
        <v>3.9215686274509887E-2</v>
      </c>
      <c r="CP328" s="263">
        <f>IF(CJ327&lt;&gt;"",CP327/CJ327-1,"-")</f>
        <v>1.2777777777777777</v>
      </c>
      <c r="CQ328" s="263">
        <f>IF(CK327&lt;&gt;"",CQ327/CK327-1,"-")</f>
        <v>0.15625</v>
      </c>
      <c r="CR328" s="263">
        <f>IF(CL327&lt;&gt;"",CR327/CL327-1,"-")</f>
        <v>-0.11475409836065575</v>
      </c>
      <c r="CS328" s="1104">
        <f>IF(CM327&lt;&gt;"",CS327/CM327-1,"-")</f>
        <v>0.14197530864197527</v>
      </c>
      <c r="CT328" s="263"/>
      <c r="CU328" s="263">
        <f>IF(CO327&lt;&gt;"",CU327/CO327-1,"-")</f>
        <v>-0.1132075471698113</v>
      </c>
      <c r="CV328" s="263">
        <f>IF(CP327&lt;&gt;"",CV327/CP327-1,"-")</f>
        <v>-0.17073170731707321</v>
      </c>
      <c r="CW328" s="263">
        <f>IF(CQ327&lt;&gt;"",CW327/CQ327-1,"-")</f>
        <v>-0.13513513513513509</v>
      </c>
      <c r="CX328" s="263">
        <f>IF(CR327&lt;&gt;"",CX327/CR327-1,"-")</f>
        <v>0.14814814814814814</v>
      </c>
      <c r="CY328" s="1104">
        <f>IF(CS327&lt;&gt;"",CY327/CS327-1,"-")</f>
        <v>-5.4054054054054057E-2</v>
      </c>
      <c r="CZ328" s="263"/>
      <c r="DA328" s="1452">
        <v>-0.1</v>
      </c>
      <c r="DB328" s="748">
        <v>-0.1</v>
      </c>
      <c r="DC328" s="748">
        <v>-0.1</v>
      </c>
      <c r="DD328" s="748">
        <v>-0.1</v>
      </c>
      <c r="DE328" s="1104">
        <f>IF(CY327&lt;&gt;"",DE327/CY327-1,"-")</f>
        <v>-9.9999999999999978E-2</v>
      </c>
      <c r="DF328" s="263"/>
      <c r="DG328" s="1452">
        <v>0.3</v>
      </c>
      <c r="DH328" s="748">
        <v>0.5</v>
      </c>
      <c r="DI328" s="748">
        <v>0.8</v>
      </c>
      <c r="DJ328" s="748">
        <v>1</v>
      </c>
      <c r="DK328" s="1104">
        <f>IF(DE327&lt;&gt;"",DK327/DE327-1,"-")</f>
        <v>0.6782857142857146</v>
      </c>
      <c r="DL328" s="147"/>
      <c r="DM328" s="1452">
        <v>-1</v>
      </c>
      <c r="DN328" s="748">
        <f>DM328</f>
        <v>-1</v>
      </c>
      <c r="DO328" s="748">
        <f>DN328</f>
        <v>-1</v>
      </c>
      <c r="DP328" s="748">
        <f>DO328</f>
        <v>-1</v>
      </c>
      <c r="DQ328" s="1104">
        <f>IF(DK327&lt;&gt;"",DQ327/DK327-1,"-")</f>
        <v>-1</v>
      </c>
      <c r="DR328" s="263"/>
      <c r="DS328" s="1452">
        <v>-0.2</v>
      </c>
      <c r="DT328" s="748">
        <f>DS328</f>
        <v>-0.2</v>
      </c>
      <c r="DU328" s="748">
        <f>DT328</f>
        <v>-0.2</v>
      </c>
      <c r="DV328" s="748">
        <f>DU328</f>
        <v>-0.2</v>
      </c>
      <c r="DW328" s="1104"/>
      <c r="DX328" s="263"/>
      <c r="DY328" s="1452">
        <v>-0.2</v>
      </c>
      <c r="DZ328" s="748">
        <f>DY328</f>
        <v>-0.2</v>
      </c>
      <c r="EA328" s="748">
        <f>DZ328</f>
        <v>-0.2</v>
      </c>
      <c r="EB328" s="748">
        <f>EA328</f>
        <v>-0.2</v>
      </c>
      <c r="EC328" s="1104"/>
      <c r="ED328" s="263"/>
      <c r="EE328" s="1452">
        <v>-0.2</v>
      </c>
      <c r="EF328" s="748">
        <f>EE328</f>
        <v>-0.2</v>
      </c>
      <c r="EG328" s="748">
        <f>EF328</f>
        <v>-0.2</v>
      </c>
      <c r="EH328" s="748">
        <f>EG328</f>
        <v>-0.2</v>
      </c>
      <c r="EI328" s="1104"/>
      <c r="EJ328" s="263"/>
      <c r="EK328" s="1452">
        <v>-0.2</v>
      </c>
      <c r="EL328" s="748">
        <f>EK328</f>
        <v>-0.2</v>
      </c>
      <c r="EM328" s="748">
        <f>EL328</f>
        <v>-0.2</v>
      </c>
      <c r="EN328" s="748">
        <f>EM328</f>
        <v>-0.2</v>
      </c>
      <c r="EO328" s="1104"/>
      <c r="EP328" s="263"/>
      <c r="EQ328" s="1452">
        <v>-0.2</v>
      </c>
      <c r="ER328" s="748">
        <f>EQ328</f>
        <v>-0.2</v>
      </c>
      <c r="ES328" s="748">
        <f>ER328</f>
        <v>-0.2</v>
      </c>
      <c r="ET328" s="748">
        <f>ES328</f>
        <v>-0.2</v>
      </c>
      <c r="EU328" s="1104"/>
    </row>
    <row r="329" spans="1:223" ht="12.75" hidden="1" customHeight="1" outlineLevel="1">
      <c r="A329" s="583" t="s">
        <v>344</v>
      </c>
      <c r="B329" s="147"/>
      <c r="C329" s="147"/>
      <c r="D329" s="147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263" t="str">
        <f>IF(AD327&lt;&gt;"",AG327/AD327-1,"-")</f>
        <v>-</v>
      </c>
      <c r="AH329" s="263">
        <f>IF(AG327&lt;&gt;"",AH327/AG327-1,"-")</f>
        <v>1.448</v>
      </c>
      <c r="AI329" s="263">
        <f>IF(AH327&lt;&gt;"",AI327/AH327-1,"-")</f>
        <v>-0.20261437908496738</v>
      </c>
      <c r="AJ329" s="263">
        <f>IF(AI327&lt;&gt;"",AJ327/AI327-1,"-")</f>
        <v>0.94057377049180335</v>
      </c>
      <c r="AK329" s="141"/>
      <c r="AL329" s="147"/>
      <c r="AM329" s="263">
        <f>IF(AJ327&lt;&gt;"",AM327/AJ327-1,"-")</f>
        <v>-0.58922914466737075</v>
      </c>
      <c r="AN329" s="263">
        <f>IF(AM327&lt;&gt;"",AN327/AM327-1,"-")</f>
        <v>-0.3187660668380462</v>
      </c>
      <c r="AO329" s="263">
        <f>IF(AN327&lt;&gt;"",AO327/AN327-1,"-")</f>
        <v>-0.19622641509433958</v>
      </c>
      <c r="AP329" s="263">
        <f>IF(AO327&lt;&gt;"",AP327/AO327-1,"-")</f>
        <v>0.78873239436619724</v>
      </c>
      <c r="AQ329" s="141" t="s">
        <v>6442</v>
      </c>
      <c r="AR329" s="147"/>
      <c r="AS329" s="263">
        <f>IF(AP327&lt;&gt;"",AS327/AP327-1,"-")</f>
        <v>-0.19685039370078738</v>
      </c>
      <c r="AT329" s="263">
        <f>IF(AS327&lt;&gt;"",AT327/AS327-1,"-")</f>
        <v>0.50326797385620914</v>
      </c>
      <c r="AU329" s="263">
        <f>IF(AT327&lt;&gt;"",AU327/AT327-1,"-")</f>
        <v>0.25217391304347836</v>
      </c>
      <c r="AV329" s="263">
        <f>IF(AU327&lt;&gt;"",AV327/AU327-1,"-")</f>
        <v>0.73263888888888884</v>
      </c>
      <c r="AW329" s="141" t="s">
        <v>6442</v>
      </c>
      <c r="AX329" s="147"/>
      <c r="AY329" s="263">
        <f>IF(AV327&lt;&gt;"",AY327/AV327-1,"-")</f>
        <v>-0.33667334669338678</v>
      </c>
      <c r="AZ329" s="263">
        <f>IF(AY327&lt;&gt;"",AZ327/AY327-1,"-")</f>
        <v>-0.29909365558912393</v>
      </c>
      <c r="BA329" s="263">
        <f>IF(AZ327&lt;&gt;"",BA327/AZ327-1,"-")</f>
        <v>0.2025862068965516</v>
      </c>
      <c r="BB329" s="263">
        <f>IF(BA327&lt;&gt;"",BB327/BA327-1,"-")</f>
        <v>0.66487455197132639</v>
      </c>
      <c r="BC329" s="141" t="s">
        <v>6442</v>
      </c>
      <c r="BD329" s="147"/>
      <c r="BE329" s="263">
        <f>IF(BB327&lt;&gt;"",BE327/BB327-1,"-")</f>
        <v>-0.34983853606027993</v>
      </c>
      <c r="BF329" s="263">
        <f>IF(BE327&lt;&gt;"",BF327/BE327-1,"-")</f>
        <v>0.17549668874172197</v>
      </c>
      <c r="BG329" s="263">
        <f>IF(BF327&lt;&gt;"",BG327/BF327-1,"-")</f>
        <v>-0.10422535211267603</v>
      </c>
      <c r="BH329" s="263">
        <f>IF(BG327&lt;&gt;"",BH327/BG327-1,"-")</f>
        <v>0.19654088050314455</v>
      </c>
      <c r="BI329" s="141" t="s">
        <v>6442</v>
      </c>
      <c r="BJ329" s="147"/>
      <c r="BK329" s="263">
        <f>IF(BH327&lt;&gt;"",BK327/BH327-1,"-")</f>
        <v>-1.1826544021024898E-2</v>
      </c>
      <c r="BL329" s="263">
        <f>IF(BK327&lt;&gt;"",BL327/BK327-1,"-")</f>
        <v>-0.34707446808510634</v>
      </c>
      <c r="BM329" s="263">
        <f>IF(BL327&lt;&gt;"",BM327/BL327-1,"-")</f>
        <v>3.8696537678207799E-2</v>
      </c>
      <c r="BN329" s="263">
        <f>IF(BM327&lt;&gt;"",BN327/BM327-1,"-")</f>
        <v>0.52941176470588225</v>
      </c>
      <c r="BO329" s="1105" t="s">
        <v>6442</v>
      </c>
      <c r="BP329" s="147"/>
      <c r="BQ329" s="263">
        <f>IF(BN327&lt;&gt;"",BQ327/BN327-1,"-")</f>
        <v>-8.9743589743589758E-2</v>
      </c>
      <c r="BR329" s="263">
        <f>IF(BQ327&lt;&gt;"",BR327/BQ327-1,"-")</f>
        <v>-0.352112676056338</v>
      </c>
      <c r="BS329" s="263">
        <f>IF(BR327&lt;&gt;"",BS327/BR327-1,"-")</f>
        <v>-5.543478260869561E-2</v>
      </c>
      <c r="BT329" s="263">
        <f>IF(BS327&lt;&gt;"",BT327/BS327-1,"-")</f>
        <v>0.15074798619102414</v>
      </c>
      <c r="BU329" s="1105" t="s">
        <v>6442</v>
      </c>
      <c r="BV329" s="147"/>
      <c r="BW329" s="263">
        <f>IF(BT327&lt;&gt;"",BW327/BT327-1,"-")</f>
        <v>0.22120000000000006</v>
      </c>
      <c r="BX329" s="263">
        <f>IF(BW327&lt;&gt;"",BX327/BW327-1,"-")</f>
        <v>-5.0114641336390431E-2</v>
      </c>
      <c r="BY329" s="263">
        <f>IF(BX327&lt;&gt;"",BY327/BX327-1,"-")</f>
        <v>-0.26724137931034486</v>
      </c>
      <c r="BZ329" s="263">
        <f>IF(BY327&lt;&gt;"",BZ327/BY327-1,"-")</f>
        <v>-0.19999999999999996</v>
      </c>
      <c r="CA329" s="1105" t="s">
        <v>6442</v>
      </c>
      <c r="CB329" s="147"/>
      <c r="CC329" s="263">
        <f>IF(BZ327&lt;&gt;"",CC327/BZ327-1,"-")</f>
        <v>0.26470588235294112</v>
      </c>
      <c r="CD329" s="263">
        <f>IF(CC327&lt;&gt;"",CD327/CC327-1,"-")</f>
        <v>-0.39534883720930236</v>
      </c>
      <c r="CE329" s="263">
        <f>IF(CD327&lt;&gt;"",CE327/CD327-1,"-")</f>
        <v>0</v>
      </c>
      <c r="CF329" s="263">
        <f>IF(CE327&lt;&gt;"",CF327/CE327-1,"-")</f>
        <v>0.42307692307692313</v>
      </c>
      <c r="CG329" s="1105" t="s">
        <v>6442</v>
      </c>
      <c r="CH329" s="147"/>
      <c r="CI329" s="263">
        <f>IF(CF327&lt;&gt;"",CI327/CF327-1,"-")</f>
        <v>0.37837837837837829</v>
      </c>
      <c r="CJ329" s="263">
        <f>IF(CI327&lt;&gt;"",CJ327/CI327-1,"-")</f>
        <v>-0.64705882352941169</v>
      </c>
      <c r="CK329" s="263">
        <f>IF(CJ327&lt;&gt;"",CK327/CJ327-1,"-")</f>
        <v>0.77777777777777768</v>
      </c>
      <c r="CL329" s="263">
        <f>IF(CK327&lt;&gt;"",CL327/CK327-1,"-")</f>
        <v>0.90625</v>
      </c>
      <c r="CM329" s="1105" t="s">
        <v>6442</v>
      </c>
      <c r="CN329" s="147"/>
      <c r="CO329" s="263">
        <f>IF(CL327&lt;&gt;"",CO327/CL327-1,"-")</f>
        <v>-0.13114754098360659</v>
      </c>
      <c r="CP329" s="263">
        <f>IF(CO327&lt;&gt;"",CP327/CO327-1,"-")</f>
        <v>-0.22641509433962259</v>
      </c>
      <c r="CQ329" s="263">
        <f>IF(CP327&lt;&gt;"",CQ327/CP327-1,"-")</f>
        <v>-9.7560975609756073E-2</v>
      </c>
      <c r="CR329" s="263">
        <f>IF(CQ327&lt;&gt;"",CR327/CQ327-1,"-")</f>
        <v>0.45945945945945943</v>
      </c>
      <c r="CS329" s="1105" t="s">
        <v>6442</v>
      </c>
      <c r="CT329" s="141"/>
      <c r="CU329" s="263">
        <f>IF(CR327&lt;&gt;"",CU327/CR327-1,"-")</f>
        <v>-0.12962962962962965</v>
      </c>
      <c r="CV329" s="263">
        <f>IF(CU327&lt;&gt;"",CV327/CU327-1,"-")</f>
        <v>-0.27659574468085102</v>
      </c>
      <c r="CW329" s="263">
        <f>IF(CV327&lt;&gt;"",CW327/CV327-1,"-")</f>
        <v>-5.8823529411764719E-2</v>
      </c>
      <c r="CX329" s="263">
        <f>IF(CW327&lt;&gt;"",CX327/CW327-1,"-")</f>
        <v>0.9375</v>
      </c>
      <c r="CY329" s="1105" t="s">
        <v>6442</v>
      </c>
      <c r="CZ329" s="141"/>
      <c r="DA329" s="263">
        <f>IF(CX327&lt;&gt;"",DA327/CX327-1,"-")</f>
        <v>-0.31774193548387086</v>
      </c>
      <c r="DB329" s="263">
        <f>IF(DA327&lt;&gt;"",DB327/DA327-1,"-")</f>
        <v>-0.27659574468085113</v>
      </c>
      <c r="DC329" s="263">
        <f>IF(DB327&lt;&gt;"",DC327/DB327-1,"-")</f>
        <v>-5.8823529411764719E-2</v>
      </c>
      <c r="DD329" s="263">
        <f>IF(DC327&lt;&gt;"",DD327/DC327-1,"-")</f>
        <v>0.9375</v>
      </c>
      <c r="DE329" s="1105" t="s">
        <v>6442</v>
      </c>
      <c r="DF329" s="141"/>
      <c r="DG329" s="263">
        <f>IF(DD327&lt;&gt;"",DG327/DD327-1,"-")</f>
        <v>-1.4516129032257963E-2</v>
      </c>
      <c r="DH329" s="263">
        <f>IF(DG327&lt;&gt;"",DH327/DG327-1,"-")</f>
        <v>-0.16530278232405893</v>
      </c>
      <c r="DI329" s="263">
        <f>IF(DH327&lt;&gt;"",DI327/DH327-1,"-")</f>
        <v>0.12941176470588234</v>
      </c>
      <c r="DJ329" s="263">
        <f>IF(DI327&lt;&gt;"",DJ327/DI327-1,"-")</f>
        <v>1.1527777777777777</v>
      </c>
      <c r="DK329" s="1105" t="s">
        <v>6442</v>
      </c>
      <c r="DL329" s="147"/>
      <c r="DM329" s="263"/>
      <c r="DN329" s="263"/>
      <c r="DO329" s="263"/>
      <c r="DP329" s="263"/>
      <c r="DQ329" s="1105" t="s">
        <v>6442</v>
      </c>
      <c r="DR329" s="141"/>
      <c r="DS329" s="263"/>
      <c r="DT329" s="263"/>
      <c r="DU329" s="263"/>
      <c r="DV329" s="263"/>
      <c r="DW329" s="1105" t="s">
        <v>6442</v>
      </c>
      <c r="DX329" s="141"/>
      <c r="DY329" s="263"/>
      <c r="DZ329" s="263"/>
      <c r="EA329" s="263"/>
      <c r="EB329" s="263"/>
      <c r="EC329" s="1105" t="s">
        <v>6442</v>
      </c>
      <c r="ED329" s="141"/>
      <c r="EE329" s="263"/>
      <c r="EF329" s="263"/>
      <c r="EG329" s="263"/>
      <c r="EH329" s="263"/>
      <c r="EI329" s="1105" t="s">
        <v>6442</v>
      </c>
      <c r="EJ329" s="141"/>
      <c r="EK329" s="263"/>
      <c r="EL329" s="263"/>
      <c r="EM329" s="263"/>
      <c r="EN329" s="263"/>
      <c r="EO329" s="1105" t="s">
        <v>6442</v>
      </c>
      <c r="EP329" s="141"/>
      <c r="EQ329" s="263"/>
      <c r="ER329" s="263"/>
      <c r="ES329" s="263"/>
      <c r="ET329" s="263"/>
      <c r="EU329" s="1105" t="s">
        <v>6442</v>
      </c>
    </row>
    <row r="330" spans="1:223" s="2253" customFormat="1" ht="12.75" hidden="1" customHeight="1" outlineLevel="1">
      <c r="A330" s="2231" t="s">
        <v>7197</v>
      </c>
      <c r="B330" s="147"/>
      <c r="C330" s="147"/>
      <c r="D330" s="147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263"/>
      <c r="AH330" s="263"/>
      <c r="AI330" s="263"/>
      <c r="AJ330" s="263"/>
      <c r="AK330" s="141"/>
      <c r="AL330" s="147"/>
      <c r="AM330" s="263"/>
      <c r="AN330" s="263"/>
      <c r="AO330" s="263"/>
      <c r="AP330" s="263"/>
      <c r="AQ330" s="141"/>
      <c r="AR330" s="147"/>
      <c r="AS330" s="263"/>
      <c r="AT330" s="263"/>
      <c r="AU330" s="263"/>
      <c r="AV330" s="263"/>
      <c r="AW330" s="141"/>
      <c r="AX330" s="147"/>
      <c r="AY330" s="263"/>
      <c r="AZ330" s="263"/>
      <c r="BA330" s="263"/>
      <c r="BB330" s="263"/>
      <c r="BC330" s="141"/>
      <c r="BD330" s="147"/>
      <c r="BE330" s="263"/>
      <c r="BF330" s="263"/>
      <c r="BG330" s="263"/>
      <c r="BH330" s="263"/>
      <c r="BI330" s="141"/>
      <c r="BJ330" s="147"/>
      <c r="BK330" s="263"/>
      <c r="BL330" s="263"/>
      <c r="BM330" s="263"/>
      <c r="BN330" s="263"/>
      <c r="BO330" s="1105"/>
      <c r="BP330" s="147"/>
      <c r="BQ330" s="263"/>
      <c r="BR330" s="263"/>
      <c r="BS330" s="263"/>
      <c r="BT330" s="263"/>
      <c r="BU330" s="1105"/>
      <c r="BV330" s="147"/>
      <c r="BW330" s="263"/>
      <c r="BX330" s="263"/>
      <c r="BY330" s="263"/>
      <c r="BZ330" s="263"/>
      <c r="CA330" s="1105"/>
      <c r="CB330" s="147"/>
      <c r="CC330" s="263"/>
      <c r="CD330" s="263"/>
      <c r="CE330" s="263"/>
      <c r="CF330" s="263"/>
      <c r="CG330" s="1105"/>
      <c r="CH330" s="147"/>
      <c r="CI330" s="263"/>
      <c r="CJ330" s="263"/>
      <c r="CK330" s="263"/>
      <c r="CL330" s="263"/>
      <c r="CM330" s="1105"/>
      <c r="CN330" s="147"/>
      <c r="CO330" s="263"/>
      <c r="CP330" s="263"/>
      <c r="CQ330" s="263"/>
      <c r="CR330" s="263"/>
      <c r="CS330" s="1105"/>
      <c r="CT330" s="141"/>
      <c r="CU330" s="263"/>
      <c r="CV330" s="263"/>
      <c r="CW330" s="263"/>
      <c r="CX330" s="263"/>
      <c r="CY330" s="1105"/>
      <c r="CZ330" s="141"/>
      <c r="DA330" s="263"/>
      <c r="DB330" s="263"/>
      <c r="DC330" s="263"/>
      <c r="DD330" s="263"/>
      <c r="DE330" s="1105"/>
      <c r="DF330" s="141"/>
      <c r="DG330" s="263"/>
      <c r="DH330" s="263"/>
      <c r="DI330" s="263"/>
      <c r="DJ330" s="263"/>
      <c r="DK330" s="1105"/>
      <c r="DL330" s="147"/>
      <c r="DM330" s="263"/>
      <c r="DN330" s="263"/>
      <c r="DO330" s="263"/>
      <c r="DP330" s="263"/>
      <c r="DQ330" s="1105"/>
      <c r="DR330" s="141"/>
      <c r="DS330" s="263"/>
      <c r="DT330" s="263"/>
      <c r="DU330" s="263"/>
      <c r="DV330" s="263"/>
      <c r="DW330" s="1105"/>
      <c r="DX330" s="141"/>
      <c r="DY330" s="263"/>
      <c r="DZ330" s="263"/>
      <c r="EA330" s="263"/>
      <c r="EB330" s="263"/>
      <c r="EC330" s="1105"/>
      <c r="ED330" s="141"/>
      <c r="EE330" s="263"/>
      <c r="EF330" s="263"/>
      <c r="EG330" s="263"/>
      <c r="EH330" s="263"/>
      <c r="EI330" s="1105"/>
      <c r="EJ330" s="141"/>
      <c r="EK330" s="263"/>
      <c r="EL330" s="263"/>
      <c r="EM330" s="263"/>
      <c r="EN330" s="263"/>
      <c r="EO330" s="1105"/>
      <c r="EP330" s="141"/>
      <c r="EQ330" s="263"/>
      <c r="ER330" s="263"/>
      <c r="ES330" s="263"/>
      <c r="ET330" s="263"/>
      <c r="EU330" s="1105"/>
    </row>
    <row r="331" spans="1:223" ht="12.75" hidden="1" customHeight="1" outlineLevel="1">
      <c r="A331" s="113" t="s">
        <v>7221</v>
      </c>
      <c r="B331" s="147"/>
      <c r="C331" s="147"/>
      <c r="D331" s="147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582">
        <f>Model!AG14</f>
        <v>8.9570000000000007</v>
      </c>
      <c r="AH331" s="582">
        <f>Model!AH14</f>
        <v>11.13</v>
      </c>
      <c r="AI331" s="582">
        <f>Model!AI14</f>
        <v>11.816000000000001</v>
      </c>
      <c r="AJ331" s="582">
        <f>Model!AJ14</f>
        <v>13.776</v>
      </c>
      <c r="AK331" s="175">
        <f>SUM(AG331:AJ331)</f>
        <v>45.679000000000002</v>
      </c>
      <c r="AL331" s="147"/>
      <c r="AM331" s="582">
        <f>Model!AM14</f>
        <v>15.663</v>
      </c>
      <c r="AN331" s="582">
        <f>Model!AN14</f>
        <v>18.065999999999999</v>
      </c>
      <c r="AO331" s="582">
        <f>Model!AO14</f>
        <v>20.43</v>
      </c>
      <c r="AP331" s="582">
        <f>Model!AP14</f>
        <v>21.841999999999999</v>
      </c>
      <c r="AQ331" s="175">
        <f>SUM(AM331:AP331)</f>
        <v>76.001000000000005</v>
      </c>
      <c r="AR331" s="147"/>
      <c r="AS331" s="582">
        <f>Model!AS14</f>
        <v>23.885000000000002</v>
      </c>
      <c r="AT331" s="582">
        <f>Model!AT14</f>
        <v>28.271000000000001</v>
      </c>
      <c r="AU331" s="582">
        <f>Model!AU14</f>
        <v>29.559000000000001</v>
      </c>
      <c r="AV331" s="582">
        <f>Model!AV14</f>
        <v>33.191000000000003</v>
      </c>
      <c r="AW331" s="175">
        <f>SUM(AS331:AV331)</f>
        <v>114.90600000000001</v>
      </c>
      <c r="AX331" s="147"/>
      <c r="AY331" s="608">
        <f>Model!AY14</f>
        <v>37.299999999999997</v>
      </c>
      <c r="AZ331" s="608">
        <f>Model!AZ14</f>
        <v>40.6</v>
      </c>
      <c r="BA331" s="608">
        <f>Model!BA14</f>
        <v>44.8</v>
      </c>
      <c r="BB331" s="608">
        <f>Model!BB14</f>
        <v>50.9</v>
      </c>
      <c r="BC331" s="142">
        <f>SUM(AY331:BB331)</f>
        <v>173.6</v>
      </c>
      <c r="BD331" s="75"/>
      <c r="BE331" s="608">
        <f>Model!BE14</f>
        <v>59.7</v>
      </c>
      <c r="BF331" s="608">
        <f>Model!BF14</f>
        <v>63.9</v>
      </c>
      <c r="BG331" s="608">
        <f>Model!BG14</f>
        <v>72.8</v>
      </c>
      <c r="BH331" s="608">
        <f>Model!BH14</f>
        <v>79</v>
      </c>
      <c r="BI331" s="142">
        <f>SUM(BE331:BH331)</f>
        <v>275.39999999999998</v>
      </c>
      <c r="BJ331" s="75"/>
      <c r="BK331" s="608">
        <f>Model!BK14</f>
        <v>86.6</v>
      </c>
      <c r="BL331" s="608">
        <f>Model!BL14</f>
        <v>104.1</v>
      </c>
      <c r="BM331" s="608">
        <f>Model!BM14</f>
        <v>110.5</v>
      </c>
      <c r="BN331" s="608">
        <f>Model!BN14</f>
        <v>122.7</v>
      </c>
      <c r="BO331" s="1107">
        <f>SUM(BK331:BN331)</f>
        <v>423.9</v>
      </c>
      <c r="BP331" s="75"/>
      <c r="BQ331" s="608">
        <f>Model!BQ14</f>
        <v>125.4</v>
      </c>
      <c r="BR331" s="608">
        <f>Model!BR14</f>
        <v>132.30000000000001</v>
      </c>
      <c r="BS331" s="608">
        <f>Model!BS14</f>
        <v>142.6</v>
      </c>
      <c r="BT331" s="608">
        <f>Model!BT14</f>
        <v>153.1</v>
      </c>
      <c r="BU331" s="1107">
        <f>SUM(BQ331:BT331)</f>
        <v>553.40000000000009</v>
      </c>
      <c r="BV331" s="75"/>
      <c r="BW331" s="608">
        <f>Model!BW14</f>
        <v>166.6</v>
      </c>
      <c r="BX331" s="608">
        <v>180</v>
      </c>
      <c r="BY331" s="608">
        <f>Model!BY14</f>
        <v>186.1</v>
      </c>
      <c r="BZ331" s="608">
        <f>Model!BZ14</f>
        <v>179.8</v>
      </c>
      <c r="CA331" s="1107">
        <f>SUM(BW331:BZ331)</f>
        <v>712.5</v>
      </c>
      <c r="CB331" s="75"/>
      <c r="CC331" s="608">
        <f>Model!CC14</f>
        <v>182.2</v>
      </c>
      <c r="CD331" s="608">
        <f>Model!CD14</f>
        <v>183.9</v>
      </c>
      <c r="CE331" s="608">
        <f>Model!CE14</f>
        <v>180.8</v>
      </c>
      <c r="CF331" s="608">
        <f>Model!CF14</f>
        <v>186.1</v>
      </c>
      <c r="CG331" s="1107">
        <f>SUM(CC331:CF331)</f>
        <v>733.00000000000011</v>
      </c>
      <c r="CH331" s="75"/>
      <c r="CI331" s="608">
        <f>Model!CI14</f>
        <v>194.8</v>
      </c>
      <c r="CJ331" s="608">
        <f>Model!CJ14</f>
        <v>192.1</v>
      </c>
      <c r="CK331" s="142">
        <f>Model!CK14</f>
        <v>194.7</v>
      </c>
      <c r="CL331" s="608">
        <f>Model!CL14</f>
        <v>198.1</v>
      </c>
      <c r="CM331" s="1107">
        <f>SUM(CI331:CL331)</f>
        <v>779.69999999999993</v>
      </c>
      <c r="CN331" s="75"/>
      <c r="CO331" s="608">
        <f>Model!CO14</f>
        <v>205.3</v>
      </c>
      <c r="CP331" s="608">
        <f>Model!CP14</f>
        <v>213.3</v>
      </c>
      <c r="CQ331" s="608">
        <f>Model!CQ14</f>
        <v>217.2</v>
      </c>
      <c r="CR331" s="608">
        <f>Model!CR14</f>
        <v>222.2</v>
      </c>
      <c r="CS331" s="1107">
        <f>SUM(CO331:CR331)</f>
        <v>858</v>
      </c>
      <c r="CT331" s="142"/>
      <c r="CU331" s="608">
        <f>Model!CU14</f>
        <v>233.3</v>
      </c>
      <c r="CV331" s="608">
        <f>Model!CV14</f>
        <v>235</v>
      </c>
      <c r="CW331" s="608">
        <f>Model!CW14</f>
        <v>238</v>
      </c>
      <c r="CX331" s="608">
        <f>Model!CX14</f>
        <v>242</v>
      </c>
      <c r="CY331" s="1107">
        <f>SUM(CU331:CX331)</f>
        <v>948.3</v>
      </c>
      <c r="CZ331" s="142"/>
      <c r="DA331" s="608">
        <f>Model!DA14</f>
        <v>246.9</v>
      </c>
      <c r="DB331" s="608">
        <f>Model!DB14</f>
        <v>248.5</v>
      </c>
      <c r="DC331" s="608">
        <f>Model!DC14</f>
        <v>257.7</v>
      </c>
      <c r="DD331" s="608">
        <f>Model!DD14</f>
        <v>265.89999999999998</v>
      </c>
      <c r="DE331" s="1107">
        <f>SUM(DA331:DD331)</f>
        <v>1018.9999999999999</v>
      </c>
      <c r="DF331" s="142"/>
      <c r="DG331" s="608">
        <f>Model!DG14</f>
        <v>276.3</v>
      </c>
      <c r="DH331" s="608">
        <f>Model!DH14</f>
        <v>286.7</v>
      </c>
      <c r="DI331" s="608">
        <f>Model!DI14</f>
        <v>297.5</v>
      </c>
      <c r="DJ331" s="608">
        <f>Model!DJ14</f>
        <v>310.3</v>
      </c>
      <c r="DK331" s="1107">
        <f>SUM(DG331:DJ331)</f>
        <v>1170.8</v>
      </c>
      <c r="DL331" s="75"/>
      <c r="DM331" s="608">
        <f>Model!DM14</f>
        <v>319.8</v>
      </c>
      <c r="DN331" s="608">
        <f>Model!DN14</f>
        <v>319</v>
      </c>
      <c r="DO331" s="608">
        <f>Model!DO14</f>
        <v>318.89999999999998</v>
      </c>
      <c r="DP331" s="608">
        <f>Model!DP14</f>
        <v>319.5</v>
      </c>
      <c r="DQ331" s="1107">
        <f>SUM(DM331:DP331)</f>
        <v>1277.1999999999998</v>
      </c>
      <c r="DR331" s="142"/>
      <c r="DS331" s="608">
        <f>Model!DS14</f>
        <v>326</v>
      </c>
      <c r="DT331" s="608">
        <f>Model!DT14</f>
        <v>322</v>
      </c>
      <c r="DU331" s="608">
        <f>Model!DU14</f>
        <v>319.5</v>
      </c>
      <c r="DV331" s="608">
        <f>Model!DV14</f>
        <v>322.5</v>
      </c>
      <c r="DW331" s="1107">
        <f>SUM(DS331:DV331)</f>
        <v>1290</v>
      </c>
      <c r="DX331" s="142"/>
      <c r="DY331" s="608"/>
      <c r="DZ331" s="608"/>
      <c r="EA331" s="608"/>
      <c r="EB331" s="608"/>
      <c r="EC331" s="1107"/>
      <c r="ED331" s="142"/>
      <c r="EE331" s="608"/>
      <c r="EF331" s="608"/>
      <c r="EG331" s="608"/>
      <c r="EH331" s="608"/>
      <c r="EI331" s="1107"/>
      <c r="EJ331" s="142"/>
      <c r="EK331" s="608"/>
      <c r="EL331" s="608"/>
      <c r="EM331" s="608"/>
      <c r="EN331" s="608"/>
      <c r="EO331" s="1107"/>
      <c r="EP331" s="142"/>
      <c r="EQ331" s="608"/>
      <c r="ER331" s="608"/>
      <c r="ES331" s="608"/>
      <c r="ET331" s="608"/>
      <c r="EU331" s="1107"/>
    </row>
    <row r="332" spans="1:223" ht="13.5" hidden="1" customHeight="1" outlineLevel="1">
      <c r="A332" s="583" t="s">
        <v>345</v>
      </c>
      <c r="B332" s="147"/>
      <c r="C332" s="147"/>
      <c r="D332" s="147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263" t="str">
        <f>IF(AA331&lt;&gt;"",AG331/AA331-1,"-")</f>
        <v>-</v>
      </c>
      <c r="AH332" s="263" t="str">
        <f>IF(AB331&lt;&gt;"",AH331/AB331-1,"-")</f>
        <v>-</v>
      </c>
      <c r="AI332" s="263" t="str">
        <f>IF(AC331&lt;&gt;"",AI331/AC331-1,"-")</f>
        <v>-</v>
      </c>
      <c r="AJ332" s="263" t="str">
        <f>IF(AD331&lt;&gt;"",AJ331/AD331-1,"-")</f>
        <v>-</v>
      </c>
      <c r="AK332" s="141"/>
      <c r="AL332" s="147"/>
      <c r="AM332" s="263">
        <f>IF(AG331&lt;&gt;"",AM331/AG331-1,"-")</f>
        <v>0.74868817684492561</v>
      </c>
      <c r="AN332" s="263">
        <f>IF(AH331&lt;&gt;"",AN331/AH331-1,"-")</f>
        <v>0.62318059299191364</v>
      </c>
      <c r="AO332" s="263">
        <f>IF(AI331&lt;&gt;"",AO331/AI331-1,"-")</f>
        <v>0.72901150981719698</v>
      </c>
      <c r="AP332" s="263">
        <f>IF(AJ331&lt;&gt;"",AP331/AJ331-1,"-")</f>
        <v>0.58551103368176527</v>
      </c>
      <c r="AQ332" s="263">
        <f>AQ331/AK331-1</f>
        <v>0.66380612535300698</v>
      </c>
      <c r="AR332" s="147"/>
      <c r="AS332" s="263">
        <f>IF(AM331&lt;&gt;"",AS331/AM331-1,"-")</f>
        <v>0.52493136691566122</v>
      </c>
      <c r="AT332" s="263">
        <f>IF(AN331&lt;&gt;"",AT331/AN331-1,"-")</f>
        <v>0.56487324255507598</v>
      </c>
      <c r="AU332" s="263">
        <f>IF(AO331&lt;&gt;"",AU331/AO331-1,"-")</f>
        <v>0.44684287812041124</v>
      </c>
      <c r="AV332" s="263">
        <f>IF(AP331&lt;&gt;"",AV331/AP331-1,"-")</f>
        <v>0.51959527515795267</v>
      </c>
      <c r="AW332" s="263">
        <f>AW331/AQ331-1</f>
        <v>0.51190115919527379</v>
      </c>
      <c r="AX332" s="147"/>
      <c r="AY332" s="263">
        <f>IF(AS331&lt;&gt;"",AY331/AS331-1,"-")</f>
        <v>0.56164957086037237</v>
      </c>
      <c r="AZ332" s="263">
        <f>IF(AT331&lt;&gt;"",AZ331/AT331-1,"-")</f>
        <v>0.43610059778571686</v>
      </c>
      <c r="BA332" s="263">
        <f>IF(AU331&lt;&gt;"",BA331/AU331-1,"-")</f>
        <v>0.51561284211238534</v>
      </c>
      <c r="BB332" s="263">
        <f>IF(AV331&lt;&gt;"",BB331/AV331-1,"-")</f>
        <v>0.53354825103190606</v>
      </c>
      <c r="BC332" s="263">
        <f>BC331/AW331-1</f>
        <v>0.51080013228203902</v>
      </c>
      <c r="BD332" s="147"/>
      <c r="BE332" s="263">
        <f>IF(AY331&lt;&gt;"",BE331/AY331-1,"-")</f>
        <v>0.60053619302949079</v>
      </c>
      <c r="BF332" s="263">
        <f>IF(AZ331&lt;&gt;"",BF331/AZ331-1,"-")</f>
        <v>0.57389162561576357</v>
      </c>
      <c r="BG332" s="263">
        <f>IF(BA331&lt;&gt;"",BG331/BA331-1,"-")</f>
        <v>0.625</v>
      </c>
      <c r="BH332" s="263">
        <f>IF(BB331&lt;&gt;"",BH331/BB331-1,"-")</f>
        <v>0.55206286836935181</v>
      </c>
      <c r="BI332" s="263">
        <f>BI331/BC331-1</f>
        <v>0.58640552995391704</v>
      </c>
      <c r="BJ332" s="147"/>
      <c r="BK332" s="263">
        <f>IF(BE331&lt;&gt;"",BK331/BE331-1,"-")</f>
        <v>0.45058626465661633</v>
      </c>
      <c r="BL332" s="263">
        <f>IF(BF331&lt;&gt;"",BL331/BF331-1,"-")</f>
        <v>0.62910798122065725</v>
      </c>
      <c r="BM332" s="263">
        <f>IF(BG331&lt;&gt;"",BM331/BG331-1,"-")</f>
        <v>0.51785714285714302</v>
      </c>
      <c r="BN332" s="263">
        <f>IF(BH331&lt;&gt;"",BN331/BH331-1,"-")</f>
        <v>0.55316455696202538</v>
      </c>
      <c r="BO332" s="1104">
        <f>BO331/BI331-1</f>
        <v>0.53921568627450989</v>
      </c>
      <c r="BP332" s="147"/>
      <c r="BQ332" s="263">
        <f>IF(BK331&lt;&gt;"",BQ331/BK331-1,"-")</f>
        <v>0.44803695150115486</v>
      </c>
      <c r="BR332" s="263">
        <f>IF(BL331&lt;&gt;"",BR331/BL331-1,"-")</f>
        <v>0.27089337175792516</v>
      </c>
      <c r="BS332" s="263">
        <f>IF(BM331&lt;&gt;"",BS331/BM331-1,"-")</f>
        <v>0.29049773755656094</v>
      </c>
      <c r="BT332" s="263">
        <f>IF(BN331&lt;&gt;"",BT331/BN331-1,"-")</f>
        <v>0.247758761206194</v>
      </c>
      <c r="BU332" s="1104">
        <f>BU331/BO331-1</f>
        <v>0.30549657938192998</v>
      </c>
      <c r="BV332" s="147"/>
      <c r="BW332" s="263">
        <f>IF(BQ331&lt;&gt;"",BW331/BQ331-1,"-")</f>
        <v>0.32854864433811781</v>
      </c>
      <c r="BX332" s="263">
        <f>IF(BR331&lt;&gt;"",BX331/BR331-1,"-")</f>
        <v>0.36054421768707479</v>
      </c>
      <c r="BY332" s="263">
        <f>IF(BS331&lt;&gt;"",BY331/BS331-1,"-")</f>
        <v>0.30504908835904621</v>
      </c>
      <c r="BZ332" s="263">
        <f>IF(BT331&lt;&gt;"",BZ331/BT331-1,"-")</f>
        <v>0.17439581972566964</v>
      </c>
      <c r="CA332" s="1104">
        <f>CA331/BU331-1</f>
        <v>0.28749548247199108</v>
      </c>
      <c r="CB332" s="147"/>
      <c r="CC332" s="263">
        <f>IF(BW331&lt;&gt;"",CC331/BW331-1,"-")</f>
        <v>9.3637454981992718E-2</v>
      </c>
      <c r="CD332" s="263">
        <f>IF(BX331&lt;&gt;"",CD331/BX331-1,"-")</f>
        <v>2.1666666666666723E-2</v>
      </c>
      <c r="CE332" s="263">
        <f>IF(BY331&lt;&gt;"",CE331/BY331-1,"-")</f>
        <v>-2.8479312197743023E-2</v>
      </c>
      <c r="CF332" s="263">
        <f>IF(BZ331&lt;&gt;"",CF331/BZ331-1,"-")</f>
        <v>3.5038932146829627E-2</v>
      </c>
      <c r="CG332" s="1104">
        <f>CG331/CA331-1</f>
        <v>2.8771929824561671E-2</v>
      </c>
      <c r="CH332" s="147"/>
      <c r="CI332" s="263">
        <f>IF(CC331&lt;&gt;"",CI331/CC331-1,"-")</f>
        <v>6.9154774972557842E-2</v>
      </c>
      <c r="CJ332" s="263">
        <f>IF(CD331&lt;&gt;"",CJ331/CD331-1,"-")</f>
        <v>4.4589450788471874E-2</v>
      </c>
      <c r="CK332" s="263">
        <f>IF(CE331&lt;&gt;"",CK331/CE331-1,"-")</f>
        <v>7.6880530973451267E-2</v>
      </c>
      <c r="CL332" s="263">
        <f>IF(CF331&lt;&gt;"",CL331/CF331-1,"-")</f>
        <v>6.4481461579795729E-2</v>
      </c>
      <c r="CM332" s="1104">
        <f>CM331/CG331-1</f>
        <v>6.3710777626193371E-2</v>
      </c>
      <c r="CN332" s="147"/>
      <c r="CO332" s="263">
        <f>IF(CI331&lt;&gt;"",CO331/CI331-1,"-")</f>
        <v>5.3901437371663308E-2</v>
      </c>
      <c r="CP332" s="263">
        <f>IF(CJ331&lt;&gt;"",CP331/CJ331-1,"-")</f>
        <v>0.11035918792295685</v>
      </c>
      <c r="CQ332" s="263">
        <f>IF(CK331&lt;&gt;"",CQ331/CK331-1,"-")</f>
        <v>0.11556240369799697</v>
      </c>
      <c r="CR332" s="263">
        <f>IF(CL331&lt;&gt;"",CR331/CL331-1,"-")</f>
        <v>0.12165572942958103</v>
      </c>
      <c r="CS332" s="1104">
        <f>CS331/CM331-1</f>
        <v>0.10042323970757994</v>
      </c>
      <c r="CT332" s="263"/>
      <c r="CU332" s="263">
        <f>IF(CO331&lt;&gt;"",CU331/CO331-1,"-")</f>
        <v>0.1363857769118364</v>
      </c>
      <c r="CV332" s="263">
        <f>IF(CP331&lt;&gt;"",CV331/CP331-1,"-")</f>
        <v>0.1017346460384434</v>
      </c>
      <c r="CW332" s="263">
        <f>IF(CQ331&lt;&gt;"",CW331/CQ331-1,"-")</f>
        <v>9.5764272559852648E-2</v>
      </c>
      <c r="CX332" s="263">
        <f>IF(CR331&lt;&gt;"",CX331/CR331-1,"-")</f>
        <v>8.9108910891089188E-2</v>
      </c>
      <c r="CY332" s="1104">
        <f>CY331/CS331-1</f>
        <v>0.10524475524475529</v>
      </c>
      <c r="CZ332" s="263"/>
      <c r="DA332" s="263">
        <f>IF(CU331&lt;&gt;"",DA331/CU331-1,"-")</f>
        <v>5.8294042006000746E-2</v>
      </c>
      <c r="DB332" s="263">
        <f>IF(CV331&lt;&gt;"",DB331/CV331-1,"-")</f>
        <v>5.7446808510638325E-2</v>
      </c>
      <c r="DC332" s="263">
        <f>IF(CW331&lt;&gt;"",DC331/CW331-1,"-")</f>
        <v>8.2773109243697407E-2</v>
      </c>
      <c r="DD332" s="263">
        <f>IF(CX331&lt;&gt;"",DD331/CX331-1,"-")</f>
        <v>9.8760330578512301E-2</v>
      </c>
      <c r="DE332" s="1104">
        <f>DE331/CY331-1</f>
        <v>7.4554465886322863E-2</v>
      </c>
      <c r="DF332" s="263"/>
      <c r="DG332" s="263">
        <f>IF(DA331&lt;&gt;"",DG331/DA331-1,"-")</f>
        <v>0.11907654921020661</v>
      </c>
      <c r="DH332" s="263">
        <f>IF(DB331&lt;&gt;"",DH331/DB331-1,"-")</f>
        <v>0.15372233400402413</v>
      </c>
      <c r="DI332" s="263">
        <f>IF(DC331&lt;&gt;"",DI331/DC331-1,"-")</f>
        <v>0.15444315095071803</v>
      </c>
      <c r="DJ332" s="263">
        <f>IF(DD331&lt;&gt;"",DJ331/DD331-1,"-")</f>
        <v>0.16698006769462226</v>
      </c>
      <c r="DK332" s="1104">
        <f>DK331/DE331-1</f>
        <v>0.14896957801766453</v>
      </c>
      <c r="DL332" s="147"/>
      <c r="DM332" s="263">
        <f>IF(DG331&lt;&gt;"",DM331/DG331-1,"-")</f>
        <v>0.1574375678610207</v>
      </c>
      <c r="DN332" s="263">
        <f>IF(DH331&lt;&gt;"",DN331/DH331-1,"-")</f>
        <v>0.11266131845134297</v>
      </c>
      <c r="DO332" s="263">
        <f>IF(DI331&lt;&gt;"",DO331/DI331-1,"-")</f>
        <v>7.193277310924362E-2</v>
      </c>
      <c r="DP332" s="263">
        <f>IF(DJ331&lt;&gt;"",DP331/DJ331-1,"-")</f>
        <v>2.9648727038349865E-2</v>
      </c>
      <c r="DQ332" s="1104">
        <f>DQ331/DK331-1</f>
        <v>9.0878032114793283E-2</v>
      </c>
      <c r="DR332" s="263"/>
      <c r="DS332" s="263">
        <f>IF(DM331&lt;&gt;"",DS331/DM331-1,"-")</f>
        <v>1.9387116948092586E-2</v>
      </c>
      <c r="DT332" s="263">
        <f>IF(DN331&lt;&gt;"",DT331/DN331-1,"-")</f>
        <v>9.4043887147334804E-3</v>
      </c>
      <c r="DU332" s="263">
        <f>IF(DO331&lt;&gt;"",DU331/DO331-1,"-")</f>
        <v>1.8814675446849893E-3</v>
      </c>
      <c r="DV332" s="263">
        <f>IF(DP331&lt;&gt;"",DV331/DP331-1,"-")</f>
        <v>9.3896713615022609E-3</v>
      </c>
      <c r="DW332" s="1104">
        <f>DW331/DQ331-1</f>
        <v>1.0021922956467311E-2</v>
      </c>
      <c r="DX332" s="263"/>
      <c r="DY332" s="263"/>
      <c r="DZ332" s="263"/>
      <c r="EA332" s="263"/>
      <c r="EB332" s="263"/>
      <c r="EC332" s="1104"/>
      <c r="ED332" s="263"/>
      <c r="EE332" s="263"/>
      <c r="EF332" s="263"/>
      <c r="EG332" s="263"/>
      <c r="EH332" s="263"/>
      <c r="EI332" s="1104"/>
      <c r="EJ332" s="263"/>
      <c r="EK332" s="263"/>
      <c r="EL332" s="263"/>
      <c r="EM332" s="263"/>
      <c r="EN332" s="263"/>
      <c r="EO332" s="1104"/>
      <c r="EP332" s="263"/>
      <c r="EQ332" s="263"/>
      <c r="ER332" s="263"/>
      <c r="ES332" s="263"/>
      <c r="ET332" s="263"/>
      <c r="EU332" s="1104"/>
    </row>
    <row r="333" spans="1:223" ht="13.5" hidden="1" customHeight="1" outlineLevel="1">
      <c r="A333" s="583" t="s">
        <v>344</v>
      </c>
      <c r="B333" s="147"/>
      <c r="C333" s="147"/>
      <c r="D333" s="147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263" t="str">
        <f>IF(AD331&lt;&gt;"",AG331/AD331-1,"-")</f>
        <v>-</v>
      </c>
      <c r="AH333" s="263">
        <f>IF(AG331&lt;&gt;"",AH331/AG331-1,"-")</f>
        <v>0.24260355029585789</v>
      </c>
      <c r="AI333" s="263">
        <f>IF(AH331&lt;&gt;"",AI331/AH331-1,"-")</f>
        <v>6.163522012578615E-2</v>
      </c>
      <c r="AJ333" s="263">
        <f>IF(AI331&lt;&gt;"",AJ331/AI331-1,"-")</f>
        <v>0.16587677725118466</v>
      </c>
      <c r="AK333" s="141"/>
      <c r="AL333" s="147"/>
      <c r="AM333" s="263">
        <f>IF(AJ331&lt;&gt;"",AM331/AJ331-1,"-")</f>
        <v>0.13697735191637639</v>
      </c>
      <c r="AN333" s="263">
        <f>IF(AM331&lt;&gt;"",AN331/AM331-1,"-")</f>
        <v>0.15341888527102077</v>
      </c>
      <c r="AO333" s="263">
        <f>IF(AN331&lt;&gt;"",AO331/AN331-1,"-")</f>
        <v>0.13085353703088676</v>
      </c>
      <c r="AP333" s="263">
        <f>IF(AO331&lt;&gt;"",AP331/AO331-1,"-")</f>
        <v>6.9114047968673376E-2</v>
      </c>
      <c r="AQ333" s="141" t="s">
        <v>6442</v>
      </c>
      <c r="AR333" s="147"/>
      <c r="AS333" s="263">
        <f>IF(AP331&lt;&gt;"",AS331/AP331-1,"-")</f>
        <v>9.353539053200266E-2</v>
      </c>
      <c r="AT333" s="263">
        <f>IF(AS331&lt;&gt;"",AT331/AS331-1,"-")</f>
        <v>0.18362989323843415</v>
      </c>
      <c r="AU333" s="263">
        <f>IF(AT331&lt;&gt;"",AU331/AT331-1,"-")</f>
        <v>4.5559053446995179E-2</v>
      </c>
      <c r="AV333" s="263">
        <f>IF(AU331&lt;&gt;"",AV331/AU331-1,"-")</f>
        <v>0.12287289827125414</v>
      </c>
      <c r="AW333" s="141" t="s">
        <v>6442</v>
      </c>
      <c r="AX333" s="147"/>
      <c r="AY333" s="263">
        <f>IF(AV331&lt;&gt;"",AY331/AV331-1,"-")</f>
        <v>0.12379862010786047</v>
      </c>
      <c r="AZ333" s="263">
        <f>IF(AY331&lt;&gt;"",AZ331/AY331-1,"-")</f>
        <v>8.8471849865951802E-2</v>
      </c>
      <c r="BA333" s="263">
        <f>IF(AZ331&lt;&gt;"",BA331/AZ331-1,"-")</f>
        <v>0.10344827586206895</v>
      </c>
      <c r="BB333" s="263">
        <f>IF(BA331&lt;&gt;"",BB331/BA331-1,"-")</f>
        <v>0.13616071428571441</v>
      </c>
      <c r="BC333" s="141" t="s">
        <v>6442</v>
      </c>
      <c r="BD333" s="147"/>
      <c r="BE333" s="263">
        <f>IF(BB331&lt;&gt;"",BE331/BB331-1,"-")</f>
        <v>0.17288801571709245</v>
      </c>
      <c r="BF333" s="263">
        <f>IF(BE331&lt;&gt;"",BF331/BE331-1,"-")</f>
        <v>7.035175879396971E-2</v>
      </c>
      <c r="BG333" s="263">
        <f>IF(BF331&lt;&gt;"",BG331/BF331-1,"-")</f>
        <v>0.13928012519561817</v>
      </c>
      <c r="BH333" s="263">
        <f>IF(BG331&lt;&gt;"",BH331/BG331-1,"-")</f>
        <v>8.5164835164835306E-2</v>
      </c>
      <c r="BI333" s="141" t="s">
        <v>6442</v>
      </c>
      <c r="BJ333" s="147"/>
      <c r="BK333" s="263">
        <f>IF(BH331&lt;&gt;"",BK331/BH331-1,"-")</f>
        <v>9.6202531645569467E-2</v>
      </c>
      <c r="BL333" s="263">
        <f>IF(BK331&lt;&gt;"",BL331/BK331-1,"-")</f>
        <v>0.2020785219399539</v>
      </c>
      <c r="BM333" s="263">
        <f>IF(BL331&lt;&gt;"",BM331/BL331-1,"-")</f>
        <v>6.1479346781940558E-2</v>
      </c>
      <c r="BN333" s="263">
        <f>IF(BM331&lt;&gt;"",BN331/BM331-1,"-")</f>
        <v>0.11040723981900458</v>
      </c>
      <c r="BO333" s="1105" t="s">
        <v>6442</v>
      </c>
      <c r="BP333" s="147"/>
      <c r="BQ333" s="263">
        <f>IF(BN331&lt;&gt;"",BQ331/BN331-1,"-")</f>
        <v>2.2004889975550057E-2</v>
      </c>
      <c r="BR333" s="263">
        <f>IF(BQ331&lt;&gt;"",BR331/BQ331-1,"-")</f>
        <v>5.5023923444976086E-2</v>
      </c>
      <c r="BS333" s="263">
        <f>IF(BR331&lt;&gt;"",BS331/BR331-1,"-")</f>
        <v>7.7853363567649048E-2</v>
      </c>
      <c r="BT333" s="263">
        <f>IF(BS331&lt;&gt;"",BT331/BS331-1,"-")</f>
        <v>7.3632538569424977E-2</v>
      </c>
      <c r="BU333" s="1105" t="s">
        <v>6442</v>
      </c>
      <c r="BV333" s="147"/>
      <c r="BW333" s="263">
        <f>IF(BT331&lt;&gt;"",BW331/BT331-1,"-")</f>
        <v>8.8177661659046391E-2</v>
      </c>
      <c r="BX333" s="263">
        <f>IF(BW331&lt;&gt;"",BX331/BW331-1,"-")</f>
        <v>8.0432172869147722E-2</v>
      </c>
      <c r="BY333" s="263">
        <f>IF(BX331&lt;&gt;"",BY331/BX331-1,"-")</f>
        <v>3.3888888888888857E-2</v>
      </c>
      <c r="BZ333" s="263">
        <f>IF(BY331&lt;&gt;"",BZ331/BY331-1,"-")</f>
        <v>-3.3852767329392686E-2</v>
      </c>
      <c r="CA333" s="1105" t="s">
        <v>6442</v>
      </c>
      <c r="CB333" s="147"/>
      <c r="CC333" s="263">
        <f>IF(BZ331&lt;&gt;"",CC331/BZ331-1,"-")</f>
        <v>1.3348164627363657E-2</v>
      </c>
      <c r="CD333" s="263">
        <f>IF(CC331&lt;&gt;"",CD331/CC331-1,"-")</f>
        <v>9.3304061470911304E-3</v>
      </c>
      <c r="CE333" s="263">
        <f>IF(CD331&lt;&gt;"",CE331/CD331-1,"-")</f>
        <v>-1.6856987493202746E-2</v>
      </c>
      <c r="CF333" s="263">
        <f>IF(CE331&lt;&gt;"",CF331/CE331-1,"-")</f>
        <v>2.9314159292035402E-2</v>
      </c>
      <c r="CG333" s="1105" t="s">
        <v>6442</v>
      </c>
      <c r="CH333" s="147"/>
      <c r="CI333" s="263">
        <f>IF(CF331&lt;&gt;"",CI331/CF331-1,"-")</f>
        <v>4.6749059645352142E-2</v>
      </c>
      <c r="CJ333" s="263">
        <f>IF(CI331&lt;&gt;"",CJ331/CI331-1,"-")</f>
        <v>-1.3860369609856371E-2</v>
      </c>
      <c r="CK333" s="263">
        <f>IF(CJ331&lt;&gt;"",CK331/CJ331-1,"-")</f>
        <v>1.3534617386777636E-2</v>
      </c>
      <c r="CL333" s="263">
        <f>IF(CK331&lt;&gt;"",CL331/CK331-1,"-")</f>
        <v>1.7462763225475131E-2</v>
      </c>
      <c r="CM333" s="1105" t="s">
        <v>6442</v>
      </c>
      <c r="CN333" s="147"/>
      <c r="CO333" s="263">
        <f>IF(CL331&lt;&gt;"",CO331/CL331-1,"-")</f>
        <v>3.634528016153471E-2</v>
      </c>
      <c r="CP333" s="263">
        <f>IF(CO331&lt;&gt;"",CP331/CO331-1,"-")</f>
        <v>3.8967364831953288E-2</v>
      </c>
      <c r="CQ333" s="263">
        <f>IF(CP331&lt;&gt;"",CQ331/CP331-1,"-")</f>
        <v>1.8284106891701679E-2</v>
      </c>
      <c r="CR333" s="263">
        <f>IF(CQ331&lt;&gt;"",CR331/CQ331-1,"-")</f>
        <v>2.3020257826887658E-2</v>
      </c>
      <c r="CS333" s="1105" t="s">
        <v>6442</v>
      </c>
      <c r="CT333" s="141"/>
      <c r="CU333" s="263">
        <f>IF(CR331&lt;&gt;"",CU331/CR331-1,"-")</f>
        <v>4.9954995499549959E-2</v>
      </c>
      <c r="CV333" s="263">
        <f>IF(CU331&lt;&gt;"",CV331/CU331-1,"-")</f>
        <v>7.2867552507500655E-3</v>
      </c>
      <c r="CW333" s="263">
        <f>IF(CV331&lt;&gt;"",CW331/CV331-1,"-")</f>
        <v>1.2765957446808418E-2</v>
      </c>
      <c r="CX333" s="263">
        <f>IF(CW331&lt;&gt;"",CX331/CW331-1,"-")</f>
        <v>1.6806722689075571E-2</v>
      </c>
      <c r="CY333" s="1105" t="s">
        <v>6442</v>
      </c>
      <c r="CZ333" s="141"/>
      <c r="DA333" s="263">
        <f>IF(CX331&lt;&gt;"",DA331/CX331-1,"-")</f>
        <v>2.0247933884297575E-2</v>
      </c>
      <c r="DB333" s="263">
        <f>IF(DA331&lt;&gt;"",DB331/DA331-1,"-")</f>
        <v>6.4803564196029839E-3</v>
      </c>
      <c r="DC333" s="263">
        <f>IF(DB331&lt;&gt;"",DC331/DB331-1,"-")</f>
        <v>3.7022132796780571E-2</v>
      </c>
      <c r="DD333" s="263">
        <f>IF(DC331&lt;&gt;"",DD331/DC331-1,"-")</f>
        <v>3.1819945673263517E-2</v>
      </c>
      <c r="DE333" s="1105" t="s">
        <v>6442</v>
      </c>
      <c r="DF333" s="141"/>
      <c r="DG333" s="263">
        <f>IF(DD331&lt;&gt;"",DG331/DD331-1,"-")</f>
        <v>3.9112448288830537E-2</v>
      </c>
      <c r="DH333" s="263">
        <f>IF(DG331&lt;&gt;"",DH331/DG331-1,"-")</f>
        <v>3.7640246109301501E-2</v>
      </c>
      <c r="DI333" s="263">
        <f>IF(DH331&lt;&gt;"",DI331/DH331-1,"-")</f>
        <v>3.7670038367631609E-2</v>
      </c>
      <c r="DJ333" s="263">
        <f>IF(DI331&lt;&gt;"",DJ331/DI331-1,"-")</f>
        <v>4.3025210084033594E-2</v>
      </c>
      <c r="DK333" s="1105" t="s">
        <v>6442</v>
      </c>
      <c r="DL333" s="147"/>
      <c r="DM333" s="263">
        <f>IF(DJ331&lt;&gt;"",DM331/DJ331-1,"-")</f>
        <v>3.0615533354817925E-2</v>
      </c>
      <c r="DN333" s="263">
        <f>IF(DM331&lt;&gt;"",DN331/DM331-1,"-")</f>
        <v>-2.5015634771732298E-3</v>
      </c>
      <c r="DO333" s="263">
        <f>IF(DN331&lt;&gt;"",DO331/DN331-1,"-")</f>
        <v>-3.1347962382455297E-4</v>
      </c>
      <c r="DP333" s="263">
        <f>IF(DO331&lt;&gt;"",DP331/DO331-1,"-")</f>
        <v>1.8814675446849893E-3</v>
      </c>
      <c r="DQ333" s="1105" t="s">
        <v>6442</v>
      </c>
      <c r="DR333" s="141"/>
      <c r="DS333" s="263">
        <f>IF(DP331&lt;&gt;"",DS331/DP331-1,"-")</f>
        <v>2.0344287949921824E-2</v>
      </c>
      <c r="DT333" s="263">
        <f>IF(DS331&lt;&gt;"",DT331/DS331-1,"-")</f>
        <v>-1.2269938650306789E-2</v>
      </c>
      <c r="DU333" s="263">
        <f>IF(DT331&lt;&gt;"",DU331/DT331-1,"-")</f>
        <v>-7.76397515527949E-3</v>
      </c>
      <c r="DV333" s="263">
        <f>IF(DU331&lt;&gt;"",DV331/DU331-1,"-")</f>
        <v>9.3896713615022609E-3</v>
      </c>
      <c r="DW333" s="1105" t="s">
        <v>6442</v>
      </c>
      <c r="DX333" s="141"/>
      <c r="DY333" s="263"/>
      <c r="DZ333" s="263"/>
      <c r="EA333" s="263"/>
      <c r="EB333" s="263"/>
      <c r="EC333" s="1105"/>
      <c r="ED333" s="141"/>
      <c r="EE333" s="263"/>
      <c r="EF333" s="263"/>
      <c r="EG333" s="263"/>
      <c r="EH333" s="263"/>
      <c r="EI333" s="1105"/>
      <c r="EJ333" s="141"/>
      <c r="EK333" s="263"/>
      <c r="EL333" s="263"/>
      <c r="EM333" s="263"/>
      <c r="EN333" s="263"/>
      <c r="EO333" s="1105"/>
      <c r="EP333" s="141"/>
      <c r="EQ333" s="263"/>
      <c r="ER333" s="263"/>
      <c r="ES333" s="263"/>
      <c r="ET333" s="263"/>
      <c r="EU333" s="1105"/>
    </row>
    <row r="334" spans="1:223" s="2072" customFormat="1" ht="13.5" hidden="1" customHeight="1" outlineLevel="1">
      <c r="A334" s="113" t="s">
        <v>7111</v>
      </c>
      <c r="B334" s="147"/>
      <c r="C334" s="147"/>
      <c r="D334" s="147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263"/>
      <c r="AH334" s="263"/>
      <c r="AI334" s="263"/>
      <c r="AJ334" s="263"/>
      <c r="AK334" s="141"/>
      <c r="AL334" s="147"/>
      <c r="AM334" s="263"/>
      <c r="AN334" s="263"/>
      <c r="AO334" s="263"/>
      <c r="AP334" s="263"/>
      <c r="AQ334" s="141"/>
      <c r="AR334" s="147"/>
      <c r="AS334" s="263"/>
      <c r="AT334" s="263"/>
      <c r="AU334" s="263"/>
      <c r="AV334" s="263"/>
      <c r="AW334" s="141"/>
      <c r="AX334" s="147"/>
      <c r="AY334" s="263"/>
      <c r="AZ334" s="263"/>
      <c r="BA334" s="263"/>
      <c r="BB334" s="263"/>
      <c r="BC334" s="141"/>
      <c r="BD334" s="147"/>
      <c r="BE334" s="263"/>
      <c r="BF334" s="263"/>
      <c r="BG334" s="263"/>
      <c r="BH334" s="263"/>
      <c r="BI334" s="141"/>
      <c r="BJ334" s="147"/>
      <c r="BK334" s="263"/>
      <c r="BL334" s="263"/>
      <c r="BM334" s="263"/>
      <c r="BN334" s="263"/>
      <c r="BO334" s="1105"/>
      <c r="BP334" s="147"/>
      <c r="BQ334" s="263"/>
      <c r="BR334" s="263"/>
      <c r="BS334" s="263"/>
      <c r="BT334" s="263"/>
      <c r="BU334" s="1105"/>
      <c r="BV334" s="147"/>
      <c r="BW334" s="263"/>
      <c r="BX334" s="263"/>
      <c r="BY334" s="263"/>
      <c r="BZ334" s="263"/>
      <c r="CA334" s="1105"/>
      <c r="CB334" s="147"/>
      <c r="CC334" s="263"/>
      <c r="CD334" s="263"/>
      <c r="CE334" s="263"/>
      <c r="CF334" s="263"/>
      <c r="CG334" s="1105"/>
      <c r="CH334" s="147"/>
      <c r="CI334" s="263"/>
      <c r="CJ334" s="263"/>
      <c r="CK334" s="263"/>
      <c r="CL334" s="263"/>
      <c r="CM334" s="1105"/>
      <c r="CN334" s="147"/>
      <c r="CO334" s="263"/>
      <c r="CP334" s="263"/>
      <c r="CQ334" s="263"/>
      <c r="CR334" s="263"/>
      <c r="CS334" s="1105"/>
      <c r="CT334" s="141"/>
      <c r="CU334" s="263"/>
      <c r="CV334" s="263"/>
      <c r="CW334" s="263"/>
      <c r="CX334" s="263"/>
      <c r="CY334" s="1105"/>
      <c r="CZ334" s="141"/>
      <c r="DA334" s="263"/>
      <c r="DB334" s="263"/>
      <c r="DC334" s="263"/>
      <c r="DD334" s="263"/>
      <c r="DE334" s="1105"/>
      <c r="DF334" s="141"/>
      <c r="DG334" s="608"/>
      <c r="DH334" s="608"/>
      <c r="DI334" s="608"/>
      <c r="DJ334" s="608"/>
      <c r="DK334" s="1105"/>
      <c r="DL334" s="147"/>
      <c r="DM334" s="608">
        <v>19</v>
      </c>
      <c r="DN334" s="608">
        <v>23</v>
      </c>
      <c r="DO334" s="608">
        <v>26</v>
      </c>
      <c r="DP334" s="608">
        <v>32</v>
      </c>
      <c r="DQ334" s="1105"/>
      <c r="DR334" s="141"/>
      <c r="DS334" s="608">
        <v>40</v>
      </c>
      <c r="DT334" s="608">
        <v>53</v>
      </c>
      <c r="DU334" s="608">
        <v>63</v>
      </c>
      <c r="DV334" s="608">
        <v>85</v>
      </c>
      <c r="DW334" s="1105"/>
      <c r="DX334" s="141"/>
      <c r="DY334" s="263"/>
      <c r="DZ334" s="263"/>
      <c r="EA334" s="263"/>
      <c r="EB334" s="263"/>
      <c r="EC334" s="1105"/>
      <c r="ED334" s="141"/>
      <c r="EE334" s="263"/>
      <c r="EF334" s="263"/>
      <c r="EG334" s="263"/>
      <c r="EH334" s="263"/>
      <c r="EI334" s="1105"/>
      <c r="EJ334" s="141"/>
      <c r="EK334" s="263"/>
      <c r="EL334" s="263"/>
      <c r="EM334" s="263"/>
      <c r="EN334" s="263"/>
      <c r="EO334" s="1105"/>
      <c r="EP334" s="141"/>
      <c r="EQ334" s="263"/>
      <c r="ER334" s="263"/>
      <c r="ES334" s="263"/>
      <c r="ET334" s="263"/>
      <c r="EU334" s="1105"/>
    </row>
    <row r="335" spans="1:223" s="2072" customFormat="1" ht="13.5" hidden="1" customHeight="1" outlineLevel="1">
      <c r="A335" s="583" t="s">
        <v>345</v>
      </c>
      <c r="B335" s="147"/>
      <c r="C335" s="147"/>
      <c r="D335" s="147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263"/>
      <c r="AH335" s="263"/>
      <c r="AI335" s="263"/>
      <c r="AJ335" s="263"/>
      <c r="AK335" s="141"/>
      <c r="AL335" s="147"/>
      <c r="AM335" s="263"/>
      <c r="AN335" s="263"/>
      <c r="AO335" s="263"/>
      <c r="AP335" s="263"/>
      <c r="AQ335" s="141"/>
      <c r="AR335" s="147"/>
      <c r="AS335" s="263"/>
      <c r="AT335" s="263"/>
      <c r="AU335" s="263"/>
      <c r="AV335" s="263"/>
      <c r="AW335" s="141"/>
      <c r="AX335" s="147"/>
      <c r="AY335" s="263"/>
      <c r="AZ335" s="263"/>
      <c r="BA335" s="263"/>
      <c r="BB335" s="263"/>
      <c r="BC335" s="141"/>
      <c r="BD335" s="147"/>
      <c r="BE335" s="263"/>
      <c r="BF335" s="263"/>
      <c r="BG335" s="263"/>
      <c r="BH335" s="263"/>
      <c r="BI335" s="141"/>
      <c r="BJ335" s="147"/>
      <c r="BK335" s="263"/>
      <c r="BL335" s="263"/>
      <c r="BM335" s="263"/>
      <c r="BN335" s="263"/>
      <c r="BO335" s="1105"/>
      <c r="BP335" s="147"/>
      <c r="BQ335" s="263"/>
      <c r="BR335" s="263"/>
      <c r="BS335" s="263"/>
      <c r="BT335" s="263"/>
      <c r="BU335" s="1105"/>
      <c r="BV335" s="147"/>
      <c r="BW335" s="263"/>
      <c r="BX335" s="263"/>
      <c r="BY335" s="263"/>
      <c r="BZ335" s="263"/>
      <c r="CA335" s="1105"/>
      <c r="CB335" s="147"/>
      <c r="CC335" s="263"/>
      <c r="CD335" s="263"/>
      <c r="CE335" s="263"/>
      <c r="CF335" s="263"/>
      <c r="CG335" s="1105"/>
      <c r="CH335" s="147"/>
      <c r="CI335" s="263"/>
      <c r="CJ335" s="263"/>
      <c r="CK335" s="263"/>
      <c r="CL335" s="263"/>
      <c r="CM335" s="1105"/>
      <c r="CN335" s="147"/>
      <c r="CO335" s="263"/>
      <c r="CP335" s="263"/>
      <c r="CQ335" s="263"/>
      <c r="CR335" s="263"/>
      <c r="CS335" s="1105"/>
      <c r="CT335" s="141"/>
      <c r="CU335" s="263"/>
      <c r="CV335" s="263"/>
      <c r="CW335" s="263"/>
      <c r="CX335" s="263"/>
      <c r="CY335" s="1105"/>
      <c r="CZ335" s="141"/>
      <c r="DA335" s="263"/>
      <c r="DB335" s="263"/>
      <c r="DC335" s="263"/>
      <c r="DD335" s="263"/>
      <c r="DE335" s="1105"/>
      <c r="DF335" s="141"/>
      <c r="DG335" s="263"/>
      <c r="DH335" s="263"/>
      <c r="DI335" s="263"/>
      <c r="DJ335" s="263"/>
      <c r="DK335" s="1105"/>
      <c r="DL335" s="147"/>
      <c r="DM335" s="263"/>
      <c r="DN335" s="263"/>
      <c r="DO335" s="263"/>
      <c r="DP335" s="263"/>
      <c r="DQ335" s="1105"/>
      <c r="DR335" s="141"/>
      <c r="DS335" s="263">
        <f>IF(DM334&lt;&gt;"",DS334/DM334-1,"-")</f>
        <v>1.1052631578947367</v>
      </c>
      <c r="DT335" s="263">
        <f>IF(DN334&lt;&gt;"",DT334/DN334-1,"-")</f>
        <v>1.3043478260869565</v>
      </c>
      <c r="DU335" s="263">
        <f>IF(DO334&lt;&gt;"",DU334/DO334-1,"-")</f>
        <v>1.4230769230769229</v>
      </c>
      <c r="DV335" s="263">
        <f>IF(DP334&lt;&gt;"",DV334/DP334-1,"-")</f>
        <v>1.65625</v>
      </c>
      <c r="DW335" s="1105"/>
      <c r="DX335" s="141"/>
      <c r="DY335" s="263"/>
      <c r="DZ335" s="263"/>
      <c r="EA335" s="263"/>
      <c r="EB335" s="263"/>
      <c r="EC335" s="1105"/>
      <c r="ED335" s="141"/>
      <c r="EE335" s="263"/>
      <c r="EF335" s="263"/>
      <c r="EG335" s="263"/>
      <c r="EH335" s="263"/>
      <c r="EI335" s="1105"/>
      <c r="EJ335" s="141"/>
      <c r="EK335" s="263"/>
      <c r="EL335" s="263"/>
      <c r="EM335" s="263"/>
      <c r="EN335" s="263"/>
      <c r="EO335" s="1105"/>
      <c r="EP335" s="141"/>
      <c r="EQ335" s="263"/>
      <c r="ER335" s="263"/>
      <c r="ES335" s="263"/>
      <c r="ET335" s="263"/>
      <c r="EU335" s="1105"/>
    </row>
    <row r="336" spans="1:223" s="2072" customFormat="1" ht="13.5" hidden="1" customHeight="1" outlineLevel="1">
      <c r="A336" s="1780" t="s">
        <v>7114</v>
      </c>
      <c r="B336" s="147"/>
      <c r="C336" s="147"/>
      <c r="D336" s="147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263"/>
      <c r="AH336" s="263"/>
      <c r="AI336" s="263"/>
      <c r="AJ336" s="263"/>
      <c r="AK336" s="141"/>
      <c r="AL336" s="147"/>
      <c r="AM336" s="263"/>
      <c r="AN336" s="263"/>
      <c r="AO336" s="263"/>
      <c r="AP336" s="263"/>
      <c r="AQ336" s="141"/>
      <c r="AR336" s="147"/>
      <c r="AS336" s="263"/>
      <c r="AT336" s="263"/>
      <c r="AU336" s="263"/>
      <c r="AV336" s="263"/>
      <c r="AW336" s="141"/>
      <c r="AX336" s="147"/>
      <c r="AY336" s="263"/>
      <c r="AZ336" s="263"/>
      <c r="BA336" s="263"/>
      <c r="BB336" s="263"/>
      <c r="BC336" s="141"/>
      <c r="BD336" s="147"/>
      <c r="BE336" s="263"/>
      <c r="BF336" s="263"/>
      <c r="BG336" s="263"/>
      <c r="BH336" s="263"/>
      <c r="BI336" s="141"/>
      <c r="BJ336" s="147"/>
      <c r="BK336" s="263"/>
      <c r="BL336" s="263"/>
      <c r="BM336" s="263"/>
      <c r="BN336" s="263"/>
      <c r="BO336" s="1105"/>
      <c r="BP336" s="147"/>
      <c r="BQ336" s="263"/>
      <c r="BR336" s="263"/>
      <c r="BS336" s="263"/>
      <c r="BT336" s="263"/>
      <c r="BU336" s="1105"/>
      <c r="BV336" s="147"/>
      <c r="BW336" s="263"/>
      <c r="BX336" s="263"/>
      <c r="BY336" s="263"/>
      <c r="BZ336" s="263"/>
      <c r="CA336" s="1105"/>
      <c r="CB336" s="147"/>
      <c r="CC336" s="263"/>
      <c r="CD336" s="263"/>
      <c r="CE336" s="263"/>
      <c r="CF336" s="263"/>
      <c r="CG336" s="1105"/>
      <c r="CH336" s="147"/>
      <c r="CI336" s="263"/>
      <c r="CJ336" s="263"/>
      <c r="CK336" s="263"/>
      <c r="CL336" s="263"/>
      <c r="CM336" s="1105"/>
      <c r="CN336" s="147"/>
      <c r="CO336" s="263"/>
      <c r="CP336" s="263"/>
      <c r="CQ336" s="263"/>
      <c r="CR336" s="263"/>
      <c r="CS336" s="1105"/>
      <c r="CT336" s="141"/>
      <c r="CU336" s="263"/>
      <c r="CV336" s="263"/>
      <c r="CW336" s="263"/>
      <c r="CX336" s="263"/>
      <c r="CY336" s="1105"/>
      <c r="CZ336" s="141"/>
      <c r="DA336" s="263"/>
      <c r="DB336" s="263"/>
      <c r="DC336" s="263"/>
      <c r="DD336" s="263"/>
      <c r="DE336" s="1105"/>
      <c r="DF336" s="141"/>
      <c r="DG336" s="263"/>
      <c r="DH336" s="263"/>
      <c r="DI336" s="263"/>
      <c r="DJ336" s="263"/>
      <c r="DK336" s="1105"/>
      <c r="DL336" s="147"/>
      <c r="DM336" s="263">
        <f>DM334/DM331</f>
        <v>5.9412132582864291E-2</v>
      </c>
      <c r="DN336" s="263">
        <f>DN334/DN331</f>
        <v>7.2100313479623826E-2</v>
      </c>
      <c r="DO336" s="263">
        <f t="shared" ref="DO336:DP336" si="277">DO334/DO331</f>
        <v>8.1530260269677024E-2</v>
      </c>
      <c r="DP336" s="263">
        <f t="shared" si="277"/>
        <v>0.10015649452269171</v>
      </c>
      <c r="DQ336" s="1105"/>
      <c r="DR336" s="141"/>
      <c r="DS336" s="263">
        <f>DS334/DS331</f>
        <v>0.12269938650306748</v>
      </c>
      <c r="DT336" s="263">
        <f>DT334/DT331</f>
        <v>0.16459627329192547</v>
      </c>
      <c r="DU336" s="263">
        <f t="shared" ref="DU336:DV336" si="278">DU334/DU331</f>
        <v>0.19718309859154928</v>
      </c>
      <c r="DV336" s="263">
        <f t="shared" si="278"/>
        <v>0.26356589147286824</v>
      </c>
      <c r="DW336" s="1105"/>
      <c r="DX336" s="141"/>
      <c r="DY336" s="263"/>
      <c r="DZ336" s="263"/>
      <c r="EA336" s="263"/>
      <c r="EB336" s="263"/>
      <c r="EC336" s="1105"/>
      <c r="ED336" s="141"/>
      <c r="EE336" s="263"/>
      <c r="EF336" s="263"/>
      <c r="EG336" s="263"/>
      <c r="EH336" s="263"/>
      <c r="EI336" s="1105"/>
      <c r="EJ336" s="141"/>
      <c r="EK336" s="263"/>
      <c r="EL336" s="263"/>
      <c r="EM336" s="263"/>
      <c r="EN336" s="263"/>
      <c r="EO336" s="1105"/>
      <c r="EP336" s="141"/>
      <c r="EQ336" s="263"/>
      <c r="ER336" s="263"/>
      <c r="ES336" s="263"/>
      <c r="ET336" s="263"/>
      <c r="EU336" s="1105"/>
    </row>
    <row r="337" spans="1:151" s="2072" customFormat="1" ht="13.5" hidden="1" customHeight="1" outlineLevel="1">
      <c r="A337" s="113" t="s">
        <v>7112</v>
      </c>
      <c r="B337" s="147"/>
      <c r="C337" s="147"/>
      <c r="D337" s="147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263"/>
      <c r="AH337" s="263"/>
      <c r="AI337" s="263"/>
      <c r="AJ337" s="263"/>
      <c r="AK337" s="141"/>
      <c r="AL337" s="147"/>
      <c r="AM337" s="263"/>
      <c r="AN337" s="263"/>
      <c r="AO337" s="263"/>
      <c r="AP337" s="263"/>
      <c r="AQ337" s="141"/>
      <c r="AR337" s="147"/>
      <c r="AS337" s="263"/>
      <c r="AT337" s="263"/>
      <c r="AU337" s="263"/>
      <c r="AV337" s="263"/>
      <c r="AW337" s="141"/>
      <c r="AX337" s="147"/>
      <c r="AY337" s="263"/>
      <c r="AZ337" s="263"/>
      <c r="BA337" s="263"/>
      <c r="BB337" s="263"/>
      <c r="BC337" s="141"/>
      <c r="BD337" s="147"/>
      <c r="BE337" s="263"/>
      <c r="BF337" s="263"/>
      <c r="BG337" s="263"/>
      <c r="BH337" s="263"/>
      <c r="BI337" s="141"/>
      <c r="BJ337" s="147"/>
      <c r="BK337" s="263"/>
      <c r="BL337" s="263"/>
      <c r="BM337" s="263"/>
      <c r="BN337" s="263"/>
      <c r="BO337" s="1105"/>
      <c r="BP337" s="147"/>
      <c r="BQ337" s="263"/>
      <c r="BR337" s="263"/>
      <c r="BS337" s="263"/>
      <c r="BT337" s="263"/>
      <c r="BU337" s="1105"/>
      <c r="BV337" s="147"/>
      <c r="BW337" s="263"/>
      <c r="BX337" s="263"/>
      <c r="BY337" s="263"/>
      <c r="BZ337" s="263"/>
      <c r="CA337" s="1105"/>
      <c r="CB337" s="147"/>
      <c r="CC337" s="263"/>
      <c r="CD337" s="263"/>
      <c r="CE337" s="263"/>
      <c r="CF337" s="263"/>
      <c r="CG337" s="1105"/>
      <c r="CH337" s="147"/>
      <c r="CI337" s="263"/>
      <c r="CJ337" s="263"/>
      <c r="CK337" s="263"/>
      <c r="CL337" s="263"/>
      <c r="CM337" s="1105"/>
      <c r="CN337" s="147"/>
      <c r="CO337" s="263"/>
      <c r="CP337" s="263"/>
      <c r="CQ337" s="263"/>
      <c r="CR337" s="263"/>
      <c r="CS337" s="1105"/>
      <c r="CT337" s="141"/>
      <c r="CU337" s="263"/>
      <c r="CV337" s="263"/>
      <c r="CW337" s="263"/>
      <c r="CX337" s="263"/>
      <c r="CY337" s="1105"/>
      <c r="CZ337" s="141"/>
      <c r="DA337" s="263"/>
      <c r="DB337" s="263"/>
      <c r="DC337" s="263"/>
      <c r="DD337" s="263"/>
      <c r="DE337" s="1105"/>
      <c r="DF337" s="141"/>
      <c r="DG337" s="2079"/>
      <c r="DH337" s="2079"/>
      <c r="DI337" s="2079"/>
      <c r="DJ337" s="2079"/>
      <c r="DK337" s="1105"/>
      <c r="DL337" s="147"/>
      <c r="DM337" s="2079">
        <v>-9</v>
      </c>
      <c r="DN337" s="2079">
        <v>-8</v>
      </c>
      <c r="DO337" s="2079">
        <v>-7</v>
      </c>
      <c r="DP337" s="2079">
        <v>-8</v>
      </c>
      <c r="DQ337" s="1105"/>
      <c r="DR337" s="141"/>
      <c r="DS337" s="2079">
        <v>-7</v>
      </c>
      <c r="DT337" s="2079">
        <v>-8</v>
      </c>
      <c r="DU337" s="2079">
        <v>-8</v>
      </c>
      <c r="DV337" s="2079">
        <v>-8</v>
      </c>
      <c r="DW337" s="1105"/>
      <c r="DX337" s="141"/>
      <c r="DY337" s="263"/>
      <c r="DZ337" s="263"/>
      <c r="EA337" s="263"/>
      <c r="EB337" s="263"/>
      <c r="EC337" s="1105"/>
      <c r="ED337" s="141"/>
      <c r="EE337" s="263"/>
      <c r="EF337" s="263"/>
      <c r="EG337" s="263"/>
      <c r="EH337" s="263"/>
      <c r="EI337" s="1105"/>
      <c r="EJ337" s="141"/>
      <c r="EK337" s="263"/>
      <c r="EL337" s="263"/>
      <c r="EM337" s="263"/>
      <c r="EN337" s="263"/>
      <c r="EO337" s="1105"/>
      <c r="EP337" s="141"/>
      <c r="EQ337" s="263"/>
      <c r="ER337" s="263"/>
      <c r="ES337" s="263"/>
      <c r="ET337" s="263"/>
      <c r="EU337" s="1105"/>
    </row>
    <row r="338" spans="1:151" s="2072" customFormat="1" ht="13.5" hidden="1" customHeight="1" outlineLevel="1">
      <c r="A338" s="328" t="s">
        <v>7113</v>
      </c>
      <c r="B338" s="147"/>
      <c r="C338" s="147"/>
      <c r="D338" s="147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263"/>
      <c r="AH338" s="263"/>
      <c r="AI338" s="263"/>
      <c r="AJ338" s="263"/>
      <c r="AK338" s="141"/>
      <c r="AL338" s="147"/>
      <c r="AM338" s="263"/>
      <c r="AN338" s="263"/>
      <c r="AO338" s="263"/>
      <c r="AP338" s="263"/>
      <c r="AQ338" s="141"/>
      <c r="AR338" s="147"/>
      <c r="AS338" s="263"/>
      <c r="AT338" s="263"/>
      <c r="AU338" s="263"/>
      <c r="AV338" s="263"/>
      <c r="AW338" s="141"/>
      <c r="AX338" s="147"/>
      <c r="AY338" s="263"/>
      <c r="AZ338" s="263"/>
      <c r="BA338" s="263"/>
      <c r="BB338" s="263"/>
      <c r="BC338" s="141"/>
      <c r="BD338" s="147"/>
      <c r="BE338" s="263"/>
      <c r="BF338" s="263"/>
      <c r="BG338" s="263"/>
      <c r="BH338" s="263"/>
      <c r="BI338" s="141"/>
      <c r="BJ338" s="147"/>
      <c r="BK338" s="263"/>
      <c r="BL338" s="263"/>
      <c r="BM338" s="263"/>
      <c r="BN338" s="263"/>
      <c r="BO338" s="1105"/>
      <c r="BP338" s="147"/>
      <c r="BQ338" s="263"/>
      <c r="BR338" s="263"/>
      <c r="BS338" s="263"/>
      <c r="BT338" s="263"/>
      <c r="BU338" s="1105"/>
      <c r="BV338" s="147"/>
      <c r="BW338" s="263"/>
      <c r="BX338" s="263"/>
      <c r="BY338" s="263"/>
      <c r="BZ338" s="263"/>
      <c r="CA338" s="1105"/>
      <c r="CB338" s="147"/>
      <c r="CC338" s="263"/>
      <c r="CD338" s="263"/>
      <c r="CE338" s="263"/>
      <c r="CF338" s="263"/>
      <c r="CG338" s="1105"/>
      <c r="CH338" s="147"/>
      <c r="CI338" s="263"/>
      <c r="CJ338" s="263"/>
      <c r="CK338" s="263"/>
      <c r="CL338" s="263"/>
      <c r="CM338" s="1105"/>
      <c r="CN338" s="147"/>
      <c r="CO338" s="263"/>
      <c r="CP338" s="263"/>
      <c r="CQ338" s="263"/>
      <c r="CR338" s="263"/>
      <c r="CS338" s="1105"/>
      <c r="CT338" s="141"/>
      <c r="CU338" s="263"/>
      <c r="CV338" s="263"/>
      <c r="CW338" s="263"/>
      <c r="CX338" s="263"/>
      <c r="CY338" s="1105"/>
      <c r="CZ338" s="141"/>
      <c r="DA338" s="263"/>
      <c r="DB338" s="263"/>
      <c r="DC338" s="263"/>
      <c r="DD338" s="263"/>
      <c r="DE338" s="1105"/>
      <c r="DF338" s="141"/>
      <c r="DG338" s="608"/>
      <c r="DH338" s="608">
        <f>DH341*Model!DH31</f>
        <v>280.32399999999996</v>
      </c>
      <c r="DI338" s="608">
        <f>DI341*Model!DI31</f>
        <v>296.64</v>
      </c>
      <c r="DJ338" s="608">
        <f>DJ341*Model!DJ31</f>
        <v>319.00799999999998</v>
      </c>
      <c r="DK338" s="1105"/>
      <c r="DL338" s="147"/>
      <c r="DM338" s="608">
        <f>DM331+DM334+DM337</f>
        <v>329.8</v>
      </c>
      <c r="DN338" s="608">
        <f>DN331+DN334+DN337</f>
        <v>334</v>
      </c>
      <c r="DO338" s="608">
        <f>DO331+DO334+DO337</f>
        <v>337.9</v>
      </c>
      <c r="DP338" s="608">
        <f>DP331+DP334+DP337</f>
        <v>343.5</v>
      </c>
      <c r="DQ338" s="1105"/>
      <c r="DR338" s="141"/>
      <c r="DS338" s="608">
        <f>DS331+DS334+DS337</f>
        <v>359</v>
      </c>
      <c r="DT338" s="608">
        <f>DT331+DT334+DT337</f>
        <v>367</v>
      </c>
      <c r="DU338" s="608">
        <f t="shared" ref="DU338:DV338" si="279">DU331+DU334+DU337</f>
        <v>374.5</v>
      </c>
      <c r="DV338" s="608">
        <f t="shared" si="279"/>
        <v>399.5</v>
      </c>
      <c r="DW338" s="1105"/>
      <c r="DX338" s="141"/>
      <c r="DY338" s="263"/>
      <c r="DZ338" s="263"/>
      <c r="EA338" s="263"/>
      <c r="EB338" s="263"/>
      <c r="EC338" s="1105"/>
      <c r="ED338" s="141"/>
      <c r="EE338" s="263"/>
      <c r="EF338" s="263"/>
      <c r="EG338" s="263"/>
      <c r="EH338" s="263"/>
      <c r="EI338" s="1105"/>
      <c r="EJ338" s="141"/>
      <c r="EK338" s="263"/>
      <c r="EL338" s="263"/>
      <c r="EM338" s="263"/>
      <c r="EN338" s="263"/>
      <c r="EO338" s="1105"/>
      <c r="EP338" s="141"/>
      <c r="EQ338" s="263"/>
      <c r="ER338" s="263"/>
      <c r="ES338" s="263"/>
      <c r="ET338" s="263"/>
      <c r="EU338" s="1105"/>
    </row>
    <row r="339" spans="1:151" s="2072" customFormat="1" ht="13.5" hidden="1" customHeight="1" outlineLevel="1">
      <c r="A339" s="583" t="s">
        <v>345</v>
      </c>
      <c r="B339" s="147"/>
      <c r="C339" s="147"/>
      <c r="D339" s="147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263"/>
      <c r="AH339" s="263"/>
      <c r="AI339" s="263"/>
      <c r="AJ339" s="263"/>
      <c r="AK339" s="141"/>
      <c r="AL339" s="147"/>
      <c r="AM339" s="263"/>
      <c r="AN339" s="263"/>
      <c r="AO339" s="263"/>
      <c r="AP339" s="263"/>
      <c r="AQ339" s="141"/>
      <c r="AR339" s="147"/>
      <c r="AS339" s="263"/>
      <c r="AT339" s="263"/>
      <c r="AU339" s="263"/>
      <c r="AV339" s="263"/>
      <c r="AW339" s="141"/>
      <c r="AX339" s="147"/>
      <c r="AY339" s="263"/>
      <c r="AZ339" s="263"/>
      <c r="BA339" s="263"/>
      <c r="BB339" s="263"/>
      <c r="BC339" s="141"/>
      <c r="BD339" s="147"/>
      <c r="BE339" s="263"/>
      <c r="BF339" s="263"/>
      <c r="BG339" s="263"/>
      <c r="BH339" s="263"/>
      <c r="BI339" s="141"/>
      <c r="BJ339" s="147"/>
      <c r="BK339" s="263"/>
      <c r="BL339" s="263"/>
      <c r="BM339" s="263"/>
      <c r="BN339" s="263"/>
      <c r="BO339" s="1105"/>
      <c r="BP339" s="147"/>
      <c r="BQ339" s="263"/>
      <c r="BR339" s="263"/>
      <c r="BS339" s="263"/>
      <c r="BT339" s="263"/>
      <c r="BU339" s="1105"/>
      <c r="BV339" s="147"/>
      <c r="BW339" s="263"/>
      <c r="BX339" s="263"/>
      <c r="BY339" s="263"/>
      <c r="BZ339" s="263"/>
      <c r="CA339" s="1105"/>
      <c r="CB339" s="147"/>
      <c r="CC339" s="263"/>
      <c r="CD339" s="263"/>
      <c r="CE339" s="263"/>
      <c r="CF339" s="263"/>
      <c r="CG339" s="1105"/>
      <c r="CH339" s="147"/>
      <c r="CI339" s="263"/>
      <c r="CJ339" s="263"/>
      <c r="CK339" s="263"/>
      <c r="CL339" s="263"/>
      <c r="CM339" s="1105"/>
      <c r="CN339" s="147"/>
      <c r="CO339" s="263"/>
      <c r="CP339" s="263"/>
      <c r="CQ339" s="263"/>
      <c r="CR339" s="263"/>
      <c r="CS339" s="1105"/>
      <c r="CT339" s="141"/>
      <c r="CU339" s="263"/>
      <c r="CV339" s="263"/>
      <c r="CW339" s="263"/>
      <c r="CX339" s="263"/>
      <c r="CY339" s="1105"/>
      <c r="CZ339" s="141"/>
      <c r="DA339" s="263"/>
      <c r="DB339" s="263"/>
      <c r="DC339" s="263"/>
      <c r="DD339" s="263"/>
      <c r="DE339" s="1105"/>
      <c r="DF339" s="141"/>
      <c r="DG339" s="263"/>
      <c r="DH339" s="263"/>
      <c r="DI339" s="263"/>
      <c r="DJ339" s="263"/>
      <c r="DK339" s="1105"/>
      <c r="DL339" s="147"/>
      <c r="DM339" s="263"/>
      <c r="DN339" s="263">
        <f>IF(DH338&lt;&gt;"",DN338/DH338-1,"-")</f>
        <v>0.19147843209999871</v>
      </c>
      <c r="DO339" s="263">
        <f>IF(DI338&lt;&gt;"",DO338/DI338-1,"-")</f>
        <v>0.13909115426105711</v>
      </c>
      <c r="DP339" s="263">
        <f>IF(DJ338&lt;&gt;"",DP338/DJ338-1,"-")</f>
        <v>7.6775504062594147E-2</v>
      </c>
      <c r="DQ339" s="1105"/>
      <c r="DR339" s="141"/>
      <c r="DS339" s="263">
        <f>IF(DM338&lt;&gt;"",DS338/DM338-1,"-")</f>
        <v>8.8538508186779774E-2</v>
      </c>
      <c r="DT339" s="263">
        <f>IF(DN338&lt;&gt;"",DT338/DN338-1,"-")</f>
        <v>9.8802395209580895E-2</v>
      </c>
      <c r="DU339" s="263">
        <f>IF(DO338&lt;&gt;"",DU338/DO338-1,"-")</f>
        <v>0.1083160698431489</v>
      </c>
      <c r="DV339" s="263">
        <f>IF(DP338&lt;&gt;"",DV338/DP338-1,"-")</f>
        <v>0.16302765647743822</v>
      </c>
      <c r="DW339" s="1105"/>
      <c r="DX339" s="141"/>
      <c r="DY339" s="263"/>
      <c r="DZ339" s="263"/>
      <c r="EA339" s="263"/>
      <c r="EB339" s="263"/>
      <c r="EC339" s="1105"/>
      <c r="ED339" s="141"/>
      <c r="EE339" s="263"/>
      <c r="EF339" s="263"/>
      <c r="EG339" s="263"/>
      <c r="EH339" s="263"/>
      <c r="EI339" s="1105"/>
      <c r="EJ339" s="141"/>
      <c r="EK339" s="263"/>
      <c r="EL339" s="263"/>
      <c r="EM339" s="263"/>
      <c r="EN339" s="263"/>
      <c r="EO339" s="1105"/>
      <c r="EP339" s="141"/>
      <c r="EQ339" s="263"/>
      <c r="ER339" s="263"/>
      <c r="ES339" s="263"/>
      <c r="ET339" s="263"/>
      <c r="EU339" s="1105"/>
    </row>
    <row r="340" spans="1:151" s="2072" customFormat="1" ht="13.5" hidden="1" customHeight="1" outlineLevel="1">
      <c r="A340" s="583" t="s">
        <v>344</v>
      </c>
      <c r="B340" s="147"/>
      <c r="C340" s="147"/>
      <c r="D340" s="147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263"/>
      <c r="AH340" s="263"/>
      <c r="AI340" s="263"/>
      <c r="AJ340" s="263"/>
      <c r="AK340" s="141"/>
      <c r="AL340" s="147"/>
      <c r="AM340" s="263"/>
      <c r="AN340" s="263"/>
      <c r="AO340" s="263"/>
      <c r="AP340" s="263"/>
      <c r="AQ340" s="141"/>
      <c r="AR340" s="147"/>
      <c r="AS340" s="263"/>
      <c r="AT340" s="263"/>
      <c r="AU340" s="263"/>
      <c r="AV340" s="263"/>
      <c r="AW340" s="141"/>
      <c r="AX340" s="147"/>
      <c r="AY340" s="263"/>
      <c r="AZ340" s="263"/>
      <c r="BA340" s="263"/>
      <c r="BB340" s="263"/>
      <c r="BC340" s="141"/>
      <c r="BD340" s="147"/>
      <c r="BE340" s="263"/>
      <c r="BF340" s="263"/>
      <c r="BG340" s="263"/>
      <c r="BH340" s="263"/>
      <c r="BI340" s="141"/>
      <c r="BJ340" s="147"/>
      <c r="BK340" s="263"/>
      <c r="BL340" s="263"/>
      <c r="BM340" s="263"/>
      <c r="BN340" s="263"/>
      <c r="BO340" s="1105"/>
      <c r="BP340" s="147"/>
      <c r="BQ340" s="263"/>
      <c r="BR340" s="263"/>
      <c r="BS340" s="263"/>
      <c r="BT340" s="263"/>
      <c r="BU340" s="1105"/>
      <c r="BV340" s="147"/>
      <c r="BW340" s="263"/>
      <c r="BX340" s="263"/>
      <c r="BY340" s="263"/>
      <c r="BZ340" s="263"/>
      <c r="CA340" s="1105"/>
      <c r="CB340" s="147"/>
      <c r="CC340" s="263"/>
      <c r="CD340" s="263"/>
      <c r="CE340" s="263"/>
      <c r="CF340" s="263"/>
      <c r="CG340" s="1105"/>
      <c r="CH340" s="147"/>
      <c r="CI340" s="263"/>
      <c r="CJ340" s="263"/>
      <c r="CK340" s="263"/>
      <c r="CL340" s="263"/>
      <c r="CM340" s="1105"/>
      <c r="CN340" s="147"/>
      <c r="CO340" s="263"/>
      <c r="CP340" s="263"/>
      <c r="CQ340" s="263"/>
      <c r="CR340" s="263"/>
      <c r="CS340" s="1105"/>
      <c r="CT340" s="141"/>
      <c r="CU340" s="263"/>
      <c r="CV340" s="263"/>
      <c r="CW340" s="263"/>
      <c r="CX340" s="263"/>
      <c r="CY340" s="1105"/>
      <c r="CZ340" s="141"/>
      <c r="DA340" s="263"/>
      <c r="DB340" s="263"/>
      <c r="DC340" s="263"/>
      <c r="DD340" s="263"/>
      <c r="DE340" s="1105"/>
      <c r="DF340" s="141"/>
      <c r="DG340" s="263"/>
      <c r="DH340" s="263"/>
      <c r="DI340" s="263">
        <f>IF(DH338&lt;&gt;"",DI338/DH338-1,"-")</f>
        <v>5.8204078138154536E-2</v>
      </c>
      <c r="DJ340" s="263">
        <f>IF(DI338&lt;&gt;"",DJ338/DI338-1,"-")</f>
        <v>7.5404530744336506E-2</v>
      </c>
      <c r="DK340" s="1105"/>
      <c r="DL340" s="147"/>
      <c r="DM340" s="263">
        <f>IF(DJ338&lt;&gt;"",DM338/DJ338-1,"-")</f>
        <v>3.3829872605075861E-2</v>
      </c>
      <c r="DN340" s="263">
        <f>IF(DM338&lt;&gt;"",DN338/DM338-1,"-")</f>
        <v>1.2734990903577881E-2</v>
      </c>
      <c r="DO340" s="263">
        <f>IF(DN338&lt;&gt;"",DO338/DN338-1,"-")</f>
        <v>1.1676646706586746E-2</v>
      </c>
      <c r="DP340" s="263">
        <f>IF(DO338&lt;&gt;"",DP338/DO338-1,"-")</f>
        <v>1.6572950577093959E-2</v>
      </c>
      <c r="DQ340" s="1105"/>
      <c r="DR340" s="141"/>
      <c r="DS340" s="263">
        <f>IF(DP338&lt;&gt;"",DS338/DP338-1,"-")</f>
        <v>4.512372634643369E-2</v>
      </c>
      <c r="DT340" s="263">
        <f>IF(DS338&lt;&gt;"",DT338/DS338-1,"-")</f>
        <v>2.2284122562674202E-2</v>
      </c>
      <c r="DU340" s="263">
        <f>IF(DT338&lt;&gt;"",DU338/DT338-1,"-")</f>
        <v>2.043596730245234E-2</v>
      </c>
      <c r="DV340" s="263">
        <f>IF(DU338&lt;&gt;"",DV338/DU338-1,"-")</f>
        <v>6.6755674232309659E-2</v>
      </c>
      <c r="DW340" s="1105"/>
      <c r="DX340" s="141"/>
      <c r="DY340" s="263"/>
      <c r="DZ340" s="263"/>
      <c r="EA340" s="263"/>
      <c r="EB340" s="263"/>
      <c r="EC340" s="1105"/>
      <c r="ED340" s="141"/>
      <c r="EE340" s="263"/>
      <c r="EF340" s="263"/>
      <c r="EG340" s="263"/>
      <c r="EH340" s="263"/>
      <c r="EI340" s="1105"/>
      <c r="EJ340" s="141"/>
      <c r="EK340" s="263"/>
      <c r="EL340" s="263"/>
      <c r="EM340" s="263"/>
      <c r="EN340" s="263"/>
      <c r="EO340" s="1105"/>
      <c r="EP340" s="141"/>
      <c r="EQ340" s="263"/>
      <c r="ER340" s="263"/>
      <c r="ES340" s="263"/>
      <c r="ET340" s="263"/>
      <c r="EU340" s="1105"/>
    </row>
    <row r="341" spans="1:151" s="2072" customFormat="1" ht="13.5" hidden="1" customHeight="1" outlineLevel="1">
      <c r="A341" s="1780" t="s">
        <v>7115</v>
      </c>
      <c r="B341" s="147"/>
      <c r="C341" s="147"/>
      <c r="D341" s="147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263"/>
      <c r="AH341" s="263"/>
      <c r="AI341" s="263"/>
      <c r="AJ341" s="263"/>
      <c r="AK341" s="141"/>
      <c r="AL341" s="147"/>
      <c r="AM341" s="263"/>
      <c r="AN341" s="263"/>
      <c r="AO341" s="263"/>
      <c r="AP341" s="263"/>
      <c r="AQ341" s="141"/>
      <c r="AR341" s="147"/>
      <c r="AS341" s="263"/>
      <c r="AT341" s="263"/>
      <c r="AU341" s="263"/>
      <c r="AV341" s="263"/>
      <c r="AW341" s="141"/>
      <c r="AX341" s="147"/>
      <c r="AY341" s="263"/>
      <c r="AZ341" s="263"/>
      <c r="BA341" s="263"/>
      <c r="BB341" s="263"/>
      <c r="BC341" s="141"/>
      <c r="BD341" s="147"/>
      <c r="BE341" s="263"/>
      <c r="BF341" s="263"/>
      <c r="BG341" s="263"/>
      <c r="BH341" s="263"/>
      <c r="BI341" s="141"/>
      <c r="BJ341" s="147"/>
      <c r="BK341" s="263"/>
      <c r="BL341" s="263"/>
      <c r="BM341" s="263"/>
      <c r="BN341" s="263"/>
      <c r="BO341" s="1105"/>
      <c r="BP341" s="147"/>
      <c r="BQ341" s="263"/>
      <c r="BR341" s="263"/>
      <c r="BS341" s="263"/>
      <c r="BT341" s="263"/>
      <c r="BU341" s="1105"/>
      <c r="BV341" s="147"/>
      <c r="BW341" s="263"/>
      <c r="BX341" s="263"/>
      <c r="BY341" s="263"/>
      <c r="BZ341" s="263"/>
      <c r="CA341" s="1105"/>
      <c r="CB341" s="147"/>
      <c r="CC341" s="263"/>
      <c r="CD341" s="263"/>
      <c r="CE341" s="263"/>
      <c r="CF341" s="263"/>
      <c r="CG341" s="1105"/>
      <c r="CH341" s="147"/>
      <c r="CI341" s="263"/>
      <c r="CJ341" s="263"/>
      <c r="CK341" s="263"/>
      <c r="CL341" s="263"/>
      <c r="CM341" s="1105"/>
      <c r="CN341" s="147"/>
      <c r="CO341" s="263"/>
      <c r="CP341" s="263"/>
      <c r="CQ341" s="263"/>
      <c r="CR341" s="263"/>
      <c r="CS341" s="1105"/>
      <c r="CT341" s="141"/>
      <c r="CU341" s="263"/>
      <c r="CV341" s="263"/>
      <c r="CW341" s="263"/>
      <c r="CX341" s="263"/>
      <c r="CY341" s="1105"/>
      <c r="CZ341" s="141"/>
      <c r="DA341" s="263"/>
      <c r="DB341" s="263"/>
      <c r="DC341" s="263"/>
      <c r="DD341" s="263"/>
      <c r="DE341" s="1105"/>
      <c r="DF341" s="141"/>
      <c r="DG341" s="263"/>
      <c r="DH341" s="263">
        <v>0.44</v>
      </c>
      <c r="DI341" s="263">
        <v>0.48</v>
      </c>
      <c r="DJ341" s="263">
        <v>0.48</v>
      </c>
      <c r="DK341" s="1105"/>
      <c r="DL341" s="147"/>
      <c r="DM341" s="263">
        <f>DM338/Model!DM31</f>
        <v>0.51013147718484142</v>
      </c>
      <c r="DN341" s="263">
        <f>DN338/Model!DN31</f>
        <v>0.54799015586546351</v>
      </c>
      <c r="DO341" s="263">
        <f>DO338/Model!DO31</f>
        <v>0.5633544514838279</v>
      </c>
      <c r="DP341" s="263">
        <f>DP338/Model!DP31</f>
        <v>0.52984729291994448</v>
      </c>
      <c r="DQ341" s="1105"/>
      <c r="DR341" s="141"/>
      <c r="DS341" s="263">
        <f>DS338/Model!DS31</f>
        <v>0.70130884938464544</v>
      </c>
      <c r="DT341" s="263">
        <f>DT338/Model!DT31</f>
        <v>0.66642455057199923</v>
      </c>
      <c r="DU341" s="263">
        <f>DU338/Model!DU31</f>
        <v>0.7649101307189542</v>
      </c>
      <c r="DV341" s="263">
        <f>DV338/Model!DV31</f>
        <v>0.83437761069340011</v>
      </c>
      <c r="DW341" s="1105"/>
      <c r="DX341" s="141"/>
      <c r="DY341" s="263"/>
      <c r="DZ341" s="263"/>
      <c r="EA341" s="263"/>
      <c r="EB341" s="263"/>
      <c r="EC341" s="1105"/>
      <c r="ED341" s="141"/>
      <c r="EE341" s="263"/>
      <c r="EF341" s="263"/>
      <c r="EG341" s="263"/>
      <c r="EH341" s="263"/>
      <c r="EI341" s="1105"/>
      <c r="EJ341" s="141"/>
      <c r="EK341" s="263"/>
      <c r="EL341" s="263"/>
      <c r="EM341" s="263"/>
      <c r="EN341" s="263"/>
      <c r="EO341" s="1105"/>
      <c r="EP341" s="141"/>
      <c r="EQ341" s="263"/>
      <c r="ER341" s="263"/>
      <c r="ES341" s="263"/>
      <c r="ET341" s="263"/>
      <c r="EU341" s="1105"/>
    </row>
    <row r="342" spans="1:151" s="2253" customFormat="1" ht="13.5" hidden="1" customHeight="1" outlineLevel="1">
      <c r="A342" s="1780"/>
      <c r="B342" s="147"/>
      <c r="C342" s="147"/>
      <c r="D342" s="147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263"/>
      <c r="AH342" s="263"/>
      <c r="AI342" s="263"/>
      <c r="AJ342" s="263"/>
      <c r="AK342" s="141"/>
      <c r="AL342" s="147"/>
      <c r="AM342" s="263"/>
      <c r="AN342" s="263"/>
      <c r="AO342" s="263"/>
      <c r="AP342" s="263"/>
      <c r="AQ342" s="141"/>
      <c r="AR342" s="147"/>
      <c r="AS342" s="263"/>
      <c r="AT342" s="263"/>
      <c r="AU342" s="263"/>
      <c r="AV342" s="263"/>
      <c r="AW342" s="141"/>
      <c r="AX342" s="147"/>
      <c r="AY342" s="263"/>
      <c r="AZ342" s="263"/>
      <c r="BA342" s="263"/>
      <c r="BB342" s="263"/>
      <c r="BC342" s="141"/>
      <c r="BD342" s="147"/>
      <c r="BE342" s="263"/>
      <c r="BF342" s="263"/>
      <c r="BG342" s="263"/>
      <c r="BH342" s="263"/>
      <c r="BI342" s="141"/>
      <c r="BJ342" s="147"/>
      <c r="BK342" s="263"/>
      <c r="BL342" s="263"/>
      <c r="BM342" s="263"/>
      <c r="BN342" s="263"/>
      <c r="BO342" s="1105"/>
      <c r="BP342" s="147"/>
      <c r="BQ342" s="263"/>
      <c r="BR342" s="263"/>
      <c r="BS342" s="263"/>
      <c r="BT342" s="263"/>
      <c r="BU342" s="1105"/>
      <c r="BV342" s="147"/>
      <c r="BW342" s="263"/>
      <c r="BX342" s="263"/>
      <c r="BY342" s="263"/>
      <c r="BZ342" s="263"/>
      <c r="CA342" s="1105"/>
      <c r="CB342" s="147"/>
      <c r="CC342" s="263"/>
      <c r="CD342" s="263"/>
      <c r="CE342" s="263"/>
      <c r="CF342" s="263"/>
      <c r="CG342" s="1105"/>
      <c r="CH342" s="147"/>
      <c r="CI342" s="263"/>
      <c r="CJ342" s="263"/>
      <c r="CK342" s="263"/>
      <c r="CL342" s="263"/>
      <c r="CM342" s="1105"/>
      <c r="CN342" s="147"/>
      <c r="CO342" s="263"/>
      <c r="CP342" s="263"/>
      <c r="CQ342" s="263"/>
      <c r="CR342" s="263"/>
      <c r="CS342" s="1105"/>
      <c r="CT342" s="141"/>
      <c r="CU342" s="263"/>
      <c r="CV342" s="263"/>
      <c r="CW342" s="263"/>
      <c r="CX342" s="263"/>
      <c r="CY342" s="1105"/>
      <c r="CZ342" s="141"/>
      <c r="DA342" s="263"/>
      <c r="DB342" s="263"/>
      <c r="DC342" s="263"/>
      <c r="DD342" s="263"/>
      <c r="DE342" s="1105"/>
      <c r="DF342" s="141"/>
      <c r="DG342" s="263"/>
      <c r="DH342" s="263"/>
      <c r="DI342" s="263"/>
      <c r="DJ342" s="263"/>
      <c r="DK342" s="1105"/>
      <c r="DL342" s="147"/>
      <c r="DM342" s="263"/>
      <c r="DN342" s="263"/>
      <c r="DO342" s="263"/>
      <c r="DP342" s="263"/>
      <c r="DQ342" s="1105"/>
      <c r="DR342" s="141"/>
      <c r="DS342" s="263"/>
      <c r="DT342" s="263"/>
      <c r="DU342" s="263"/>
      <c r="DV342" s="263"/>
      <c r="DW342" s="1105"/>
      <c r="DX342" s="141"/>
      <c r="DY342" s="263"/>
      <c r="DZ342" s="263"/>
      <c r="EA342" s="263"/>
      <c r="EB342" s="263"/>
      <c r="EC342" s="1105"/>
      <c r="ED342" s="141"/>
      <c r="EE342" s="263"/>
      <c r="EF342" s="263"/>
      <c r="EG342" s="263"/>
      <c r="EH342" s="263"/>
      <c r="EI342" s="1105"/>
      <c r="EJ342" s="141"/>
      <c r="EK342" s="263"/>
      <c r="EL342" s="263"/>
      <c r="EM342" s="263"/>
      <c r="EN342" s="263"/>
      <c r="EO342" s="1105"/>
      <c r="EP342" s="141"/>
      <c r="EQ342" s="263"/>
      <c r="ER342" s="263"/>
      <c r="ES342" s="263"/>
      <c r="ET342" s="263"/>
      <c r="EU342" s="1105"/>
    </row>
    <row r="343" spans="1:151" s="2253" customFormat="1" ht="13.5" customHeight="1" collapsed="1" thickBot="1">
      <c r="A343" s="923" t="s">
        <v>7224</v>
      </c>
      <c r="B343" s="924"/>
      <c r="C343" s="924"/>
      <c r="D343" s="924"/>
      <c r="E343" s="924"/>
      <c r="F343" s="924"/>
      <c r="G343" s="924"/>
      <c r="H343" s="924"/>
      <c r="I343" s="924"/>
      <c r="J343" s="924"/>
      <c r="K343" s="924"/>
      <c r="L343" s="924"/>
      <c r="M343" s="924"/>
      <c r="N343" s="924"/>
      <c r="O343" s="924"/>
      <c r="P343" s="924"/>
      <c r="Q343" s="924"/>
      <c r="R343" s="924"/>
      <c r="S343" s="925"/>
      <c r="T343" s="925"/>
      <c r="U343" s="925"/>
      <c r="V343" s="925"/>
      <c r="W343" s="925"/>
      <c r="X343" s="925"/>
      <c r="Y343" s="925"/>
      <c r="Z343" s="925"/>
      <c r="AA343" s="925"/>
      <c r="AB343" s="925"/>
      <c r="AC343" s="925"/>
      <c r="AD343" s="925"/>
      <c r="AE343" s="926"/>
      <c r="AF343" s="924"/>
      <c r="AG343" s="924"/>
      <c r="AH343" s="924"/>
      <c r="AI343" s="926"/>
      <c r="AJ343" s="924"/>
      <c r="AK343" s="926"/>
      <c r="AL343" s="924"/>
      <c r="AM343" s="927"/>
      <c r="AN343" s="927"/>
      <c r="AO343" s="927"/>
      <c r="AP343" s="927"/>
      <c r="AQ343" s="927"/>
      <c r="AR343" s="924"/>
      <c r="AS343" s="927"/>
      <c r="AT343" s="927"/>
      <c r="AU343" s="927"/>
      <c r="AV343" s="927"/>
      <c r="AW343" s="927"/>
      <c r="AX343" s="924"/>
      <c r="AY343" s="927"/>
      <c r="AZ343" s="927"/>
      <c r="BA343" s="927"/>
      <c r="BB343" s="927"/>
      <c r="BC343" s="927"/>
      <c r="BD343" s="924"/>
      <c r="BE343" s="927"/>
      <c r="BF343" s="927"/>
      <c r="BG343" s="927"/>
      <c r="BH343" s="927"/>
      <c r="BI343" s="927"/>
      <c r="BJ343" s="924"/>
      <c r="BK343" s="924"/>
      <c r="BL343" s="924"/>
      <c r="BM343" s="924"/>
      <c r="BN343" s="924"/>
      <c r="BO343" s="1153"/>
      <c r="BP343" s="924"/>
      <c r="BQ343" s="924"/>
      <c r="BR343" s="924"/>
      <c r="BS343" s="924"/>
      <c r="BT343" s="924"/>
      <c r="BU343" s="1153"/>
      <c r="BV343" s="924"/>
      <c r="BW343" s="924"/>
      <c r="BX343" s="924"/>
      <c r="BY343" s="924"/>
      <c r="BZ343" s="924"/>
      <c r="CA343" s="1153"/>
      <c r="CB343" s="924"/>
      <c r="CC343" s="924"/>
      <c r="CD343" s="924"/>
      <c r="CE343" s="924"/>
      <c r="CF343" s="924"/>
      <c r="CG343" s="1153"/>
      <c r="CH343" s="924"/>
      <c r="CI343" s="924"/>
      <c r="CJ343" s="924"/>
      <c r="CK343" s="927"/>
      <c r="CL343" s="924"/>
      <c r="CM343" s="1153"/>
      <c r="CN343" s="924"/>
      <c r="CO343" s="924"/>
      <c r="CP343" s="924"/>
      <c r="CQ343" s="924"/>
      <c r="CR343" s="924"/>
      <c r="CS343" s="1153"/>
      <c r="CT343" s="924"/>
      <c r="CU343" s="924"/>
      <c r="CV343" s="924"/>
      <c r="CW343" s="924"/>
      <c r="CX343" s="924"/>
      <c r="CY343" s="1153"/>
      <c r="CZ343" s="924"/>
      <c r="DA343" s="924"/>
      <c r="DB343" s="924"/>
      <c r="DC343" s="924"/>
      <c r="DD343" s="924"/>
      <c r="DE343" s="1153"/>
      <c r="DF343" s="924"/>
      <c r="DG343" s="924"/>
      <c r="DH343" s="924"/>
      <c r="DI343" s="924"/>
      <c r="DJ343" s="924"/>
      <c r="DK343" s="1153"/>
      <c r="DL343" s="924"/>
      <c r="DM343" s="924"/>
      <c r="DN343" s="924"/>
      <c r="DO343" s="924"/>
      <c r="DP343" s="924"/>
      <c r="DQ343" s="1153"/>
      <c r="DR343" s="2263"/>
      <c r="DS343" s="924"/>
      <c r="DT343" s="924"/>
      <c r="DU343" s="924"/>
      <c r="DV343" s="924"/>
      <c r="DW343" s="1153"/>
      <c r="DX343" s="2263"/>
      <c r="DY343" s="924"/>
      <c r="DZ343" s="924"/>
      <c r="EA343" s="924"/>
      <c r="EB343" s="924"/>
      <c r="EC343" s="1153"/>
      <c r="ED343" s="2263"/>
      <c r="EE343" s="924"/>
      <c r="EF343" s="924"/>
      <c r="EG343" s="924"/>
      <c r="EH343" s="924"/>
      <c r="EI343" s="1153"/>
      <c r="EJ343" s="2263"/>
      <c r="EK343" s="924"/>
      <c r="EL343" s="924"/>
      <c r="EM343" s="924"/>
      <c r="EN343" s="924"/>
      <c r="EO343" s="1153"/>
      <c r="EP343" s="2263"/>
      <c r="EQ343" s="924"/>
      <c r="ER343" s="924"/>
      <c r="ES343" s="924"/>
      <c r="ET343" s="924"/>
      <c r="EU343" s="1153"/>
    </row>
    <row r="344" spans="1:151" s="2253" customFormat="1" ht="13.5" customHeight="1">
      <c r="A344" s="2257" t="s">
        <v>7222</v>
      </c>
      <c r="B344" s="2258"/>
      <c r="C344" s="2258"/>
      <c r="D344" s="2258"/>
      <c r="E344" s="2258"/>
      <c r="F344" s="2258"/>
      <c r="G344" s="2258"/>
      <c r="H344" s="2258"/>
      <c r="I344" s="2258"/>
      <c r="J344" s="2258"/>
      <c r="K344" s="2258"/>
      <c r="L344" s="2258"/>
      <c r="M344" s="2258"/>
      <c r="N344" s="2258"/>
      <c r="O344" s="2258"/>
      <c r="P344" s="2258"/>
      <c r="Q344" s="2258"/>
      <c r="R344" s="2258"/>
      <c r="S344" s="2258"/>
      <c r="T344" s="2258"/>
      <c r="U344" s="2258"/>
      <c r="V344" s="2258"/>
      <c r="W344" s="2258"/>
      <c r="X344" s="2258"/>
      <c r="Y344" s="2258"/>
      <c r="Z344" s="2258"/>
      <c r="AA344" s="2258"/>
      <c r="AB344" s="2258"/>
      <c r="AC344" s="2258"/>
      <c r="AD344" s="2258"/>
      <c r="AE344" s="2258"/>
      <c r="AF344" s="2258"/>
      <c r="AG344" s="2259"/>
      <c r="AH344" s="2259"/>
      <c r="AI344" s="2259"/>
      <c r="AJ344" s="2259"/>
      <c r="AK344" s="2260"/>
      <c r="AL344" s="2258"/>
      <c r="AM344" s="2259"/>
      <c r="AN344" s="2259"/>
      <c r="AO344" s="2259"/>
      <c r="AP344" s="2259"/>
      <c r="AQ344" s="2260"/>
      <c r="AR344" s="2258"/>
      <c r="AS344" s="2259"/>
      <c r="AT344" s="2259"/>
      <c r="AU344" s="2259"/>
      <c r="AV344" s="2259"/>
      <c r="AW344" s="2260"/>
      <c r="AX344" s="2258"/>
      <c r="AY344" s="2259"/>
      <c r="AZ344" s="2259"/>
      <c r="BA344" s="2259"/>
      <c r="BB344" s="2259"/>
      <c r="BC344" s="2260"/>
      <c r="BD344" s="2258"/>
      <c r="BE344" s="2259"/>
      <c r="BF344" s="2259"/>
      <c r="BG344" s="2259"/>
      <c r="BH344" s="2259"/>
      <c r="BI344" s="2260"/>
      <c r="BJ344" s="2258"/>
      <c r="BK344" s="2259"/>
      <c r="BL344" s="2259"/>
      <c r="BM344" s="2259"/>
      <c r="BN344" s="2259"/>
      <c r="BO344" s="2261"/>
      <c r="BP344" s="2258"/>
      <c r="BQ344" s="2259"/>
      <c r="BR344" s="2259"/>
      <c r="BS344" s="2259"/>
      <c r="BT344" s="2259"/>
      <c r="BU344" s="2261"/>
      <c r="BV344" s="2258"/>
      <c r="BW344" s="2259"/>
      <c r="BX344" s="2259"/>
      <c r="BY344" s="2259"/>
      <c r="BZ344" s="2259"/>
      <c r="CA344" s="2261"/>
      <c r="CB344" s="2258"/>
      <c r="CC344" s="2259"/>
      <c r="CD344" s="2259"/>
      <c r="CE344" s="2259"/>
      <c r="CF344" s="2259"/>
      <c r="CG344" s="2261"/>
      <c r="CH344" s="2258"/>
      <c r="CI344" s="2259"/>
      <c r="CJ344" s="2259"/>
      <c r="CK344" s="2259"/>
      <c r="CL344" s="2259"/>
      <c r="CM344" s="2261"/>
      <c r="CN344" s="2258"/>
      <c r="CO344" s="2259"/>
      <c r="CP344" s="2259"/>
      <c r="CQ344" s="2259"/>
      <c r="CR344" s="2259"/>
      <c r="CS344" s="2261"/>
      <c r="CT344" s="2260"/>
      <c r="CU344" s="2259"/>
      <c r="CV344" s="2259"/>
      <c r="CW344" s="2259"/>
      <c r="CX344" s="2259"/>
      <c r="CY344" s="2261"/>
      <c r="CZ344" s="2260"/>
      <c r="DA344" s="2259"/>
      <c r="DB344" s="2259"/>
      <c r="DC344" s="2259"/>
      <c r="DD344" s="2259"/>
      <c r="DE344" s="2261"/>
      <c r="DF344" s="2260"/>
      <c r="DG344" s="2259"/>
      <c r="DH344" s="2259"/>
      <c r="DI344" s="2259"/>
      <c r="DJ344" s="2259"/>
      <c r="DK344" s="2261"/>
      <c r="DL344" s="2258"/>
      <c r="DM344" s="2259"/>
      <c r="DN344" s="2259"/>
      <c r="DO344" s="2259"/>
      <c r="DP344" s="2259"/>
      <c r="DQ344" s="2261"/>
      <c r="DR344" s="2260"/>
      <c r="DS344" s="2262"/>
      <c r="DT344" s="2262"/>
      <c r="DU344" s="2262"/>
      <c r="DV344" s="2262"/>
      <c r="DW344" s="2261"/>
      <c r="DX344" s="2260"/>
      <c r="DY344" s="2262"/>
      <c r="DZ344" s="2259"/>
      <c r="EA344" s="2259"/>
      <c r="EB344" s="2259"/>
      <c r="EC344" s="2261"/>
      <c r="ED344" s="2260"/>
      <c r="EE344" s="2259"/>
      <c r="EF344" s="2259"/>
      <c r="EG344" s="2259"/>
      <c r="EH344" s="2259"/>
      <c r="EI344" s="2261"/>
      <c r="EJ344" s="2260"/>
      <c r="EK344" s="2259"/>
      <c r="EL344" s="2259"/>
      <c r="EM344" s="2259"/>
      <c r="EN344" s="2259"/>
      <c r="EO344" s="2261"/>
      <c r="EP344" s="2260"/>
      <c r="EQ344" s="2259"/>
      <c r="ER344" s="2259"/>
      <c r="ES344" s="2259"/>
      <c r="ET344" s="2259"/>
      <c r="EU344" s="2261"/>
    </row>
    <row r="345" spans="1:151" s="2253" customFormat="1" ht="6" customHeight="1">
      <c r="A345" s="2239"/>
      <c r="B345" s="147"/>
      <c r="C345" s="147"/>
      <c r="D345" s="147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263"/>
      <c r="AH345" s="263"/>
      <c r="AI345" s="263"/>
      <c r="AJ345" s="263"/>
      <c r="AK345" s="141"/>
      <c r="AL345" s="147"/>
      <c r="AM345" s="263"/>
      <c r="AN345" s="263"/>
      <c r="AO345" s="263"/>
      <c r="AP345" s="263"/>
      <c r="AQ345" s="141"/>
      <c r="AR345" s="147"/>
      <c r="AS345" s="263"/>
      <c r="AT345" s="263"/>
      <c r="AU345" s="263"/>
      <c r="AV345" s="263"/>
      <c r="AW345" s="141"/>
      <c r="AX345" s="147"/>
      <c r="AY345" s="263"/>
      <c r="AZ345" s="263"/>
      <c r="BA345" s="263"/>
      <c r="BB345" s="263"/>
      <c r="BC345" s="141"/>
      <c r="BD345" s="147"/>
      <c r="BE345" s="263"/>
      <c r="BF345" s="263"/>
      <c r="BG345" s="263"/>
      <c r="BH345" s="263"/>
      <c r="BI345" s="141"/>
      <c r="BJ345" s="147"/>
      <c r="BK345" s="263"/>
      <c r="BL345" s="263"/>
      <c r="BM345" s="263"/>
      <c r="BN345" s="263"/>
      <c r="BO345" s="1105"/>
      <c r="BP345" s="147"/>
      <c r="BQ345" s="263"/>
      <c r="BR345" s="263"/>
      <c r="BS345" s="263"/>
      <c r="BT345" s="263"/>
      <c r="BU345" s="1105"/>
      <c r="BV345" s="147"/>
      <c r="BW345" s="263"/>
      <c r="BX345" s="263"/>
      <c r="BY345" s="263"/>
      <c r="BZ345" s="263"/>
      <c r="CA345" s="1105"/>
      <c r="CB345" s="147"/>
      <c r="CC345" s="263"/>
      <c r="CD345" s="263"/>
      <c r="CE345" s="263"/>
      <c r="CF345" s="263"/>
      <c r="CG345" s="1105"/>
      <c r="CH345" s="147"/>
      <c r="CI345" s="263"/>
      <c r="CJ345" s="263"/>
      <c r="CK345" s="263"/>
      <c r="CL345" s="263"/>
      <c r="CM345" s="1105"/>
      <c r="CN345" s="147"/>
      <c r="CO345" s="263"/>
      <c r="CP345" s="263"/>
      <c r="CQ345" s="263"/>
      <c r="CR345" s="263"/>
      <c r="CS345" s="1105"/>
      <c r="CT345" s="141"/>
      <c r="CU345" s="263"/>
      <c r="CV345" s="263"/>
      <c r="CW345" s="263"/>
      <c r="CX345" s="263"/>
      <c r="CY345" s="1105"/>
      <c r="CZ345" s="141"/>
      <c r="DA345" s="263"/>
      <c r="DB345" s="263"/>
      <c r="DC345" s="263"/>
      <c r="DD345" s="263"/>
      <c r="DE345" s="1105"/>
      <c r="DF345" s="141"/>
      <c r="DG345" s="263"/>
      <c r="DH345" s="263"/>
      <c r="DI345" s="263"/>
      <c r="DJ345" s="263"/>
      <c r="DK345" s="1105"/>
      <c r="DL345" s="147"/>
      <c r="DM345" s="263"/>
      <c r="DN345" s="263"/>
      <c r="DO345" s="263"/>
      <c r="DP345" s="263"/>
      <c r="DQ345" s="1105"/>
      <c r="DR345" s="141"/>
      <c r="DS345" s="608"/>
      <c r="DT345" s="608"/>
      <c r="DU345" s="608"/>
      <c r="DV345" s="608"/>
      <c r="DW345" s="1105"/>
      <c r="DX345" s="141"/>
      <c r="DY345" s="608"/>
      <c r="DZ345" s="263"/>
      <c r="EA345" s="263"/>
      <c r="EB345" s="263"/>
      <c r="EC345" s="1105"/>
      <c r="ED345" s="141"/>
      <c r="EE345" s="263"/>
      <c r="EF345" s="263"/>
      <c r="EG345" s="263"/>
      <c r="EH345" s="263"/>
      <c r="EI345" s="1105"/>
      <c r="EJ345" s="141"/>
      <c r="EK345" s="263"/>
      <c r="EL345" s="263"/>
      <c r="EM345" s="263"/>
      <c r="EN345" s="263"/>
      <c r="EO345" s="1105"/>
      <c r="EP345" s="141"/>
      <c r="EQ345" s="263"/>
      <c r="ER345" s="263"/>
      <c r="ES345" s="263"/>
      <c r="ET345" s="263"/>
      <c r="EU345" s="1105"/>
    </row>
    <row r="346" spans="1:151" s="2253" customFormat="1" ht="13.5" customHeight="1">
      <c r="A346" s="2239" t="s">
        <v>4353</v>
      </c>
      <c r="B346" s="147"/>
      <c r="C346" s="147"/>
      <c r="D346" s="147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263"/>
      <c r="AH346" s="263"/>
      <c r="AI346" s="263"/>
      <c r="AJ346" s="263"/>
      <c r="AK346" s="141"/>
      <c r="AL346" s="147"/>
      <c r="AM346" s="263"/>
      <c r="AN346" s="263"/>
      <c r="AO346" s="263"/>
      <c r="AP346" s="263"/>
      <c r="AQ346" s="141"/>
      <c r="AR346" s="147"/>
      <c r="AS346" s="263"/>
      <c r="AT346" s="263"/>
      <c r="AU346" s="263"/>
      <c r="AV346" s="263"/>
      <c r="AW346" s="141"/>
      <c r="AX346" s="147"/>
      <c r="AY346" s="263"/>
      <c r="AZ346" s="263"/>
      <c r="BA346" s="263"/>
      <c r="BB346" s="263"/>
      <c r="BC346" s="141"/>
      <c r="BD346" s="147"/>
      <c r="BE346" s="263"/>
      <c r="BF346" s="263"/>
      <c r="BG346" s="263"/>
      <c r="BH346" s="263"/>
      <c r="BI346" s="141"/>
      <c r="BJ346" s="147"/>
      <c r="BK346" s="263"/>
      <c r="BL346" s="263"/>
      <c r="BM346" s="263"/>
      <c r="BN346" s="263"/>
      <c r="BO346" s="1105"/>
      <c r="BP346" s="147"/>
      <c r="BQ346" s="263"/>
      <c r="BR346" s="263"/>
      <c r="BS346" s="263"/>
      <c r="BT346" s="263"/>
      <c r="BU346" s="1105"/>
      <c r="BV346" s="147"/>
      <c r="BW346" s="263"/>
      <c r="BX346" s="263"/>
      <c r="BY346" s="263"/>
      <c r="BZ346" s="263"/>
      <c r="CA346" s="1105"/>
      <c r="CB346" s="147"/>
      <c r="CC346" s="263"/>
      <c r="CD346" s="263"/>
      <c r="CE346" s="263"/>
      <c r="CF346" s="263"/>
      <c r="CG346" s="1105"/>
      <c r="CH346" s="147"/>
      <c r="CI346" s="263"/>
      <c r="CJ346" s="263"/>
      <c r="CK346" s="263"/>
      <c r="CL346" s="263"/>
      <c r="CM346" s="1105"/>
      <c r="CN346" s="147"/>
      <c r="CO346" s="263"/>
      <c r="CP346" s="263"/>
      <c r="CQ346" s="263"/>
      <c r="CR346" s="263"/>
      <c r="CS346" s="1105"/>
      <c r="CT346" s="141"/>
      <c r="CU346" s="263"/>
      <c r="CV346" s="263"/>
      <c r="CW346" s="263"/>
      <c r="CX346" s="263"/>
      <c r="CY346" s="1105"/>
      <c r="CZ346" s="141"/>
      <c r="DA346" s="263"/>
      <c r="DB346" s="263"/>
      <c r="DC346" s="263"/>
      <c r="DD346" s="263"/>
      <c r="DE346" s="1105"/>
      <c r="DF346" s="141"/>
      <c r="DG346" s="263"/>
      <c r="DH346" s="263"/>
      <c r="DI346" s="263"/>
      <c r="DJ346" s="263"/>
      <c r="DK346" s="1105"/>
      <c r="DL346" s="147"/>
      <c r="DM346" s="263"/>
      <c r="DN346" s="263"/>
      <c r="DO346" s="263"/>
      <c r="DP346" s="263"/>
      <c r="DQ346" s="1105"/>
      <c r="DR346" s="141"/>
      <c r="DS346" s="2264">
        <f>Model!DS18</f>
        <v>284.39999999999998</v>
      </c>
      <c r="DT346" s="2264">
        <f>Model!DT18</f>
        <v>278</v>
      </c>
      <c r="DU346" s="2264">
        <f>Model!DU18</f>
        <v>273</v>
      </c>
      <c r="DV346" s="2264">
        <f>Model!DV18</f>
        <v>268</v>
      </c>
      <c r="DW346" s="1162">
        <f>SUM(DS346:DV346)</f>
        <v>1103.4000000000001</v>
      </c>
      <c r="DX346" s="981"/>
      <c r="DY346" s="2264">
        <f>Model!DY18</f>
        <v>263.60000000000002</v>
      </c>
      <c r="DZ346" s="2264">
        <f>Model!DZ18</f>
        <v>261.8</v>
      </c>
      <c r="EA346" s="2264">
        <f>Model!EA18</f>
        <v>244.4</v>
      </c>
      <c r="EB346" s="2264">
        <f>Model!EB18</f>
        <v>293.7</v>
      </c>
      <c r="EC346" s="1162">
        <f>SUM(DY346:EB346)</f>
        <v>1063.5</v>
      </c>
      <c r="ED346" s="141"/>
      <c r="EE346" s="2264">
        <f>$EI346*EE349</f>
        <v>198.47589387926962</v>
      </c>
      <c r="EF346" s="2264">
        <f t="shared" ref="EF346:EG346" si="280">$EI346*EF349</f>
        <v>184.29904431646463</v>
      </c>
      <c r="EG346" s="2264">
        <f t="shared" si="280"/>
        <v>170.12219475365964</v>
      </c>
      <c r="EH346" s="2264">
        <f>EI346-SUM(EE346:EG346)</f>
        <v>155.94534519085471</v>
      </c>
      <c r="EI346" s="1162">
        <f>'Biz Transition Scenarios'!M207</f>
        <v>708.84247814024855</v>
      </c>
      <c r="EJ346" s="141"/>
      <c r="EK346" s="2264">
        <f>$EO346*EK349</f>
        <v>111.46215261568223</v>
      </c>
      <c r="EL346" s="2264">
        <f t="shared" ref="EL346:EM346" si="281">$EO346*EL349</f>
        <v>78.023506830977567</v>
      </c>
      <c r="EM346" s="2264">
        <f t="shared" si="281"/>
        <v>54.337799400145087</v>
      </c>
      <c r="EN346" s="2264">
        <f>EO346-SUM(EK346:EM346)</f>
        <v>34.831922692400695</v>
      </c>
      <c r="EO346" s="1162">
        <f>'Biz Transition Scenarios'!N207</f>
        <v>278.65538153920556</v>
      </c>
      <c r="EP346" s="141"/>
      <c r="EQ346" s="2264">
        <f>$EU346*EQ349</f>
        <v>10.860592176957695</v>
      </c>
      <c r="ER346" s="2264">
        <f t="shared" ref="ER346:ES346" si="282">$EU346*ER349</f>
        <v>7.6024145238703866</v>
      </c>
      <c r="ES346" s="2264">
        <f t="shared" si="282"/>
        <v>5.2945386862668755</v>
      </c>
      <c r="ET346" s="2264">
        <f>EU346-SUM(EQ346:ES346)</f>
        <v>3.3939350552992771</v>
      </c>
      <c r="EU346" s="1162">
        <f>'Biz Transition Scenarios'!O207</f>
        <v>27.151480442394234</v>
      </c>
    </row>
    <row r="347" spans="1:151" s="2253" customFormat="1" ht="13.5" customHeight="1">
      <c r="A347" s="583" t="s">
        <v>345</v>
      </c>
      <c r="B347" s="147"/>
      <c r="C347" s="147"/>
      <c r="D347" s="147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263"/>
      <c r="AH347" s="263"/>
      <c r="AI347" s="263"/>
      <c r="AJ347" s="263"/>
      <c r="AK347" s="141"/>
      <c r="AL347" s="147"/>
      <c r="AM347" s="263"/>
      <c r="AN347" s="263"/>
      <c r="AO347" s="263"/>
      <c r="AP347" s="263"/>
      <c r="AQ347" s="141"/>
      <c r="AR347" s="147"/>
      <c r="AS347" s="263"/>
      <c r="AT347" s="263"/>
      <c r="AU347" s="263"/>
      <c r="AV347" s="263"/>
      <c r="AW347" s="141"/>
      <c r="AX347" s="147"/>
      <c r="AY347" s="263"/>
      <c r="AZ347" s="263"/>
      <c r="BA347" s="263"/>
      <c r="BB347" s="263"/>
      <c r="BC347" s="141"/>
      <c r="BD347" s="147"/>
      <c r="BE347" s="263"/>
      <c r="BF347" s="263"/>
      <c r="BG347" s="263"/>
      <c r="BH347" s="263"/>
      <c r="BI347" s="141"/>
      <c r="BJ347" s="147"/>
      <c r="BK347" s="263"/>
      <c r="BL347" s="263"/>
      <c r="BM347" s="263"/>
      <c r="BN347" s="263"/>
      <c r="BO347" s="1105"/>
      <c r="BP347" s="147"/>
      <c r="BQ347" s="263"/>
      <c r="BR347" s="263"/>
      <c r="BS347" s="263"/>
      <c r="BT347" s="263"/>
      <c r="BU347" s="1105"/>
      <c r="BV347" s="147"/>
      <c r="BW347" s="263"/>
      <c r="BX347" s="263"/>
      <c r="BY347" s="263"/>
      <c r="BZ347" s="263"/>
      <c r="CA347" s="1105"/>
      <c r="CB347" s="147"/>
      <c r="CC347" s="263"/>
      <c r="CD347" s="263"/>
      <c r="CE347" s="263"/>
      <c r="CF347" s="263"/>
      <c r="CG347" s="1105"/>
      <c r="CH347" s="147"/>
      <c r="CI347" s="263"/>
      <c r="CJ347" s="263"/>
      <c r="CK347" s="263"/>
      <c r="CL347" s="263"/>
      <c r="CM347" s="1105"/>
      <c r="CN347" s="147"/>
      <c r="CO347" s="263"/>
      <c r="CP347" s="263"/>
      <c r="CQ347" s="263"/>
      <c r="CR347" s="263"/>
      <c r="CS347" s="1105"/>
      <c r="CT347" s="141"/>
      <c r="CU347" s="263"/>
      <c r="CV347" s="263"/>
      <c r="CW347" s="263"/>
      <c r="CX347" s="263"/>
      <c r="CY347" s="1105"/>
      <c r="CZ347" s="141"/>
      <c r="DA347" s="263"/>
      <c r="DB347" s="263"/>
      <c r="DC347" s="263"/>
      <c r="DD347" s="263"/>
      <c r="DE347" s="1105"/>
      <c r="DF347" s="141"/>
      <c r="DG347" s="263"/>
      <c r="DH347" s="263"/>
      <c r="DI347" s="263"/>
      <c r="DJ347" s="263"/>
      <c r="DK347" s="1105"/>
      <c r="DL347" s="147"/>
      <c r="DM347" s="263"/>
      <c r="DN347" s="263"/>
      <c r="DO347" s="263"/>
      <c r="DP347" s="263"/>
      <c r="DQ347" s="1105"/>
      <c r="DR347" s="141"/>
      <c r="DS347" s="244" t="str">
        <f>IF(DM346&lt;&gt;"",DS346/DM346-1,"-")</f>
        <v>-</v>
      </c>
      <c r="DT347" s="244" t="str">
        <f>IF(DN346&lt;&gt;"",DT346/DN346-1,"-")</f>
        <v>-</v>
      </c>
      <c r="DU347" s="244" t="str">
        <f>IF(DO346&lt;&gt;"",DU346/DO346-1,"-")</f>
        <v>-</v>
      </c>
      <c r="DV347" s="244" t="str">
        <f>IF(DP346&lt;&gt;"",DV346/DP346-1,"-")</f>
        <v>-</v>
      </c>
      <c r="DW347" s="1104" t="str">
        <f>IF(DQ346&lt;&gt;"",DW346/DQ346-1,"-")</f>
        <v>-</v>
      </c>
      <c r="DX347" s="141"/>
      <c r="DY347" s="244">
        <f>IF(DS346&lt;&gt;"",DY346/DS346-1,"-")</f>
        <v>-7.3136427566807161E-2</v>
      </c>
      <c r="DZ347" s="244">
        <f>IF(DT346&lt;&gt;"",DZ346/DT346-1,"-")</f>
        <v>-5.8273381294963955E-2</v>
      </c>
      <c r="EA347" s="244">
        <f>IF(DU346&lt;&gt;"",EA346/DU346-1,"-")</f>
        <v>-0.10476190476190472</v>
      </c>
      <c r="EB347" s="244">
        <f>IF(DV346&lt;&gt;"",EB346/DV346-1,"-")</f>
        <v>9.5895522388059762E-2</v>
      </c>
      <c r="EC347" s="1104">
        <f>IF(DW346&lt;&gt;"",EC346/DW346-1,"-")</f>
        <v>-3.6160957041870612E-2</v>
      </c>
      <c r="ED347" s="141"/>
      <c r="EE347" s="244">
        <f>IF(DY346&lt;&gt;"",EE346/DY346-1,"-")</f>
        <v>-0.24705654825770262</v>
      </c>
      <c r="EF347" s="244">
        <f>IF(DZ346&lt;&gt;"",EF346/DZ346-1,"-")</f>
        <v>-0.29603115234352706</v>
      </c>
      <c r="EG347" s="244">
        <f>IF(EA346&lt;&gt;"",EG346/EA346-1,"-")</f>
        <v>-0.30391900673625349</v>
      </c>
      <c r="EH347" s="244">
        <f>IF(EB346&lt;&gt;"",EH346/EB346-1,"-")</f>
        <v>-0.469031851580338</v>
      </c>
      <c r="EI347" s="1104">
        <f>IF(EC346&lt;&gt;"",EI346/EC346-1,"-")</f>
        <v>-0.33348144979760364</v>
      </c>
      <c r="EJ347" s="141"/>
      <c r="EK347" s="244">
        <f>IF(EE346&lt;&gt;"",EK346/EE346-1,"-")</f>
        <v>-0.43840962024595664</v>
      </c>
      <c r="EL347" s="244">
        <f>IF(EF346&lt;&gt;"",EL346/EF346-1,"-")</f>
        <v>-0.57664725218541335</v>
      </c>
      <c r="EM347" s="244">
        <f>IF(EG346&lt;&gt;"",EM346/EG346-1,"-")</f>
        <v>-0.68059547151488786</v>
      </c>
      <c r="EN347" s="244">
        <f>IF(EH346&lt;&gt;"",EN346/EH346-1,"-")</f>
        <v>-0.77664018987055095</v>
      </c>
      <c r="EO347" s="1104">
        <f>IF(EI346&lt;&gt;"",EO346/EI346-1,"-")</f>
        <v>-0.60688673417216965</v>
      </c>
      <c r="EP347" s="141"/>
      <c r="EQ347" s="244">
        <f>IF(EK346&lt;&gt;"",EQ346/EK346-1,"-")</f>
        <v>-0.90256251182942204</v>
      </c>
      <c r="ER347" s="244">
        <f>IF(EL346&lt;&gt;"",ER346/EL346-1,"-")</f>
        <v>-0.90256251182942204</v>
      </c>
      <c r="ES347" s="244">
        <f>IF(EM346&lt;&gt;"",ES346/EM346-1,"-")</f>
        <v>-0.90256251182942204</v>
      </c>
      <c r="ET347" s="244">
        <f>IF(EN346&lt;&gt;"",ET346/EN346-1,"-")</f>
        <v>-0.90256251182942204</v>
      </c>
      <c r="EU347" s="1104">
        <f>IF(EO346&lt;&gt;"",EU346/EO346-1,"-")</f>
        <v>-0.90256251182942204</v>
      </c>
    </row>
    <row r="348" spans="1:151" s="2253" customFormat="1" ht="13.5" customHeight="1">
      <c r="A348" s="583" t="s">
        <v>344</v>
      </c>
      <c r="B348" s="147"/>
      <c r="C348" s="147"/>
      <c r="D348" s="147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263"/>
      <c r="AH348" s="263"/>
      <c r="AI348" s="263"/>
      <c r="AJ348" s="263"/>
      <c r="AK348" s="141"/>
      <c r="AL348" s="147"/>
      <c r="AM348" s="263"/>
      <c r="AN348" s="263"/>
      <c r="AO348" s="263"/>
      <c r="AP348" s="263"/>
      <c r="AQ348" s="141"/>
      <c r="AR348" s="147"/>
      <c r="AS348" s="263"/>
      <c r="AT348" s="263"/>
      <c r="AU348" s="263"/>
      <c r="AV348" s="263"/>
      <c r="AW348" s="141"/>
      <c r="AX348" s="147"/>
      <c r="AY348" s="263"/>
      <c r="AZ348" s="263"/>
      <c r="BA348" s="263"/>
      <c r="BB348" s="263"/>
      <c r="BC348" s="141"/>
      <c r="BD348" s="147"/>
      <c r="BE348" s="263"/>
      <c r="BF348" s="263"/>
      <c r="BG348" s="263"/>
      <c r="BH348" s="263"/>
      <c r="BI348" s="141"/>
      <c r="BJ348" s="147"/>
      <c r="BK348" s="263"/>
      <c r="BL348" s="263"/>
      <c r="BM348" s="263"/>
      <c r="BN348" s="263"/>
      <c r="BO348" s="1105"/>
      <c r="BP348" s="147"/>
      <c r="BQ348" s="263"/>
      <c r="BR348" s="263"/>
      <c r="BS348" s="263"/>
      <c r="BT348" s="263"/>
      <c r="BU348" s="1105"/>
      <c r="BV348" s="147"/>
      <c r="BW348" s="263"/>
      <c r="BX348" s="263"/>
      <c r="BY348" s="263"/>
      <c r="BZ348" s="263"/>
      <c r="CA348" s="1105"/>
      <c r="CB348" s="147"/>
      <c r="CC348" s="263"/>
      <c r="CD348" s="263"/>
      <c r="CE348" s="263"/>
      <c r="CF348" s="263"/>
      <c r="CG348" s="1105"/>
      <c r="CH348" s="147"/>
      <c r="CI348" s="263"/>
      <c r="CJ348" s="263"/>
      <c r="CK348" s="263"/>
      <c r="CL348" s="263"/>
      <c r="CM348" s="1105"/>
      <c r="CN348" s="147"/>
      <c r="CO348" s="263"/>
      <c r="CP348" s="263"/>
      <c r="CQ348" s="263"/>
      <c r="CR348" s="263"/>
      <c r="CS348" s="1105"/>
      <c r="CT348" s="141"/>
      <c r="CU348" s="263"/>
      <c r="CV348" s="263"/>
      <c r="CW348" s="263"/>
      <c r="CX348" s="263"/>
      <c r="CY348" s="1105"/>
      <c r="CZ348" s="141"/>
      <c r="DA348" s="263"/>
      <c r="DB348" s="263"/>
      <c r="DC348" s="263"/>
      <c r="DD348" s="263"/>
      <c r="DE348" s="1105"/>
      <c r="DF348" s="141"/>
      <c r="DG348" s="263"/>
      <c r="DH348" s="263"/>
      <c r="DI348" s="263"/>
      <c r="DJ348" s="263"/>
      <c r="DK348" s="1105"/>
      <c r="DL348" s="147"/>
      <c r="DM348" s="263"/>
      <c r="DN348" s="263"/>
      <c r="DO348" s="263"/>
      <c r="DP348" s="263"/>
      <c r="DQ348" s="1105"/>
      <c r="DR348" s="141"/>
      <c r="DS348" s="244" t="str">
        <f>IF(DP346&lt;&gt;"",DS346/DP346-1,"-")</f>
        <v>-</v>
      </c>
      <c r="DT348" s="244">
        <f>IF(DS346&lt;&gt;"",DT346/DS346-1,"-")</f>
        <v>-2.2503516174402161E-2</v>
      </c>
      <c r="DU348" s="244">
        <f>IF(DT346&lt;&gt;"",DU346/DT346-1,"-")</f>
        <v>-1.7985611510791366E-2</v>
      </c>
      <c r="DV348" s="244">
        <f>IF(DU346&lt;&gt;"",DV346/DU346-1,"-")</f>
        <v>-1.8315018315018361E-2</v>
      </c>
      <c r="DW348" s="1105"/>
      <c r="DX348" s="141"/>
      <c r="DY348" s="244">
        <f>IF(DV346&lt;&gt;"",DY346/DV346-1,"-")</f>
        <v>-1.6417910447761086E-2</v>
      </c>
      <c r="DZ348" s="244">
        <f>IF(DY346&lt;&gt;"",DZ346/DY346-1,"-")</f>
        <v>-6.8285280728376252E-3</v>
      </c>
      <c r="EA348" s="244">
        <f>IF(DZ346&lt;&gt;"",EA346/DZ346-1,"-")</f>
        <v>-6.6462948815889988E-2</v>
      </c>
      <c r="EB348" s="244">
        <f>IF(EA346&lt;&gt;"",EB346/EA346-1,"-")</f>
        <v>0.20171849427168564</v>
      </c>
      <c r="EC348" s="1105"/>
      <c r="ED348" s="141"/>
      <c r="EE348" s="244">
        <f>IF(EB346&lt;&gt;"",EE346/EB346-1,"-")</f>
        <v>-0.32422235655679388</v>
      </c>
      <c r="EF348" s="244">
        <f>IF(EE346&lt;&gt;"",EF346/EE346-1,"-")</f>
        <v>-7.1428571428571508E-2</v>
      </c>
      <c r="EG348" s="244">
        <f>IF(EF346&lt;&gt;"",EG346/EF346-1,"-")</f>
        <v>-7.6923076923076983E-2</v>
      </c>
      <c r="EH348" s="244">
        <f>IF(EG346&lt;&gt;"",EH346/EG346-1,"-")</f>
        <v>-8.3333333333333148E-2</v>
      </c>
      <c r="EI348" s="1105"/>
      <c r="EJ348" s="141"/>
      <c r="EK348" s="244">
        <f>IF(EH346&lt;&gt;"",EK346/EH346-1,"-")</f>
        <v>-0.28524860758576309</v>
      </c>
      <c r="EL348" s="244">
        <f>IF(EK346&lt;&gt;"",EL346/EK346-1,"-")</f>
        <v>-0.29999999999999993</v>
      </c>
      <c r="EM348" s="244">
        <f>IF(EL346&lt;&gt;"",EM346/EL346-1,"-")</f>
        <v>-0.3035714285714286</v>
      </c>
      <c r="EN348" s="244">
        <f>IF(EM346&lt;&gt;"",EN346/EM346-1,"-")</f>
        <v>-0.35897435897435903</v>
      </c>
      <c r="EO348" s="1105"/>
      <c r="EP348" s="141"/>
      <c r="EQ348" s="244">
        <f>IF(EN346&lt;&gt;"",EQ346/EN346-1,"-")</f>
        <v>-0.6882000378541504</v>
      </c>
      <c r="ER348" s="244">
        <f>IF(EQ346&lt;&gt;"",ER346/EQ346-1,"-")</f>
        <v>-0.30000000000000004</v>
      </c>
      <c r="ES348" s="244">
        <f>IF(ER346&lt;&gt;"",ES346/ER346-1,"-")</f>
        <v>-0.30357142857142871</v>
      </c>
      <c r="ET348" s="244">
        <f>IF(ES346&lt;&gt;"",ET346/ES346-1,"-")</f>
        <v>-0.35897435897435936</v>
      </c>
      <c r="EU348" s="1105"/>
    </row>
    <row r="349" spans="1:151" s="2253" customFormat="1" ht="13.5" customHeight="1">
      <c r="A349" s="1780" t="s">
        <v>7220</v>
      </c>
      <c r="B349" s="147"/>
      <c r="C349" s="147"/>
      <c r="D349" s="147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263"/>
      <c r="AH349" s="263"/>
      <c r="AI349" s="263"/>
      <c r="AJ349" s="263"/>
      <c r="AK349" s="141"/>
      <c r="AL349" s="147"/>
      <c r="AM349" s="263"/>
      <c r="AN349" s="263"/>
      <c r="AO349" s="263"/>
      <c r="AP349" s="263"/>
      <c r="AQ349" s="141"/>
      <c r="AR349" s="147"/>
      <c r="AS349" s="263"/>
      <c r="AT349" s="263"/>
      <c r="AU349" s="263"/>
      <c r="AV349" s="263"/>
      <c r="AW349" s="141"/>
      <c r="AX349" s="147"/>
      <c r="AY349" s="263"/>
      <c r="AZ349" s="263"/>
      <c r="BA349" s="263"/>
      <c r="BB349" s="263"/>
      <c r="BC349" s="141"/>
      <c r="BD349" s="147"/>
      <c r="BE349" s="263"/>
      <c r="BF349" s="263"/>
      <c r="BG349" s="263"/>
      <c r="BH349" s="263"/>
      <c r="BI349" s="141"/>
      <c r="BJ349" s="147"/>
      <c r="BK349" s="263"/>
      <c r="BL349" s="263"/>
      <c r="BM349" s="263"/>
      <c r="BN349" s="263"/>
      <c r="BO349" s="1105"/>
      <c r="BP349" s="147"/>
      <c r="BQ349" s="263"/>
      <c r="BR349" s="263"/>
      <c r="BS349" s="263"/>
      <c r="BT349" s="263"/>
      <c r="BU349" s="1105"/>
      <c r="BV349" s="147"/>
      <c r="BW349" s="263"/>
      <c r="BX349" s="263"/>
      <c r="BY349" s="263"/>
      <c r="BZ349" s="263"/>
      <c r="CA349" s="1105"/>
      <c r="CB349" s="147"/>
      <c r="CC349" s="263"/>
      <c r="CD349" s="263"/>
      <c r="CE349" s="263"/>
      <c r="CF349" s="263"/>
      <c r="CG349" s="1105"/>
      <c r="CH349" s="147"/>
      <c r="CI349" s="263"/>
      <c r="CJ349" s="263"/>
      <c r="CK349" s="263"/>
      <c r="CL349" s="263"/>
      <c r="CM349" s="1105"/>
      <c r="CN349" s="147"/>
      <c r="CO349" s="263"/>
      <c r="CP349" s="263"/>
      <c r="CQ349" s="263"/>
      <c r="CR349" s="263"/>
      <c r="CS349" s="1105"/>
      <c r="CT349" s="141"/>
      <c r="CU349" s="263"/>
      <c r="CV349" s="263"/>
      <c r="CW349" s="263"/>
      <c r="CX349" s="263"/>
      <c r="CY349" s="1105"/>
      <c r="CZ349" s="141"/>
      <c r="DA349" s="263"/>
      <c r="DB349" s="263"/>
      <c r="DC349" s="263"/>
      <c r="DD349" s="263"/>
      <c r="DE349" s="1105"/>
      <c r="DF349" s="141"/>
      <c r="DG349" s="263"/>
      <c r="DH349" s="263"/>
      <c r="DI349" s="263"/>
      <c r="DJ349" s="263"/>
      <c r="DK349" s="1105"/>
      <c r="DL349" s="147"/>
      <c r="DM349" s="263"/>
      <c r="DN349" s="263"/>
      <c r="DO349" s="263"/>
      <c r="DP349" s="263"/>
      <c r="DQ349" s="1105"/>
      <c r="DR349" s="141"/>
      <c r="DS349" s="2265">
        <f>DS346/$DW$346</f>
        <v>0.25774877650897221</v>
      </c>
      <c r="DT349" s="2265">
        <f t="shared" ref="DT349:DV349" si="283">DT346/$DW$346</f>
        <v>0.25194852274787022</v>
      </c>
      <c r="DU349" s="2265">
        <f t="shared" si="283"/>
        <v>0.24741707449700923</v>
      </c>
      <c r="DV349" s="2265">
        <f t="shared" si="283"/>
        <v>0.24288562624614826</v>
      </c>
      <c r="DW349" s="1105"/>
      <c r="DX349" s="141"/>
      <c r="DY349" s="2265">
        <f>DY346/$EC$346</f>
        <v>0.24786083685942645</v>
      </c>
      <c r="DZ349" s="2265">
        <f>DZ346/$EC$346</f>
        <v>0.24616831217677482</v>
      </c>
      <c r="EA349" s="2265">
        <f>EA346/$EC$346</f>
        <v>0.2298072402444758</v>
      </c>
      <c r="EB349" s="2265">
        <f>EB346/$EC$346</f>
        <v>0.27616361071932299</v>
      </c>
      <c r="EC349" s="2268"/>
      <c r="ED349" s="2269"/>
      <c r="EE349" s="2267">
        <v>0.28000000000000003</v>
      </c>
      <c r="EF349" s="2267">
        <v>0.26</v>
      </c>
      <c r="EG349" s="2267">
        <v>0.24</v>
      </c>
      <c r="EH349" s="2255">
        <f>EH346/$EI$346</f>
        <v>0.22000000000000003</v>
      </c>
      <c r="EI349" s="2268"/>
      <c r="EJ349" s="2269"/>
      <c r="EK349" s="2267">
        <v>0.4</v>
      </c>
      <c r="EL349" s="2267">
        <v>0.28000000000000003</v>
      </c>
      <c r="EM349" s="2267">
        <v>0.19500000000000001</v>
      </c>
      <c r="EN349" s="2255">
        <f>EN346/$EO$346</f>
        <v>0.125</v>
      </c>
      <c r="EO349" s="1105"/>
      <c r="EP349" s="2269"/>
      <c r="EQ349" s="2267">
        <v>0.4</v>
      </c>
      <c r="ER349" s="2267">
        <v>0.28000000000000003</v>
      </c>
      <c r="ES349" s="2267">
        <v>0.19500000000000001</v>
      </c>
      <c r="ET349" s="2255">
        <f>ET346/$EO$346</f>
        <v>1.2179686021322239E-2</v>
      </c>
      <c r="EU349" s="1105"/>
    </row>
    <row r="350" spans="1:151" s="2253" customFormat="1" ht="6" customHeight="1">
      <c r="A350" s="1780"/>
      <c r="B350" s="147"/>
      <c r="C350" s="147"/>
      <c r="D350" s="147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263"/>
      <c r="AH350" s="263"/>
      <c r="AI350" s="263"/>
      <c r="AJ350" s="263"/>
      <c r="AK350" s="141"/>
      <c r="AL350" s="147"/>
      <c r="AM350" s="263"/>
      <c r="AN350" s="263"/>
      <c r="AO350" s="263"/>
      <c r="AP350" s="263"/>
      <c r="AQ350" s="141"/>
      <c r="AR350" s="147"/>
      <c r="AS350" s="263"/>
      <c r="AT350" s="263"/>
      <c r="AU350" s="263"/>
      <c r="AV350" s="263"/>
      <c r="AW350" s="141"/>
      <c r="AX350" s="147"/>
      <c r="AY350" s="263"/>
      <c r="AZ350" s="263"/>
      <c r="BA350" s="263"/>
      <c r="BB350" s="263"/>
      <c r="BC350" s="141"/>
      <c r="BD350" s="147"/>
      <c r="BE350" s="263"/>
      <c r="BF350" s="263"/>
      <c r="BG350" s="263"/>
      <c r="BH350" s="263"/>
      <c r="BI350" s="141"/>
      <c r="BJ350" s="147"/>
      <c r="BK350" s="263"/>
      <c r="BL350" s="263"/>
      <c r="BM350" s="263"/>
      <c r="BN350" s="263"/>
      <c r="BO350" s="1105"/>
      <c r="BP350" s="147"/>
      <c r="BQ350" s="263"/>
      <c r="BR350" s="263"/>
      <c r="BS350" s="263"/>
      <c r="BT350" s="263"/>
      <c r="BU350" s="1105"/>
      <c r="BV350" s="147"/>
      <c r="BW350" s="263"/>
      <c r="BX350" s="263"/>
      <c r="BY350" s="263"/>
      <c r="BZ350" s="263"/>
      <c r="CA350" s="1105"/>
      <c r="CB350" s="147"/>
      <c r="CC350" s="263"/>
      <c r="CD350" s="263"/>
      <c r="CE350" s="263"/>
      <c r="CF350" s="263"/>
      <c r="CG350" s="1105"/>
      <c r="CH350" s="147"/>
      <c r="CI350" s="263"/>
      <c r="CJ350" s="263"/>
      <c r="CK350" s="263"/>
      <c r="CL350" s="263"/>
      <c r="CM350" s="1105"/>
      <c r="CN350" s="147"/>
      <c r="CO350" s="263"/>
      <c r="CP350" s="263"/>
      <c r="CQ350" s="263"/>
      <c r="CR350" s="263"/>
      <c r="CS350" s="1105"/>
      <c r="CT350" s="141"/>
      <c r="CU350" s="263"/>
      <c r="CV350" s="263"/>
      <c r="CW350" s="263"/>
      <c r="CX350" s="263"/>
      <c r="CY350" s="1105"/>
      <c r="CZ350" s="141"/>
      <c r="DA350" s="263"/>
      <c r="DB350" s="263"/>
      <c r="DC350" s="263"/>
      <c r="DD350" s="263"/>
      <c r="DE350" s="1105"/>
      <c r="DF350" s="141"/>
      <c r="DG350" s="263"/>
      <c r="DH350" s="263"/>
      <c r="DI350" s="263"/>
      <c r="DJ350" s="263"/>
      <c r="DK350" s="1105"/>
      <c r="DL350" s="147"/>
      <c r="DM350" s="263"/>
      <c r="DN350" s="263"/>
      <c r="DO350" s="263"/>
      <c r="DP350" s="263"/>
      <c r="DQ350" s="1105"/>
      <c r="DR350" s="141"/>
      <c r="DS350" s="244"/>
      <c r="DT350" s="244"/>
      <c r="DU350" s="244"/>
      <c r="DV350" s="244"/>
      <c r="DW350" s="1105"/>
      <c r="DX350" s="141"/>
      <c r="DY350" s="244"/>
      <c r="DZ350" s="244"/>
      <c r="EA350" s="244"/>
      <c r="EB350" s="244"/>
      <c r="EC350" s="1105"/>
      <c r="ED350" s="141"/>
      <c r="EE350" s="263"/>
      <c r="EF350" s="263"/>
      <c r="EG350" s="263"/>
      <c r="EH350" s="263"/>
      <c r="EI350" s="1105"/>
      <c r="EJ350" s="141"/>
      <c r="EK350" s="263"/>
      <c r="EL350" s="263"/>
      <c r="EM350" s="263"/>
      <c r="EN350" s="263"/>
      <c r="EO350" s="1105"/>
      <c r="EP350" s="141"/>
      <c r="EQ350" s="263"/>
      <c r="ER350" s="263"/>
      <c r="ES350" s="263"/>
      <c r="ET350" s="263"/>
      <c r="EU350" s="1105"/>
    </row>
    <row r="351" spans="1:151" s="2253" customFormat="1" ht="13.5" customHeight="1">
      <c r="A351" s="2239" t="s">
        <v>2386</v>
      </c>
      <c r="B351" s="147"/>
      <c r="C351" s="147"/>
      <c r="D351" s="147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263"/>
      <c r="AH351" s="263"/>
      <c r="AI351" s="263"/>
      <c r="AJ351" s="263"/>
      <c r="AK351" s="141"/>
      <c r="AL351" s="147"/>
      <c r="AM351" s="263"/>
      <c r="AN351" s="263"/>
      <c r="AO351" s="263"/>
      <c r="AP351" s="263"/>
      <c r="AQ351" s="141"/>
      <c r="AR351" s="147"/>
      <c r="AS351" s="263"/>
      <c r="AT351" s="263"/>
      <c r="AU351" s="263"/>
      <c r="AV351" s="263"/>
      <c r="AW351" s="141"/>
      <c r="AX351" s="147"/>
      <c r="AY351" s="263"/>
      <c r="AZ351" s="263"/>
      <c r="BA351" s="263"/>
      <c r="BB351" s="263"/>
      <c r="BC351" s="141"/>
      <c r="BD351" s="147"/>
      <c r="BE351" s="263"/>
      <c r="BF351" s="263"/>
      <c r="BG351" s="263"/>
      <c r="BH351" s="263"/>
      <c r="BI351" s="141"/>
      <c r="BJ351" s="147"/>
      <c r="BK351" s="263"/>
      <c r="BL351" s="263"/>
      <c r="BM351" s="263"/>
      <c r="BN351" s="263"/>
      <c r="BO351" s="1105"/>
      <c r="BP351" s="147"/>
      <c r="BQ351" s="263"/>
      <c r="BR351" s="263"/>
      <c r="BS351" s="263"/>
      <c r="BT351" s="263"/>
      <c r="BU351" s="1105"/>
      <c r="BV351" s="147"/>
      <c r="BW351" s="263"/>
      <c r="BX351" s="263"/>
      <c r="BY351" s="263"/>
      <c r="BZ351" s="263"/>
      <c r="CA351" s="1105"/>
      <c r="CB351" s="147"/>
      <c r="CC351" s="263"/>
      <c r="CD351" s="263"/>
      <c r="CE351" s="263"/>
      <c r="CF351" s="263"/>
      <c r="CG351" s="1105"/>
      <c r="CH351" s="147"/>
      <c r="CI351" s="263"/>
      <c r="CJ351" s="263"/>
      <c r="CK351" s="263"/>
      <c r="CL351" s="263"/>
      <c r="CM351" s="1105"/>
      <c r="CN351" s="147"/>
      <c r="CO351" s="263"/>
      <c r="CP351" s="263"/>
      <c r="CQ351" s="263"/>
      <c r="CR351" s="263"/>
      <c r="CS351" s="1105"/>
      <c r="CT351" s="141"/>
      <c r="CU351" s="263"/>
      <c r="CV351" s="263"/>
      <c r="CW351" s="263"/>
      <c r="CX351" s="263"/>
      <c r="CY351" s="1105"/>
      <c r="CZ351" s="141"/>
      <c r="DA351" s="263"/>
      <c r="DB351" s="263"/>
      <c r="DC351" s="263"/>
      <c r="DD351" s="263"/>
      <c r="DE351" s="1105"/>
      <c r="DF351" s="141"/>
      <c r="DG351" s="263"/>
      <c r="DH351" s="263"/>
      <c r="DI351" s="263"/>
      <c r="DJ351" s="263"/>
      <c r="DK351" s="1105"/>
      <c r="DL351" s="147"/>
      <c r="DM351" s="263"/>
      <c r="DN351" s="263"/>
      <c r="DO351" s="263"/>
      <c r="DP351" s="263"/>
      <c r="DQ351" s="1105"/>
      <c r="DR351" s="141"/>
      <c r="DS351" s="2264">
        <f>Model!DS21</f>
        <v>85.5</v>
      </c>
      <c r="DT351" s="2264">
        <f>Model!DT21</f>
        <v>102</v>
      </c>
      <c r="DU351" s="2264">
        <f>Model!DU21</f>
        <v>112</v>
      </c>
      <c r="DV351" s="2264">
        <f>Model!DV21</f>
        <v>143</v>
      </c>
      <c r="DW351" s="1162">
        <f>SUM(DS351:DV351)</f>
        <v>442.5</v>
      </c>
      <c r="DX351" s="981"/>
      <c r="DY351" s="2264">
        <f>Model!DY21</f>
        <v>173.4</v>
      </c>
      <c r="DZ351" s="2264">
        <f>Model!DZ21</f>
        <v>196.1</v>
      </c>
      <c r="EA351" s="2264">
        <f>Model!EA21</f>
        <v>231.1</v>
      </c>
      <c r="EB351" s="2264">
        <f>Model!EB21</f>
        <v>219.8</v>
      </c>
      <c r="EC351" s="1162">
        <f>SUM(DY351:EB351)</f>
        <v>820.40000000000009</v>
      </c>
      <c r="ED351" s="141"/>
      <c r="EE351" s="2264">
        <f>$EI351*EE354</f>
        <v>325.96510020531127</v>
      </c>
      <c r="EF351" s="2264">
        <f t="shared" ref="EF351:EG351" si="284">$EI351*EF354</f>
        <v>374.85986523610791</v>
      </c>
      <c r="EG351" s="2264">
        <f t="shared" si="284"/>
        <v>423.7546302669046</v>
      </c>
      <c r="EH351" s="2264">
        <f>EI351-SUM(EE351:EG351)</f>
        <v>505.24590531823242</v>
      </c>
      <c r="EI351" s="1162">
        <f>'Biz Transition Scenarios'!M218+'Biz Transition Scenarios'!M222+'Biz Transition Scenarios'!M228+'Biz Transition Scenarios'!M233</f>
        <v>1629.8255010265561</v>
      </c>
      <c r="EJ351" s="141"/>
      <c r="EK351" s="2264">
        <f>$EO351*EK354</f>
        <v>519.53769376362004</v>
      </c>
      <c r="EL351" s="2264">
        <f t="shared" ref="EL351:EM351" si="285">$EO351*EL354</f>
        <v>597.46834782816313</v>
      </c>
      <c r="EM351" s="2264">
        <f t="shared" si="285"/>
        <v>675.39900189270611</v>
      </c>
      <c r="EN351" s="2264">
        <f>EO351-SUM(EK351:EM351)</f>
        <v>805.28342533361092</v>
      </c>
      <c r="EO351" s="1162">
        <f>'Biz Transition Scenarios'!N218+'Biz Transition Scenarios'!N222+'Biz Transition Scenarios'!N228+'Biz Transition Scenarios'!N233</f>
        <v>2597.6884688181003</v>
      </c>
      <c r="EP351" s="141"/>
      <c r="EQ351" s="2264">
        <f>$EU351*EQ354</f>
        <v>690.96806603295863</v>
      </c>
      <c r="ER351" s="2264">
        <f t="shared" ref="ER351:ES351" si="286">$EU351*ER354</f>
        <v>794.61327593790236</v>
      </c>
      <c r="ES351" s="2264">
        <f t="shared" si="286"/>
        <v>898.25848584284608</v>
      </c>
      <c r="ET351" s="2264">
        <f>EU351-SUM(EQ351:ES351)</f>
        <v>1071.0005023510853</v>
      </c>
      <c r="EU351" s="1162">
        <f>'Biz Transition Scenarios'!O218+'Biz Transition Scenarios'!O222+'Biz Transition Scenarios'!O228+'Biz Transition Scenarios'!O233</f>
        <v>3454.8403301647927</v>
      </c>
    </row>
    <row r="352" spans="1:151" s="2253" customFormat="1" ht="13.5" customHeight="1">
      <c r="A352" s="583" t="s">
        <v>345</v>
      </c>
      <c r="B352" s="147"/>
      <c r="C352" s="147"/>
      <c r="D352" s="147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263"/>
      <c r="AH352" s="263"/>
      <c r="AI352" s="263"/>
      <c r="AJ352" s="263"/>
      <c r="AK352" s="141"/>
      <c r="AL352" s="147"/>
      <c r="AM352" s="263"/>
      <c r="AN352" s="263"/>
      <c r="AO352" s="263"/>
      <c r="AP352" s="263"/>
      <c r="AQ352" s="141"/>
      <c r="AR352" s="147"/>
      <c r="AS352" s="263"/>
      <c r="AT352" s="263"/>
      <c r="AU352" s="263"/>
      <c r="AV352" s="263"/>
      <c r="AW352" s="141"/>
      <c r="AX352" s="147"/>
      <c r="AY352" s="263"/>
      <c r="AZ352" s="263"/>
      <c r="BA352" s="263"/>
      <c r="BB352" s="263"/>
      <c r="BC352" s="141"/>
      <c r="BD352" s="147"/>
      <c r="BE352" s="263"/>
      <c r="BF352" s="263"/>
      <c r="BG352" s="263"/>
      <c r="BH352" s="263"/>
      <c r="BI352" s="141"/>
      <c r="BJ352" s="147"/>
      <c r="BK352" s="263"/>
      <c r="BL352" s="263"/>
      <c r="BM352" s="263"/>
      <c r="BN352" s="263"/>
      <c r="BO352" s="1105"/>
      <c r="BP352" s="147"/>
      <c r="BQ352" s="263"/>
      <c r="BR352" s="263"/>
      <c r="BS352" s="263"/>
      <c r="BT352" s="263"/>
      <c r="BU352" s="1105"/>
      <c r="BV352" s="147"/>
      <c r="BW352" s="263"/>
      <c r="BX352" s="263"/>
      <c r="BY352" s="263"/>
      <c r="BZ352" s="263"/>
      <c r="CA352" s="1105"/>
      <c r="CB352" s="147"/>
      <c r="CC352" s="263"/>
      <c r="CD352" s="263"/>
      <c r="CE352" s="263"/>
      <c r="CF352" s="263"/>
      <c r="CG352" s="1105"/>
      <c r="CH352" s="147"/>
      <c r="CI352" s="263"/>
      <c r="CJ352" s="263"/>
      <c r="CK352" s="263"/>
      <c r="CL352" s="263"/>
      <c r="CM352" s="1105"/>
      <c r="CN352" s="147"/>
      <c r="CO352" s="263"/>
      <c r="CP352" s="263"/>
      <c r="CQ352" s="263"/>
      <c r="CR352" s="263"/>
      <c r="CS352" s="1105"/>
      <c r="CT352" s="141"/>
      <c r="CU352" s="263"/>
      <c r="CV352" s="263"/>
      <c r="CW352" s="263"/>
      <c r="CX352" s="263"/>
      <c r="CY352" s="1105"/>
      <c r="CZ352" s="141"/>
      <c r="DA352" s="263"/>
      <c r="DB352" s="263"/>
      <c r="DC352" s="263"/>
      <c r="DD352" s="263"/>
      <c r="DE352" s="1105"/>
      <c r="DF352" s="141"/>
      <c r="DG352" s="263"/>
      <c r="DH352" s="263"/>
      <c r="DI352" s="263"/>
      <c r="DJ352" s="263"/>
      <c r="DK352" s="1105"/>
      <c r="DL352" s="147"/>
      <c r="DM352" s="263"/>
      <c r="DN352" s="263"/>
      <c r="DO352" s="263"/>
      <c r="DP352" s="263"/>
      <c r="DQ352" s="1105"/>
      <c r="DR352" s="141"/>
      <c r="DS352" s="244" t="str">
        <f>IF(DM351&lt;&gt;"",DS351/DM351-1,"-")</f>
        <v>-</v>
      </c>
      <c r="DT352" s="244" t="str">
        <f>IF(DN351&lt;&gt;"",DT351/DN351-1,"-")</f>
        <v>-</v>
      </c>
      <c r="DU352" s="244" t="str">
        <f>IF(DO351&lt;&gt;"",DU351/DO351-1,"-")</f>
        <v>-</v>
      </c>
      <c r="DV352" s="244" t="str">
        <f>IF(DP351&lt;&gt;"",DV351/DP351-1,"-")</f>
        <v>-</v>
      </c>
      <c r="DW352" s="1104" t="str">
        <f>IF(DQ351&lt;&gt;"",DW351/DQ351-1,"-")</f>
        <v>-</v>
      </c>
      <c r="DX352" s="141"/>
      <c r="DY352" s="244">
        <f>IF(DS351&lt;&gt;"",DY351/DS351-1,"-")</f>
        <v>1.0280701754385966</v>
      </c>
      <c r="DZ352" s="244">
        <f>IF(DT351&lt;&gt;"",DZ351/DT351-1,"-")</f>
        <v>0.92254901960784319</v>
      </c>
      <c r="EA352" s="244">
        <f>IF(DU351&lt;&gt;"",EA351/DU351-1,"-")</f>
        <v>1.063392857142857</v>
      </c>
      <c r="EB352" s="244">
        <f>IF(DV351&lt;&gt;"",EB351/DV351-1,"-")</f>
        <v>0.53706293706293717</v>
      </c>
      <c r="EC352" s="1104">
        <f>IF(DW351&lt;&gt;"",EC351/DW351-1,"-")</f>
        <v>0.8540112994350284</v>
      </c>
      <c r="ED352" s="141"/>
      <c r="EE352" s="244">
        <f>IF(DY351&lt;&gt;"",EE351/DY351-1,"-")</f>
        <v>0.87984486854274091</v>
      </c>
      <c r="EF352" s="244">
        <f>IF(DZ351&lt;&gt;"",EF351/DZ351-1,"-")</f>
        <v>0.911575039449811</v>
      </c>
      <c r="EG352" s="244">
        <f>IF(EA351&lt;&gt;"",EG351/EA351-1,"-")</f>
        <v>0.83364184451278489</v>
      </c>
      <c r="EH352" s="244">
        <f>IF(EB351&lt;&gt;"",EH351/EB351-1,"-")</f>
        <v>1.2986619896188918</v>
      </c>
      <c r="EI352" s="1104">
        <f>IF(EC351&lt;&gt;"",EI351/EC351-1,"-")</f>
        <v>0.98662299003724518</v>
      </c>
      <c r="EJ352" s="141"/>
      <c r="EK352" s="244">
        <f>IF(EE351&lt;&gt;"",EK351/EE351-1,"-")</f>
        <v>0.59384453561557904</v>
      </c>
      <c r="EL352" s="244">
        <f>IF(EF351&lt;&gt;"",EL351/EF351-1,"-")</f>
        <v>0.59384453561557948</v>
      </c>
      <c r="EM352" s="244">
        <f>IF(EG351&lt;&gt;"",EM351/EG351-1,"-")</f>
        <v>0.59384453561557948</v>
      </c>
      <c r="EN352" s="244">
        <f>IF(EH351&lt;&gt;"",EN351/EH351-1,"-")</f>
        <v>0.59384453561557904</v>
      </c>
      <c r="EO352" s="1104">
        <f>IF(EI351&lt;&gt;"",EO351/EI351-1,"-")</f>
        <v>0.59384453561557926</v>
      </c>
      <c r="EP352" s="141"/>
      <c r="EQ352" s="244">
        <f>IF(EK351&lt;&gt;"",EQ351/EK351-1,"-")</f>
        <v>0.32996715027059453</v>
      </c>
      <c r="ER352" s="244">
        <f>IF(EL351&lt;&gt;"",ER351/EL351-1,"-")</f>
        <v>0.32996715027059431</v>
      </c>
      <c r="ES352" s="244">
        <f>IF(EM351&lt;&gt;"",ES351/EM351-1,"-")</f>
        <v>0.32996715027059431</v>
      </c>
      <c r="ET352" s="244">
        <f>IF(EN351&lt;&gt;"",ET351/EN351-1,"-")</f>
        <v>0.32996715027059409</v>
      </c>
      <c r="EU352" s="1104">
        <f>IF(EO351&lt;&gt;"",EU351/EO351-1,"-")</f>
        <v>0.32996715027059431</v>
      </c>
    </row>
    <row r="353" spans="1:151" s="2253" customFormat="1" ht="13.5" customHeight="1">
      <c r="A353" s="583" t="s">
        <v>344</v>
      </c>
      <c r="B353" s="147"/>
      <c r="C353" s="147"/>
      <c r="D353" s="147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263"/>
      <c r="AH353" s="263"/>
      <c r="AI353" s="263"/>
      <c r="AJ353" s="263"/>
      <c r="AK353" s="141"/>
      <c r="AL353" s="147"/>
      <c r="AM353" s="263"/>
      <c r="AN353" s="263"/>
      <c r="AO353" s="263"/>
      <c r="AP353" s="263"/>
      <c r="AQ353" s="141"/>
      <c r="AR353" s="147"/>
      <c r="AS353" s="263"/>
      <c r="AT353" s="263"/>
      <c r="AU353" s="263"/>
      <c r="AV353" s="263"/>
      <c r="AW353" s="141"/>
      <c r="AX353" s="147"/>
      <c r="AY353" s="263"/>
      <c r="AZ353" s="263"/>
      <c r="BA353" s="263"/>
      <c r="BB353" s="263"/>
      <c r="BC353" s="141"/>
      <c r="BD353" s="147"/>
      <c r="BE353" s="263"/>
      <c r="BF353" s="263"/>
      <c r="BG353" s="263"/>
      <c r="BH353" s="263"/>
      <c r="BI353" s="141"/>
      <c r="BJ353" s="147"/>
      <c r="BK353" s="263"/>
      <c r="BL353" s="263"/>
      <c r="BM353" s="263"/>
      <c r="BN353" s="263"/>
      <c r="BO353" s="1105"/>
      <c r="BP353" s="147"/>
      <c r="BQ353" s="263"/>
      <c r="BR353" s="263"/>
      <c r="BS353" s="263"/>
      <c r="BT353" s="263"/>
      <c r="BU353" s="1105"/>
      <c r="BV353" s="147"/>
      <c r="BW353" s="263"/>
      <c r="BX353" s="263"/>
      <c r="BY353" s="263"/>
      <c r="BZ353" s="263"/>
      <c r="CA353" s="1105"/>
      <c r="CB353" s="147"/>
      <c r="CC353" s="263"/>
      <c r="CD353" s="263"/>
      <c r="CE353" s="263"/>
      <c r="CF353" s="263"/>
      <c r="CG353" s="1105"/>
      <c r="CH353" s="147"/>
      <c r="CI353" s="263"/>
      <c r="CJ353" s="263"/>
      <c r="CK353" s="263"/>
      <c r="CL353" s="263"/>
      <c r="CM353" s="1105"/>
      <c r="CN353" s="147"/>
      <c r="CO353" s="263"/>
      <c r="CP353" s="263"/>
      <c r="CQ353" s="263"/>
      <c r="CR353" s="263"/>
      <c r="CS353" s="1105"/>
      <c r="CT353" s="141"/>
      <c r="CU353" s="263"/>
      <c r="CV353" s="263"/>
      <c r="CW353" s="263"/>
      <c r="CX353" s="263"/>
      <c r="CY353" s="1105"/>
      <c r="CZ353" s="141"/>
      <c r="DA353" s="263"/>
      <c r="DB353" s="263"/>
      <c r="DC353" s="263"/>
      <c r="DD353" s="263"/>
      <c r="DE353" s="1105"/>
      <c r="DF353" s="141"/>
      <c r="DG353" s="263"/>
      <c r="DH353" s="263"/>
      <c r="DI353" s="263"/>
      <c r="DJ353" s="263"/>
      <c r="DK353" s="1105"/>
      <c r="DL353" s="147"/>
      <c r="DM353" s="263"/>
      <c r="DN353" s="263"/>
      <c r="DO353" s="263"/>
      <c r="DP353" s="263"/>
      <c r="DQ353" s="1105"/>
      <c r="DR353" s="141"/>
      <c r="DS353" s="244" t="str">
        <f>IF(DP351&lt;&gt;"",DS351/DP351-1,"-")</f>
        <v>-</v>
      </c>
      <c r="DT353" s="244">
        <f>IF(DS351&lt;&gt;"",DT351/DS351-1,"-")</f>
        <v>0.19298245614035081</v>
      </c>
      <c r="DU353" s="244">
        <f>IF(DT351&lt;&gt;"",DU351/DT351-1,"-")</f>
        <v>9.8039215686274606E-2</v>
      </c>
      <c r="DV353" s="244">
        <f>IF(DU351&lt;&gt;"",DV351/DU351-1,"-")</f>
        <v>0.27678571428571419</v>
      </c>
      <c r="DW353" s="1105"/>
      <c r="DX353" s="141"/>
      <c r="DY353" s="244">
        <f>IF(DV351&lt;&gt;"",DY351/DV351-1,"-")</f>
        <v>0.21258741258741254</v>
      </c>
      <c r="DZ353" s="244">
        <f>IF(DY351&lt;&gt;"",DZ351/DY351-1,"-")</f>
        <v>0.13091118800461343</v>
      </c>
      <c r="EA353" s="244">
        <f>IF(DZ351&lt;&gt;"",EA351/DZ351-1,"-")</f>
        <v>0.17848036715961246</v>
      </c>
      <c r="EB353" s="244">
        <f>IF(EA351&lt;&gt;"",EB351/EA351-1,"-")</f>
        <v>-4.8896581566421404E-2</v>
      </c>
      <c r="EC353" s="1105"/>
      <c r="ED353" s="141"/>
      <c r="EE353" s="244">
        <f>IF(EB351&lt;&gt;"",EE351/EB351-1,"-")</f>
        <v>0.4830077352379949</v>
      </c>
      <c r="EF353" s="244">
        <f>IF(EE351&lt;&gt;"",EF351/EE351-1,"-")</f>
        <v>0.14999999999999991</v>
      </c>
      <c r="EG353" s="244">
        <f>IF(EF351&lt;&gt;"",EG351/EF351-1,"-")</f>
        <v>0.13043478260869557</v>
      </c>
      <c r="EH353" s="244">
        <f>IF(EG351&lt;&gt;"",EH351/EG351-1,"-")</f>
        <v>0.19230769230769229</v>
      </c>
      <c r="EI353" s="1105"/>
      <c r="EJ353" s="141"/>
      <c r="EK353" s="244">
        <f>IF(EH351&lt;&gt;"",EK351/EH351-1,"-")</f>
        <v>2.8286797171341416E-2</v>
      </c>
      <c r="EL353" s="244">
        <f>IF(EK351&lt;&gt;"",EL351/EK351-1,"-")</f>
        <v>0.15000000000000013</v>
      </c>
      <c r="EM353" s="244">
        <f>IF(EL351&lt;&gt;"",EM351/EL351-1,"-")</f>
        <v>0.13043478260869557</v>
      </c>
      <c r="EN353" s="244">
        <f>IF(EM351&lt;&gt;"",EN351/EM351-1,"-")</f>
        <v>0.19230769230769207</v>
      </c>
      <c r="EO353" s="1105"/>
      <c r="EP353" s="141"/>
      <c r="EQ353" s="244">
        <f>IF(EN351&lt;&gt;"",EQ351/EN351-1,"-")</f>
        <v>-0.14195667724477745</v>
      </c>
      <c r="ER353" s="244">
        <f>IF(EQ351&lt;&gt;"",ER351/EQ351-1,"-")</f>
        <v>0.14999999999999991</v>
      </c>
      <c r="ES353" s="244">
        <f>IF(ER351&lt;&gt;"",ES351/ER351-1,"-")</f>
        <v>0.13043478260869557</v>
      </c>
      <c r="ET353" s="244">
        <f>IF(ES351&lt;&gt;"",ET351/ES351-1,"-")</f>
        <v>0.19230769230769185</v>
      </c>
      <c r="EU353" s="1105"/>
    </row>
    <row r="354" spans="1:151" s="2253" customFormat="1" ht="13.5" customHeight="1">
      <c r="A354" s="1780" t="s">
        <v>7220</v>
      </c>
      <c r="B354" s="147"/>
      <c r="C354" s="147"/>
      <c r="D354" s="147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263"/>
      <c r="AH354" s="263"/>
      <c r="AI354" s="263"/>
      <c r="AJ354" s="263"/>
      <c r="AK354" s="141"/>
      <c r="AL354" s="147"/>
      <c r="AM354" s="263"/>
      <c r="AN354" s="263"/>
      <c r="AO354" s="263"/>
      <c r="AP354" s="263"/>
      <c r="AQ354" s="141"/>
      <c r="AR354" s="147"/>
      <c r="AS354" s="263"/>
      <c r="AT354" s="263"/>
      <c r="AU354" s="263"/>
      <c r="AV354" s="263"/>
      <c r="AW354" s="141"/>
      <c r="AX354" s="147"/>
      <c r="AY354" s="263"/>
      <c r="AZ354" s="263"/>
      <c r="BA354" s="263"/>
      <c r="BB354" s="263"/>
      <c r="BC354" s="141"/>
      <c r="BD354" s="147"/>
      <c r="BE354" s="263"/>
      <c r="BF354" s="263"/>
      <c r="BG354" s="263"/>
      <c r="BH354" s="263"/>
      <c r="BI354" s="141"/>
      <c r="BJ354" s="147"/>
      <c r="BK354" s="263"/>
      <c r="BL354" s="263"/>
      <c r="BM354" s="263"/>
      <c r="BN354" s="263"/>
      <c r="BO354" s="1105"/>
      <c r="BP354" s="147"/>
      <c r="BQ354" s="263"/>
      <c r="BR354" s="263"/>
      <c r="BS354" s="263"/>
      <c r="BT354" s="263"/>
      <c r="BU354" s="1105"/>
      <c r="BV354" s="147"/>
      <c r="BW354" s="263"/>
      <c r="BX354" s="263"/>
      <c r="BY354" s="263"/>
      <c r="BZ354" s="263"/>
      <c r="CA354" s="1105"/>
      <c r="CB354" s="147"/>
      <c r="CC354" s="263"/>
      <c r="CD354" s="263"/>
      <c r="CE354" s="263"/>
      <c r="CF354" s="263"/>
      <c r="CG354" s="1105"/>
      <c r="CH354" s="147"/>
      <c r="CI354" s="263"/>
      <c r="CJ354" s="263"/>
      <c r="CK354" s="263"/>
      <c r="CL354" s="263"/>
      <c r="CM354" s="1105"/>
      <c r="CN354" s="147"/>
      <c r="CO354" s="263"/>
      <c r="CP354" s="263"/>
      <c r="CQ354" s="263"/>
      <c r="CR354" s="263"/>
      <c r="CS354" s="1105"/>
      <c r="CT354" s="141"/>
      <c r="CU354" s="263"/>
      <c r="CV354" s="263"/>
      <c r="CW354" s="263"/>
      <c r="CX354" s="263"/>
      <c r="CY354" s="1105"/>
      <c r="CZ354" s="141"/>
      <c r="DA354" s="263"/>
      <c r="DB354" s="263"/>
      <c r="DC354" s="263"/>
      <c r="DD354" s="263"/>
      <c r="DE354" s="1105"/>
      <c r="DF354" s="141"/>
      <c r="DG354" s="263"/>
      <c r="DH354" s="263"/>
      <c r="DI354" s="263"/>
      <c r="DJ354" s="263"/>
      <c r="DK354" s="1105"/>
      <c r="DL354" s="147"/>
      <c r="DM354" s="263"/>
      <c r="DN354" s="263"/>
      <c r="DO354" s="263"/>
      <c r="DP354" s="263"/>
      <c r="DQ354" s="1105"/>
      <c r="DR354" s="141"/>
      <c r="DS354" s="2265">
        <f>DS351/$DW$351</f>
        <v>0.19322033898305085</v>
      </c>
      <c r="DT354" s="2265">
        <f t="shared" ref="DT354:DV354" si="287">DT351/$DW$351</f>
        <v>0.23050847457627119</v>
      </c>
      <c r="DU354" s="2265">
        <f t="shared" si="287"/>
        <v>0.25310734463276835</v>
      </c>
      <c r="DV354" s="2265">
        <f t="shared" si="287"/>
        <v>0.32316384180790958</v>
      </c>
      <c r="DW354" s="1105"/>
      <c r="DX354" s="141"/>
      <c r="DY354" s="2265">
        <f>DY351/$EC$351</f>
        <v>0.2113603120429059</v>
      </c>
      <c r="DZ354" s="2265">
        <f>DZ351/$EC$351</f>
        <v>0.23902974158946852</v>
      </c>
      <c r="EA354" s="2265">
        <f>EA351/$EC$351</f>
        <v>0.28169185763042415</v>
      </c>
      <c r="EB354" s="2265">
        <f>EB351/$EC$351</f>
        <v>0.26791808873720135</v>
      </c>
      <c r="EC354" s="2268"/>
      <c r="ED354" s="2269"/>
      <c r="EE354" s="2267">
        <v>0.2</v>
      </c>
      <c r="EF354" s="2267">
        <v>0.23</v>
      </c>
      <c r="EG354" s="2267">
        <v>0.26</v>
      </c>
      <c r="EH354" s="2267">
        <f t="shared" ref="EH354" si="288">EH351/$EI$351</f>
        <v>0.31</v>
      </c>
      <c r="EI354" s="2268"/>
      <c r="EJ354" s="2269"/>
      <c r="EK354" s="2267">
        <f>EE354</f>
        <v>0.2</v>
      </c>
      <c r="EL354" s="2267">
        <f t="shared" ref="EL354:EM354" si="289">EF354</f>
        <v>0.23</v>
      </c>
      <c r="EM354" s="2267">
        <f t="shared" si="289"/>
        <v>0.26</v>
      </c>
      <c r="EN354" s="2267">
        <f>EN351/$EO$351</f>
        <v>0.30999999999999994</v>
      </c>
      <c r="EO354" s="1105"/>
      <c r="EP354" s="2269"/>
      <c r="EQ354" s="2267">
        <f>EK354</f>
        <v>0.2</v>
      </c>
      <c r="ER354" s="2267">
        <f t="shared" ref="ER354" si="290">EL354</f>
        <v>0.23</v>
      </c>
      <c r="ES354" s="2267">
        <f t="shared" ref="ES354" si="291">EM354</f>
        <v>0.26</v>
      </c>
      <c r="ET354" s="2267">
        <f>ET351/$EO$351</f>
        <v>0.41228981658388408</v>
      </c>
      <c r="EU354" s="1105"/>
    </row>
    <row r="355" spans="1:151" s="2253" customFormat="1" ht="6" customHeight="1">
      <c r="A355" s="1780"/>
      <c r="B355" s="147"/>
      <c r="C355" s="147"/>
      <c r="D355" s="147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263"/>
      <c r="AH355" s="263"/>
      <c r="AI355" s="263"/>
      <c r="AJ355" s="263"/>
      <c r="AK355" s="141"/>
      <c r="AL355" s="147"/>
      <c r="AM355" s="263"/>
      <c r="AN355" s="263"/>
      <c r="AO355" s="263"/>
      <c r="AP355" s="263"/>
      <c r="AQ355" s="141"/>
      <c r="AR355" s="147"/>
      <c r="AS355" s="263"/>
      <c r="AT355" s="263"/>
      <c r="AU355" s="263"/>
      <c r="AV355" s="263"/>
      <c r="AW355" s="141"/>
      <c r="AX355" s="147"/>
      <c r="AY355" s="263"/>
      <c r="AZ355" s="263"/>
      <c r="BA355" s="263"/>
      <c r="BB355" s="263"/>
      <c r="BC355" s="141"/>
      <c r="BD355" s="147"/>
      <c r="BE355" s="263"/>
      <c r="BF355" s="263"/>
      <c r="BG355" s="263"/>
      <c r="BH355" s="263"/>
      <c r="BI355" s="141"/>
      <c r="BJ355" s="147"/>
      <c r="BK355" s="263"/>
      <c r="BL355" s="263"/>
      <c r="BM355" s="263"/>
      <c r="BN355" s="263"/>
      <c r="BO355" s="1105"/>
      <c r="BP355" s="147"/>
      <c r="BQ355" s="263"/>
      <c r="BR355" s="263"/>
      <c r="BS355" s="263"/>
      <c r="BT355" s="263"/>
      <c r="BU355" s="1105"/>
      <c r="BV355" s="147"/>
      <c r="BW355" s="263"/>
      <c r="BX355" s="263"/>
      <c r="BY355" s="263"/>
      <c r="BZ355" s="263"/>
      <c r="CA355" s="1105"/>
      <c r="CB355" s="147"/>
      <c r="CC355" s="263"/>
      <c r="CD355" s="263"/>
      <c r="CE355" s="263"/>
      <c r="CF355" s="263"/>
      <c r="CG355" s="1105"/>
      <c r="CH355" s="147"/>
      <c r="CI355" s="263"/>
      <c r="CJ355" s="263"/>
      <c r="CK355" s="263"/>
      <c r="CL355" s="263"/>
      <c r="CM355" s="1105"/>
      <c r="CN355" s="147"/>
      <c r="CO355" s="263"/>
      <c r="CP355" s="263"/>
      <c r="CQ355" s="263"/>
      <c r="CR355" s="263"/>
      <c r="CS355" s="1105"/>
      <c r="CT355" s="141"/>
      <c r="CU355" s="263"/>
      <c r="CV355" s="263"/>
      <c r="CW355" s="263"/>
      <c r="CX355" s="263"/>
      <c r="CY355" s="1105"/>
      <c r="CZ355" s="141"/>
      <c r="DA355" s="263"/>
      <c r="DB355" s="263"/>
      <c r="DC355" s="263"/>
      <c r="DD355" s="263"/>
      <c r="DE355" s="1105"/>
      <c r="DF355" s="141"/>
      <c r="DG355" s="263"/>
      <c r="DH355" s="263"/>
      <c r="DI355" s="263"/>
      <c r="DJ355" s="263"/>
      <c r="DK355" s="1105"/>
      <c r="DL355" s="147"/>
      <c r="DM355" s="263"/>
      <c r="DN355" s="263"/>
      <c r="DO355" s="263"/>
      <c r="DP355" s="263"/>
      <c r="DQ355" s="1105"/>
      <c r="DR355" s="141"/>
      <c r="DS355" s="244"/>
      <c r="DT355" s="244"/>
      <c r="DU355" s="244"/>
      <c r="DV355" s="244"/>
      <c r="DW355" s="1105"/>
      <c r="DX355" s="141"/>
      <c r="DY355" s="244"/>
      <c r="DZ355" s="244"/>
      <c r="EA355" s="244"/>
      <c r="EB355" s="244"/>
      <c r="EC355" s="1105"/>
      <c r="ED355" s="141"/>
      <c r="EE355" s="263"/>
      <c r="EF355" s="263"/>
      <c r="EG355" s="263"/>
      <c r="EH355" s="263"/>
      <c r="EI355" s="1105"/>
      <c r="EJ355" s="141"/>
      <c r="EK355" s="263"/>
      <c r="EL355" s="263"/>
      <c r="EM355" s="263"/>
      <c r="EN355" s="263"/>
      <c r="EO355" s="1105"/>
      <c r="EP355" s="141"/>
      <c r="EQ355" s="263"/>
      <c r="ER355" s="263"/>
      <c r="ES355" s="263"/>
      <c r="ET355" s="263"/>
      <c r="EU355" s="1105"/>
    </row>
    <row r="356" spans="1:151" s="2253" customFormat="1" ht="13.5" customHeight="1">
      <c r="A356" s="194" t="s">
        <v>7225</v>
      </c>
      <c r="B356" s="147"/>
      <c r="C356" s="147"/>
      <c r="D356" s="147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263"/>
      <c r="AH356" s="263"/>
      <c r="AI356" s="263"/>
      <c r="AJ356" s="263"/>
      <c r="AK356" s="141"/>
      <c r="AL356" s="147"/>
      <c r="AM356" s="263"/>
      <c r="AN356" s="263"/>
      <c r="AO356" s="263"/>
      <c r="AP356" s="263"/>
      <c r="AQ356" s="141"/>
      <c r="AR356" s="147"/>
      <c r="AS356" s="263"/>
      <c r="AT356" s="263"/>
      <c r="AU356" s="263"/>
      <c r="AV356" s="263"/>
      <c r="AW356" s="141"/>
      <c r="AX356" s="147"/>
      <c r="AY356" s="263"/>
      <c r="AZ356" s="263"/>
      <c r="BA356" s="263"/>
      <c r="BB356" s="263"/>
      <c r="BC356" s="141"/>
      <c r="BD356" s="147"/>
      <c r="BE356" s="263"/>
      <c r="BF356" s="263"/>
      <c r="BG356" s="263"/>
      <c r="BH356" s="263"/>
      <c r="BI356" s="141"/>
      <c r="BJ356" s="147"/>
      <c r="BK356" s="263"/>
      <c r="BL356" s="263"/>
      <c r="BM356" s="263"/>
      <c r="BN356" s="263"/>
      <c r="BO356" s="1105"/>
      <c r="BP356" s="147"/>
      <c r="BQ356" s="263"/>
      <c r="BR356" s="263"/>
      <c r="BS356" s="263"/>
      <c r="BT356" s="263"/>
      <c r="BU356" s="1105"/>
      <c r="BV356" s="147"/>
      <c r="BW356" s="263"/>
      <c r="BX356" s="263"/>
      <c r="BY356" s="263"/>
      <c r="BZ356" s="263"/>
      <c r="CA356" s="1105"/>
      <c r="CB356" s="147"/>
      <c r="CC356" s="263"/>
      <c r="CD356" s="263"/>
      <c r="CE356" s="263"/>
      <c r="CF356" s="263"/>
      <c r="CG356" s="1105"/>
      <c r="CH356" s="147"/>
      <c r="CI356" s="263"/>
      <c r="CJ356" s="263"/>
      <c r="CK356" s="263"/>
      <c r="CL356" s="263"/>
      <c r="CM356" s="1105"/>
      <c r="CN356" s="147"/>
      <c r="CO356" s="263"/>
      <c r="CP356" s="263"/>
      <c r="CQ356" s="263"/>
      <c r="CR356" s="263"/>
      <c r="CS356" s="1105"/>
      <c r="CT356" s="141"/>
      <c r="CU356" s="263"/>
      <c r="CV356" s="263"/>
      <c r="CW356" s="263"/>
      <c r="CX356" s="263"/>
      <c r="CY356" s="1105"/>
      <c r="CZ356" s="141"/>
      <c r="DA356" s="263"/>
      <c r="DB356" s="263"/>
      <c r="DC356" s="263"/>
      <c r="DD356" s="263"/>
      <c r="DE356" s="1105"/>
      <c r="DF356" s="141"/>
      <c r="DG356" s="263"/>
      <c r="DH356" s="263"/>
      <c r="DI356" s="263"/>
      <c r="DJ356" s="263"/>
      <c r="DK356" s="1105"/>
      <c r="DL356" s="147"/>
      <c r="DM356" s="263"/>
      <c r="DN356" s="263"/>
      <c r="DO356" s="263"/>
      <c r="DP356" s="263"/>
      <c r="DQ356" s="1105"/>
      <c r="DR356" s="141"/>
      <c r="DS356" s="2264">
        <f>SUM(DS346,DS351)</f>
        <v>369.9</v>
      </c>
      <c r="DT356" s="2264">
        <f t="shared" ref="DT356:DV356" si="292">SUM(DT346,DT351)</f>
        <v>380</v>
      </c>
      <c r="DU356" s="2264">
        <f t="shared" si="292"/>
        <v>385</v>
      </c>
      <c r="DV356" s="2264">
        <f t="shared" si="292"/>
        <v>411</v>
      </c>
      <c r="DW356" s="1162">
        <f>SUM(DS356:DV356)</f>
        <v>1545.9</v>
      </c>
      <c r="DX356" s="981"/>
      <c r="DY356" s="2264">
        <f>SUM(DY346,DY351)</f>
        <v>437</v>
      </c>
      <c r="DZ356" s="2264">
        <f>SUM(DZ346,DZ351)</f>
        <v>457.9</v>
      </c>
      <c r="EA356" s="2264">
        <f>SUM(EA346,EA351)</f>
        <v>475.5</v>
      </c>
      <c r="EB356" s="2264">
        <f t="shared" ref="EB356" si="293">SUM(EB346,EB351)</f>
        <v>513.5</v>
      </c>
      <c r="EC356" s="1162">
        <f>SUM(EC346,EC351)</f>
        <v>1883.9</v>
      </c>
      <c r="ED356" s="141"/>
      <c r="EE356" s="2264">
        <f>SUM(EE346,EE351)</f>
        <v>524.44099408458089</v>
      </c>
      <c r="EF356" s="2264">
        <f t="shared" ref="EF356:EH356" si="294">SUM(EF346,EF351)</f>
        <v>559.1589095525726</v>
      </c>
      <c r="EG356" s="2264">
        <f t="shared" si="294"/>
        <v>593.87682502056418</v>
      </c>
      <c r="EH356" s="2264">
        <f t="shared" si="294"/>
        <v>661.19125050908713</v>
      </c>
      <c r="EI356" s="1162">
        <f>SUM(EI346,EI351)</f>
        <v>2338.6679791668048</v>
      </c>
      <c r="EJ356" s="141"/>
      <c r="EK356" s="2264">
        <f>SUM(EK346,EK351)</f>
        <v>630.99984637930231</v>
      </c>
      <c r="EL356" s="2264">
        <f t="shared" ref="EL356:EN356" si="295">SUM(EL346,EL351)</f>
        <v>675.4918546591407</v>
      </c>
      <c r="EM356" s="2264">
        <f t="shared" si="295"/>
        <v>729.73680129285117</v>
      </c>
      <c r="EN356" s="2264">
        <f t="shared" si="295"/>
        <v>840.11534802601159</v>
      </c>
      <c r="EO356" s="1162">
        <f>SUM(EO346,EO351)</f>
        <v>2876.3438503573061</v>
      </c>
      <c r="EP356" s="141"/>
      <c r="EQ356" s="2264">
        <f>SUM(EQ346,EQ351)</f>
        <v>701.82865820991628</v>
      </c>
      <c r="ER356" s="2264">
        <f t="shared" ref="ER356:ET356" si="296">SUM(ER346,ER351)</f>
        <v>802.21569046177274</v>
      </c>
      <c r="ES356" s="2264">
        <f t="shared" si="296"/>
        <v>903.55302452911292</v>
      </c>
      <c r="ET356" s="2264">
        <f t="shared" si="296"/>
        <v>1074.3944374063847</v>
      </c>
      <c r="EU356" s="1162">
        <f>SUM(EU346,EU351)</f>
        <v>3481.9918106071868</v>
      </c>
    </row>
    <row r="357" spans="1:151" s="2253" customFormat="1" ht="13.5" customHeight="1">
      <c r="A357" s="583" t="s">
        <v>345</v>
      </c>
      <c r="B357" s="147"/>
      <c r="C357" s="147"/>
      <c r="D357" s="147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263"/>
      <c r="AH357" s="263"/>
      <c r="AI357" s="263"/>
      <c r="AJ357" s="263"/>
      <c r="AK357" s="141"/>
      <c r="AL357" s="147"/>
      <c r="AM357" s="263"/>
      <c r="AN357" s="263"/>
      <c r="AO357" s="263"/>
      <c r="AP357" s="263"/>
      <c r="AQ357" s="141"/>
      <c r="AR357" s="147"/>
      <c r="AS357" s="263"/>
      <c r="AT357" s="263"/>
      <c r="AU357" s="263"/>
      <c r="AV357" s="263"/>
      <c r="AW357" s="141"/>
      <c r="AX357" s="147"/>
      <c r="AY357" s="263"/>
      <c r="AZ357" s="263"/>
      <c r="BA357" s="263"/>
      <c r="BB357" s="263"/>
      <c r="BC357" s="141"/>
      <c r="BD357" s="147"/>
      <c r="BE357" s="263"/>
      <c r="BF357" s="263"/>
      <c r="BG357" s="263"/>
      <c r="BH357" s="263"/>
      <c r="BI357" s="141"/>
      <c r="BJ357" s="147"/>
      <c r="BK357" s="263"/>
      <c r="BL357" s="263"/>
      <c r="BM357" s="263"/>
      <c r="BN357" s="263"/>
      <c r="BO357" s="1105"/>
      <c r="BP357" s="147"/>
      <c r="BQ357" s="263"/>
      <c r="BR357" s="263"/>
      <c r="BS357" s="263"/>
      <c r="BT357" s="263"/>
      <c r="BU357" s="1105"/>
      <c r="BV357" s="147"/>
      <c r="BW357" s="263"/>
      <c r="BX357" s="263"/>
      <c r="BY357" s="263"/>
      <c r="BZ357" s="263"/>
      <c r="CA357" s="1105"/>
      <c r="CB357" s="147"/>
      <c r="CC357" s="263"/>
      <c r="CD357" s="263"/>
      <c r="CE357" s="263"/>
      <c r="CF357" s="263"/>
      <c r="CG357" s="1105"/>
      <c r="CH357" s="147"/>
      <c r="CI357" s="263"/>
      <c r="CJ357" s="263"/>
      <c r="CK357" s="263"/>
      <c r="CL357" s="263"/>
      <c r="CM357" s="1105"/>
      <c r="CN357" s="147"/>
      <c r="CO357" s="263"/>
      <c r="CP357" s="263"/>
      <c r="CQ357" s="263"/>
      <c r="CR357" s="263"/>
      <c r="CS357" s="1105"/>
      <c r="CT357" s="141"/>
      <c r="CU357" s="263"/>
      <c r="CV357" s="263"/>
      <c r="CW357" s="263"/>
      <c r="CX357" s="263"/>
      <c r="CY357" s="1105"/>
      <c r="CZ357" s="141"/>
      <c r="DA357" s="263"/>
      <c r="DB357" s="263"/>
      <c r="DC357" s="263"/>
      <c r="DD357" s="263"/>
      <c r="DE357" s="1105"/>
      <c r="DF357" s="141"/>
      <c r="DG357" s="263"/>
      <c r="DH357" s="263"/>
      <c r="DI357" s="263"/>
      <c r="DJ357" s="263"/>
      <c r="DK357" s="1105"/>
      <c r="DL357" s="147"/>
      <c r="DM357" s="263"/>
      <c r="DN357" s="263"/>
      <c r="DO357" s="263"/>
      <c r="DP357" s="263"/>
      <c r="DQ357" s="1105"/>
      <c r="DR357" s="141"/>
      <c r="DS357" s="244" t="str">
        <f>IF(DM356&lt;&gt;"",DS356/DM356-1,"-")</f>
        <v>-</v>
      </c>
      <c r="DT357" s="244" t="str">
        <f>IF(DN356&lt;&gt;"",DT356/DN356-1,"-")</f>
        <v>-</v>
      </c>
      <c r="DU357" s="244" t="str">
        <f>IF(DO356&lt;&gt;"",DU356/DO356-1,"-")</f>
        <v>-</v>
      </c>
      <c r="DV357" s="244" t="str">
        <f>IF(DP356&lt;&gt;"",DV356/DP356-1,"-")</f>
        <v>-</v>
      </c>
      <c r="DW357" s="1104" t="str">
        <f>IF(DQ356&lt;&gt;"",DW356/DQ356-1,"-")</f>
        <v>-</v>
      </c>
      <c r="DX357" s="141"/>
      <c r="DY357" s="244">
        <f>IF(DS356&lt;&gt;"",DY356/DS356-1,"-")</f>
        <v>0.18140037848067059</v>
      </c>
      <c r="DZ357" s="244">
        <f>IF(DT356&lt;&gt;"",DZ356/DT356-1,"-")</f>
        <v>0.20499999999999985</v>
      </c>
      <c r="EA357" s="244">
        <f>IF(DU356&lt;&gt;"",EA356/DU356-1,"-")</f>
        <v>0.23506493506493498</v>
      </c>
      <c r="EB357" s="244">
        <f>IF(DV356&lt;&gt;"",EB356/DV356-1,"-")</f>
        <v>0.24939172749391725</v>
      </c>
      <c r="EC357" s="1104">
        <f>IF(DW356&lt;&gt;"",EC356/DW356-1,"-")</f>
        <v>0.218642861763374</v>
      </c>
      <c r="ED357" s="141"/>
      <c r="EE357" s="244">
        <f>IF(DY356&lt;&gt;"",EE356/DY356-1,"-")</f>
        <v>0.20009380797386922</v>
      </c>
      <c r="EF357" s="244">
        <f>IF(DZ356&lt;&gt;"",EF356/DZ356-1,"-")</f>
        <v>0.22113760548716455</v>
      </c>
      <c r="EG357" s="244">
        <f>IF(EA356&lt;&gt;"",EG356/EA356-1,"-")</f>
        <v>0.24895231339761126</v>
      </c>
      <c r="EH357" s="244">
        <f>IF(EB356&lt;&gt;"",EH356/EB356-1,"-")</f>
        <v>0.28761684617154271</v>
      </c>
      <c r="EI357" s="1104">
        <f>IF(EC356&lt;&gt;"",EI356/EC356-1,"-")</f>
        <v>0.24139709069844728</v>
      </c>
      <c r="EJ357" s="141"/>
      <c r="EK357" s="244">
        <f>IF(EE356&lt;&gt;"",EK356/EE356-1,"-")</f>
        <v>0.20318558903031869</v>
      </c>
      <c r="EL357" s="244">
        <f>IF(EF356&lt;&gt;"",EL356/EF356-1,"-")</f>
        <v>0.20804988191935503</v>
      </c>
      <c r="EM357" s="244">
        <f>IF(EG356&lt;&gt;"",EM356/EG356-1,"-")</f>
        <v>0.22876793730346789</v>
      </c>
      <c r="EN357" s="244">
        <f>IF(EH356&lt;&gt;"",EN356/EH356-1,"-")</f>
        <v>0.27060868905806168</v>
      </c>
      <c r="EO357" s="1104">
        <f>IF(EI356&lt;&gt;"",EO356/EI356-1,"-")</f>
        <v>0.22990688544940818</v>
      </c>
      <c r="EP357" s="141"/>
      <c r="EQ357" s="244">
        <f>IF(EK356&lt;&gt;"",EQ356/EK356-1,"-")</f>
        <v>0.11224854052981481</v>
      </c>
      <c r="ER357" s="244">
        <f>IF(EL356&lt;&gt;"",ER356/EL356-1,"-")</f>
        <v>0.18760231515534409</v>
      </c>
      <c r="ES357" s="244">
        <f>IF(EM356&lt;&gt;"",ES356/EM356-1,"-")</f>
        <v>0.23819029399136404</v>
      </c>
      <c r="ET357" s="244">
        <f>IF(EN356&lt;&gt;"",ET356/EN356-1,"-")</f>
        <v>0.27886538429615659</v>
      </c>
      <c r="EU357" s="1104">
        <f>IF(EO356&lt;&gt;"",EU356/EO356-1,"-")</f>
        <v>0.21056173801148481</v>
      </c>
    </row>
    <row r="358" spans="1:151" s="2253" customFormat="1" ht="13.5" customHeight="1">
      <c r="A358" s="583" t="s">
        <v>344</v>
      </c>
      <c r="B358" s="147"/>
      <c r="C358" s="147"/>
      <c r="D358" s="147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263"/>
      <c r="AH358" s="263"/>
      <c r="AI358" s="263"/>
      <c r="AJ358" s="263"/>
      <c r="AK358" s="141"/>
      <c r="AL358" s="147"/>
      <c r="AM358" s="263"/>
      <c r="AN358" s="263"/>
      <c r="AO358" s="263"/>
      <c r="AP358" s="263"/>
      <c r="AQ358" s="141"/>
      <c r="AR358" s="147"/>
      <c r="AS358" s="263"/>
      <c r="AT358" s="263"/>
      <c r="AU358" s="263"/>
      <c r="AV358" s="263"/>
      <c r="AW358" s="141"/>
      <c r="AX358" s="147"/>
      <c r="AY358" s="263"/>
      <c r="AZ358" s="263"/>
      <c r="BA358" s="263"/>
      <c r="BB358" s="263"/>
      <c r="BC358" s="141"/>
      <c r="BD358" s="147"/>
      <c r="BE358" s="263"/>
      <c r="BF358" s="263"/>
      <c r="BG358" s="263"/>
      <c r="BH358" s="263"/>
      <c r="BI358" s="141"/>
      <c r="BJ358" s="147"/>
      <c r="BK358" s="263"/>
      <c r="BL358" s="263"/>
      <c r="BM358" s="263"/>
      <c r="BN358" s="263"/>
      <c r="BO358" s="1105"/>
      <c r="BP358" s="147"/>
      <c r="BQ358" s="263"/>
      <c r="BR358" s="263"/>
      <c r="BS358" s="263"/>
      <c r="BT358" s="263"/>
      <c r="BU358" s="1105"/>
      <c r="BV358" s="147"/>
      <c r="BW358" s="263"/>
      <c r="BX358" s="263"/>
      <c r="BY358" s="263"/>
      <c r="BZ358" s="263"/>
      <c r="CA358" s="1105"/>
      <c r="CB358" s="147"/>
      <c r="CC358" s="263"/>
      <c r="CD358" s="263"/>
      <c r="CE358" s="263"/>
      <c r="CF358" s="263"/>
      <c r="CG358" s="1105"/>
      <c r="CH358" s="147"/>
      <c r="CI358" s="263"/>
      <c r="CJ358" s="263"/>
      <c r="CK358" s="263"/>
      <c r="CL358" s="263"/>
      <c r="CM358" s="1105"/>
      <c r="CN358" s="147"/>
      <c r="CO358" s="263"/>
      <c r="CP358" s="263"/>
      <c r="CQ358" s="263"/>
      <c r="CR358" s="263"/>
      <c r="CS358" s="1105"/>
      <c r="CT358" s="141"/>
      <c r="CU358" s="263"/>
      <c r="CV358" s="263"/>
      <c r="CW358" s="263"/>
      <c r="CX358" s="263"/>
      <c r="CY358" s="1105"/>
      <c r="CZ358" s="141"/>
      <c r="DA358" s="263"/>
      <c r="DB358" s="263"/>
      <c r="DC358" s="263"/>
      <c r="DD358" s="263"/>
      <c r="DE358" s="1105"/>
      <c r="DF358" s="141"/>
      <c r="DG358" s="263"/>
      <c r="DH358" s="263"/>
      <c r="DI358" s="263"/>
      <c r="DJ358" s="263"/>
      <c r="DK358" s="1105"/>
      <c r="DL358" s="147"/>
      <c r="DM358" s="263"/>
      <c r="DN358" s="263"/>
      <c r="DO358" s="263"/>
      <c r="DP358" s="263"/>
      <c r="DQ358" s="1105"/>
      <c r="DR358" s="141"/>
      <c r="DS358" s="244" t="str">
        <f>IF(DP356&lt;&gt;"",DS356/DP356-1,"-")</f>
        <v>-</v>
      </c>
      <c r="DT358" s="244">
        <f>IF(DS356&lt;&gt;"",DT356/DS356-1,"-")</f>
        <v>2.730467693971339E-2</v>
      </c>
      <c r="DU358" s="244">
        <f>IF(DT356&lt;&gt;"",DU356/DT356-1,"-")</f>
        <v>1.3157894736842035E-2</v>
      </c>
      <c r="DV358" s="244">
        <f>IF(DU356&lt;&gt;"",DV356/DU356-1,"-")</f>
        <v>6.7532467532467555E-2</v>
      </c>
      <c r="DW358" s="1105"/>
      <c r="DX358" s="141"/>
      <c r="DY358" s="244">
        <f>IF(DV356&lt;&gt;"",DY356/DV356-1,"-")</f>
        <v>6.3260340632603329E-2</v>
      </c>
      <c r="DZ358" s="244">
        <f>IF(DY356&lt;&gt;"",DZ356/DY356-1,"-")</f>
        <v>4.7826086956521685E-2</v>
      </c>
      <c r="EA358" s="244">
        <f>IF(DZ356&lt;&gt;"",EA356/DZ356-1,"-")</f>
        <v>3.8436339812186082E-2</v>
      </c>
      <c r="EB358" s="244">
        <f>IF(EA356&lt;&gt;"",EB356/EA356-1,"-")</f>
        <v>7.9915878023133491E-2</v>
      </c>
      <c r="EC358" s="1105"/>
      <c r="ED358" s="141"/>
      <c r="EE358" s="244">
        <f>IF(EB356&lt;&gt;"",EE356/EB356-1,"-")</f>
        <v>2.1306707078054377E-2</v>
      </c>
      <c r="EF358" s="244">
        <f>IF(EE356&lt;&gt;"",EF356/EE356-1,"-")</f>
        <v>6.6199850621121437E-2</v>
      </c>
      <c r="EG358" s="244">
        <f>IF(EF356&lt;&gt;"",EG356/EF356-1,"-")</f>
        <v>6.2089532823097038E-2</v>
      </c>
      <c r="EH358" s="244">
        <f>IF(EG356&lt;&gt;"",EH356/EG356-1,"-")</f>
        <v>0.11334745296079207</v>
      </c>
      <c r="EI358" s="1105"/>
      <c r="EJ358" s="141"/>
      <c r="EK358" s="244">
        <f>IF(EH356&lt;&gt;"",EK356/EH356-1,"-")</f>
        <v>-4.5662134982183744E-2</v>
      </c>
      <c r="EL358" s="244">
        <f>IF(EK356&lt;&gt;"",EL356/EK356-1,"-")</f>
        <v>7.0510331397281689E-2</v>
      </c>
      <c r="EM358" s="244">
        <f>IF(EL356&lt;&gt;"",EM356/EL356-1,"-")</f>
        <v>8.0304368231180145E-2</v>
      </c>
      <c r="EN358" s="244">
        <f>IF(EM356&lt;&gt;"",EN356/EM356-1,"-")</f>
        <v>0.15125802417749301</v>
      </c>
      <c r="EO358" s="1105"/>
      <c r="EP358" s="141"/>
      <c r="EQ358" s="244">
        <f>IF(EN356&lt;&gt;"",EQ356/EN356-1,"-")</f>
        <v>-0.16460440836014067</v>
      </c>
      <c r="ER358" s="244">
        <f>IF(EQ356&lt;&gt;"",ER356/EQ356-1,"-")</f>
        <v>0.14303638228154369</v>
      </c>
      <c r="ES358" s="244">
        <f>IF(ER356&lt;&gt;"",ES356/ER356-1,"-")</f>
        <v>0.12632180506094093</v>
      </c>
      <c r="ET358" s="244">
        <f>IF(ES356&lt;&gt;"",ET356/ES356-1,"-")</f>
        <v>0.18907735156584282</v>
      </c>
      <c r="EU358" s="1105"/>
    </row>
    <row r="359" spans="1:151" s="2253" customFormat="1" ht="13.5" customHeight="1">
      <c r="A359" s="1780" t="s">
        <v>7223</v>
      </c>
      <c r="B359" s="147"/>
      <c r="C359" s="147"/>
      <c r="D359" s="147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263"/>
      <c r="AH359" s="263"/>
      <c r="AI359" s="263"/>
      <c r="AJ359" s="263"/>
      <c r="AK359" s="141"/>
      <c r="AL359" s="147"/>
      <c r="AM359" s="263"/>
      <c r="AN359" s="263"/>
      <c r="AO359" s="263"/>
      <c r="AP359" s="263"/>
      <c r="AQ359" s="141"/>
      <c r="AR359" s="147"/>
      <c r="AS359" s="263"/>
      <c r="AT359" s="263"/>
      <c r="AU359" s="263"/>
      <c r="AV359" s="263"/>
      <c r="AW359" s="141"/>
      <c r="AX359" s="147"/>
      <c r="AY359" s="263"/>
      <c r="AZ359" s="263"/>
      <c r="BA359" s="263"/>
      <c r="BB359" s="263"/>
      <c r="BC359" s="141"/>
      <c r="BD359" s="147"/>
      <c r="BE359" s="263"/>
      <c r="BF359" s="263"/>
      <c r="BG359" s="263"/>
      <c r="BH359" s="263"/>
      <c r="BI359" s="141"/>
      <c r="BJ359" s="147"/>
      <c r="BK359" s="263"/>
      <c r="BL359" s="263"/>
      <c r="BM359" s="263"/>
      <c r="BN359" s="263"/>
      <c r="BO359" s="1105"/>
      <c r="BP359" s="147"/>
      <c r="BQ359" s="263"/>
      <c r="BR359" s="263"/>
      <c r="BS359" s="263"/>
      <c r="BT359" s="263"/>
      <c r="BU359" s="1105"/>
      <c r="BV359" s="147"/>
      <c r="BW359" s="263"/>
      <c r="BX359" s="263"/>
      <c r="BY359" s="263"/>
      <c r="BZ359" s="263"/>
      <c r="CA359" s="1105"/>
      <c r="CB359" s="147"/>
      <c r="CC359" s="263"/>
      <c r="CD359" s="263"/>
      <c r="CE359" s="263"/>
      <c r="CF359" s="263"/>
      <c r="CG359" s="1105"/>
      <c r="CH359" s="147"/>
      <c r="CI359" s="263"/>
      <c r="CJ359" s="263"/>
      <c r="CK359" s="263"/>
      <c r="CL359" s="263"/>
      <c r="CM359" s="1105"/>
      <c r="CN359" s="147"/>
      <c r="CO359" s="263"/>
      <c r="CP359" s="263"/>
      <c r="CQ359" s="263"/>
      <c r="CR359" s="263"/>
      <c r="CS359" s="1105"/>
      <c r="CT359" s="141"/>
      <c r="CU359" s="263"/>
      <c r="CV359" s="263"/>
      <c r="CW359" s="263"/>
      <c r="CX359" s="263"/>
      <c r="CY359" s="1105"/>
      <c r="CZ359" s="141"/>
      <c r="DA359" s="263"/>
      <c r="DB359" s="263"/>
      <c r="DC359" s="263"/>
      <c r="DD359" s="263"/>
      <c r="DE359" s="1105"/>
      <c r="DF359" s="141"/>
      <c r="DG359" s="263"/>
      <c r="DH359" s="263"/>
      <c r="DI359" s="263"/>
      <c r="DJ359" s="263"/>
      <c r="DK359" s="1105"/>
      <c r="DL359" s="147"/>
      <c r="DM359" s="263"/>
      <c r="DN359" s="263"/>
      <c r="DO359" s="263"/>
      <c r="DP359" s="263"/>
      <c r="DQ359" s="1105"/>
      <c r="DR359" s="141"/>
      <c r="DS359" s="263">
        <f>DS356/Model!DS31</f>
        <v>0.72260207071693694</v>
      </c>
      <c r="DT359" s="263">
        <f>DT356/Model!DT31</f>
        <v>0.69003086980207007</v>
      </c>
      <c r="DU359" s="263">
        <f>DU356/Model!DU31</f>
        <v>0.78635620915032678</v>
      </c>
      <c r="DV359" s="263">
        <f>DV356/Model!DV31</f>
        <v>0.85839598997493727</v>
      </c>
      <c r="DW359" s="1104">
        <f>DW356/Model!DW31</f>
        <v>0.76115214180206803</v>
      </c>
      <c r="DX359" s="141"/>
      <c r="DY359" s="263">
        <f>DY356/Model!DY31</f>
        <v>0.89973234506897259</v>
      </c>
      <c r="DZ359" s="263">
        <f>DZ356/Model!DZ31</f>
        <v>0.91251494619370266</v>
      </c>
      <c r="EA359" s="263">
        <f>EA356/Model!EA31</f>
        <v>0.92276343877353006</v>
      </c>
      <c r="EB359" s="263">
        <f>EB356/Model!EB31</f>
        <v>0.92723004694835687</v>
      </c>
      <c r="EC359" s="1104">
        <f>EC356/Model!EC31</f>
        <v>0.91602645142468164</v>
      </c>
      <c r="ED359" s="141"/>
      <c r="EE359" s="263">
        <f>EE356/Model!EE31</f>
        <v>0.94218258593418647</v>
      </c>
      <c r="EF359" s="263">
        <f>EF356/Model!EF31</f>
        <v>0.94045881938230924</v>
      </c>
      <c r="EG359" s="263">
        <f>EG356/Model!EG31</f>
        <v>0.93418851076494003</v>
      </c>
      <c r="EH359" s="263">
        <f>EH356/Model!EH31</f>
        <v>0.92774904017950344</v>
      </c>
      <c r="EI359" s="1104">
        <f>EI356/Model!EI31</f>
        <v>0.93562413555306867</v>
      </c>
      <c r="EJ359" s="141"/>
      <c r="EK359" s="263">
        <f>EK356/Model!EK31</f>
        <v>0.91366636343926466</v>
      </c>
      <c r="EL359" s="263">
        <f>EL356/Model!EL31</f>
        <v>0.92176710506060633</v>
      </c>
      <c r="EM359" s="263">
        <f>EM356/Model!EM31</f>
        <v>0.92715894050548242</v>
      </c>
      <c r="EN359" s="263">
        <f>EN356/Model!EN31</f>
        <v>0.93851597429413292</v>
      </c>
      <c r="EO359" s="1104">
        <f>EO356/Model!EO31</f>
        <v>0.92615971126143715</v>
      </c>
      <c r="EP359" s="141"/>
      <c r="EQ359" s="263">
        <f>EQ356/Model!EQ31</f>
        <v>0.913715476402437</v>
      </c>
      <c r="ER359" s="263">
        <f>ER356/Model!ER31</f>
        <v>0.92640796512109036</v>
      </c>
      <c r="ES359" s="263">
        <f>ES356/Model!ES31</f>
        <v>0.93411785752326959</v>
      </c>
      <c r="ET359" s="263">
        <f>ET356/Model!ET31</f>
        <v>0.94612636142147954</v>
      </c>
      <c r="EU359" s="1104">
        <f>EU356/Model!EU31</f>
        <v>0.93178679127901121</v>
      </c>
    </row>
    <row r="360" spans="1:151" s="2253" customFormat="1" ht="6" customHeight="1">
      <c r="A360" s="1780"/>
      <c r="B360" s="147"/>
      <c r="C360" s="147"/>
      <c r="D360" s="147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263"/>
      <c r="AH360" s="263"/>
      <c r="AI360" s="263"/>
      <c r="AJ360" s="263"/>
      <c r="AK360" s="141"/>
      <c r="AL360" s="147"/>
      <c r="AM360" s="263"/>
      <c r="AN360" s="263"/>
      <c r="AO360" s="263"/>
      <c r="AP360" s="263"/>
      <c r="AQ360" s="141"/>
      <c r="AR360" s="147"/>
      <c r="AS360" s="263"/>
      <c r="AT360" s="263"/>
      <c r="AU360" s="263"/>
      <c r="AV360" s="263"/>
      <c r="AW360" s="141"/>
      <c r="AX360" s="147"/>
      <c r="AY360" s="263"/>
      <c r="AZ360" s="263"/>
      <c r="BA360" s="263"/>
      <c r="BB360" s="263"/>
      <c r="BC360" s="141"/>
      <c r="BD360" s="147"/>
      <c r="BE360" s="263"/>
      <c r="BF360" s="263"/>
      <c r="BG360" s="263"/>
      <c r="BH360" s="263"/>
      <c r="BI360" s="141"/>
      <c r="BJ360" s="147"/>
      <c r="BK360" s="263"/>
      <c r="BL360" s="263"/>
      <c r="BM360" s="263"/>
      <c r="BN360" s="263"/>
      <c r="BO360" s="1105"/>
      <c r="BP360" s="147"/>
      <c r="BQ360" s="263"/>
      <c r="BR360" s="263"/>
      <c r="BS360" s="263"/>
      <c r="BT360" s="263"/>
      <c r="BU360" s="1105"/>
      <c r="BV360" s="147"/>
      <c r="BW360" s="263"/>
      <c r="BX360" s="263"/>
      <c r="BY360" s="263"/>
      <c r="BZ360" s="263"/>
      <c r="CA360" s="1105"/>
      <c r="CB360" s="147"/>
      <c r="CC360" s="263"/>
      <c r="CD360" s="263"/>
      <c r="CE360" s="263"/>
      <c r="CF360" s="263"/>
      <c r="CG360" s="1105"/>
      <c r="CH360" s="147"/>
      <c r="CI360" s="263"/>
      <c r="CJ360" s="263"/>
      <c r="CK360" s="263"/>
      <c r="CL360" s="263"/>
      <c r="CM360" s="1105"/>
      <c r="CN360" s="147"/>
      <c r="CO360" s="263"/>
      <c r="CP360" s="263"/>
      <c r="CQ360" s="263"/>
      <c r="CR360" s="263"/>
      <c r="CS360" s="1105"/>
      <c r="CT360" s="141"/>
      <c r="CU360" s="263"/>
      <c r="CV360" s="263"/>
      <c r="CW360" s="263"/>
      <c r="CX360" s="263"/>
      <c r="CY360" s="1105"/>
      <c r="CZ360" s="141"/>
      <c r="DA360" s="263"/>
      <c r="DB360" s="263"/>
      <c r="DC360" s="263"/>
      <c r="DD360" s="263"/>
      <c r="DE360" s="1105"/>
      <c r="DF360" s="141"/>
      <c r="DG360" s="263"/>
      <c r="DH360" s="263"/>
      <c r="DI360" s="263"/>
      <c r="DJ360" s="263"/>
      <c r="DK360" s="1105"/>
      <c r="DL360" s="147"/>
      <c r="DM360" s="263"/>
      <c r="DN360" s="263"/>
      <c r="DO360" s="263"/>
      <c r="DP360" s="263"/>
      <c r="DQ360" s="1105"/>
      <c r="DR360" s="141"/>
      <c r="DS360" s="263"/>
      <c r="DT360" s="263"/>
      <c r="DU360" s="263"/>
      <c r="DV360" s="263"/>
      <c r="DW360" s="1105"/>
      <c r="DX360" s="141"/>
      <c r="DY360" s="263"/>
      <c r="DZ360" s="263"/>
      <c r="EA360" s="263"/>
      <c r="EB360" s="263"/>
      <c r="EC360" s="1105"/>
      <c r="ED360" s="141"/>
      <c r="EE360" s="263"/>
      <c r="EF360" s="263"/>
      <c r="EG360" s="263"/>
      <c r="EH360" s="263"/>
      <c r="EI360" s="1105"/>
      <c r="EJ360" s="141"/>
      <c r="EK360" s="263"/>
      <c r="EL360" s="263"/>
      <c r="EM360" s="263"/>
      <c r="EN360" s="263"/>
      <c r="EO360" s="1105"/>
      <c r="EP360" s="141"/>
      <c r="EQ360" s="263"/>
      <c r="ER360" s="263"/>
      <c r="ES360" s="263"/>
      <c r="ET360" s="263"/>
      <c r="EU360" s="1105"/>
    </row>
    <row r="361" spans="1:151" s="2253" customFormat="1" ht="13.5" customHeight="1">
      <c r="A361" s="168" t="s">
        <v>7198</v>
      </c>
      <c r="B361" s="147"/>
      <c r="C361" s="147"/>
      <c r="D361" s="147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263"/>
      <c r="AH361" s="263"/>
      <c r="AI361" s="263"/>
      <c r="AJ361" s="263"/>
      <c r="AK361" s="141"/>
      <c r="AL361" s="147"/>
      <c r="AM361" s="263"/>
      <c r="AN361" s="263"/>
      <c r="AO361" s="263"/>
      <c r="AP361" s="263"/>
      <c r="AQ361" s="141"/>
      <c r="AR361" s="147"/>
      <c r="AS361" s="263"/>
      <c r="AT361" s="263"/>
      <c r="AU361" s="263"/>
      <c r="AV361" s="263"/>
      <c r="AW361" s="141"/>
      <c r="AX361" s="147"/>
      <c r="AY361" s="263"/>
      <c r="AZ361" s="263"/>
      <c r="BA361" s="263"/>
      <c r="BB361" s="263"/>
      <c r="BC361" s="141"/>
      <c r="BD361" s="147"/>
      <c r="BE361" s="263"/>
      <c r="BF361" s="263"/>
      <c r="BG361" s="263"/>
      <c r="BH361" s="263"/>
      <c r="BI361" s="141"/>
      <c r="BJ361" s="147"/>
      <c r="BK361" s="263"/>
      <c r="BL361" s="263"/>
      <c r="BM361" s="263"/>
      <c r="BN361" s="263"/>
      <c r="BO361" s="1105"/>
      <c r="BP361" s="147"/>
      <c r="BQ361" s="263"/>
      <c r="BR361" s="263"/>
      <c r="BS361" s="263"/>
      <c r="BT361" s="263"/>
      <c r="BU361" s="1105"/>
      <c r="BV361" s="147"/>
      <c r="BW361" s="263"/>
      <c r="BX361" s="263"/>
      <c r="BY361" s="263"/>
      <c r="BZ361" s="263"/>
      <c r="CA361" s="1105"/>
      <c r="CB361" s="147"/>
      <c r="CC361" s="263"/>
      <c r="CD361" s="263"/>
      <c r="CE361" s="263"/>
      <c r="CF361" s="263"/>
      <c r="CG361" s="1105"/>
      <c r="CH361" s="147"/>
      <c r="CI361" s="263"/>
      <c r="CJ361" s="263"/>
      <c r="CK361" s="263"/>
      <c r="CL361" s="263"/>
      <c r="CM361" s="1105"/>
      <c r="CN361" s="147"/>
      <c r="CO361" s="263"/>
      <c r="CP361" s="263"/>
      <c r="CQ361" s="263"/>
      <c r="CR361" s="263"/>
      <c r="CS361" s="1105"/>
      <c r="CT361" s="141"/>
      <c r="CU361" s="263"/>
      <c r="CV361" s="263"/>
      <c r="CW361" s="263"/>
      <c r="CX361" s="263"/>
      <c r="CY361" s="1105"/>
      <c r="CZ361" s="141"/>
      <c r="DA361" s="263"/>
      <c r="DB361" s="263"/>
      <c r="DC361" s="263"/>
      <c r="DD361" s="263"/>
      <c r="DE361" s="1105"/>
      <c r="DF361" s="141"/>
      <c r="DG361" s="263"/>
      <c r="DH361" s="263"/>
      <c r="DI361" s="263"/>
      <c r="DJ361" s="263"/>
      <c r="DK361" s="1105"/>
      <c r="DL361" s="147"/>
      <c r="DM361" s="263"/>
      <c r="DN361" s="263"/>
      <c r="DO361" s="263"/>
      <c r="DP361" s="263"/>
      <c r="DQ361" s="1105"/>
      <c r="DR361" s="141"/>
      <c r="DS361" s="608">
        <f>Model!DS28</f>
        <v>142</v>
      </c>
      <c r="DT361" s="608">
        <f>Model!DT28</f>
        <v>171</v>
      </c>
      <c r="DU361" s="608">
        <f>Model!DU28</f>
        <v>104</v>
      </c>
      <c r="DV361" s="608">
        <f>Model!DV28</f>
        <v>67</v>
      </c>
      <c r="DW361" s="1164">
        <f>SUM(DS361:DV361)</f>
        <v>484</v>
      </c>
      <c r="DX361" s="141"/>
      <c r="DY361" s="608">
        <f>Model!DY28</f>
        <v>48.7</v>
      </c>
      <c r="DZ361" s="608">
        <f>Model!DZ28</f>
        <v>43.9</v>
      </c>
      <c r="EA361" s="608">
        <f>Model!EA28</f>
        <v>39.799999999999997</v>
      </c>
      <c r="EB361" s="608">
        <f>Model!EB28</f>
        <v>40.299999999999997</v>
      </c>
      <c r="EC361" s="1164">
        <f>SUM(DY361:EB361)</f>
        <v>172.7</v>
      </c>
      <c r="ED361" s="141"/>
      <c r="EE361" s="608">
        <f>$EI361*EE364</f>
        <v>32.182532940800002</v>
      </c>
      <c r="EF361" s="608">
        <f t="shared" ref="EF361:EG361" si="297">$EI361*EF364</f>
        <v>35.400786234880002</v>
      </c>
      <c r="EG361" s="608">
        <f t="shared" si="297"/>
        <v>41.837292823040002</v>
      </c>
      <c r="EH361" s="608">
        <f>EI361-SUM(EE361:EG361)</f>
        <v>51.492052705280003</v>
      </c>
      <c r="EI361" s="2068">
        <f>'Biz Transition Scenarios'!M237</f>
        <v>160.91266470400001</v>
      </c>
      <c r="EJ361" s="141"/>
      <c r="EK361" s="608">
        <f>$EO361*EK364</f>
        <v>59.624074593408004</v>
      </c>
      <c r="EL361" s="608">
        <f t="shared" ref="EL361:EM361" si="298">$EO361*EL364</f>
        <v>57.330840955200003</v>
      </c>
      <c r="EM361" s="608">
        <f t="shared" si="298"/>
        <v>57.330840955200003</v>
      </c>
      <c r="EN361" s="608">
        <f>EO361-SUM(EK361:EM361)</f>
        <v>55.037607316992023</v>
      </c>
      <c r="EO361" s="2068">
        <f>'Biz Transition Scenarios'!N237</f>
        <v>229.32336382080001</v>
      </c>
      <c r="EP361" s="141"/>
      <c r="EQ361" s="608">
        <f>$EU361*EQ364</f>
        <v>66.27550149329825</v>
      </c>
      <c r="ER361" s="608">
        <f t="shared" ref="ER361:ES361" si="299">$EU361*ER364</f>
        <v>63.726443743556004</v>
      </c>
      <c r="ES361" s="608">
        <f t="shared" si="299"/>
        <v>63.726443743556004</v>
      </c>
      <c r="ET361" s="608">
        <f>EU361-SUM(EQ361:ES361)</f>
        <v>61.177385993813743</v>
      </c>
      <c r="EU361" s="2068">
        <f>'Biz Transition Scenarios'!O237</f>
        <v>254.90577497422402</v>
      </c>
    </row>
    <row r="362" spans="1:151" s="2253" customFormat="1" ht="13.5" customHeight="1">
      <c r="A362" s="583" t="s">
        <v>345</v>
      </c>
      <c r="B362" s="147"/>
      <c r="C362" s="147"/>
      <c r="D362" s="147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263"/>
      <c r="AH362" s="263"/>
      <c r="AI362" s="263"/>
      <c r="AJ362" s="263"/>
      <c r="AK362" s="141"/>
      <c r="AL362" s="147"/>
      <c r="AM362" s="263"/>
      <c r="AN362" s="263"/>
      <c r="AO362" s="263"/>
      <c r="AP362" s="263"/>
      <c r="AQ362" s="141"/>
      <c r="AR362" s="147"/>
      <c r="AS362" s="263"/>
      <c r="AT362" s="263"/>
      <c r="AU362" s="263"/>
      <c r="AV362" s="263"/>
      <c r="AW362" s="141"/>
      <c r="AX362" s="147"/>
      <c r="AY362" s="263"/>
      <c r="AZ362" s="263"/>
      <c r="BA362" s="263"/>
      <c r="BB362" s="263"/>
      <c r="BC362" s="141"/>
      <c r="BD362" s="147"/>
      <c r="BE362" s="263"/>
      <c r="BF362" s="263"/>
      <c r="BG362" s="263"/>
      <c r="BH362" s="263"/>
      <c r="BI362" s="141"/>
      <c r="BJ362" s="147"/>
      <c r="BK362" s="263"/>
      <c r="BL362" s="263"/>
      <c r="BM362" s="263"/>
      <c r="BN362" s="263"/>
      <c r="BO362" s="1105"/>
      <c r="BP362" s="147"/>
      <c r="BQ362" s="263"/>
      <c r="BR362" s="263"/>
      <c r="BS362" s="263"/>
      <c r="BT362" s="263"/>
      <c r="BU362" s="1105"/>
      <c r="BV362" s="147"/>
      <c r="BW362" s="263"/>
      <c r="BX362" s="263"/>
      <c r="BY362" s="263"/>
      <c r="BZ362" s="263"/>
      <c r="CA362" s="1105"/>
      <c r="CB362" s="147"/>
      <c r="CC362" s="263"/>
      <c r="CD362" s="263"/>
      <c r="CE362" s="263"/>
      <c r="CF362" s="263"/>
      <c r="CG362" s="1105"/>
      <c r="CH362" s="147"/>
      <c r="CI362" s="263"/>
      <c r="CJ362" s="263"/>
      <c r="CK362" s="263"/>
      <c r="CL362" s="263"/>
      <c r="CM362" s="1105"/>
      <c r="CN362" s="147"/>
      <c r="CO362" s="263"/>
      <c r="CP362" s="263"/>
      <c r="CQ362" s="263"/>
      <c r="CR362" s="263"/>
      <c r="CS362" s="1105"/>
      <c r="CT362" s="141"/>
      <c r="CU362" s="263"/>
      <c r="CV362" s="263"/>
      <c r="CW362" s="263"/>
      <c r="CX362" s="263"/>
      <c r="CY362" s="1105"/>
      <c r="CZ362" s="141"/>
      <c r="DA362" s="263"/>
      <c r="DB362" s="263"/>
      <c r="DC362" s="263"/>
      <c r="DD362" s="263"/>
      <c r="DE362" s="1105"/>
      <c r="DF362" s="141"/>
      <c r="DG362" s="263"/>
      <c r="DH362" s="263"/>
      <c r="DI362" s="263"/>
      <c r="DJ362" s="263"/>
      <c r="DK362" s="1105"/>
      <c r="DL362" s="147"/>
      <c r="DM362" s="263"/>
      <c r="DN362" s="263"/>
      <c r="DO362" s="263"/>
      <c r="DP362" s="263"/>
      <c r="DQ362" s="1105"/>
      <c r="DR362" s="141"/>
      <c r="DS362" s="244" t="str">
        <f>IF(DM361&lt;&gt;"",DS361/DM361-1,"-")</f>
        <v>-</v>
      </c>
      <c r="DT362" s="244" t="str">
        <f>IF(DN361&lt;&gt;"",DT361/DN361-1,"-")</f>
        <v>-</v>
      </c>
      <c r="DU362" s="244" t="str">
        <f>IF(DO361&lt;&gt;"",DU361/DO361-1,"-")</f>
        <v>-</v>
      </c>
      <c r="DV362" s="244" t="str">
        <f>IF(DP361&lt;&gt;"",DV361/DP361-1,"-")</f>
        <v>-</v>
      </c>
      <c r="DW362" s="1104" t="str">
        <f>IF(DQ361&lt;&gt;"",DW361/DQ361-1,"-")</f>
        <v>-</v>
      </c>
      <c r="DX362" s="141"/>
      <c r="DY362" s="244">
        <f>IF(DS361&lt;&gt;"",DY361/DS361-1,"-")</f>
        <v>-0.65704225352112666</v>
      </c>
      <c r="DZ362" s="244">
        <f>IF(DT361&lt;&gt;"",DZ361/DT361-1,"-")</f>
        <v>-0.74327485380116953</v>
      </c>
      <c r="EA362" s="244">
        <f>IF(DU361&lt;&gt;"",EA361/DU361-1,"-")</f>
        <v>-0.61730769230769234</v>
      </c>
      <c r="EB362" s="244">
        <f>IF(DV361&lt;&gt;"",EB361/DV361-1,"-")</f>
        <v>-0.39850746268656723</v>
      </c>
      <c r="EC362" s="1104">
        <f>IF(DW361&lt;&gt;"",EC361/DW361-1,"-")</f>
        <v>-0.64318181818181819</v>
      </c>
      <c r="ED362" s="141"/>
      <c r="EE362" s="244">
        <f>IF(DY361&lt;&gt;"",EE361/DY361-1,"-")</f>
        <v>-0.33916770142094455</v>
      </c>
      <c r="EF362" s="244">
        <f>IF(DZ361&lt;&gt;"",EF361/DZ361-1,"-")</f>
        <v>-0.19360395820318899</v>
      </c>
      <c r="EG362" s="244">
        <f>IF(EA361&lt;&gt;"",EG361/EA361-1,"-")</f>
        <v>5.1188261885427355E-2</v>
      </c>
      <c r="EH362" s="244">
        <f>IF(EB361&lt;&gt;"",EH361/EB361-1,"-")</f>
        <v>0.27771842941141456</v>
      </c>
      <c r="EI362" s="1104">
        <f>IF(EC361&lt;&gt;"",EI361/EC361-1,"-")</f>
        <v>-6.825324433121005E-2</v>
      </c>
      <c r="EJ362" s="141"/>
      <c r="EK362" s="244">
        <f>IF(EE361&lt;&gt;"",EK361/EE361-1,"-")</f>
        <v>0.85268433355096418</v>
      </c>
      <c r="EL362" s="244">
        <f>IF(EF361&lt;&gt;"",EL361/EF361-1,"-")</f>
        <v>0.61947931254454902</v>
      </c>
      <c r="EM362" s="244">
        <f>IF(EG361&lt;&gt;"",EM361/EG361-1,"-")</f>
        <v>0.37032864907615703</v>
      </c>
      <c r="EN362" s="244">
        <f>IF(EH361&lt;&gt;"",EN361/EH361-1,"-")</f>
        <v>6.8856346279402736E-2</v>
      </c>
      <c r="EO362" s="1104">
        <f>IF(EI361&lt;&gt;"",EO361/EI361-1,"-")</f>
        <v>0.42514179503920313</v>
      </c>
      <c r="EP362" s="141"/>
      <c r="EQ362" s="244">
        <f>IF(EK361&lt;&gt;"",EQ361/EK361-1,"-")</f>
        <v>0.11155606095772641</v>
      </c>
      <c r="ER362" s="244">
        <f>IF(EL361&lt;&gt;"",ER361/EL361-1,"-")</f>
        <v>0.11155606095772619</v>
      </c>
      <c r="ES362" s="244">
        <f>IF(EM361&lt;&gt;"",ES361/EM361-1,"-")</f>
        <v>0.11155606095772619</v>
      </c>
      <c r="ET362" s="244">
        <f>IF(EN361&lt;&gt;"",ET361/EN361-1,"-")</f>
        <v>0.11155606095772552</v>
      </c>
      <c r="EU362" s="1104">
        <f>IF(EO361&lt;&gt;"",EU361/EO361-1,"-")</f>
        <v>0.11155606095772619</v>
      </c>
    </row>
    <row r="363" spans="1:151" s="2253" customFormat="1" ht="13.5" customHeight="1">
      <c r="A363" s="583" t="s">
        <v>344</v>
      </c>
      <c r="B363" s="147"/>
      <c r="C363" s="147"/>
      <c r="D363" s="147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263"/>
      <c r="AH363" s="263"/>
      <c r="AI363" s="263"/>
      <c r="AJ363" s="263"/>
      <c r="AK363" s="141"/>
      <c r="AL363" s="147"/>
      <c r="AM363" s="263"/>
      <c r="AN363" s="263"/>
      <c r="AO363" s="263"/>
      <c r="AP363" s="263"/>
      <c r="AQ363" s="141"/>
      <c r="AR363" s="147"/>
      <c r="AS363" s="263"/>
      <c r="AT363" s="263"/>
      <c r="AU363" s="263"/>
      <c r="AV363" s="263"/>
      <c r="AW363" s="141"/>
      <c r="AX363" s="147"/>
      <c r="AY363" s="263"/>
      <c r="AZ363" s="263"/>
      <c r="BA363" s="263"/>
      <c r="BB363" s="263"/>
      <c r="BC363" s="141"/>
      <c r="BD363" s="147"/>
      <c r="BE363" s="263"/>
      <c r="BF363" s="263"/>
      <c r="BG363" s="263"/>
      <c r="BH363" s="263"/>
      <c r="BI363" s="141"/>
      <c r="BJ363" s="147"/>
      <c r="BK363" s="263"/>
      <c r="BL363" s="263"/>
      <c r="BM363" s="263"/>
      <c r="BN363" s="263"/>
      <c r="BO363" s="1105"/>
      <c r="BP363" s="147"/>
      <c r="BQ363" s="263"/>
      <c r="BR363" s="263"/>
      <c r="BS363" s="263"/>
      <c r="BT363" s="263"/>
      <c r="BU363" s="1105"/>
      <c r="BV363" s="147"/>
      <c r="BW363" s="263"/>
      <c r="BX363" s="263"/>
      <c r="BY363" s="263"/>
      <c r="BZ363" s="263"/>
      <c r="CA363" s="1105"/>
      <c r="CB363" s="147"/>
      <c r="CC363" s="263"/>
      <c r="CD363" s="263"/>
      <c r="CE363" s="263"/>
      <c r="CF363" s="263"/>
      <c r="CG363" s="1105"/>
      <c r="CH363" s="147"/>
      <c r="CI363" s="263"/>
      <c r="CJ363" s="263"/>
      <c r="CK363" s="263"/>
      <c r="CL363" s="263"/>
      <c r="CM363" s="1105"/>
      <c r="CN363" s="147"/>
      <c r="CO363" s="263"/>
      <c r="CP363" s="263"/>
      <c r="CQ363" s="263"/>
      <c r="CR363" s="263"/>
      <c r="CS363" s="1105"/>
      <c r="CT363" s="141"/>
      <c r="CU363" s="263"/>
      <c r="CV363" s="263"/>
      <c r="CW363" s="263"/>
      <c r="CX363" s="263"/>
      <c r="CY363" s="1105"/>
      <c r="CZ363" s="141"/>
      <c r="DA363" s="263"/>
      <c r="DB363" s="263"/>
      <c r="DC363" s="263"/>
      <c r="DD363" s="263"/>
      <c r="DE363" s="1105"/>
      <c r="DF363" s="141"/>
      <c r="DG363" s="263"/>
      <c r="DH363" s="263"/>
      <c r="DI363" s="263"/>
      <c r="DJ363" s="263"/>
      <c r="DK363" s="1105"/>
      <c r="DL363" s="147"/>
      <c r="DM363" s="263"/>
      <c r="DN363" s="263"/>
      <c r="DO363" s="263"/>
      <c r="DP363" s="263"/>
      <c r="DQ363" s="1105"/>
      <c r="DR363" s="141"/>
      <c r="DS363" s="244" t="str">
        <f>IF(DP361&lt;&gt;"",DS361/DP361-1,"-")</f>
        <v>-</v>
      </c>
      <c r="DT363" s="244">
        <f>IF(DS361&lt;&gt;"",DT361/DS361-1,"-")</f>
        <v>0.20422535211267601</v>
      </c>
      <c r="DU363" s="244">
        <f>IF(DT361&lt;&gt;"",DU361/DT361-1,"-")</f>
        <v>-0.39181286549707606</v>
      </c>
      <c r="DV363" s="244">
        <f>IF(DU361&lt;&gt;"",DV361/DU361-1,"-")</f>
        <v>-0.35576923076923073</v>
      </c>
      <c r="DW363" s="1105"/>
      <c r="DX363" s="141"/>
      <c r="DY363" s="244">
        <f>IF(DV361&lt;&gt;"",DY361/DV361-1,"-")</f>
        <v>-0.27313432835820894</v>
      </c>
      <c r="DZ363" s="244">
        <f>IF(DY361&lt;&gt;"",DZ361/DY361-1,"-")</f>
        <v>-9.8562628336755775E-2</v>
      </c>
      <c r="EA363" s="244">
        <f>IF(DZ361&lt;&gt;"",EA361/DZ361-1,"-")</f>
        <v>-9.339407744874717E-2</v>
      </c>
      <c r="EB363" s="244">
        <f>IF(EA361&lt;&gt;"",EB361/EA361-1,"-")</f>
        <v>1.2562814070351758E-2</v>
      </c>
      <c r="EC363" s="1105"/>
      <c r="ED363" s="141"/>
      <c r="EE363" s="244">
        <f>IF(EB361&lt;&gt;"",EE361/EB361-1,"-")</f>
        <v>-0.20142598161786596</v>
      </c>
      <c r="EF363" s="244">
        <f>IF(EE361&lt;&gt;"",EF361/EE361-1,"-")</f>
        <v>0.10000000000000009</v>
      </c>
      <c r="EG363" s="244">
        <f>IF(EF361&lt;&gt;"",EG361/EF361-1,"-")</f>
        <v>0.18181818181818188</v>
      </c>
      <c r="EH363" s="244">
        <f>IF(EG361&lt;&gt;"",EH361/EG361-1,"-")</f>
        <v>0.23076923076923084</v>
      </c>
      <c r="EI363" s="1105"/>
      <c r="EJ363" s="141"/>
      <c r="EK363" s="244">
        <f>IF(EH361&lt;&gt;"",EK361/EH361-1,"-")</f>
        <v>0.15792770846935267</v>
      </c>
      <c r="EL363" s="244">
        <f>IF(EK361&lt;&gt;"",EL361/EK361-1,"-")</f>
        <v>-3.8461538461538436E-2</v>
      </c>
      <c r="EM363" s="244">
        <f>IF(EL361&lt;&gt;"",EM361/EL361-1,"-")</f>
        <v>0</v>
      </c>
      <c r="EN363" s="244">
        <f>IF(EM361&lt;&gt;"",EN361/EM361-1,"-")</f>
        <v>-3.9999999999999591E-2</v>
      </c>
      <c r="EO363" s="1105"/>
      <c r="EP363" s="141"/>
      <c r="EQ363" s="244">
        <f>IF(EN361&lt;&gt;"",EQ361/EN361-1,"-")</f>
        <v>0.20418573270420315</v>
      </c>
      <c r="ER363" s="244">
        <f>IF(EQ361&lt;&gt;"",ER361/EQ361-1,"-")</f>
        <v>-3.8461538461538547E-2</v>
      </c>
      <c r="ES363" s="244">
        <f>IF(ER361&lt;&gt;"",ES361/ER361-1,"-")</f>
        <v>0</v>
      </c>
      <c r="ET363" s="244">
        <f>IF(ES361&lt;&gt;"",ET361/ES361-1,"-")</f>
        <v>-4.0000000000000369E-2</v>
      </c>
      <c r="EU363" s="1105"/>
    </row>
    <row r="364" spans="1:151" s="2253" customFormat="1" ht="13.5" customHeight="1">
      <c r="A364" s="1780" t="s">
        <v>7220</v>
      </c>
      <c r="B364" s="147"/>
      <c r="C364" s="147"/>
      <c r="D364" s="147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263"/>
      <c r="AH364" s="263"/>
      <c r="AI364" s="263"/>
      <c r="AJ364" s="263"/>
      <c r="AK364" s="141"/>
      <c r="AL364" s="147"/>
      <c r="AM364" s="263"/>
      <c r="AN364" s="263"/>
      <c r="AO364" s="263"/>
      <c r="AP364" s="263"/>
      <c r="AQ364" s="141"/>
      <c r="AR364" s="147"/>
      <c r="AS364" s="263"/>
      <c r="AT364" s="263"/>
      <c r="AU364" s="263"/>
      <c r="AV364" s="263"/>
      <c r="AW364" s="141"/>
      <c r="AX364" s="147"/>
      <c r="AY364" s="263"/>
      <c r="AZ364" s="263"/>
      <c r="BA364" s="263"/>
      <c r="BB364" s="263"/>
      <c r="BC364" s="141"/>
      <c r="BD364" s="147"/>
      <c r="BE364" s="263"/>
      <c r="BF364" s="263"/>
      <c r="BG364" s="263"/>
      <c r="BH364" s="263"/>
      <c r="BI364" s="141"/>
      <c r="BJ364" s="147"/>
      <c r="BK364" s="263"/>
      <c r="BL364" s="263"/>
      <c r="BM364" s="263"/>
      <c r="BN364" s="263"/>
      <c r="BO364" s="1105"/>
      <c r="BP364" s="147"/>
      <c r="BQ364" s="263"/>
      <c r="BR364" s="263"/>
      <c r="BS364" s="263"/>
      <c r="BT364" s="263"/>
      <c r="BU364" s="1105"/>
      <c r="BV364" s="147"/>
      <c r="BW364" s="263"/>
      <c r="BX364" s="263"/>
      <c r="BY364" s="263"/>
      <c r="BZ364" s="263"/>
      <c r="CA364" s="1105"/>
      <c r="CB364" s="147"/>
      <c r="CC364" s="263"/>
      <c r="CD364" s="263"/>
      <c r="CE364" s="263"/>
      <c r="CF364" s="263"/>
      <c r="CG364" s="1105"/>
      <c r="CH364" s="147"/>
      <c r="CI364" s="263"/>
      <c r="CJ364" s="263"/>
      <c r="CK364" s="263"/>
      <c r="CL364" s="263"/>
      <c r="CM364" s="1105"/>
      <c r="CN364" s="147"/>
      <c r="CO364" s="263"/>
      <c r="CP364" s="263"/>
      <c r="CQ364" s="263"/>
      <c r="CR364" s="263"/>
      <c r="CS364" s="1105"/>
      <c r="CT364" s="141"/>
      <c r="CU364" s="263"/>
      <c r="CV364" s="263"/>
      <c r="CW364" s="263"/>
      <c r="CX364" s="263"/>
      <c r="CY364" s="1105"/>
      <c r="CZ364" s="141"/>
      <c r="DA364" s="263"/>
      <c r="DB364" s="263"/>
      <c r="DC364" s="263"/>
      <c r="DD364" s="263"/>
      <c r="DE364" s="1105"/>
      <c r="DF364" s="141"/>
      <c r="DG364" s="263"/>
      <c r="DH364" s="263"/>
      <c r="DI364" s="263"/>
      <c r="DJ364" s="263"/>
      <c r="DK364" s="1105"/>
      <c r="DL364" s="147"/>
      <c r="DM364" s="263"/>
      <c r="DN364" s="263"/>
      <c r="DO364" s="263"/>
      <c r="DP364" s="263"/>
      <c r="DQ364" s="1105"/>
      <c r="DR364" s="141"/>
      <c r="DS364" s="2266">
        <f>DS361/$DW$361</f>
        <v>0.29338842975206614</v>
      </c>
      <c r="DT364" s="2266">
        <f t="shared" ref="DT364:DV364" si="300">DT361/$DW$361</f>
        <v>0.35330578512396693</v>
      </c>
      <c r="DU364" s="2266">
        <f t="shared" si="300"/>
        <v>0.21487603305785125</v>
      </c>
      <c r="DV364" s="2266">
        <f t="shared" si="300"/>
        <v>0.13842975206611571</v>
      </c>
      <c r="DW364" s="1105"/>
      <c r="DX364" s="141"/>
      <c r="DY364" s="2265">
        <f>DY361/$EC$361</f>
        <v>0.28199189345686165</v>
      </c>
      <c r="DZ364" s="2265">
        <f>DZ361/$EC$361</f>
        <v>0.25419803126809498</v>
      </c>
      <c r="EA364" s="2265">
        <f>EA361/$EC$361</f>
        <v>0.23045744064852344</v>
      </c>
      <c r="EB364" s="2266">
        <f>EB361/$EC$361</f>
        <v>0.23335263462651998</v>
      </c>
      <c r="EC364" s="2268"/>
      <c r="ED364" s="2269"/>
      <c r="EE364" s="2267">
        <v>0.2</v>
      </c>
      <c r="EF364" s="2267">
        <v>0.22</v>
      </c>
      <c r="EG364" s="2267">
        <v>0.26</v>
      </c>
      <c r="EH364" s="2267">
        <f t="shared" ref="EH364" si="301">EH361/$EI$361</f>
        <v>0.32</v>
      </c>
      <c r="EI364" s="2268"/>
      <c r="EJ364" s="2269"/>
      <c r="EK364" s="2267">
        <v>0.26</v>
      </c>
      <c r="EL364" s="2267">
        <v>0.25</v>
      </c>
      <c r="EM364" s="2267">
        <v>0.25</v>
      </c>
      <c r="EN364" s="2267">
        <f t="shared" ref="EN364" si="302">EN361/$EO$361</f>
        <v>0.2400000000000001</v>
      </c>
      <c r="EO364" s="1105"/>
      <c r="EP364" s="2269"/>
      <c r="EQ364" s="2267">
        <v>0.26</v>
      </c>
      <c r="ER364" s="2267">
        <v>0.25</v>
      </c>
      <c r="ES364" s="2267">
        <v>0.25</v>
      </c>
      <c r="ET364" s="2267">
        <f t="shared" ref="ET364" si="303">ET361/$EO$361</f>
        <v>0.26677345462985419</v>
      </c>
      <c r="EU364" s="1105"/>
    </row>
    <row r="365" spans="1:151" s="2253" customFormat="1" ht="6" customHeight="1">
      <c r="A365" s="1780"/>
      <c r="B365" s="147"/>
      <c r="C365" s="147"/>
      <c r="D365" s="147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263"/>
      <c r="AH365" s="263"/>
      <c r="AI365" s="263"/>
      <c r="AJ365" s="263"/>
      <c r="AK365" s="141"/>
      <c r="AL365" s="147"/>
      <c r="AM365" s="263"/>
      <c r="AN365" s="263"/>
      <c r="AO365" s="263"/>
      <c r="AP365" s="263"/>
      <c r="AQ365" s="141"/>
      <c r="AR365" s="147"/>
      <c r="AS365" s="263"/>
      <c r="AT365" s="263"/>
      <c r="AU365" s="263"/>
      <c r="AV365" s="263"/>
      <c r="AW365" s="141"/>
      <c r="AX365" s="147"/>
      <c r="AY365" s="263"/>
      <c r="AZ365" s="263"/>
      <c r="BA365" s="263"/>
      <c r="BB365" s="263"/>
      <c r="BC365" s="141"/>
      <c r="BD365" s="147"/>
      <c r="BE365" s="263"/>
      <c r="BF365" s="263"/>
      <c r="BG365" s="263"/>
      <c r="BH365" s="263"/>
      <c r="BI365" s="141"/>
      <c r="BJ365" s="147"/>
      <c r="BK365" s="263"/>
      <c r="BL365" s="263"/>
      <c r="BM365" s="263"/>
      <c r="BN365" s="263"/>
      <c r="BO365" s="1105"/>
      <c r="BP365" s="147"/>
      <c r="BQ365" s="263"/>
      <c r="BR365" s="263"/>
      <c r="BS365" s="263"/>
      <c r="BT365" s="263"/>
      <c r="BU365" s="1105"/>
      <c r="BV365" s="147"/>
      <c r="BW365" s="263"/>
      <c r="BX365" s="263"/>
      <c r="BY365" s="263"/>
      <c r="BZ365" s="263"/>
      <c r="CA365" s="1105"/>
      <c r="CB365" s="147"/>
      <c r="CC365" s="263"/>
      <c r="CD365" s="263"/>
      <c r="CE365" s="263"/>
      <c r="CF365" s="263"/>
      <c r="CG365" s="1105"/>
      <c r="CH365" s="147"/>
      <c r="CI365" s="263"/>
      <c r="CJ365" s="263"/>
      <c r="CK365" s="263"/>
      <c r="CL365" s="263"/>
      <c r="CM365" s="1105"/>
      <c r="CN365" s="147"/>
      <c r="CO365" s="263"/>
      <c r="CP365" s="263"/>
      <c r="CQ365" s="263"/>
      <c r="CR365" s="263"/>
      <c r="CS365" s="1105"/>
      <c r="CT365" s="141"/>
      <c r="CU365" s="263"/>
      <c r="CV365" s="263"/>
      <c r="CW365" s="263"/>
      <c r="CX365" s="263"/>
      <c r="CY365" s="1105"/>
      <c r="CZ365" s="141"/>
      <c r="DA365" s="263"/>
      <c r="DB365" s="263"/>
      <c r="DC365" s="263"/>
      <c r="DD365" s="263"/>
      <c r="DE365" s="1105"/>
      <c r="DF365" s="141"/>
      <c r="DG365" s="263"/>
      <c r="DH365" s="263"/>
      <c r="DI365" s="263"/>
      <c r="DJ365" s="263"/>
      <c r="DK365" s="1105"/>
      <c r="DL365" s="147"/>
      <c r="DM365" s="263"/>
      <c r="DN365" s="263"/>
      <c r="DO365" s="263"/>
      <c r="DP365" s="263"/>
      <c r="DQ365" s="1105"/>
      <c r="DR365" s="141"/>
      <c r="DS365" s="2266"/>
      <c r="DT365" s="263"/>
      <c r="DU365" s="263"/>
      <c r="DV365" s="263"/>
      <c r="DW365" s="1105"/>
      <c r="DX365" s="141"/>
      <c r="DY365" s="263"/>
      <c r="DZ365" s="263"/>
      <c r="EA365" s="263"/>
      <c r="EB365" s="263"/>
      <c r="EC365" s="1105"/>
      <c r="ED365" s="141"/>
      <c r="EE365" s="263"/>
      <c r="EF365" s="263"/>
      <c r="EG365" s="263"/>
      <c r="EH365" s="263"/>
      <c r="EI365" s="1105"/>
      <c r="EJ365" s="141"/>
      <c r="EK365" s="263"/>
      <c r="EL365" s="263"/>
      <c r="EM365" s="263"/>
      <c r="EN365" s="263"/>
      <c r="EO365" s="1105"/>
      <c r="EP365" s="141"/>
      <c r="EQ365" s="263"/>
      <c r="ER365" s="263"/>
      <c r="ES365" s="263"/>
      <c r="ET365" s="263"/>
      <c r="EU365" s="1105"/>
    </row>
    <row r="366" spans="1:151" s="2253" customFormat="1" ht="13.5" customHeight="1">
      <c r="A366" s="194" t="s">
        <v>654</v>
      </c>
      <c r="B366" s="147"/>
      <c r="C366" s="147"/>
      <c r="D366" s="147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263"/>
      <c r="AH366" s="263"/>
      <c r="AI366" s="263"/>
      <c r="AJ366" s="263"/>
      <c r="AK366" s="141"/>
      <c r="AL366" s="147"/>
      <c r="AM366" s="263"/>
      <c r="AN366" s="263"/>
      <c r="AO366" s="263"/>
      <c r="AP366" s="263"/>
      <c r="AQ366" s="141"/>
      <c r="AR366" s="147"/>
      <c r="AS366" s="263"/>
      <c r="AT366" s="263"/>
      <c r="AU366" s="263"/>
      <c r="AV366" s="263"/>
      <c r="AW366" s="141"/>
      <c r="AX366" s="147"/>
      <c r="AY366" s="263"/>
      <c r="AZ366" s="263"/>
      <c r="BA366" s="263"/>
      <c r="BB366" s="263"/>
      <c r="BC366" s="141"/>
      <c r="BD366" s="147"/>
      <c r="BE366" s="263"/>
      <c r="BF366" s="263"/>
      <c r="BG366" s="263"/>
      <c r="BH366" s="263"/>
      <c r="BI366" s="141"/>
      <c r="BJ366" s="147"/>
      <c r="BK366" s="263"/>
      <c r="BL366" s="263"/>
      <c r="BM366" s="263"/>
      <c r="BN366" s="263"/>
      <c r="BO366" s="1105"/>
      <c r="BP366" s="147"/>
      <c r="BQ366" s="263"/>
      <c r="BR366" s="263"/>
      <c r="BS366" s="263"/>
      <c r="BT366" s="263"/>
      <c r="BU366" s="1105"/>
      <c r="BV366" s="147"/>
      <c r="BW366" s="263"/>
      <c r="BX366" s="263"/>
      <c r="BY366" s="263"/>
      <c r="BZ366" s="263"/>
      <c r="CA366" s="1105"/>
      <c r="CB366" s="147"/>
      <c r="CC366" s="263"/>
      <c r="CD366" s="263"/>
      <c r="CE366" s="263"/>
      <c r="CF366" s="263"/>
      <c r="CG366" s="1105"/>
      <c r="CH366" s="147"/>
      <c r="CI366" s="263"/>
      <c r="CJ366" s="263"/>
      <c r="CK366" s="263"/>
      <c r="CL366" s="263"/>
      <c r="CM366" s="1105"/>
      <c r="CN366" s="147"/>
      <c r="CO366" s="263"/>
      <c r="CP366" s="263"/>
      <c r="CQ366" s="263"/>
      <c r="CR366" s="263"/>
      <c r="CS366" s="1105"/>
      <c r="CT366" s="141"/>
      <c r="CU366" s="263"/>
      <c r="CV366" s="263"/>
      <c r="CW366" s="263"/>
      <c r="CX366" s="263"/>
      <c r="CY366" s="1105"/>
      <c r="CZ366" s="141"/>
      <c r="DA366" s="263"/>
      <c r="DB366" s="263"/>
      <c r="DC366" s="263"/>
      <c r="DD366" s="263"/>
      <c r="DE366" s="1105"/>
      <c r="DF366" s="141"/>
      <c r="DG366" s="263"/>
      <c r="DH366" s="263"/>
      <c r="DI366" s="263"/>
      <c r="DJ366" s="263"/>
      <c r="DK366" s="1105"/>
      <c r="DL366" s="147"/>
      <c r="DM366" s="263"/>
      <c r="DN366" s="263"/>
      <c r="DO366" s="263"/>
      <c r="DP366" s="263"/>
      <c r="DQ366" s="1105"/>
      <c r="DR366" s="141"/>
      <c r="DS366" s="2264">
        <f>DS356+DS361</f>
        <v>511.9</v>
      </c>
      <c r="DT366" s="2264">
        <f t="shared" ref="DT366:DV366" si="304">DT356+DT361</f>
        <v>551</v>
      </c>
      <c r="DU366" s="2264">
        <f t="shared" si="304"/>
        <v>489</v>
      </c>
      <c r="DV366" s="2264">
        <f t="shared" si="304"/>
        <v>478</v>
      </c>
      <c r="DW366" s="1162">
        <f>SUM(DS366:DV366)</f>
        <v>2029.9</v>
      </c>
      <c r="DX366" s="141"/>
      <c r="DY366" s="2264">
        <f>DY356+DY361</f>
        <v>485.7</v>
      </c>
      <c r="DZ366" s="2264">
        <f>DZ356+DZ361</f>
        <v>501.79999999999995</v>
      </c>
      <c r="EA366" s="2264">
        <f>EA356+EA361</f>
        <v>515.29999999999995</v>
      </c>
      <c r="EB366" s="2264">
        <f t="shared" ref="EB366" si="305">EB356+EB361</f>
        <v>553.79999999999995</v>
      </c>
      <c r="EC366" s="1162">
        <f>SUM(DY366:EB366)</f>
        <v>2056.6</v>
      </c>
      <c r="ED366" s="141"/>
      <c r="EE366" s="2264">
        <f>EE356+EE361</f>
        <v>556.62352702538089</v>
      </c>
      <c r="EF366" s="2264">
        <f t="shared" ref="EF366:EH366" si="306">EF356+EF361</f>
        <v>594.5596957874526</v>
      </c>
      <c r="EG366" s="2264">
        <f t="shared" si="306"/>
        <v>635.71411784360419</v>
      </c>
      <c r="EH366" s="2264">
        <f t="shared" si="306"/>
        <v>712.68330321436713</v>
      </c>
      <c r="EI366" s="1162">
        <f>SUM(EE366:EH366)</f>
        <v>2499.580643870805</v>
      </c>
      <c r="EJ366" s="141"/>
      <c r="EK366" s="2264">
        <f>EK356+EK361</f>
        <v>690.62392097271027</v>
      </c>
      <c r="EL366" s="2264">
        <f t="shared" ref="EL366:EN366" si="307">EL356+EL361</f>
        <v>732.82269561434066</v>
      </c>
      <c r="EM366" s="2264">
        <f t="shared" si="307"/>
        <v>787.06764224805113</v>
      </c>
      <c r="EN366" s="2264">
        <f t="shared" si="307"/>
        <v>895.15295534300367</v>
      </c>
      <c r="EO366" s="1162">
        <f>SUM(EK366:EN366)</f>
        <v>3105.6672141781055</v>
      </c>
      <c r="EP366" s="141"/>
      <c r="EQ366" s="2264">
        <f>EQ356+EQ361</f>
        <v>768.10415970321458</v>
      </c>
      <c r="ER366" s="2264">
        <f t="shared" ref="ER366:ET366" si="308">ER356+ER361</f>
        <v>865.94213420532878</v>
      </c>
      <c r="ES366" s="2264">
        <f t="shared" si="308"/>
        <v>967.27946827266896</v>
      </c>
      <c r="ET366" s="2264">
        <f t="shared" si="308"/>
        <v>1135.5718234001984</v>
      </c>
      <c r="EU366" s="1162">
        <f>SUM(EQ366:ET366)</f>
        <v>3736.8975855814106</v>
      </c>
    </row>
    <row r="367" spans="1:151" s="2253" customFormat="1" ht="13.5" customHeight="1">
      <c r="A367" s="583" t="s">
        <v>345</v>
      </c>
      <c r="B367" s="147"/>
      <c r="C367" s="147"/>
      <c r="D367" s="147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263"/>
      <c r="AH367" s="263"/>
      <c r="AI367" s="263"/>
      <c r="AJ367" s="263"/>
      <c r="AK367" s="141"/>
      <c r="AL367" s="147"/>
      <c r="AM367" s="263"/>
      <c r="AN367" s="263"/>
      <c r="AO367" s="263"/>
      <c r="AP367" s="263"/>
      <c r="AQ367" s="141"/>
      <c r="AR367" s="147"/>
      <c r="AS367" s="263"/>
      <c r="AT367" s="263"/>
      <c r="AU367" s="263"/>
      <c r="AV367" s="263"/>
      <c r="AW367" s="141"/>
      <c r="AX367" s="147"/>
      <c r="AY367" s="263"/>
      <c r="AZ367" s="263"/>
      <c r="BA367" s="263"/>
      <c r="BB367" s="263"/>
      <c r="BC367" s="141"/>
      <c r="BD367" s="147"/>
      <c r="BE367" s="263"/>
      <c r="BF367" s="263"/>
      <c r="BG367" s="263"/>
      <c r="BH367" s="263"/>
      <c r="BI367" s="141"/>
      <c r="BJ367" s="147"/>
      <c r="BK367" s="263"/>
      <c r="BL367" s="263"/>
      <c r="BM367" s="263"/>
      <c r="BN367" s="263"/>
      <c r="BO367" s="1105"/>
      <c r="BP367" s="147"/>
      <c r="BQ367" s="263"/>
      <c r="BR367" s="263"/>
      <c r="BS367" s="263"/>
      <c r="BT367" s="263"/>
      <c r="BU367" s="1105"/>
      <c r="BV367" s="147"/>
      <c r="BW367" s="263"/>
      <c r="BX367" s="263"/>
      <c r="BY367" s="263"/>
      <c r="BZ367" s="263"/>
      <c r="CA367" s="1105"/>
      <c r="CB367" s="147"/>
      <c r="CC367" s="263"/>
      <c r="CD367" s="263"/>
      <c r="CE367" s="263"/>
      <c r="CF367" s="263"/>
      <c r="CG367" s="1105"/>
      <c r="CH367" s="147"/>
      <c r="CI367" s="263"/>
      <c r="CJ367" s="263"/>
      <c r="CK367" s="263"/>
      <c r="CL367" s="263"/>
      <c r="CM367" s="1105"/>
      <c r="CN367" s="147"/>
      <c r="CO367" s="263"/>
      <c r="CP367" s="263"/>
      <c r="CQ367" s="263"/>
      <c r="CR367" s="263"/>
      <c r="CS367" s="1105"/>
      <c r="CT367" s="141"/>
      <c r="CU367" s="263"/>
      <c r="CV367" s="263"/>
      <c r="CW367" s="263"/>
      <c r="CX367" s="263"/>
      <c r="CY367" s="1105"/>
      <c r="CZ367" s="141"/>
      <c r="DA367" s="263"/>
      <c r="DB367" s="263"/>
      <c r="DC367" s="263"/>
      <c r="DD367" s="263"/>
      <c r="DE367" s="1105"/>
      <c r="DF367" s="141"/>
      <c r="DG367" s="263"/>
      <c r="DH367" s="263"/>
      <c r="DI367" s="263"/>
      <c r="DJ367" s="263"/>
      <c r="DK367" s="1105"/>
      <c r="DL367" s="147"/>
      <c r="DM367" s="263"/>
      <c r="DN367" s="263"/>
      <c r="DO367" s="263"/>
      <c r="DP367" s="263"/>
      <c r="DQ367" s="1105"/>
      <c r="DR367" s="141"/>
      <c r="DS367" s="244" t="str">
        <f>IF(DM366&lt;&gt;"",DS366/DM366-1,"-")</f>
        <v>-</v>
      </c>
      <c r="DT367" s="244" t="str">
        <f>IF(DN366&lt;&gt;"",DT366/DN366-1,"-")</f>
        <v>-</v>
      </c>
      <c r="DU367" s="244" t="str">
        <f>IF(DO366&lt;&gt;"",DU366/DO366-1,"-")</f>
        <v>-</v>
      </c>
      <c r="DV367" s="244" t="str">
        <f>IF(DP366&lt;&gt;"",DV366/DP366-1,"-")</f>
        <v>-</v>
      </c>
      <c r="DW367" s="1104" t="str">
        <f>IF(DQ366&lt;&gt;"",DW366/DQ366-1,"-")</f>
        <v>-</v>
      </c>
      <c r="DX367" s="141"/>
      <c r="DY367" s="244">
        <f>IF(DS366&lt;&gt;"",DY366/DS366-1,"-")</f>
        <v>-5.1181871459269335E-2</v>
      </c>
      <c r="DZ367" s="244">
        <f>IF(DT366&lt;&gt;"",DZ366/DT366-1,"-")</f>
        <v>-8.9292196007259572E-2</v>
      </c>
      <c r="EA367" s="244">
        <f>IF(DU366&lt;&gt;"",EA366/DU366-1,"-")</f>
        <v>5.3783231083844418E-2</v>
      </c>
      <c r="EB367" s="244">
        <f>IF(DV366&lt;&gt;"",EB366/DV366-1,"-")</f>
        <v>0.15857740585774049</v>
      </c>
      <c r="EC367" s="1104">
        <f>IF(DW366&lt;&gt;"",EC366/DW366-1,"-")</f>
        <v>1.3153357308241631E-2</v>
      </c>
      <c r="ED367" s="141"/>
      <c r="EE367" s="244">
        <f>IF(DY366&lt;&gt;"",EE366/DY366-1,"-")</f>
        <v>0.14602332103228521</v>
      </c>
      <c r="EF367" s="244">
        <f>IF(DZ366&lt;&gt;"",EF366/DZ366-1,"-")</f>
        <v>0.18485391747200608</v>
      </c>
      <c r="EG367" s="244">
        <f>IF(EA366&lt;&gt;"",EG366/EA366-1,"-")</f>
        <v>0.23367769812459582</v>
      </c>
      <c r="EH367" s="244">
        <f>IF(EB366&lt;&gt;"",EH366/EB366-1,"-")</f>
        <v>0.28689653884862265</v>
      </c>
      <c r="EI367" s="1104">
        <f>IF(EC366&lt;&gt;"",EI366/EC366-1,"-")</f>
        <v>0.21539465324847096</v>
      </c>
      <c r="EJ367" s="141"/>
      <c r="EK367" s="244">
        <f>IF(EE366&lt;&gt;"",EK366/EE366-1,"-")</f>
        <v>0.24073792687749473</v>
      </c>
      <c r="EL367" s="244">
        <f>IF(EF366&lt;&gt;"",EL366/EF366-1,"-")</f>
        <v>0.23254687595964341</v>
      </c>
      <c r="EM367" s="244">
        <f>IF(EG366&lt;&gt;"",EM366/EG366-1,"-")</f>
        <v>0.23808425856240345</v>
      </c>
      <c r="EN367" s="244">
        <f>IF(EH366&lt;&gt;"",EN366/EH366-1,"-")</f>
        <v>0.2560318886462698</v>
      </c>
      <c r="EO367" s="1104">
        <f>IF(EI366&lt;&gt;"",EO366/EI366-1,"-")</f>
        <v>0.24247530152446917</v>
      </c>
      <c r="EP367" s="141"/>
      <c r="EQ367" s="244">
        <f>IF(EK366&lt;&gt;"",EQ366/EK366-1,"-")</f>
        <v>0.11218875625011249</v>
      </c>
      <c r="ER367" s="244">
        <f>IF(EL366&lt;&gt;"",ER366/EL366-1,"-")</f>
        <v>0.18165299654016764</v>
      </c>
      <c r="ES367" s="244">
        <f>IF(EM366&lt;&gt;"",ES366/EM366-1,"-")</f>
        <v>0.22896612228891833</v>
      </c>
      <c r="ET367" s="244">
        <f>IF(EN366&lt;&gt;"",ET366/EN366-1,"-")</f>
        <v>0.26857853355918526</v>
      </c>
      <c r="EU367" s="1104">
        <f>IF(EO366&lt;&gt;"",EU366/EO366-1,"-")</f>
        <v>0.20325113023107866</v>
      </c>
    </row>
    <row r="368" spans="1:151" s="2253" customFormat="1" ht="13.5" customHeight="1">
      <c r="A368" s="583" t="s">
        <v>344</v>
      </c>
      <c r="B368" s="147"/>
      <c r="C368" s="147"/>
      <c r="D368" s="147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263"/>
      <c r="AH368" s="263"/>
      <c r="AI368" s="263"/>
      <c r="AJ368" s="263"/>
      <c r="AK368" s="141"/>
      <c r="AL368" s="147"/>
      <c r="AM368" s="263"/>
      <c r="AN368" s="263"/>
      <c r="AO368" s="263"/>
      <c r="AP368" s="263"/>
      <c r="AQ368" s="141"/>
      <c r="AR368" s="147"/>
      <c r="AS368" s="263"/>
      <c r="AT368" s="263"/>
      <c r="AU368" s="263"/>
      <c r="AV368" s="263"/>
      <c r="AW368" s="141"/>
      <c r="AX368" s="147"/>
      <c r="AY368" s="263"/>
      <c r="AZ368" s="263"/>
      <c r="BA368" s="263"/>
      <c r="BB368" s="263"/>
      <c r="BC368" s="141"/>
      <c r="BD368" s="147"/>
      <c r="BE368" s="263"/>
      <c r="BF368" s="263"/>
      <c r="BG368" s="263"/>
      <c r="BH368" s="263"/>
      <c r="BI368" s="141"/>
      <c r="BJ368" s="147"/>
      <c r="BK368" s="263"/>
      <c r="BL368" s="263"/>
      <c r="BM368" s="263"/>
      <c r="BN368" s="263"/>
      <c r="BO368" s="1105"/>
      <c r="BP368" s="147"/>
      <c r="BQ368" s="263"/>
      <c r="BR368" s="263"/>
      <c r="BS368" s="263"/>
      <c r="BT368" s="263"/>
      <c r="BU368" s="1105"/>
      <c r="BV368" s="147"/>
      <c r="BW368" s="263"/>
      <c r="BX368" s="263"/>
      <c r="BY368" s="263"/>
      <c r="BZ368" s="263"/>
      <c r="CA368" s="1105"/>
      <c r="CB368" s="147"/>
      <c r="CC368" s="263"/>
      <c r="CD368" s="263"/>
      <c r="CE368" s="263"/>
      <c r="CF368" s="263"/>
      <c r="CG368" s="1105"/>
      <c r="CH368" s="147"/>
      <c r="CI368" s="263"/>
      <c r="CJ368" s="263"/>
      <c r="CK368" s="263"/>
      <c r="CL368" s="263"/>
      <c r="CM368" s="1105"/>
      <c r="CN368" s="147"/>
      <c r="CO368" s="263"/>
      <c r="CP368" s="263"/>
      <c r="CQ368" s="263"/>
      <c r="CR368" s="263"/>
      <c r="CS368" s="1105"/>
      <c r="CT368" s="141"/>
      <c r="CU368" s="263"/>
      <c r="CV368" s="263"/>
      <c r="CW368" s="263"/>
      <c r="CX368" s="263"/>
      <c r="CY368" s="1105"/>
      <c r="CZ368" s="141"/>
      <c r="DA368" s="263"/>
      <c r="DB368" s="263"/>
      <c r="DC368" s="263"/>
      <c r="DD368" s="263"/>
      <c r="DE368" s="1105"/>
      <c r="DF368" s="141"/>
      <c r="DG368" s="263"/>
      <c r="DH368" s="263"/>
      <c r="DI368" s="263"/>
      <c r="DJ368" s="263"/>
      <c r="DK368" s="1105"/>
      <c r="DL368" s="147"/>
      <c r="DM368" s="263"/>
      <c r="DN368" s="263"/>
      <c r="DO368" s="263"/>
      <c r="DP368" s="263"/>
      <c r="DQ368" s="1105"/>
      <c r="DR368" s="141"/>
      <c r="DS368" s="244" t="str">
        <f>IF(DP366&lt;&gt;"",DS366/DP366-1,"-")</f>
        <v>-</v>
      </c>
      <c r="DT368" s="244">
        <f>IF(DS366&lt;&gt;"",DT366/DS366-1,"-")</f>
        <v>7.6382105880054674E-2</v>
      </c>
      <c r="DU368" s="244">
        <f>IF(DT366&lt;&gt;"",DU366/DT366-1,"-")</f>
        <v>-0.11252268602540838</v>
      </c>
      <c r="DV368" s="244">
        <f>IF(DU366&lt;&gt;"",DV366/DU366-1,"-")</f>
        <v>-2.249488752556239E-2</v>
      </c>
      <c r="DW368" s="1105"/>
      <c r="DX368" s="141"/>
      <c r="DY368" s="244">
        <f>IF(DV366&lt;&gt;"",DY366/DV366-1,"-")</f>
        <v>1.6108786610878667E-2</v>
      </c>
      <c r="DZ368" s="244">
        <f>IF(DY366&lt;&gt;"",DZ366/DY366-1,"-")</f>
        <v>3.3148033765698859E-2</v>
      </c>
      <c r="EA368" s="244">
        <f>IF(DZ366&lt;&gt;"",EA366/DZ366-1,"-")</f>
        <v>2.6903148664806809E-2</v>
      </c>
      <c r="EB368" s="244">
        <f>IF(EA366&lt;&gt;"",EB366/EA366-1,"-")</f>
        <v>7.471375897535415E-2</v>
      </c>
      <c r="EC368" s="1105"/>
      <c r="ED368" s="141"/>
      <c r="EE368" s="244">
        <f>IF(EB366&lt;&gt;"",EE366/EB366-1,"-")</f>
        <v>5.0984597785859176E-3</v>
      </c>
      <c r="EF368" s="244">
        <f>IF(EE366&lt;&gt;"",EF366/EE366-1,"-")</f>
        <v>6.8154087853246503E-2</v>
      </c>
      <c r="EG368" s="244">
        <f>IF(EF366&lt;&gt;"",EG366/EF366-1,"-")</f>
        <v>6.9218317938025464E-2</v>
      </c>
      <c r="EH368" s="244">
        <f>IF(EG366&lt;&gt;"",EH366/EG366-1,"-")</f>
        <v>0.12107515502699373</v>
      </c>
      <c r="EI368" s="1105"/>
      <c r="EJ368" s="141"/>
      <c r="EK368" s="244">
        <f>IF(EH366&lt;&gt;"",EK366/EH366-1,"-")</f>
        <v>-3.0952573383105642E-2</v>
      </c>
      <c r="EL368" s="244">
        <f>IF(EK366&lt;&gt;"",EL366/EK366-1,"-")</f>
        <v>6.11023935895465E-2</v>
      </c>
      <c r="EM368" s="244">
        <f>IF(EL366&lt;&gt;"",EM366/EL366-1,"-")</f>
        <v>7.402192502817595E-2</v>
      </c>
      <c r="EN368" s="244">
        <f>IF(EM366&lt;&gt;"",EN366/EM366-1,"-")</f>
        <v>0.13732658705957634</v>
      </c>
      <c r="EO368" s="1105"/>
      <c r="EP368" s="141"/>
      <c r="EQ368" s="244">
        <f>IF(EN366&lt;&gt;"",EQ366/EN366-1,"-")</f>
        <v>-0.14192970584687026</v>
      </c>
      <c r="ER368" s="244">
        <f>IF(EQ366&lt;&gt;"",ER366/EQ366-1,"-")</f>
        <v>0.12737592065627856</v>
      </c>
      <c r="ES368" s="244">
        <f>IF(ER366&lt;&gt;"",ES366/ER366-1,"-")</f>
        <v>0.11702552637692931</v>
      </c>
      <c r="ET368" s="244">
        <f>IF(ES366&lt;&gt;"",ET366/ES366-1,"-")</f>
        <v>0.17398524485178979</v>
      </c>
      <c r="EU368" s="1105"/>
    </row>
    <row r="369" spans="1:196" s="2253" customFormat="1" ht="13.5" customHeight="1">
      <c r="A369" s="1780"/>
      <c r="B369" s="147"/>
      <c r="C369" s="147"/>
      <c r="D369" s="147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263"/>
      <c r="AH369" s="263"/>
      <c r="AI369" s="263"/>
      <c r="AJ369" s="263"/>
      <c r="AK369" s="141"/>
      <c r="AL369" s="147"/>
      <c r="AM369" s="263"/>
      <c r="AN369" s="263"/>
      <c r="AO369" s="263"/>
      <c r="AP369" s="263"/>
      <c r="AQ369" s="141"/>
      <c r="AR369" s="147"/>
      <c r="AS369" s="263"/>
      <c r="AT369" s="263"/>
      <c r="AU369" s="263"/>
      <c r="AV369" s="263"/>
      <c r="AW369" s="141"/>
      <c r="AX369" s="147"/>
      <c r="AY369" s="263"/>
      <c r="AZ369" s="263"/>
      <c r="BA369" s="263"/>
      <c r="BB369" s="263"/>
      <c r="BC369" s="141"/>
      <c r="BD369" s="147"/>
      <c r="BE369" s="263"/>
      <c r="BF369" s="263"/>
      <c r="BG369" s="263"/>
      <c r="BH369" s="263"/>
      <c r="BI369" s="141"/>
      <c r="BJ369" s="147"/>
      <c r="BK369" s="263"/>
      <c r="BL369" s="263"/>
      <c r="BM369" s="263"/>
      <c r="BN369" s="263"/>
      <c r="BO369" s="1105"/>
      <c r="BP369" s="147"/>
      <c r="BQ369" s="263"/>
      <c r="BR369" s="263"/>
      <c r="BS369" s="263"/>
      <c r="BT369" s="263"/>
      <c r="BU369" s="1105"/>
      <c r="BV369" s="147"/>
      <c r="BW369" s="263"/>
      <c r="BX369" s="263"/>
      <c r="BY369" s="263"/>
      <c r="BZ369" s="263"/>
      <c r="CA369" s="1105"/>
      <c r="CB369" s="147"/>
      <c r="CC369" s="263"/>
      <c r="CD369" s="263"/>
      <c r="CE369" s="263"/>
      <c r="CF369" s="263"/>
      <c r="CG369" s="1105"/>
      <c r="CH369" s="147"/>
      <c r="CI369" s="263"/>
      <c r="CJ369" s="263"/>
      <c r="CK369" s="263"/>
      <c r="CL369" s="263"/>
      <c r="CM369" s="1105"/>
      <c r="CN369" s="147"/>
      <c r="CO369" s="263"/>
      <c r="CP369" s="263"/>
      <c r="CQ369" s="263"/>
      <c r="CR369" s="263"/>
      <c r="CS369" s="1105"/>
      <c r="CT369" s="141"/>
      <c r="CU369" s="263"/>
      <c r="CV369" s="263"/>
      <c r="CW369" s="263"/>
      <c r="CX369" s="263"/>
      <c r="CY369" s="1105"/>
      <c r="CZ369" s="141"/>
      <c r="DA369" s="263"/>
      <c r="DB369" s="263"/>
      <c r="DC369" s="263"/>
      <c r="DD369" s="263"/>
      <c r="DE369" s="1105"/>
      <c r="DF369" s="141"/>
      <c r="DG369" s="263"/>
      <c r="DH369" s="263"/>
      <c r="DI369" s="263"/>
      <c r="DJ369" s="263"/>
      <c r="DK369" s="1105"/>
      <c r="DL369" s="147"/>
      <c r="DM369" s="263"/>
      <c r="DN369" s="263"/>
      <c r="DO369" s="263"/>
      <c r="DP369" s="263"/>
      <c r="DQ369" s="1105"/>
      <c r="DR369" s="141"/>
      <c r="DS369" s="263"/>
      <c r="DT369" s="263"/>
      <c r="DU369" s="263"/>
      <c r="DV369" s="263"/>
      <c r="DW369" s="1105"/>
      <c r="DX369" s="141"/>
      <c r="DY369" s="263"/>
      <c r="DZ369" s="263"/>
      <c r="EA369" s="1767"/>
      <c r="EB369" s="263"/>
      <c r="EC369" s="1164"/>
      <c r="ED369" s="141"/>
      <c r="EE369" s="263"/>
      <c r="EF369" s="263"/>
      <c r="EG369" s="263"/>
      <c r="EH369" s="263"/>
      <c r="EI369" s="1164"/>
      <c r="EJ369" s="141"/>
      <c r="EK369" s="263"/>
      <c r="EL369" s="263"/>
      <c r="EM369" s="263"/>
      <c r="EN369" s="263"/>
      <c r="EO369" s="1164"/>
      <c r="EP369" s="141"/>
      <c r="EQ369" s="263"/>
      <c r="ER369" s="263"/>
      <c r="ES369" s="263"/>
      <c r="ET369" s="263"/>
      <c r="EU369" s="1164"/>
    </row>
    <row r="370" spans="1:196" ht="13.5" hidden="1" customHeight="1">
      <c r="A370" s="25" t="s">
        <v>4584</v>
      </c>
      <c r="B370" s="782"/>
      <c r="C370" s="782"/>
      <c r="D370" s="782"/>
      <c r="E370" s="782"/>
      <c r="F370" s="782"/>
      <c r="G370" s="782"/>
      <c r="H370" s="782"/>
      <c r="I370" s="782"/>
      <c r="J370" s="782"/>
      <c r="K370" s="782"/>
      <c r="L370" s="782"/>
      <c r="M370" s="782"/>
      <c r="N370" s="782"/>
      <c r="O370" s="782"/>
      <c r="P370" s="782"/>
      <c r="Q370" s="782"/>
      <c r="R370" s="782"/>
      <c r="S370" s="782"/>
      <c r="T370" s="782"/>
      <c r="U370" s="782"/>
      <c r="V370" s="782"/>
      <c r="W370" s="782"/>
      <c r="X370" s="782"/>
      <c r="Y370" s="782"/>
      <c r="Z370" s="782"/>
      <c r="AA370" s="782"/>
      <c r="AB370" s="782"/>
      <c r="AC370" s="782"/>
      <c r="AD370" s="782"/>
      <c r="AE370" s="782"/>
      <c r="AF370" s="782"/>
      <c r="AG370" s="784">
        <f>AG327+AG331</f>
        <v>33.957000000000001</v>
      </c>
      <c r="AH370" s="784">
        <f>AH327+AH331</f>
        <v>72.33</v>
      </c>
      <c r="AI370" s="784">
        <f>AI327+AI331</f>
        <v>60.616</v>
      </c>
      <c r="AJ370" s="784">
        <f>AJ327+AJ331</f>
        <v>108.476</v>
      </c>
      <c r="AK370" s="502">
        <f>SUM(AG370:AJ370)</f>
        <v>275.37900000000002</v>
      </c>
      <c r="AL370" s="782"/>
      <c r="AM370" s="784">
        <f>AM327+AM331</f>
        <v>54.563000000000002</v>
      </c>
      <c r="AN370" s="784">
        <f>AN327+AN331</f>
        <v>44.566000000000003</v>
      </c>
      <c r="AO370" s="784">
        <f>AO327+AO331</f>
        <v>41.730000000000004</v>
      </c>
      <c r="AP370" s="784">
        <f>AP327+AP331</f>
        <v>59.942</v>
      </c>
      <c r="AQ370" s="502">
        <f>SUM(AM370:AP370)</f>
        <v>200.80100000000002</v>
      </c>
      <c r="AR370" s="782"/>
      <c r="AS370" s="784">
        <f>AS327+AS331</f>
        <v>54.484999999999999</v>
      </c>
      <c r="AT370" s="784">
        <f>AT327+AT331</f>
        <v>74.271000000000001</v>
      </c>
      <c r="AU370" s="784">
        <f>AU327+AU331</f>
        <v>87.159000000000006</v>
      </c>
      <c r="AV370" s="784">
        <f>AV327+AV331</f>
        <v>132.99099999999999</v>
      </c>
      <c r="AW370" s="502">
        <f>SUM(AS370:AV370)</f>
        <v>348.90600000000001</v>
      </c>
      <c r="AX370" s="782"/>
      <c r="AY370" s="877">
        <f>AY327+AY331</f>
        <v>103.5</v>
      </c>
      <c r="AZ370" s="877">
        <f>AZ327+AZ331</f>
        <v>87</v>
      </c>
      <c r="BA370" s="877">
        <f>BA327+BA331</f>
        <v>100.6</v>
      </c>
      <c r="BB370" s="877">
        <f>BB327+BB331</f>
        <v>143.80000000000001</v>
      </c>
      <c r="BC370" s="501">
        <f>SUM(AY370:BB370)</f>
        <v>434.90000000000003</v>
      </c>
      <c r="BD370" s="604"/>
      <c r="BE370" s="877">
        <f>BE327+BE331</f>
        <v>120.1</v>
      </c>
      <c r="BF370" s="877">
        <f>BF327+BF331</f>
        <v>134.9</v>
      </c>
      <c r="BG370" s="877">
        <f>BG327+BG331</f>
        <v>136.4</v>
      </c>
      <c r="BH370" s="877">
        <f>BH327+BH331</f>
        <v>155.1</v>
      </c>
      <c r="BI370" s="501">
        <f>SUM(BE370:BH370)</f>
        <v>546.5</v>
      </c>
      <c r="BJ370" s="604"/>
      <c r="BK370" s="877">
        <f>BK327+BK331</f>
        <v>161.80000000000001</v>
      </c>
      <c r="BL370" s="877">
        <f>BL327+BL331</f>
        <v>153.19999999999999</v>
      </c>
      <c r="BM370" s="877">
        <f>BM327+BM331</f>
        <v>161.5</v>
      </c>
      <c r="BN370" s="877">
        <f>BN327+BN331</f>
        <v>200.7</v>
      </c>
      <c r="BO370" s="1152">
        <f>SUM(BK370:BN370)</f>
        <v>677.2</v>
      </c>
      <c r="BP370" s="604"/>
      <c r="BQ370" s="877">
        <f>BQ327+BQ331</f>
        <v>196.4</v>
      </c>
      <c r="BR370" s="877">
        <f>BR327+BR331</f>
        <v>178.3</v>
      </c>
      <c r="BS370" s="877">
        <f>BS327+BS331</f>
        <v>186.05</v>
      </c>
      <c r="BT370" s="877">
        <f>BT327+BT331</f>
        <v>203.1</v>
      </c>
      <c r="BU370" s="1152">
        <f>SUM(BQ370:BT370)</f>
        <v>763.85</v>
      </c>
      <c r="BV370" s="604"/>
      <c r="BW370" s="877">
        <f>BW327+BW331</f>
        <v>227.66</v>
      </c>
      <c r="BX370" s="877">
        <f>BX327+BX331</f>
        <v>238</v>
      </c>
      <c r="BY370" s="877">
        <f>BY327+BY331</f>
        <v>228.6</v>
      </c>
      <c r="BZ370" s="877">
        <f>BZ327+BZ331</f>
        <v>213.8</v>
      </c>
      <c r="CA370" s="1152">
        <f>SUM(BW370:BZ370)</f>
        <v>908.06</v>
      </c>
      <c r="CB370" s="604"/>
      <c r="CC370" s="877">
        <f>CC327+CC331</f>
        <v>225.2</v>
      </c>
      <c r="CD370" s="877">
        <f>CD327+CD331</f>
        <v>209.9</v>
      </c>
      <c r="CE370" s="877">
        <f>CE327+CE331</f>
        <v>206.8</v>
      </c>
      <c r="CF370" s="877">
        <f>CF327+CF331</f>
        <v>223.1</v>
      </c>
      <c r="CG370" s="1152">
        <f>SUM(CC370:CF370)</f>
        <v>865.00000000000011</v>
      </c>
      <c r="CH370" s="604"/>
      <c r="CI370" s="877">
        <f>CI327+CI331</f>
        <v>245.8</v>
      </c>
      <c r="CJ370" s="877">
        <f>CJ327+CJ331</f>
        <v>210.1</v>
      </c>
      <c r="CK370" s="501">
        <f>CK327+CK331</f>
        <v>226.7</v>
      </c>
      <c r="CL370" s="877">
        <f>CL327+CL331</f>
        <v>259.10000000000002</v>
      </c>
      <c r="CM370" s="1152">
        <f>SUM(CI370:CL370)</f>
        <v>941.69999999999993</v>
      </c>
      <c r="CN370" s="604"/>
      <c r="CO370" s="877">
        <f>CO327+CO331</f>
        <v>258.3</v>
      </c>
      <c r="CP370" s="877">
        <f>CP327+CP331</f>
        <v>254.3</v>
      </c>
      <c r="CQ370" s="877">
        <f>CQ327+CQ331</f>
        <v>254.2</v>
      </c>
      <c r="CR370" s="877">
        <f>CR327+CR331</f>
        <v>276.2</v>
      </c>
      <c r="CS370" s="1152">
        <f>SUM(CO370:CR370)</f>
        <v>1043</v>
      </c>
      <c r="CT370" s="501"/>
      <c r="CU370" s="877">
        <f>CU327+CU331</f>
        <v>280.3</v>
      </c>
      <c r="CV370" s="877">
        <f>CV327+CV331</f>
        <v>269</v>
      </c>
      <c r="CW370" s="877">
        <f>CW327+CW331</f>
        <v>270</v>
      </c>
      <c r="CX370" s="877">
        <f>CX327+CX331</f>
        <v>304</v>
      </c>
      <c r="CY370" s="1152">
        <f>SUM(CU370:CX370)</f>
        <v>1123.3</v>
      </c>
      <c r="CZ370" s="501"/>
      <c r="DA370" s="877">
        <f>DA327+DA331</f>
        <v>289.2</v>
      </c>
      <c r="DB370" s="877">
        <f>DB327+DB331</f>
        <v>279.10000000000002</v>
      </c>
      <c r="DC370" s="877">
        <f>DC327+DC331</f>
        <v>286.5</v>
      </c>
      <c r="DD370" s="877">
        <f>DD327+DD331</f>
        <v>321.7</v>
      </c>
      <c r="DE370" s="1152">
        <f>SUM(DA370:DD370)</f>
        <v>1176.5</v>
      </c>
      <c r="DF370" s="501"/>
      <c r="DG370" s="877">
        <f>DG327+DG331</f>
        <v>331.29</v>
      </c>
      <c r="DH370" s="877">
        <f>DH327+DH331</f>
        <v>332.6</v>
      </c>
      <c r="DI370" s="877">
        <f>DI327+DI331</f>
        <v>349.34000000000003</v>
      </c>
      <c r="DJ370" s="877">
        <f>DJ327+DJ331</f>
        <v>421.90000000000003</v>
      </c>
      <c r="DK370" s="1152">
        <f>SUM(DG370:DJ370)</f>
        <v>1435.13</v>
      </c>
      <c r="DL370" s="604"/>
      <c r="DM370" s="877">
        <f>DM327+DM331</f>
        <v>319.8</v>
      </c>
      <c r="DN370" s="877">
        <f>DN327+DN331</f>
        <v>319</v>
      </c>
      <c r="DO370" s="877">
        <f>DO327+DO331</f>
        <v>318.89999999999998</v>
      </c>
      <c r="DP370" s="877">
        <f>DP327+DP331</f>
        <v>319.5</v>
      </c>
      <c r="DQ370" s="1152">
        <f>SUM(DM370:DP370)</f>
        <v>1277.1999999999998</v>
      </c>
      <c r="DR370" s="501"/>
      <c r="DS370" s="877">
        <f>DS327+DS331</f>
        <v>326</v>
      </c>
      <c r="DT370" s="877">
        <f>DT327+DT331</f>
        <v>322</v>
      </c>
      <c r="DU370" s="877">
        <f>DU327+DU331</f>
        <v>319.5</v>
      </c>
      <c r="DV370" s="877">
        <f>DV327+DV331</f>
        <v>322.5</v>
      </c>
      <c r="DW370" s="1152">
        <f>SUM(DS370:DV370)</f>
        <v>1290</v>
      </c>
      <c r="DX370" s="501"/>
      <c r="DY370" s="877">
        <f>DY327+DY331</f>
        <v>0</v>
      </c>
      <c r="DZ370" s="877">
        <f>DZ327+DZ331</f>
        <v>0</v>
      </c>
      <c r="EA370" s="877"/>
      <c r="EB370" s="877">
        <f>EB327+EB331</f>
        <v>0</v>
      </c>
      <c r="EC370" s="1152">
        <f>SUM(DY370:EB370)</f>
        <v>0</v>
      </c>
      <c r="ED370" s="501"/>
      <c r="EE370" s="877">
        <f>EE327+EE331</f>
        <v>0</v>
      </c>
      <c r="EF370" s="877">
        <f>EF327+EF331</f>
        <v>0</v>
      </c>
      <c r="EG370" s="877">
        <f>EG327+EG331</f>
        <v>0</v>
      </c>
      <c r="EH370" s="877">
        <f>EH327+EH331</f>
        <v>0</v>
      </c>
      <c r="EI370" s="1152">
        <f>SUM(EE370:EH370)</f>
        <v>0</v>
      </c>
      <c r="EJ370" s="501"/>
      <c r="EK370" s="877">
        <f>EK327+EK331</f>
        <v>0</v>
      </c>
      <c r="EL370" s="877">
        <f>EL327+EL331</f>
        <v>0</v>
      </c>
      <c r="EM370" s="877">
        <f>EM327+EM331</f>
        <v>0</v>
      </c>
      <c r="EN370" s="877">
        <f>EN327+EN331</f>
        <v>0</v>
      </c>
      <c r="EO370" s="1152">
        <f>SUM(EK370:EN370)</f>
        <v>0</v>
      </c>
      <c r="EP370" s="501"/>
      <c r="EQ370" s="877">
        <f>EQ327+EQ331</f>
        <v>0</v>
      </c>
      <c r="ER370" s="877">
        <f>ER327+ER331</f>
        <v>0</v>
      </c>
      <c r="ES370" s="877">
        <f>ES327+ES331</f>
        <v>0</v>
      </c>
      <c r="ET370" s="877">
        <f>ET327+ET331</f>
        <v>0</v>
      </c>
      <c r="EU370" s="1152">
        <f>SUM(EQ370:ET370)</f>
        <v>0</v>
      </c>
    </row>
    <row r="371" spans="1:196" ht="13.5" hidden="1" customHeight="1">
      <c r="A371" s="781" t="s">
        <v>345</v>
      </c>
      <c r="B371" s="782"/>
      <c r="C371" s="782"/>
      <c r="D371" s="782"/>
      <c r="E371" s="782"/>
      <c r="F371" s="782"/>
      <c r="G371" s="782"/>
      <c r="H371" s="782"/>
      <c r="I371" s="782"/>
      <c r="J371" s="782"/>
      <c r="K371" s="782"/>
      <c r="L371" s="782"/>
      <c r="M371" s="782"/>
      <c r="N371" s="782"/>
      <c r="O371" s="782"/>
      <c r="P371" s="782"/>
      <c r="Q371" s="782"/>
      <c r="R371" s="782"/>
      <c r="S371" s="782"/>
      <c r="T371" s="782"/>
      <c r="U371" s="782"/>
      <c r="V371" s="782"/>
      <c r="W371" s="782"/>
      <c r="X371" s="782"/>
      <c r="Y371" s="782"/>
      <c r="Z371" s="782"/>
      <c r="AA371" s="782"/>
      <c r="AB371" s="782"/>
      <c r="AC371" s="782"/>
      <c r="AD371" s="782"/>
      <c r="AE371" s="782"/>
      <c r="AF371" s="782"/>
      <c r="AG371" s="508" t="str">
        <f>IF(AA370&lt;&gt;"",AG370/AA370-1,"-")</f>
        <v>-</v>
      </c>
      <c r="AH371" s="508" t="str">
        <f>IF(AB370&lt;&gt;"",AH370/AB370-1,"-")</f>
        <v>-</v>
      </c>
      <c r="AI371" s="508" t="str">
        <f>IF(AC370&lt;&gt;"",AI370/AC370-1,"-")</f>
        <v>-</v>
      </c>
      <c r="AJ371" s="508" t="str">
        <f>IF(AD370&lt;&gt;"",AJ370/AD370-1,"-")</f>
        <v>-</v>
      </c>
      <c r="AK371" s="783"/>
      <c r="AL371" s="782"/>
      <c r="AM371" s="508">
        <f>IF(AG370&lt;&gt;"",AM370/AG370-1,"-")</f>
        <v>0.6068262802956681</v>
      </c>
      <c r="AN371" s="508">
        <f>IF(AH370&lt;&gt;"",AN370/AH370-1,"-")</f>
        <v>-0.38385179040508777</v>
      </c>
      <c r="AO371" s="508">
        <f>IF(AI370&lt;&gt;"",AO370/AI370-1,"-")</f>
        <v>-0.31156790286393021</v>
      </c>
      <c r="AP371" s="508">
        <f>IF(AJ370&lt;&gt;"",AP370/AJ370-1,"-")</f>
        <v>-0.44741694015266054</v>
      </c>
      <c r="AQ371" s="785">
        <f>IF(AK370&lt;&gt;"",AQ370/AK370-1,"-")</f>
        <v>-0.27081948877728512</v>
      </c>
      <c r="AR371" s="782"/>
      <c r="AS371" s="508">
        <f>IF(AM370&lt;&gt;"",AS370/AM370-1,"-")</f>
        <v>-1.4295401645804118E-3</v>
      </c>
      <c r="AT371" s="508">
        <f>IF(AN370&lt;&gt;"",AT370/AN370-1,"-")</f>
        <v>0.66653951442803927</v>
      </c>
      <c r="AU371" s="508">
        <f>IF(AO370&lt;&gt;"",AU370/AO370-1,"-")</f>
        <v>1.0886412652767792</v>
      </c>
      <c r="AV371" s="508">
        <f>IF(AP370&lt;&gt;"",AV370/AP370-1,"-")</f>
        <v>1.2186613726602378</v>
      </c>
      <c r="AW371" s="785">
        <f>IF(AQ370&lt;&gt;"",AW370/AQ370-1,"-")</f>
        <v>0.73757102803272878</v>
      </c>
      <c r="AX371" s="782"/>
      <c r="AY371" s="508">
        <f>IF(AS370&lt;&gt;"",AY370/AS370-1,"-")</f>
        <v>0.89960539598054523</v>
      </c>
      <c r="AZ371" s="508">
        <f>IF(AT370&lt;&gt;"",AZ370/AT370-1,"-")</f>
        <v>0.17138587066284283</v>
      </c>
      <c r="BA371" s="508">
        <f>IF(AU370&lt;&gt;"",BA370/AU370-1,"-")</f>
        <v>0.1542124163884393</v>
      </c>
      <c r="BB371" s="508">
        <f>IF(AV370&lt;&gt;"",BB370/AV370-1,"-")</f>
        <v>8.1276176583378046E-2</v>
      </c>
      <c r="BC371" s="785">
        <f>IF(AW370&lt;&gt;"",BC370/AW370-1,"-")</f>
        <v>0.24646752993642984</v>
      </c>
      <c r="BD371" s="782"/>
      <c r="BE371" s="508">
        <f>IF(AY370&lt;&gt;"",BE370/AY370-1,"-")</f>
        <v>0.1603864734299516</v>
      </c>
      <c r="BF371" s="508">
        <f>IF(AZ370&lt;&gt;"",BF370/AZ370-1,"-")</f>
        <v>0.55057471264367819</v>
      </c>
      <c r="BG371" s="508">
        <f>IF(BA370&lt;&gt;"",BG370/BA370-1,"-")</f>
        <v>0.35586481113320101</v>
      </c>
      <c r="BH371" s="508">
        <f>IF(BB370&lt;&gt;"",BH370/BB370-1,"-")</f>
        <v>7.8581363004172289E-2</v>
      </c>
      <c r="BI371" s="785">
        <f>IF(BC370&lt;&gt;"",BI370/BC370-1,"-")</f>
        <v>0.25661071510692102</v>
      </c>
      <c r="BJ371" s="782"/>
      <c r="BK371" s="508">
        <f>IF(BE370&lt;&gt;"",BK370/BE370-1,"-")</f>
        <v>0.34721065778517923</v>
      </c>
      <c r="BL371" s="508">
        <f>IF(BF370&lt;&gt;"",BL370/BF370-1,"-")</f>
        <v>0.13565604151223121</v>
      </c>
      <c r="BM371" s="508">
        <f>IF(BG370&lt;&gt;"",BM370/BG370-1,"-")</f>
        <v>0.18401759530791795</v>
      </c>
      <c r="BN371" s="508">
        <f>IF(BH370&lt;&gt;"",BN370/BH370-1,"-")</f>
        <v>0.29400386847195348</v>
      </c>
      <c r="BO371" s="1154">
        <f>IF(BI370&lt;&gt;"",BO370/BI370-1,"-")</f>
        <v>0.23915827996340355</v>
      </c>
      <c r="BP371" s="782"/>
      <c r="BQ371" s="508">
        <f>IF(BK370&lt;&gt;"",BQ370/BK370-1,"-")</f>
        <v>0.21384425216316427</v>
      </c>
      <c r="BR371" s="508">
        <f>IF(BL370&lt;&gt;"",BR370/BL370-1,"-")</f>
        <v>0.16383812010443877</v>
      </c>
      <c r="BS371" s="508">
        <f>IF(BM370&lt;&gt;"",BS370/BM370-1,"-")</f>
        <v>0.15201238390092886</v>
      </c>
      <c r="BT371" s="508">
        <f>IF(BN370&lt;&gt;"",BT370/BN370-1,"-")</f>
        <v>1.195814648729443E-2</v>
      </c>
      <c r="BU371" s="1154">
        <f>IF(BO370&lt;&gt;"",BU370/BO370-1,"-")</f>
        <v>0.12795333727111635</v>
      </c>
      <c r="BV371" s="782"/>
      <c r="BW371" s="508">
        <f>IF(BQ370&lt;&gt;"",BW370/BQ370-1,"-")</f>
        <v>0.15916496945010183</v>
      </c>
      <c r="BX371" s="508">
        <f>IF(BR370&lt;&gt;"",BX370/BR370-1,"-")</f>
        <v>0.33482893998878294</v>
      </c>
      <c r="BY371" s="508">
        <f>IF(BS370&lt;&gt;"",BY370/BS370-1,"-")</f>
        <v>0.22870196183821534</v>
      </c>
      <c r="BZ371" s="508">
        <f>IF(BT370&lt;&gt;"",BZ370/BT370-1,"-")</f>
        <v>5.2683407188577114E-2</v>
      </c>
      <c r="CA371" s="1154">
        <f>IF(BU370&lt;&gt;"",CA370/BU370-1,"-")</f>
        <v>0.18879361131112127</v>
      </c>
      <c r="CB371" s="782"/>
      <c r="CC371" s="508">
        <f>IF(BW370&lt;&gt;"",CC370/BW370-1,"-")</f>
        <v>-1.0805587279276163E-2</v>
      </c>
      <c r="CD371" s="508">
        <f>IF(BX370&lt;&gt;"",CD370/BX370-1,"-")</f>
        <v>-0.11806722689075633</v>
      </c>
      <c r="CE371" s="508">
        <f>IF(BY370&lt;&gt;"",CE370/BY370-1,"-")</f>
        <v>-9.5363079615048085E-2</v>
      </c>
      <c r="CF371" s="508">
        <f>IF(BZ370&lt;&gt;"",CF370/BZ370-1,"-")</f>
        <v>4.3498596819457447E-2</v>
      </c>
      <c r="CG371" s="1154">
        <f>IF(CA370&lt;&gt;"",CG370/CA370-1,"-")</f>
        <v>-4.7419774023742756E-2</v>
      </c>
      <c r="CH371" s="782"/>
      <c r="CI371" s="508">
        <f>IF(CC370&lt;&gt;"",CI370/CC370-1,"-")</f>
        <v>9.1474245115453101E-2</v>
      </c>
      <c r="CJ371" s="508">
        <f>IF(CD370&lt;&gt;"",CJ370/CD370-1,"-")</f>
        <v>9.5283468318241304E-4</v>
      </c>
      <c r="CK371" s="508">
        <f>IF(CE370&lt;&gt;"",CK370/CE370-1,"-")</f>
        <v>9.6228239845260966E-2</v>
      </c>
      <c r="CL371" s="508">
        <f>IF(CF370&lt;&gt;"",CL370/CF370-1,"-")</f>
        <v>0.16136261766024207</v>
      </c>
      <c r="CM371" s="1154">
        <f>IF(CG370&lt;&gt;"",CM370/CG370-1,"-")</f>
        <v>8.867052023121369E-2</v>
      </c>
      <c r="CN371" s="782"/>
      <c r="CO371" s="508">
        <f>IF(CI370&lt;&gt;"",CO370/CI370-1,"-")</f>
        <v>5.0854353132628205E-2</v>
      </c>
      <c r="CP371" s="508">
        <f>IF(CJ370&lt;&gt;"",CP370/CJ370-1,"-")</f>
        <v>0.21037601142313189</v>
      </c>
      <c r="CQ371" s="508">
        <f>IF(CK370&lt;&gt;"",CQ370/CK370-1,"-")</f>
        <v>0.12130569033965588</v>
      </c>
      <c r="CR371" s="508">
        <f>IF(CL370&lt;&gt;"",CR370/CL370-1,"-")</f>
        <v>6.5997684291779102E-2</v>
      </c>
      <c r="CS371" s="1154">
        <f>IF(CM370&lt;&gt;"",CS370/CM370-1,"-")</f>
        <v>0.1075714134012955</v>
      </c>
      <c r="CT371" s="785"/>
      <c r="CU371" s="508">
        <f>IF(CO370&lt;&gt;"",CU370/CO370-1,"-")</f>
        <v>8.5172280294231406E-2</v>
      </c>
      <c r="CV371" s="508">
        <f>IF(CP370&lt;&gt;"",CV370/CP370-1,"-")</f>
        <v>5.7805741250491538E-2</v>
      </c>
      <c r="CW371" s="508">
        <f>IF(CQ370&lt;&gt;"",CW370/CQ370-1,"-")</f>
        <v>6.2155782848151153E-2</v>
      </c>
      <c r="CX371" s="508">
        <f>IF(CR370&lt;&gt;"",CX370/CR370-1,"-")</f>
        <v>0.10065170166545978</v>
      </c>
      <c r="CY371" s="1154">
        <f>IF(CS370&lt;&gt;"",CY370/CS370-1,"-")</f>
        <v>7.6989453499520577E-2</v>
      </c>
      <c r="CZ371" s="785"/>
      <c r="DA371" s="508">
        <f>IF(CU370&lt;&gt;"",DA370/CU370-1,"-")</f>
        <v>3.1751694612914605E-2</v>
      </c>
      <c r="DB371" s="508">
        <f>IF(CV370&lt;&gt;"",DB370/CV370-1,"-")</f>
        <v>3.754646840148701E-2</v>
      </c>
      <c r="DC371" s="508">
        <f>IF(CW370&lt;&gt;"",DC370/CW370-1,"-")</f>
        <v>6.1111111111111116E-2</v>
      </c>
      <c r="DD371" s="508">
        <f>IF(CX370&lt;&gt;"",DD370/CX370-1,"-")</f>
        <v>5.8223684210526372E-2</v>
      </c>
      <c r="DE371" s="1154">
        <f>IF(CY370&lt;&gt;"",DE370/CY370-1,"-")</f>
        <v>4.7360455799875467E-2</v>
      </c>
      <c r="DF371" s="785"/>
      <c r="DG371" s="508">
        <f>IF(DA370&lt;&gt;"",DG370/DA370-1,"-")</f>
        <v>0.14553941908713708</v>
      </c>
      <c r="DH371" s="508">
        <f>IF(DB370&lt;&gt;"",DH370/DB370-1,"-")</f>
        <v>0.19168756718022206</v>
      </c>
      <c r="DI371" s="508">
        <f>IF(DC370&lt;&gt;"",DI370/DC370-1,"-")</f>
        <v>0.21933682373472951</v>
      </c>
      <c r="DJ371" s="508">
        <f>IF(DD370&lt;&gt;"",DJ370/DD370-1,"-")</f>
        <v>0.31147031395710312</v>
      </c>
      <c r="DK371" s="1154">
        <f>IF(DE370&lt;&gt;"",DK370/DE370-1,"-")</f>
        <v>0.21983000424989374</v>
      </c>
      <c r="DL371" s="782"/>
      <c r="DM371" s="508">
        <f>IF(DG370&lt;&gt;"",DM370/DG370-1,"-")</f>
        <v>-3.4682604364756009E-2</v>
      </c>
      <c r="DN371" s="508">
        <f>IF(DH370&lt;&gt;"",DN370/DH370-1,"-")</f>
        <v>-4.0889957907396357E-2</v>
      </c>
      <c r="DO371" s="508">
        <f>IF(DI370&lt;&gt;"",DO370/DI370-1,"-")</f>
        <v>-8.7135741684319146E-2</v>
      </c>
      <c r="DP371" s="508">
        <f>IF(DJ370&lt;&gt;"",DP370/DJ370-1,"-")</f>
        <v>-0.24271154301967302</v>
      </c>
      <c r="DQ371" s="1154">
        <f>IF(DK370&lt;&gt;"",DQ370/DK370-1,"-")</f>
        <v>-0.11004577982482444</v>
      </c>
      <c r="DR371" s="785"/>
      <c r="DS371" s="508">
        <f>IF(DM370&lt;&gt;"",DS370/DM370-1,"-")</f>
        <v>1.9387116948092586E-2</v>
      </c>
      <c r="DT371" s="508">
        <f>IF(DN370&lt;&gt;"",DT370/DN370-1,"-")</f>
        <v>9.4043887147334804E-3</v>
      </c>
      <c r="DU371" s="508">
        <f>IF(DO370&lt;&gt;"",DU370/DO370-1,"-")</f>
        <v>1.8814675446849893E-3</v>
      </c>
      <c r="DV371" s="508">
        <f>IF(DP370&lt;&gt;"",DV370/DP370-1,"-")</f>
        <v>9.3896713615022609E-3</v>
      </c>
      <c r="DW371" s="1154">
        <f>IF(DQ370&lt;&gt;"",DW370/DQ370-1,"-")</f>
        <v>1.0021922956467311E-2</v>
      </c>
      <c r="DX371" s="785"/>
      <c r="DY371" s="508">
        <f>IF(DS370&lt;&gt;"",DY370/DS370-1,"-")</f>
        <v>-1</v>
      </c>
      <c r="DZ371" s="508">
        <f>IF(DT370&lt;&gt;"",DZ370/DT370-1,"-")</f>
        <v>-1</v>
      </c>
      <c r="EA371" s="508"/>
      <c r="EB371" s="508">
        <f>IF(DV370&lt;&gt;"",EB370/DV370-1,"-")</f>
        <v>-1</v>
      </c>
      <c r="EC371" s="1154">
        <f>IF(DW370&lt;&gt;"",EC370/DW370-1,"-")</f>
        <v>-1</v>
      </c>
      <c r="ED371" s="785"/>
      <c r="EE371" s="508" t="e">
        <f>IF(DY370&lt;&gt;"",EE370/DY370-1,"-")</f>
        <v>#DIV/0!</v>
      </c>
      <c r="EF371" s="508" t="e">
        <f>IF(DZ370&lt;&gt;"",EF370/DZ370-1,"-")</f>
        <v>#DIV/0!</v>
      </c>
      <c r="EG371" s="508" t="str">
        <f>IF(EA370&lt;&gt;"",EG370/EA370-1,"-")</f>
        <v>-</v>
      </c>
      <c r="EH371" s="508" t="e">
        <f>IF(EB370&lt;&gt;"",EH370/EB370-1,"-")</f>
        <v>#DIV/0!</v>
      </c>
      <c r="EI371" s="1154" t="e">
        <f>IF(EC370&lt;&gt;"",EI370/EC370-1,"-")</f>
        <v>#DIV/0!</v>
      </c>
      <c r="EJ371" s="785"/>
      <c r="EK371" s="508" t="e">
        <f>IF(EE370&lt;&gt;"",EK370/EE370-1,"-")</f>
        <v>#DIV/0!</v>
      </c>
      <c r="EL371" s="508" t="e">
        <f>IF(EF370&lt;&gt;"",EL370/EF370-1,"-")</f>
        <v>#DIV/0!</v>
      </c>
      <c r="EM371" s="508" t="e">
        <f>IF(EG370&lt;&gt;"",EM370/EG370-1,"-")</f>
        <v>#DIV/0!</v>
      </c>
      <c r="EN371" s="508" t="e">
        <f>IF(EH370&lt;&gt;"",EN370/EH370-1,"-")</f>
        <v>#DIV/0!</v>
      </c>
      <c r="EO371" s="1154" t="e">
        <f>IF(EI370&lt;&gt;"",EO370/EI370-1,"-")</f>
        <v>#DIV/0!</v>
      </c>
      <c r="EP371" s="785"/>
      <c r="EQ371" s="508" t="e">
        <f>IF(EK370&lt;&gt;"",EQ370/EK370-1,"-")</f>
        <v>#DIV/0!</v>
      </c>
      <c r="ER371" s="508" t="e">
        <f>IF(EL370&lt;&gt;"",ER370/EL370-1,"-")</f>
        <v>#DIV/0!</v>
      </c>
      <c r="ES371" s="508" t="e">
        <f>IF(EM370&lt;&gt;"",ES370/EM370-1,"-")</f>
        <v>#DIV/0!</v>
      </c>
      <c r="ET371" s="508" t="e">
        <f>IF(EN370&lt;&gt;"",ET370/EN370-1,"-")</f>
        <v>#DIV/0!</v>
      </c>
      <c r="EU371" s="1154" t="e">
        <f>IF(EO370&lt;&gt;"",EU370/EO370-1,"-")</f>
        <v>#DIV/0!</v>
      </c>
    </row>
    <row r="372" spans="1:196" ht="13.5" hidden="1" customHeight="1">
      <c r="A372" s="781" t="s">
        <v>344</v>
      </c>
      <c r="B372" s="782"/>
      <c r="C372" s="782"/>
      <c r="D372" s="782"/>
      <c r="E372" s="782"/>
      <c r="F372" s="782"/>
      <c r="G372" s="782"/>
      <c r="H372" s="782"/>
      <c r="I372" s="782"/>
      <c r="J372" s="782"/>
      <c r="K372" s="782"/>
      <c r="L372" s="782"/>
      <c r="M372" s="782"/>
      <c r="N372" s="782"/>
      <c r="O372" s="782"/>
      <c r="P372" s="782"/>
      <c r="Q372" s="782"/>
      <c r="R372" s="782"/>
      <c r="S372" s="782"/>
      <c r="T372" s="782"/>
      <c r="U372" s="782"/>
      <c r="V372" s="782"/>
      <c r="W372" s="782"/>
      <c r="X372" s="782"/>
      <c r="Y372" s="782"/>
      <c r="Z372" s="782"/>
      <c r="AA372" s="782"/>
      <c r="AB372" s="782"/>
      <c r="AC372" s="782"/>
      <c r="AD372" s="782"/>
      <c r="AE372" s="782"/>
      <c r="AF372" s="782"/>
      <c r="AG372" s="508" t="str">
        <f>IF(AD370&lt;&gt;"",AG370/AD370-1,"-")</f>
        <v>-</v>
      </c>
      <c r="AH372" s="508">
        <f>IF(AG370&lt;&gt;"",AH370/AG370-1,"-")</f>
        <v>1.1300468239243751</v>
      </c>
      <c r="AI372" s="508">
        <f>IF(AH370&lt;&gt;"",AI370/AH370-1,"-")</f>
        <v>-0.16195216369417942</v>
      </c>
      <c r="AJ372" s="508">
        <f>IF(AI370&lt;&gt;"",AJ370/AI370-1,"-")</f>
        <v>0.78956051207601963</v>
      </c>
      <c r="AK372" s="783"/>
      <c r="AL372" s="782"/>
      <c r="AM372" s="508">
        <f>IF(AJ370&lt;&gt;"",AM370/AJ370-1,"-")</f>
        <v>-0.49700394557321437</v>
      </c>
      <c r="AN372" s="508">
        <f>IF(AM370&lt;&gt;"",AN370/AM370-1,"-")</f>
        <v>-0.18321939776038709</v>
      </c>
      <c r="AO372" s="508">
        <f>IF(AN370&lt;&gt;"",AO370/AN370-1,"-")</f>
        <v>-6.3635955661266452E-2</v>
      </c>
      <c r="AP372" s="508">
        <f>IF(AO370&lt;&gt;"",AP370/AO370-1,"-")</f>
        <v>0.43642463455547564</v>
      </c>
      <c r="AQ372" s="783" t="s">
        <v>6442</v>
      </c>
      <c r="AR372" s="782"/>
      <c r="AS372" s="508">
        <f>IF(AP370&lt;&gt;"",AS370/AP370-1,"-")</f>
        <v>-9.1038003403289824E-2</v>
      </c>
      <c r="AT372" s="508">
        <f>IF(AS370&lt;&gt;"",AT370/AS370-1,"-")</f>
        <v>0.36314581995044515</v>
      </c>
      <c r="AU372" s="508">
        <f>IF(AT370&lt;&gt;"",AU370/AT370-1,"-")</f>
        <v>0.17352667932301991</v>
      </c>
      <c r="AV372" s="508">
        <f>IF(AU370&lt;&gt;"",AV370/AU370-1,"-")</f>
        <v>0.52584357323971109</v>
      </c>
      <c r="AW372" s="783" t="s">
        <v>6442</v>
      </c>
      <c r="AX372" s="782"/>
      <c r="AY372" s="508">
        <f>IF(AV370&lt;&gt;"",AY370/AV370-1,"-")</f>
        <v>-0.22175184786940461</v>
      </c>
      <c r="AZ372" s="508">
        <f>IF(AY370&lt;&gt;"",AZ370/AY370-1,"-")</f>
        <v>-0.15942028985507251</v>
      </c>
      <c r="BA372" s="508">
        <f>IF(AZ370&lt;&gt;"",BA370/AZ370-1,"-")</f>
        <v>0.15632183908045971</v>
      </c>
      <c r="BB372" s="508">
        <f>IF(BA370&lt;&gt;"",BB370/BA370-1,"-")</f>
        <v>0.42942345924453296</v>
      </c>
      <c r="BC372" s="783" t="s">
        <v>6442</v>
      </c>
      <c r="BD372" s="782"/>
      <c r="BE372" s="508">
        <f>IF(BB370&lt;&gt;"",BE370/BB370-1,"-")</f>
        <v>-0.16481223922114063</v>
      </c>
      <c r="BF372" s="508">
        <f>IF(BE370&lt;&gt;"",BF370/BE370-1,"-")</f>
        <v>0.1232306411323898</v>
      </c>
      <c r="BG372" s="508">
        <f>IF(BF370&lt;&gt;"",BG370/BF370-1,"-")</f>
        <v>1.111934766493694E-2</v>
      </c>
      <c r="BH372" s="508">
        <f>IF(BG370&lt;&gt;"",BH370/BG370-1,"-")</f>
        <v>0.13709677419354827</v>
      </c>
      <c r="BI372" s="783" t="s">
        <v>6442</v>
      </c>
      <c r="BJ372" s="782"/>
      <c r="BK372" s="508">
        <f>IF(BH370&lt;&gt;"",BK370/BH370-1,"-")</f>
        <v>4.3197936814958204E-2</v>
      </c>
      <c r="BL372" s="508">
        <f>IF(BK370&lt;&gt;"",BL370/BK370-1,"-")</f>
        <v>-5.3152039555006358E-2</v>
      </c>
      <c r="BM372" s="508">
        <f>IF(BL370&lt;&gt;"",BM370/BL370-1,"-")</f>
        <v>5.4177545691906026E-2</v>
      </c>
      <c r="BN372" s="508">
        <f>IF(BM370&lt;&gt;"",BN370/BM370-1,"-")</f>
        <v>0.24272445820433419</v>
      </c>
      <c r="BO372" s="1111" t="s">
        <v>6442</v>
      </c>
      <c r="BP372" s="782"/>
      <c r="BQ372" s="508">
        <f>IF(BN370&lt;&gt;"",BQ370/BN370-1,"-")</f>
        <v>-2.1425012456402492E-2</v>
      </c>
      <c r="BR372" s="508">
        <f>IF(BQ370&lt;&gt;"",BR370/BQ370-1,"-")</f>
        <v>-9.2158859470468424E-2</v>
      </c>
      <c r="BS372" s="508">
        <f>IF(BR370&lt;&gt;"",BS370/BR370-1,"-")</f>
        <v>4.3466068424004467E-2</v>
      </c>
      <c r="BT372" s="508">
        <f>IF(BS370&lt;&gt;"",BT370/BS370-1,"-")</f>
        <v>9.1642031711905325E-2</v>
      </c>
      <c r="BU372" s="1111" t="s">
        <v>6442</v>
      </c>
      <c r="BV372" s="782"/>
      <c r="BW372" s="508">
        <f>IF(BT370&lt;&gt;"",BW370/BT370-1,"-")</f>
        <v>0.12092565238798625</v>
      </c>
      <c r="BX372" s="508">
        <f>IF(BW370&lt;&gt;"",BX370/BW370-1,"-")</f>
        <v>4.5418606694193064E-2</v>
      </c>
      <c r="BY372" s="508">
        <f>IF(BX370&lt;&gt;"",BY370/BX370-1,"-")</f>
        <v>-3.9495798319327702E-2</v>
      </c>
      <c r="BZ372" s="508">
        <f>IF(BY370&lt;&gt;"",BZ370/BY370-1,"-")</f>
        <v>-6.4741907261592235E-2</v>
      </c>
      <c r="CA372" s="1111" t="s">
        <v>6442</v>
      </c>
      <c r="CB372" s="782"/>
      <c r="CC372" s="508">
        <f>IF(BZ370&lt;&gt;"",CC370/BZ370-1,"-")</f>
        <v>5.3320860617399379E-2</v>
      </c>
      <c r="CD372" s="508">
        <f>IF(CC370&lt;&gt;"",CD370/CC370-1,"-")</f>
        <v>-6.7939609236234433E-2</v>
      </c>
      <c r="CE372" s="508">
        <f>IF(CD370&lt;&gt;"",CE370/CD370-1,"-")</f>
        <v>-1.4768937589328179E-2</v>
      </c>
      <c r="CF372" s="508">
        <f>IF(CE370&lt;&gt;"",CF370/CE370-1,"-")</f>
        <v>7.8820116054158618E-2</v>
      </c>
      <c r="CG372" s="1111" t="s">
        <v>6442</v>
      </c>
      <c r="CH372" s="782"/>
      <c r="CI372" s="508">
        <f>IF(CF370&lt;&gt;"",CI370/CF370-1,"-")</f>
        <v>0.10174809502465276</v>
      </c>
      <c r="CJ372" s="508">
        <f>IF(CI370&lt;&gt;"",CJ370/CI370-1,"-")</f>
        <v>-0.14524003254678608</v>
      </c>
      <c r="CK372" s="508">
        <f>IF(CJ370&lt;&gt;"",CK370/CJ370-1,"-")</f>
        <v>7.9009995240361786E-2</v>
      </c>
      <c r="CL372" s="508">
        <f>IF(CK370&lt;&gt;"",CL370/CK370-1,"-")</f>
        <v>0.1429201588001765</v>
      </c>
      <c r="CM372" s="1111" t="s">
        <v>6442</v>
      </c>
      <c r="CN372" s="782"/>
      <c r="CO372" s="508">
        <f>IF(CL370&lt;&gt;"",CO370/CL370-1,"-")</f>
        <v>-3.0876109610189495E-3</v>
      </c>
      <c r="CP372" s="508">
        <f>IF(CO370&lt;&gt;"",CP370/CO370-1,"-")</f>
        <v>-1.5485869144405751E-2</v>
      </c>
      <c r="CQ372" s="508">
        <f>IF(CP370&lt;&gt;"",CQ370/CP370-1,"-")</f>
        <v>-3.9323633503740574E-4</v>
      </c>
      <c r="CR372" s="508">
        <f>IF(CQ370&lt;&gt;"",CR370/CQ370-1,"-")</f>
        <v>8.6546026750590199E-2</v>
      </c>
      <c r="CS372" s="1111" t="s">
        <v>6442</v>
      </c>
      <c r="CT372" s="783"/>
      <c r="CU372" s="508">
        <f>IF(CR370&lt;&gt;"",CU370/CR370-1,"-")</f>
        <v>1.4844315713251399E-2</v>
      </c>
      <c r="CV372" s="508">
        <f>IF(CU370&lt;&gt;"",CV370/CU370-1,"-")</f>
        <v>-4.0313949339992883E-2</v>
      </c>
      <c r="CW372" s="508">
        <f>IF(CV370&lt;&gt;"",CW370/CV370-1,"-")</f>
        <v>3.7174721189590088E-3</v>
      </c>
      <c r="CX372" s="508">
        <f>IF(CW370&lt;&gt;"",CX370/CW370-1,"-")</f>
        <v>0.125925925925926</v>
      </c>
      <c r="CY372" s="1111" t="s">
        <v>6442</v>
      </c>
      <c r="CZ372" s="783"/>
      <c r="DA372" s="508">
        <f>IF(CX370&lt;&gt;"",DA370/CX370-1,"-")</f>
        <v>-4.8684210526315774E-2</v>
      </c>
      <c r="DB372" s="508">
        <f>IF(DA370&lt;&gt;"",DB370/DA370-1,"-")</f>
        <v>-3.4923928077454924E-2</v>
      </c>
      <c r="DC372" s="508">
        <f>IF(DB370&lt;&gt;"",DC370/DB370-1,"-")</f>
        <v>2.6513794338946628E-2</v>
      </c>
      <c r="DD372" s="508">
        <f>IF(DC370&lt;&gt;"",DD370/DC370-1,"-")</f>
        <v>0.12286212914485173</v>
      </c>
      <c r="DE372" s="1111" t="s">
        <v>6442</v>
      </c>
      <c r="DF372" s="783"/>
      <c r="DG372" s="508">
        <f>IF(DD370&lt;&gt;"",DG370/DD370-1,"-")</f>
        <v>2.9810382343798736E-2</v>
      </c>
      <c r="DH372" s="508">
        <f>IF(DG370&lt;&gt;"",DH370/DG370-1,"-")</f>
        <v>3.9542394880618392E-3</v>
      </c>
      <c r="DI372" s="508">
        <f>IF(DH370&lt;&gt;"",DI370/DH370-1,"-")</f>
        <v>5.0330727600721659E-2</v>
      </c>
      <c r="DJ372" s="508">
        <f>IF(DI370&lt;&gt;"",DJ370/DI370-1,"-")</f>
        <v>0.20770595980992734</v>
      </c>
      <c r="DK372" s="1111" t="s">
        <v>6442</v>
      </c>
      <c r="DL372" s="782"/>
      <c r="DM372" s="508">
        <f>IF(DJ370&lt;&gt;"",DM370/DJ370-1,"-")</f>
        <v>-0.24200047404598246</v>
      </c>
      <c r="DN372" s="508">
        <f>IF(DM370&lt;&gt;"",DN370/DM370-1,"-")</f>
        <v>-2.5015634771732298E-3</v>
      </c>
      <c r="DO372" s="508">
        <f>IF(DN370&lt;&gt;"",DO370/DN370-1,"-")</f>
        <v>-3.1347962382455297E-4</v>
      </c>
      <c r="DP372" s="508">
        <f>IF(DO370&lt;&gt;"",DP370/DO370-1,"-")</f>
        <v>1.8814675446849893E-3</v>
      </c>
      <c r="DQ372" s="1111" t="s">
        <v>6442</v>
      </c>
      <c r="DR372" s="783"/>
      <c r="DS372" s="508">
        <f>IF(DP370&lt;&gt;"",DS370/DP370-1,"-")</f>
        <v>2.0344287949921824E-2</v>
      </c>
      <c r="DT372" s="508">
        <f>IF(DS370&lt;&gt;"",DT370/DS370-1,"-")</f>
        <v>-1.2269938650306789E-2</v>
      </c>
      <c r="DU372" s="508">
        <f>IF(DT370&lt;&gt;"",DU370/DT370-1,"-")</f>
        <v>-7.76397515527949E-3</v>
      </c>
      <c r="DV372" s="508">
        <f>IF(DU370&lt;&gt;"",DV370/DU370-1,"-")</f>
        <v>9.3896713615022609E-3</v>
      </c>
      <c r="DW372" s="1111" t="s">
        <v>6442</v>
      </c>
      <c r="DX372" s="783"/>
      <c r="DY372" s="508">
        <f>IF(DV370&lt;&gt;"",DY370/DV370-1,"-")</f>
        <v>-1</v>
      </c>
      <c r="DZ372" s="508" t="e">
        <f>IF(DY370&lt;&gt;"",DZ370/DY370-1,"-")</f>
        <v>#DIV/0!</v>
      </c>
      <c r="EA372" s="508"/>
      <c r="EB372" s="508" t="str">
        <f>IF(EA370&lt;&gt;"",EB370/EA370-1,"-")</f>
        <v>-</v>
      </c>
      <c r="EC372" s="1111" t="s">
        <v>6442</v>
      </c>
      <c r="ED372" s="783"/>
      <c r="EE372" s="508" t="e">
        <f>IF(EB370&lt;&gt;"",EE370/EB370-1,"-")</f>
        <v>#DIV/0!</v>
      </c>
      <c r="EF372" s="508" t="e">
        <f>IF(EE370&lt;&gt;"",EF370/EE370-1,"-")</f>
        <v>#DIV/0!</v>
      </c>
      <c r="EG372" s="508" t="e">
        <f>IF(EF370&lt;&gt;"",EG370/EF370-1,"-")</f>
        <v>#DIV/0!</v>
      </c>
      <c r="EH372" s="508" t="e">
        <f>IF(EG370&lt;&gt;"",EH370/EG370-1,"-")</f>
        <v>#DIV/0!</v>
      </c>
      <c r="EI372" s="1111" t="s">
        <v>6442</v>
      </c>
      <c r="EJ372" s="783"/>
      <c r="EK372" s="508" t="e">
        <f>IF(EH370&lt;&gt;"",EK370/EH370-1,"-")</f>
        <v>#DIV/0!</v>
      </c>
      <c r="EL372" s="508" t="e">
        <f>IF(EK370&lt;&gt;"",EL370/EK370-1,"-")</f>
        <v>#DIV/0!</v>
      </c>
      <c r="EM372" s="508" t="e">
        <f>IF(EL370&lt;&gt;"",EM370/EL370-1,"-")</f>
        <v>#DIV/0!</v>
      </c>
      <c r="EN372" s="508" t="e">
        <f>IF(EM370&lt;&gt;"",EN370/EM370-1,"-")</f>
        <v>#DIV/0!</v>
      </c>
      <c r="EO372" s="1111" t="s">
        <v>6442</v>
      </c>
      <c r="EP372" s="783"/>
      <c r="EQ372" s="508" t="e">
        <f>IF(EN370&lt;&gt;"",EQ370/EN370-1,"-")</f>
        <v>#DIV/0!</v>
      </c>
      <c r="ER372" s="508" t="e">
        <f>IF(EQ370&lt;&gt;"",ER370/EQ370-1,"-")</f>
        <v>#DIV/0!</v>
      </c>
      <c r="ES372" s="508" t="e">
        <f>IF(ER370&lt;&gt;"",ES370/ER370-1,"-")</f>
        <v>#DIV/0!</v>
      </c>
      <c r="ET372" s="508" t="e">
        <f>IF(ES370&lt;&gt;"",ET370/ES370-1,"-")</f>
        <v>#DIV/0!</v>
      </c>
      <c r="EU372" s="1111" t="s">
        <v>6442</v>
      </c>
    </row>
    <row r="373" spans="1:196" ht="13.5" hidden="1" customHeight="1">
      <c r="A373" s="853" t="s">
        <v>5550</v>
      </c>
      <c r="B373" s="854"/>
      <c r="C373" s="854"/>
      <c r="D373" s="854"/>
      <c r="E373" s="854"/>
      <c r="F373" s="854"/>
      <c r="G373" s="854"/>
      <c r="H373" s="854"/>
      <c r="I373" s="854"/>
      <c r="J373" s="854"/>
      <c r="K373" s="854"/>
      <c r="L373" s="854"/>
      <c r="M373" s="854"/>
      <c r="N373" s="854"/>
      <c r="O373" s="854"/>
      <c r="P373" s="854"/>
      <c r="Q373" s="854"/>
      <c r="R373" s="854"/>
      <c r="S373" s="854"/>
      <c r="T373" s="854"/>
      <c r="U373" s="854"/>
      <c r="V373" s="854"/>
      <c r="W373" s="854"/>
      <c r="X373" s="854"/>
      <c r="Y373" s="854"/>
      <c r="Z373" s="854"/>
      <c r="AA373" s="854"/>
      <c r="AB373" s="854"/>
      <c r="AC373" s="854"/>
      <c r="AD373" s="854"/>
      <c r="AE373" s="854"/>
      <c r="AF373" s="854"/>
      <c r="AG373" s="855"/>
      <c r="AH373" s="855"/>
      <c r="AI373" s="855"/>
      <c r="AJ373" s="855"/>
      <c r="AK373" s="856"/>
      <c r="AL373" s="854"/>
      <c r="AM373" s="855"/>
      <c r="AN373" s="855"/>
      <c r="AO373" s="855"/>
      <c r="AP373" s="855"/>
      <c r="AQ373" s="856"/>
      <c r="AR373" s="854"/>
      <c r="AS373" s="855"/>
      <c r="AT373" s="855"/>
      <c r="AU373" s="855"/>
      <c r="AV373" s="855"/>
      <c r="AW373" s="856"/>
      <c r="AX373" s="857"/>
      <c r="AY373" s="857">
        <f>AY376*AY81</f>
        <v>25.066666666666666</v>
      </c>
      <c r="AZ373" s="857">
        <f>AZ376*AZ81</f>
        <v>24.466666666666669</v>
      </c>
      <c r="BA373" s="857">
        <f>BA376*BA81</f>
        <v>28.733333333333334</v>
      </c>
      <c r="BB373" s="857">
        <f>BB376*BB81</f>
        <v>28.4</v>
      </c>
      <c r="BC373" s="857">
        <f>SUM(AY373:BB373)</f>
        <v>106.66666666666666</v>
      </c>
      <c r="BD373" s="854"/>
      <c r="BE373" s="857">
        <f>BE376*BE81</f>
        <v>27.466666666666669</v>
      </c>
      <c r="BF373" s="857">
        <f>BF376*BF81</f>
        <v>30.066666666666666</v>
      </c>
      <c r="BG373" s="857">
        <f>BG376*BG81</f>
        <v>28.599999999999998</v>
      </c>
      <c r="BH373" s="857">
        <f>BH376*BH81</f>
        <v>28.666666666666664</v>
      </c>
      <c r="BI373" s="857">
        <f>SUM(BE373:BH373)</f>
        <v>114.79999999999998</v>
      </c>
      <c r="BJ373" s="854"/>
      <c r="BK373" s="857">
        <f>BK376*BK81</f>
        <v>23.4</v>
      </c>
      <c r="BL373" s="857">
        <f>BL376*BL81</f>
        <v>29.25</v>
      </c>
      <c r="BM373" s="857">
        <f>BM376*BM81</f>
        <v>32</v>
      </c>
      <c r="BN373" s="857">
        <f>BN376*BN81</f>
        <v>32</v>
      </c>
      <c r="BO373" s="1155">
        <f>SUM(BK373:BN373)</f>
        <v>116.65</v>
      </c>
      <c r="BP373" s="854"/>
      <c r="BQ373" s="857">
        <f>BK373*1.25</f>
        <v>29.25</v>
      </c>
      <c r="BR373" s="857">
        <f>BL373*0.97</f>
        <v>28.372499999999999</v>
      </c>
      <c r="BS373" s="857">
        <f>BM373*0.92</f>
        <v>29.44</v>
      </c>
      <c r="BT373" s="857">
        <f>BN373*0.95</f>
        <v>30.4</v>
      </c>
      <c r="BU373" s="1155">
        <f>SUM(BQ373:BT373)</f>
        <v>117.46250000000001</v>
      </c>
      <c r="BV373" s="854"/>
      <c r="BW373" s="857">
        <f>BQ373*(1+BW374)</f>
        <v>30.127500000000001</v>
      </c>
      <c r="BX373" s="857">
        <f>BR373*(1+BX374)</f>
        <v>29.507400000000001</v>
      </c>
      <c r="BY373" s="855"/>
      <c r="BZ373" s="855"/>
      <c r="CA373" s="1157"/>
      <c r="CB373" s="854"/>
      <c r="CC373" s="855"/>
      <c r="CD373" s="855"/>
      <c r="CE373" s="855"/>
      <c r="CF373" s="855"/>
      <c r="CG373" s="1157"/>
      <c r="CH373" s="854"/>
      <c r="CI373" s="855"/>
      <c r="CJ373" s="855"/>
      <c r="CK373" s="855"/>
      <c r="CL373" s="855"/>
      <c r="CM373" s="1157"/>
      <c r="CN373" s="854"/>
      <c r="CO373" s="855"/>
      <c r="CP373" s="855"/>
      <c r="CQ373" s="855"/>
      <c r="CR373" s="855"/>
      <c r="CS373" s="1157"/>
      <c r="CT373" s="856"/>
      <c r="CU373" s="855"/>
      <c r="CV373" s="855"/>
      <c r="CW373" s="855"/>
      <c r="CX373" s="855"/>
      <c r="CY373" s="1157"/>
      <c r="CZ373" s="856"/>
      <c r="DA373" s="855"/>
      <c r="DB373" s="855"/>
      <c r="DC373" s="855"/>
      <c r="DD373" s="855"/>
      <c r="DE373" s="1157"/>
      <c r="DF373" s="856"/>
      <c r="DG373" s="855"/>
      <c r="DH373" s="855"/>
      <c r="DI373" s="855"/>
      <c r="DJ373" s="855"/>
      <c r="DK373" s="1157"/>
      <c r="DL373" s="854"/>
      <c r="DM373" s="855"/>
      <c r="DN373" s="855"/>
      <c r="DO373" s="855"/>
      <c r="DP373" s="855"/>
      <c r="DQ373" s="1157"/>
      <c r="DR373" s="856"/>
      <c r="DS373" s="855"/>
      <c r="DT373" s="855"/>
      <c r="DU373" s="855"/>
      <c r="DV373" s="855"/>
      <c r="DW373" s="1157"/>
      <c r="DX373" s="856"/>
      <c r="DY373" s="855"/>
      <c r="DZ373" s="855"/>
      <c r="EA373" s="855"/>
      <c r="EB373" s="855"/>
      <c r="EC373" s="1157"/>
      <c r="ED373" s="856"/>
      <c r="EE373" s="855"/>
      <c r="EF373" s="855"/>
      <c r="EG373" s="855"/>
      <c r="EH373" s="855"/>
      <c r="EI373" s="1157"/>
      <c r="EJ373" s="856"/>
      <c r="EK373" s="855"/>
      <c r="EL373" s="855"/>
      <c r="EM373" s="855"/>
      <c r="EN373" s="855"/>
      <c r="EO373" s="1157"/>
      <c r="EP373" s="856"/>
      <c r="EQ373" s="855"/>
      <c r="ER373" s="855"/>
      <c r="ES373" s="855"/>
      <c r="ET373" s="855"/>
      <c r="EU373" s="1157"/>
    </row>
    <row r="374" spans="1:196" ht="13.5" hidden="1" customHeight="1">
      <c r="A374" s="853" t="s">
        <v>345</v>
      </c>
      <c r="B374" s="854"/>
      <c r="C374" s="854"/>
      <c r="D374" s="854"/>
      <c r="E374" s="854"/>
      <c r="F374" s="854"/>
      <c r="G374" s="854"/>
      <c r="H374" s="854"/>
      <c r="I374" s="854"/>
      <c r="J374" s="854"/>
      <c r="K374" s="854"/>
      <c r="L374" s="854"/>
      <c r="M374" s="854"/>
      <c r="N374" s="854"/>
      <c r="O374" s="854"/>
      <c r="P374" s="854"/>
      <c r="Q374" s="854"/>
      <c r="R374" s="854"/>
      <c r="S374" s="854"/>
      <c r="T374" s="854"/>
      <c r="U374" s="854"/>
      <c r="V374" s="854"/>
      <c r="W374" s="854"/>
      <c r="X374" s="854"/>
      <c r="Y374" s="854"/>
      <c r="Z374" s="854"/>
      <c r="AA374" s="854"/>
      <c r="AB374" s="854"/>
      <c r="AC374" s="854"/>
      <c r="AD374" s="854"/>
      <c r="AE374" s="854"/>
      <c r="AF374" s="854"/>
      <c r="AG374" s="855"/>
      <c r="AH374" s="855"/>
      <c r="AI374" s="855"/>
      <c r="AJ374" s="855"/>
      <c r="AK374" s="856"/>
      <c r="AL374" s="854"/>
      <c r="AM374" s="855"/>
      <c r="AN374" s="855"/>
      <c r="AO374" s="855"/>
      <c r="AP374" s="855"/>
      <c r="AQ374" s="856"/>
      <c r="AR374" s="854"/>
      <c r="AS374" s="855"/>
      <c r="AT374" s="855"/>
      <c r="AU374" s="855"/>
      <c r="AV374" s="855"/>
      <c r="AW374" s="856"/>
      <c r="AX374" s="854"/>
      <c r="AY374" s="855"/>
      <c r="AZ374" s="855"/>
      <c r="BA374" s="855"/>
      <c r="BB374" s="855"/>
      <c r="BC374" s="856"/>
      <c r="BD374" s="854"/>
      <c r="BE374" s="855">
        <f>BE373/AY373-1</f>
        <v>9.5744680851064023E-2</v>
      </c>
      <c r="BF374" s="855">
        <f>BF373/AZ373-1</f>
        <v>0.22888283378746577</v>
      </c>
      <c r="BG374" s="855">
        <f>BG373/BA373-1</f>
        <v>-4.6403712296985145E-3</v>
      </c>
      <c r="BH374" s="855">
        <f>BH373/BB373-1</f>
        <v>9.3896713615022609E-3</v>
      </c>
      <c r="BI374" s="855">
        <f>BI373/BC373-1</f>
        <v>7.6249999999999929E-2</v>
      </c>
      <c r="BJ374" s="854"/>
      <c r="BK374" s="855">
        <f>BK373/BE373-1</f>
        <v>-0.14805825242718462</v>
      </c>
      <c r="BL374" s="855">
        <f>BL373/BF373-1</f>
        <v>-2.716186252771613E-2</v>
      </c>
      <c r="BM374" s="855">
        <f>BM373/BG373-1</f>
        <v>0.11888111888111896</v>
      </c>
      <c r="BN374" s="855">
        <f>BN373/BH373-1</f>
        <v>0.11627906976744184</v>
      </c>
      <c r="BO374" s="1156">
        <f>BO373/BI373-1</f>
        <v>1.6114982578397496E-2</v>
      </c>
      <c r="BP374" s="854"/>
      <c r="BQ374" s="855">
        <f>BQ373/BK373-1</f>
        <v>0.25</v>
      </c>
      <c r="BR374" s="855">
        <f>BR373/BL373-1</f>
        <v>-3.0000000000000027E-2</v>
      </c>
      <c r="BS374" s="855">
        <f>BS373/BM373-1</f>
        <v>-7.999999999999996E-2</v>
      </c>
      <c r="BT374" s="855">
        <f>BT373/BN373-1</f>
        <v>-5.0000000000000044E-2</v>
      </c>
      <c r="BU374" s="1156">
        <f>BU373/BO373-1</f>
        <v>6.9652807543933992E-3</v>
      </c>
      <c r="BV374" s="854"/>
      <c r="BW374" s="855">
        <v>0.03</v>
      </c>
      <c r="BX374" s="855">
        <v>0.04</v>
      </c>
      <c r="BY374" s="855"/>
      <c r="BZ374" s="855"/>
      <c r="CA374" s="1157"/>
      <c r="CB374" s="854"/>
      <c r="CC374" s="855"/>
      <c r="CD374" s="855"/>
      <c r="CE374" s="855"/>
      <c r="CF374" s="855"/>
      <c r="CG374" s="1157"/>
      <c r="CH374" s="854"/>
      <c r="CI374" s="855"/>
      <c r="CJ374" s="855"/>
      <c r="CK374" s="855"/>
      <c r="CL374" s="855"/>
      <c r="CM374" s="1157"/>
      <c r="CN374" s="854"/>
      <c r="CO374" s="855"/>
      <c r="CP374" s="855"/>
      <c r="CQ374" s="855"/>
      <c r="CR374" s="855"/>
      <c r="CS374" s="1157"/>
      <c r="CT374" s="856"/>
      <c r="CU374" s="855"/>
      <c r="CV374" s="855"/>
      <c r="CW374" s="855"/>
      <c r="CX374" s="855"/>
      <c r="CY374" s="1157"/>
      <c r="CZ374" s="856"/>
      <c r="DA374" s="855"/>
      <c r="DB374" s="855"/>
      <c r="DC374" s="855"/>
      <c r="DD374" s="855"/>
      <c r="DE374" s="1157"/>
      <c r="DF374" s="856"/>
      <c r="DG374" s="855"/>
      <c r="DH374" s="855"/>
      <c r="DI374" s="855"/>
      <c r="DJ374" s="855"/>
      <c r="DK374" s="1157"/>
      <c r="DL374" s="854"/>
      <c r="DM374" s="855"/>
      <c r="DN374" s="855"/>
      <c r="DO374" s="855"/>
      <c r="DP374" s="855"/>
      <c r="DQ374" s="1157"/>
      <c r="DR374" s="856"/>
      <c r="DS374" s="855"/>
      <c r="DT374" s="855"/>
      <c r="DU374" s="855"/>
      <c r="DV374" s="855"/>
      <c r="DW374" s="1157"/>
      <c r="DX374" s="856"/>
      <c r="DY374" s="855"/>
      <c r="DZ374" s="855"/>
      <c r="EA374" s="855"/>
      <c r="EB374" s="855"/>
      <c r="EC374" s="1157"/>
      <c r="ED374" s="856"/>
      <c r="EE374" s="855"/>
      <c r="EF374" s="855"/>
      <c r="EG374" s="855"/>
      <c r="EH374" s="855"/>
      <c r="EI374" s="1157"/>
      <c r="EJ374" s="856"/>
      <c r="EK374" s="855"/>
      <c r="EL374" s="855"/>
      <c r="EM374" s="855"/>
      <c r="EN374" s="855"/>
      <c r="EO374" s="1157"/>
      <c r="EP374" s="856"/>
      <c r="EQ374" s="855"/>
      <c r="ER374" s="855"/>
      <c r="ES374" s="855"/>
      <c r="ET374" s="855"/>
      <c r="EU374" s="1157"/>
    </row>
    <row r="375" spans="1:196" ht="13.5" hidden="1" customHeight="1">
      <c r="A375" s="853" t="s">
        <v>344</v>
      </c>
      <c r="B375" s="854"/>
      <c r="C375" s="854"/>
      <c r="D375" s="854"/>
      <c r="E375" s="854"/>
      <c r="F375" s="854"/>
      <c r="G375" s="854"/>
      <c r="H375" s="854"/>
      <c r="I375" s="854"/>
      <c r="J375" s="854"/>
      <c r="K375" s="854"/>
      <c r="L375" s="854"/>
      <c r="M375" s="854"/>
      <c r="N375" s="854"/>
      <c r="O375" s="854"/>
      <c r="P375" s="854"/>
      <c r="Q375" s="854"/>
      <c r="R375" s="854"/>
      <c r="S375" s="854"/>
      <c r="T375" s="854"/>
      <c r="U375" s="854"/>
      <c r="V375" s="854"/>
      <c r="W375" s="854"/>
      <c r="X375" s="854"/>
      <c r="Y375" s="854"/>
      <c r="Z375" s="854"/>
      <c r="AA375" s="854"/>
      <c r="AB375" s="854"/>
      <c r="AC375" s="854"/>
      <c r="AD375" s="854"/>
      <c r="AE375" s="854"/>
      <c r="AF375" s="854"/>
      <c r="AG375" s="855"/>
      <c r="AH375" s="855"/>
      <c r="AI375" s="855"/>
      <c r="AJ375" s="855"/>
      <c r="AK375" s="856"/>
      <c r="AL375" s="854"/>
      <c r="AM375" s="855"/>
      <c r="AN375" s="855"/>
      <c r="AO375" s="855"/>
      <c r="AP375" s="855"/>
      <c r="AQ375" s="856"/>
      <c r="AR375" s="854"/>
      <c r="AS375" s="855"/>
      <c r="AT375" s="855"/>
      <c r="AU375" s="855"/>
      <c r="AV375" s="855"/>
      <c r="AW375" s="856"/>
      <c r="AX375" s="854"/>
      <c r="AY375" s="855"/>
      <c r="AZ375" s="855">
        <f>AZ373/AY373-1</f>
        <v>-2.3936170212765839E-2</v>
      </c>
      <c r="BA375" s="855">
        <f>BA373/AZ373-1</f>
        <v>0.17438692098092634</v>
      </c>
      <c r="BB375" s="855">
        <f>BB373/BA373-1</f>
        <v>-1.1600928074246064E-2</v>
      </c>
      <c r="BC375" s="856"/>
      <c r="BD375" s="854"/>
      <c r="BE375" s="855">
        <f>BE373/BB373-1</f>
        <v>-3.2863849765258135E-2</v>
      </c>
      <c r="BF375" s="855">
        <f>BF373/BE373-1</f>
        <v>9.4660194174757128E-2</v>
      </c>
      <c r="BG375" s="855">
        <f>BG373/BF373-1</f>
        <v>-4.8780487804878092E-2</v>
      </c>
      <c r="BH375" s="855">
        <f>BH373/BG373-1</f>
        <v>2.3310023310023631E-3</v>
      </c>
      <c r="BI375" s="856"/>
      <c r="BJ375" s="854"/>
      <c r="BK375" s="855">
        <f>BK373/BH373-1</f>
        <v>-0.18372093023255809</v>
      </c>
      <c r="BL375" s="855">
        <f>BL373/BK373-1</f>
        <v>0.25</v>
      </c>
      <c r="BM375" s="855">
        <f>BM373/BL373-1</f>
        <v>9.4017094017094127E-2</v>
      </c>
      <c r="BN375" s="855">
        <f>BN373/BM373-1</f>
        <v>0</v>
      </c>
      <c r="BO375" s="1157"/>
      <c r="BP375" s="854"/>
      <c r="BQ375" s="855">
        <f>BQ373/BN373-1</f>
        <v>-8.59375E-2</v>
      </c>
      <c r="BR375" s="855">
        <f>BR373/BQ373-1</f>
        <v>-3.0000000000000027E-2</v>
      </c>
      <c r="BS375" s="855">
        <f>BS373/BR373-1</f>
        <v>3.7624460304872764E-2</v>
      </c>
      <c r="BT375" s="855">
        <f>BT373/BS373-1</f>
        <v>3.2608695652173836E-2</v>
      </c>
      <c r="BU375" s="1157"/>
      <c r="BV375" s="854"/>
      <c r="BW375" s="855">
        <f>BW373/BT373-1</f>
        <v>-8.9638157894735837E-3</v>
      </c>
      <c r="BX375" s="855">
        <f>BX373/BW373-1</f>
        <v>-2.0582524271844704E-2</v>
      </c>
      <c r="BY375" s="855"/>
      <c r="BZ375" s="855"/>
      <c r="CA375" s="1157"/>
      <c r="CB375" s="854"/>
      <c r="CC375" s="855"/>
      <c r="CD375" s="855"/>
      <c r="CE375" s="855"/>
      <c r="CF375" s="855"/>
      <c r="CG375" s="1157"/>
      <c r="CH375" s="854"/>
      <c r="CI375" s="855"/>
      <c r="CJ375" s="855"/>
      <c r="CK375" s="855"/>
      <c r="CL375" s="855"/>
      <c r="CM375" s="1157"/>
      <c r="CN375" s="854"/>
      <c r="CO375" s="855"/>
      <c r="CP375" s="855"/>
      <c r="CQ375" s="855"/>
      <c r="CR375" s="855"/>
      <c r="CS375" s="1157"/>
      <c r="CT375" s="856"/>
      <c r="CU375" s="855"/>
      <c r="CV375" s="855"/>
      <c r="CW375" s="855"/>
      <c r="CX375" s="855"/>
      <c r="CY375" s="1157"/>
      <c r="CZ375" s="856"/>
      <c r="DA375" s="855"/>
      <c r="DB375" s="855"/>
      <c r="DC375" s="855"/>
      <c r="DD375" s="855"/>
      <c r="DE375" s="1157"/>
      <c r="DF375" s="856"/>
      <c r="DG375" s="855"/>
      <c r="DH375" s="855"/>
      <c r="DI375" s="855"/>
      <c r="DJ375" s="855"/>
      <c r="DK375" s="1157"/>
      <c r="DL375" s="854"/>
      <c r="DM375" s="855"/>
      <c r="DN375" s="855"/>
      <c r="DO375" s="855"/>
      <c r="DP375" s="855"/>
      <c r="DQ375" s="1157"/>
      <c r="DR375" s="856"/>
      <c r="DS375" s="855"/>
      <c r="DT375" s="855"/>
      <c r="DU375" s="855"/>
      <c r="DV375" s="855"/>
      <c r="DW375" s="1157"/>
      <c r="DX375" s="856"/>
      <c r="DY375" s="855"/>
      <c r="DZ375" s="855"/>
      <c r="EA375" s="855"/>
      <c r="EB375" s="855"/>
      <c r="EC375" s="1157"/>
      <c r="ED375" s="856"/>
      <c r="EE375" s="855"/>
      <c r="EF375" s="855"/>
      <c r="EG375" s="855"/>
      <c r="EH375" s="855"/>
      <c r="EI375" s="1157"/>
      <c r="EJ375" s="856"/>
      <c r="EK375" s="855"/>
      <c r="EL375" s="855"/>
      <c r="EM375" s="855"/>
      <c r="EN375" s="855"/>
      <c r="EO375" s="1157"/>
      <c r="EP375" s="856"/>
      <c r="EQ375" s="855"/>
      <c r="ER375" s="855"/>
      <c r="ES375" s="855"/>
      <c r="ET375" s="855"/>
      <c r="EU375" s="1157"/>
    </row>
    <row r="376" spans="1:196" ht="13.5" hidden="1" customHeight="1">
      <c r="A376" s="853" t="s">
        <v>6872</v>
      </c>
      <c r="B376" s="854"/>
      <c r="C376" s="854"/>
      <c r="D376" s="854"/>
      <c r="E376" s="854"/>
      <c r="F376" s="854"/>
      <c r="G376" s="854"/>
      <c r="H376" s="854"/>
      <c r="I376" s="854"/>
      <c r="J376" s="854"/>
      <c r="K376" s="854"/>
      <c r="L376" s="854"/>
      <c r="M376" s="854"/>
      <c r="N376" s="854"/>
      <c r="O376" s="854"/>
      <c r="P376" s="854"/>
      <c r="Q376" s="854"/>
      <c r="R376" s="854"/>
      <c r="S376" s="854"/>
      <c r="T376" s="854"/>
      <c r="U376" s="854"/>
      <c r="V376" s="854"/>
      <c r="W376" s="854"/>
      <c r="X376" s="854"/>
      <c r="Y376" s="854"/>
      <c r="Z376" s="854"/>
      <c r="AA376" s="854"/>
      <c r="AB376" s="854"/>
      <c r="AC376" s="854"/>
      <c r="AD376" s="854"/>
      <c r="AE376" s="854"/>
      <c r="AF376" s="854"/>
      <c r="AG376" s="855"/>
      <c r="AH376" s="855"/>
      <c r="AI376" s="855"/>
      <c r="AJ376" s="855"/>
      <c r="AK376" s="856"/>
      <c r="AL376" s="854"/>
      <c r="AM376" s="855"/>
      <c r="AN376" s="855"/>
      <c r="AO376" s="855"/>
      <c r="AP376" s="855"/>
      <c r="AQ376" s="856"/>
      <c r="AR376" s="854"/>
      <c r="AS376" s="855"/>
      <c r="AT376" s="855"/>
      <c r="AU376" s="855"/>
      <c r="AV376" s="855"/>
      <c r="AW376" s="856"/>
      <c r="AX376" s="854"/>
      <c r="AY376" s="855">
        <f>2/3</f>
        <v>0.66666666666666663</v>
      </c>
      <c r="AZ376" s="855">
        <f>2/3</f>
        <v>0.66666666666666663</v>
      </c>
      <c r="BA376" s="855">
        <f>2/3</f>
        <v>0.66666666666666663</v>
      </c>
      <c r="BB376" s="855">
        <f>2/3</f>
        <v>0.66666666666666663</v>
      </c>
      <c r="BC376" s="855">
        <f>BC373/BC81</f>
        <v>0.66666666666666663</v>
      </c>
      <c r="BD376" s="854"/>
      <c r="BE376" s="855">
        <f>2/3</f>
        <v>0.66666666666666663</v>
      </c>
      <c r="BF376" s="855">
        <f>2/3</f>
        <v>0.66666666666666663</v>
      </c>
      <c r="BG376" s="855">
        <f>2/3</f>
        <v>0.66666666666666663</v>
      </c>
      <c r="BH376" s="855">
        <f>2/3</f>
        <v>0.66666666666666663</v>
      </c>
      <c r="BI376" s="855">
        <f>BI373/BI81</f>
        <v>0.66666666666666652</v>
      </c>
      <c r="BJ376" s="854"/>
      <c r="BK376" s="855">
        <v>0.5</v>
      </c>
      <c r="BL376" s="855">
        <v>0.5</v>
      </c>
      <c r="BM376" s="855">
        <v>0.5</v>
      </c>
      <c r="BN376" s="855">
        <f>32/BN81</f>
        <v>0.49230769230769234</v>
      </c>
      <c r="BO376" s="1156">
        <f>BO373/BO81</f>
        <v>0.49786598378147673</v>
      </c>
      <c r="BP376" s="854"/>
      <c r="BQ376" s="855">
        <f>BQ373/BQ81</f>
        <v>0.49576271186440679</v>
      </c>
      <c r="BR376" s="855">
        <f>BR373/BR81</f>
        <v>0.45762096774193545</v>
      </c>
      <c r="BS376" s="855">
        <f>BS373/BS81</f>
        <v>0.43940298507462688</v>
      </c>
      <c r="BT376" s="855">
        <f>BT373/BT81</f>
        <v>0.42816901408450703</v>
      </c>
      <c r="BU376" s="1156">
        <f>BU373/BU81</f>
        <v>0.45352316602316606</v>
      </c>
      <c r="BV376" s="854"/>
      <c r="BW376" s="855">
        <f>BW373/BW81</f>
        <v>0.44966417910447765</v>
      </c>
      <c r="BX376" s="855">
        <f>BX373/BX81</f>
        <v>0.42764347826086957</v>
      </c>
      <c r="BY376" s="855"/>
      <c r="BZ376" s="855"/>
      <c r="CA376" s="1157"/>
      <c r="CB376" s="854"/>
      <c r="CC376" s="855"/>
      <c r="CD376" s="855"/>
      <c r="CE376" s="855"/>
      <c r="CF376" s="855"/>
      <c r="CG376" s="1157"/>
      <c r="CH376" s="854"/>
      <c r="CI376" s="855"/>
      <c r="CJ376" s="855"/>
      <c r="CK376" s="855"/>
      <c r="CL376" s="855"/>
      <c r="CM376" s="1157"/>
      <c r="CN376" s="854"/>
      <c r="CO376" s="855"/>
      <c r="CP376" s="855"/>
      <c r="CQ376" s="855"/>
      <c r="CR376" s="855"/>
      <c r="CS376" s="1679"/>
      <c r="CT376" s="1994"/>
      <c r="CU376" s="855"/>
      <c r="CV376" s="855"/>
      <c r="CW376" s="855"/>
      <c r="CX376" s="855"/>
      <c r="CY376" s="1157"/>
      <c r="CZ376" s="856"/>
      <c r="DA376" s="855"/>
      <c r="DB376" s="855"/>
      <c r="DC376" s="855"/>
      <c r="DD376" s="855"/>
      <c r="DE376" s="1157"/>
      <c r="DF376" s="856"/>
      <c r="DG376" s="855"/>
      <c r="DH376" s="855"/>
      <c r="DI376" s="855"/>
      <c r="DJ376" s="855"/>
      <c r="DK376" s="1157"/>
      <c r="DL376" s="854"/>
      <c r="DM376" s="855"/>
      <c r="DN376" s="855"/>
      <c r="DO376" s="855"/>
      <c r="DP376" s="855"/>
      <c r="DQ376" s="1157"/>
      <c r="DR376" s="856"/>
      <c r="DS376" s="855"/>
      <c r="DT376" s="855"/>
      <c r="DU376" s="855"/>
      <c r="DV376" s="855"/>
      <c r="DW376" s="1157"/>
      <c r="DX376" s="856"/>
      <c r="DY376" s="855"/>
      <c r="DZ376" s="855"/>
      <c r="EA376" s="855"/>
      <c r="EB376" s="855"/>
      <c r="EC376" s="1157"/>
      <c r="ED376" s="856"/>
      <c r="EE376" s="855"/>
      <c r="EF376" s="855"/>
      <c r="EG376" s="855"/>
      <c r="EH376" s="855"/>
      <c r="EI376" s="1157"/>
      <c r="EJ376" s="856"/>
      <c r="EK376" s="855"/>
      <c r="EL376" s="855"/>
      <c r="EM376" s="855"/>
      <c r="EN376" s="855"/>
      <c r="EO376" s="1157"/>
      <c r="EP376" s="856"/>
      <c r="EQ376" s="855"/>
      <c r="ER376" s="855"/>
      <c r="ES376" s="855"/>
      <c r="ET376" s="855"/>
      <c r="EU376" s="1157"/>
    </row>
    <row r="377" spans="1:196" ht="12.75" hidden="1" customHeight="1">
      <c r="A377" s="859" t="s">
        <v>746</v>
      </c>
      <c r="B377" s="843"/>
      <c r="C377" s="843"/>
      <c r="D377" s="843"/>
      <c r="E377" s="843"/>
      <c r="F377" s="843"/>
      <c r="G377" s="843"/>
      <c r="H377" s="843"/>
      <c r="I377" s="843"/>
      <c r="J377" s="843"/>
      <c r="K377" s="843"/>
      <c r="L377" s="843"/>
      <c r="M377" s="843"/>
      <c r="N377" s="843"/>
      <c r="O377" s="843"/>
      <c r="P377" s="843"/>
      <c r="Q377" s="843"/>
      <c r="R377" s="843"/>
      <c r="S377" s="843"/>
      <c r="T377" s="843"/>
      <c r="U377" s="843"/>
      <c r="V377" s="843"/>
      <c r="W377" s="843"/>
      <c r="X377" s="843"/>
      <c r="Y377" s="843"/>
      <c r="Z377" s="843"/>
      <c r="AA377" s="843"/>
      <c r="AB377" s="843"/>
      <c r="AC377" s="843"/>
      <c r="AD377" s="843"/>
      <c r="AE377" s="843"/>
      <c r="AF377" s="843"/>
      <c r="AG377" s="846">
        <f>Model!AG10-Metrics!AG327</f>
        <v>211.78299999999999</v>
      </c>
      <c r="AH377" s="846">
        <f>Model!AH10-Metrics!AH327</f>
        <v>159.02999999999997</v>
      </c>
      <c r="AI377" s="846">
        <f>Model!AI10-Metrics!AI327</f>
        <v>155.74099999999999</v>
      </c>
      <c r="AJ377" s="846">
        <f>Model!AJ10-Metrics!AJ327</f>
        <v>145.55799999999999</v>
      </c>
      <c r="AK377" s="844"/>
      <c r="AL377" s="843"/>
      <c r="AM377" s="846">
        <f>Model!AM10-Metrics!AM327</f>
        <v>174.76399999999998</v>
      </c>
      <c r="AN377" s="846">
        <f>Model!AN10-Metrics!AN327</f>
        <v>166.83500000000001</v>
      </c>
      <c r="AO377" s="846">
        <f>Model!AO10-Metrics!AO327</f>
        <v>146.97099999999998</v>
      </c>
      <c r="AP377" s="846">
        <f>Model!AP10-Metrics!AP327</f>
        <v>135.57400000000001</v>
      </c>
      <c r="AQ377" s="844">
        <f>SUM(AM377:AP377)</f>
        <v>624.14400000000001</v>
      </c>
      <c r="AR377" s="843"/>
      <c r="AS377" s="846">
        <f>Model!AS10-Metrics!AS327</f>
        <v>156.28100000000001</v>
      </c>
      <c r="AT377" s="846">
        <f>Model!AT10-Metrics!AT327</f>
        <v>137.434</v>
      </c>
      <c r="AU377" s="846">
        <f>Model!AU10-Metrics!AU327</f>
        <v>146.703</v>
      </c>
      <c r="AV377" s="846">
        <f>Model!AV10-Metrics!AV327</f>
        <v>162.31900000000002</v>
      </c>
      <c r="AW377" s="844">
        <f>SUM(AS377:AV377)</f>
        <v>602.73700000000008</v>
      </c>
      <c r="AX377" s="843"/>
      <c r="AY377" s="878">
        <f>Model!AY10-Metrics!AY327</f>
        <v>195.60000000000002</v>
      </c>
      <c r="AZ377" s="878">
        <f>Model!AZ10-Metrics!AZ327</f>
        <v>193.79999999999998</v>
      </c>
      <c r="BA377" s="878">
        <f>Model!BA10-Metrics!BA327</f>
        <v>200.8</v>
      </c>
      <c r="BB377" s="878">
        <f>Model!BB10-Metrics!BB327</f>
        <v>213.79999999999998</v>
      </c>
      <c r="BC377" s="879">
        <f>SUM(AY377:BB377)</f>
        <v>804</v>
      </c>
      <c r="BD377" s="880"/>
      <c r="BE377" s="878">
        <f>Model!BE10-Metrics!BE327</f>
        <v>238.99999999999997</v>
      </c>
      <c r="BF377" s="878">
        <f>Model!BF10-Metrics!BF327</f>
        <v>241.89999999999998</v>
      </c>
      <c r="BG377" s="878">
        <f>Model!BG10-Metrics!BG327</f>
        <v>245.1</v>
      </c>
      <c r="BH377" s="878">
        <f>Model!BH10-Metrics!BH327</f>
        <v>264.70000000000005</v>
      </c>
      <c r="BI377" s="879">
        <f>SUM(BE377:BH377)</f>
        <v>990.7</v>
      </c>
      <c r="BJ377" s="880"/>
      <c r="BK377" s="878">
        <f>Model!BK10-Metrics!BK327</f>
        <v>274.2</v>
      </c>
      <c r="BL377" s="878">
        <f>Model!BL10-Metrics!BL327</f>
        <v>296.39999999999998</v>
      </c>
      <c r="BM377" s="878">
        <f>Model!BM10-Metrics!BM327</f>
        <v>295.3</v>
      </c>
      <c r="BN377" s="878">
        <f>Model!BN10-Metrics!BN327</f>
        <v>296.7</v>
      </c>
      <c r="BO377" s="1158">
        <f>SUM(BK377:BN377)</f>
        <v>1162.5999999999999</v>
      </c>
      <c r="BP377" s="880"/>
      <c r="BQ377" s="878">
        <f>Model!BQ10-Metrics!BQ327</f>
        <v>312.2</v>
      </c>
      <c r="BR377" s="878">
        <f>Model!BR10-Metrics!BR327</f>
        <v>347.6</v>
      </c>
      <c r="BS377" s="878">
        <f>Model!BS10-Metrics!BS327</f>
        <v>352.35</v>
      </c>
      <c r="BT377" s="878">
        <f>Model!BT10-Metrics!BT327</f>
        <v>396</v>
      </c>
      <c r="BU377" s="1158">
        <f>SUM(BQ377:BT377)</f>
        <v>1408.15</v>
      </c>
      <c r="BV377" s="880"/>
      <c r="BW377" s="878">
        <f>Model!BW10-Metrics!BW327</f>
        <v>371.14</v>
      </c>
      <c r="BX377" s="878">
        <f>Model!BX10-Metrics!BX327</f>
        <v>382.2</v>
      </c>
      <c r="BY377" s="878">
        <f>Model!BY10-Metrics!BY327</f>
        <v>378.5</v>
      </c>
      <c r="BZ377" s="878">
        <f>Model!BZ10-Metrics!BZ327</f>
        <v>276</v>
      </c>
      <c r="CA377" s="1158">
        <f>SUM(BW377:BZ377)</f>
        <v>1407.84</v>
      </c>
      <c r="CB377" s="880"/>
      <c r="CC377" s="878">
        <f>Model!CC10-Metrics!CC327</f>
        <v>200.6</v>
      </c>
      <c r="CD377" s="878">
        <f>Model!CD10-Metrics!CD327</f>
        <v>205</v>
      </c>
      <c r="CE377" s="878">
        <f>Model!CE10-Metrics!CE327</f>
        <v>210.1</v>
      </c>
      <c r="CF377" s="878">
        <f>Model!CF10-Metrics!CF327</f>
        <v>233</v>
      </c>
      <c r="CG377" s="1158">
        <f>SUM(CC377:CF377)</f>
        <v>848.7</v>
      </c>
      <c r="CH377" s="880"/>
      <c r="CI377" s="878">
        <f>Model!CI10-Metrics!CI327</f>
        <v>228.8</v>
      </c>
      <c r="CJ377" s="878">
        <f>Model!CJ10-Metrics!CJ327</f>
        <v>262.7</v>
      </c>
      <c r="CK377" s="878">
        <f>Model!CK10-Metrics!CK327</f>
        <v>250</v>
      </c>
      <c r="CL377" s="878">
        <f>Model!CL10-Metrics!CL327</f>
        <v>268.60000000000002</v>
      </c>
      <c r="CM377" s="1158">
        <f>SUM(CI377:CL377)</f>
        <v>1010.1</v>
      </c>
      <c r="CN377" s="880"/>
      <c r="CO377" s="878">
        <f>Model!CO10-Metrics!CO327</f>
        <v>270</v>
      </c>
      <c r="CP377" s="878">
        <f>Model!CP10-Metrics!CP327</f>
        <v>292</v>
      </c>
      <c r="CQ377" s="878">
        <f>Model!CQ10-Metrics!CQ327</f>
        <v>294.39999999999998</v>
      </c>
      <c r="CR377" s="878">
        <f>Model!CR10-Metrics!CR327</f>
        <v>316.2</v>
      </c>
      <c r="CS377" s="1158">
        <f>SUM(CO377:CR377)</f>
        <v>1172.5999999999999</v>
      </c>
      <c r="CT377" s="879"/>
      <c r="CU377" s="878">
        <f>Model!CU10-Metrics!CU327</f>
        <v>308.3</v>
      </c>
      <c r="CV377" s="878">
        <f>Model!CV10-Metrics!CV327</f>
        <v>300</v>
      </c>
      <c r="CW377" s="878">
        <f>Model!CW10-Metrics!CW327</f>
        <v>278</v>
      </c>
      <c r="CX377" s="878">
        <f>Model!CX10-Metrics!CX327</f>
        <v>303</v>
      </c>
      <c r="CY377" s="1158">
        <f>SUM(CU377:CX377)</f>
        <v>1189.3</v>
      </c>
      <c r="CZ377" s="879"/>
      <c r="DA377" s="878">
        <f>Model!DA10-Metrics!DA327</f>
        <v>281.2</v>
      </c>
      <c r="DB377" s="878">
        <f>Model!DB10-Metrics!DB327</f>
        <v>282.59999999999997</v>
      </c>
      <c r="DC377" s="878">
        <f>Model!DC10-Metrics!DC327</f>
        <v>268.7</v>
      </c>
      <c r="DD377" s="878">
        <f>Model!DD10-Metrics!DD327</f>
        <v>264.89999999999998</v>
      </c>
      <c r="DE377" s="1158">
        <f>SUM(DA377:DD377)</f>
        <v>1097.4000000000001</v>
      </c>
      <c r="DF377" s="879"/>
      <c r="DG377" s="878">
        <f>Model!DG10-Metrics!DG327</f>
        <v>261.20999999999998</v>
      </c>
      <c r="DH377" s="878">
        <f>Model!DH10-Metrics!DH327</f>
        <v>304.5</v>
      </c>
      <c r="DI377" s="878">
        <f>Model!DI10-Metrics!DI327</f>
        <v>268.65999999999997</v>
      </c>
      <c r="DJ377" s="878">
        <f>Model!DJ10-Metrics!DJ327</f>
        <v>242.7</v>
      </c>
      <c r="DK377" s="1158">
        <f>SUM(DG377:DJ377)</f>
        <v>1077.07</v>
      </c>
      <c r="DL377" s="880"/>
      <c r="DM377" s="878">
        <f>Model!DM10-Metrics!DM327</f>
        <v>326.7</v>
      </c>
      <c r="DN377" s="878">
        <f>Model!DN10-Metrics!DN327</f>
        <v>290.5</v>
      </c>
      <c r="DO377" s="878">
        <f>Model!DO10-Metrics!DO327</f>
        <v>280.89999999999998</v>
      </c>
      <c r="DP377" s="878">
        <f>Model!DP10-Metrics!DP327</f>
        <v>328.8</v>
      </c>
      <c r="DQ377" s="1158">
        <f>SUM(DM377:DP377)</f>
        <v>1226.9000000000001</v>
      </c>
      <c r="DR377" s="879"/>
      <c r="DS377" s="878">
        <f>Model!DS10-Metrics!DS327</f>
        <v>185.9</v>
      </c>
      <c r="DT377" s="878">
        <f>Model!DT10-Metrics!DT327</f>
        <v>228.7</v>
      </c>
      <c r="DU377" s="878">
        <f>Model!DU10-Metrics!DU327</f>
        <v>170.1</v>
      </c>
      <c r="DV377" s="878">
        <f>Model!DV10-Metrics!DV327</f>
        <v>156.30000000000001</v>
      </c>
      <c r="DW377" s="1158">
        <f>SUM(DS377:DV377)</f>
        <v>741</v>
      </c>
      <c r="DX377" s="879"/>
      <c r="DY377" s="878">
        <f>Model!DY10-Metrics!DY327</f>
        <v>0</v>
      </c>
      <c r="DZ377" s="878">
        <f>Model!DZ10-Metrics!DZ327</f>
        <v>0</v>
      </c>
      <c r="EA377" s="878"/>
      <c r="EB377" s="878">
        <f>Model!EB10-Metrics!EB327</f>
        <v>0</v>
      </c>
      <c r="EC377" s="1158">
        <f>SUM(DY377:EB377)</f>
        <v>0</v>
      </c>
      <c r="ED377" s="879"/>
      <c r="EE377" s="878">
        <f>Model!EE10-Metrics!EE327</f>
        <v>0</v>
      </c>
      <c r="EF377" s="878">
        <f>Model!EF10-Metrics!EF327</f>
        <v>0</v>
      </c>
      <c r="EG377" s="878">
        <f>Model!EG10-Metrics!EG327</f>
        <v>0</v>
      </c>
      <c r="EH377" s="878">
        <f>Model!EH10-Metrics!EH327</f>
        <v>0</v>
      </c>
      <c r="EI377" s="1158">
        <f>SUM(EE377:EH377)</f>
        <v>0</v>
      </c>
      <c r="EJ377" s="879"/>
      <c r="EK377" s="878">
        <f>Model!EK10-Metrics!EK327</f>
        <v>0</v>
      </c>
      <c r="EL377" s="878">
        <f>Model!EL10-Metrics!EL327</f>
        <v>0</v>
      </c>
      <c r="EM377" s="878">
        <f>Model!EM10-Metrics!EM327</f>
        <v>0</v>
      </c>
      <c r="EN377" s="878">
        <f>Model!EN10-Metrics!EN327</f>
        <v>0</v>
      </c>
      <c r="EO377" s="1158">
        <f>SUM(EK377:EN377)</f>
        <v>0</v>
      </c>
      <c r="EP377" s="879"/>
      <c r="EQ377" s="878">
        <f>Model!EQ10-Metrics!EQ327</f>
        <v>0</v>
      </c>
      <c r="ER377" s="878">
        <f>Model!ER10-Metrics!ER327</f>
        <v>0</v>
      </c>
      <c r="ES377" s="878">
        <f>Model!ES10-Metrics!ES327</f>
        <v>0</v>
      </c>
      <c r="ET377" s="878">
        <f>Model!ET10-Metrics!ET327</f>
        <v>0</v>
      </c>
      <c r="EU377" s="1158">
        <f>SUM(EQ377:ET377)</f>
        <v>0</v>
      </c>
    </row>
    <row r="378" spans="1:196" ht="12.75" hidden="1" customHeight="1">
      <c r="A378" s="847" t="s">
        <v>345</v>
      </c>
      <c r="B378" s="843"/>
      <c r="C378" s="843"/>
      <c r="D378" s="843"/>
      <c r="E378" s="843"/>
      <c r="F378" s="843"/>
      <c r="G378" s="843"/>
      <c r="H378" s="843"/>
      <c r="I378" s="843"/>
      <c r="J378" s="843"/>
      <c r="K378" s="843"/>
      <c r="L378" s="843"/>
      <c r="M378" s="843"/>
      <c r="N378" s="843"/>
      <c r="O378" s="843"/>
      <c r="P378" s="843"/>
      <c r="Q378" s="843"/>
      <c r="R378" s="843"/>
      <c r="S378" s="843"/>
      <c r="T378" s="843"/>
      <c r="U378" s="843"/>
      <c r="V378" s="843"/>
      <c r="W378" s="843"/>
      <c r="X378" s="843"/>
      <c r="Y378" s="843"/>
      <c r="Z378" s="843"/>
      <c r="AA378" s="843"/>
      <c r="AB378" s="843"/>
      <c r="AC378" s="843"/>
      <c r="AD378" s="843"/>
      <c r="AE378" s="843"/>
      <c r="AF378" s="843"/>
      <c r="AG378" s="848" t="str">
        <f>IF(AA377&lt;&gt;"",AG377/AA377-1,"-")</f>
        <v>-</v>
      </c>
      <c r="AH378" s="848" t="str">
        <f>IF(AB377&lt;&gt;"",AH377/AB377-1,"-")</f>
        <v>-</v>
      </c>
      <c r="AI378" s="848" t="str">
        <f>IF(AC377&lt;&gt;"",AI377/AC377-1,"-")</f>
        <v>-</v>
      </c>
      <c r="AJ378" s="848" t="str">
        <f>IF(AD377&lt;&gt;"",AJ377/AD377-1,"-")</f>
        <v>-</v>
      </c>
      <c r="AK378" s="849"/>
      <c r="AL378" s="843"/>
      <c r="AM378" s="848">
        <f>IF(AG377&lt;&gt;"",AM377/AG377-1,"-")</f>
        <v>-0.17479684393931527</v>
      </c>
      <c r="AN378" s="848">
        <f>IF(AH377&lt;&gt;"",AN377/AH377-1,"-")</f>
        <v>4.907879016537775E-2</v>
      </c>
      <c r="AO378" s="848">
        <f>IF(AI377&lt;&gt;"",AO377/AI377-1,"-")</f>
        <v>-5.6311440147424285E-2</v>
      </c>
      <c r="AP378" s="848">
        <f>IF(AJ377&lt;&gt;"",AP377/AJ377-1,"-")</f>
        <v>-6.8591214498687658E-2</v>
      </c>
      <c r="AQ378" s="845" t="str">
        <f>IF(AK377&lt;&gt;"",AQ377/AK377-1,"-")</f>
        <v>-</v>
      </c>
      <c r="AR378" s="843"/>
      <c r="AS378" s="848">
        <f>IF(AM377&lt;&gt;"",AS377/AM377-1,"-")</f>
        <v>-0.10575976745782867</v>
      </c>
      <c r="AT378" s="848">
        <f>IF(AN377&lt;&gt;"",AT377/AN377-1,"-")</f>
        <v>-0.17622800971019281</v>
      </c>
      <c r="AU378" s="848">
        <f>IF(AO377&lt;&gt;"",AU377/AO377-1,"-")</f>
        <v>-1.8234889876231897E-3</v>
      </c>
      <c r="AV378" s="848">
        <f>IF(AP377&lt;&gt;"",AV377/AP377-1,"-")</f>
        <v>0.19727233835396163</v>
      </c>
      <c r="AW378" s="845">
        <f>IF(AQ377&lt;&gt;"",AW377/AQ377-1,"-")</f>
        <v>-3.4298174780178825E-2</v>
      </c>
      <c r="AX378" s="843"/>
      <c r="AY378" s="848">
        <f>IF(AS377&lt;&gt;"",AY377/AS377-1,"-")</f>
        <v>0.25159168420985289</v>
      </c>
      <c r="AZ378" s="848">
        <f>IF(AT377&lt;&gt;"",AZ377/AT377-1,"-")</f>
        <v>0.41013140853064001</v>
      </c>
      <c r="BA378" s="848">
        <f>IF(AU377&lt;&gt;"",BA377/AU377-1,"-")</f>
        <v>0.36875183193254402</v>
      </c>
      <c r="BB378" s="848">
        <f>IF(AV377&lt;&gt;"",BB377/AV377-1,"-")</f>
        <v>0.31715942064699743</v>
      </c>
      <c r="BC378" s="845">
        <f>IF(AW377&lt;&gt;"",BC377/AW377-1,"-")</f>
        <v>0.33391512384340083</v>
      </c>
      <c r="BD378" s="843"/>
      <c r="BE378" s="848">
        <f>IF(AY377&lt;&gt;"",BE377/AY377-1,"-")</f>
        <v>0.22188139059304679</v>
      </c>
      <c r="BF378" s="848">
        <f>IF(AZ377&lt;&gt;"",BF377/AZ377-1,"-")</f>
        <v>0.24819401444788447</v>
      </c>
      <c r="BG378" s="848">
        <f>IF(BA377&lt;&gt;"",BG377/BA377-1,"-")</f>
        <v>0.220617529880478</v>
      </c>
      <c r="BH378" s="848">
        <f>IF(BB377&lt;&gt;"",BH377/BB377-1,"-")</f>
        <v>0.23807296538821365</v>
      </c>
      <c r="BI378" s="845">
        <f>IF(BC377&lt;&gt;"",BI377/BC377-1,"-")</f>
        <v>0.23221393034825866</v>
      </c>
      <c r="BJ378" s="843"/>
      <c r="BK378" s="848">
        <f>IF(BE377&lt;&gt;"",BK377/BE377-1,"-")</f>
        <v>0.14728033472803359</v>
      </c>
      <c r="BL378" s="848">
        <f>IF(BF377&lt;&gt;"",BL377/BF377-1,"-")</f>
        <v>0.22529971062422494</v>
      </c>
      <c r="BM378" s="848">
        <f>IF(BG377&lt;&gt;"",BM377/BG377-1,"-")</f>
        <v>0.20481436148510812</v>
      </c>
      <c r="BN378" s="848">
        <f>IF(BH377&lt;&gt;"",BN377/BH377-1,"-")</f>
        <v>0.12089157536834128</v>
      </c>
      <c r="BO378" s="1159">
        <f>IF(BI377&lt;&gt;"",BO377/BI377-1,"-")</f>
        <v>0.17351367719794064</v>
      </c>
      <c r="BP378" s="843"/>
      <c r="BQ378" s="848">
        <f>IF(BK377&lt;&gt;"",BQ377/BK377-1,"-")</f>
        <v>0.13858497447118889</v>
      </c>
      <c r="BR378" s="848">
        <f>IF(BL377&lt;&gt;"",BR377/BL377-1,"-")</f>
        <v>0.17273954116059387</v>
      </c>
      <c r="BS378" s="848">
        <f>IF(BM377&lt;&gt;"",BS377/BM377-1,"-")</f>
        <v>0.19319336268201837</v>
      </c>
      <c r="BT378" s="848">
        <f>IF(BN377&lt;&gt;"",BT377/BN377-1,"-")</f>
        <v>0.33468149646107181</v>
      </c>
      <c r="BU378" s="1159">
        <f>IF(BO377&lt;&gt;"",BU377/BO377-1,"-")</f>
        <v>0.21120763805264087</v>
      </c>
      <c r="BV378" s="843"/>
      <c r="BW378" s="848">
        <f>IF(BQ377&lt;&gt;"",BW377/BQ377-1,"-")</f>
        <v>0.18878923766816147</v>
      </c>
      <c r="BX378" s="848">
        <f>IF(BR377&lt;&gt;"",BX377/BR377-1,"-")</f>
        <v>9.9539700805523434E-2</v>
      </c>
      <c r="BY378" s="848">
        <f>IF(BS377&lt;&gt;"",BY377/BS377-1,"-")</f>
        <v>7.4215978430537843E-2</v>
      </c>
      <c r="BZ378" s="848">
        <f>IF(BT377&lt;&gt;"",BZ377/BT377-1,"-")</f>
        <v>-0.30303030303030298</v>
      </c>
      <c r="CA378" s="1159">
        <f>IF(BU377&lt;&gt;"",CA377/BU377-1,"-")</f>
        <v>-2.2014700138495158E-4</v>
      </c>
      <c r="CB378" s="843"/>
      <c r="CC378" s="848">
        <f>IF(BW377&lt;&gt;"",CC377/BW377-1,"-")</f>
        <v>-0.45950315244921058</v>
      </c>
      <c r="CD378" s="848">
        <f>IF(BX377&lt;&gt;"",CD377/BX377-1,"-")</f>
        <v>-0.46363160648874935</v>
      </c>
      <c r="CE378" s="848">
        <f>IF(BY377&lt;&gt;"",CE377/BY377-1,"-")</f>
        <v>-0.44491413474240427</v>
      </c>
      <c r="CF378" s="848">
        <f>IF(BZ377&lt;&gt;"",CF377/BZ377-1,"-")</f>
        <v>-0.15579710144927539</v>
      </c>
      <c r="CG378" s="1159">
        <f>IF(CA377&lt;&gt;"",CG377/CA377-1,"-")</f>
        <v>-0.39716160927378108</v>
      </c>
      <c r="CH378" s="843"/>
      <c r="CI378" s="848">
        <f>IF(CC377&lt;&gt;"",CI377/CC377-1,"-")</f>
        <v>0.14057826520438699</v>
      </c>
      <c r="CJ378" s="848">
        <f>IF(CD377&lt;&gt;"",CJ377/CD377-1,"-")</f>
        <v>0.28146341463414637</v>
      </c>
      <c r="CK378" s="848">
        <f>IF(CE377&lt;&gt;"",CK377/CE377-1,"-")</f>
        <v>0.1899095668729176</v>
      </c>
      <c r="CL378" s="848">
        <f>IF(CF377&lt;&gt;"",CL377/CF377-1,"-")</f>
        <v>0.15278969957081556</v>
      </c>
      <c r="CM378" s="1159">
        <f>IF(CG377&lt;&gt;"",CM377/CG377-1,"-")</f>
        <v>0.19017320607988686</v>
      </c>
      <c r="CN378" s="843"/>
      <c r="CO378" s="848">
        <f>IF(CI377&lt;&gt;"",CO377/CI377-1,"-")</f>
        <v>0.18006993006993</v>
      </c>
      <c r="CP378" s="848">
        <f>IF(CJ377&lt;&gt;"",CP377/CJ377-1,"-")</f>
        <v>0.11153406928054821</v>
      </c>
      <c r="CQ378" s="848">
        <f>IF(CK377&lt;&gt;"",CQ377/CK377-1,"-")</f>
        <v>0.17759999999999998</v>
      </c>
      <c r="CR378" s="848">
        <f>IF(CL377&lt;&gt;"",CR377/CL377-1,"-")</f>
        <v>0.17721518987341756</v>
      </c>
      <c r="CS378" s="1159">
        <f>IF(CM377&lt;&gt;"",CS377/CM377-1,"-")</f>
        <v>0.16087516087516085</v>
      </c>
      <c r="CT378" s="845"/>
      <c r="CU378" s="848">
        <f>IF(CO377&lt;&gt;"",CU377/CO377-1,"-")</f>
        <v>0.1418518518518519</v>
      </c>
      <c r="CV378" s="848">
        <f>IF(CP377&lt;&gt;"",CV377/CP377-1,"-")</f>
        <v>2.7397260273972712E-2</v>
      </c>
      <c r="CW378" s="848">
        <f>IF(CQ377&lt;&gt;"",CW377/CQ377-1,"-")</f>
        <v>-5.5706521739130377E-2</v>
      </c>
      <c r="CX378" s="848">
        <f>IF(CR377&lt;&gt;"",CX377/CR377-1,"-")</f>
        <v>-4.1745730550284632E-2</v>
      </c>
      <c r="CY378" s="1159">
        <f>IF(CS377&lt;&gt;"",CY377/CS377-1,"-")</f>
        <v>1.4241855705270368E-2</v>
      </c>
      <c r="CZ378" s="845"/>
      <c r="DA378" s="848">
        <f>IF(CU377&lt;&gt;"",DA377/CU377-1,"-")</f>
        <v>-8.7901394745377948E-2</v>
      </c>
      <c r="DB378" s="848">
        <f>IF(CV377&lt;&gt;"",DB377/CV377-1,"-")</f>
        <v>-5.8000000000000163E-2</v>
      </c>
      <c r="DC378" s="848">
        <f>IF(CW377&lt;&gt;"",DC377/CW377-1,"-")</f>
        <v>-3.3453237410072001E-2</v>
      </c>
      <c r="DD378" s="848">
        <f>IF(CX377&lt;&gt;"",DD377/CX377-1,"-")</f>
        <v>-0.12574257425742585</v>
      </c>
      <c r="DE378" s="1159">
        <f>IF(CY377&lt;&gt;"",DE377/CY377-1,"-")</f>
        <v>-7.7272345076935922E-2</v>
      </c>
      <c r="DF378" s="845"/>
      <c r="DG378" s="848">
        <f>IF(DA377&lt;&gt;"",DG377/DA377-1,"-")</f>
        <v>-7.1088193456614546E-2</v>
      </c>
      <c r="DH378" s="848">
        <f>IF(DB377&lt;&gt;"",DH377/DB377-1,"-")</f>
        <v>7.7494692144373767E-2</v>
      </c>
      <c r="DI378" s="848">
        <f>IF(DC377&lt;&gt;"",DI377/DC377-1,"-")</f>
        <v>-1.4886490509868899E-4</v>
      </c>
      <c r="DJ378" s="848">
        <f>IF(DD377&lt;&gt;"",DJ377/DD377-1,"-")</f>
        <v>-8.3805209513023726E-2</v>
      </c>
      <c r="DK378" s="1159">
        <f>IF(DE377&lt;&gt;"",DK377/DE377-1,"-")</f>
        <v>-1.8525605977765758E-2</v>
      </c>
      <c r="DL378" s="843"/>
      <c r="DM378" s="848">
        <f>IF(DG377&lt;&gt;"",DM377/DG377-1,"-")</f>
        <v>0.25071781325370401</v>
      </c>
      <c r="DN378" s="848">
        <f>IF(DH377&lt;&gt;"",DN377/DH377-1,"-")</f>
        <v>-4.5977011494252928E-2</v>
      </c>
      <c r="DO378" s="848">
        <f>IF(DI377&lt;&gt;"",DO377/DI377-1,"-")</f>
        <v>4.5559443162361379E-2</v>
      </c>
      <c r="DP378" s="848">
        <f>IF(DJ377&lt;&gt;"",DP377/DJ377-1,"-")</f>
        <v>0.35475896168108778</v>
      </c>
      <c r="DQ378" s="1159">
        <f>IF(DK377&lt;&gt;"",DQ377/DK377-1,"-")</f>
        <v>0.13910887871726096</v>
      </c>
      <c r="DR378" s="845"/>
      <c r="DS378" s="848">
        <f>IF(DM377&lt;&gt;"",DS377/DM377-1,"-")</f>
        <v>-0.4309764309764309</v>
      </c>
      <c r="DT378" s="848">
        <f>IF(DN377&lt;&gt;"",DT377/DN377-1,"-")</f>
        <v>-0.212736660929432</v>
      </c>
      <c r="DU378" s="848">
        <f>IF(DO377&lt;&gt;"",DU377/DO377-1,"-")</f>
        <v>-0.39444642221431114</v>
      </c>
      <c r="DV378" s="848">
        <f>IF(DP377&lt;&gt;"",DV377/DP377-1,"-")</f>
        <v>-0.52463503649635035</v>
      </c>
      <c r="DW378" s="1159">
        <f>IF(DQ377&lt;&gt;"",DW377/DQ377-1,"-")</f>
        <v>-0.39603879696796807</v>
      </c>
      <c r="DX378" s="845"/>
      <c r="DY378" s="848">
        <f>IF(DS377&lt;&gt;"",DY377/DS377-1,"-")</f>
        <v>-1</v>
      </c>
      <c r="DZ378" s="848">
        <f>IF(DT377&lt;&gt;"",DZ377/DT377-1,"-")</f>
        <v>-1</v>
      </c>
      <c r="EA378" s="848"/>
      <c r="EB378" s="848">
        <f>IF(DV377&lt;&gt;"",EB377/DV377-1,"-")</f>
        <v>-1</v>
      </c>
      <c r="EC378" s="1159">
        <f>IF(DW377&lt;&gt;"",EC377/DW377-1,"-")</f>
        <v>-1</v>
      </c>
      <c r="ED378" s="845"/>
      <c r="EE378" s="848" t="e">
        <f>IF(DY377&lt;&gt;"",EE377/DY377-1,"-")</f>
        <v>#DIV/0!</v>
      </c>
      <c r="EF378" s="848" t="e">
        <f>IF(DZ377&lt;&gt;"",EF377/DZ377-1,"-")</f>
        <v>#DIV/0!</v>
      </c>
      <c r="EG378" s="848" t="str">
        <f>IF(EA377&lt;&gt;"",EG377/EA377-1,"-")</f>
        <v>-</v>
      </c>
      <c r="EH378" s="848" t="e">
        <f>IF(EB377&lt;&gt;"",EH377/EB377-1,"-")</f>
        <v>#DIV/0!</v>
      </c>
      <c r="EI378" s="1159" t="e">
        <f>IF(EC377&lt;&gt;"",EI377/EC377-1,"-")</f>
        <v>#DIV/0!</v>
      </c>
      <c r="EJ378" s="845"/>
      <c r="EK378" s="848" t="e">
        <f>IF(EE377&lt;&gt;"",EK377/EE377-1,"-")</f>
        <v>#DIV/0!</v>
      </c>
      <c r="EL378" s="848" t="e">
        <f>IF(EF377&lt;&gt;"",EL377/EF377-1,"-")</f>
        <v>#DIV/0!</v>
      </c>
      <c r="EM378" s="848" t="e">
        <f>IF(EG377&lt;&gt;"",EM377/EG377-1,"-")</f>
        <v>#DIV/0!</v>
      </c>
      <c r="EN378" s="848" t="e">
        <f>IF(EH377&lt;&gt;"",EN377/EH377-1,"-")</f>
        <v>#DIV/0!</v>
      </c>
      <c r="EO378" s="1159" t="e">
        <f>IF(EI377&lt;&gt;"",EO377/EI377-1,"-")</f>
        <v>#DIV/0!</v>
      </c>
      <c r="EP378" s="845"/>
      <c r="EQ378" s="848" t="e">
        <f>IF(EK377&lt;&gt;"",EQ377/EK377-1,"-")</f>
        <v>#DIV/0!</v>
      </c>
      <c r="ER378" s="848" t="e">
        <f>IF(EL377&lt;&gt;"",ER377/EL377-1,"-")</f>
        <v>#DIV/0!</v>
      </c>
      <c r="ES378" s="848" t="e">
        <f>IF(EM377&lt;&gt;"",ES377/EM377-1,"-")</f>
        <v>#DIV/0!</v>
      </c>
      <c r="ET378" s="848" t="e">
        <f>IF(EN377&lt;&gt;"",ET377/EN377-1,"-")</f>
        <v>#DIV/0!</v>
      </c>
      <c r="EU378" s="1159" t="e">
        <f>IF(EO377&lt;&gt;"",EU377/EO377-1,"-")</f>
        <v>#DIV/0!</v>
      </c>
    </row>
    <row r="379" spans="1:196" ht="13.5" hidden="1" customHeight="1">
      <c r="A379" s="847" t="s">
        <v>344</v>
      </c>
      <c r="B379" s="843"/>
      <c r="C379" s="843"/>
      <c r="D379" s="843"/>
      <c r="E379" s="843"/>
      <c r="F379" s="843"/>
      <c r="G379" s="843"/>
      <c r="H379" s="843"/>
      <c r="I379" s="843"/>
      <c r="J379" s="843"/>
      <c r="K379" s="843"/>
      <c r="L379" s="843"/>
      <c r="M379" s="843"/>
      <c r="N379" s="843"/>
      <c r="O379" s="843"/>
      <c r="P379" s="843"/>
      <c r="Q379" s="843"/>
      <c r="R379" s="843"/>
      <c r="S379" s="843"/>
      <c r="T379" s="843"/>
      <c r="U379" s="843"/>
      <c r="V379" s="843"/>
      <c r="W379" s="843"/>
      <c r="X379" s="843"/>
      <c r="Y379" s="843"/>
      <c r="Z379" s="843"/>
      <c r="AA379" s="843"/>
      <c r="AB379" s="843"/>
      <c r="AC379" s="843"/>
      <c r="AD379" s="843"/>
      <c r="AE379" s="843"/>
      <c r="AF379" s="843"/>
      <c r="AG379" s="848" t="str">
        <f>IF(AD377&lt;&gt;"",AG377/AD377-1,"-")</f>
        <v>-</v>
      </c>
      <c r="AH379" s="848">
        <f>IF(AG377&lt;&gt;"",AH377/AG377-1,"-")</f>
        <v>-0.249089870291761</v>
      </c>
      <c r="AI379" s="848">
        <f>IF(AH377&lt;&gt;"",AI377/AH377-1,"-")</f>
        <v>-2.0681632396403082E-2</v>
      </c>
      <c r="AJ379" s="848">
        <f>IF(AI377&lt;&gt;"",AJ377/AI377-1,"-")</f>
        <v>-6.5384195555441393E-2</v>
      </c>
      <c r="AK379" s="849"/>
      <c r="AL379" s="843"/>
      <c r="AM379" s="848">
        <f>IF(AJ377&lt;&gt;"",AM377/AJ377-1,"-")</f>
        <v>0.20064853872683042</v>
      </c>
      <c r="AN379" s="848">
        <f>IF(AM377&lt;&gt;"",AN377/AM377-1,"-")</f>
        <v>-4.5369755784944177E-2</v>
      </c>
      <c r="AO379" s="848">
        <f>IF(AN377&lt;&gt;"",AO377/AN377-1,"-")</f>
        <v>-0.11906374561692712</v>
      </c>
      <c r="AP379" s="848">
        <f>IF(AO377&lt;&gt;"",AP377/AO377-1,"-")</f>
        <v>-7.7545910417701203E-2</v>
      </c>
      <c r="AQ379" s="849" t="s">
        <v>6442</v>
      </c>
      <c r="AR379" s="843"/>
      <c r="AS379" s="848">
        <f>IF(AP377&lt;&gt;"",AS377/AP377-1,"-")</f>
        <v>0.15273577529614824</v>
      </c>
      <c r="AT379" s="848">
        <f>IF(AS377&lt;&gt;"",AT377/AS377-1,"-")</f>
        <v>-0.1205968735802817</v>
      </c>
      <c r="AU379" s="848">
        <f>IF(AT377&lt;&gt;"",AU377/AT377-1,"-")</f>
        <v>6.7443281866204963E-2</v>
      </c>
      <c r="AV379" s="848">
        <f>IF(AU377&lt;&gt;"",AV377/AU377-1,"-")</f>
        <v>0.10644635760686572</v>
      </c>
      <c r="AW379" s="849" t="s">
        <v>6442</v>
      </c>
      <c r="AX379" s="843"/>
      <c r="AY379" s="848">
        <f>IF(AV377&lt;&gt;"",AY377/AV377-1,"-")</f>
        <v>0.20503453076965727</v>
      </c>
      <c r="AZ379" s="848">
        <f>IF(AY377&lt;&gt;"",AZ377/AY377-1,"-")</f>
        <v>-9.2024539877302303E-3</v>
      </c>
      <c r="BA379" s="848">
        <f>IF(AZ377&lt;&gt;"",BA377/AZ377-1,"-")</f>
        <v>3.6119711042311708E-2</v>
      </c>
      <c r="BB379" s="848">
        <f>IF(BA377&lt;&gt;"",BB377/BA377-1,"-")</f>
        <v>6.4741035856573648E-2</v>
      </c>
      <c r="BC379" s="849" t="s">
        <v>6442</v>
      </c>
      <c r="BD379" s="843"/>
      <c r="BE379" s="848">
        <f>IF(BB377&lt;&gt;"",BE377/BB377-1,"-")</f>
        <v>0.11786716557530408</v>
      </c>
      <c r="BF379" s="848">
        <f>IF(BE377&lt;&gt;"",BF377/BE377-1,"-")</f>
        <v>1.2133891213389036E-2</v>
      </c>
      <c r="BG379" s="848">
        <f>IF(BF377&lt;&gt;"",BG377/BF377-1,"-")</f>
        <v>1.3228606862339953E-2</v>
      </c>
      <c r="BH379" s="848">
        <f>IF(BG377&lt;&gt;"",BH377/BG377-1,"-")</f>
        <v>7.996736026111817E-2</v>
      </c>
      <c r="BI379" s="849" t="s">
        <v>6442</v>
      </c>
      <c r="BJ379" s="843"/>
      <c r="BK379" s="848">
        <f>IF(BH377&lt;&gt;"",BK377/BH377-1,"-")</f>
        <v>3.5889686437476254E-2</v>
      </c>
      <c r="BL379" s="848">
        <f>IF(BK377&lt;&gt;"",BL377/BK377-1,"-")</f>
        <v>8.0962800875273411E-2</v>
      </c>
      <c r="BM379" s="848">
        <f>IF(BL377&lt;&gt;"",BM377/BL377-1,"-")</f>
        <v>-3.711201079621973E-3</v>
      </c>
      <c r="BN379" s="848">
        <f>IF(BM377&lt;&gt;"",BN377/BM377-1,"-")</f>
        <v>4.7409414155095142E-3</v>
      </c>
      <c r="BO379" s="1160" t="s">
        <v>6442</v>
      </c>
      <c r="BP379" s="843"/>
      <c r="BQ379" s="848">
        <f>IF(BN377&lt;&gt;"",BQ377/BN377-1,"-")</f>
        <v>5.2241321199865132E-2</v>
      </c>
      <c r="BR379" s="848">
        <f>IF(BQ377&lt;&gt;"",BR377/BQ377-1,"-")</f>
        <v>0.11338885329916737</v>
      </c>
      <c r="BS379" s="848">
        <f>IF(BR377&lt;&gt;"",BS377/BR377-1,"-")</f>
        <v>1.3665132336018404E-2</v>
      </c>
      <c r="BT379" s="848">
        <f>IF(BS377&lt;&gt;"",BT377/BS377-1,"-")</f>
        <v>0.12388250319284788</v>
      </c>
      <c r="BU379" s="1160" t="s">
        <v>6442</v>
      </c>
      <c r="BV379" s="843"/>
      <c r="BW379" s="848">
        <f>IF(BT377&lt;&gt;"",BW377/BT377-1,"-")</f>
        <v>-6.2777777777777821E-2</v>
      </c>
      <c r="BX379" s="848">
        <f>IF(BW377&lt;&gt;"",BX377/BW377-1,"-")</f>
        <v>2.9800075443229046E-2</v>
      </c>
      <c r="BY379" s="848">
        <f>IF(BX377&lt;&gt;"",BY377/BX377-1,"-")</f>
        <v>-9.6807953950810433E-3</v>
      </c>
      <c r="BZ379" s="848">
        <f>IF(BY377&lt;&gt;"",BZ377/BY377-1,"-")</f>
        <v>-0.27080581241743729</v>
      </c>
      <c r="CA379" s="1160" t="s">
        <v>6442</v>
      </c>
      <c r="CB379" s="843"/>
      <c r="CC379" s="848">
        <f>IF(BZ377&lt;&gt;"",CC377/BZ377-1,"-")</f>
        <v>-0.27318840579710146</v>
      </c>
      <c r="CD379" s="848">
        <f>IF(CC377&lt;&gt;"",CD377/CC377-1,"-")</f>
        <v>2.193419740777669E-2</v>
      </c>
      <c r="CE379" s="848">
        <f>IF(CD377&lt;&gt;"",CE377/CD377-1,"-")</f>
        <v>2.4878048780487827E-2</v>
      </c>
      <c r="CF379" s="848">
        <f>IF(CE377&lt;&gt;"",CF377/CE377-1,"-")</f>
        <v>0.10899571632555927</v>
      </c>
      <c r="CG379" s="1160" t="s">
        <v>6442</v>
      </c>
      <c r="CH379" s="843"/>
      <c r="CI379" s="848">
        <f>IF(CF377&lt;&gt;"",CI377/CF377-1,"-")</f>
        <v>-1.8025751072961338E-2</v>
      </c>
      <c r="CJ379" s="848">
        <f>IF(CI377&lt;&gt;"",CJ377/CI377-1,"-")</f>
        <v>0.14816433566433562</v>
      </c>
      <c r="CK379" s="848">
        <f>IF(CJ377&lt;&gt;"",CK377/CJ377-1,"-")</f>
        <v>-4.8344118766653899E-2</v>
      </c>
      <c r="CL379" s="848">
        <f>IF(CK377&lt;&gt;"",CL377/CK377-1,"-")</f>
        <v>7.4400000000000022E-2</v>
      </c>
      <c r="CM379" s="1160" t="s">
        <v>6442</v>
      </c>
      <c r="CN379" s="843"/>
      <c r="CO379" s="848">
        <f>IF(CL377&lt;&gt;"",CO377/CL377-1,"-")</f>
        <v>5.2122114668651243E-3</v>
      </c>
      <c r="CP379" s="848">
        <f>IF(CO377&lt;&gt;"",CP377/CO377-1,"-")</f>
        <v>8.1481481481481488E-2</v>
      </c>
      <c r="CQ379" s="848">
        <f>IF(CP377&lt;&gt;"",CQ377/CP377-1,"-")</f>
        <v>8.219178082191636E-3</v>
      </c>
      <c r="CR379" s="848">
        <f>IF(CQ377&lt;&gt;"",CR377/CQ377-1,"-")</f>
        <v>7.4048913043478271E-2</v>
      </c>
      <c r="CS379" s="1160" t="s">
        <v>6442</v>
      </c>
      <c r="CT379" s="849"/>
      <c r="CU379" s="848">
        <f>IF(CR377&lt;&gt;"",CU377/CR377-1,"-")</f>
        <v>-2.4984187223276333E-2</v>
      </c>
      <c r="CV379" s="848">
        <f>IF(CU377&lt;&gt;"",CV377/CU377-1,"-")</f>
        <v>-2.6921829386960749E-2</v>
      </c>
      <c r="CW379" s="848">
        <f>IF(CV377&lt;&gt;"",CW377/CV377-1,"-")</f>
        <v>-7.3333333333333361E-2</v>
      </c>
      <c r="CX379" s="848">
        <f>IF(CW377&lt;&gt;"",CX377/CW377-1,"-")</f>
        <v>8.9928057553956942E-2</v>
      </c>
      <c r="CY379" s="1160" t="s">
        <v>6442</v>
      </c>
      <c r="CZ379" s="849"/>
      <c r="DA379" s="848">
        <f>IF(CX377&lt;&gt;"",DA377/CX377-1,"-")</f>
        <v>-7.1947194719471974E-2</v>
      </c>
      <c r="DB379" s="848">
        <f>IF(DA377&lt;&gt;"",DB377/DA377-1,"-")</f>
        <v>4.978662873399653E-3</v>
      </c>
      <c r="DC379" s="848">
        <f>IF(DB377&lt;&gt;"",DC377/DB377-1,"-")</f>
        <v>-4.9186128803963114E-2</v>
      </c>
      <c r="DD379" s="848">
        <f>IF(DC377&lt;&gt;"",DD377/DC377-1,"-")</f>
        <v>-1.4142165984369237E-2</v>
      </c>
      <c r="DE379" s="1160" t="s">
        <v>6442</v>
      </c>
      <c r="DF379" s="849"/>
      <c r="DG379" s="848">
        <f>IF(DD377&lt;&gt;"",DG377/DD377-1,"-")</f>
        <v>-1.3929784824462055E-2</v>
      </c>
      <c r="DH379" s="848">
        <f>IF(DG377&lt;&gt;"",DH377/DG377-1,"-")</f>
        <v>0.16572872401516037</v>
      </c>
      <c r="DI379" s="848">
        <f>IF(DH377&lt;&gt;"",DI377/DH377-1,"-")</f>
        <v>-0.11770114942528742</v>
      </c>
      <c r="DJ379" s="848">
        <f>IF(DI377&lt;&gt;"",DJ377/DI377-1,"-")</f>
        <v>-9.6627707883570224E-2</v>
      </c>
      <c r="DK379" s="1160" t="s">
        <v>6442</v>
      </c>
      <c r="DL379" s="843"/>
      <c r="DM379" s="848">
        <f>IF(DJ377&lt;&gt;"",DM377/DJ377-1,"-")</f>
        <v>0.34610630407911014</v>
      </c>
      <c r="DN379" s="848">
        <f>IF(DM377&lt;&gt;"",DN377/DM377-1,"-")</f>
        <v>-0.11080501989592895</v>
      </c>
      <c r="DO379" s="848">
        <f>IF(DN377&lt;&gt;"",DO377/DN377-1,"-")</f>
        <v>-3.3046471600688521E-2</v>
      </c>
      <c r="DP379" s="848">
        <f>IF(DO377&lt;&gt;"",DP377/DO377-1,"-")</f>
        <v>0.17052331790672848</v>
      </c>
      <c r="DQ379" s="1160" t="s">
        <v>6442</v>
      </c>
      <c r="DR379" s="849"/>
      <c r="DS379" s="848">
        <f>IF(DP377&lt;&gt;"",DS377/DP377-1,"-")</f>
        <v>-0.43461070559610704</v>
      </c>
      <c r="DT379" s="848">
        <f>IF(DS377&lt;&gt;"",DT377/DS377-1,"-")</f>
        <v>0.230231307154384</v>
      </c>
      <c r="DU379" s="848">
        <f>IF(DT377&lt;&gt;"",DU377/DT377-1,"-")</f>
        <v>-0.25623087013554879</v>
      </c>
      <c r="DV379" s="848">
        <f>IF(DU377&lt;&gt;"",DV377/DU377-1,"-")</f>
        <v>-8.1128747795414347E-2</v>
      </c>
      <c r="DW379" s="1160" t="s">
        <v>6442</v>
      </c>
      <c r="DX379" s="849"/>
      <c r="DY379" s="848">
        <f>IF(DV377&lt;&gt;"",DY377/DV377-1,"-")</f>
        <v>-1</v>
      </c>
      <c r="DZ379" s="848" t="e">
        <f>IF(DY377&lt;&gt;"",DZ377/DY377-1,"-")</f>
        <v>#DIV/0!</v>
      </c>
      <c r="EA379" s="848"/>
      <c r="EB379" s="848" t="str">
        <f>IF(EA377&lt;&gt;"",EB377/EA377-1,"-")</f>
        <v>-</v>
      </c>
      <c r="EC379" s="1160" t="s">
        <v>6442</v>
      </c>
      <c r="ED379" s="849"/>
      <c r="EE379" s="848" t="e">
        <f>IF(EB377&lt;&gt;"",EE377/EB377-1,"-")</f>
        <v>#DIV/0!</v>
      </c>
      <c r="EF379" s="848" t="e">
        <f>IF(EE377&lt;&gt;"",EF377/EE377-1,"-")</f>
        <v>#DIV/0!</v>
      </c>
      <c r="EG379" s="848" t="e">
        <f>IF(EF377&lt;&gt;"",EG377/EF377-1,"-")</f>
        <v>#DIV/0!</v>
      </c>
      <c r="EH379" s="848" t="e">
        <f>IF(EG377&lt;&gt;"",EH377/EG377-1,"-")</f>
        <v>#DIV/0!</v>
      </c>
      <c r="EI379" s="1160" t="s">
        <v>6442</v>
      </c>
      <c r="EJ379" s="849"/>
      <c r="EK379" s="848" t="e">
        <f>IF(EH377&lt;&gt;"",EK377/EH377-1,"-")</f>
        <v>#DIV/0!</v>
      </c>
      <c r="EL379" s="848" t="e">
        <f>IF(EK377&lt;&gt;"",EL377/EK377-1,"-")</f>
        <v>#DIV/0!</v>
      </c>
      <c r="EM379" s="848" t="e">
        <f>IF(EL377&lt;&gt;"",EM377/EL377-1,"-")</f>
        <v>#DIV/0!</v>
      </c>
      <c r="EN379" s="848" t="e">
        <f>IF(EM377&lt;&gt;"",EN377/EM377-1,"-")</f>
        <v>#DIV/0!</v>
      </c>
      <c r="EO379" s="1160" t="s">
        <v>6442</v>
      </c>
      <c r="EP379" s="849"/>
      <c r="EQ379" s="848" t="e">
        <f>IF(EN377&lt;&gt;"",EQ377/EN377-1,"-")</f>
        <v>#DIV/0!</v>
      </c>
      <c r="ER379" s="848" t="e">
        <f>IF(EQ377&lt;&gt;"",ER377/EQ377-1,"-")</f>
        <v>#DIV/0!</v>
      </c>
      <c r="ES379" s="848" t="e">
        <f>IF(ER377&lt;&gt;"",ES377/ER377-1,"-")</f>
        <v>#DIV/0!</v>
      </c>
      <c r="ET379" s="848" t="e">
        <f>IF(ES377&lt;&gt;"",ET377/ES377-1,"-")</f>
        <v>#DIV/0!</v>
      </c>
      <c r="EU379" s="1160" t="s">
        <v>6442</v>
      </c>
    </row>
    <row r="380" spans="1:196" ht="4.5" hidden="1" customHeight="1">
      <c r="A380" s="847"/>
      <c r="B380" s="843"/>
      <c r="C380" s="843"/>
      <c r="D380" s="843"/>
      <c r="E380" s="843"/>
      <c r="F380" s="843"/>
      <c r="G380" s="843"/>
      <c r="H380" s="843"/>
      <c r="I380" s="843"/>
      <c r="J380" s="843"/>
      <c r="K380" s="843"/>
      <c r="L380" s="843"/>
      <c r="M380" s="843"/>
      <c r="N380" s="843"/>
      <c r="O380" s="843"/>
      <c r="P380" s="843"/>
      <c r="Q380" s="843"/>
      <c r="R380" s="843"/>
      <c r="S380" s="843"/>
      <c r="T380" s="843"/>
      <c r="U380" s="843"/>
      <c r="V380" s="843"/>
      <c r="W380" s="843"/>
      <c r="X380" s="843"/>
      <c r="Y380" s="843"/>
      <c r="Z380" s="843"/>
      <c r="AA380" s="843"/>
      <c r="AB380" s="843"/>
      <c r="AC380" s="843"/>
      <c r="AD380" s="843"/>
      <c r="AE380" s="843"/>
      <c r="AF380" s="843"/>
      <c r="AG380" s="848"/>
      <c r="AH380" s="848"/>
      <c r="AI380" s="848"/>
      <c r="AJ380" s="848"/>
      <c r="AK380" s="849"/>
      <c r="AL380" s="843"/>
      <c r="AM380" s="848"/>
      <c r="AN380" s="848"/>
      <c r="AO380" s="848"/>
      <c r="AP380" s="848"/>
      <c r="AQ380" s="849"/>
      <c r="AR380" s="843"/>
      <c r="AS380" s="848"/>
      <c r="AT380" s="848"/>
      <c r="AU380" s="848"/>
      <c r="AV380" s="848"/>
      <c r="AW380" s="849"/>
      <c r="AX380" s="843"/>
      <c r="AY380" s="848"/>
      <c r="AZ380" s="848"/>
      <c r="BA380" s="848"/>
      <c r="BB380" s="848"/>
      <c r="BC380" s="849"/>
      <c r="BD380" s="843"/>
      <c r="BE380" s="848"/>
      <c r="BF380" s="848"/>
      <c r="BG380" s="848"/>
      <c r="BH380" s="848"/>
      <c r="BI380" s="849"/>
      <c r="BJ380" s="843"/>
      <c r="BK380" s="848"/>
      <c r="BL380" s="848"/>
      <c r="BM380" s="848"/>
      <c r="BN380" s="848"/>
      <c r="BO380" s="1160"/>
      <c r="BP380" s="843"/>
      <c r="BQ380" s="848"/>
      <c r="BR380" s="848"/>
      <c r="BS380" s="848"/>
      <c r="BT380" s="848"/>
      <c r="BU380" s="1160"/>
      <c r="BV380" s="843"/>
      <c r="BW380" s="848"/>
      <c r="BX380" s="848"/>
      <c r="BY380" s="848"/>
      <c r="BZ380" s="848"/>
      <c r="CA380" s="1160"/>
      <c r="CB380" s="843"/>
      <c r="CC380" s="848"/>
      <c r="CD380" s="848"/>
      <c r="CE380" s="848"/>
      <c r="CF380" s="848"/>
      <c r="CG380" s="1160"/>
      <c r="CH380" s="843"/>
      <c r="CI380" s="848"/>
      <c r="CJ380" s="848"/>
      <c r="CK380" s="848"/>
      <c r="CL380" s="848"/>
      <c r="CM380" s="1160"/>
      <c r="CN380" s="843"/>
      <c r="CO380" s="848"/>
      <c r="CP380" s="848"/>
      <c r="CQ380" s="848"/>
      <c r="CR380" s="848"/>
      <c r="CS380" s="1160"/>
      <c r="CT380" s="849"/>
      <c r="CU380" s="848"/>
      <c r="CV380" s="848"/>
      <c r="CW380" s="848"/>
      <c r="CX380" s="848"/>
      <c r="CY380" s="1160"/>
      <c r="CZ380" s="849"/>
      <c r="DA380" s="848"/>
      <c r="DB380" s="848"/>
      <c r="DC380" s="848"/>
      <c r="DD380" s="848"/>
      <c r="DE380" s="1160"/>
      <c r="DF380" s="849"/>
      <c r="DG380" s="848"/>
      <c r="DH380" s="848"/>
      <c r="DI380" s="848"/>
      <c r="DJ380" s="848"/>
      <c r="DK380" s="1160"/>
      <c r="DL380" s="843"/>
      <c r="DM380" s="848"/>
      <c r="DN380" s="848"/>
      <c r="DO380" s="848"/>
      <c r="DP380" s="848"/>
      <c r="DQ380" s="1160"/>
      <c r="DR380" s="849"/>
      <c r="DS380" s="848"/>
      <c r="DT380" s="848"/>
      <c r="DU380" s="848"/>
      <c r="DV380" s="848"/>
      <c r="DW380" s="1160"/>
      <c r="DX380" s="849"/>
      <c r="DY380" s="848"/>
      <c r="DZ380" s="848"/>
      <c r="EA380" s="848"/>
      <c r="EB380" s="848"/>
      <c r="EC380" s="1160"/>
      <c r="ED380" s="849"/>
      <c r="EE380" s="848"/>
      <c r="EF380" s="848"/>
      <c r="EG380" s="848"/>
      <c r="EH380" s="848"/>
      <c r="EI380" s="1160"/>
      <c r="EJ380" s="849"/>
      <c r="EK380" s="848"/>
      <c r="EL380" s="848"/>
      <c r="EM380" s="848"/>
      <c r="EN380" s="848"/>
      <c r="EO380" s="1160"/>
      <c r="EP380" s="849"/>
      <c r="EQ380" s="848"/>
      <c r="ER380" s="848"/>
      <c r="ES380" s="848"/>
      <c r="ET380" s="848"/>
      <c r="EU380" s="1160"/>
    </row>
    <row r="381" spans="1:196" hidden="1">
      <c r="A381" s="860" t="s">
        <v>747</v>
      </c>
      <c r="B381" s="331"/>
      <c r="C381" s="291"/>
      <c r="D381" s="291"/>
      <c r="E381" s="291"/>
      <c r="F381" s="291"/>
      <c r="G381" s="331"/>
      <c r="H381" s="331"/>
      <c r="I381" s="331"/>
      <c r="J381" s="331"/>
      <c r="K381" s="331"/>
      <c r="L381" s="331"/>
      <c r="M381" s="331"/>
      <c r="N381" s="331"/>
      <c r="O381" s="331"/>
      <c r="P381" s="331"/>
      <c r="Q381" s="331"/>
      <c r="R381" s="331"/>
      <c r="S381" s="331"/>
      <c r="T381" s="331"/>
      <c r="U381" s="331"/>
      <c r="V381" s="331"/>
      <c r="W381" s="331"/>
      <c r="X381" s="331"/>
      <c r="Y381" s="331"/>
      <c r="Z381" s="331"/>
      <c r="AA381" s="331"/>
      <c r="AB381" s="331"/>
      <c r="AC381" s="331"/>
      <c r="AD381" s="331"/>
      <c r="AE381" s="331"/>
      <c r="AF381" s="331"/>
      <c r="AG381" s="331"/>
      <c r="AH381" s="331"/>
      <c r="AI381" s="331"/>
      <c r="AJ381" s="331"/>
      <c r="AK381" s="331"/>
      <c r="AL381" s="331"/>
      <c r="AM381" s="331"/>
      <c r="AN381" s="331"/>
      <c r="AO381" s="331"/>
      <c r="AP381" s="331"/>
      <c r="AQ381" s="331"/>
      <c r="AR381" s="331"/>
      <c r="AS381" s="331"/>
      <c r="AT381" s="332"/>
      <c r="AU381" s="331"/>
      <c r="AV381" s="331"/>
      <c r="AW381" s="331"/>
      <c r="AX381" s="331"/>
      <c r="AY381" s="291"/>
      <c r="AZ381" s="291"/>
      <c r="BA381" s="291"/>
      <c r="BB381" s="291"/>
      <c r="BC381" s="291"/>
      <c r="BD381" s="331"/>
      <c r="BE381" s="291"/>
      <c r="BF381" s="291"/>
      <c r="BG381" s="291"/>
      <c r="BH381" s="291"/>
      <c r="BI381" s="291"/>
      <c r="BJ381" s="331"/>
      <c r="BK381" s="291"/>
      <c r="BL381" s="331"/>
      <c r="BM381" s="331"/>
      <c r="BN381" s="331"/>
      <c r="BO381" s="1136"/>
      <c r="BP381" s="331"/>
      <c r="BQ381" s="331"/>
      <c r="BR381" s="331"/>
      <c r="BS381" s="331"/>
      <c r="BT381" s="331"/>
      <c r="BU381" s="1603">
        <f>CA381</f>
        <v>1106.346</v>
      </c>
      <c r="BV381" s="331"/>
      <c r="BW381" s="534">
        <f>(Model!BW10+Model!BX10)*0.675-BX381</f>
        <v>298.33800000000002</v>
      </c>
      <c r="BX381" s="534">
        <f>Model!BX10*Metrics!BX382</f>
        <v>290.53199999999998</v>
      </c>
      <c r="BY381" s="534">
        <f>Model!BY10*Metrics!BY382</f>
        <v>282.07</v>
      </c>
      <c r="BZ381" s="534">
        <f>(Model!BZ10+Model!BW10+Model!BX10+Model!BY10)*0.69-SUM(BW381,BX381,BY381)</f>
        <v>235.40599999999995</v>
      </c>
      <c r="CA381" s="1603">
        <f>SUM(BW381:BZ381)</f>
        <v>1106.346</v>
      </c>
      <c r="CB381" s="331"/>
      <c r="CC381" s="534">
        <f>(Model!CC10+Model!CD10)*0.604-CD381</f>
        <v>142.28340000000003</v>
      </c>
      <c r="CD381" s="534">
        <f>Model!CD10*Metrics!CD382</f>
        <v>144.375</v>
      </c>
      <c r="CE381" s="534">
        <f>Model!CE10*Metrics!CE382</f>
        <v>148.74299999999999</v>
      </c>
      <c r="CF381" s="534">
        <f>(Model!CF10+Model!CC10+Model!CD10+Model!CE10)*0.61-SUM(CC381,CD381,CE381)</f>
        <v>162.82559999999995</v>
      </c>
      <c r="CG381" s="1603">
        <f>SUM(CC381:CF381)</f>
        <v>598.22699999999998</v>
      </c>
      <c r="CH381" s="331"/>
      <c r="CI381" s="534">
        <f>(Model!CI10+Model!CJ10)*0.687-CJ381</f>
        <v>175.82972000000007</v>
      </c>
      <c r="CJ381" s="534">
        <f>Model!CJ10*Metrics!CJ382</f>
        <v>209.23377999999997</v>
      </c>
      <c r="CK381" s="534">
        <f>Model!CK10*Metrics!CK382</f>
        <v>197.39999999999998</v>
      </c>
      <c r="CL381" s="534">
        <f>CF381*(1+CL383)</f>
        <v>197.01897599999992</v>
      </c>
      <c r="CM381" s="1603">
        <f>SUM(CI381:CL381)</f>
        <v>779.48247600000002</v>
      </c>
      <c r="CN381" s="331"/>
      <c r="CO381" s="534">
        <f>CI381*1.23</f>
        <v>216.27055560000008</v>
      </c>
      <c r="CP381" s="534">
        <f>CJ381*1.105</f>
        <v>231.20332689999995</v>
      </c>
      <c r="CQ381" s="534">
        <f>CK381*1.105</f>
        <v>218.12699999999998</v>
      </c>
      <c r="CR381" s="534">
        <f>CL381*1.18</f>
        <v>232.48239167999989</v>
      </c>
      <c r="CS381" s="1603">
        <f>SUM(CO381:CR381)</f>
        <v>898.08327417999988</v>
      </c>
      <c r="CT381" s="534"/>
      <c r="CU381" s="534">
        <f>CO381*1.19</f>
        <v>257.36196116400009</v>
      </c>
      <c r="CV381" s="534">
        <f>CP381*1.08</f>
        <v>249.69959305199995</v>
      </c>
      <c r="CW381" s="534">
        <f>CQ381*1.03</f>
        <v>224.67080999999999</v>
      </c>
      <c r="CX381" s="534">
        <f>CR381*0.97</f>
        <v>225.50791992959989</v>
      </c>
      <c r="CY381" s="1603">
        <f>SUM(CU381:CX381)</f>
        <v>957.24028414559996</v>
      </c>
      <c r="CZ381" s="534"/>
      <c r="DA381" s="534">
        <f>CU381*0.91</f>
        <v>234.19938465924008</v>
      </c>
      <c r="DB381" s="1743"/>
      <c r="DC381" s="331"/>
      <c r="DD381" s="331"/>
      <c r="DE381" s="1136"/>
      <c r="DF381" s="331"/>
      <c r="DG381" s="331"/>
      <c r="DH381" s="331"/>
      <c r="DI381" s="331"/>
      <c r="DJ381" s="331"/>
      <c r="DK381" s="1136"/>
      <c r="DL381" s="331"/>
      <c r="DM381" s="331"/>
      <c r="DN381" s="331"/>
      <c r="DO381" s="331"/>
      <c r="DP381" s="331"/>
      <c r="DQ381" s="1136"/>
      <c r="DR381" s="331"/>
      <c r="DS381" s="331"/>
      <c r="DT381" s="331"/>
      <c r="DU381" s="331"/>
      <c r="DV381" s="331"/>
      <c r="DW381" s="1136"/>
      <c r="DX381" s="331"/>
      <c r="DY381" s="331"/>
      <c r="DZ381" s="331"/>
      <c r="EA381" s="331"/>
      <c r="EB381" s="331"/>
      <c r="EC381" s="1136"/>
      <c r="ED381" s="331"/>
      <c r="EE381" s="331"/>
      <c r="EF381" s="331"/>
      <c r="EG381" s="331"/>
      <c r="EH381" s="331"/>
      <c r="EI381" s="1136"/>
      <c r="EJ381" s="331"/>
      <c r="EK381" s="331"/>
      <c r="EL381" s="331"/>
      <c r="EM381" s="331"/>
      <c r="EN381" s="331"/>
      <c r="EO381" s="1136"/>
      <c r="EP381" s="331"/>
      <c r="EQ381" s="331"/>
      <c r="ER381" s="331"/>
      <c r="ES381" s="331"/>
      <c r="ET381" s="331"/>
      <c r="EU381" s="1136"/>
    </row>
    <row r="382" spans="1:196" hidden="1">
      <c r="A382" s="860" t="s">
        <v>1932</v>
      </c>
      <c r="B382" s="331"/>
      <c r="C382" s="291"/>
      <c r="D382" s="291"/>
      <c r="E382" s="291"/>
      <c r="F382" s="291"/>
      <c r="G382" s="331"/>
      <c r="H382" s="331"/>
      <c r="I382" s="331"/>
      <c r="J382" s="331"/>
      <c r="K382" s="331"/>
      <c r="L382" s="331"/>
      <c r="M382" s="331"/>
      <c r="N382" s="331"/>
      <c r="O382" s="331"/>
      <c r="P382" s="331"/>
      <c r="Q382" s="331"/>
      <c r="R382" s="331"/>
      <c r="S382" s="331"/>
      <c r="T382" s="331"/>
      <c r="U382" s="331"/>
      <c r="V382" s="331"/>
      <c r="W382" s="331"/>
      <c r="X382" s="331"/>
      <c r="Y382" s="331"/>
      <c r="Z382" s="331"/>
      <c r="AA382" s="331"/>
      <c r="AB382" s="331"/>
      <c r="AC382" s="331"/>
      <c r="AD382" s="331"/>
      <c r="AE382" s="331"/>
      <c r="AF382" s="331"/>
      <c r="AG382" s="331"/>
      <c r="AH382" s="331"/>
      <c r="AI382" s="331"/>
      <c r="AJ382" s="331"/>
      <c r="AK382" s="331"/>
      <c r="AL382" s="331"/>
      <c r="AM382" s="331"/>
      <c r="AN382" s="331"/>
      <c r="AO382" s="331"/>
      <c r="AP382" s="331"/>
      <c r="AQ382" s="331"/>
      <c r="AR382" s="331"/>
      <c r="AS382" s="331"/>
      <c r="AT382" s="332"/>
      <c r="AU382" s="331"/>
      <c r="AV382" s="331"/>
      <c r="AW382" s="331"/>
      <c r="AX382" s="331"/>
      <c r="AY382" s="291"/>
      <c r="AZ382" s="291"/>
      <c r="BA382" s="291"/>
      <c r="BB382" s="291"/>
      <c r="BC382" s="291"/>
      <c r="BD382" s="331"/>
      <c r="BE382" s="291"/>
      <c r="BF382" s="291"/>
      <c r="BG382" s="291"/>
      <c r="BH382" s="291"/>
      <c r="BI382" s="291"/>
      <c r="BJ382" s="331"/>
      <c r="BK382" s="291"/>
      <c r="BL382" s="331"/>
      <c r="BM382" s="331"/>
      <c r="BN382" s="331"/>
      <c r="BO382" s="1136"/>
      <c r="BP382" s="331"/>
      <c r="BQ382" s="331"/>
      <c r="BR382" s="331"/>
      <c r="BS382" s="331"/>
      <c r="BT382" s="331"/>
      <c r="BU382" s="1136">
        <f>BU381/Model!BU10</f>
        <v>0.68352032620783398</v>
      </c>
      <c r="BV382" s="331"/>
      <c r="BW382" s="331">
        <f>BW381/Model!BW10</f>
        <v>0.69027764923646462</v>
      </c>
      <c r="BX382" s="331">
        <v>0.66</v>
      </c>
      <c r="BY382" s="331">
        <v>0.67</v>
      </c>
      <c r="BZ382" s="331">
        <f>BZ381/Model!BZ10</f>
        <v>0.75937419354838698</v>
      </c>
      <c r="CA382" s="1136">
        <f>CA381/Model!CA10</f>
        <v>0.69</v>
      </c>
      <c r="CB382" s="331"/>
      <c r="CC382" s="331">
        <f>CC381/Model!CC10</f>
        <v>0.58408620689655188</v>
      </c>
      <c r="CD382" s="331">
        <v>0.625</v>
      </c>
      <c r="CE382" s="331">
        <v>0.63</v>
      </c>
      <c r="CF382" s="331">
        <f>CF381/Model!CF10</f>
        <v>0.60305777777777758</v>
      </c>
      <c r="CG382" s="1136">
        <f>CG381/Model!CG10</f>
        <v>0.61</v>
      </c>
      <c r="CH382" s="331"/>
      <c r="CI382" s="331">
        <f>CI381/Model!CI10</f>
        <v>0.62841215153681218</v>
      </c>
      <c r="CJ382" s="331">
        <v>0.74539999999999995</v>
      </c>
      <c r="CK382" s="331">
        <v>0.7</v>
      </c>
      <c r="CL382" s="331">
        <f>CL381/Model!CL10</f>
        <v>0.59775174757281524</v>
      </c>
      <c r="CM382" s="1136">
        <v>0.67</v>
      </c>
      <c r="CN382" s="331"/>
      <c r="CO382" s="331">
        <f>CO381/Model!CO10</f>
        <v>0.66956828359133147</v>
      </c>
      <c r="CP382" s="331">
        <f>CP381/Model!CP10</f>
        <v>0.69430428498498487</v>
      </c>
      <c r="CQ382" s="331">
        <f>CQ381/Model!CQ10</f>
        <v>0.65819855159927576</v>
      </c>
      <c r="CR382" s="331">
        <f>CR381/Model!CR10</f>
        <v>0.62799133354943248</v>
      </c>
      <c r="CS382" s="1136">
        <v>0.67</v>
      </c>
      <c r="CT382" s="331"/>
      <c r="CU382" s="331">
        <f>CU381/Model!CU10</f>
        <v>0.72435114315789495</v>
      </c>
      <c r="CV382" s="331">
        <f>CV381/Model!CV10</f>
        <v>0.74760357201197591</v>
      </c>
      <c r="CW382" s="331">
        <f>CW381/Model!CW10</f>
        <v>0.72474454838709679</v>
      </c>
      <c r="CX382" s="331">
        <f>CX381/Model!CX10</f>
        <v>0.61782991761534223</v>
      </c>
      <c r="CY382" s="1136">
        <v>0.67</v>
      </c>
      <c r="CZ382" s="331"/>
      <c r="DA382" s="331">
        <f>DA381/Model!DA10</f>
        <v>0.72395482120321508</v>
      </c>
      <c r="DB382" s="1743"/>
      <c r="DC382" s="331"/>
      <c r="DD382" s="331"/>
      <c r="DE382" s="1136"/>
      <c r="DF382" s="331"/>
      <c r="DG382" s="331"/>
      <c r="DH382" s="331"/>
      <c r="DI382" s="331"/>
      <c r="DJ382" s="331"/>
      <c r="DK382" s="1136"/>
      <c r="DL382" s="331"/>
      <c r="DM382" s="331"/>
      <c r="DN382" s="331"/>
      <c r="DO382" s="331"/>
      <c r="DP382" s="331"/>
      <c r="DQ382" s="1136"/>
      <c r="DR382" s="331"/>
      <c r="DS382" s="331"/>
      <c r="DT382" s="331"/>
      <c r="DU382" s="331"/>
      <c r="DV382" s="331"/>
      <c r="DW382" s="1136"/>
      <c r="DX382" s="331"/>
      <c r="DY382" s="331"/>
      <c r="DZ382" s="331"/>
      <c r="EA382" s="331"/>
      <c r="EB382" s="331"/>
      <c r="EC382" s="1136"/>
      <c r="ED382" s="331"/>
      <c r="EE382" s="331"/>
      <c r="EF382" s="331"/>
      <c r="EG382" s="331"/>
      <c r="EH382" s="331"/>
      <c r="EI382" s="1136"/>
      <c r="EJ382" s="331"/>
      <c r="EK382" s="331"/>
      <c r="EL382" s="331"/>
      <c r="EM382" s="331"/>
      <c r="EN382" s="331"/>
      <c r="EO382" s="1136"/>
      <c r="EP382" s="331"/>
      <c r="EQ382" s="331"/>
      <c r="ER382" s="331"/>
      <c r="ES382" s="331"/>
      <c r="ET382" s="331"/>
      <c r="EU382" s="1136"/>
    </row>
    <row r="383" spans="1:196" hidden="1">
      <c r="A383" s="583" t="s">
        <v>345</v>
      </c>
      <c r="B383" s="531"/>
      <c r="C383" s="544"/>
      <c r="D383" s="544"/>
      <c r="E383" s="544"/>
      <c r="F383" s="544"/>
      <c r="G383" s="531"/>
      <c r="H383" s="531"/>
      <c r="I383" s="531"/>
      <c r="J383" s="531"/>
      <c r="K383" s="531"/>
      <c r="L383" s="531"/>
      <c r="M383" s="531"/>
      <c r="N383" s="531"/>
      <c r="O383" s="531"/>
      <c r="P383" s="531"/>
      <c r="Q383" s="531"/>
      <c r="R383" s="531"/>
      <c r="S383" s="531"/>
      <c r="T383" s="531"/>
      <c r="U383" s="531"/>
      <c r="V383" s="531"/>
      <c r="W383" s="531"/>
      <c r="X383" s="531"/>
      <c r="Y383" s="531"/>
      <c r="Z383" s="531"/>
      <c r="AA383" s="531"/>
      <c r="AB383" s="531"/>
      <c r="AC383" s="531"/>
      <c r="AD383" s="531"/>
      <c r="AE383" s="531"/>
      <c r="AF383" s="531"/>
      <c r="AG383" s="531"/>
      <c r="AH383" s="531"/>
      <c r="AI383" s="531"/>
      <c r="AJ383" s="531"/>
      <c r="AK383" s="531"/>
      <c r="AL383" s="531"/>
      <c r="AM383" s="531"/>
      <c r="AN383" s="531">
        <v>0.1</v>
      </c>
      <c r="AO383" s="531"/>
      <c r="AP383" s="531"/>
      <c r="AQ383" s="531"/>
      <c r="AR383" s="531"/>
      <c r="AS383" s="531"/>
      <c r="AT383" s="531"/>
      <c r="AU383" s="531"/>
      <c r="AV383" s="531"/>
      <c r="AW383" s="531"/>
      <c r="AX383" s="531"/>
      <c r="AY383" s="544">
        <v>0.25</v>
      </c>
      <c r="AZ383" s="544">
        <v>0.45</v>
      </c>
      <c r="BA383" s="544">
        <v>0.36</v>
      </c>
      <c r="BB383" s="544"/>
      <c r="BC383" s="544">
        <v>0.38</v>
      </c>
      <c r="BD383" s="531"/>
      <c r="BE383" s="544">
        <v>0.22</v>
      </c>
      <c r="BF383" s="544">
        <v>0.24</v>
      </c>
      <c r="BG383" s="544">
        <v>0.22</v>
      </c>
      <c r="BH383" s="544">
        <v>0.16</v>
      </c>
      <c r="BI383" s="544"/>
      <c r="BJ383" s="531"/>
      <c r="BK383" s="544">
        <v>0.22</v>
      </c>
      <c r="BL383" s="531">
        <v>0.24</v>
      </c>
      <c r="BM383" s="531">
        <v>0.2</v>
      </c>
      <c r="BN383" s="531">
        <v>0.15</v>
      </c>
      <c r="BO383" s="1161"/>
      <c r="BP383" s="531"/>
      <c r="BQ383" s="531">
        <v>0.1</v>
      </c>
      <c r="BR383" s="531">
        <v>0.1</v>
      </c>
      <c r="BS383" s="531">
        <v>0.2</v>
      </c>
      <c r="BT383" s="531">
        <v>0.3</v>
      </c>
      <c r="BU383" s="1161"/>
      <c r="BV383" s="531"/>
      <c r="BW383" s="531">
        <v>0.23</v>
      </c>
      <c r="BX383" s="531">
        <v>0.08</v>
      </c>
      <c r="BY383" s="531">
        <v>0.06</v>
      </c>
      <c r="BZ383" s="531"/>
      <c r="CA383" s="1161">
        <v>0</v>
      </c>
      <c r="CB383" s="531"/>
      <c r="CC383" s="531">
        <f>CC381/BW381-1</f>
        <v>-0.52307986243790594</v>
      </c>
      <c r="CD383" s="531">
        <f>CD381/BX381-1</f>
        <v>-0.5030667878237165</v>
      </c>
      <c r="CE383" s="531">
        <f>CE381/BY381-1</f>
        <v>-0.47267344985287341</v>
      </c>
      <c r="CF383" s="531">
        <f>CF381/BZ381-1</f>
        <v>-0.30832009379540037</v>
      </c>
      <c r="CG383" s="1161">
        <f>CG381/CA381-1</f>
        <v>-0.45927675428844139</v>
      </c>
      <c r="CH383" s="531"/>
      <c r="CI383" s="531">
        <f>CI381/CC381-1</f>
        <v>0.23577114406880928</v>
      </c>
      <c r="CJ383" s="1602">
        <f>CJ381/CD381-1</f>
        <v>0.44923830303030288</v>
      </c>
      <c r="CK383" s="1602">
        <f>CK381/CE381-1</f>
        <v>0.32712127629535503</v>
      </c>
      <c r="CL383" s="531">
        <v>0.21</v>
      </c>
      <c r="CM383" s="1161">
        <f>CM381/CG381-1</f>
        <v>0.30298778891624756</v>
      </c>
      <c r="CN383" s="531"/>
      <c r="CO383" s="531">
        <f>CO381/CI381-1</f>
        <v>0.22999999999999998</v>
      </c>
      <c r="CP383" s="1602">
        <f>CP381/CJ381-1</f>
        <v>0.10499999999999998</v>
      </c>
      <c r="CQ383" s="1602">
        <f>CQ381/CK381-1</f>
        <v>0.10499999999999998</v>
      </c>
      <c r="CR383" s="1602">
        <f>CR381/CL381-1</f>
        <v>0.17999999999999994</v>
      </c>
      <c r="CS383" s="1161">
        <f>CS381/CM381-1</f>
        <v>0.15215325787516476</v>
      </c>
      <c r="CT383" s="531"/>
      <c r="CU383" s="531">
        <f>CU381/CO381-1</f>
        <v>0.18999999999999995</v>
      </c>
      <c r="CV383" s="531">
        <f>CV381/CP381-1</f>
        <v>8.0000000000000071E-2</v>
      </c>
      <c r="CW383" s="531">
        <f>CW381/CQ381-1</f>
        <v>3.0000000000000027E-2</v>
      </c>
      <c r="CX383" s="531">
        <f>CX381/CR381-1</f>
        <v>-3.0000000000000027E-2</v>
      </c>
      <c r="CY383" s="1161">
        <f>CY381/CS381-1</f>
        <v>6.5870294733652246E-2</v>
      </c>
      <c r="CZ383" s="531"/>
      <c r="DA383" s="531">
        <f>DA381/CU381-1</f>
        <v>-8.9999999999999969E-2</v>
      </c>
      <c r="DB383" s="1598"/>
      <c r="DC383" s="531"/>
      <c r="DD383" s="531"/>
      <c r="DE383" s="1161"/>
      <c r="DF383" s="531"/>
      <c r="DG383" s="531"/>
      <c r="DH383" s="531"/>
      <c r="DI383" s="531"/>
      <c r="DJ383" s="531"/>
      <c r="DK383" s="1161"/>
      <c r="DL383" s="531"/>
      <c r="DM383" s="531"/>
      <c r="DN383" s="531"/>
      <c r="DO383" s="531"/>
      <c r="DP383" s="531"/>
      <c r="DQ383" s="1161"/>
      <c r="DR383" s="531"/>
      <c r="DS383" s="531"/>
      <c r="DT383" s="531"/>
      <c r="DU383" s="531"/>
      <c r="DV383" s="531"/>
      <c r="DW383" s="1161"/>
      <c r="DX383" s="531"/>
      <c r="DY383" s="531"/>
      <c r="DZ383" s="531"/>
      <c r="EA383" s="531"/>
      <c r="EB383" s="531"/>
      <c r="EC383" s="1161"/>
      <c r="ED383" s="531"/>
      <c r="EE383" s="531"/>
      <c r="EF383" s="531"/>
      <c r="EG383" s="531"/>
      <c r="EH383" s="531"/>
      <c r="EI383" s="1161"/>
      <c r="EJ383" s="531"/>
      <c r="EK383" s="531"/>
      <c r="EL383" s="531"/>
      <c r="EM383" s="531"/>
      <c r="EN383" s="531"/>
      <c r="EO383" s="1161"/>
      <c r="EP383" s="531"/>
      <c r="EQ383" s="531"/>
      <c r="ER383" s="531"/>
      <c r="ES383" s="531"/>
      <c r="ET383" s="531"/>
      <c r="EU383" s="1161"/>
    </row>
    <row r="384" spans="1:196" hidden="1">
      <c r="A384" s="583" t="s">
        <v>344</v>
      </c>
      <c r="B384" s="531"/>
      <c r="C384" s="544"/>
      <c r="D384" s="544"/>
      <c r="E384" s="544"/>
      <c r="F384" s="544"/>
      <c r="G384" s="531"/>
      <c r="H384" s="531"/>
      <c r="I384" s="531"/>
      <c r="J384" s="531"/>
      <c r="K384" s="531"/>
      <c r="L384" s="531"/>
      <c r="M384" s="531"/>
      <c r="N384" s="531"/>
      <c r="O384" s="531"/>
      <c r="P384" s="531"/>
      <c r="Q384" s="531"/>
      <c r="R384" s="531"/>
      <c r="S384" s="531"/>
      <c r="T384" s="531"/>
      <c r="U384" s="531"/>
      <c r="V384" s="531"/>
      <c r="W384" s="531"/>
      <c r="X384" s="531"/>
      <c r="Y384" s="531"/>
      <c r="Z384" s="531"/>
      <c r="AA384" s="531"/>
      <c r="AB384" s="531"/>
      <c r="AC384" s="531"/>
      <c r="AD384" s="531"/>
      <c r="AE384" s="531"/>
      <c r="AF384" s="531"/>
      <c r="AG384" s="531"/>
      <c r="AH384" s="531"/>
      <c r="AI384" s="531"/>
      <c r="AJ384" s="531"/>
      <c r="AK384" s="531"/>
      <c r="AL384" s="531"/>
      <c r="AM384" s="531"/>
      <c r="AN384" s="531"/>
      <c r="AO384" s="531"/>
      <c r="AP384" s="531"/>
      <c r="AQ384" s="531"/>
      <c r="AR384" s="531"/>
      <c r="AS384" s="531"/>
      <c r="AT384" s="531"/>
      <c r="AU384" s="531"/>
      <c r="AV384" s="531">
        <v>0.12</v>
      </c>
      <c r="AW384" s="531"/>
      <c r="AX384" s="531"/>
      <c r="AY384" s="544">
        <v>0.25</v>
      </c>
      <c r="AZ384" s="544"/>
      <c r="BA384" s="544"/>
      <c r="BB384" s="544"/>
      <c r="BC384" s="544"/>
      <c r="BD384" s="531"/>
      <c r="BE384" s="544"/>
      <c r="BF384" s="544"/>
      <c r="BG384" s="544"/>
      <c r="BH384" s="544"/>
      <c r="BI384" s="544"/>
      <c r="BJ384" s="531"/>
      <c r="BK384" s="531"/>
      <c r="BL384" s="531"/>
      <c r="BM384" s="531"/>
      <c r="BN384" s="531"/>
      <c r="BO384" s="1161"/>
      <c r="BP384" s="531"/>
      <c r="BQ384" s="531"/>
      <c r="BR384" s="531"/>
      <c r="BS384" s="531"/>
      <c r="BT384" s="531"/>
      <c r="BU384" s="1161"/>
      <c r="BV384" s="531"/>
      <c r="BW384" s="531"/>
      <c r="BX384" s="531">
        <f>BX381/BW381-1</f>
        <v>-2.6164953844297512E-2</v>
      </c>
      <c r="BY384" s="531">
        <f>BY381/BX381-1</f>
        <v>-2.9125879421199707E-2</v>
      </c>
      <c r="BZ384" s="531">
        <f>BZ381/BY381-1</f>
        <v>-0.1654341120998335</v>
      </c>
      <c r="CA384" s="1607"/>
      <c r="CB384" s="531"/>
      <c r="CC384" s="531">
        <f>CC381/BZ381-1</f>
        <v>-0.39558295030712876</v>
      </c>
      <c r="CD384" s="531">
        <f>CD381/CC381-1</f>
        <v>1.4700239100274404E-2</v>
      </c>
      <c r="CE384" s="531">
        <f>CE381/CD381-1</f>
        <v>3.0254545454545312E-2</v>
      </c>
      <c r="CF384" s="531">
        <f>CF381/CE381-1</f>
        <v>9.4677396583368267E-2</v>
      </c>
      <c r="CG384" s="1161"/>
      <c r="CH384" s="1487"/>
      <c r="CI384" s="531">
        <f>CI381/CF381-1</f>
        <v>7.986532830218418E-2</v>
      </c>
      <c r="CJ384" s="531">
        <f>CJ381/CI381-1</f>
        <v>0.18997960071823972</v>
      </c>
      <c r="CK384" s="531">
        <f>CK381/CJ381-1</f>
        <v>-5.6557693504366235E-2</v>
      </c>
      <c r="CL384" s="531">
        <f>CL381/CK381-1</f>
        <v>-1.9302127659577284E-3</v>
      </c>
      <c r="CM384" s="1161"/>
      <c r="CN384" s="531"/>
      <c r="CO384" s="531">
        <f>CO381/CL381-1</f>
        <v>9.771434199312945E-2</v>
      </c>
      <c r="CP384" s="531">
        <f>CP381/CO381-1</f>
        <v>6.9046714466385994E-2</v>
      </c>
      <c r="CQ384" s="531">
        <f>CQ381/CP381-1</f>
        <v>-5.6557693504366124E-2</v>
      </c>
      <c r="CR384" s="531">
        <f>CR381/CQ381-1</f>
        <v>6.581208048522158E-2</v>
      </c>
      <c r="CS384" s="1161"/>
      <c r="CT384" s="531"/>
      <c r="CU384" s="531">
        <f>CU381/CR381-1</f>
        <v>0.10701700590832552</v>
      </c>
      <c r="CV384" s="531">
        <f>CV381/CU381-1</f>
        <v>-2.9772729727985725E-2</v>
      </c>
      <c r="CW384" s="531">
        <f>CW381/CV381-1</f>
        <v>-0.10023557806434924</v>
      </c>
      <c r="CX384" s="531">
        <f>CX381/CW381-1</f>
        <v>3.7259398744318162E-3</v>
      </c>
      <c r="CY384" s="1161"/>
      <c r="CZ384" s="531"/>
      <c r="DA384" s="531">
        <f>DA381/CX381-1</f>
        <v>3.854172719234672E-2</v>
      </c>
      <c r="DB384" s="1598"/>
      <c r="DC384" s="531"/>
      <c r="DD384" s="531"/>
      <c r="DE384" s="1161"/>
      <c r="DF384" s="531"/>
      <c r="DG384" s="531"/>
      <c r="DH384" s="531"/>
      <c r="DI384" s="531"/>
      <c r="DJ384" s="531"/>
      <c r="DK384" s="1161"/>
      <c r="DL384" s="531"/>
      <c r="DM384" s="531"/>
      <c r="DN384" s="531"/>
      <c r="DO384" s="531"/>
      <c r="DP384" s="531"/>
      <c r="DQ384" s="1161"/>
      <c r="DR384" s="531"/>
      <c r="DS384" s="531"/>
      <c r="DT384" s="531"/>
      <c r="DU384" s="531"/>
      <c r="DV384" s="531"/>
      <c r="DW384" s="1161"/>
      <c r="DX384" s="531"/>
      <c r="DY384" s="531"/>
      <c r="DZ384" s="531"/>
      <c r="EA384" s="531"/>
      <c r="EB384" s="531"/>
      <c r="EC384" s="1161"/>
      <c r="ED384" s="531"/>
      <c r="EE384" s="531"/>
      <c r="EF384" s="531"/>
      <c r="EG384" s="531"/>
      <c r="EH384" s="531"/>
      <c r="EI384" s="1161"/>
      <c r="EJ384" s="531"/>
      <c r="EK384" s="531"/>
      <c r="EL384" s="531"/>
      <c r="EM384" s="531"/>
      <c r="EN384" s="531"/>
      <c r="EO384" s="1161"/>
      <c r="EP384" s="531"/>
      <c r="EQ384" s="531"/>
      <c r="ER384" s="531"/>
      <c r="ES384" s="531"/>
      <c r="ET384" s="531"/>
      <c r="EU384" s="1161"/>
    </row>
    <row r="385" spans="1:151" hidden="1">
      <c r="A385" s="583" t="s">
        <v>748</v>
      </c>
      <c r="B385" s="531"/>
      <c r="C385" s="544"/>
      <c r="D385" s="544"/>
      <c r="E385" s="544"/>
      <c r="F385" s="544"/>
      <c r="G385" s="531"/>
      <c r="H385" s="531"/>
      <c r="I385" s="531"/>
      <c r="J385" s="531"/>
      <c r="K385" s="531"/>
      <c r="L385" s="531"/>
      <c r="M385" s="531"/>
      <c r="N385" s="531"/>
      <c r="O385" s="531"/>
      <c r="P385" s="531"/>
      <c r="Q385" s="531"/>
      <c r="R385" s="531"/>
      <c r="S385" s="531"/>
      <c r="T385" s="531"/>
      <c r="U385" s="531"/>
      <c r="V385" s="531"/>
      <c r="W385" s="531"/>
      <c r="X385" s="531"/>
      <c r="Y385" s="531"/>
      <c r="Z385" s="531"/>
      <c r="AA385" s="531"/>
      <c r="AB385" s="531"/>
      <c r="AC385" s="531"/>
      <c r="AD385" s="531"/>
      <c r="AE385" s="531"/>
      <c r="AF385" s="531"/>
      <c r="AG385" s="531"/>
      <c r="AH385" s="531"/>
      <c r="AI385" s="531"/>
      <c r="AJ385" s="531"/>
      <c r="AK385" s="531"/>
      <c r="AL385" s="531"/>
      <c r="AM385" s="531"/>
      <c r="AN385" s="531"/>
      <c r="AO385" s="531"/>
      <c r="AP385" s="531"/>
      <c r="AQ385" s="531"/>
      <c r="AR385" s="531"/>
      <c r="AS385" s="531"/>
      <c r="AT385" s="531"/>
      <c r="AU385" s="531"/>
      <c r="AV385" s="531"/>
      <c r="AW385" s="531"/>
      <c r="AX385" s="531"/>
      <c r="AY385" s="544"/>
      <c r="AZ385" s="544"/>
      <c r="BA385" s="544"/>
      <c r="BB385" s="544"/>
      <c r="BC385" s="544"/>
      <c r="BD385" s="531"/>
      <c r="BE385" s="544"/>
      <c r="BF385" s="544"/>
      <c r="BG385" s="544"/>
      <c r="BH385" s="544"/>
      <c r="BI385" s="544"/>
      <c r="BJ385" s="531"/>
      <c r="BK385" s="531"/>
      <c r="BL385" s="531"/>
      <c r="BM385" s="531"/>
      <c r="BN385" s="531"/>
      <c r="BO385" s="1161"/>
      <c r="BP385" s="531"/>
      <c r="BQ385" s="531"/>
      <c r="BR385" s="531"/>
      <c r="BS385" s="531"/>
      <c r="BT385" s="531"/>
      <c r="BU385" s="1161">
        <f>BU331/BU90</f>
        <v>0.25472957422324516</v>
      </c>
      <c r="BV385" s="531"/>
      <c r="BW385" s="531"/>
      <c r="BX385" s="531"/>
      <c r="BY385" s="531"/>
      <c r="BZ385" s="531"/>
      <c r="CA385" s="1161">
        <v>-0.13</v>
      </c>
      <c r="CB385" s="531"/>
      <c r="CC385" s="531">
        <v>-0.43</v>
      </c>
      <c r="CD385" s="531">
        <v>-0.32</v>
      </c>
      <c r="CE385" s="531">
        <v>-0.32</v>
      </c>
      <c r="CF385" s="531">
        <f>CF383-CF386</f>
        <v>-0.34369127286711165</v>
      </c>
      <c r="CG385" s="1161">
        <v>-0.28999999999999998</v>
      </c>
      <c r="CH385" s="1487"/>
      <c r="CI385" s="531">
        <v>0.28000000000000003</v>
      </c>
      <c r="CJ385" s="531">
        <v>0.495</v>
      </c>
      <c r="CK385" s="531"/>
      <c r="CL385" s="531"/>
      <c r="CM385" s="1161">
        <v>0.31</v>
      </c>
      <c r="CN385" s="531"/>
      <c r="CO385" s="531">
        <v>0.16</v>
      </c>
      <c r="CP385" s="531">
        <v>7.0000000000000007E-2</v>
      </c>
      <c r="CQ385" s="531"/>
      <c r="CR385" s="531"/>
      <c r="CS385" s="1161">
        <v>0.13</v>
      </c>
      <c r="CT385" s="531"/>
      <c r="CU385" s="531"/>
      <c r="CV385" s="531"/>
      <c r="CW385" s="531"/>
      <c r="CX385" s="531"/>
      <c r="CY385" s="1161"/>
      <c r="CZ385" s="531"/>
      <c r="DA385" s="531"/>
      <c r="DB385" s="1598"/>
      <c r="DC385" s="531"/>
      <c r="DD385" s="531"/>
      <c r="DE385" s="1161"/>
      <c r="DF385" s="531"/>
      <c r="DG385" s="531"/>
      <c r="DH385" s="531"/>
      <c r="DI385" s="531"/>
      <c r="DJ385" s="531"/>
      <c r="DK385" s="1161"/>
      <c r="DL385" s="531"/>
      <c r="DM385" s="531"/>
      <c r="DN385" s="531"/>
      <c r="DO385" s="531"/>
      <c r="DP385" s="531"/>
      <c r="DQ385" s="1161"/>
      <c r="DR385" s="531"/>
      <c r="DS385" s="531"/>
      <c r="DT385" s="531"/>
      <c r="DU385" s="531"/>
      <c r="DV385" s="531"/>
      <c r="DW385" s="1161"/>
      <c r="DX385" s="531"/>
      <c r="DY385" s="531"/>
      <c r="DZ385" s="531"/>
      <c r="EA385" s="531"/>
      <c r="EB385" s="531"/>
      <c r="EC385" s="1161"/>
      <c r="ED385" s="531"/>
      <c r="EE385" s="531"/>
      <c r="EF385" s="531"/>
      <c r="EG385" s="531"/>
      <c r="EH385" s="531"/>
      <c r="EI385" s="1161"/>
      <c r="EJ385" s="531"/>
      <c r="EK385" s="531"/>
      <c r="EL385" s="531"/>
      <c r="EM385" s="531"/>
      <c r="EN385" s="531"/>
      <c r="EO385" s="1161"/>
      <c r="EP385" s="531"/>
      <c r="EQ385" s="531"/>
      <c r="ER385" s="531"/>
      <c r="ES385" s="531"/>
      <c r="ET385" s="531"/>
      <c r="EU385" s="1161"/>
    </row>
    <row r="386" spans="1:151" hidden="1">
      <c r="A386" s="583" t="s">
        <v>749</v>
      </c>
      <c r="B386" s="531"/>
      <c r="C386" s="544"/>
      <c r="D386" s="544"/>
      <c r="E386" s="544"/>
      <c r="F386" s="544"/>
      <c r="G386" s="531"/>
      <c r="H386" s="531"/>
      <c r="I386" s="531"/>
      <c r="J386" s="531"/>
      <c r="K386" s="531"/>
      <c r="L386" s="531"/>
      <c r="M386" s="531"/>
      <c r="N386" s="531"/>
      <c r="O386" s="531"/>
      <c r="P386" s="531"/>
      <c r="Q386" s="531"/>
      <c r="R386" s="531"/>
      <c r="S386" s="531"/>
      <c r="T386" s="531"/>
      <c r="U386" s="531"/>
      <c r="V386" s="531"/>
      <c r="W386" s="531"/>
      <c r="X386" s="531"/>
      <c r="Y386" s="531"/>
      <c r="Z386" s="531"/>
      <c r="AA386" s="531"/>
      <c r="AB386" s="531"/>
      <c r="AC386" s="531"/>
      <c r="AD386" s="531"/>
      <c r="AE386" s="531"/>
      <c r="AF386" s="531"/>
      <c r="AG386" s="531"/>
      <c r="AH386" s="531"/>
      <c r="AI386" s="531"/>
      <c r="AJ386" s="531"/>
      <c r="AK386" s="531"/>
      <c r="AL386" s="531"/>
      <c r="AM386" s="531"/>
      <c r="AN386" s="531"/>
      <c r="AO386" s="531"/>
      <c r="AP386" s="531"/>
      <c r="AQ386" s="531"/>
      <c r="AR386" s="531"/>
      <c r="AS386" s="531"/>
      <c r="AT386" s="531"/>
      <c r="AU386" s="531"/>
      <c r="AV386" s="531"/>
      <c r="AW386" s="531"/>
      <c r="AX386" s="531"/>
      <c r="AY386" s="544"/>
      <c r="AZ386" s="544"/>
      <c r="BA386" s="544"/>
      <c r="BB386" s="544"/>
      <c r="BC386" s="544"/>
      <c r="BD386" s="531"/>
      <c r="BE386" s="544"/>
      <c r="BF386" s="544"/>
      <c r="BG386" s="544"/>
      <c r="BH386" s="544"/>
      <c r="BI386" s="544"/>
      <c r="BJ386" s="531"/>
      <c r="BK386" s="531"/>
      <c r="BL386" s="531"/>
      <c r="BM386" s="531"/>
      <c r="BN386" s="531"/>
      <c r="BO386" s="1161"/>
      <c r="BP386" s="531"/>
      <c r="BQ386" s="531"/>
      <c r="BR386" s="531"/>
      <c r="BS386" s="531"/>
      <c r="BT386" s="531"/>
      <c r="BU386" s="1161"/>
      <c r="BV386" s="531"/>
      <c r="BW386" s="531"/>
      <c r="BX386" s="531"/>
      <c r="BY386" s="531"/>
      <c r="BZ386" s="531"/>
      <c r="CA386" s="1604">
        <v>0.13</v>
      </c>
      <c r="CB386" s="531"/>
      <c r="CC386" s="531">
        <f>CC383-CC385</f>
        <v>-9.3079862437905947E-2</v>
      </c>
      <c r="CD386" s="531">
        <f>CD383-CD385</f>
        <v>-0.18306678782371649</v>
      </c>
      <c r="CE386" s="531">
        <f>CE383-CE385</f>
        <v>-0.1526734498528734</v>
      </c>
      <c r="CF386" s="531">
        <v>3.5371179071711278E-2</v>
      </c>
      <c r="CG386" s="1604">
        <f>CG383-CG385</f>
        <v>-0.16927675428844141</v>
      </c>
      <c r="CH386" s="1487"/>
      <c r="CI386" s="531">
        <f>CI383-CI385</f>
        <v>-4.4228855931190747E-2</v>
      </c>
      <c r="CJ386" s="531">
        <f>CJ383-CJ385</f>
        <v>-4.5761696969697119E-2</v>
      </c>
      <c r="CK386" s="531"/>
      <c r="CL386" s="531"/>
      <c r="CM386" s="1161">
        <v>0.03</v>
      </c>
      <c r="CN386" s="531"/>
      <c r="CO386" s="531">
        <f>CO383-CO385</f>
        <v>6.9999999999999979E-2</v>
      </c>
      <c r="CP386" s="531">
        <v>0.04</v>
      </c>
      <c r="CQ386" s="531"/>
      <c r="CR386" s="531"/>
      <c r="CS386" s="1161">
        <v>0.03</v>
      </c>
      <c r="CT386" s="531"/>
      <c r="CU386" s="531"/>
      <c r="CV386" s="531"/>
      <c r="CW386" s="531"/>
      <c r="CX386" s="531"/>
      <c r="CY386" s="1161"/>
      <c r="CZ386" s="531"/>
      <c r="DA386" s="531">
        <v>0.14000000000000001</v>
      </c>
      <c r="DB386" s="1598"/>
      <c r="DC386" s="531"/>
      <c r="DD386" s="531"/>
      <c r="DE386" s="1161"/>
      <c r="DF386" s="531"/>
      <c r="DG386" s="531"/>
      <c r="DH386" s="531"/>
      <c r="DI386" s="531"/>
      <c r="DJ386" s="531"/>
      <c r="DK386" s="1161"/>
      <c r="DL386" s="531"/>
      <c r="DM386" s="531"/>
      <c r="DN386" s="531"/>
      <c r="DO386" s="531"/>
      <c r="DP386" s="531"/>
      <c r="DQ386" s="1161"/>
      <c r="DR386" s="531"/>
      <c r="DS386" s="531"/>
      <c r="DT386" s="531"/>
      <c r="DU386" s="531"/>
      <c r="DV386" s="531"/>
      <c r="DW386" s="1161"/>
      <c r="DX386" s="531"/>
      <c r="DY386" s="531"/>
      <c r="DZ386" s="531"/>
      <c r="EA386" s="531"/>
      <c r="EB386" s="531"/>
      <c r="EC386" s="1161"/>
      <c r="ED386" s="531"/>
      <c r="EE386" s="531"/>
      <c r="EF386" s="531"/>
      <c r="EG386" s="531"/>
      <c r="EH386" s="531"/>
      <c r="EI386" s="1161"/>
      <c r="EJ386" s="531"/>
      <c r="EK386" s="531"/>
      <c r="EL386" s="531"/>
      <c r="EM386" s="531"/>
      <c r="EN386" s="531"/>
      <c r="EO386" s="1161"/>
      <c r="EP386" s="531"/>
      <c r="EQ386" s="531"/>
      <c r="ER386" s="531"/>
      <c r="ES386" s="531"/>
      <c r="ET386" s="531"/>
      <c r="EU386" s="1161"/>
    </row>
    <row r="387" spans="1:151" ht="6.75" hidden="1" customHeight="1">
      <c r="A387" s="583"/>
      <c r="B387" s="531"/>
      <c r="C387" s="544"/>
      <c r="D387" s="544"/>
      <c r="E387" s="544"/>
      <c r="F387" s="544"/>
      <c r="G387" s="531"/>
      <c r="H387" s="531"/>
      <c r="I387" s="531"/>
      <c r="J387" s="531"/>
      <c r="K387" s="531"/>
      <c r="L387" s="531"/>
      <c r="M387" s="531"/>
      <c r="N387" s="531"/>
      <c r="O387" s="531"/>
      <c r="P387" s="531"/>
      <c r="Q387" s="531"/>
      <c r="R387" s="531"/>
      <c r="S387" s="531"/>
      <c r="T387" s="531"/>
      <c r="U387" s="531"/>
      <c r="V387" s="531"/>
      <c r="W387" s="531"/>
      <c r="X387" s="531"/>
      <c r="Y387" s="531"/>
      <c r="Z387" s="531"/>
      <c r="AA387" s="531"/>
      <c r="AB387" s="531"/>
      <c r="AC387" s="531"/>
      <c r="AD387" s="531"/>
      <c r="AE387" s="531"/>
      <c r="AF387" s="531"/>
      <c r="AG387" s="531"/>
      <c r="AH387" s="531"/>
      <c r="AI387" s="531"/>
      <c r="AJ387" s="531"/>
      <c r="AK387" s="531"/>
      <c r="AL387" s="531"/>
      <c r="AM387" s="531"/>
      <c r="AN387" s="531"/>
      <c r="AO387" s="531"/>
      <c r="AP387" s="531"/>
      <c r="AQ387" s="531"/>
      <c r="AR387" s="531"/>
      <c r="AS387" s="531"/>
      <c r="AT387" s="531"/>
      <c r="AU387" s="531"/>
      <c r="AV387" s="531"/>
      <c r="AW387" s="531"/>
      <c r="AX387" s="531"/>
      <c r="AY387" s="544"/>
      <c r="AZ387" s="544"/>
      <c r="BA387" s="544"/>
      <c r="BB387" s="544"/>
      <c r="BC387" s="544"/>
      <c r="BD387" s="531"/>
      <c r="BE387" s="544"/>
      <c r="BF387" s="544"/>
      <c r="BG387" s="544"/>
      <c r="BH387" s="544"/>
      <c r="BI387" s="544"/>
      <c r="BJ387" s="531"/>
      <c r="BK387" s="531"/>
      <c r="BL387" s="531"/>
      <c r="BM387" s="531"/>
      <c r="BN387" s="531"/>
      <c r="BO387" s="1161"/>
      <c r="BP387" s="531"/>
      <c r="BQ387" s="531"/>
      <c r="BR387" s="531"/>
      <c r="BS387" s="531"/>
      <c r="BT387" s="531"/>
      <c r="BU387" s="531"/>
      <c r="BV387" s="531"/>
      <c r="BW387" s="1605"/>
      <c r="BX387" s="1605"/>
      <c r="BY387" s="1605"/>
      <c r="BZ387" s="1605"/>
      <c r="CA387" s="1545"/>
      <c r="CB387" s="531"/>
      <c r="CC387" s="1605"/>
      <c r="CD387" s="1605"/>
      <c r="CE387" s="1605"/>
      <c r="CF387" s="1605"/>
      <c r="CG387" s="1545"/>
      <c r="CH387" s="531"/>
      <c r="CI387" s="531"/>
      <c r="CJ387" s="531"/>
      <c r="CK387" s="531"/>
      <c r="CL387" s="531"/>
      <c r="CM387" s="1161"/>
      <c r="CN387" s="531"/>
      <c r="CO387" s="531"/>
      <c r="CP387" s="531"/>
      <c r="CQ387" s="531"/>
      <c r="CR387" s="531"/>
      <c r="CS387" s="1161"/>
      <c r="CT387" s="531"/>
      <c r="CU387" s="531"/>
      <c r="CV387" s="531"/>
      <c r="CW387" s="531"/>
      <c r="CX387" s="531"/>
      <c r="CY387" s="1161"/>
      <c r="CZ387" s="531"/>
      <c r="DA387" s="531"/>
      <c r="DB387" s="1598"/>
      <c r="DC387" s="531"/>
      <c r="DD387" s="531"/>
      <c r="DE387" s="1161"/>
      <c r="DF387" s="531"/>
      <c r="DG387" s="531"/>
      <c r="DH387" s="531"/>
      <c r="DI387" s="531"/>
      <c r="DJ387" s="531"/>
      <c r="DK387" s="1161"/>
      <c r="DL387" s="531"/>
      <c r="DM387" s="531"/>
      <c r="DN387" s="531"/>
      <c r="DO387" s="531"/>
      <c r="DP387" s="531"/>
      <c r="DQ387" s="1161"/>
      <c r="DR387" s="531"/>
      <c r="DS387" s="531"/>
      <c r="DT387" s="531"/>
      <c r="DU387" s="531"/>
      <c r="DV387" s="531"/>
      <c r="DW387" s="1161"/>
      <c r="DX387" s="531"/>
      <c r="DY387" s="531"/>
      <c r="DZ387" s="531"/>
      <c r="EA387" s="531"/>
      <c r="EB387" s="531"/>
      <c r="EC387" s="1161"/>
      <c r="ED387" s="531"/>
      <c r="EE387" s="531"/>
      <c r="EF387" s="531"/>
      <c r="EG387" s="531"/>
      <c r="EH387" s="531"/>
      <c r="EI387" s="1161"/>
      <c r="EJ387" s="531"/>
      <c r="EK387" s="531"/>
      <c r="EL387" s="531"/>
      <c r="EM387" s="531"/>
      <c r="EN387" s="531"/>
      <c r="EO387" s="1161"/>
      <c r="EP387" s="531"/>
      <c r="EQ387" s="531"/>
      <c r="ER387" s="531"/>
      <c r="ES387" s="531"/>
      <c r="ET387" s="531"/>
      <c r="EU387" s="1161"/>
    </row>
    <row r="388" spans="1:151" hidden="1">
      <c r="A388" s="1597" t="s">
        <v>1933</v>
      </c>
      <c r="B388" s="1598"/>
      <c r="C388" s="1599"/>
      <c r="D388" s="1599"/>
      <c r="E388" s="1599"/>
      <c r="F388" s="1599"/>
      <c r="G388" s="1598"/>
      <c r="H388" s="1598"/>
      <c r="I388" s="1598"/>
      <c r="J388" s="1598"/>
      <c r="K388" s="1598"/>
      <c r="L388" s="1598"/>
      <c r="M388" s="1598"/>
      <c r="N388" s="1598"/>
      <c r="O388" s="1598"/>
      <c r="P388" s="1598"/>
      <c r="Q388" s="1598"/>
      <c r="R388" s="1598"/>
      <c r="S388" s="1598"/>
      <c r="T388" s="1598"/>
      <c r="U388" s="1598"/>
      <c r="V388" s="1598"/>
      <c r="W388" s="1598"/>
      <c r="X388" s="1598"/>
      <c r="Y388" s="1598"/>
      <c r="Z388" s="1598"/>
      <c r="AA388" s="1598"/>
      <c r="AB388" s="1598"/>
      <c r="AC388" s="1598"/>
      <c r="AD388" s="1598"/>
      <c r="AE388" s="1598"/>
      <c r="AF388" s="1598"/>
      <c r="AG388" s="1598"/>
      <c r="AH388" s="1598"/>
      <c r="AI388" s="1598"/>
      <c r="AJ388" s="1598"/>
      <c r="AK388" s="1598"/>
      <c r="AL388" s="1598"/>
      <c r="AM388" s="1598"/>
      <c r="AN388" s="1598"/>
      <c r="AO388" s="1598"/>
      <c r="AP388" s="1598"/>
      <c r="AQ388" s="1598"/>
      <c r="AR388" s="1598"/>
      <c r="AS388" s="1598"/>
      <c r="AT388" s="1598"/>
      <c r="AU388" s="1598"/>
      <c r="AV388" s="1598"/>
      <c r="AW388" s="1598"/>
      <c r="AX388" s="1598"/>
      <c r="AY388" s="1599"/>
      <c r="AZ388" s="1599"/>
      <c r="BA388" s="1599"/>
      <c r="BB388" s="1599"/>
      <c r="BC388" s="1599"/>
      <c r="BD388" s="1598"/>
      <c r="BE388" s="1599"/>
      <c r="BF388" s="1599"/>
      <c r="BG388" s="1599"/>
      <c r="BH388" s="1599"/>
      <c r="BI388" s="1599"/>
      <c r="BJ388" s="1598"/>
      <c r="BK388" s="1598"/>
      <c r="BL388" s="1598"/>
      <c r="BM388" s="1598"/>
      <c r="BN388" s="1598"/>
      <c r="BO388" s="1600"/>
      <c r="BP388" s="1598"/>
      <c r="BQ388" s="1598"/>
      <c r="BR388" s="1598"/>
      <c r="BS388" s="1598"/>
      <c r="BT388" s="1598"/>
      <c r="BU388" s="1598"/>
      <c r="BV388" s="1598"/>
      <c r="BW388" s="1601">
        <f>Model!BW10-Metrics!BW381-Metrics!BW327</f>
        <v>72.801999999999964</v>
      </c>
      <c r="BX388" s="1601">
        <f>Model!BX10-Metrics!BX381-Metrics!BX327</f>
        <v>91.668000000000006</v>
      </c>
      <c r="BY388" s="1601">
        <f>Model!BY10-Metrics!BY381-Metrics!BY327</f>
        <v>96.43</v>
      </c>
      <c r="BZ388" s="1601">
        <f>Model!BZ10-Metrics!BZ381-Metrics!BZ327</f>
        <v>40.594000000000051</v>
      </c>
      <c r="CA388" s="1606">
        <f>Model!CA10-Metrics!CA381-Metrics!CA327</f>
        <v>301.49400000000009</v>
      </c>
      <c r="CB388" s="1598"/>
      <c r="CC388" s="1601">
        <f>Model!CC10-Metrics!CC381-Metrics!CC327</f>
        <v>58.316599999999966</v>
      </c>
      <c r="CD388" s="1601">
        <f>Model!CD10-Metrics!CD381-Metrics!CD327</f>
        <v>60.625</v>
      </c>
      <c r="CE388" s="1601">
        <f>Model!CE10-Metrics!CE381-Metrics!CE327</f>
        <v>61.356999999999999</v>
      </c>
      <c r="CF388" s="1601">
        <f>Model!CF10-Metrics!CF381-Metrics!CF327</f>
        <v>70.174400000000048</v>
      </c>
      <c r="CG388" s="1606">
        <f>Model!CG10-Metrics!CG381-Metrics!CG327</f>
        <v>250.47300000000007</v>
      </c>
      <c r="CH388" s="1598"/>
      <c r="CI388" s="1601">
        <f>Model!CI10-Metrics!CI381-Metrics!CI327</f>
        <v>52.970279999999946</v>
      </c>
      <c r="CJ388" s="1601">
        <f>Model!CJ10-Metrics!CJ381-Metrics!CJ327</f>
        <v>53.466220000000021</v>
      </c>
      <c r="CK388" s="1601">
        <f>Model!CK10-Metrics!CK381-Metrics!CK327</f>
        <v>52.600000000000023</v>
      </c>
      <c r="CL388" s="1601">
        <f>Model!CL10-Metrics!CL381-Metrics!CL327</f>
        <v>71.581024000000099</v>
      </c>
      <c r="CM388" s="1606">
        <f>Model!CM10-Metrics!CM381-Metrics!CM327</f>
        <v>230.61752399999989</v>
      </c>
      <c r="CN388" s="1598"/>
      <c r="CO388" s="1601">
        <f>Model!CO10-Metrics!CO381-Metrics!CO327</f>
        <v>53.72944439999992</v>
      </c>
      <c r="CP388" s="1601">
        <f>Model!CP10-Metrics!CP381-Metrics!CP327</f>
        <v>60.796673100000049</v>
      </c>
      <c r="CQ388" s="1601">
        <f>Model!CQ10-Metrics!CQ381-Metrics!CQ327</f>
        <v>76.272999999999996</v>
      </c>
      <c r="CR388" s="1601">
        <f>Model!CR10-Metrics!CR381-Metrics!CR327</f>
        <v>83.717608320000096</v>
      </c>
      <c r="CS388" s="1606">
        <f>Model!CS10-Metrics!CS381-Metrics!CS327</f>
        <v>274.51672582000003</v>
      </c>
      <c r="CT388" s="1601"/>
      <c r="CU388" s="1601">
        <f>Model!CU10-Metrics!CU381-Metrics!CU327</f>
        <v>50.938038835999919</v>
      </c>
      <c r="CV388" s="1601">
        <f>Model!CV10-Metrics!CV381-Metrics!CV327</f>
        <v>50.300406948000045</v>
      </c>
      <c r="CW388" s="1601">
        <f>Model!CW10-Metrics!CW381-Metrics!CW327</f>
        <v>53.329190000000011</v>
      </c>
      <c r="CX388" s="1601">
        <f>Model!CX10-Metrics!CX381-Metrics!CX327</f>
        <v>77.492080070400107</v>
      </c>
      <c r="CY388" s="1606">
        <f>Model!CY10-Metrics!CY381-Metrics!CY327</f>
        <v>232.0597158544</v>
      </c>
      <c r="CZ388" s="1601"/>
      <c r="DA388" s="1601">
        <f>Model!DA10-Metrics!DA381-Metrics!DA327</f>
        <v>47.000615340759914</v>
      </c>
      <c r="DB388" s="1598"/>
      <c r="DC388" s="531"/>
      <c r="DD388" s="531"/>
      <c r="DE388" s="1161"/>
      <c r="DF388" s="531"/>
      <c r="DG388" s="531"/>
      <c r="DH388" s="531"/>
      <c r="DI388" s="531"/>
      <c r="DJ388" s="531"/>
      <c r="DK388" s="1161"/>
      <c r="DL388" s="531"/>
      <c r="DM388" s="531"/>
      <c r="DN388" s="531"/>
      <c r="DO388" s="531"/>
      <c r="DP388" s="531"/>
      <c r="DQ388" s="1161"/>
      <c r="DR388" s="531"/>
      <c r="DS388" s="531"/>
      <c r="DT388" s="531"/>
      <c r="DU388" s="531"/>
      <c r="DV388" s="531"/>
      <c r="DW388" s="1161"/>
      <c r="DX388" s="531"/>
      <c r="DY388" s="531"/>
      <c r="DZ388" s="531"/>
      <c r="EA388" s="531"/>
      <c r="EB388" s="531"/>
      <c r="EC388" s="1161"/>
      <c r="ED388" s="531"/>
      <c r="EE388" s="531"/>
      <c r="EF388" s="531"/>
      <c r="EG388" s="531"/>
      <c r="EH388" s="531"/>
      <c r="EI388" s="1161"/>
      <c r="EJ388" s="531"/>
      <c r="EK388" s="531"/>
      <c r="EL388" s="531"/>
      <c r="EM388" s="531"/>
      <c r="EN388" s="531"/>
      <c r="EO388" s="1161"/>
      <c r="EP388" s="531"/>
      <c r="EQ388" s="531"/>
      <c r="ER388" s="531"/>
      <c r="ES388" s="531"/>
      <c r="ET388" s="531"/>
      <c r="EU388" s="1161"/>
    </row>
    <row r="389" spans="1:151">
      <c r="A389" s="583"/>
      <c r="B389" s="531"/>
      <c r="C389" s="544"/>
      <c r="D389" s="544"/>
      <c r="E389" s="544"/>
      <c r="F389" s="544"/>
      <c r="G389" s="531"/>
      <c r="H389" s="531"/>
      <c r="I389" s="531"/>
      <c r="J389" s="531"/>
      <c r="K389" s="531"/>
      <c r="L389" s="531"/>
      <c r="M389" s="531"/>
      <c r="N389" s="531"/>
      <c r="O389" s="531"/>
      <c r="P389" s="531"/>
      <c r="Q389" s="531"/>
      <c r="R389" s="531"/>
      <c r="S389" s="531"/>
      <c r="T389" s="531"/>
      <c r="U389" s="531"/>
      <c r="V389" s="531"/>
      <c r="W389" s="531"/>
      <c r="X389" s="531"/>
      <c r="Y389" s="531"/>
      <c r="Z389" s="531"/>
      <c r="AA389" s="531"/>
      <c r="AB389" s="531"/>
      <c r="AC389" s="531"/>
      <c r="AD389" s="531"/>
      <c r="AE389" s="531"/>
      <c r="AF389" s="531"/>
      <c r="AG389" s="531"/>
      <c r="AH389" s="531"/>
      <c r="AI389" s="531"/>
      <c r="AJ389" s="531"/>
      <c r="AK389" s="531"/>
      <c r="AL389" s="531"/>
      <c r="AM389" s="531"/>
      <c r="AN389" s="531"/>
      <c r="AO389" s="531"/>
      <c r="AP389" s="531"/>
      <c r="AQ389" s="531"/>
      <c r="AR389" s="531"/>
      <c r="AS389" s="531"/>
      <c r="AT389" s="531"/>
      <c r="AU389" s="531"/>
      <c r="AV389" s="531"/>
      <c r="AW389" s="531"/>
      <c r="AX389" s="531"/>
      <c r="AY389" s="544"/>
      <c r="AZ389" s="544"/>
      <c r="BA389" s="544"/>
      <c r="BB389" s="544"/>
      <c r="BC389" s="544"/>
      <c r="BD389" s="531"/>
      <c r="BE389" s="544"/>
      <c r="BF389" s="544"/>
      <c r="BG389" s="544"/>
      <c r="BH389" s="544"/>
      <c r="BI389" s="544"/>
      <c r="BJ389" s="531"/>
      <c r="BK389" s="531"/>
      <c r="BL389" s="531"/>
      <c r="BM389" s="531"/>
      <c r="BN389" s="531"/>
      <c r="BO389" s="1161"/>
      <c r="BP389" s="531"/>
      <c r="BQ389" s="531"/>
      <c r="BR389" s="531"/>
      <c r="BS389" s="531"/>
      <c r="BT389" s="531"/>
      <c r="BU389" s="531"/>
      <c r="BV389" s="531"/>
      <c r="BW389" s="531"/>
      <c r="BX389" s="531"/>
      <c r="BY389" s="531"/>
      <c r="BZ389" s="531"/>
      <c r="CA389" s="1161"/>
      <c r="CB389" s="531"/>
      <c r="CC389" s="531"/>
      <c r="CD389" s="531"/>
      <c r="CE389" s="531"/>
      <c r="CF389" s="531"/>
      <c r="CG389" s="1546"/>
      <c r="CH389" s="531"/>
      <c r="CI389" s="531"/>
      <c r="CJ389" s="531"/>
      <c r="CK389" s="544"/>
      <c r="CL389" s="531"/>
      <c r="CM389" s="1161"/>
      <c r="CN389" s="531"/>
      <c r="CO389" s="531"/>
      <c r="CP389" s="531"/>
      <c r="CQ389" s="531"/>
      <c r="CR389" s="531"/>
      <c r="CS389" s="1161"/>
      <c r="CT389" s="531"/>
      <c r="CU389" s="531"/>
      <c r="CV389" s="531"/>
      <c r="CW389" s="531"/>
      <c r="CX389" s="531"/>
      <c r="CY389" s="1161"/>
      <c r="CZ389" s="531"/>
      <c r="DA389" s="531"/>
      <c r="DB389" s="531"/>
      <c r="DC389" s="531"/>
      <c r="DD389" s="531"/>
      <c r="DE389" s="1161"/>
      <c r="DF389" s="531"/>
      <c r="DG389" s="531"/>
      <c r="DH389" s="531"/>
      <c r="DI389" s="531"/>
      <c r="DJ389" s="531"/>
      <c r="DK389" s="1161"/>
      <c r="DL389" s="531"/>
      <c r="DM389" s="531"/>
      <c r="DN389" s="531"/>
      <c r="DO389" s="531"/>
      <c r="DP389" s="531"/>
      <c r="DQ389" s="1161"/>
      <c r="DR389" s="531"/>
      <c r="DS389" s="531"/>
      <c r="DT389" s="531"/>
      <c r="DU389" s="531"/>
      <c r="DV389" s="531"/>
      <c r="DW389" s="1161"/>
      <c r="DX389" s="531"/>
      <c r="DY389" s="531"/>
      <c r="DZ389" s="531"/>
      <c r="EA389" s="531"/>
      <c r="EB389" s="531"/>
      <c r="EC389" s="1161"/>
      <c r="ED389" s="531"/>
      <c r="EE389" s="531"/>
      <c r="EF389" s="531"/>
      <c r="EG389" s="531"/>
      <c r="EH389" s="531"/>
      <c r="EI389" s="1161"/>
      <c r="EJ389" s="531"/>
      <c r="EK389" s="531"/>
      <c r="EL389" s="531"/>
      <c r="EM389" s="531"/>
      <c r="EN389" s="531"/>
      <c r="EO389" s="1161"/>
      <c r="EP389" s="531"/>
      <c r="EQ389" s="531"/>
      <c r="ER389" s="531"/>
      <c r="ES389" s="531"/>
      <c r="ET389" s="531"/>
      <c r="EU389" s="1161"/>
    </row>
    <row r="390" spans="1:151" ht="15.75" customHeight="1">
      <c r="A390" s="918" t="s">
        <v>7226</v>
      </c>
      <c r="B390" s="919"/>
      <c r="C390" s="919"/>
      <c r="D390" s="919"/>
      <c r="E390" s="919"/>
      <c r="F390" s="919"/>
      <c r="G390" s="919"/>
      <c r="H390" s="919"/>
      <c r="I390" s="919"/>
      <c r="J390" s="919"/>
      <c r="K390" s="919"/>
      <c r="L390" s="919"/>
      <c r="M390" s="919"/>
      <c r="N390" s="919"/>
      <c r="O390" s="919"/>
      <c r="P390" s="919"/>
      <c r="Q390" s="919"/>
      <c r="R390" s="919"/>
      <c r="S390" s="920"/>
      <c r="T390" s="920"/>
      <c r="U390" s="920"/>
      <c r="V390" s="920"/>
      <c r="W390" s="920"/>
      <c r="X390" s="920"/>
      <c r="Y390" s="920"/>
      <c r="Z390" s="920"/>
      <c r="AA390" s="920"/>
      <c r="AB390" s="920"/>
      <c r="AC390" s="920"/>
      <c r="AD390" s="920"/>
      <c r="AE390" s="921"/>
      <c r="AF390" s="919"/>
      <c r="AG390" s="919"/>
      <c r="AH390" s="919"/>
      <c r="AI390" s="921"/>
      <c r="AJ390" s="919"/>
      <c r="AK390" s="921"/>
      <c r="AL390" s="919"/>
      <c r="AM390" s="922"/>
      <c r="AN390" s="922"/>
      <c r="AO390" s="922"/>
      <c r="AP390" s="922"/>
      <c r="AQ390" s="922"/>
      <c r="AR390" s="919"/>
      <c r="AS390" s="922"/>
      <c r="AT390" s="922"/>
      <c r="AU390" s="922"/>
      <c r="AV390" s="922"/>
      <c r="AW390" s="922"/>
      <c r="AX390" s="919"/>
      <c r="AY390" s="922"/>
      <c r="AZ390" s="922"/>
      <c r="BA390" s="922"/>
      <c r="BB390" s="922"/>
      <c r="BC390" s="922"/>
      <c r="BD390" s="919"/>
      <c r="BE390" s="922"/>
      <c r="BF390" s="922"/>
      <c r="BG390" s="922"/>
      <c r="BH390" s="922"/>
      <c r="BI390" s="922"/>
      <c r="BJ390" s="919"/>
      <c r="BK390" s="919"/>
      <c r="BL390" s="919"/>
      <c r="BM390" s="919"/>
      <c r="BN390" s="919"/>
      <c r="BO390" s="1103"/>
      <c r="BP390" s="919"/>
      <c r="BQ390" s="919"/>
      <c r="BR390" s="919"/>
      <c r="BS390" s="919"/>
      <c r="BT390" s="919"/>
      <c r="BU390" s="1103"/>
      <c r="BV390" s="919"/>
      <c r="BW390" s="919"/>
      <c r="BX390" s="919"/>
      <c r="BY390" s="919"/>
      <c r="BZ390" s="919"/>
      <c r="CA390" s="1103"/>
      <c r="CB390" s="919"/>
      <c r="CC390" s="919"/>
      <c r="CD390" s="919"/>
      <c r="CE390" s="919"/>
      <c r="CF390" s="919"/>
      <c r="CG390" s="1103"/>
      <c r="CH390" s="919"/>
      <c r="CI390" s="919"/>
      <c r="CJ390" s="919"/>
      <c r="CK390" s="922"/>
      <c r="CL390" s="919"/>
      <c r="CM390" s="1103"/>
      <c r="CN390" s="919"/>
      <c r="CO390" s="919"/>
      <c r="CP390" s="919"/>
      <c r="CQ390" s="919"/>
      <c r="CR390" s="919"/>
      <c r="CS390" s="1103"/>
      <c r="CT390" s="919"/>
      <c r="CU390" s="919"/>
      <c r="CV390" s="919"/>
      <c r="CW390" s="919"/>
      <c r="CX390" s="919"/>
      <c r="CY390" s="1103"/>
      <c r="CZ390" s="919"/>
      <c r="DA390" s="919"/>
      <c r="DB390" s="919"/>
      <c r="DC390" s="919"/>
      <c r="DD390" s="919"/>
      <c r="DE390" s="1103"/>
      <c r="DF390" s="919"/>
      <c r="DG390" s="919"/>
      <c r="DH390" s="919"/>
      <c r="DI390" s="919"/>
      <c r="DJ390" s="919"/>
      <c r="DK390" s="1103"/>
      <c r="DL390" s="919"/>
      <c r="DM390" s="919"/>
      <c r="DN390" s="919"/>
      <c r="DO390" s="919"/>
      <c r="DP390" s="919"/>
      <c r="DQ390" s="1103"/>
      <c r="DR390" s="919"/>
      <c r="DS390" s="919"/>
      <c r="DT390" s="919"/>
      <c r="DU390" s="919"/>
      <c r="DV390" s="919"/>
      <c r="DW390" s="1103"/>
      <c r="DX390" s="919"/>
      <c r="DY390" s="919"/>
      <c r="DZ390" s="919"/>
      <c r="EA390" s="919"/>
      <c r="EB390" s="919"/>
      <c r="EC390" s="1103"/>
      <c r="ED390" s="919"/>
      <c r="EE390" s="919"/>
      <c r="EF390" s="919"/>
      <c r="EG390" s="919"/>
      <c r="EH390" s="919"/>
      <c r="EI390" s="1103"/>
      <c r="EJ390" s="919"/>
      <c r="EK390" s="919"/>
      <c r="EL390" s="919"/>
      <c r="EM390" s="919"/>
      <c r="EN390" s="919"/>
      <c r="EO390" s="1103"/>
      <c r="EP390" s="919"/>
      <c r="EQ390" s="919"/>
      <c r="ER390" s="919"/>
      <c r="ES390" s="919"/>
      <c r="ET390" s="919"/>
      <c r="EU390" s="1103"/>
    </row>
    <row r="391" spans="1:151">
      <c r="A391" s="588" t="s">
        <v>341</v>
      </c>
      <c r="B391" s="589"/>
      <c r="C391" s="589"/>
      <c r="D391" s="589"/>
      <c r="E391" s="589"/>
      <c r="F391" s="589"/>
      <c r="G391" s="589"/>
      <c r="H391" s="589"/>
      <c r="I391" s="589"/>
      <c r="J391" s="589"/>
      <c r="K391" s="589"/>
      <c r="L391" s="589"/>
      <c r="M391" s="589"/>
      <c r="N391" s="589"/>
      <c r="O391" s="589"/>
      <c r="P391" s="589"/>
      <c r="Q391" s="589"/>
      <c r="R391" s="589"/>
      <c r="S391" s="589"/>
      <c r="T391" s="589"/>
      <c r="U391" s="589"/>
      <c r="V391" s="589"/>
      <c r="W391" s="589"/>
      <c r="X391" s="589"/>
      <c r="Y391" s="589"/>
      <c r="Z391" s="589"/>
      <c r="AA391" s="589"/>
      <c r="AB391" s="589"/>
      <c r="AC391" s="589"/>
      <c r="AD391" s="589"/>
      <c r="AE391" s="589"/>
      <c r="AF391" s="589"/>
      <c r="AG391" s="590">
        <f>BS!AG30+BS!AG37</f>
        <v>49.670999999999999</v>
      </c>
      <c r="AH391" s="590">
        <f>BS!AH30+BS!AH37</f>
        <v>59</v>
      </c>
      <c r="AI391" s="590">
        <f>BS!AI30+BS!AI37</f>
        <v>59.9</v>
      </c>
      <c r="AJ391" s="590">
        <f>BS!AJ30+BS!AJ37</f>
        <v>65.474000000000004</v>
      </c>
      <c r="AK391" s="591"/>
      <c r="AL391" s="589"/>
      <c r="AM391" s="590">
        <f>BS!AM30+BS!AM37</f>
        <v>68.016999999999996</v>
      </c>
      <c r="AN391" s="590">
        <f>BS!AN30+BS!AN37</f>
        <v>74.221999999999994</v>
      </c>
      <c r="AO391" s="590">
        <f>BS!AO30+BS!AO37</f>
        <v>76.656000000000006</v>
      </c>
      <c r="AP391" s="590">
        <f>BS!AP30+BS!AP37</f>
        <v>93.241</v>
      </c>
      <c r="AQ391" s="591">
        <f>AP391</f>
        <v>93.241</v>
      </c>
      <c r="AR391" s="589"/>
      <c r="AS391" s="590">
        <f>BS!AS30+BS!AS37</f>
        <v>96.168000000000006</v>
      </c>
      <c r="AT391" s="590">
        <f>BS!AT30+BS!AT37</f>
        <v>104.378</v>
      </c>
      <c r="AU391" s="590">
        <f>BS!AU30+BS!AU37</f>
        <v>107.248</v>
      </c>
      <c r="AV391" s="590">
        <f>BS!AV30+BS!AV37</f>
        <v>127.276</v>
      </c>
      <c r="AW391" s="591">
        <f>AV391</f>
        <v>127.276</v>
      </c>
      <c r="AX391" s="589"/>
      <c r="AY391" s="590">
        <f>BS!AY30+BS!AY37</f>
        <v>136</v>
      </c>
      <c r="AZ391" s="590">
        <f>BS!AZ30+BS!AZ37</f>
        <v>149.19999999999999</v>
      </c>
      <c r="BA391" s="590">
        <f>BS!BA30+BS!BA37</f>
        <v>153.5</v>
      </c>
      <c r="BB391" s="590">
        <f>BS!BB30+BS!BB37</f>
        <v>189.1</v>
      </c>
      <c r="BC391" s="591">
        <f>BB391</f>
        <v>189.1</v>
      </c>
      <c r="BD391" s="589"/>
      <c r="BE391" s="590">
        <f>BS!BE30+BS!BE37</f>
        <v>213</v>
      </c>
      <c r="BF391" s="590">
        <f>BS!BF30+BS!BF37</f>
        <v>218.6</v>
      </c>
      <c r="BG391" s="590">
        <f>BS!BG30+BS!BG37</f>
        <v>227.1</v>
      </c>
      <c r="BH391" s="590">
        <f>BS!BH30+BS!BH37</f>
        <v>266.5</v>
      </c>
      <c r="BI391" s="591">
        <f>BH391</f>
        <v>266.5</v>
      </c>
      <c r="BJ391" s="589"/>
      <c r="BK391" s="590">
        <f>BS!BK30+BS!BK37</f>
        <v>307.89999999999998</v>
      </c>
      <c r="BL391" s="590">
        <f>BS!BL30+BS!BL37</f>
        <v>312.2</v>
      </c>
      <c r="BM391" s="590">
        <f>BS!BM30+BS!BM37</f>
        <v>313.8</v>
      </c>
      <c r="BN391" s="590">
        <f>BS!BN30+BS!BN37</f>
        <v>378.79999999999995</v>
      </c>
      <c r="BO391" s="1162">
        <f>BN391</f>
        <v>378.79999999999995</v>
      </c>
      <c r="BP391" s="589"/>
      <c r="BQ391" s="590">
        <f>BS!BQ30+BS!BQ37</f>
        <v>399.9</v>
      </c>
      <c r="BR391" s="590">
        <f>BS!BR30+BS!BR37</f>
        <v>411.9</v>
      </c>
      <c r="BS391" s="590">
        <f>BS!BS30+BS!BS37</f>
        <v>423.9</v>
      </c>
      <c r="BT391" s="590">
        <f>BS!BT30+BS!BT37</f>
        <v>506.1</v>
      </c>
      <c r="BU391" s="1162">
        <f>BT391</f>
        <v>506.1</v>
      </c>
      <c r="BV391" s="589"/>
      <c r="BW391" s="590">
        <f>BS!BW30+BS!BW37</f>
        <v>549.70000000000005</v>
      </c>
      <c r="BX391" s="590">
        <f>BS!BX30+BS!BX37</f>
        <v>562.6</v>
      </c>
      <c r="BY391" s="590">
        <f>BS!BY30+BS!BY37</f>
        <v>499.4</v>
      </c>
      <c r="BZ391" s="590">
        <f>BS!BZ30+BS!BZ37</f>
        <v>552.1</v>
      </c>
      <c r="CA391" s="1162">
        <f>BZ391</f>
        <v>552.1</v>
      </c>
      <c r="CB391" s="589"/>
      <c r="CC391" s="590">
        <f>BS!CC30+BS!CC37</f>
        <v>534</v>
      </c>
      <c r="CD391" s="590">
        <f>BS!CD30+BS!CD37</f>
        <v>501.9</v>
      </c>
      <c r="CE391" s="590">
        <f>BS!CE30+BS!CE37</f>
        <v>469.5</v>
      </c>
      <c r="CF391" s="590">
        <f>BS!CF30+BS!CF37</f>
        <v>516.5</v>
      </c>
      <c r="CG391" s="1162">
        <f>CF391</f>
        <v>516.5</v>
      </c>
      <c r="CH391" s="589"/>
      <c r="CI391" s="590">
        <f>BS!CI30+BS!CI37</f>
        <v>543.70000000000005</v>
      </c>
      <c r="CJ391" s="590">
        <f>BS!CJ30+BS!CJ37</f>
        <v>526.1</v>
      </c>
      <c r="CK391" s="590">
        <f>BS!CK30+BS!CK37</f>
        <v>507.1</v>
      </c>
      <c r="CL391" s="590">
        <f>BS!CL30+BS!CL37</f>
        <v>587.9</v>
      </c>
      <c r="CM391" s="1162">
        <f>CL391</f>
        <v>587.9</v>
      </c>
      <c r="CN391" s="589"/>
      <c r="CO391" s="590">
        <f>BS!CO30+BS!CO37</f>
        <v>622.4</v>
      </c>
      <c r="CP391" s="590">
        <f>BS!CP30+BS!CP37</f>
        <v>642.4</v>
      </c>
      <c r="CQ391" s="590">
        <f>BS!CQ30+BS!CQ37</f>
        <v>619.9</v>
      </c>
      <c r="CR391" s="590">
        <f>BS!CR30+BS!CR37</f>
        <v>719.19999999999993</v>
      </c>
      <c r="CS391" s="1162">
        <f>CR391</f>
        <v>719.19999999999993</v>
      </c>
      <c r="CT391" s="591"/>
      <c r="CU391" s="590">
        <f>BS!CU30+BS!CU37</f>
        <v>726.90000000000009</v>
      </c>
      <c r="CV391" s="590">
        <f>BS!CV30+BS!CV37</f>
        <v>752</v>
      </c>
      <c r="CW391" s="590">
        <f>BS!CW30+BS!CW37</f>
        <v>713.7</v>
      </c>
      <c r="CX391" s="590">
        <f>BS!CX30+BS!CX37</f>
        <v>834.6</v>
      </c>
      <c r="CY391" s="1162">
        <f>CX391</f>
        <v>834.6</v>
      </c>
      <c r="CZ391" s="591"/>
      <c r="DA391" s="590">
        <f>BS!DA30+BS!DA37</f>
        <v>851.40000000000009</v>
      </c>
      <c r="DB391" s="590">
        <f>BS!DB30+BS!DB37</f>
        <v>805.5</v>
      </c>
      <c r="DC391" s="590">
        <f>BS!DC30+BS!DC37</f>
        <v>765.69999999999993</v>
      </c>
      <c r="DD391" s="590">
        <f>BS!DD30+BS!DD37</f>
        <v>900.6</v>
      </c>
      <c r="DE391" s="1162">
        <f>DD391</f>
        <v>900.6</v>
      </c>
      <c r="DF391" s="591"/>
      <c r="DG391" s="590">
        <f>BS!DG30+BS!DG37</f>
        <v>963.5</v>
      </c>
      <c r="DH391" s="590">
        <f>BS!DH30+BS!DH37</f>
        <v>980.8</v>
      </c>
      <c r="DI391" s="590">
        <f>BS!DI30+BS!DI37</f>
        <v>1006.2</v>
      </c>
      <c r="DJ391" s="590">
        <f>BS!DJ30+BS!DJ37</f>
        <v>1157.0999999999999</v>
      </c>
      <c r="DK391" s="1162">
        <f>DJ391</f>
        <v>1157.0999999999999</v>
      </c>
      <c r="DL391" s="589"/>
      <c r="DM391" s="590">
        <f>BS!DM30+BS!DM37</f>
        <v>1153.7</v>
      </c>
      <c r="DN391" s="590">
        <f>BS!DN30+BS!DN37</f>
        <v>1236.3</v>
      </c>
      <c r="DO391" s="590">
        <f>BS!DO30+BS!DO37</f>
        <v>1212.3</v>
      </c>
      <c r="DP391" s="590">
        <f>BS!DP30+BS!DP37</f>
        <v>1519.2</v>
      </c>
      <c r="DQ391" s="1162">
        <f>DP391</f>
        <v>1519.2</v>
      </c>
      <c r="DR391" s="591"/>
      <c r="DS391" s="590">
        <f>BS!DS30+BS!DS37</f>
        <v>1523.6999999999998</v>
      </c>
      <c r="DT391" s="590">
        <f>BS!DT30+BS!DT37</f>
        <v>1520</v>
      </c>
      <c r="DU391" s="590">
        <f>BS!DU30+BS!DU37</f>
        <v>1533</v>
      </c>
      <c r="DV391" s="590">
        <f>BS!DV30+BS!DV37</f>
        <v>1788</v>
      </c>
      <c r="DW391" s="1162">
        <f>DV391</f>
        <v>1788</v>
      </c>
      <c r="DX391" s="591"/>
      <c r="DY391" s="590">
        <f>BS!DY30+BS!DY37</f>
        <v>1801.5</v>
      </c>
      <c r="DZ391" s="590">
        <f>BS!DZ30+BS!DZ37</f>
        <v>1776</v>
      </c>
      <c r="EA391" s="590">
        <f>BS!EA30+BS!EA37</f>
        <v>1763.8999999999999</v>
      </c>
      <c r="EB391" s="590">
        <f>BS!EB30+BS!EB37</f>
        <v>1955.1</v>
      </c>
      <c r="EC391" s="1162">
        <f>EB391</f>
        <v>1955.1</v>
      </c>
      <c r="ED391" s="591"/>
      <c r="EE391" s="590">
        <f>EB391+(EE412-Model!EE31)</f>
        <v>2017.513394910233</v>
      </c>
      <c r="EF391" s="590">
        <f>EE391+(EF412-Model!EF31)</f>
        <v>2070.1286629645588</v>
      </c>
      <c r="EG391" s="590">
        <f>EF391+(EG412-Model!EG31)</f>
        <v>2053.4514670565686</v>
      </c>
      <c r="EH391" s="590">
        <f>EG391+(EH412-Model!EH31)</f>
        <v>2269.3235467456225</v>
      </c>
      <c r="EI391" s="1162">
        <f>EH391</f>
        <v>2269.3235467456225</v>
      </c>
      <c r="EJ391" s="591"/>
      <c r="EK391" s="590">
        <f>EH391+(EK412-Model!EK31)</f>
        <v>2362.2932961693587</v>
      </c>
      <c r="EL391" s="590">
        <f>EK391+(EL412-Model!EL31)</f>
        <v>2448.6821650603938</v>
      </c>
      <c r="EM391" s="590">
        <f>EL391+(EM412-Model!EM31)</f>
        <v>2445.208193208789</v>
      </c>
      <c r="EN391" s="590">
        <f>EM391+(EN412-Model!EN31)</f>
        <v>2725.4457434604547</v>
      </c>
      <c r="EO391" s="1162">
        <f>EN391</f>
        <v>2725.4457434604547</v>
      </c>
      <c r="EP391" s="591"/>
      <c r="EQ391" s="590">
        <f>EN391+(EQ412-Model!EQ31)</f>
        <v>2866.182045462911</v>
      </c>
      <c r="ER391" s="590">
        <f>EQ391+(ER412-Model!ER31)</f>
        <v>2950.3913030407839</v>
      </c>
      <c r="ES391" s="590">
        <f>ER391+(ES412-Model!ES31)</f>
        <v>2891.9522964737862</v>
      </c>
      <c r="ET391" s="590">
        <f>ES391+(ET412-Model!ET31)</f>
        <v>3119.6411656320943</v>
      </c>
      <c r="EU391" s="1162">
        <f>ET391</f>
        <v>3119.6411656320943</v>
      </c>
    </row>
    <row r="392" spans="1:151">
      <c r="A392" s="583" t="s">
        <v>345</v>
      </c>
      <c r="B392" s="147"/>
      <c r="C392" s="147"/>
      <c r="D392" s="147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263"/>
      <c r="AH392" s="263"/>
      <c r="AI392" s="263"/>
      <c r="AJ392" s="263"/>
      <c r="AK392" s="141"/>
      <c r="AL392" s="147"/>
      <c r="AM392" s="263">
        <f>IF(AG391&lt;&gt;"",AM391/AG391-1,"-")</f>
        <v>0.36935032513941723</v>
      </c>
      <c r="AN392" s="263">
        <f>IF(AH391&lt;&gt;"",AN391/AH391-1,"-")</f>
        <v>0.25800000000000001</v>
      </c>
      <c r="AO392" s="263">
        <f>IF(AI391&lt;&gt;"",AO391/AI391-1,"-")</f>
        <v>0.27973288814691166</v>
      </c>
      <c r="AP392" s="263">
        <f>IF(AJ391&lt;&gt;"",AP391/AJ391-1,"-")</f>
        <v>0.42409200598710939</v>
      </c>
      <c r="AQ392" s="263" t="str">
        <f>IF(AK391&lt;&gt;"",AQ391/AK391-1,"-")</f>
        <v>-</v>
      </c>
      <c r="AR392" s="147"/>
      <c r="AS392" s="263">
        <f>IF(AM391&lt;&gt;"",AS391/AM391-1,"-")</f>
        <v>0.41388182366173187</v>
      </c>
      <c r="AT392" s="263">
        <f>IF(AN391&lt;&gt;"",AT391/AN391-1,"-")</f>
        <v>0.40629462962463969</v>
      </c>
      <c r="AU392" s="263">
        <f>IF(AO391&lt;&gt;"",AU391/AO391-1,"-")</f>
        <v>0.39908161135462317</v>
      </c>
      <c r="AV392" s="263">
        <f>IF(AP391&lt;&gt;"",AV391/AP391-1,"-")</f>
        <v>0.36502182516275017</v>
      </c>
      <c r="AW392" s="263">
        <f>IF(AQ391&lt;&gt;"",AW391/AQ391-1,"-")</f>
        <v>0.36502182516275017</v>
      </c>
      <c r="AX392" s="147"/>
      <c r="AY392" s="263">
        <f>IF(AS391&lt;&gt;"",AY391/AS391-1,"-")</f>
        <v>0.41419183096248213</v>
      </c>
      <c r="AZ392" s="263">
        <f>IF(AT391&lt;&gt;"",AZ391/AT391-1,"-")</f>
        <v>0.42941999271877207</v>
      </c>
      <c r="BA392" s="263">
        <f>IF(AU391&lt;&gt;"",BA391/AU391-1,"-")</f>
        <v>0.431262121438162</v>
      </c>
      <c r="BB392" s="263">
        <f>IF(AV391&lt;&gt;"",BB391/AV391-1,"-")</f>
        <v>0.48574750934975963</v>
      </c>
      <c r="BC392" s="263">
        <f>IF(AW391&lt;&gt;"",BC391/AW391-1,"-")</f>
        <v>0.48574750934975963</v>
      </c>
      <c r="BD392" s="147"/>
      <c r="BE392" s="263">
        <f>IF(AY391&lt;&gt;"",BE391/AY391-1,"-")</f>
        <v>0.56617647058823528</v>
      </c>
      <c r="BF392" s="263">
        <f>IF(AZ391&lt;&gt;"",BF391/AZ391-1,"-")</f>
        <v>0.4651474530831099</v>
      </c>
      <c r="BG392" s="263">
        <f>IF(BA391&lt;&gt;"",BG391/BA391-1,"-")</f>
        <v>0.47947882736156355</v>
      </c>
      <c r="BH392" s="263">
        <f>IF(BB391&lt;&gt;"",BH391/BB391-1,"-")</f>
        <v>0.40930724484399783</v>
      </c>
      <c r="BI392" s="263">
        <f>IF(BC391&lt;&gt;"",BI391/BC391-1,"-")</f>
        <v>0.40930724484399783</v>
      </c>
      <c r="BJ392" s="147"/>
      <c r="BK392" s="263">
        <f>IF(BE391&lt;&gt;"",BK391/BE391-1,"-")</f>
        <v>0.44553990610328631</v>
      </c>
      <c r="BL392" s="263">
        <f>IF(BF391&lt;&gt;"",BL391/BF391-1,"-")</f>
        <v>0.42817932296431827</v>
      </c>
      <c r="BM392" s="263">
        <f>IF(BG391&lt;&gt;"",BM391/BG391-1,"-")</f>
        <v>0.38177014531043607</v>
      </c>
      <c r="BN392" s="263">
        <f>IF(BH391&lt;&gt;"",BN391/BH391-1,"-")</f>
        <v>0.4213883677298309</v>
      </c>
      <c r="BO392" s="1104">
        <f>IF(BI391&lt;&gt;"",BO391/BI391-1,"-")</f>
        <v>0.4213883677298309</v>
      </c>
      <c r="BP392" s="147"/>
      <c r="BQ392" s="263">
        <f>IF(BK391&lt;&gt;"",BQ391/BK391-1,"-")</f>
        <v>0.29879831113998057</v>
      </c>
      <c r="BR392" s="263">
        <f>IF(BL391&lt;&gt;"",BR391/BL391-1,"-")</f>
        <v>0.31934657270980149</v>
      </c>
      <c r="BS392" s="263">
        <f>IF(BM391&lt;&gt;"",BS391/BM391-1,"-")</f>
        <v>0.35086042065009537</v>
      </c>
      <c r="BT392" s="263">
        <f>IF(BN391&lt;&gt;"",BT391/BN391-1,"-")</f>
        <v>0.33606124604012688</v>
      </c>
      <c r="BU392" s="1104">
        <f>IF(BO391&lt;&gt;"",BU391/BO391-1,"-")</f>
        <v>0.33606124604012688</v>
      </c>
      <c r="BV392" s="147"/>
      <c r="BW392" s="263">
        <f>IF(BQ391&lt;&gt;"",BW391/BQ391-1,"-")</f>
        <v>0.3745936484121033</v>
      </c>
      <c r="BX392" s="263">
        <f>IF(BR391&lt;&gt;"",BX391/BR391-1,"-")</f>
        <v>0.36586550133527562</v>
      </c>
      <c r="BY392" s="263">
        <f>IF(BS391&lt;&gt;"",BY391/BS391-1,"-")</f>
        <v>0.17810804435008265</v>
      </c>
      <c r="BZ392" s="263">
        <f>IF(BT391&lt;&gt;"",BZ391/BT391-1,"-")</f>
        <v>9.0891128235526475E-2</v>
      </c>
      <c r="CA392" s="1104">
        <f>IF(BU391&lt;&gt;"",CA391/BU391-1,"-")</f>
        <v>9.0891128235526475E-2</v>
      </c>
      <c r="CB392" s="147"/>
      <c r="CC392" s="263">
        <f>IF(BW391&lt;&gt;"",CC391/BW391-1,"-")</f>
        <v>-2.8561033290885995E-2</v>
      </c>
      <c r="CD392" s="263">
        <f>IF(BX391&lt;&gt;"",CD391/BX391-1,"-")</f>
        <v>-0.10789193032349809</v>
      </c>
      <c r="CE392" s="263">
        <f>IF(BY391&lt;&gt;"",CE391/BY391-1,"-")</f>
        <v>-5.9871846215458491E-2</v>
      </c>
      <c r="CF392" s="263">
        <f>IF(BZ391&lt;&gt;"",CF391/BZ391-1,"-")</f>
        <v>-6.4481072269516382E-2</v>
      </c>
      <c r="CG392" s="1104">
        <f>IF(CA391&lt;&gt;"",CG391/CA391-1,"-")</f>
        <v>-6.4481072269516382E-2</v>
      </c>
      <c r="CH392" s="147"/>
      <c r="CI392" s="263">
        <f>IF(CC391&lt;&gt;"",CI391/CC391-1,"-")</f>
        <v>1.8164794007490714E-2</v>
      </c>
      <c r="CJ392" s="263">
        <f>IF(CD391&lt;&gt;"",CJ391/CD391-1,"-")</f>
        <v>4.8216776250249227E-2</v>
      </c>
      <c r="CK392" s="263">
        <f>IF(CE391&lt;&gt;"",CK391/CE391-1,"-")</f>
        <v>8.0085197018104459E-2</v>
      </c>
      <c r="CL392" s="263">
        <f>IF(CF391&lt;&gt;"",CL391/CF391-1,"-")</f>
        <v>0.13823814133591483</v>
      </c>
      <c r="CM392" s="1104">
        <f>IF(CG391&lt;&gt;"",CM391/CG391-1,"-")</f>
        <v>0.13823814133591483</v>
      </c>
      <c r="CN392" s="147"/>
      <c r="CO392" s="263">
        <f>IF(CI391&lt;&gt;"",CO391/CI391-1,"-")</f>
        <v>0.14474894243148784</v>
      </c>
      <c r="CP392" s="263">
        <f>IF(CJ391&lt;&gt;"",CP391/CJ391-1,"-")</f>
        <v>0.22106063486029259</v>
      </c>
      <c r="CQ392" s="263">
        <f>IF(CK391&lt;&gt;"",CQ391/CK391-1,"-")</f>
        <v>0.22244133307040026</v>
      </c>
      <c r="CR392" s="263">
        <f>IF(CL391&lt;&gt;"",CR391/CL391-1,"-")</f>
        <v>0.22333730226228954</v>
      </c>
      <c r="CS392" s="1104">
        <f>IF(CM391&lt;&gt;"",CS391/CM391-1,"-")</f>
        <v>0.22333730226228954</v>
      </c>
      <c r="CT392" s="263"/>
      <c r="CU392" s="263">
        <f>IF(CO391&lt;&gt;"",CU391/CO391-1,"-")</f>
        <v>0.16789845758354782</v>
      </c>
      <c r="CV392" s="263">
        <f>IF(CP391&lt;&gt;"",CV391/CP391-1,"-")</f>
        <v>0.17061021170610213</v>
      </c>
      <c r="CW392" s="263">
        <f>IF(CQ391&lt;&gt;"",CW391/CQ391-1,"-")</f>
        <v>0.1513147281819649</v>
      </c>
      <c r="CX392" s="263">
        <f>IF(CR391&lt;&gt;"",CX391/CR391-1,"-")</f>
        <v>0.16045606229143505</v>
      </c>
      <c r="CY392" s="1104">
        <f>IF(CS391&lt;&gt;"",CY391/CS391-1,"-")</f>
        <v>0.16045606229143505</v>
      </c>
      <c r="CZ392" s="263"/>
      <c r="DA392" s="263">
        <f>IF(CU391&lt;&gt;"",DA391/CU391-1,"-")</f>
        <v>0.17127527858027247</v>
      </c>
      <c r="DB392" s="263">
        <f>IF(CV391&lt;&gt;"",DB391/CV391-1,"-")</f>
        <v>7.1143617021276695E-2</v>
      </c>
      <c r="DC392" s="263">
        <f>IF(CW391&lt;&gt;"",DC391/CW391-1,"-")</f>
        <v>7.2859744990892317E-2</v>
      </c>
      <c r="DD392" s="263">
        <f>IF(CX391&lt;&gt;"",DD391/CX391-1,"-")</f>
        <v>7.9079798705966819E-2</v>
      </c>
      <c r="DE392" s="1104">
        <f>IF(CY391&lt;&gt;"",DE391/CY391-1,"-")</f>
        <v>7.9079798705966819E-2</v>
      </c>
      <c r="DF392" s="263"/>
      <c r="DG392" s="263">
        <f>IF(DA391&lt;&gt;"",DG391/DA391-1,"-")</f>
        <v>0.13166549213060819</v>
      </c>
      <c r="DH392" s="263">
        <f>IF(DB391&lt;&gt;"",DH391/DB391-1,"-")</f>
        <v>0.21762880198634393</v>
      </c>
      <c r="DI392" s="263">
        <f>IF(DC391&lt;&gt;"",DI391/DC391-1,"-")</f>
        <v>0.31409168081494077</v>
      </c>
      <c r="DJ392" s="263">
        <f>IF(DD391&lt;&gt;"",DJ391/DD391-1,"-")</f>
        <v>0.28481012658227844</v>
      </c>
      <c r="DK392" s="1104">
        <f>IF(DE391&lt;&gt;"",DK391/DE391-1,"-")</f>
        <v>0.28481012658227844</v>
      </c>
      <c r="DL392" s="147"/>
      <c r="DM392" s="263">
        <f>IF(DG391&lt;&gt;"",DM391/DG391-1,"-")</f>
        <v>0.19740529320186817</v>
      </c>
      <c r="DN392" s="263">
        <f>IF(DH391&lt;&gt;"",DN391/DH391-1,"-")</f>
        <v>0.26050163132137039</v>
      </c>
      <c r="DO392" s="263">
        <f>IF(DI391&lt;&gt;"",DO391/DI391-1,"-")</f>
        <v>0.20483005366726292</v>
      </c>
      <c r="DP392" s="263">
        <f>IF(DJ391&lt;&gt;"",DP391/DJ391-1,"-")</f>
        <v>0.31293751620430399</v>
      </c>
      <c r="DQ392" s="1104">
        <f>IF(DK391&lt;&gt;"",DQ391/DK391-1,"-")</f>
        <v>0.31293751620430399</v>
      </c>
      <c r="DR392" s="263"/>
      <c r="DS392" s="263">
        <f>IF(DM391&lt;&gt;"",DS391/DM391-1,"-")</f>
        <v>0.32070728959001449</v>
      </c>
      <c r="DT392" s="263">
        <f>IF(DN391&lt;&gt;"",DT391/DN391-1,"-")</f>
        <v>0.22947504650974682</v>
      </c>
      <c r="DU392" s="263">
        <f>IF(DO391&lt;&gt;"",DU391/DO391-1,"-")</f>
        <v>0.26453848057411533</v>
      </c>
      <c r="DV392" s="263">
        <f>IF(DP391&lt;&gt;"",DV391/DP391-1,"-")</f>
        <v>0.17693522906793047</v>
      </c>
      <c r="DW392" s="1104">
        <f>IF(DQ391&lt;&gt;"",DW391/DQ391-1,"-")</f>
        <v>0.17693522906793047</v>
      </c>
      <c r="DX392" s="263"/>
      <c r="DY392" s="263">
        <f>IF(DS391&lt;&gt;"",DY391/DS391-1,"-")</f>
        <v>0.18231935420358347</v>
      </c>
      <c r="DZ392" s="263">
        <f>IF(DT391&lt;&gt;"",DZ391/DT391-1,"-")</f>
        <v>0.16842105263157903</v>
      </c>
      <c r="EA392" s="263">
        <f>IF(DU391&lt;&gt;"",EA391/DU391-1,"-")</f>
        <v>0.15061969993476843</v>
      </c>
      <c r="EB392" s="263">
        <f>IF(DV391&lt;&gt;"",EB391/DV391-1,"-")</f>
        <v>9.3456375838926187E-2</v>
      </c>
      <c r="EC392" s="1104">
        <f>IF(DW391&lt;&gt;"",EC391/DW391-1,"-")</f>
        <v>9.3456375838926187E-2</v>
      </c>
      <c r="ED392" s="263"/>
      <c r="EE392" s="263">
        <f>IF(DY391&lt;&gt;"",EE391/DY391-1,"-")</f>
        <v>0.11990751868455907</v>
      </c>
      <c r="EF392" s="263">
        <f>IF(DZ391&lt;&gt;"",EF391/DZ391-1,"-")</f>
        <v>0.16561298590346785</v>
      </c>
      <c r="EG392" s="263">
        <f>IF(EA391&lt;&gt;"",EG391/EA391-1,"-")</f>
        <v>0.16415412838401777</v>
      </c>
      <c r="EH392" s="263">
        <f>IF(EB391&lt;&gt;"",EH391/EB391-1,"-")</f>
        <v>0.1607199359345417</v>
      </c>
      <c r="EI392" s="1104">
        <f>IF(EC391&lt;&gt;"",EI391/EC391-1,"-")</f>
        <v>0.1607199359345417</v>
      </c>
      <c r="EJ392" s="263"/>
      <c r="EK392" s="263">
        <f>IF(EE391&lt;&gt;"",EK391/EE391-1,"-")</f>
        <v>0.17089348805759297</v>
      </c>
      <c r="EL392" s="263">
        <f>IF(EF391&lt;&gt;"",EL391/EF391-1,"-")</f>
        <v>0.18286472182541624</v>
      </c>
      <c r="EM392" s="263">
        <f>IF(EG391&lt;&gt;"",EM391/EG391-1,"-")</f>
        <v>0.19077963732630465</v>
      </c>
      <c r="EN392" s="263">
        <f>IF(EH391&lt;&gt;"",EN391/EH391-1,"-")</f>
        <v>0.20099478426905892</v>
      </c>
      <c r="EO392" s="1104">
        <f>IF(EI391&lt;&gt;"",EO391/EI391-1,"-")</f>
        <v>0.20099478426905892</v>
      </c>
      <c r="EP392" s="263"/>
      <c r="EQ392" s="263">
        <f>IF(EK391&lt;&gt;"",EQ391/EK391-1,"-")</f>
        <v>0.21330490591944984</v>
      </c>
      <c r="ER392" s="263">
        <f>IF(EL391&lt;&gt;"",ER391/EL391-1,"-")</f>
        <v>0.2048894483486452</v>
      </c>
      <c r="ES392" s="263">
        <f>IF(EM391&lt;&gt;"",ES391/EM391-1,"-")</f>
        <v>0.18270186747523764</v>
      </c>
      <c r="ET392" s="263">
        <f>IF(EN391&lt;&gt;"",ET391/EN391-1,"-")</f>
        <v>0.14463521173279204</v>
      </c>
      <c r="EU392" s="1104">
        <f>IF(EO391&lt;&gt;"",EU391/EO391-1,"-")</f>
        <v>0.14463521173279204</v>
      </c>
    </row>
    <row r="393" spans="1:151">
      <c r="A393" s="583" t="s">
        <v>344</v>
      </c>
      <c r="B393" s="147"/>
      <c r="C393" s="147"/>
      <c r="D393" s="147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263"/>
      <c r="AH393" s="263"/>
      <c r="AI393" s="263"/>
      <c r="AJ393" s="263"/>
      <c r="AK393" s="141"/>
      <c r="AL393" s="147"/>
      <c r="AM393" s="263">
        <f>IF(AJ391&lt;&gt;"",AM391/AJ391-1,"-")</f>
        <v>3.883984482389935E-2</v>
      </c>
      <c r="AN393" s="263">
        <f>IF(AM391&lt;&gt;"",AN391/AM391-1,"-")</f>
        <v>9.1227193201699475E-2</v>
      </c>
      <c r="AO393" s="263">
        <f>IF(AN391&lt;&gt;"",AO391/AN391-1,"-")</f>
        <v>3.2793511357818605E-2</v>
      </c>
      <c r="AP393" s="263">
        <f>IF(AO391&lt;&gt;"",AP391/AO391-1,"-")</f>
        <v>0.2163561886871217</v>
      </c>
      <c r="AQ393" s="141" t="s">
        <v>6442</v>
      </c>
      <c r="AR393" s="147"/>
      <c r="AS393" s="263">
        <f>IF(AP391&lt;&gt;"",AS391/AP391-1,"-")</f>
        <v>3.1391769715039652E-2</v>
      </c>
      <c r="AT393" s="263">
        <f>IF(AS391&lt;&gt;"",AT391/AS391-1,"-")</f>
        <v>8.5371433325014401E-2</v>
      </c>
      <c r="AU393" s="263">
        <f>IF(AT391&lt;&gt;"",AU391/AT391-1,"-")</f>
        <v>2.7496215677633273E-2</v>
      </c>
      <c r="AV393" s="263">
        <f>IF(AU391&lt;&gt;"",AV391/AU391-1,"-")</f>
        <v>0.18674474116067419</v>
      </c>
      <c r="AW393" s="141" t="s">
        <v>6442</v>
      </c>
      <c r="AX393" s="147"/>
      <c r="AY393" s="263">
        <f>IF(AV391&lt;&gt;"",AY391/AV391-1,"-")</f>
        <v>6.854395172695571E-2</v>
      </c>
      <c r="AZ393" s="263">
        <f>IF(AY391&lt;&gt;"",AZ391/AY391-1,"-")</f>
        <v>9.7058823529411642E-2</v>
      </c>
      <c r="BA393" s="263">
        <f>IF(AZ391&lt;&gt;"",BA391/AZ391-1,"-")</f>
        <v>2.8820375335120829E-2</v>
      </c>
      <c r="BB393" s="263">
        <f>IF(BA391&lt;&gt;"",BB391/BA391-1,"-")</f>
        <v>0.23192182410423445</v>
      </c>
      <c r="BC393" s="141" t="s">
        <v>6442</v>
      </c>
      <c r="BD393" s="147"/>
      <c r="BE393" s="263">
        <f>IF(BB391&lt;&gt;"",BE391/BB391-1,"-")</f>
        <v>0.1263881544156531</v>
      </c>
      <c r="BF393" s="263">
        <f>IF(BE391&lt;&gt;"",BF391/BE391-1,"-")</f>
        <v>2.6291079812206464E-2</v>
      </c>
      <c r="BG393" s="263">
        <f>IF(BF391&lt;&gt;"",BG391/BF391-1,"-")</f>
        <v>3.8883806038426449E-2</v>
      </c>
      <c r="BH393" s="263">
        <f>IF(BG391&lt;&gt;"",BH391/BG391-1,"-")</f>
        <v>0.17349185380889476</v>
      </c>
      <c r="BI393" s="141" t="s">
        <v>6442</v>
      </c>
      <c r="BJ393" s="147"/>
      <c r="BK393" s="263">
        <f>IF(BH391&lt;&gt;"",BK391/BH391-1,"-")</f>
        <v>0.15534709193245777</v>
      </c>
      <c r="BL393" s="263">
        <f>IF(BK391&lt;&gt;"",BL391/BK391-1,"-")</f>
        <v>1.3965573238064355E-2</v>
      </c>
      <c r="BM393" s="263">
        <f>IF(BL391&lt;&gt;"",BM391/BL391-1,"-")</f>
        <v>5.1249199231262477E-3</v>
      </c>
      <c r="BN393" s="263">
        <f>IF(BM391&lt;&gt;"",BN391/BM391-1,"-")</f>
        <v>0.20713830465264471</v>
      </c>
      <c r="BO393" s="1105" t="s">
        <v>6442</v>
      </c>
      <c r="BP393" s="147"/>
      <c r="BQ393" s="263">
        <f>IF(BN391&lt;&gt;"",BQ391/BN391-1,"-")</f>
        <v>5.5702217529039144E-2</v>
      </c>
      <c r="BR393" s="263">
        <f>IF(BQ391&lt;&gt;"",BR391/BQ391-1,"-")</f>
        <v>3.0007501875468856E-2</v>
      </c>
      <c r="BS393" s="263">
        <f>IF(BR391&lt;&gt;"",BS391/BR391-1,"-")</f>
        <v>2.9133284777858703E-2</v>
      </c>
      <c r="BT393" s="263">
        <f>IF(BS391&lt;&gt;"",BT391/BS391-1,"-")</f>
        <v>0.19391365888181178</v>
      </c>
      <c r="BU393" s="1105" t="s">
        <v>6442</v>
      </c>
      <c r="BV393" s="147"/>
      <c r="BW393" s="263">
        <f>IF(BT391&lt;&gt;"",BW391/BT391-1,"-")</f>
        <v>8.6148982414542719E-2</v>
      </c>
      <c r="BX393" s="263">
        <f>IF(BW391&lt;&gt;"",BX391/BW391-1,"-")</f>
        <v>2.3467345824995434E-2</v>
      </c>
      <c r="BY393" s="263">
        <f>IF(BX391&lt;&gt;"",BY391/BX391-1,"-")</f>
        <v>-0.11233558478492722</v>
      </c>
      <c r="BZ393" s="263">
        <f>IF(BY391&lt;&gt;"",BZ391/BY391-1,"-")</f>
        <v>0.1055266319583501</v>
      </c>
      <c r="CA393" s="1105" t="s">
        <v>6442</v>
      </c>
      <c r="CB393" s="147"/>
      <c r="CC393" s="263">
        <f>IF(BZ391&lt;&gt;"",CC391/BZ391-1,"-")</f>
        <v>-3.2783915957254162E-2</v>
      </c>
      <c r="CD393" s="263">
        <f>IF(CC391&lt;&gt;"",CD391/CC391-1,"-")</f>
        <v>-6.0112359550561822E-2</v>
      </c>
      <c r="CE393" s="263">
        <f>IF(CD391&lt;&gt;"",CE391/CD391-1,"-")</f>
        <v>-6.4554692169754846E-2</v>
      </c>
      <c r="CF393" s="263">
        <f>IF(CE391&lt;&gt;"",CF391/CE391-1,"-")</f>
        <v>0.10010649627263035</v>
      </c>
      <c r="CG393" s="1105" t="s">
        <v>6442</v>
      </c>
      <c r="CH393" s="147"/>
      <c r="CI393" s="263">
        <f>IF(CF391&lt;&gt;"",CI391/CF391-1,"-")</f>
        <v>5.2662149080348497E-2</v>
      </c>
      <c r="CJ393" s="263">
        <f>IF(CI391&lt;&gt;"",CJ391/CI391-1,"-")</f>
        <v>-3.2370792716571728E-2</v>
      </c>
      <c r="CK393" s="263">
        <f>IF(CJ391&lt;&gt;"",CK391/CJ391-1,"-")</f>
        <v>-3.6114807070899091E-2</v>
      </c>
      <c r="CL393" s="263">
        <f>IF(CK391&lt;&gt;"",CL391/CK391-1,"-")</f>
        <v>0.15933740879510938</v>
      </c>
      <c r="CM393" s="1105" t="s">
        <v>6442</v>
      </c>
      <c r="CN393" s="147"/>
      <c r="CO393" s="263">
        <f>IF(CL391&lt;&gt;"",CO391/CL391-1,"-")</f>
        <v>5.868344956625271E-2</v>
      </c>
      <c r="CP393" s="263">
        <f>IF(CM391&lt;&gt;"",CP391/CM391-1,"-")</f>
        <v>9.2702840619153015E-2</v>
      </c>
      <c r="CQ393" s="263">
        <f>IF(CP391&lt;&gt;"",CQ391/CP391-1,"-")</f>
        <v>-3.5024906600249039E-2</v>
      </c>
      <c r="CR393" s="263">
        <f>IF(CQ391&lt;&gt;"",CR391/CQ391-1,"-")</f>
        <v>0.16018712695596049</v>
      </c>
      <c r="CS393" s="1105" t="s">
        <v>6442</v>
      </c>
      <c r="CT393" s="141"/>
      <c r="CU393" s="263">
        <f>IF(CR391&lt;&gt;"",CU391/CR391-1,"-")</f>
        <v>1.0706340378198176E-2</v>
      </c>
      <c r="CV393" s="263">
        <f>IF(CU391&lt;&gt;"",CV391/CU391-1,"-")</f>
        <v>3.4530196725821805E-2</v>
      </c>
      <c r="CW393" s="263">
        <f>IF(CV391&lt;&gt;"",CW391/CV391-1,"-")</f>
        <v>-5.0930851063829774E-2</v>
      </c>
      <c r="CX393" s="263">
        <f>IF(CW391&lt;&gt;"",CX391/CW391-1,"-")</f>
        <v>0.1693989071038251</v>
      </c>
      <c r="CY393" s="1105" t="s">
        <v>6442</v>
      </c>
      <c r="CZ393" s="141"/>
      <c r="DA393" s="263">
        <f>IF(CX391&lt;&gt;"",DA391/CX391-1,"-")</f>
        <v>2.0129403306973437E-2</v>
      </c>
      <c r="DB393" s="263">
        <f>IF(DA391&lt;&gt;"",DB391/DA391-1,"-")</f>
        <v>-5.3911205073995827E-2</v>
      </c>
      <c r="DC393" s="263">
        <f>IF(DB391&lt;&gt;"",DC391/DB391-1,"-")</f>
        <v>-4.941030415890757E-2</v>
      </c>
      <c r="DD393" s="263">
        <f>IF(DC391&lt;&gt;"",DD391/DC391-1,"-")</f>
        <v>0.17617866004962801</v>
      </c>
      <c r="DE393" s="1105" t="s">
        <v>6442</v>
      </c>
      <c r="DF393" s="141"/>
      <c r="DG393" s="263">
        <f>IF(DD391&lt;&gt;"",DG391/DD391-1,"-")</f>
        <v>6.9842327337330534E-2</v>
      </c>
      <c r="DH393" s="263">
        <f>IF(DG391&lt;&gt;"",DH391/DG391-1,"-")</f>
        <v>1.7955371043071988E-2</v>
      </c>
      <c r="DI393" s="263">
        <f>IF(DH391&lt;&gt;"",DI391/DH391-1,"-")</f>
        <v>2.5897226753670566E-2</v>
      </c>
      <c r="DJ393" s="263">
        <f>IF(DI391&lt;&gt;"",DJ391/DI391-1,"-")</f>
        <v>0.14997018485390567</v>
      </c>
      <c r="DK393" s="1105" t="s">
        <v>6442</v>
      </c>
      <c r="DL393" s="147"/>
      <c r="DM393" s="263">
        <f>IF(DJ391&lt;&gt;"",DM391/DJ391-1,"-")</f>
        <v>-2.9383804338430908E-3</v>
      </c>
      <c r="DN393" s="263">
        <f>IF(DM391&lt;&gt;"",DN391/DM391-1,"-")</f>
        <v>7.1595735459824894E-2</v>
      </c>
      <c r="DO393" s="263">
        <f>IF(DN391&lt;&gt;"",DO391/DN391-1,"-")</f>
        <v>-1.9412763892259211E-2</v>
      </c>
      <c r="DP393" s="263">
        <f>IF(DO391&lt;&gt;"",DP391/DO391-1,"-")</f>
        <v>0.25315515961395696</v>
      </c>
      <c r="DQ393" s="1105" t="s">
        <v>6442</v>
      </c>
      <c r="DR393" s="141"/>
      <c r="DS393" s="263">
        <f>IF(DP391&lt;&gt;"",DS391/DP391-1,"-")</f>
        <v>2.96208530805675E-3</v>
      </c>
      <c r="DT393" s="263">
        <f>IF(DS391&lt;&gt;"",DT391/DS391-1,"-")</f>
        <v>-2.4282995340288993E-3</v>
      </c>
      <c r="DU393" s="263">
        <f>IF(DT391&lt;&gt;"",DU391/DT391-1,"-")</f>
        <v>8.5526315789474783E-3</v>
      </c>
      <c r="DV393" s="263">
        <f>IF(DU391&lt;&gt;"",DV391/DU391-1,"-")</f>
        <v>0.16634050880626217</v>
      </c>
      <c r="DW393" s="1105" t="s">
        <v>6442</v>
      </c>
      <c r="DX393" s="141"/>
      <c r="DY393" s="263">
        <f>IF(DV391&lt;&gt;"",DY391/DV391-1,"-")</f>
        <v>7.5503355704698016E-3</v>
      </c>
      <c r="DZ393" s="263">
        <f>IF(DY391&lt;&gt;"",DZ391/DY391-1,"-")</f>
        <v>-1.4154870940882636E-2</v>
      </c>
      <c r="EA393" s="263">
        <f>IF(DZ391&lt;&gt;"",EA391/DZ391-1,"-")</f>
        <v>-6.8130630630631739E-3</v>
      </c>
      <c r="EB393" s="263">
        <f>IF(EA391&lt;&gt;"",EB391/EA391-1,"-")</f>
        <v>0.10839616758319637</v>
      </c>
      <c r="EC393" s="1105" t="s">
        <v>6442</v>
      </c>
      <c r="ED393" s="141"/>
      <c r="EE393" s="263">
        <f>IF(EB391&lt;&gt;"",EE391/EB391-1,"-")</f>
        <v>3.1923377274938991E-2</v>
      </c>
      <c r="EF393" s="263">
        <f>IF(EE391&lt;&gt;"",EF391/EE391-1,"-")</f>
        <v>2.6079265786816075E-2</v>
      </c>
      <c r="EG393" s="263">
        <f>IF(EF391&lt;&gt;"",EG391/EF391-1,"-")</f>
        <v>-8.0561156445742022E-3</v>
      </c>
      <c r="EH393" s="263">
        <f>IF(EG391&lt;&gt;"",EH391/EG391-1,"-")</f>
        <v>0.10512645813756993</v>
      </c>
      <c r="EI393" s="1105" t="s">
        <v>6442</v>
      </c>
      <c r="EJ393" s="141"/>
      <c r="EK393" s="263">
        <f>IF(EH391&lt;&gt;"",EK391/EH391-1,"-")</f>
        <v>4.0968045106243967E-2</v>
      </c>
      <c r="EL393" s="263">
        <f>IF(EK391&lt;&gt;"",EL391/EK391-1,"-")</f>
        <v>3.6569916627677612E-2</v>
      </c>
      <c r="EM393" s="263">
        <f>IF(EL391&lt;&gt;"",EM391/EL391-1,"-")</f>
        <v>-1.4187108074595889E-3</v>
      </c>
      <c r="EN393" s="263">
        <f>IF(EM391&lt;&gt;"",EN391/EM391-1,"-")</f>
        <v>0.11460682613038209</v>
      </c>
      <c r="EO393" s="1105" t="s">
        <v>6442</v>
      </c>
      <c r="EP393" s="141"/>
      <c r="EQ393" s="263">
        <f>IF(EN391&lt;&gt;"",EQ391/EN391-1,"-")</f>
        <v>5.1637902658728363E-2</v>
      </c>
      <c r="ER393" s="263">
        <f>IF(EQ391&lt;&gt;"",ER391/EQ391-1,"-")</f>
        <v>2.938028926361258E-2</v>
      </c>
      <c r="ES393" s="263">
        <f>IF(ER391&lt;&gt;"",ES391/ER391-1,"-")</f>
        <v>-1.9807205405862005E-2</v>
      </c>
      <c r="ET393" s="263">
        <f>IF(ES391&lt;&gt;"",ET391/ES391-1,"-")</f>
        <v>7.8731889677410516E-2</v>
      </c>
      <c r="EU393" s="1105" t="s">
        <v>6442</v>
      </c>
    </row>
    <row r="394" spans="1:151" ht="3.75" customHeight="1">
      <c r="A394" s="583"/>
      <c r="B394" s="147"/>
      <c r="C394" s="147"/>
      <c r="D394" s="147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263"/>
      <c r="AH394" s="263"/>
      <c r="AI394" s="263"/>
      <c r="AJ394" s="263"/>
      <c r="AK394" s="141"/>
      <c r="AL394" s="147"/>
      <c r="AM394" s="263"/>
      <c r="AN394" s="263"/>
      <c r="AO394" s="263"/>
      <c r="AP394" s="263"/>
      <c r="AQ394" s="141"/>
      <c r="AR394" s="147"/>
      <c r="AS394" s="263"/>
      <c r="AT394" s="263"/>
      <c r="AU394" s="263"/>
      <c r="AV394" s="263"/>
      <c r="AW394" s="141"/>
      <c r="AX394" s="147"/>
      <c r="AY394" s="263"/>
      <c r="AZ394" s="263"/>
      <c r="BA394" s="263"/>
      <c r="BB394" s="263"/>
      <c r="BC394" s="141"/>
      <c r="BD394" s="147"/>
      <c r="BE394" s="263"/>
      <c r="BF394" s="141"/>
      <c r="BG394" s="141"/>
      <c r="BH394" s="141"/>
      <c r="BI394" s="141"/>
      <c r="BJ394" s="147"/>
      <c r="BK394" s="263"/>
      <c r="BL394" s="147"/>
      <c r="BM394" s="147"/>
      <c r="BN394" s="147"/>
      <c r="BO394" s="1105"/>
      <c r="BP394" s="147"/>
      <c r="BQ394" s="147"/>
      <c r="BR394" s="147"/>
      <c r="BS394" s="147"/>
      <c r="BT394" s="147"/>
      <c r="BU394" s="1105"/>
      <c r="BV394" s="147"/>
      <c r="BW394" s="147"/>
      <c r="BX394" s="147"/>
      <c r="BY394" s="147"/>
      <c r="BZ394" s="147"/>
      <c r="CA394" s="1096"/>
      <c r="CB394" s="147"/>
      <c r="CC394" s="147"/>
      <c r="CD394" s="147"/>
      <c r="CE394" s="147"/>
      <c r="CF394" s="147"/>
      <c r="CG394" s="1096"/>
      <c r="CH394" s="147"/>
      <c r="CI394" s="147"/>
      <c r="CJ394" s="147"/>
      <c r="CK394" s="141"/>
      <c r="CL394" s="147"/>
      <c r="CM394" s="1096"/>
      <c r="CN394" s="147"/>
      <c r="CO394" s="147"/>
      <c r="CP394" s="147"/>
      <c r="CQ394" s="147"/>
      <c r="CR394" s="147"/>
      <c r="CS394" s="1096"/>
      <c r="CT394" s="147"/>
      <c r="CU394" s="147"/>
      <c r="CV394" s="147"/>
      <c r="CW394" s="147"/>
      <c r="CX394" s="147"/>
      <c r="CY394" s="1096"/>
      <c r="CZ394" s="147"/>
      <c r="DA394" s="147"/>
      <c r="DB394" s="147"/>
      <c r="DC394" s="147"/>
      <c r="DD394" s="147"/>
      <c r="DE394" s="1096"/>
      <c r="DF394" s="147"/>
      <c r="DG394" s="147"/>
      <c r="DH394" s="147"/>
      <c r="DI394" s="147"/>
      <c r="DJ394" s="147"/>
      <c r="DK394" s="1096"/>
      <c r="DL394" s="147"/>
      <c r="DM394" s="147"/>
      <c r="DN394" s="147"/>
      <c r="DO394" s="147"/>
      <c r="DP394" s="147"/>
      <c r="DQ394" s="1096"/>
      <c r="DR394" s="147"/>
      <c r="DS394" s="147"/>
      <c r="DT394" s="147"/>
      <c r="DU394" s="147"/>
      <c r="DV394" s="147"/>
      <c r="DW394" s="1096"/>
      <c r="DX394" s="147"/>
      <c r="DY394" s="147"/>
      <c r="DZ394" s="147"/>
      <c r="EA394" s="147"/>
      <c r="EB394" s="147"/>
      <c r="EC394" s="1096"/>
      <c r="ED394" s="147"/>
      <c r="EE394" s="147"/>
      <c r="EF394" s="147"/>
      <c r="EG394" s="147"/>
      <c r="EH394" s="147"/>
      <c r="EI394" s="1096"/>
      <c r="EJ394" s="147"/>
      <c r="EK394" s="147"/>
      <c r="EL394" s="147"/>
      <c r="EM394" s="147"/>
      <c r="EN394" s="147"/>
      <c r="EO394" s="1096"/>
      <c r="EP394" s="147"/>
      <c r="EQ394" s="147"/>
      <c r="ER394" s="147"/>
      <c r="ES394" s="147"/>
      <c r="ET394" s="147"/>
      <c r="EU394" s="1096"/>
    </row>
    <row r="395" spans="1:151" hidden="1">
      <c r="A395" s="581" t="s">
        <v>5612</v>
      </c>
      <c r="B395" s="147"/>
      <c r="C395" s="147"/>
      <c r="D395" s="147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1">
        <v>36.1</v>
      </c>
      <c r="AN395" s="141">
        <v>43.8</v>
      </c>
      <c r="AO395" s="141">
        <v>44.7</v>
      </c>
      <c r="AP395" s="141">
        <v>56.7</v>
      </c>
      <c r="AQ395" s="141">
        <f>AP395</f>
        <v>56.7</v>
      </c>
      <c r="AR395" s="147"/>
      <c r="AS395" s="141">
        <v>60.5</v>
      </c>
      <c r="AT395" s="141">
        <v>65.5</v>
      </c>
      <c r="AU395" s="141">
        <v>66.5</v>
      </c>
      <c r="AV395" s="141">
        <v>83.5</v>
      </c>
      <c r="AW395" s="141">
        <f>SUM(AS395:AV395)</f>
        <v>276</v>
      </c>
      <c r="AX395" s="147"/>
      <c r="AY395" s="141">
        <v>96.7</v>
      </c>
      <c r="AZ395" s="141">
        <v>107.1</v>
      </c>
      <c r="BA395" s="141">
        <v>113</v>
      </c>
      <c r="BB395" s="141">
        <v>140.80000000000001</v>
      </c>
      <c r="BC395" s="141">
        <f>BB395</f>
        <v>140.80000000000001</v>
      </c>
      <c r="BD395" s="147"/>
      <c r="BE395" s="141">
        <v>166.1</v>
      </c>
      <c r="BF395" s="141">
        <v>179.2</v>
      </c>
      <c r="BG395" s="175">
        <v>185</v>
      </c>
      <c r="BH395" s="175">
        <v>213.4</v>
      </c>
      <c r="BI395" s="141">
        <f>BH395</f>
        <v>213.4</v>
      </c>
      <c r="BJ395" s="147"/>
      <c r="BK395" s="141">
        <v>252.4</v>
      </c>
      <c r="BL395" s="141">
        <v>263.60000000000002</v>
      </c>
      <c r="BM395" s="175">
        <v>275</v>
      </c>
      <c r="BN395" s="175">
        <v>328</v>
      </c>
      <c r="BO395" s="1105">
        <f>BN395</f>
        <v>328</v>
      </c>
      <c r="BP395" s="147"/>
      <c r="BQ395" s="142">
        <v>343</v>
      </c>
      <c r="BR395" s="142">
        <v>356</v>
      </c>
      <c r="BS395" s="142">
        <v>366</v>
      </c>
      <c r="BT395" s="142">
        <v>434</v>
      </c>
      <c r="BU395" s="1105">
        <f>BT395</f>
        <v>434</v>
      </c>
      <c r="BV395" s="147"/>
      <c r="BW395" s="142">
        <f>BT395+40</f>
        <v>474</v>
      </c>
      <c r="BX395" s="142">
        <f>BW395+14</f>
        <v>488</v>
      </c>
      <c r="BY395" s="142">
        <v>433</v>
      </c>
      <c r="BZ395" s="142">
        <v>475</v>
      </c>
      <c r="CA395" s="1164" t="e">
        <f>BU395+(#REF!-CA331)</f>
        <v>#REF!</v>
      </c>
      <c r="CB395" s="147"/>
      <c r="CC395" s="142">
        <v>469</v>
      </c>
      <c r="CD395" s="142">
        <v>444</v>
      </c>
      <c r="CE395" s="142">
        <v>420</v>
      </c>
      <c r="CF395" s="142">
        <v>464</v>
      </c>
      <c r="CG395" s="1164" t="e">
        <f>CA395+(#REF!-CG331)</f>
        <v>#REF!</v>
      </c>
      <c r="CH395" s="147"/>
      <c r="CI395" s="142">
        <v>492</v>
      </c>
      <c r="CJ395" s="142">
        <v>473</v>
      </c>
      <c r="CK395" s="142">
        <v>450</v>
      </c>
      <c r="CL395" s="142">
        <v>509</v>
      </c>
      <c r="CM395" s="1164" t="e">
        <f>CG395+(#REF!-CM331)</f>
        <v>#REF!</v>
      </c>
      <c r="CN395" s="147"/>
      <c r="CO395" s="142">
        <v>543</v>
      </c>
      <c r="CP395" s="142">
        <v>566</v>
      </c>
      <c r="CQ395" s="142">
        <v>553</v>
      </c>
      <c r="CR395" s="142">
        <v>633</v>
      </c>
      <c r="CS395" s="1164" t="e">
        <f>CM395+(#REF!-CS331)</f>
        <v>#REF!</v>
      </c>
      <c r="CT395" s="175"/>
      <c r="CU395" s="142">
        <v>658</v>
      </c>
      <c r="CV395" s="893">
        <v>687</v>
      </c>
      <c r="CW395" s="142">
        <v>648</v>
      </c>
      <c r="CX395" s="142">
        <v>753</v>
      </c>
      <c r="CY395" s="1164" t="e">
        <f>CS395+(#REF!-CY331)</f>
        <v>#REF!</v>
      </c>
      <c r="CZ395" s="175"/>
      <c r="DA395" s="142">
        <v>775</v>
      </c>
      <c r="DB395" s="142">
        <v>736</v>
      </c>
      <c r="DC395" s="142">
        <v>699</v>
      </c>
      <c r="DD395" s="142">
        <v>789</v>
      </c>
      <c r="DE395" s="1164" t="e">
        <f>CY395+(#REF!-DE331)</f>
        <v>#REF!</v>
      </c>
      <c r="DF395" s="175"/>
      <c r="DG395" s="142">
        <v>848</v>
      </c>
      <c r="DH395" s="142">
        <v>839</v>
      </c>
      <c r="DI395" s="142">
        <v>839</v>
      </c>
      <c r="DJ395" s="142">
        <v>937</v>
      </c>
      <c r="DK395" s="1164" t="e">
        <f>DE395+(#REF!-DK331)</f>
        <v>#REF!</v>
      </c>
      <c r="DL395" s="147"/>
      <c r="DM395" s="142">
        <v>930</v>
      </c>
      <c r="DN395" s="142">
        <v>1004</v>
      </c>
      <c r="DO395" s="142">
        <v>963</v>
      </c>
      <c r="DP395" s="142" t="e">
        <f>DO395+#REF!-#REF!</f>
        <v>#REF!</v>
      </c>
      <c r="DQ395" s="1164" t="e">
        <f>DK395+(#REF!-DQ331)</f>
        <v>#REF!</v>
      </c>
      <c r="DR395" s="175"/>
      <c r="DS395" s="142">
        <v>930</v>
      </c>
      <c r="DT395" s="142">
        <v>1009</v>
      </c>
      <c r="DU395" s="142">
        <v>1040</v>
      </c>
      <c r="DV395" s="142" t="e">
        <f>DU395+#REF!-#REF!</f>
        <v>#REF!</v>
      </c>
      <c r="DW395" s="1164" t="e">
        <f>DQ395+(#REF!-DW331)</f>
        <v>#REF!</v>
      </c>
      <c r="DX395" s="175"/>
      <c r="DY395" s="142" t="e">
        <f>DV395+#REF!-#REF!</f>
        <v>#REF!</v>
      </c>
      <c r="DZ395" s="142">
        <v>1009</v>
      </c>
      <c r="EA395" s="142">
        <v>1040</v>
      </c>
      <c r="EB395" s="142" t="e">
        <f>EA395+#REF!-#REF!</f>
        <v>#REF!</v>
      </c>
      <c r="EC395" s="1164" t="e">
        <f>DW395+(#REF!-EC331)</f>
        <v>#REF!</v>
      </c>
      <c r="ED395" s="175"/>
      <c r="EE395" s="142" t="e">
        <f>EB395+#REF!-#REF!</f>
        <v>#REF!</v>
      </c>
      <c r="EF395" s="142" t="e">
        <f>EE395+#REF!-#REF!</f>
        <v>#REF!</v>
      </c>
      <c r="EG395" s="142" t="e">
        <f>EF395+#REF!-#REF!</f>
        <v>#REF!</v>
      </c>
      <c r="EH395" s="142" t="e">
        <f>EG395+#REF!-#REF!</f>
        <v>#REF!</v>
      </c>
      <c r="EI395" s="1164" t="e">
        <f>EC395+(#REF!-EI331)</f>
        <v>#REF!</v>
      </c>
      <c r="EJ395" s="175"/>
      <c r="EK395" s="142" t="e">
        <f>EH395+#REF!-#REF!</f>
        <v>#REF!</v>
      </c>
      <c r="EL395" s="142" t="e">
        <f>EK395+#REF!-#REF!</f>
        <v>#REF!</v>
      </c>
      <c r="EM395" s="142" t="e">
        <f>EL395+#REF!-#REF!</f>
        <v>#REF!</v>
      </c>
      <c r="EN395" s="142" t="e">
        <f>EM395+#REF!-#REF!</f>
        <v>#REF!</v>
      </c>
      <c r="EO395" s="1164" t="e">
        <f>EI395+(#REF!-EO331)</f>
        <v>#REF!</v>
      </c>
      <c r="EP395" s="175"/>
      <c r="EQ395" s="142" t="e">
        <f>EN395+#REF!-#REF!</f>
        <v>#REF!</v>
      </c>
      <c r="ER395" s="142" t="e">
        <f>EQ395+#REF!-#REF!</f>
        <v>#REF!</v>
      </c>
      <c r="ES395" s="142" t="e">
        <f>ER395+#REF!-#REF!</f>
        <v>#REF!</v>
      </c>
      <c r="ET395" s="142" t="e">
        <f>ES395+#REF!-#REF!</f>
        <v>#REF!</v>
      </c>
      <c r="EU395" s="1164" t="e">
        <f>EO395+(#REF!-EU331)</f>
        <v>#REF!</v>
      </c>
    </row>
    <row r="396" spans="1:151" ht="12.75" hidden="1" customHeight="1">
      <c r="A396" s="393" t="s">
        <v>345</v>
      </c>
      <c r="B396" s="147"/>
      <c r="C396" s="147"/>
      <c r="D396" s="147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263" t="str">
        <f>IF(AG395&lt;&gt;"",AM395/AG395-1,"-")</f>
        <v>-</v>
      </c>
      <c r="AN396" s="263" t="str">
        <f>IF(AH395&lt;&gt;"",AN395/AH395-1,"-")</f>
        <v>-</v>
      </c>
      <c r="AO396" s="263" t="str">
        <f>IF(AI395&lt;&gt;"",AO395/AI395-1,"-")</f>
        <v>-</v>
      </c>
      <c r="AP396" s="263" t="str">
        <f>IF(AJ395&lt;&gt;"",AP395/AJ395-1,"-")</f>
        <v>-</v>
      </c>
      <c r="AQ396" s="263" t="str">
        <f>IF(AK395&lt;&gt;"",AQ395/AK395-1,"-")</f>
        <v>-</v>
      </c>
      <c r="AR396" s="147"/>
      <c r="AS396" s="263">
        <f>IF(AM395&lt;&gt;"",AS395/AM395-1,"-")</f>
        <v>0.67590027700831024</v>
      </c>
      <c r="AT396" s="263">
        <f>IF(AN395&lt;&gt;"",AT395/AN395-1,"-")</f>
        <v>0.49543378995433796</v>
      </c>
      <c r="AU396" s="263">
        <f>IF(AO395&lt;&gt;"",AU395/AO395-1,"-")</f>
        <v>0.4876957494407157</v>
      </c>
      <c r="AV396" s="263">
        <f>IF(AP395&lt;&gt;"",AV395/AP395-1,"-")</f>
        <v>0.47266313932980597</v>
      </c>
      <c r="AW396" s="263">
        <f>IF(AQ395&lt;&gt;0,AW395/AQ395-1,"-")</f>
        <v>3.8677248677248679</v>
      </c>
      <c r="AX396" s="147"/>
      <c r="AY396" s="263">
        <f>IF(AS395&lt;&gt;"",AY395/AS395-1,"-")</f>
        <v>0.59834710743801667</v>
      </c>
      <c r="AZ396" s="263">
        <f>IF(AT395&lt;&gt;"",AZ395/AT395-1,"-")</f>
        <v>0.6351145038167938</v>
      </c>
      <c r="BA396" s="263">
        <f>IF(AU395&lt;&gt;"",BA395/AU395-1,"-")</f>
        <v>0.6992481203007519</v>
      </c>
      <c r="BB396" s="263">
        <f>IF(AV395&lt;&gt;"",BB395/AV395-1,"-")</f>
        <v>0.68622754491017979</v>
      </c>
      <c r="BC396" s="263">
        <f>IF(AW395&lt;&gt;"",BC395/AW395-1,"-")</f>
        <v>-0.48985507246376803</v>
      </c>
      <c r="BD396" s="147"/>
      <c r="BE396" s="263">
        <f>IF(AY395&lt;&gt;"",BE395/AY395-1,"-")</f>
        <v>0.71768355739400191</v>
      </c>
      <c r="BF396" s="263">
        <f>IF(AZ395&lt;&gt;"",BF395/AZ395-1,"-")</f>
        <v>0.67320261437908502</v>
      </c>
      <c r="BG396" s="263">
        <f>IF(BA395&lt;&gt;"",BG395/BA395-1,"-")</f>
        <v>0.63716814159292046</v>
      </c>
      <c r="BH396" s="263">
        <f>IF(BB395&lt;&gt;"",BH395/BB395-1,"-")</f>
        <v>0.515625</v>
      </c>
      <c r="BI396" s="263">
        <f>IF(BC395&lt;&gt;"",BI395/BC395-1,"-")</f>
        <v>0.515625</v>
      </c>
      <c r="BJ396" s="147"/>
      <c r="BK396" s="263">
        <f>IF(BE395&lt;&gt;"",BK395/BE395-1,"-")</f>
        <v>0.51956652618904275</v>
      </c>
      <c r="BL396" s="263">
        <f>IF(BF395&lt;&gt;"",BL395/BF395-1,"-")</f>
        <v>0.47098214285714302</v>
      </c>
      <c r="BM396" s="263">
        <f>IF(BG395&lt;&gt;"",BM395/BG395-1,"-")</f>
        <v>0.4864864864864864</v>
      </c>
      <c r="BN396" s="263">
        <f>IF(BH395&lt;&gt;"",BN395/BH395-1,"-")</f>
        <v>0.53701968134957823</v>
      </c>
      <c r="BO396" s="1104">
        <f>IF(BI395&lt;&gt;"",BO395/BI395-1,"-")</f>
        <v>0.53701968134957823</v>
      </c>
      <c r="BP396" s="147"/>
      <c r="BQ396" s="263">
        <f>IF(BK395&lt;&gt;"",BQ395/BK395-1,"-")</f>
        <v>0.35895404120443741</v>
      </c>
      <c r="BR396" s="263">
        <f>IF(BL395&lt;&gt;"",BR395/BL395-1,"-")</f>
        <v>0.35053110773899832</v>
      </c>
      <c r="BS396" s="263">
        <f>IF(BM395&lt;&gt;"",BS395/BM395-1,"-")</f>
        <v>0.33090909090909082</v>
      </c>
      <c r="BT396" s="263">
        <f>IF(BN395&lt;&gt;"",BT395/BN395-1,"-")</f>
        <v>0.32317073170731714</v>
      </c>
      <c r="BU396" s="1104">
        <f>IF(BO395&lt;&gt;"",BU395/BO395-1,"-")</f>
        <v>0.32317073170731714</v>
      </c>
      <c r="BV396" s="147"/>
      <c r="BW396" s="263">
        <f>IF(BQ395&lt;&gt;"",BW395/BQ395-1,"-")</f>
        <v>0.38192419825072887</v>
      </c>
      <c r="BX396" s="263">
        <f>IF(BR395&lt;&gt;"",BX395/BR395-1,"-")</f>
        <v>0.3707865168539326</v>
      </c>
      <c r="BY396" s="263">
        <f>IF(BS395&lt;&gt;"",BY395/BS395-1,"-")</f>
        <v>0.18306010928961758</v>
      </c>
      <c r="BZ396" s="263">
        <f>IF(BT395&lt;&gt;"",BZ395/BT395-1,"-")</f>
        <v>9.4470046082949288E-2</v>
      </c>
      <c r="CA396" s="1104" t="e">
        <f>IF(BU395&lt;&gt;"",CA395/BU395-1,"-")</f>
        <v>#REF!</v>
      </c>
      <c r="CB396" s="147"/>
      <c r="CC396" s="263">
        <f>IF(BW395&lt;&gt;"",CC395/BW395-1,"-")</f>
        <v>-1.0548523206751037E-2</v>
      </c>
      <c r="CD396" s="263">
        <f>IF(BX395&lt;&gt;"",CD395/BX395-1,"-")</f>
        <v>-9.0163934426229497E-2</v>
      </c>
      <c r="CE396" s="263">
        <f>IF(BY395&lt;&gt;"",CE395/BY395-1,"-")</f>
        <v>-3.002309468822173E-2</v>
      </c>
      <c r="CF396" s="263">
        <f>IF(BZ395&lt;&gt;"",CF395/BZ395-1,"-")</f>
        <v>-2.3157894736842155E-2</v>
      </c>
      <c r="CG396" s="1104" t="e">
        <f>IF(CA395&lt;&gt;"",CG395/CA395-1,"-")</f>
        <v>#REF!</v>
      </c>
      <c r="CH396" s="147"/>
      <c r="CI396" s="263">
        <f>IF(CC395&lt;&gt;"",CI395/CC395-1,"-")</f>
        <v>4.9040511727078906E-2</v>
      </c>
      <c r="CJ396" s="263">
        <f>IF(CD395&lt;&gt;"",CJ395/CD395-1,"-")</f>
        <v>6.5315315315315425E-2</v>
      </c>
      <c r="CK396" s="263">
        <f>IF(CE395&lt;&gt;"",CK395/CE395-1,"-")</f>
        <v>7.1428571428571397E-2</v>
      </c>
      <c r="CL396" s="263">
        <f>IF(CF395&lt;&gt;"",CL395/CF395-1,"-")</f>
        <v>9.6982758620689724E-2</v>
      </c>
      <c r="CM396" s="1104" t="e">
        <f>IF(CG395&lt;&gt;"",CM395/CG395-1,"-")</f>
        <v>#REF!</v>
      </c>
      <c r="CN396" s="147"/>
      <c r="CO396" s="263">
        <f>IF(CI395&lt;&gt;"",CO395/CI395-1,"-")</f>
        <v>0.10365853658536595</v>
      </c>
      <c r="CP396" s="263">
        <f>IF(CJ395&lt;&gt;"",CP395/CJ395-1,"-")</f>
        <v>0.19661733615221988</v>
      </c>
      <c r="CQ396" s="263">
        <f>IF(CK395&lt;&gt;"",CQ395/CK395-1,"-")</f>
        <v>0.22888888888888892</v>
      </c>
      <c r="CR396" s="263">
        <f>IF(CL395&lt;&gt;"",CR395/CL395-1,"-")</f>
        <v>0.24361493123772093</v>
      </c>
      <c r="CS396" s="1104" t="e">
        <f>IF(CM395&lt;&gt;"",CS395/CM395-1,"-")</f>
        <v>#REF!</v>
      </c>
      <c r="CT396" s="263"/>
      <c r="CU396" s="263">
        <f>IF(CO395&lt;&gt;"",CU395/CO395-1,"-")</f>
        <v>0.2117863720073665</v>
      </c>
      <c r="CV396" s="263">
        <f>IF(CP395&lt;&gt;"",CV395/CP395-1,"-")</f>
        <v>0.21378091872791516</v>
      </c>
      <c r="CW396" s="263">
        <f>IF(CQ395&lt;&gt;"",CW395/CQ395-1,"-")</f>
        <v>0.17179023508137425</v>
      </c>
      <c r="CX396" s="263">
        <f>IF(CR395&lt;&gt;"",CX395/CR395-1,"-")</f>
        <v>0.18957345971563977</v>
      </c>
      <c r="CY396" s="1104" t="e">
        <f>IF(CS395&lt;&gt;"",CY395/CS395-1,"-")</f>
        <v>#REF!</v>
      </c>
      <c r="CZ396" s="263"/>
      <c r="DA396" s="263">
        <f>IF(CU395&lt;&gt;"",DA395/CU395-1,"-")</f>
        <v>0.17781155015197569</v>
      </c>
      <c r="DB396" s="263">
        <f>IF(CV395&lt;&gt;"",DB395/CV395-1,"-")</f>
        <v>7.1324599708879166E-2</v>
      </c>
      <c r="DC396" s="263">
        <f>IF(CW395&lt;&gt;"",DC395/CW395-1,"-")</f>
        <v>7.870370370370372E-2</v>
      </c>
      <c r="DD396" s="263">
        <f>IF(CX395&lt;&gt;"",DD395/CX395-1,"-")</f>
        <v>4.7808764940239001E-2</v>
      </c>
      <c r="DE396" s="1104" t="e">
        <f>IF(CY395&lt;&gt;"",DE395/CY395-1,"-")</f>
        <v>#REF!</v>
      </c>
      <c r="DF396" s="263"/>
      <c r="DG396" s="263">
        <f>IF(DA395&lt;&gt;"",DG395/DA395-1,"-")</f>
        <v>9.4193548387096815E-2</v>
      </c>
      <c r="DH396" s="263">
        <f>IF(DB395&lt;&gt;"",DH395/DB395-1,"-")</f>
        <v>0.13994565217391308</v>
      </c>
      <c r="DI396" s="263">
        <f>IF(DC395&lt;&gt;"",DI395/DC395-1,"-")</f>
        <v>0.20028612303290405</v>
      </c>
      <c r="DJ396" s="263">
        <f>IF(DD395&lt;&gt;"",DJ395/DD395-1,"-")</f>
        <v>0.18757921419518375</v>
      </c>
      <c r="DK396" s="1104" t="e">
        <f>IF(DE395&lt;&gt;"",DK395/DE395-1,"-")</f>
        <v>#REF!</v>
      </c>
      <c r="DL396" s="147"/>
      <c r="DM396" s="263">
        <f>IF(DG395&lt;&gt;"",DM395/DG395-1,"-")</f>
        <v>9.6698113207547065E-2</v>
      </c>
      <c r="DN396" s="263">
        <f>IF(DH395&lt;&gt;"",DN395/DH395-1,"-")</f>
        <v>0.19666269368295586</v>
      </c>
      <c r="DO396" s="263">
        <f>IF(DI395&lt;&gt;"",DO395/DI395-1,"-")</f>
        <v>0.14779499404052454</v>
      </c>
      <c r="DP396" s="263" t="e">
        <f>IF(DJ395&lt;&gt;"",DP395/DJ395-1,"-")</f>
        <v>#REF!</v>
      </c>
      <c r="DQ396" s="1104" t="e">
        <f>IF(DK395&lt;&gt;"",DQ395/DK395-1,"-")</f>
        <v>#REF!</v>
      </c>
      <c r="DR396" s="263"/>
      <c r="DS396" s="263">
        <f>IF(DM395&lt;&gt;"",DS395/DM395-1,"-")</f>
        <v>0</v>
      </c>
      <c r="DT396" s="263">
        <f>IF(DN395&lt;&gt;"",DT395/DN395-1,"-")</f>
        <v>4.980079681274896E-3</v>
      </c>
      <c r="DU396" s="263">
        <f>IF(DO395&lt;&gt;"",DU395/DO395-1,"-")</f>
        <v>7.9958463136033275E-2</v>
      </c>
      <c r="DV396" s="263" t="e">
        <f>IF(DP395&lt;&gt;"",DV395/DP395-1,"-")</f>
        <v>#REF!</v>
      </c>
      <c r="DW396" s="1104" t="e">
        <f>IF(DQ395&lt;&gt;"",DW395/DQ395-1,"-")</f>
        <v>#REF!</v>
      </c>
      <c r="DX396" s="263"/>
      <c r="DY396" s="263" t="e">
        <f>IF(DS395&lt;&gt;"",DY395/DS395-1,"-")</f>
        <v>#REF!</v>
      </c>
      <c r="DZ396" s="263">
        <f>IF(DT395&lt;&gt;"",DZ395/DT395-1,"-")</f>
        <v>0</v>
      </c>
      <c r="EA396" s="263">
        <f>IF(DU395&lt;&gt;"",EA395/DU395-1,"-")</f>
        <v>0</v>
      </c>
      <c r="EB396" s="263" t="e">
        <f>IF(DV395&lt;&gt;"",EB395/DV395-1,"-")</f>
        <v>#REF!</v>
      </c>
      <c r="EC396" s="1104" t="e">
        <f>IF(DW395&lt;&gt;"",EC395/DW395-1,"-")</f>
        <v>#REF!</v>
      </c>
      <c r="ED396" s="263"/>
      <c r="EE396" s="263" t="e">
        <f>IF(DY395&lt;&gt;"",EE395/DY395-1,"-")</f>
        <v>#REF!</v>
      </c>
      <c r="EF396" s="263" t="e">
        <f>IF(DZ395&lt;&gt;"",EF395/DZ395-1,"-")</f>
        <v>#REF!</v>
      </c>
      <c r="EG396" s="263" t="e">
        <f>IF(EA395&lt;&gt;"",EG395/EA395-1,"-")</f>
        <v>#REF!</v>
      </c>
      <c r="EH396" s="263" t="e">
        <f>IF(EB395&lt;&gt;"",EH395/EB395-1,"-")</f>
        <v>#REF!</v>
      </c>
      <c r="EI396" s="1104" t="e">
        <f>IF(EC395&lt;&gt;"",EI395/EC395-1,"-")</f>
        <v>#REF!</v>
      </c>
      <c r="EJ396" s="263"/>
      <c r="EK396" s="263" t="e">
        <f>IF(EE395&lt;&gt;"",EK395/EE395-1,"-")</f>
        <v>#REF!</v>
      </c>
      <c r="EL396" s="263" t="e">
        <f>IF(EF395&lt;&gt;"",EL395/EF395-1,"-")</f>
        <v>#REF!</v>
      </c>
      <c r="EM396" s="263" t="e">
        <f>IF(EG395&lt;&gt;"",EM395/EG395-1,"-")</f>
        <v>#REF!</v>
      </c>
      <c r="EN396" s="263" t="e">
        <f>IF(EH395&lt;&gt;"",EN395/EH395-1,"-")</f>
        <v>#REF!</v>
      </c>
      <c r="EO396" s="1104" t="e">
        <f>IF(EI395&lt;&gt;"",EO395/EI395-1,"-")</f>
        <v>#REF!</v>
      </c>
      <c r="EP396" s="263"/>
      <c r="EQ396" s="263" t="e">
        <f>IF(EK395&lt;&gt;"",EQ395/EK395-1,"-")</f>
        <v>#REF!</v>
      </c>
      <c r="ER396" s="263" t="e">
        <f>IF(EL395&lt;&gt;"",ER395/EL395-1,"-")</f>
        <v>#REF!</v>
      </c>
      <c r="ES396" s="263" t="e">
        <f>IF(EM395&lt;&gt;"",ES395/EM395-1,"-")</f>
        <v>#REF!</v>
      </c>
      <c r="ET396" s="263" t="e">
        <f>IF(EN395&lt;&gt;"",ET395/EN395-1,"-")</f>
        <v>#REF!</v>
      </c>
      <c r="EU396" s="1104" t="e">
        <f>IF(EO395&lt;&gt;"",EU395/EO395-1,"-")</f>
        <v>#REF!</v>
      </c>
    </row>
    <row r="397" spans="1:151" ht="12.75" hidden="1" customHeight="1">
      <c r="A397" s="583" t="s">
        <v>344</v>
      </c>
      <c r="B397" s="147"/>
      <c r="C397" s="147"/>
      <c r="D397" s="147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263" t="str">
        <f>IF(AJ395&lt;&gt;"",AM395/AJ395-1,"-")</f>
        <v>-</v>
      </c>
      <c r="AN397" s="263">
        <f>IF(AM395&lt;&gt;"",AN395/AM395-1,"-")</f>
        <v>0.21329639889196672</v>
      </c>
      <c r="AO397" s="263">
        <f>IF(AN395&lt;&gt;"",AO395/AN395-1,"-")</f>
        <v>2.0547945205479534E-2</v>
      </c>
      <c r="AP397" s="263">
        <f>IF(AO395&lt;&gt;"",AP395/AO395-1,"-")</f>
        <v>0.26845637583892623</v>
      </c>
      <c r="AQ397" s="141" t="s">
        <v>6442</v>
      </c>
      <c r="AR397" s="147"/>
      <c r="AS397" s="263">
        <f>IF(AP395&lt;&gt;"",AS395/AP395-1,"-")</f>
        <v>6.7019400352733571E-2</v>
      </c>
      <c r="AT397" s="263">
        <f>IF(AS395&lt;&gt;"",AT395/AS395-1,"-")</f>
        <v>8.2644628099173501E-2</v>
      </c>
      <c r="AU397" s="263">
        <f>IF(AT395&lt;&gt;"",AU395/AT395-1,"-")</f>
        <v>1.5267175572519109E-2</v>
      </c>
      <c r="AV397" s="263">
        <f>IF(AU395&lt;&gt;"",AV395/AU395-1,"-")</f>
        <v>0.255639097744361</v>
      </c>
      <c r="AW397" s="141" t="s">
        <v>6442</v>
      </c>
      <c r="AX397" s="147"/>
      <c r="AY397" s="263">
        <f>IF(AV395&lt;&gt;"",AY395/AV395-1,"-")</f>
        <v>0.1580838323353293</v>
      </c>
      <c r="AZ397" s="263">
        <f>IF(AY395&lt;&gt;"",AZ395/AY395-1,"-")</f>
        <v>0.10754912099276104</v>
      </c>
      <c r="BA397" s="263">
        <f>IF(AZ395&lt;&gt;"",BA395/AZ395-1,"-")</f>
        <v>5.5088702147525703E-2</v>
      </c>
      <c r="BB397" s="263">
        <f>IF(BA395&lt;&gt;"",BB395/BA395-1,"-")</f>
        <v>0.24601769911504445</v>
      </c>
      <c r="BC397" s="141" t="s">
        <v>6442</v>
      </c>
      <c r="BD397" s="147"/>
      <c r="BE397" s="263">
        <f>IF(BB395&lt;&gt;"",BE395/BB395-1,"-")</f>
        <v>0.17968749999999978</v>
      </c>
      <c r="BF397" s="263">
        <f>IF(BE395&lt;&gt;"",BF395/BE395-1,"-")</f>
        <v>7.8868151715833834E-2</v>
      </c>
      <c r="BG397" s="263">
        <f>IF(BF395&lt;&gt;"",BG395/BF395-1,"-")</f>
        <v>3.2366071428571397E-2</v>
      </c>
      <c r="BH397" s="263">
        <f>IF(BG395&lt;&gt;"",BH395/BG395-1,"-")</f>
        <v>0.1535135135135135</v>
      </c>
      <c r="BI397" s="141" t="s">
        <v>6442</v>
      </c>
      <c r="BJ397" s="147"/>
      <c r="BK397" s="263">
        <f>IF(BH395&lt;&gt;"",BK395/BH395-1,"-")</f>
        <v>0.18275538894095589</v>
      </c>
      <c r="BL397" s="263">
        <f>IF(BK395&lt;&gt;"",BL395/BK395-1,"-")</f>
        <v>4.4374009508716394E-2</v>
      </c>
      <c r="BM397" s="263">
        <f>IF(BL395&lt;&gt;"",BM395/BL395-1,"-")</f>
        <v>4.3247344461304849E-2</v>
      </c>
      <c r="BN397" s="263">
        <f>IF(BM395&lt;&gt;"",BN395/BM395-1,"-")</f>
        <v>0.19272727272727264</v>
      </c>
      <c r="BO397" s="1105" t="s">
        <v>6442</v>
      </c>
      <c r="BP397" s="147"/>
      <c r="BQ397" s="263">
        <f>IF(BN395&lt;&gt;"",BQ395/BN395-1,"-")</f>
        <v>4.57317073170731E-2</v>
      </c>
      <c r="BR397" s="263">
        <f>IF(BQ395&lt;&gt;"",BR395/BQ395-1,"-")</f>
        <v>3.790087463556846E-2</v>
      </c>
      <c r="BS397" s="263">
        <f>IF(BR395&lt;&gt;"",BS395/BR395-1,"-")</f>
        <v>2.8089887640449396E-2</v>
      </c>
      <c r="BT397" s="263">
        <f>IF(BS395&lt;&gt;"",BT395/BS395-1,"-")</f>
        <v>0.18579234972677594</v>
      </c>
      <c r="BU397" s="1105" t="s">
        <v>6442</v>
      </c>
      <c r="BV397" s="147"/>
      <c r="BW397" s="263">
        <f>IF(BT395&lt;&gt;"",BW395/BT395-1,"-")</f>
        <v>9.2165898617511566E-2</v>
      </c>
      <c r="BX397" s="263">
        <f>IF(BW395&lt;&gt;"",BX395/BW395-1,"-")</f>
        <v>2.9535864978903037E-2</v>
      </c>
      <c r="BY397" s="263">
        <f>IF(BX395&lt;&gt;"",BY395/BX395-1,"-")</f>
        <v>-0.11270491803278693</v>
      </c>
      <c r="BZ397" s="263">
        <f>IF(BY395&lt;&gt;"",BZ395/BY395-1,"-")</f>
        <v>9.6997690531177794E-2</v>
      </c>
      <c r="CA397" s="1105" t="s">
        <v>6442</v>
      </c>
      <c r="CB397" s="147"/>
      <c r="CC397" s="263">
        <f>IF(BZ395&lt;&gt;"",CC395/BZ395-1,"-")</f>
        <v>-1.2631578947368438E-2</v>
      </c>
      <c r="CD397" s="263">
        <f>IF(CC395&lt;&gt;"",CD395/CC395-1,"-")</f>
        <v>-5.3304904051172719E-2</v>
      </c>
      <c r="CE397" s="263">
        <f>IF(CD395&lt;&gt;"",CE395/CD395-1,"-")</f>
        <v>-5.4054054054054057E-2</v>
      </c>
      <c r="CF397" s="263">
        <f>IF(CE395&lt;&gt;"",CF395/CE395-1,"-")</f>
        <v>0.10476190476190483</v>
      </c>
      <c r="CG397" s="1105" t="s">
        <v>6442</v>
      </c>
      <c r="CH397" s="147"/>
      <c r="CI397" s="263">
        <f>IF(CF395&lt;&gt;"",CI395/CF395-1,"-")</f>
        <v>6.0344827586206851E-2</v>
      </c>
      <c r="CJ397" s="263">
        <f>IF(CI395&lt;&gt;"",CJ395/CI395-1,"-")</f>
        <v>-3.8617886178861749E-2</v>
      </c>
      <c r="CK397" s="263">
        <f>IF(CJ395&lt;&gt;"",CK395/CJ395-1,"-")</f>
        <v>-4.8625792811839319E-2</v>
      </c>
      <c r="CL397" s="263">
        <f>IF(CK395&lt;&gt;"",CL395/CK395-1,"-")</f>
        <v>0.13111111111111118</v>
      </c>
      <c r="CM397" s="1105" t="s">
        <v>6442</v>
      </c>
      <c r="CN397" s="147"/>
      <c r="CO397" s="263">
        <f>IF(CL395&lt;&gt;"",CO395/CL395-1,"-")</f>
        <v>6.6797642436149385E-2</v>
      </c>
      <c r="CP397" s="263">
        <f>IF(CO395&lt;&gt;"",CP395/CO395-1,"-")</f>
        <v>4.2357274401473299E-2</v>
      </c>
      <c r="CQ397" s="263">
        <f>IF(CP395&lt;&gt;"",CQ395/CP395-1,"-")</f>
        <v>-2.2968197879858709E-2</v>
      </c>
      <c r="CR397" s="263">
        <f>IF(CQ395&lt;&gt;"",CR395/CQ395-1,"-")</f>
        <v>0.1446654611211573</v>
      </c>
      <c r="CS397" s="1105" t="s">
        <v>6442</v>
      </c>
      <c r="CT397" s="141"/>
      <c r="CU397" s="263">
        <f>IF(CR395&lt;&gt;"",CU395/CR395-1,"-")</f>
        <v>3.9494470774091628E-2</v>
      </c>
      <c r="CV397" s="263">
        <f>IF(CU395&lt;&gt;"",CV395/CU395-1,"-")</f>
        <v>4.407294832826758E-2</v>
      </c>
      <c r="CW397" s="263">
        <f>IF(CV395&lt;&gt;"",CW395/CV395-1,"-")</f>
        <v>-5.6768558951965087E-2</v>
      </c>
      <c r="CX397" s="263">
        <f>IF(CW395&lt;&gt;"",CX395/CW395-1,"-")</f>
        <v>0.16203703703703698</v>
      </c>
      <c r="CY397" s="1105" t="s">
        <v>6442</v>
      </c>
      <c r="CZ397" s="141"/>
      <c r="DA397" s="263">
        <f>IF(CX395&lt;&gt;"",DA395/CX395-1,"-")</f>
        <v>2.921646746347939E-2</v>
      </c>
      <c r="DB397" s="263">
        <f>IF(DA395&lt;&gt;"",DB395/DA395-1,"-")</f>
        <v>-5.0322580645161263E-2</v>
      </c>
      <c r="DC397" s="263">
        <f>IF(DB395&lt;&gt;"",DC395/DB395-1,"-")</f>
        <v>-5.0271739130434812E-2</v>
      </c>
      <c r="DD397" s="263">
        <f>IF(DC395&lt;&gt;"",DD395/DC395-1,"-")</f>
        <v>0.12875536480686689</v>
      </c>
      <c r="DE397" s="1105" t="s">
        <v>6442</v>
      </c>
      <c r="DF397" s="141"/>
      <c r="DG397" s="263">
        <f>IF(DD395&lt;&gt;"",DG395/DD395-1,"-")</f>
        <v>7.4778200253485361E-2</v>
      </c>
      <c r="DH397" s="263">
        <f>IF(DG395&lt;&gt;"",DH395/DG395-1,"-")</f>
        <v>-1.0613207547169767E-2</v>
      </c>
      <c r="DI397" s="263">
        <f>IF(DH395&lt;&gt;"",DI395/DH395-1,"-")</f>
        <v>0</v>
      </c>
      <c r="DJ397" s="263">
        <f>IF(DI395&lt;&gt;"",DJ395/DI395-1,"-")</f>
        <v>0.11680572109654341</v>
      </c>
      <c r="DK397" s="1105" t="s">
        <v>6442</v>
      </c>
      <c r="DL397" s="147"/>
      <c r="DM397" s="263">
        <f>IF(DJ395&lt;&gt;"",DM395/DJ395-1,"-")</f>
        <v>-7.4706510138741189E-3</v>
      </c>
      <c r="DN397" s="263">
        <f>IF(DM395&lt;&gt;"",DN395/DM395-1,"-")</f>
        <v>7.9569892473118298E-2</v>
      </c>
      <c r="DO397" s="263">
        <f>IF(DN395&lt;&gt;"",DO395/DN395-1,"-")</f>
        <v>-4.0836653386454147E-2</v>
      </c>
      <c r="DP397" s="263" t="e">
        <f>IF(DO395&lt;&gt;"",DP395/DO395-1,"-")</f>
        <v>#REF!</v>
      </c>
      <c r="DQ397" s="1105" t="s">
        <v>6442</v>
      </c>
      <c r="DR397" s="141"/>
      <c r="DS397" s="263" t="e">
        <f>IF(DP395&lt;&gt;"",DS395/DP395-1,"-")</f>
        <v>#REF!</v>
      </c>
      <c r="DT397" s="263">
        <f>IF(DS395&lt;&gt;"",DT395/DS395-1,"-")</f>
        <v>8.4946236559139798E-2</v>
      </c>
      <c r="DU397" s="263">
        <f>IF(DT395&lt;&gt;"",DU395/DT395-1,"-")</f>
        <v>3.0723488602576898E-2</v>
      </c>
      <c r="DV397" s="263" t="e">
        <f>IF(DU395&lt;&gt;"",DV395/DU395-1,"-")</f>
        <v>#REF!</v>
      </c>
      <c r="DW397" s="1105" t="s">
        <v>6442</v>
      </c>
      <c r="DX397" s="141"/>
      <c r="DY397" s="263" t="e">
        <f>IF(DV395&lt;&gt;"",DY395/DV395-1,"-")</f>
        <v>#REF!</v>
      </c>
      <c r="DZ397" s="263" t="e">
        <f>IF(DY395&lt;&gt;"",DZ395/DY395-1,"-")</f>
        <v>#REF!</v>
      </c>
      <c r="EA397" s="263">
        <f>IF(DZ395&lt;&gt;"",EA395/DZ395-1,"-")</f>
        <v>3.0723488602576898E-2</v>
      </c>
      <c r="EB397" s="263" t="e">
        <f>IF(EA395&lt;&gt;"",EB395/EA395-1,"-")</f>
        <v>#REF!</v>
      </c>
      <c r="EC397" s="1105" t="s">
        <v>6442</v>
      </c>
      <c r="ED397" s="141"/>
      <c r="EE397" s="263" t="e">
        <f>IF(EB395&lt;&gt;"",EE395/EB395-1,"-")</f>
        <v>#REF!</v>
      </c>
      <c r="EF397" s="263" t="e">
        <f>IF(EE395&lt;&gt;"",EF395/EE395-1,"-")</f>
        <v>#REF!</v>
      </c>
      <c r="EG397" s="263" t="e">
        <f>IF(EF395&lt;&gt;"",EG395/EF395-1,"-")</f>
        <v>#REF!</v>
      </c>
      <c r="EH397" s="263" t="e">
        <f>IF(EG395&lt;&gt;"",EH395/EG395-1,"-")</f>
        <v>#REF!</v>
      </c>
      <c r="EI397" s="1105" t="s">
        <v>6442</v>
      </c>
      <c r="EJ397" s="141"/>
      <c r="EK397" s="263" t="e">
        <f>IF(EH395&lt;&gt;"",EK395/EH395-1,"-")</f>
        <v>#REF!</v>
      </c>
      <c r="EL397" s="263" t="e">
        <f>IF(EK395&lt;&gt;"",EL395/EK395-1,"-")</f>
        <v>#REF!</v>
      </c>
      <c r="EM397" s="263" t="e">
        <f>IF(EL395&lt;&gt;"",EM395/EL395-1,"-")</f>
        <v>#REF!</v>
      </c>
      <c r="EN397" s="263" t="e">
        <f>IF(EM395&lt;&gt;"",EN395/EM395-1,"-")</f>
        <v>#REF!</v>
      </c>
      <c r="EO397" s="1105" t="s">
        <v>6442</v>
      </c>
      <c r="EP397" s="141"/>
      <c r="EQ397" s="263" t="e">
        <f>IF(EN395&lt;&gt;"",EQ395/EN395-1,"-")</f>
        <v>#REF!</v>
      </c>
      <c r="ER397" s="263" t="e">
        <f>IF(EQ395&lt;&gt;"",ER395/EQ395-1,"-")</f>
        <v>#REF!</v>
      </c>
      <c r="ES397" s="263" t="e">
        <f>IF(ER395&lt;&gt;"",ES395/ER395-1,"-")</f>
        <v>#REF!</v>
      </c>
      <c r="ET397" s="263" t="e">
        <f>IF(ES395&lt;&gt;"",ET395/ES395-1,"-")</f>
        <v>#REF!</v>
      </c>
      <c r="EU397" s="1105" t="s">
        <v>6442</v>
      </c>
    </row>
    <row r="398" spans="1:151" ht="12.75" hidden="1" customHeight="1">
      <c r="A398" s="583" t="s">
        <v>5613</v>
      </c>
      <c r="B398" s="147"/>
      <c r="C398" s="147"/>
      <c r="D398" s="147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263">
        <f>AM395/(AN331+AO331+AP331+AS331)</f>
        <v>0.42862401006850864</v>
      </c>
      <c r="AN398" s="263">
        <f>AN395/(AO331+AP331+AS331+AT331)</f>
        <v>0.46384546956411232</v>
      </c>
      <c r="AO398" s="263">
        <f>AO395/(AP331+AS331+AT331+AU331)</f>
        <v>0.43164633969697852</v>
      </c>
      <c r="AP398" s="263">
        <f>AP395/(AS331+AT331+AU331+AV331)</f>
        <v>0.49344681739856927</v>
      </c>
      <c r="AQ398" s="929">
        <f>AP398</f>
        <v>0.49344681739856927</v>
      </c>
      <c r="AR398" s="147"/>
      <c r="AS398" s="263">
        <f>AS395/(AT331+AU331+AV331+AY331)</f>
        <v>0.4714738819055338</v>
      </c>
      <c r="AT398" s="263">
        <f>AT395/(AU331+AV331+AY331+AZ331)</f>
        <v>0.4656949875577675</v>
      </c>
      <c r="AU398" s="263">
        <f>AU395/(AV331+AY331+AZ331+BA331)</f>
        <v>0.42658011046179695</v>
      </c>
      <c r="AV398" s="263">
        <f>AV395/(AY331+AZ331+BA331+BB331)</f>
        <v>0.48099078341013829</v>
      </c>
      <c r="AW398" s="929">
        <f>AV398</f>
        <v>0.48099078341013829</v>
      </c>
      <c r="AX398" s="147"/>
      <c r="AY398" s="263">
        <f>AY395/(AZ331+BA331+BB331+BE331)</f>
        <v>0.49336734693877554</v>
      </c>
      <c r="AZ398" s="263">
        <f>AZ395/(BA331+BB331+BE331+BF331)</f>
        <v>0.48837209302325585</v>
      </c>
      <c r="BA398" s="263">
        <f>BA395/(BB331+BE331+BF331+BG331)</f>
        <v>0.45693489688637279</v>
      </c>
      <c r="BB398" s="263">
        <f>BB395/(BE331+BF331+BG331+BH331)</f>
        <v>0.51125635439360939</v>
      </c>
      <c r="BC398" s="929">
        <f>BB398</f>
        <v>0.51125635439360939</v>
      </c>
      <c r="BD398" s="147"/>
      <c r="BE398" s="263">
        <f>BE395/(BF331+BG331+BH331+BK331)</f>
        <v>0.54945418458484951</v>
      </c>
      <c r="BF398" s="263">
        <f>BF395/(BG331+BH331+BK331+BL331)</f>
        <v>0.52321167883211672</v>
      </c>
      <c r="BG398" s="263">
        <f>BG395/(BH331+BK331+BL331+BM331)</f>
        <v>0.48658600736454499</v>
      </c>
      <c r="BH398" s="263">
        <f>BH395/(BK331+BL331+BM331+BN331)</f>
        <v>0.50342061807029959</v>
      </c>
      <c r="BI398" s="929">
        <f>BH398</f>
        <v>0.50342061807029959</v>
      </c>
      <c r="BJ398" s="147"/>
      <c r="BK398" s="263">
        <f>BK395/(BL331+BM331+BN331+BQ331)</f>
        <v>0.5454938405014047</v>
      </c>
      <c r="BL398" s="263">
        <f>BL395/(BM331+BN331+BQ331+BR331)</f>
        <v>0.53697290690568344</v>
      </c>
      <c r="BM398" s="263">
        <f>BM395/(BN331+BQ331+BR331+BS331)</f>
        <v>0.52581261950286806</v>
      </c>
      <c r="BN398" s="263">
        <f>BN395/(BQ331+BR331+BS331+BT331)</f>
        <v>0.59269967473798324</v>
      </c>
      <c r="BO398" s="1163">
        <f>BN398</f>
        <v>0.59269967473798324</v>
      </c>
      <c r="BP398" s="147"/>
      <c r="BQ398" s="263">
        <f>BQ395/(BR331+BS331+BT331+BW331)</f>
        <v>0.57685839219643453</v>
      </c>
      <c r="BR398" s="263">
        <f>BR395/(BS331+BT331+BW331+BX331)</f>
        <v>0.55425813482796205</v>
      </c>
      <c r="BS398" s="263">
        <f>BS395/(BT331+BW331+BX331+BY331)</f>
        <v>0.5336832895888014</v>
      </c>
      <c r="BT398" s="263">
        <f>BT395/(BW331+BX331+BY331+BZ331)</f>
        <v>0.60912280701754384</v>
      </c>
      <c r="BU398" s="1163">
        <f>BT398</f>
        <v>0.60912280701754384</v>
      </c>
      <c r="BV398" s="147"/>
      <c r="BW398" s="263">
        <f>BW395/(BX331+BY331+BZ331+CC331)</f>
        <v>0.65100947672023057</v>
      </c>
      <c r="BX398" s="263">
        <f>BX395/(BY331+BZ331+CC331+CD331)</f>
        <v>0.66666666666666674</v>
      </c>
      <c r="BY398" s="263">
        <f>BY395/(BZ331+CC331+CD331+CE331)</f>
        <v>0.59584422732902154</v>
      </c>
      <c r="BZ398" s="263">
        <f>BZ395/(CC331+CD331+CE331+CF331)</f>
        <v>0.64802182810368336</v>
      </c>
      <c r="CA398" s="1163">
        <f>BZ398</f>
        <v>0.64802182810368336</v>
      </c>
      <c r="CB398" s="147"/>
      <c r="CC398" s="263">
        <f>CC395/(CD331+CE331+CF331+CI331)</f>
        <v>0.62902360515021449</v>
      </c>
      <c r="CD398" s="263">
        <f>CD395/(CE331+CF331+CI331+CJ331)</f>
        <v>0.58901565401963385</v>
      </c>
      <c r="CE398" s="263">
        <f>CE395/(CF331+CI331+CJ331+CK331)</f>
        <v>0.54708870652598673</v>
      </c>
      <c r="CF398" s="263">
        <f>CF395/(CI331+CJ331+CK331+CL331)</f>
        <v>0.59510067974862135</v>
      </c>
      <c r="CG398" s="1163">
        <f>CF398</f>
        <v>0.59510067974862135</v>
      </c>
      <c r="CH398" s="147"/>
      <c r="CI398" s="263">
        <f>CI395/(CJ331+CK331+CL331+CO331)</f>
        <v>0.62262718299164765</v>
      </c>
      <c r="CJ398" s="263">
        <f>CJ395/(CK331+CL331+CO331+CP331)</f>
        <v>0.58294306137540064</v>
      </c>
      <c r="CK398" s="263">
        <f>CK395/(CL331+CO331+CP331+CQ331)</f>
        <v>0.53963304952632207</v>
      </c>
      <c r="CL398" s="263">
        <f>CL395/(CO331+CP331+CQ331+CR331)</f>
        <v>0.59324009324009319</v>
      </c>
      <c r="CM398" s="1163">
        <f>CL398</f>
        <v>0.59324009324009319</v>
      </c>
      <c r="CN398" s="147"/>
      <c r="CO398" s="263">
        <f>CO395/(CP331+CQ331+CR331+CU331)</f>
        <v>0.61286681715575619</v>
      </c>
      <c r="CP398" s="263">
        <f>CP395/(CQ331+CR331+CU331+CV331)</f>
        <v>0.62355403767764672</v>
      </c>
      <c r="CQ398" s="263">
        <f>CQ395/(CR331+CU331+CV331+CW331)</f>
        <v>0.59558427571351646</v>
      </c>
      <c r="CR398" s="263">
        <f>CR395/(CU331+CV331+CW331+CX331)</f>
        <v>0.66751028155646952</v>
      </c>
      <c r="CS398" s="1163"/>
      <c r="CT398" s="929"/>
      <c r="CU398" s="263">
        <f>CU395/(CV331+CW331+CX331+DA331)</f>
        <v>0.6840627923900614</v>
      </c>
      <c r="CV398" s="263">
        <f>CV395/(CW331+CX331+DA331+DB331)</f>
        <v>0.7043264301824893</v>
      </c>
      <c r="CW398" s="263">
        <f>CW395/(CX331+DA331+DB331+DC331)</f>
        <v>0.65119083509195064</v>
      </c>
      <c r="CX398" s="263">
        <f>CX395/(DA331+DB331+DC331+DD331)</f>
        <v>0.73895976447497558</v>
      </c>
      <c r="CY398" s="1163"/>
      <c r="CZ398" s="929"/>
      <c r="DA398" s="263">
        <f>DA395/(DB331+DC331+DD331+DG331)</f>
        <v>0.73922167111789405</v>
      </c>
      <c r="DB398" s="263">
        <f>DB395/(DC331+DD331+DG331+DH331)</f>
        <v>0.67734216823117988</v>
      </c>
      <c r="DC398" s="263">
        <f>DC395/(DD331+DG331+DH331+DI331)</f>
        <v>0.62056107954545447</v>
      </c>
      <c r="DD398" s="263">
        <f>DD395/(DG331+DH331+DI331+DJ331)</f>
        <v>0.6738981892722925</v>
      </c>
      <c r="DE398" s="1163"/>
      <c r="DF398" s="929"/>
      <c r="DG398" s="263">
        <f>DG395/(DH331+DI331+DJ331+DM331)</f>
        <v>0.69834472535617231</v>
      </c>
      <c r="DH398" s="263">
        <f>DH395/(DI331+DJ331+DM331+DN331)</f>
        <v>0.67303064334991181</v>
      </c>
      <c r="DI398" s="263">
        <f>DI395/(DJ331+DK331+DN331+DO331)</f>
        <v>0.39594148183105238</v>
      </c>
      <c r="DJ398" s="263">
        <f>DJ395/(DM331+DN331+DO331+DP331)</f>
        <v>0.73363607892264338</v>
      </c>
      <c r="DK398" s="1163"/>
      <c r="DL398" s="147"/>
      <c r="DM398" s="263">
        <f>DM395/(DN331+DO331+DP331+DS331)</f>
        <v>0.72463768115942029</v>
      </c>
      <c r="DN398" s="263">
        <f>DN395/(DO331+DP331+DS331+DT331)</f>
        <v>0.78047263681592038</v>
      </c>
      <c r="DO398" s="263">
        <f>DO395/(DP331+DS331+DT331+DU331)</f>
        <v>0.74825174825174823</v>
      </c>
      <c r="DP398" s="263" t="e">
        <f>DP395/(DS331+DT331+DU331+DV331)</f>
        <v>#REF!</v>
      </c>
      <c r="DQ398" s="1163"/>
      <c r="DR398" s="929"/>
      <c r="DS398" s="263">
        <f>DS395/(DT331+DU331+DV331+DY331)</f>
        <v>0.96473029045643155</v>
      </c>
      <c r="DT398" s="263">
        <f>DT395/(DU331+DV331+DY331+DZ331)</f>
        <v>1.571651090342679</v>
      </c>
      <c r="DU398" s="263">
        <f>DU395/(DV331+DY331+DZ331+EA331)</f>
        <v>3.2248062015503876</v>
      </c>
      <c r="DV398" s="263" t="e">
        <f>DV395/(DY331+DZ331+EA331+EB331)</f>
        <v>#REF!</v>
      </c>
      <c r="DW398" s="1163"/>
      <c r="DX398" s="929"/>
      <c r="DY398" s="263" t="e">
        <f>DY395/(DZ331+EA331+EB331+EE331)</f>
        <v>#REF!</v>
      </c>
      <c r="DZ398" s="263" t="e">
        <f>DZ395/(EA331+EB331+EE331+EF331)</f>
        <v>#DIV/0!</v>
      </c>
      <c r="EA398" s="263" t="e">
        <f>EA395/(EB331+EE331+EF331+EG331)</f>
        <v>#DIV/0!</v>
      </c>
      <c r="EB398" s="263" t="e">
        <f>EB395/(EE331+EF331+EG331+EH331)</f>
        <v>#REF!</v>
      </c>
      <c r="EC398" s="1163"/>
      <c r="ED398" s="929"/>
      <c r="EE398" s="263"/>
      <c r="EF398" s="263"/>
      <c r="EG398" s="263"/>
      <c r="EH398" s="263"/>
      <c r="EI398" s="1163"/>
      <c r="EJ398" s="929"/>
      <c r="EK398" s="263"/>
      <c r="EL398" s="263"/>
      <c r="EM398" s="263"/>
      <c r="EN398" s="263"/>
      <c r="EO398" s="1163"/>
      <c r="EP398" s="929"/>
      <c r="EQ398" s="263"/>
      <c r="ER398" s="263"/>
      <c r="ES398" s="263"/>
      <c r="ET398" s="263"/>
      <c r="EU398" s="1163"/>
    </row>
    <row r="399" spans="1:151" ht="12" hidden="1" customHeight="1" outlineLevel="1">
      <c r="A399" s="1345" t="s">
        <v>6856</v>
      </c>
      <c r="B399" s="293"/>
      <c r="C399" s="293"/>
      <c r="D399" s="293"/>
      <c r="E399" s="293"/>
      <c r="F399" s="293"/>
      <c r="G399" s="293"/>
      <c r="H399" s="293"/>
      <c r="I399" s="293"/>
      <c r="J399" s="293"/>
      <c r="K399" s="293"/>
      <c r="L399" s="293"/>
      <c r="M399" s="293"/>
      <c r="N399" s="293"/>
      <c r="O399" s="293"/>
      <c r="P399" s="293"/>
      <c r="Q399" s="293"/>
      <c r="R399" s="293"/>
      <c r="S399" s="293"/>
      <c r="T399" s="293"/>
      <c r="U399" s="293"/>
      <c r="V399" s="293"/>
      <c r="W399" s="293"/>
      <c r="X399" s="293"/>
      <c r="Y399" s="293"/>
      <c r="Z399" s="293"/>
      <c r="AA399" s="293"/>
      <c r="AB399" s="293"/>
      <c r="AC399" s="293"/>
      <c r="AD399" s="293"/>
      <c r="AE399" s="293"/>
      <c r="AF399" s="293"/>
      <c r="AG399" s="293"/>
      <c r="AH399" s="293"/>
      <c r="AI399" s="293"/>
      <c r="AJ399" s="293"/>
      <c r="AK399" s="293"/>
      <c r="AL399" s="502"/>
      <c r="AM399" s="502">
        <f>AM395</f>
        <v>36.1</v>
      </c>
      <c r="AN399" s="502">
        <f>AN395</f>
        <v>43.8</v>
      </c>
      <c r="AO399" s="502">
        <f>AO395</f>
        <v>44.7</v>
      </c>
      <c r="AP399" s="502">
        <f>AP395</f>
        <v>56.7</v>
      </c>
      <c r="AQ399" s="502">
        <f>AQ395</f>
        <v>56.7</v>
      </c>
      <c r="AR399" s="293"/>
      <c r="AS399" s="502">
        <f>AS395</f>
        <v>60.5</v>
      </c>
      <c r="AT399" s="502">
        <f>AT395</f>
        <v>65.5</v>
      </c>
      <c r="AU399" s="502">
        <f>AU395</f>
        <v>66.5</v>
      </c>
      <c r="AV399" s="502">
        <f>AV395</f>
        <v>83.5</v>
      </c>
      <c r="AW399" s="502">
        <f>AW395</f>
        <v>276</v>
      </c>
      <c r="AX399" s="293"/>
      <c r="AY399" s="502">
        <f>AY395</f>
        <v>96.7</v>
      </c>
      <c r="AZ399" s="502">
        <f>AZ395</f>
        <v>107.1</v>
      </c>
      <c r="BA399" s="502">
        <f>BA395</f>
        <v>113</v>
      </c>
      <c r="BB399" s="502">
        <f>BC399</f>
        <v>125.30000000000001</v>
      </c>
      <c r="BC399" s="502">
        <f>BC395-BC404</f>
        <v>125.30000000000001</v>
      </c>
      <c r="BD399" s="502"/>
      <c r="BE399" s="502">
        <f>BE395-BE404</f>
        <v>146.1</v>
      </c>
      <c r="BF399" s="502">
        <f>BF395-BF404</f>
        <v>154</v>
      </c>
      <c r="BG399" s="502">
        <f>BG395-BG404</f>
        <v>152.5</v>
      </c>
      <c r="BH399" s="502">
        <f>BH395-BH404</f>
        <v>177.60000000000002</v>
      </c>
      <c r="BI399" s="502">
        <f>BI395-BI404</f>
        <v>177.60000000000002</v>
      </c>
      <c r="BJ399" s="502"/>
      <c r="BK399" s="502">
        <f>BK395-BK404</f>
        <v>211.2</v>
      </c>
      <c r="BL399" s="502">
        <f>BL395-BL404</f>
        <v>215.60000000000002</v>
      </c>
      <c r="BM399" s="502">
        <f>BM395-BM404</f>
        <v>226</v>
      </c>
      <c r="BN399" s="502">
        <f>BN395-BN404</f>
        <v>271</v>
      </c>
      <c r="BO399" s="1112">
        <f>BO395-BO404</f>
        <v>260.60000000000002</v>
      </c>
      <c r="BP399" s="502"/>
      <c r="BQ399" s="502">
        <f>BQ395-BQ404</f>
        <v>270.8</v>
      </c>
      <c r="BR399" s="502">
        <f>BR395-BR404</f>
        <v>279.60000000000002</v>
      </c>
      <c r="BS399" s="502">
        <f>BS395-BS404</f>
        <v>286</v>
      </c>
      <c r="BT399" s="502">
        <f>BT395-BT404</f>
        <v>328.6</v>
      </c>
      <c r="BU399" s="1112">
        <f>BU395-BU404</f>
        <v>328.6</v>
      </c>
      <c r="BV399" s="502"/>
      <c r="BW399" s="502">
        <f>BW395-BW404</f>
        <v>355.6</v>
      </c>
      <c r="BX399" s="502">
        <f>BX395-BX404</f>
        <v>366.1</v>
      </c>
      <c r="BY399" s="502">
        <f>BY395-BY404</f>
        <v>321.10000000000002</v>
      </c>
      <c r="BZ399" s="502">
        <f>BZ395-BZ404</f>
        <v>361.7</v>
      </c>
      <c r="CA399" s="1112" t="e">
        <f>CA395-CA404</f>
        <v>#REF!</v>
      </c>
      <c r="CB399" s="293"/>
      <c r="CC399" s="502">
        <f>CC395-CC404</f>
        <v>388.1</v>
      </c>
      <c r="CD399" s="502">
        <f>CD395-CD404</f>
        <v>366.5</v>
      </c>
      <c r="CE399" s="502">
        <f>CE395-CE404</f>
        <v>351.7</v>
      </c>
      <c r="CF399" s="502">
        <f>CF395-CF404</f>
        <v>392.1</v>
      </c>
      <c r="CG399" s="1431"/>
      <c r="CH399" s="293"/>
      <c r="CI399" s="502">
        <f>CI395-CI404</f>
        <v>418.9</v>
      </c>
      <c r="CJ399" s="502">
        <f>CJ395-CJ404</f>
        <v>401.1</v>
      </c>
      <c r="CK399" s="502">
        <f>CK395-CK404</f>
        <v>372.9</v>
      </c>
      <c r="CL399" s="502">
        <f>CL395-CL404</f>
        <v>417.3</v>
      </c>
      <c r="CM399" s="1431"/>
      <c r="CN399" s="293"/>
      <c r="CO399" s="502">
        <f>CO395-CO404</f>
        <v>439.5</v>
      </c>
      <c r="CP399" s="502">
        <f>CP395-CP404</f>
        <v>448.9</v>
      </c>
      <c r="CQ399" s="502">
        <f>CQ395-CQ404</f>
        <v>433</v>
      </c>
      <c r="CR399" s="502">
        <f>CR395-CR404</f>
        <v>496.1</v>
      </c>
      <c r="CS399" s="1431"/>
      <c r="CT399" s="293"/>
      <c r="CU399" s="502">
        <f>CU395-CU404</f>
        <v>515.79999999999995</v>
      </c>
      <c r="CV399" s="502">
        <f>CV395-CV404</f>
        <v>525.9</v>
      </c>
      <c r="CW399" s="502">
        <f>CW395-CW404</f>
        <v>492.4</v>
      </c>
      <c r="CX399" s="502">
        <f>CX395-CX404</f>
        <v>565.4</v>
      </c>
      <c r="CY399" s="1431"/>
      <c r="CZ399" s="293"/>
      <c r="DA399" s="502">
        <f>DA395-DA404</f>
        <v>587.29999999999995</v>
      </c>
      <c r="DB399" s="502">
        <f>DB395-DB404</f>
        <v>567.4</v>
      </c>
      <c r="DC399" s="502">
        <f>DC395-DC404</f>
        <v>544.1</v>
      </c>
      <c r="DD399" s="502">
        <f>DD395-DD404</f>
        <v>584.6</v>
      </c>
      <c r="DE399" s="1431"/>
      <c r="DF399" s="293"/>
      <c r="DG399" s="502">
        <f>DG395-DG404</f>
        <v>634.20000000000005</v>
      </c>
      <c r="DH399" s="502">
        <f>DH395-DH404</f>
        <v>621.20000000000005</v>
      </c>
      <c r="DI399" s="502">
        <f>DI395-DI404</f>
        <v>607.9</v>
      </c>
      <c r="DJ399" s="502">
        <f>DJ395-DJ404</f>
        <v>680.7</v>
      </c>
      <c r="DK399" s="1431"/>
      <c r="DL399" s="293"/>
      <c r="DM399" s="502">
        <f>DM395-DM404</f>
        <v>669.7</v>
      </c>
      <c r="DN399" s="502">
        <f>DN395-DN404</f>
        <v>649.29999999999995</v>
      </c>
      <c r="DO399" s="502">
        <f>DO395-DO404</f>
        <v>627.70000000000005</v>
      </c>
      <c r="DP399" s="502" t="e">
        <f>DP395-DP404</f>
        <v>#REF!</v>
      </c>
      <c r="DQ399" s="1431"/>
      <c r="DR399" s="293"/>
      <c r="DS399" s="293"/>
      <c r="DT399" s="293"/>
      <c r="DU399" s="293"/>
      <c r="DV399" s="293"/>
      <c r="DW399" s="1431"/>
      <c r="DX399" s="293"/>
      <c r="DY399" s="293"/>
      <c r="DZ399" s="293"/>
      <c r="EA399" s="293"/>
      <c r="EB399" s="293"/>
      <c r="EC399" s="1431"/>
      <c r="ED399" s="293"/>
      <c r="EE399" s="293"/>
      <c r="EF399" s="293"/>
      <c r="EG399" s="293"/>
      <c r="EH399" s="293"/>
      <c r="EI399" s="1431"/>
      <c r="EJ399" s="293"/>
      <c r="EK399" s="293"/>
      <c r="EL399" s="293"/>
      <c r="EM399" s="293"/>
      <c r="EN399" s="293"/>
      <c r="EO399" s="1431"/>
      <c r="EP399" s="293"/>
      <c r="EQ399" s="293"/>
      <c r="ER399" s="293"/>
      <c r="ES399" s="293"/>
      <c r="ET399" s="293"/>
      <c r="EU399" s="1431"/>
    </row>
    <row r="400" spans="1:151" ht="12" hidden="1" customHeight="1" outlineLevel="1">
      <c r="A400" s="866" t="s">
        <v>345</v>
      </c>
      <c r="B400" s="782"/>
      <c r="C400" s="782"/>
      <c r="D400" s="782"/>
      <c r="E400" s="782"/>
      <c r="F400" s="782"/>
      <c r="G400" s="782"/>
      <c r="H400" s="782"/>
      <c r="I400" s="782"/>
      <c r="J400" s="782"/>
      <c r="K400" s="782"/>
      <c r="L400" s="782"/>
      <c r="M400" s="782"/>
      <c r="N400" s="782"/>
      <c r="O400" s="782"/>
      <c r="P400" s="782"/>
      <c r="Q400" s="782"/>
      <c r="R400" s="782"/>
      <c r="S400" s="782"/>
      <c r="T400" s="782"/>
      <c r="U400" s="782"/>
      <c r="V400" s="782"/>
      <c r="W400" s="782"/>
      <c r="X400" s="782"/>
      <c r="Y400" s="782"/>
      <c r="Z400" s="782"/>
      <c r="AA400" s="782"/>
      <c r="AB400" s="782"/>
      <c r="AC400" s="782"/>
      <c r="AD400" s="782"/>
      <c r="AE400" s="782"/>
      <c r="AF400" s="782"/>
      <c r="AG400" s="782"/>
      <c r="AH400" s="782"/>
      <c r="AI400" s="782"/>
      <c r="AJ400" s="782"/>
      <c r="AK400" s="782"/>
      <c r="AL400" s="782"/>
      <c r="AM400" s="782"/>
      <c r="AN400" s="782"/>
      <c r="AO400" s="782"/>
      <c r="AP400" s="782"/>
      <c r="AQ400" s="782"/>
      <c r="AR400" s="782"/>
      <c r="AS400" s="782"/>
      <c r="AT400" s="782"/>
      <c r="AU400" s="782"/>
      <c r="AV400" s="782"/>
      <c r="AW400" s="782"/>
      <c r="AX400" s="782"/>
      <c r="AY400" s="783"/>
      <c r="AZ400" s="783"/>
      <c r="BA400" s="783"/>
      <c r="BB400" s="508">
        <f>IF(AV399&lt;&gt;"",BB399/AV399-1,"-")</f>
        <v>0.50059880239520971</v>
      </c>
      <c r="BC400" s="508">
        <f>IF(AW399&lt;&gt;0,BC399/AW399-1,"-")</f>
        <v>-0.54601449275362313</v>
      </c>
      <c r="BD400" s="782"/>
      <c r="BE400" s="508">
        <f>IF(AY399&lt;&gt;"",BE399/AY399-1,"-")</f>
        <v>0.5108583247156151</v>
      </c>
      <c r="BF400" s="783"/>
      <c r="BG400" s="783"/>
      <c r="BH400" s="783"/>
      <c r="BI400" s="508">
        <f>IF(BC399&lt;&gt;0,BI399/BC399-1,"-")</f>
        <v>0.41739824421388683</v>
      </c>
      <c r="BJ400" s="782"/>
      <c r="BK400" s="508">
        <f>IF(BE399&lt;&gt;"",BK399/BE399-1,"-")</f>
        <v>0.44558521560574937</v>
      </c>
      <c r="BL400" s="508">
        <f>IF(BF399&lt;&gt;"",BL399/BF399-1,"-")</f>
        <v>0.40000000000000013</v>
      </c>
      <c r="BM400" s="508">
        <f>IF(BG399&lt;&gt;"",BM399/BG399-1,"-")</f>
        <v>0.4819672131147541</v>
      </c>
      <c r="BN400" s="508">
        <f>IF(BH399&lt;&gt;"",BN399/BH399-1,"-")</f>
        <v>0.5259009009009008</v>
      </c>
      <c r="BO400" s="1109">
        <f>IF(BI399&lt;&gt;0,BO399/BI399-1,"-")</f>
        <v>0.46734234234234218</v>
      </c>
      <c r="BP400" s="782"/>
      <c r="BQ400" s="508">
        <f>IF(BK399&lt;&gt;"",BQ399/BK399-1,"-")</f>
        <v>0.28219696969696972</v>
      </c>
      <c r="BR400" s="508">
        <f>IF(BL399&lt;&gt;"",BR399/BL399-1,"-")</f>
        <v>0.29684601113172548</v>
      </c>
      <c r="BS400" s="508">
        <f>IF(BM399&lt;&gt;"",BS399/BM399-1,"-")</f>
        <v>0.26548672566371678</v>
      </c>
      <c r="BT400" s="508">
        <f>IF(BN399&lt;&gt;"",BT399/BN399-1,"-")</f>
        <v>0.21254612546125462</v>
      </c>
      <c r="BU400" s="1109">
        <f>IF(BO399&lt;&gt;0,BU399/BO399-1,"-")</f>
        <v>0.2609363008442056</v>
      </c>
      <c r="BV400" s="782"/>
      <c r="BW400" s="508">
        <f>IF(BQ399&lt;&gt;"",BW399/BQ399-1,"-")</f>
        <v>0.31314623338257008</v>
      </c>
      <c r="BX400" s="508">
        <f>IF(BR399&lt;&gt;"",BX399/BR399-1,"-")</f>
        <v>0.30937052932761078</v>
      </c>
      <c r="BY400" s="508">
        <f>IF(BS399&lt;&gt;"",BY399/BS399-1,"-")</f>
        <v>0.1227272727272728</v>
      </c>
      <c r="BZ400" s="508">
        <f>IF(BT399&lt;&gt;"",BZ399/BT399-1,"-")</f>
        <v>0.10073037127206308</v>
      </c>
      <c r="CA400" s="1109" t="e">
        <f>IF(BU399&lt;&gt;0,CA399/BU399-1,"-")</f>
        <v>#REF!</v>
      </c>
      <c r="CB400" s="782"/>
      <c r="CC400" s="508">
        <f>IF(BW399&lt;&gt;"",CC399/BW399-1,"-")</f>
        <v>9.1394825646794242E-2</v>
      </c>
      <c r="CD400" s="508">
        <f>IF(BX399&lt;&gt;"",CD399/BX399-1,"-")</f>
        <v>1.0925976509150725E-3</v>
      </c>
      <c r="CE400" s="508">
        <f>IF(BY399&lt;&gt;"",CE399/BY399-1,"-")</f>
        <v>9.5297415135471741E-2</v>
      </c>
      <c r="CF400" s="508">
        <f>IF(BZ399&lt;&gt;"",CF399/BZ399-1,"-")</f>
        <v>8.4047553220901294E-2</v>
      </c>
      <c r="CG400" s="1177"/>
      <c r="CH400" s="782"/>
      <c r="CI400" s="508">
        <f>IF(CC399&lt;&gt;"",CI399/CC399-1,"-")</f>
        <v>7.9360989435712348E-2</v>
      </c>
      <c r="CJ400" s="508">
        <f>IF(CD399&lt;&gt;"",CJ399/CD399-1,"-")</f>
        <v>9.4406548431105186E-2</v>
      </c>
      <c r="CK400" s="508">
        <f>IF(CE399&lt;&gt;"",CK399/CE399-1,"-")</f>
        <v>6.0278646573784345E-2</v>
      </c>
      <c r="CL400" s="508">
        <f>IF(CF399&lt;&gt;"",CL399/CF399-1,"-")</f>
        <v>6.426931905126243E-2</v>
      </c>
      <c r="CM400" s="1177"/>
      <c r="CN400" s="782"/>
      <c r="CO400" s="508">
        <f>IF(CI399&lt;&gt;"",CO399/CI399-1,"-")</f>
        <v>4.9176414418715675E-2</v>
      </c>
      <c r="CP400" s="508">
        <f>IF(CJ399&lt;&gt;"",CP399/CJ399-1,"-")</f>
        <v>0.11917227624033888</v>
      </c>
      <c r="CQ400" s="508">
        <f>IF(CK399&lt;&gt;"",CQ399/CK399-1,"-")</f>
        <v>0.1611692142665595</v>
      </c>
      <c r="CR400" s="508">
        <f>IF(CL399&lt;&gt;"",CR399/CL399-1,"-")</f>
        <v>0.18883297387970277</v>
      </c>
      <c r="CS400" s="1177"/>
      <c r="CT400" s="782"/>
      <c r="CU400" s="508">
        <f>IF(CO399&lt;&gt;"",CU399/CO399-1,"-")</f>
        <v>0.1736063708759954</v>
      </c>
      <c r="CV400" s="508">
        <f>IF(CP399&lt;&gt;"",CV399/CP399-1,"-")</f>
        <v>0.17153040766317673</v>
      </c>
      <c r="CW400" s="508">
        <f>IF(CQ399&lt;&gt;"",CW399/CQ399-1,"-")</f>
        <v>0.13718244803695145</v>
      </c>
      <c r="CX400" s="508">
        <f>IF(CR399&lt;&gt;"",CX399/CR399-1,"-")</f>
        <v>0.13968957871396892</v>
      </c>
      <c r="CY400" s="1177"/>
      <c r="CZ400" s="782"/>
      <c r="DA400" s="508">
        <f>IF(CU399&lt;&gt;"",DA399/CU399-1,"-")</f>
        <v>0.13861962000775496</v>
      </c>
      <c r="DB400" s="508">
        <f>IF(CV399&lt;&gt;"",DB399/CV399-1,"-")</f>
        <v>7.8912340749191845E-2</v>
      </c>
      <c r="DC400" s="508">
        <f>IF(CW399&lt;&gt;"",DC399/CW399-1,"-")</f>
        <v>0.10499593826157616</v>
      </c>
      <c r="DD400" s="508">
        <f>IF(CX399&lt;&gt;"",DD399/CX399-1,"-")</f>
        <v>3.3958259639193633E-2</v>
      </c>
      <c r="DE400" s="1177"/>
      <c r="DF400" s="782"/>
      <c r="DG400" s="508">
        <f>IF(DA399&lt;&gt;"",DG399/DA399-1,"-")</f>
        <v>7.9856972586412667E-2</v>
      </c>
      <c r="DH400" s="508">
        <f>IF(DB399&lt;&gt;"",DH399/DB399-1,"-")</f>
        <v>9.4818470215015882E-2</v>
      </c>
      <c r="DI400" s="508">
        <f>IF(DC399&lt;&gt;"",DI399/DC399-1,"-")</f>
        <v>0.11725785701157876</v>
      </c>
      <c r="DJ400" s="508">
        <f>IF(DD399&lt;&gt;"",DJ399/DD399-1,"-")</f>
        <v>0.16438590489223404</v>
      </c>
      <c r="DK400" s="1177"/>
      <c r="DL400" s="782"/>
      <c r="DM400" s="508">
        <f>IF(DG399&lt;&gt;"",DM399/DG399-1,"-")</f>
        <v>5.597603279722474E-2</v>
      </c>
      <c r="DN400" s="508">
        <f>IF(DH399&lt;&gt;"",DN399/DH399-1,"-")</f>
        <v>4.5235028976174929E-2</v>
      </c>
      <c r="DO400" s="508">
        <f>IF(DI399&lt;&gt;"",DO399/DI399-1,"-")</f>
        <v>3.2571146570159693E-2</v>
      </c>
      <c r="DP400" s="508" t="e">
        <f>IF(DJ399&lt;&gt;"",DP399/DJ399-1,"-")</f>
        <v>#REF!</v>
      </c>
      <c r="DQ400" s="1177"/>
      <c r="DR400" s="782"/>
      <c r="DS400" s="782"/>
      <c r="DT400" s="782"/>
      <c r="DU400" s="782"/>
      <c r="DV400" s="782"/>
      <c r="DW400" s="1177"/>
      <c r="DX400" s="782"/>
      <c r="DY400" s="782"/>
      <c r="DZ400" s="782"/>
      <c r="EA400" s="782"/>
      <c r="EB400" s="782"/>
      <c r="EC400" s="1177"/>
      <c r="ED400" s="782"/>
      <c r="EE400" s="782"/>
      <c r="EF400" s="782"/>
      <c r="EG400" s="782"/>
      <c r="EH400" s="782"/>
      <c r="EI400" s="1177"/>
      <c r="EJ400" s="782"/>
      <c r="EK400" s="782"/>
      <c r="EL400" s="782"/>
      <c r="EM400" s="782"/>
      <c r="EN400" s="782"/>
      <c r="EO400" s="1177"/>
      <c r="EP400" s="782"/>
      <c r="EQ400" s="782"/>
      <c r="ER400" s="782"/>
      <c r="ES400" s="782"/>
      <c r="ET400" s="782"/>
      <c r="EU400" s="1177"/>
    </row>
    <row r="401" spans="1:222" ht="12" hidden="1" customHeight="1" outlineLevel="1">
      <c r="A401" s="781" t="s">
        <v>344</v>
      </c>
      <c r="B401" s="782"/>
      <c r="C401" s="782"/>
      <c r="D401" s="782"/>
      <c r="E401" s="782"/>
      <c r="F401" s="782"/>
      <c r="G401" s="782"/>
      <c r="H401" s="782"/>
      <c r="I401" s="782"/>
      <c r="J401" s="782"/>
      <c r="K401" s="782"/>
      <c r="L401" s="782"/>
      <c r="M401" s="782"/>
      <c r="N401" s="782"/>
      <c r="O401" s="782"/>
      <c r="P401" s="782"/>
      <c r="Q401" s="782"/>
      <c r="R401" s="782"/>
      <c r="S401" s="782"/>
      <c r="T401" s="782"/>
      <c r="U401" s="782"/>
      <c r="V401" s="782"/>
      <c r="W401" s="782"/>
      <c r="X401" s="782"/>
      <c r="Y401" s="782"/>
      <c r="Z401" s="782"/>
      <c r="AA401" s="782"/>
      <c r="AB401" s="782"/>
      <c r="AC401" s="782"/>
      <c r="AD401" s="782"/>
      <c r="AE401" s="782"/>
      <c r="AF401" s="782"/>
      <c r="AG401" s="782"/>
      <c r="AH401" s="782"/>
      <c r="AI401" s="782"/>
      <c r="AJ401" s="782"/>
      <c r="AK401" s="782"/>
      <c r="AL401" s="782"/>
      <c r="AM401" s="782"/>
      <c r="AN401" s="782"/>
      <c r="AO401" s="782"/>
      <c r="AP401" s="782"/>
      <c r="AQ401" s="782"/>
      <c r="AR401" s="782"/>
      <c r="AS401" s="782"/>
      <c r="AT401" s="782"/>
      <c r="AU401" s="782"/>
      <c r="AV401" s="782"/>
      <c r="AW401" s="782"/>
      <c r="AX401" s="782"/>
      <c r="AY401" s="783"/>
      <c r="AZ401" s="783"/>
      <c r="BA401" s="783"/>
      <c r="BB401" s="508">
        <f>IF(AY399&lt;&gt;"",BB399/AY399-1,"-")</f>
        <v>0.29576008273009324</v>
      </c>
      <c r="BC401" s="783" t="s">
        <v>6442</v>
      </c>
      <c r="BD401" s="782"/>
      <c r="BE401" s="508">
        <f>IF(BB399&lt;&gt;"",BE399/BB399-1,"-")</f>
        <v>0.16600159616919385</v>
      </c>
      <c r="BF401" s="508">
        <f>IF(BE399&lt;&gt;"",BF399/BE399-1,"-")</f>
        <v>5.4072553045859006E-2</v>
      </c>
      <c r="BG401" s="508">
        <f>IF(BF399&lt;&gt;"",BG399/BF399-1,"-")</f>
        <v>-9.7402597402597157E-3</v>
      </c>
      <c r="BH401" s="508">
        <f>IF(BG399&lt;&gt;"",BH399/BG399-1,"-")</f>
        <v>0.16459016393442627</v>
      </c>
      <c r="BI401" s="783" t="s">
        <v>6442</v>
      </c>
      <c r="BJ401" s="782"/>
      <c r="BK401" s="508">
        <f>IF(BH399&lt;&gt;"",BK399/BH399-1,"-")</f>
        <v>0.18918918918918903</v>
      </c>
      <c r="BL401" s="508">
        <f>IF(BK399&lt;&gt;"",BL399/BK399-1,"-")</f>
        <v>2.0833333333333481E-2</v>
      </c>
      <c r="BM401" s="508">
        <f>IF(BL399&lt;&gt;"",BM399/BL399-1,"-")</f>
        <v>4.8237476808905333E-2</v>
      </c>
      <c r="BN401" s="508">
        <f>IF(BM399&lt;&gt;"",BN399/BM399-1,"-")</f>
        <v>0.19911504424778759</v>
      </c>
      <c r="BO401" s="1111" t="s">
        <v>6442</v>
      </c>
      <c r="BP401" s="782"/>
      <c r="BQ401" s="508">
        <f>IF(BN399&lt;&gt;"",BQ399/BN399-1,"-")</f>
        <v>-7.3800738007379074E-4</v>
      </c>
      <c r="BR401" s="508">
        <f>IF(BQ399&lt;&gt;"",BR399/BQ399-1,"-")</f>
        <v>3.2496307237813937E-2</v>
      </c>
      <c r="BS401" s="508">
        <f>IF(BR399&lt;&gt;"",BS399/BR399-1,"-")</f>
        <v>2.2889842632331847E-2</v>
      </c>
      <c r="BT401" s="508">
        <f>IF(BS399&lt;&gt;"",BT399/BS399-1,"-")</f>
        <v>0.14895104895104905</v>
      </c>
      <c r="BU401" s="1111" t="s">
        <v>6442</v>
      </c>
      <c r="BV401" s="782"/>
      <c r="BW401" s="508">
        <f>IF(BT399&lt;&gt;"",BW399/BT399-1,"-")</f>
        <v>8.2166768107121202E-2</v>
      </c>
      <c r="BX401" s="508">
        <f>IF(BW399&lt;&gt;"",BX399/BW399-1,"-")</f>
        <v>2.9527559055118058E-2</v>
      </c>
      <c r="BY401" s="508">
        <f>IF(BX399&lt;&gt;"",BY399/BX399-1,"-")</f>
        <v>-0.12291723572794322</v>
      </c>
      <c r="BZ401" s="508">
        <f>IF(BY399&lt;&gt;"",BZ399/BY399-1,"-")</f>
        <v>0.12644036125817482</v>
      </c>
      <c r="CA401" s="1111" t="s">
        <v>6442</v>
      </c>
      <c r="CB401" s="782"/>
      <c r="CC401" s="508">
        <f>IF(BZ399&lt;&gt;"",CC399/BZ399-1,"-")</f>
        <v>7.2988664639203948E-2</v>
      </c>
      <c r="CD401" s="508" t="e">
        <f>IF(CA399&lt;&gt;"",CD399/CA399-1,"-")</f>
        <v>#REF!</v>
      </c>
      <c r="CE401" s="508" t="str">
        <f>IF(CB399&lt;&gt;"",CE399/CB399-1,"-")</f>
        <v>-</v>
      </c>
      <c r="CF401" s="508">
        <f>IF(CC399&lt;&gt;"",CF399/CC399-1,"-")</f>
        <v>1.0306622004637944E-2</v>
      </c>
      <c r="CG401" s="1177"/>
      <c r="CH401" s="782"/>
      <c r="CI401" s="508">
        <f>IF(CF399&lt;&gt;"",CI399/CF399-1,"-")</f>
        <v>6.8349910737056652E-2</v>
      </c>
      <c r="CJ401" s="508">
        <f>IF(CI399&lt;&gt;"",CJ399/CI399-1,"-")</f>
        <v>-4.2492241585103785E-2</v>
      </c>
      <c r="CK401" s="508">
        <f>IF(CJ399&lt;&gt;"",CK399/CJ399-1,"-")</f>
        <v>-7.0306656694091307E-2</v>
      </c>
      <c r="CL401" s="508">
        <f>IF(CK399&lt;&gt;"",CL399/CK399-1,"-")</f>
        <v>0.11906677393403076</v>
      </c>
      <c r="CM401" s="1177"/>
      <c r="CN401" s="782"/>
      <c r="CO401" s="508">
        <f>IF(CL399&lt;&gt;"",CO399/CL399-1,"-")</f>
        <v>5.3199137311286782E-2</v>
      </c>
      <c r="CP401" s="508">
        <f>IF(CO399&lt;&gt;"",CP399/CO399-1,"-")</f>
        <v>2.1387940841865793E-2</v>
      </c>
      <c r="CQ401" s="508">
        <f>IF(CP399&lt;&gt;"",CQ399/CP399-1,"-")</f>
        <v>-3.5419915348629982E-2</v>
      </c>
      <c r="CR401" s="508">
        <f>IF(CQ399&lt;&gt;"",CR399/CQ399-1,"-")</f>
        <v>0.14572748267898383</v>
      </c>
      <c r="CS401" s="1177"/>
      <c r="CT401" s="782"/>
      <c r="CU401" s="508">
        <f>IF(CR399&lt;&gt;"",CU399/CR399-1,"-")</f>
        <v>3.9709735940334445E-2</v>
      </c>
      <c r="CV401" s="508">
        <f>IF(CU399&lt;&gt;"",CV399/CU399-1,"-")</f>
        <v>1.9581233036060519E-2</v>
      </c>
      <c r="CW401" s="508">
        <f>IF(CV399&lt;&gt;"",CW399/CV399-1,"-")</f>
        <v>-6.3700323255371782E-2</v>
      </c>
      <c r="CX401" s="508">
        <f>IF(CW399&lt;&gt;"",CX399/CW399-1,"-")</f>
        <v>0.14825345247766042</v>
      </c>
      <c r="CY401" s="1177"/>
      <c r="CZ401" s="782"/>
      <c r="DA401" s="508">
        <f>IF(CX399&lt;&gt;"",DA399/CX399-1,"-")</f>
        <v>3.8733639900955019E-2</v>
      </c>
      <c r="DB401" s="508" t="str">
        <f>IF(CY399&lt;&gt;"",DB399/CY399-1,"-")</f>
        <v>-</v>
      </c>
      <c r="DC401" s="508">
        <f>IF(DB399&lt;&gt;"",DC399/DB399-1,"-")</f>
        <v>-4.1064504758547726E-2</v>
      </c>
      <c r="DD401" s="508">
        <f>IF(DC399&lt;&gt;"",DD399/DC399-1,"-")</f>
        <v>7.4434846535563315E-2</v>
      </c>
      <c r="DE401" s="1177"/>
      <c r="DF401" s="782"/>
      <c r="DG401" s="508">
        <f>IF(DD399&lt;&gt;"",DG399/DD399-1,"-")</f>
        <v>8.4844338008895015E-2</v>
      </c>
      <c r="DH401" s="508" t="str">
        <f>IF(DE399&lt;&gt;"",DH399/DE399-1,"-")</f>
        <v>-</v>
      </c>
      <c r="DI401" s="508" t="str">
        <f>IF(DF399&lt;&gt;"",DI399/DF399-1,"-")</f>
        <v>-</v>
      </c>
      <c r="DJ401" s="508">
        <f>IF(DI399&lt;&gt;"",DJ399/DI399-1,"-")</f>
        <v>0.11975653890442528</v>
      </c>
      <c r="DK401" s="1177"/>
      <c r="DL401" s="782"/>
      <c r="DM401" s="508">
        <f>IF(DJ399&lt;&gt;"",DM399/DJ399-1,"-")</f>
        <v>-1.6159835463493422E-2</v>
      </c>
      <c r="DN401" s="508" t="str">
        <f>IF(DK399&lt;&gt;"",DN399/DK399-1,"-")</f>
        <v>-</v>
      </c>
      <c r="DO401" s="508" t="str">
        <f>IF(DL399&lt;&gt;"",DO399/DL399-1,"-")</f>
        <v>-</v>
      </c>
      <c r="DP401" s="508" t="e">
        <f>IF(DM399&lt;&gt;"",DP399/DM399-1,"-")</f>
        <v>#REF!</v>
      </c>
      <c r="DQ401" s="1177"/>
      <c r="DR401" s="782"/>
      <c r="DS401" s="782"/>
      <c r="DT401" s="782"/>
      <c r="DU401" s="782"/>
      <c r="DV401" s="782"/>
      <c r="DW401" s="1177"/>
      <c r="DX401" s="782"/>
      <c r="DY401" s="782"/>
      <c r="DZ401" s="782"/>
      <c r="EA401" s="782"/>
      <c r="EB401" s="782"/>
      <c r="EC401" s="1177"/>
      <c r="ED401" s="782"/>
      <c r="EE401" s="782"/>
      <c r="EF401" s="782"/>
      <c r="EG401" s="782"/>
      <c r="EH401" s="782"/>
      <c r="EI401" s="1177"/>
      <c r="EJ401" s="782"/>
      <c r="EK401" s="782"/>
      <c r="EL401" s="782"/>
      <c r="EM401" s="782"/>
      <c r="EN401" s="782"/>
      <c r="EO401" s="1177"/>
      <c r="EP401" s="782"/>
      <c r="EQ401" s="782"/>
      <c r="ER401" s="782"/>
      <c r="ES401" s="782"/>
      <c r="ET401" s="782"/>
      <c r="EU401" s="1177"/>
    </row>
    <row r="402" spans="1:222" ht="12" hidden="1" customHeight="1" outlineLevel="1">
      <c r="A402" s="781" t="s">
        <v>5614</v>
      </c>
      <c r="B402" s="782"/>
      <c r="C402" s="782"/>
      <c r="D402" s="782"/>
      <c r="E402" s="782"/>
      <c r="F402" s="782"/>
      <c r="G402" s="782"/>
      <c r="H402" s="782"/>
      <c r="I402" s="782"/>
      <c r="J402" s="782"/>
      <c r="K402" s="782"/>
      <c r="L402" s="782"/>
      <c r="M402" s="782"/>
      <c r="N402" s="782"/>
      <c r="O402" s="782"/>
      <c r="P402" s="782"/>
      <c r="Q402" s="782"/>
      <c r="R402" s="782"/>
      <c r="S402" s="782"/>
      <c r="T402" s="782"/>
      <c r="U402" s="782"/>
      <c r="V402" s="782"/>
      <c r="W402" s="782"/>
      <c r="X402" s="782"/>
      <c r="Y402" s="782"/>
      <c r="Z402" s="782"/>
      <c r="AA402" s="782"/>
      <c r="AB402" s="782"/>
      <c r="AC402" s="782"/>
      <c r="AD402" s="782"/>
      <c r="AE402" s="782"/>
      <c r="AF402" s="782"/>
      <c r="AG402" s="782"/>
      <c r="AH402" s="782"/>
      <c r="AI402" s="782"/>
      <c r="AJ402" s="782"/>
      <c r="AK402" s="782"/>
      <c r="AL402" s="782"/>
      <c r="AM402" s="785">
        <f>AM399/(AN331+AO331+AP331+AS331)</f>
        <v>0.42862401006850864</v>
      </c>
      <c r="AN402" s="785">
        <f>AN399/(AO331+AP331+AS331+AT331)</f>
        <v>0.46384546956411232</v>
      </c>
      <c r="AO402" s="785">
        <f>AO399/(AP331+AS331+AT331+AU331)</f>
        <v>0.43164633969697852</v>
      </c>
      <c r="AP402" s="785">
        <f>AP399/(AS331+AT331+AU331+AV331)</f>
        <v>0.49344681739856927</v>
      </c>
      <c r="AQ402" s="1346">
        <f>AP402</f>
        <v>0.49344681739856927</v>
      </c>
      <c r="AR402" s="782"/>
      <c r="AS402" s="785">
        <f>AS399/(AT331+AU331+AV331+AY331)</f>
        <v>0.4714738819055338</v>
      </c>
      <c r="AT402" s="785">
        <f>AT399/(AU331+AV331+AY331+AZ331)</f>
        <v>0.4656949875577675</v>
      </c>
      <c r="AU402" s="785">
        <f>AU399/(AV331+AY331+AZ331+BA331)</f>
        <v>0.42658011046179695</v>
      </c>
      <c r="AV402" s="785">
        <f>AV399/(AY331+AZ331+BA331+BB331)</f>
        <v>0.48099078341013829</v>
      </c>
      <c r="AW402" s="1346">
        <f>AV402</f>
        <v>0.48099078341013829</v>
      </c>
      <c r="AX402" s="782"/>
      <c r="AY402" s="785">
        <f>AY399/(AZ331+BA331+BB331+BE331)</f>
        <v>0.49336734693877554</v>
      </c>
      <c r="AZ402" s="785">
        <f>AZ399/(BA331+BB331+BE331+BF331)</f>
        <v>0.48837209302325585</v>
      </c>
      <c r="BA402" s="785">
        <f>BA399/(BB331+BE331+BF331+BG331)</f>
        <v>0.45693489688637279</v>
      </c>
      <c r="BB402" s="785">
        <f>BB399/(BE331+BF331+BG331+BH331)</f>
        <v>0.45497458242556288</v>
      </c>
      <c r="BC402" s="1346">
        <f>BB402</f>
        <v>0.45497458242556288</v>
      </c>
      <c r="BD402" s="782"/>
      <c r="BE402" s="785">
        <f>BE399/(BF331+BG331+BH331+BK331)</f>
        <v>0.48329474032418135</v>
      </c>
      <c r="BF402" s="785">
        <f>BF399/(BG331+BH331+BK331+BL331)</f>
        <v>0.44963503649635034</v>
      </c>
      <c r="BG402" s="785">
        <f>BG399/(BH331+BK331+BL331+BM331)</f>
        <v>0.40110468174644925</v>
      </c>
      <c r="BH402" s="785">
        <f>BH399/(BK331+BL331+BM331+BN331)</f>
        <v>0.41896673743807511</v>
      </c>
      <c r="BI402" s="1346">
        <f>BH402</f>
        <v>0.41896673743807511</v>
      </c>
      <c r="BJ402" s="782"/>
      <c r="BK402" s="785">
        <f>BK399/(BL331+BM331+BN331+BQ331)</f>
        <v>0.45645126431813265</v>
      </c>
      <c r="BL402" s="785">
        <f>BL399/(BM331+BN331+BQ331+BR331)</f>
        <v>0.43919331839478509</v>
      </c>
      <c r="BM402" s="785">
        <f>BM399/(BN331+BQ331+BR331+BS331)</f>
        <v>0.43212237093690248</v>
      </c>
      <c r="BN402" s="785">
        <f>BN399/(BQ331+BR331+BS331+BT331)</f>
        <v>0.489700036140224</v>
      </c>
      <c r="BO402" s="1347">
        <f>BN402</f>
        <v>0.489700036140224</v>
      </c>
      <c r="BP402" s="782"/>
      <c r="BQ402" s="785">
        <f>BQ399/(BR331+BS331+BT331+BW331)</f>
        <v>0.45543222334342415</v>
      </c>
      <c r="BR402" s="785">
        <f>BR399/(BS331+BT331+BW331+BX331)</f>
        <v>0.43531060252218595</v>
      </c>
      <c r="BS402" s="785">
        <f>BS399/(BT331+BW331+BX331+BY331)</f>
        <v>0.41703120443277925</v>
      </c>
      <c r="BT402" s="785">
        <f>BT399/(BW331+BX331+BY331+BZ331)</f>
        <v>0.46119298245614038</v>
      </c>
      <c r="BU402" s="1347">
        <f>BT402</f>
        <v>0.46119298245614038</v>
      </c>
      <c r="BV402" s="782"/>
      <c r="BW402" s="785">
        <f>BW399/(BX331+BY331+BZ331+CC331)</f>
        <v>0.48839445131163295</v>
      </c>
      <c r="BX402" s="785">
        <f>BX399/(BY331+BZ331+CA331+CD331)</f>
        <v>0.29002614275528793</v>
      </c>
      <c r="BY402" s="785">
        <f>BY399/(BZ331+CA331+CB331+CE331)</f>
        <v>0.29922653993104098</v>
      </c>
      <c r="BZ402" s="785">
        <f>BZ399/(CA331+CB331+CC331+CF331)</f>
        <v>0.33465951147298301</v>
      </c>
      <c r="CA402" s="1347">
        <f>BZ402</f>
        <v>0.33465951147298301</v>
      </c>
      <c r="CB402" s="782"/>
      <c r="CC402" s="785">
        <f>CC399/(CD331+CE331+CF331+CI331)</f>
        <v>0.52052038626609431</v>
      </c>
      <c r="CD402" s="785">
        <f>CD399/(CE331+CF331+CG331+CJ331)</f>
        <v>0.2836687306501548</v>
      </c>
      <c r="CE402" s="785">
        <f>CE399/(CF331+CG331+CH331+CK331)</f>
        <v>0.31576584665110424</v>
      </c>
      <c r="CF402" s="785">
        <f>CF399/(CG331+CH331+CI331+CL331)</f>
        <v>0.34825472954969355</v>
      </c>
      <c r="CG402" s="1177"/>
      <c r="CH402" s="782"/>
      <c r="CI402" s="785">
        <f>CI399/(CJ331+CK331+CL331+CO331)</f>
        <v>0.53011895722601865</v>
      </c>
      <c r="CJ402" s="785">
        <f>CJ399/(CK331+CL331+CM331+CP331)</f>
        <v>0.28943570500793769</v>
      </c>
      <c r="CK402" s="785">
        <f>CK399/(CL331+CM331+CN331+CQ331)</f>
        <v>0.31205020920502091</v>
      </c>
      <c r="CL402" s="785">
        <f>CL399/(CM331+CN331+CO331+CR331)</f>
        <v>0.34567594433399601</v>
      </c>
      <c r="CM402" s="1177"/>
      <c r="CN402" s="782"/>
      <c r="CO402" s="785">
        <f>CO399/(CP331+CQ331+CR331+CV331)</f>
        <v>0.49509969584319025</v>
      </c>
      <c r="CP402" s="785">
        <f>CP399/(CQ331+CR331+CV331+CW331)</f>
        <v>0.49199912319158262</v>
      </c>
      <c r="CQ402" s="785">
        <f>CQ399/(CR331+CV331+CW331+CX331)</f>
        <v>0.46201451131028592</v>
      </c>
      <c r="CR402" s="785">
        <f>CR399/(CV331+CW331+CX331+CY331)</f>
        <v>0.29826249023026513</v>
      </c>
      <c r="CS402" s="1177"/>
      <c r="CT402" s="782"/>
      <c r="CU402" s="785">
        <f>CU399/(CV331+CW331+CX331+DA331)</f>
        <v>0.53623037737810575</v>
      </c>
      <c r="CV402" s="785">
        <f>CV399/(CW331+CX331+DA331+DB331)</f>
        <v>0.53916342013532903</v>
      </c>
      <c r="CW402" s="785">
        <f>CW399/(CX331+DA331+DB331+DC331)</f>
        <v>0.49482464073962418</v>
      </c>
      <c r="CX402" s="785">
        <f>CX399/(DA331+DB331+DC331+DD331)</f>
        <v>0.55485770363101083</v>
      </c>
      <c r="CY402" s="1177"/>
      <c r="CZ402" s="782"/>
      <c r="DA402" s="785">
        <f>DA399/(DB331+DC331+DD331+DG331)</f>
        <v>0.56018695154521181</v>
      </c>
      <c r="DB402" s="785">
        <f>DB399/(DC331+DD331+DG331+DH331)</f>
        <v>0.52217927480213511</v>
      </c>
      <c r="DC402" s="785">
        <f>DC399/(DD331+DG331+DH331+DI331)</f>
        <v>0.48304332386363635</v>
      </c>
      <c r="DD402" s="785">
        <f>DD399/(DG331+DH331+DI331+DJ331)</f>
        <v>0.49931670652545274</v>
      </c>
      <c r="DE402" s="1177"/>
      <c r="DF402" s="782"/>
      <c r="DG402" s="785">
        <f>DG399/(DH331+DI331+DJ331+DM331)</f>
        <v>0.52227620851519396</v>
      </c>
      <c r="DH402" s="785">
        <f>DH399/(DI331+DJ331+DM331+DN331)</f>
        <v>0.49831541793678813</v>
      </c>
      <c r="DI402" s="785">
        <f>DI399/(DJ331+DK331+DN331+DO331)</f>
        <v>0.28688060405851817</v>
      </c>
      <c r="DJ402" s="785">
        <f>DJ399/(DM331+DN331+DO331+DP331)</f>
        <v>0.53296273097400571</v>
      </c>
      <c r="DK402" s="1177"/>
      <c r="DL402" s="782"/>
      <c r="DM402" s="785">
        <f>DM399/(DN331+DO331+DP331+DS331)</f>
        <v>0.52181704846501475</v>
      </c>
      <c r="DN402" s="785">
        <f>DN399/(DO331+DP331+DQ331+DT331)</f>
        <v>0.29017697533071146</v>
      </c>
      <c r="DO402" s="785">
        <f>DO399/(DP331+DQ331+DR331+DU331)</f>
        <v>0.32757540966496196</v>
      </c>
      <c r="DP402" s="785" t="e">
        <f>DP399/(DQ331+DR331+DS331+DV331)</f>
        <v>#REF!</v>
      </c>
      <c r="DQ402" s="1177"/>
      <c r="DR402" s="782"/>
      <c r="DS402" s="782"/>
      <c r="DT402" s="782"/>
      <c r="DU402" s="782"/>
      <c r="DV402" s="782"/>
      <c r="DW402" s="1177"/>
      <c r="DX402" s="782"/>
      <c r="DY402" s="782"/>
      <c r="DZ402" s="782"/>
      <c r="EA402" s="782"/>
      <c r="EB402" s="782"/>
      <c r="EC402" s="1177"/>
      <c r="ED402" s="782"/>
      <c r="EE402" s="782"/>
      <c r="EF402" s="782"/>
      <c r="EG402" s="782"/>
      <c r="EH402" s="782"/>
      <c r="EI402" s="1177"/>
      <c r="EJ402" s="782"/>
      <c r="EK402" s="782"/>
      <c r="EL402" s="782"/>
      <c r="EM402" s="782"/>
      <c r="EN402" s="782"/>
      <c r="EO402" s="1177"/>
      <c r="EP402" s="782"/>
      <c r="EQ402" s="782"/>
      <c r="ER402" s="782"/>
      <c r="ES402" s="782"/>
      <c r="ET402" s="782"/>
      <c r="EU402" s="1177"/>
    </row>
    <row r="403" spans="1:222" ht="6" hidden="1" customHeight="1" outlineLevel="1">
      <c r="A403" s="781"/>
      <c r="B403" s="782"/>
      <c r="C403" s="782"/>
      <c r="D403" s="782"/>
      <c r="E403" s="782"/>
      <c r="F403" s="782"/>
      <c r="G403" s="782"/>
      <c r="H403" s="782"/>
      <c r="I403" s="782"/>
      <c r="J403" s="782"/>
      <c r="K403" s="782"/>
      <c r="L403" s="782"/>
      <c r="M403" s="782"/>
      <c r="N403" s="782"/>
      <c r="O403" s="782"/>
      <c r="P403" s="782"/>
      <c r="Q403" s="782"/>
      <c r="R403" s="782"/>
      <c r="S403" s="782"/>
      <c r="T403" s="782"/>
      <c r="U403" s="782"/>
      <c r="V403" s="782"/>
      <c r="W403" s="782"/>
      <c r="X403" s="782"/>
      <c r="Y403" s="782"/>
      <c r="Z403" s="782"/>
      <c r="AA403" s="782"/>
      <c r="AB403" s="782"/>
      <c r="AC403" s="782"/>
      <c r="AD403" s="782"/>
      <c r="AE403" s="782"/>
      <c r="AF403" s="782"/>
      <c r="AG403" s="782"/>
      <c r="AH403" s="782"/>
      <c r="AI403" s="782"/>
      <c r="AJ403" s="782"/>
      <c r="AK403" s="782"/>
      <c r="AL403" s="782"/>
      <c r="AM403" s="785"/>
      <c r="AN403" s="785"/>
      <c r="AO403" s="785"/>
      <c r="AP403" s="785"/>
      <c r="AQ403" s="1346"/>
      <c r="AR403" s="782"/>
      <c r="AS403" s="785"/>
      <c r="AT403" s="785"/>
      <c r="AU403" s="785"/>
      <c r="AV403" s="785"/>
      <c r="AW403" s="1346"/>
      <c r="AX403" s="782"/>
      <c r="AY403" s="785"/>
      <c r="AZ403" s="785"/>
      <c r="BA403" s="785"/>
      <c r="BB403" s="785"/>
      <c r="BC403" s="1346"/>
      <c r="BD403" s="782"/>
      <c r="BE403" s="785"/>
      <c r="BF403" s="785"/>
      <c r="BG403" s="785"/>
      <c r="BH403" s="785"/>
      <c r="BI403" s="1346"/>
      <c r="BJ403" s="782"/>
      <c r="BK403" s="785"/>
      <c r="BL403" s="785"/>
      <c r="BM403" s="785"/>
      <c r="BN403" s="785"/>
      <c r="BO403" s="1347"/>
      <c r="BP403" s="782"/>
      <c r="BQ403" s="785"/>
      <c r="BR403" s="785"/>
      <c r="BS403" s="785"/>
      <c r="BT403" s="785"/>
      <c r="BU403" s="1347"/>
      <c r="BV403" s="782"/>
      <c r="BW403" s="785"/>
      <c r="BX403" s="785"/>
      <c r="BY403" s="785"/>
      <c r="BZ403" s="785"/>
      <c r="CA403" s="1347"/>
      <c r="CB403" s="782"/>
      <c r="CC403" s="785"/>
      <c r="CD403" s="785"/>
      <c r="CE403" s="785"/>
      <c r="CF403" s="785"/>
      <c r="CG403" s="1177"/>
      <c r="CH403" s="782"/>
      <c r="CI403" s="785"/>
      <c r="CJ403" s="785"/>
      <c r="CK403" s="785"/>
      <c r="CL403" s="785"/>
      <c r="CM403" s="1177"/>
      <c r="CN403" s="782"/>
      <c r="CO403" s="785"/>
      <c r="CP403" s="785"/>
      <c r="CQ403" s="785"/>
      <c r="CR403" s="785"/>
      <c r="CS403" s="1177"/>
      <c r="CT403" s="782"/>
      <c r="CU403" s="785"/>
      <c r="CV403" s="782"/>
      <c r="CW403" s="782"/>
      <c r="CX403" s="782"/>
      <c r="CY403" s="1177"/>
      <c r="CZ403" s="782"/>
      <c r="DA403" s="785"/>
      <c r="DB403" s="785"/>
      <c r="DC403" s="782"/>
      <c r="DD403" s="782"/>
      <c r="DE403" s="1177"/>
      <c r="DF403" s="782"/>
      <c r="DG403" s="785"/>
      <c r="DH403" s="785"/>
      <c r="DI403" s="785"/>
      <c r="DJ403" s="782"/>
      <c r="DK403" s="1177"/>
      <c r="DL403" s="782"/>
      <c r="DM403" s="785"/>
      <c r="DN403" s="785"/>
      <c r="DO403" s="785"/>
      <c r="DP403" s="782"/>
      <c r="DQ403" s="1177"/>
      <c r="DR403" s="782"/>
      <c r="DS403" s="782"/>
      <c r="DT403" s="782"/>
      <c r="DU403" s="782"/>
      <c r="DV403" s="782"/>
      <c r="DW403" s="1177"/>
      <c r="DX403" s="782"/>
      <c r="DY403" s="782"/>
      <c r="DZ403" s="782"/>
      <c r="EA403" s="782"/>
      <c r="EB403" s="782"/>
      <c r="EC403" s="1177"/>
      <c r="ED403" s="782"/>
      <c r="EE403" s="782"/>
      <c r="EF403" s="782"/>
      <c r="EG403" s="782"/>
      <c r="EH403" s="782"/>
      <c r="EI403" s="1177"/>
      <c r="EJ403" s="782"/>
      <c r="EK403" s="782"/>
      <c r="EL403" s="782"/>
      <c r="EM403" s="782"/>
      <c r="EN403" s="782"/>
      <c r="EO403" s="1177"/>
      <c r="EP403" s="782"/>
      <c r="EQ403" s="782"/>
      <c r="ER403" s="782"/>
      <c r="ES403" s="782"/>
      <c r="ET403" s="782"/>
      <c r="EU403" s="1177"/>
    </row>
    <row r="404" spans="1:222" ht="12" hidden="1" customHeight="1" outlineLevel="1">
      <c r="A404" s="1345" t="s">
        <v>7168</v>
      </c>
      <c r="B404" s="293"/>
      <c r="C404" s="293"/>
      <c r="D404" s="293"/>
      <c r="E404" s="293"/>
      <c r="F404" s="293"/>
      <c r="G404" s="293"/>
      <c r="H404" s="293"/>
      <c r="I404" s="293"/>
      <c r="J404" s="293"/>
      <c r="K404" s="293"/>
      <c r="L404" s="293"/>
      <c r="M404" s="293"/>
      <c r="N404" s="293"/>
      <c r="O404" s="293"/>
      <c r="P404" s="293"/>
      <c r="Q404" s="293"/>
      <c r="R404" s="293"/>
      <c r="S404" s="293"/>
      <c r="T404" s="293"/>
      <c r="U404" s="293"/>
      <c r="V404" s="293"/>
      <c r="W404" s="293"/>
      <c r="X404" s="293"/>
      <c r="Y404" s="293"/>
      <c r="Z404" s="293"/>
      <c r="AA404" s="293"/>
      <c r="AB404" s="293"/>
      <c r="AC404" s="293"/>
      <c r="AD404" s="293"/>
      <c r="AE404" s="293"/>
      <c r="AF404" s="293"/>
      <c r="AG404" s="293"/>
      <c r="AH404" s="293"/>
      <c r="AI404" s="293"/>
      <c r="AJ404" s="293"/>
      <c r="AK404" s="293"/>
      <c r="AL404" s="293"/>
      <c r="AM404" s="502">
        <f>BS!AM37</f>
        <v>0</v>
      </c>
      <c r="AN404" s="502">
        <f>BS!AN37</f>
        <v>0</v>
      </c>
      <c r="AO404" s="502">
        <f>BS!AO37</f>
        <v>0</v>
      </c>
      <c r="AP404" s="502">
        <f>BS!AP37</f>
        <v>0</v>
      </c>
      <c r="AQ404" s="502">
        <f>BS!AQ37</f>
        <v>0</v>
      </c>
      <c r="AR404" s="293"/>
      <c r="AS404" s="502">
        <f>BS!AS37</f>
        <v>0</v>
      </c>
      <c r="AT404" s="502">
        <f>BS!AT37</f>
        <v>0</v>
      </c>
      <c r="AU404" s="502">
        <f>BS!AU37</f>
        <v>0</v>
      </c>
      <c r="AV404" s="502">
        <f>BS!AV37</f>
        <v>0</v>
      </c>
      <c r="AW404" s="502">
        <f>BS!AW37</f>
        <v>0</v>
      </c>
      <c r="AX404" s="293"/>
      <c r="AY404" s="502">
        <f>BS!AY37</f>
        <v>0</v>
      </c>
      <c r="AZ404" s="502">
        <f>BS!AZ37</f>
        <v>2.1</v>
      </c>
      <c r="BA404" s="502">
        <f>BS!BA37</f>
        <v>0</v>
      </c>
      <c r="BB404" s="502">
        <f>BS!BB37</f>
        <v>15.5</v>
      </c>
      <c r="BC404" s="502">
        <f>BS!BC37</f>
        <v>15.5</v>
      </c>
      <c r="BD404" s="502"/>
      <c r="BE404" s="502">
        <f>BS!BE37</f>
        <v>20</v>
      </c>
      <c r="BF404" s="502">
        <f>BS!BF37</f>
        <v>25.2</v>
      </c>
      <c r="BG404" s="502">
        <f>BS!BG37</f>
        <v>32.5</v>
      </c>
      <c r="BH404" s="502">
        <f>BS!BH37</f>
        <v>35.799999999999997</v>
      </c>
      <c r="BI404" s="502">
        <f>BS!BI37</f>
        <v>35.799999999999997</v>
      </c>
      <c r="BJ404" s="502"/>
      <c r="BK404" s="502">
        <f>BS!BK37</f>
        <v>41.2</v>
      </c>
      <c r="BL404" s="502">
        <v>48</v>
      </c>
      <c r="BM404" s="502">
        <v>49</v>
      </c>
      <c r="BN404" s="502">
        <v>57</v>
      </c>
      <c r="BO404" s="1112">
        <f>BS!BO37</f>
        <v>67.400000000000006</v>
      </c>
      <c r="BP404" s="502"/>
      <c r="BQ404" s="502">
        <f>BS!BQ37</f>
        <v>72.2</v>
      </c>
      <c r="BR404" s="502">
        <f>BS!BR37</f>
        <v>76.400000000000006</v>
      </c>
      <c r="BS404" s="502">
        <f>BS!BS37</f>
        <v>80</v>
      </c>
      <c r="BT404" s="502">
        <f>BS!BT37</f>
        <v>105.4</v>
      </c>
      <c r="BU404" s="1112">
        <f>BS!BU37</f>
        <v>105.4</v>
      </c>
      <c r="BV404" s="502"/>
      <c r="BW404" s="502">
        <f>BS!BW37</f>
        <v>118.4</v>
      </c>
      <c r="BX404" s="502">
        <f>BS!BX37</f>
        <v>121.9</v>
      </c>
      <c r="BY404" s="502">
        <f>BS!BY37</f>
        <v>111.9</v>
      </c>
      <c r="BZ404" s="502">
        <f>BS!BZ37</f>
        <v>113.3</v>
      </c>
      <c r="CA404" s="1112">
        <f>BS!CA37</f>
        <v>113.3</v>
      </c>
      <c r="CB404" s="293"/>
      <c r="CC404" s="502">
        <f>BS!CC37</f>
        <v>80.900000000000006</v>
      </c>
      <c r="CD404" s="502">
        <f>BS!CD37</f>
        <v>77.5</v>
      </c>
      <c r="CE404" s="502">
        <f>BS!CE37</f>
        <v>68.3</v>
      </c>
      <c r="CF404" s="502">
        <f>BS!CF37</f>
        <v>71.900000000000006</v>
      </c>
      <c r="CG404" s="1431"/>
      <c r="CH404" s="293"/>
      <c r="CI404" s="502">
        <f>BS!CI37</f>
        <v>73.099999999999994</v>
      </c>
      <c r="CJ404" s="502">
        <f>BS!CJ37</f>
        <v>71.900000000000006</v>
      </c>
      <c r="CK404" s="502">
        <f>BS!CK37</f>
        <v>77.099999999999994</v>
      </c>
      <c r="CL404" s="502">
        <f>BS!CL37</f>
        <v>91.7</v>
      </c>
      <c r="CM404" s="1431"/>
      <c r="CN404" s="293"/>
      <c r="CO404" s="502">
        <f>BS!CO37</f>
        <v>103.5</v>
      </c>
      <c r="CP404" s="502">
        <f>BS!CP37</f>
        <v>117.1</v>
      </c>
      <c r="CQ404" s="502">
        <f>BS!CQ37</f>
        <v>120</v>
      </c>
      <c r="CR404" s="502">
        <f>BS!CR37</f>
        <v>136.9</v>
      </c>
      <c r="CS404" s="1431"/>
      <c r="CT404" s="293"/>
      <c r="CU404" s="502">
        <f>BS!CU37</f>
        <v>142.19999999999999</v>
      </c>
      <c r="CV404" s="502">
        <f>BS!CV37</f>
        <v>161.1</v>
      </c>
      <c r="CW404" s="502">
        <f>BS!CW37</f>
        <v>155.6</v>
      </c>
      <c r="CX404" s="502">
        <f>BS!CX37</f>
        <v>187.6</v>
      </c>
      <c r="CY404" s="1431"/>
      <c r="CZ404" s="293"/>
      <c r="DA404" s="502">
        <f>BS!DA37</f>
        <v>187.7</v>
      </c>
      <c r="DB404" s="502">
        <f>BS!DB37</f>
        <v>168.6</v>
      </c>
      <c r="DC404" s="502">
        <f>BS!DC37</f>
        <v>154.9</v>
      </c>
      <c r="DD404" s="502">
        <f>BS!DD37</f>
        <v>204.4</v>
      </c>
      <c r="DE404" s="1431"/>
      <c r="DF404" s="293"/>
      <c r="DG404" s="502">
        <f>BS!DG37</f>
        <v>213.8</v>
      </c>
      <c r="DH404" s="502">
        <f>BS!DH37</f>
        <v>217.8</v>
      </c>
      <c r="DI404" s="502">
        <f>BS!DI37</f>
        <v>231.1</v>
      </c>
      <c r="DJ404" s="502">
        <f>BS!DJ37</f>
        <v>256.3</v>
      </c>
      <c r="DK404" s="1431"/>
      <c r="DL404" s="293"/>
      <c r="DM404" s="502">
        <f>BS!DM37</f>
        <v>260.3</v>
      </c>
      <c r="DN404" s="502">
        <f>BS!DN37</f>
        <v>354.7</v>
      </c>
      <c r="DO404" s="502">
        <f>BS!DO37</f>
        <v>335.3</v>
      </c>
      <c r="DP404" s="502">
        <f>BS!DP37</f>
        <v>450.3</v>
      </c>
      <c r="DQ404" s="1431"/>
      <c r="DR404" s="293"/>
      <c r="DS404" s="293"/>
      <c r="DT404" s="293"/>
      <c r="DU404" s="293"/>
      <c r="DV404" s="1432"/>
      <c r="DW404" s="1431"/>
      <c r="DX404" s="293"/>
      <c r="DY404" s="293"/>
      <c r="DZ404" s="293"/>
      <c r="EA404" s="293"/>
      <c r="EB404" s="1432"/>
      <c r="EC404" s="1431"/>
      <c r="ED404" s="293"/>
      <c r="EE404" s="293"/>
      <c r="EF404" s="293"/>
      <c r="EG404" s="293"/>
      <c r="EH404" s="1432"/>
      <c r="EI404" s="1431"/>
      <c r="EJ404" s="293"/>
      <c r="EK404" s="293"/>
      <c r="EL404" s="293"/>
      <c r="EM404" s="293"/>
      <c r="EN404" s="1432"/>
      <c r="EO404" s="1431"/>
      <c r="EP404" s="293"/>
      <c r="EQ404" s="293"/>
      <c r="ER404" s="293"/>
      <c r="ES404" s="293"/>
      <c r="ET404" s="1432"/>
      <c r="EU404" s="1431"/>
    </row>
    <row r="405" spans="1:222" ht="12" hidden="1" customHeight="1" outlineLevel="1">
      <c r="A405" s="866" t="s">
        <v>345</v>
      </c>
      <c r="B405" s="782"/>
      <c r="C405" s="782"/>
      <c r="D405" s="782"/>
      <c r="E405" s="782"/>
      <c r="F405" s="782"/>
      <c r="G405" s="782"/>
      <c r="H405" s="782"/>
      <c r="I405" s="782"/>
      <c r="J405" s="782"/>
      <c r="K405" s="782"/>
      <c r="L405" s="782"/>
      <c r="M405" s="782"/>
      <c r="N405" s="782"/>
      <c r="O405" s="782"/>
      <c r="P405" s="782"/>
      <c r="Q405" s="782"/>
      <c r="R405" s="782"/>
      <c r="S405" s="782"/>
      <c r="T405" s="782"/>
      <c r="U405" s="782"/>
      <c r="V405" s="782"/>
      <c r="W405" s="782"/>
      <c r="X405" s="782"/>
      <c r="Y405" s="782"/>
      <c r="Z405" s="782"/>
      <c r="AA405" s="782"/>
      <c r="AB405" s="782"/>
      <c r="AC405" s="782"/>
      <c r="AD405" s="782"/>
      <c r="AE405" s="782"/>
      <c r="AF405" s="782"/>
      <c r="AG405" s="782"/>
      <c r="AH405" s="782"/>
      <c r="AI405" s="782"/>
      <c r="AJ405" s="782"/>
      <c r="AK405" s="782"/>
      <c r="AL405" s="782"/>
      <c r="AM405" s="782"/>
      <c r="AN405" s="782"/>
      <c r="AO405" s="782"/>
      <c r="AP405" s="782"/>
      <c r="AQ405" s="782"/>
      <c r="AR405" s="782"/>
      <c r="AS405" s="782"/>
      <c r="AT405" s="782"/>
      <c r="AU405" s="782"/>
      <c r="AV405" s="782"/>
      <c r="AW405" s="782"/>
      <c r="AX405" s="782"/>
      <c r="AY405" s="783"/>
      <c r="AZ405" s="783"/>
      <c r="BA405" s="783"/>
      <c r="BB405" s="508"/>
      <c r="BC405" s="508" t="str">
        <f>IF(AW404&lt;&gt;0,BC404/AW404-1,"-")</f>
        <v>-</v>
      </c>
      <c r="BD405" s="782"/>
      <c r="BE405" s="508"/>
      <c r="BF405" s="508"/>
      <c r="BG405" s="508"/>
      <c r="BH405" s="508">
        <f>IF(BB404&lt;&gt;"",BH404/BB404-1,"-")</f>
        <v>1.3096774193548386</v>
      </c>
      <c r="BI405" s="508">
        <f>IF(BC404&lt;&gt;0,BI404/BC404-1,"-")</f>
        <v>1.3096774193548386</v>
      </c>
      <c r="BJ405" s="782"/>
      <c r="BK405" s="508">
        <f>IF(BE404&lt;&gt;"",BK404/BE404-1,"-")</f>
        <v>1.06</v>
      </c>
      <c r="BL405" s="508">
        <f>IF(BF404&lt;&gt;"",BL404/BF404-1,"-")</f>
        <v>0.90476190476190488</v>
      </c>
      <c r="BM405" s="508">
        <f>IF(BG404&lt;&gt;"",BM404/BG404-1,"-")</f>
        <v>0.50769230769230766</v>
      </c>
      <c r="BN405" s="508">
        <f>IF(BH404&lt;&gt;"",BN404/BH404-1,"-")</f>
        <v>0.59217877094972082</v>
      </c>
      <c r="BO405" s="1109">
        <f>IF(BI404&lt;&gt;0,BO404/BI404-1,"-")</f>
        <v>0.88268156424581035</v>
      </c>
      <c r="BP405" s="782"/>
      <c r="BQ405" s="508">
        <f>IF(BK404&lt;&gt;"",BQ404/BK404-1,"-")</f>
        <v>0.75242718446601931</v>
      </c>
      <c r="BR405" s="508">
        <f>IF(BL404&lt;&gt;"",BR404/BL404-1,"-")</f>
        <v>0.59166666666666679</v>
      </c>
      <c r="BS405" s="508">
        <f>IF(BM404&lt;&gt;"",BS404/BM404-1,"-")</f>
        <v>0.63265306122448983</v>
      </c>
      <c r="BT405" s="508">
        <f>IF(BN404&lt;&gt;"",BT404/BN404-1,"-")</f>
        <v>0.84912280701754406</v>
      </c>
      <c r="BU405" s="1109">
        <f>IF(BO404&lt;&gt;0,BU404/BO404-1,"-")</f>
        <v>0.56379821958456966</v>
      </c>
      <c r="BV405" s="782"/>
      <c r="BW405" s="508">
        <f>IF(BQ404&lt;&gt;"",BW404/BQ404-1,"-")</f>
        <v>0.63988919667590038</v>
      </c>
      <c r="BX405" s="508">
        <f>IF(BR404&lt;&gt;"",BX404/BR404-1,"-")</f>
        <v>0.59554973821989532</v>
      </c>
      <c r="BY405" s="508">
        <f>IF(BS404&lt;&gt;"",BY404/BS404-1,"-")</f>
        <v>0.39875000000000016</v>
      </c>
      <c r="BZ405" s="508">
        <f>IF(BT404&lt;&gt;"",BZ404/BT404-1,"-")</f>
        <v>7.4952561669829221E-2</v>
      </c>
      <c r="CA405" s="1109">
        <f>IF(BU404&lt;&gt;0,CA404/BU404-1,"-")</f>
        <v>7.4952561669829221E-2</v>
      </c>
      <c r="CB405" s="782"/>
      <c r="CC405" s="508">
        <f>IF(BW404&lt;&gt;"",CC404/BW404-1,"-")</f>
        <v>-0.31672297297297292</v>
      </c>
      <c r="CD405" s="508">
        <f>IF(BX404&lt;&gt;"",CD404/BX404-1,"-")</f>
        <v>-0.3642329778506973</v>
      </c>
      <c r="CE405" s="508">
        <f>IF(BY404&lt;&gt;"",CE404/BY404-1,"-")</f>
        <v>-0.38963360142984815</v>
      </c>
      <c r="CF405" s="508">
        <f>IF(BZ404&lt;&gt;"",CF404/BZ404-1,"-")</f>
        <v>-0.36540158870255957</v>
      </c>
      <c r="CG405" s="1177"/>
      <c r="CH405" s="782"/>
      <c r="CI405" s="508">
        <f>IF(CC404&lt;&gt;"",CI404/CC404-1,"-")</f>
        <v>-9.6415327564895015E-2</v>
      </c>
      <c r="CJ405" s="508">
        <f>IF(CD404&lt;&gt;"",CJ404/CD404-1,"-")</f>
        <v>-7.2258064516128928E-2</v>
      </c>
      <c r="CK405" s="508">
        <f>IF(CE404&lt;&gt;"",CK404/CE404-1,"-")</f>
        <v>0.12884333821376281</v>
      </c>
      <c r="CL405" s="508">
        <f>IF(CF404&lt;&gt;"",CL404/CF404-1,"-")</f>
        <v>0.27538247566063978</v>
      </c>
      <c r="CM405" s="1177"/>
      <c r="CN405" s="782"/>
      <c r="CO405" s="508">
        <f>IF(CI404&lt;&gt;"",CO404/CI404-1,"-")</f>
        <v>0.41586867305061581</v>
      </c>
      <c r="CP405" s="508">
        <f>IF(CJ404&lt;&gt;"",CP404/CJ404-1,"-")</f>
        <v>0.62865090403337942</v>
      </c>
      <c r="CQ405" s="508">
        <f>IF(CK404&lt;&gt;"",CQ404/CK404-1,"-")</f>
        <v>0.55642023346303504</v>
      </c>
      <c r="CR405" s="508">
        <f>IF(CL404&lt;&gt;"",CR404/CL404-1,"-")</f>
        <v>0.49291166848418766</v>
      </c>
      <c r="CS405" s="1177"/>
      <c r="CT405" s="782"/>
      <c r="CU405" s="508">
        <f>IF(CO404&lt;&gt;"",CU404/CO404-1,"-")</f>
        <v>0.37391304347826071</v>
      </c>
      <c r="CV405" s="508">
        <f>IF(CP404&lt;&gt;"",CV404/CP404-1,"-")</f>
        <v>0.37574722459436383</v>
      </c>
      <c r="CW405" s="508">
        <f>IF(CQ404&lt;&gt;"",CW404/CQ404-1,"-")</f>
        <v>0.29666666666666663</v>
      </c>
      <c r="CX405" s="508">
        <f>IF(CR404&lt;&gt;"",CX404/CR404-1,"-")</f>
        <v>0.3703433162892622</v>
      </c>
      <c r="CY405" s="1177"/>
      <c r="CZ405" s="782"/>
      <c r="DA405" s="508">
        <f>IF(CU404&lt;&gt;"",DA404/CU404-1,"-")</f>
        <v>0.31997187060478205</v>
      </c>
      <c r="DB405" s="508">
        <f>IF(CV404&lt;&gt;"",DB404/CV404-1,"-")</f>
        <v>4.6554934823091143E-2</v>
      </c>
      <c r="DC405" s="508">
        <f>IF(CW404&lt;&gt;"",DC404/CW404-1,"-")</f>
        <v>-4.4987146529562594E-3</v>
      </c>
      <c r="DD405" s="508">
        <f>IF(CX404&lt;&gt;"",DD404/CX404-1,"-")</f>
        <v>8.9552238805970186E-2</v>
      </c>
      <c r="DE405" s="1177"/>
      <c r="DF405" s="782"/>
      <c r="DG405" s="508">
        <f>IF(DA404&lt;&gt;"",DG404/DA404-1,"-")</f>
        <v>0.1390516782099096</v>
      </c>
      <c r="DH405" s="508">
        <f>IF(DB404&lt;&gt;"",DH404/DB404-1,"-")</f>
        <v>0.29181494661921725</v>
      </c>
      <c r="DI405" s="508">
        <f>IF(DC404&lt;&gt;"",DI404/DC404-1,"-")</f>
        <v>0.49193027759845043</v>
      </c>
      <c r="DJ405" s="508">
        <f>IF(DD404&lt;&gt;"",DJ404/DD404-1,"-")</f>
        <v>0.25391389432485334</v>
      </c>
      <c r="DK405" s="1177"/>
      <c r="DL405" s="782"/>
      <c r="DM405" s="508">
        <f>IF(DG404&lt;&gt;"",DM404/DG404-1,"-")</f>
        <v>0.21749298409728723</v>
      </c>
      <c r="DN405" s="508">
        <f>IF(DH404&lt;&gt;"",DN404/DH404-1,"-")</f>
        <v>0.62855831037649201</v>
      </c>
      <c r="DO405" s="508">
        <f>IF(DI404&lt;&gt;"",DO404/DI404-1,"-")</f>
        <v>0.450887061877975</v>
      </c>
      <c r="DP405" s="508">
        <f>IF(DJ404&lt;&gt;"",DP404/DJ404-1,"-")</f>
        <v>0.75692547795552079</v>
      </c>
      <c r="DQ405" s="1177"/>
      <c r="DR405" s="782"/>
      <c r="DS405" s="782"/>
      <c r="DT405" s="782"/>
      <c r="DU405" s="782"/>
      <c r="DV405" s="782"/>
      <c r="DW405" s="1177"/>
      <c r="DX405" s="782"/>
      <c r="DY405" s="782"/>
      <c r="DZ405" s="782"/>
      <c r="EA405" s="782"/>
      <c r="EB405" s="782"/>
      <c r="EC405" s="1177"/>
      <c r="ED405" s="782"/>
      <c r="EE405" s="782"/>
      <c r="EF405" s="782"/>
      <c r="EG405" s="782"/>
      <c r="EH405" s="782"/>
      <c r="EI405" s="1177"/>
      <c r="EJ405" s="782"/>
      <c r="EK405" s="782"/>
      <c r="EL405" s="782"/>
      <c r="EM405" s="782"/>
      <c r="EN405" s="782"/>
      <c r="EO405" s="1177"/>
      <c r="EP405" s="782"/>
      <c r="EQ405" s="782"/>
      <c r="ER405" s="782"/>
      <c r="ES405" s="782"/>
      <c r="ET405" s="782"/>
      <c r="EU405" s="1177"/>
    </row>
    <row r="406" spans="1:222" ht="12" hidden="1" customHeight="1" outlineLevel="1">
      <c r="A406" s="781" t="s">
        <v>344</v>
      </c>
      <c r="B406" s="782"/>
      <c r="C406" s="782"/>
      <c r="D406" s="782"/>
      <c r="E406" s="782"/>
      <c r="F406" s="782"/>
      <c r="G406" s="782"/>
      <c r="H406" s="782"/>
      <c r="I406" s="782"/>
      <c r="J406" s="782"/>
      <c r="K406" s="782"/>
      <c r="L406" s="782"/>
      <c r="M406" s="782"/>
      <c r="N406" s="782"/>
      <c r="O406" s="782"/>
      <c r="P406" s="782"/>
      <c r="Q406" s="782"/>
      <c r="R406" s="782"/>
      <c r="S406" s="782"/>
      <c r="T406" s="782"/>
      <c r="U406" s="782"/>
      <c r="V406" s="782"/>
      <c r="W406" s="782"/>
      <c r="X406" s="782"/>
      <c r="Y406" s="782"/>
      <c r="Z406" s="782"/>
      <c r="AA406" s="782"/>
      <c r="AB406" s="782"/>
      <c r="AC406" s="782"/>
      <c r="AD406" s="782"/>
      <c r="AE406" s="782"/>
      <c r="AF406" s="782"/>
      <c r="AG406" s="782"/>
      <c r="AH406" s="782"/>
      <c r="AI406" s="782"/>
      <c r="AJ406" s="782"/>
      <c r="AK406" s="782"/>
      <c r="AL406" s="782"/>
      <c r="AM406" s="782"/>
      <c r="AN406" s="782"/>
      <c r="AO406" s="782"/>
      <c r="AP406" s="782"/>
      <c r="AQ406" s="782"/>
      <c r="AR406" s="782"/>
      <c r="AS406" s="782"/>
      <c r="AT406" s="782"/>
      <c r="AU406" s="782"/>
      <c r="AV406" s="782"/>
      <c r="AW406" s="782"/>
      <c r="AX406" s="782"/>
      <c r="AY406" s="783"/>
      <c r="AZ406" s="783"/>
      <c r="BA406" s="783"/>
      <c r="BB406" s="508"/>
      <c r="BC406" s="783" t="s">
        <v>6442</v>
      </c>
      <c r="BD406" s="782"/>
      <c r="BE406" s="508">
        <f>IF(BB404&lt;&gt;"",BE404/BB404-1,"-")</f>
        <v>0.29032258064516125</v>
      </c>
      <c r="BF406" s="508">
        <f>IF(BE404&lt;&gt;"",BF404/BE404-1,"-")</f>
        <v>0.26</v>
      </c>
      <c r="BG406" s="508">
        <f>IF(BF404&lt;&gt;"",BG404/BF404-1,"-")</f>
        <v>0.28968253968253976</v>
      </c>
      <c r="BH406" s="508">
        <f>IF(BG404&lt;&gt;"",BH404/BG404-1,"-")</f>
        <v>0.10153846153846136</v>
      </c>
      <c r="BI406" s="783" t="s">
        <v>6442</v>
      </c>
      <c r="BJ406" s="782"/>
      <c r="BK406" s="508">
        <f>IF(BH404&lt;&gt;"",BK404/BH404-1,"-")</f>
        <v>0.15083798882681587</v>
      </c>
      <c r="BL406" s="508">
        <f>IF(BK404&lt;&gt;"",BL404/BK404-1,"-")</f>
        <v>0.16504854368932032</v>
      </c>
      <c r="BM406" s="508">
        <f>IF(BL404&lt;&gt;"",BM404/BL404-1,"-")</f>
        <v>2.0833333333333259E-2</v>
      </c>
      <c r="BN406" s="508">
        <f>IF(BM404&lt;&gt;"",BN404/BM404-1,"-")</f>
        <v>0.16326530612244894</v>
      </c>
      <c r="BO406" s="1111" t="s">
        <v>6442</v>
      </c>
      <c r="BP406" s="782"/>
      <c r="BQ406" s="508">
        <f>IF(BN404&lt;&gt;"",BQ404/BN404-1,"-")</f>
        <v>0.26666666666666661</v>
      </c>
      <c r="BR406" s="508">
        <f>IF(BQ404&lt;&gt;"",BR404/BQ404-1,"-")</f>
        <v>5.8171745152354681E-2</v>
      </c>
      <c r="BS406" s="508">
        <f>IF(BR404&lt;&gt;"",BS404/BR404-1,"-")</f>
        <v>4.7120418848167533E-2</v>
      </c>
      <c r="BT406" s="508">
        <f>IF(BS404&lt;&gt;"",BT404/BS404-1,"-")</f>
        <v>0.31750000000000012</v>
      </c>
      <c r="BU406" s="1111" t="s">
        <v>6442</v>
      </c>
      <c r="BV406" s="782"/>
      <c r="BW406" s="508">
        <f>IF(BT404&lt;&gt;"",BW404/BT404-1,"-")</f>
        <v>0.12333965844402273</v>
      </c>
      <c r="BX406" s="508">
        <f>IF(BW404&lt;&gt;"",BX404/BW404-1,"-")</f>
        <v>2.9560810810810745E-2</v>
      </c>
      <c r="BY406" s="508">
        <f>IF(BX404&lt;&gt;"",BY404/BX404-1,"-")</f>
        <v>-8.203445447087776E-2</v>
      </c>
      <c r="BZ406" s="508">
        <f>IF(BY404&lt;&gt;"",BZ404/BY404-1,"-")</f>
        <v>1.2511170688114248E-2</v>
      </c>
      <c r="CA406" s="1111" t="s">
        <v>6442</v>
      </c>
      <c r="CB406" s="782"/>
      <c r="CC406" s="508">
        <f>IF(BZ404&lt;&gt;"",CC404/BZ404-1,"-")</f>
        <v>-0.28596646072374221</v>
      </c>
      <c r="CD406" s="508">
        <f>IF(CA404&lt;&gt;"",CD404/CA404-1,"-")</f>
        <v>-0.31597528684907328</v>
      </c>
      <c r="CE406" s="508" t="str">
        <f>IF(CB404&lt;&gt;"",CE404/CB404-1,"-")</f>
        <v>-</v>
      </c>
      <c r="CF406" s="508">
        <f>IF(CC404&lt;&gt;"",CF404/CC404-1,"-")</f>
        <v>-0.11124845488257107</v>
      </c>
      <c r="CG406" s="1177"/>
      <c r="CH406" s="782"/>
      <c r="CI406" s="508">
        <f>IF(CF404&lt;&gt;"",CI404/CF404-1,"-")</f>
        <v>1.6689847009735637E-2</v>
      </c>
      <c r="CJ406" s="508">
        <f>IF(CI404&lt;&gt;"",CJ404/CI404-1,"-")</f>
        <v>-1.6415868673050449E-2</v>
      </c>
      <c r="CK406" s="508">
        <f>IF(CJ404&lt;&gt;"",CK404/CJ404-1,"-")</f>
        <v>7.2322670375521314E-2</v>
      </c>
      <c r="CL406" s="508">
        <f>IF(CK404&lt;&gt;"",CL404/CK404-1,"-")</f>
        <v>0.18936446173800281</v>
      </c>
      <c r="CM406" s="1177"/>
      <c r="CN406" s="782"/>
      <c r="CO406" s="508">
        <f>IF(CL404&lt;&gt;"",CO404/CL404-1,"-")</f>
        <v>0.12868047982551789</v>
      </c>
      <c r="CP406" s="508">
        <f>IF(CO404&lt;&gt;"",CP404/CO404-1,"-")</f>
        <v>0.13140096618357489</v>
      </c>
      <c r="CQ406" s="508">
        <f>IF(CP404&lt;&gt;"",CQ404/CP404-1,"-")</f>
        <v>2.4765157984628638E-2</v>
      </c>
      <c r="CR406" s="508">
        <f>IF(CQ404&lt;&gt;"",CR404/CQ404-1,"-")</f>
        <v>0.14083333333333337</v>
      </c>
      <c r="CS406" s="1177"/>
      <c r="CT406" s="782"/>
      <c r="CU406" s="508">
        <f>IF(CR404&lt;&gt;"",CU404/CR404-1,"-")</f>
        <v>3.87143900657414E-2</v>
      </c>
      <c r="CV406" s="508">
        <f>IF(CU404&lt;&gt;"",CV404/CU404-1,"-")</f>
        <v>0.13291139240506333</v>
      </c>
      <c r="CW406" s="508">
        <f>IF(CV404&lt;&gt;"",CW404/CV404-1,"-")</f>
        <v>-3.4140285536933601E-2</v>
      </c>
      <c r="CX406" s="508">
        <f>IF(CW404&lt;&gt;"",CX404/CW404-1,"-")</f>
        <v>0.20565552699228795</v>
      </c>
      <c r="CY406" s="1177"/>
      <c r="CZ406" s="782"/>
      <c r="DA406" s="508">
        <f>IF(CX404&lt;&gt;"",DA404/CX404-1,"-")</f>
        <v>5.3304904051176827E-4</v>
      </c>
      <c r="DB406" s="508" t="str">
        <f>IF(CY404&lt;&gt;"",DB404/CY404-1,"-")</f>
        <v>-</v>
      </c>
      <c r="DC406" s="508">
        <f>IF(DB404&lt;&gt;"",DC404/DB404-1,"-")</f>
        <v>-8.1257413997627426E-2</v>
      </c>
      <c r="DD406" s="508">
        <f>IF(DC404&lt;&gt;"",DD404/DC404-1,"-")</f>
        <v>0.31956100710135571</v>
      </c>
      <c r="DE406" s="1177"/>
      <c r="DF406" s="782"/>
      <c r="DG406" s="508">
        <f>IF(DD404&lt;&gt;"",DG404/DD404-1,"-")</f>
        <v>4.5988258317025466E-2</v>
      </c>
      <c r="DH406" s="508" t="str">
        <f>IF(DE404&lt;&gt;"",DH404/DE404-1,"-")</f>
        <v>-</v>
      </c>
      <c r="DI406" s="508" t="str">
        <f>IF(DF404&lt;&gt;"",DI404/DF404-1,"-")</f>
        <v>-</v>
      </c>
      <c r="DJ406" s="508">
        <f>IF(DI404&lt;&gt;"",DJ404/DI404-1,"-")</f>
        <v>0.10904370402423202</v>
      </c>
      <c r="DK406" s="1177"/>
      <c r="DL406" s="782"/>
      <c r="DM406" s="508">
        <f>IF(DJ404&lt;&gt;"",DM404/DJ404-1,"-")</f>
        <v>1.5606710885680775E-2</v>
      </c>
      <c r="DN406" s="508" t="str">
        <f>IF(DK404&lt;&gt;"",DN404/DK404-1,"-")</f>
        <v>-</v>
      </c>
      <c r="DO406" s="508" t="str">
        <f>IF(DL404&lt;&gt;"",DO404/DL404-1,"-")</f>
        <v>-</v>
      </c>
      <c r="DP406" s="508">
        <f>IF(DM404&lt;&gt;"",DP404/DM404-1,"-")</f>
        <v>0.72992700729927007</v>
      </c>
      <c r="DQ406" s="1177"/>
      <c r="DR406" s="782"/>
      <c r="DS406" s="782"/>
      <c r="DT406" s="782"/>
      <c r="DU406" s="782"/>
      <c r="DV406" s="782"/>
      <c r="DW406" s="1177"/>
      <c r="DX406" s="782"/>
      <c r="DY406" s="782"/>
      <c r="DZ406" s="782"/>
      <c r="EA406" s="782"/>
      <c r="EB406" s="782"/>
      <c r="EC406" s="1177"/>
      <c r="ED406" s="782"/>
      <c r="EE406" s="782"/>
      <c r="EF406" s="782"/>
      <c r="EG406" s="782"/>
      <c r="EH406" s="782"/>
      <c r="EI406" s="1177"/>
      <c r="EJ406" s="782"/>
      <c r="EK406" s="782"/>
      <c r="EL406" s="782"/>
      <c r="EM406" s="782"/>
      <c r="EN406" s="782"/>
      <c r="EO406" s="1177"/>
      <c r="EP406" s="782"/>
      <c r="EQ406" s="782"/>
      <c r="ER406" s="782"/>
      <c r="ES406" s="782"/>
      <c r="ET406" s="782"/>
      <c r="EU406" s="1177"/>
    </row>
    <row r="407" spans="1:222" ht="5.25" hidden="1" customHeight="1" collapsed="1">
      <c r="A407" s="586"/>
      <c r="B407" s="147"/>
      <c r="C407" s="147"/>
      <c r="D407" s="147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1"/>
      <c r="AZ407" s="141"/>
      <c r="BA407" s="141"/>
      <c r="BB407" s="141"/>
      <c r="BC407" s="141"/>
      <c r="BD407" s="147"/>
      <c r="BE407" s="141"/>
      <c r="BF407" s="141"/>
      <c r="BG407" s="141"/>
      <c r="BH407" s="141"/>
      <c r="BI407" s="141"/>
      <c r="BJ407" s="147"/>
      <c r="BK407" s="141"/>
      <c r="BL407" s="147"/>
      <c r="BM407" s="147"/>
      <c r="BN407" s="147"/>
      <c r="BO407" s="1096"/>
      <c r="BP407" s="147"/>
      <c r="BQ407" s="147"/>
      <c r="BR407" s="147"/>
      <c r="BS407" s="147"/>
      <c r="BT407" s="147"/>
      <c r="BU407" s="1096"/>
      <c r="BV407" s="147"/>
      <c r="BW407" s="147"/>
      <c r="BX407" s="147"/>
      <c r="BY407" s="147"/>
      <c r="BZ407" s="147"/>
      <c r="CA407" s="1096"/>
      <c r="CB407" s="147"/>
      <c r="CC407" s="147"/>
      <c r="CD407" s="147"/>
      <c r="CE407" s="147"/>
      <c r="CF407" s="147"/>
      <c r="CG407" s="1096"/>
      <c r="CH407" s="147"/>
      <c r="CI407" s="147"/>
      <c r="CJ407" s="147"/>
      <c r="CK407" s="141"/>
      <c r="CL407" s="141"/>
      <c r="CM407" s="1096"/>
      <c r="CN407" s="147"/>
      <c r="CO407" s="147"/>
      <c r="CP407" s="147"/>
      <c r="CQ407" s="147"/>
      <c r="CR407" s="141"/>
      <c r="CS407" s="1096"/>
      <c r="CT407" s="147"/>
      <c r="CU407" s="147"/>
      <c r="CV407" s="147"/>
      <c r="CW407" s="147"/>
      <c r="CX407" s="147"/>
      <c r="CY407" s="1096"/>
      <c r="CZ407" s="147"/>
      <c r="DA407" s="147"/>
      <c r="DB407" s="147"/>
      <c r="DC407" s="147"/>
      <c r="DD407" s="147"/>
      <c r="DE407" s="1096"/>
      <c r="DF407" s="147"/>
      <c r="DG407" s="147"/>
      <c r="DH407" s="147"/>
      <c r="DI407" s="147"/>
      <c r="DJ407" s="147"/>
      <c r="DK407" s="1096"/>
      <c r="DL407" s="147"/>
      <c r="DM407" s="147"/>
      <c r="DN407" s="147"/>
      <c r="DO407" s="147"/>
      <c r="DP407" s="147"/>
      <c r="DQ407" s="1096"/>
      <c r="DR407" s="147"/>
      <c r="DS407" s="147"/>
      <c r="DT407" s="147"/>
      <c r="DU407" s="147"/>
      <c r="DV407" s="147"/>
      <c r="DW407" s="1096"/>
      <c r="DX407" s="147"/>
      <c r="DY407" s="147"/>
      <c r="DZ407" s="147"/>
      <c r="EA407" s="147"/>
      <c r="EB407" s="147"/>
      <c r="EC407" s="1096"/>
      <c r="ED407" s="147"/>
      <c r="EE407" s="147"/>
      <c r="EF407" s="147"/>
      <c r="EG407" s="147"/>
      <c r="EH407" s="147"/>
      <c r="EI407" s="1096"/>
      <c r="EJ407" s="147"/>
      <c r="EK407" s="147"/>
      <c r="EL407" s="147"/>
      <c r="EM407" s="147"/>
      <c r="EN407" s="147"/>
      <c r="EO407" s="1096"/>
      <c r="EP407" s="147"/>
      <c r="EQ407" s="147"/>
      <c r="ER407" s="147"/>
      <c r="ES407" s="147"/>
      <c r="ET407" s="147"/>
      <c r="EU407" s="1096"/>
    </row>
    <row r="408" spans="1:222" hidden="1">
      <c r="A408" s="587" t="s">
        <v>5615</v>
      </c>
      <c r="B408" s="298"/>
      <c r="C408" s="298"/>
      <c r="D408" s="298"/>
      <c r="E408" s="298"/>
      <c r="F408" s="298"/>
      <c r="G408" s="298"/>
      <c r="H408" s="298"/>
      <c r="I408" s="298"/>
      <c r="J408" s="298"/>
      <c r="K408" s="298"/>
      <c r="L408" s="298"/>
      <c r="M408" s="298"/>
      <c r="N408" s="298"/>
      <c r="O408" s="298"/>
      <c r="P408" s="298"/>
      <c r="Q408" s="298"/>
      <c r="R408" s="298"/>
      <c r="S408" s="298"/>
      <c r="T408" s="298"/>
      <c r="U408" s="298"/>
      <c r="V408" s="298"/>
      <c r="W408" s="298"/>
      <c r="X408" s="298"/>
      <c r="Y408" s="298"/>
      <c r="Z408" s="298"/>
      <c r="AA408" s="298"/>
      <c r="AB408" s="298"/>
      <c r="AC408" s="298"/>
      <c r="AD408" s="298"/>
      <c r="AE408" s="298"/>
      <c r="AF408" s="298"/>
      <c r="AG408" s="585"/>
      <c r="AH408" s="585"/>
      <c r="AI408" s="585"/>
      <c r="AJ408" s="585"/>
      <c r="AK408" s="175"/>
      <c r="AL408" s="298"/>
      <c r="AM408" s="585">
        <f>AM391-AM395</f>
        <v>31.916999999999994</v>
      </c>
      <c r="AN408" s="585">
        <f>AN391-AN395</f>
        <v>30.421999999999997</v>
      </c>
      <c r="AO408" s="585">
        <f>AO391-AO395</f>
        <v>31.956000000000003</v>
      </c>
      <c r="AP408" s="585">
        <f>AP391-AP395</f>
        <v>36.540999999999997</v>
      </c>
      <c r="AQ408" s="175">
        <f>AP408</f>
        <v>36.540999999999997</v>
      </c>
      <c r="AR408" s="298"/>
      <c r="AS408" s="585">
        <f>AS391-AS395</f>
        <v>35.668000000000006</v>
      </c>
      <c r="AT408" s="585">
        <f>AT391-AT395</f>
        <v>38.878</v>
      </c>
      <c r="AU408" s="585">
        <f>AU391-AU395</f>
        <v>40.748000000000005</v>
      </c>
      <c r="AV408" s="585">
        <f>AV391-AV395</f>
        <v>43.775999999999996</v>
      </c>
      <c r="AW408" s="175">
        <f>AV408</f>
        <v>43.775999999999996</v>
      </c>
      <c r="AX408" s="298"/>
      <c r="AY408" s="585">
        <f>AY391-AY395</f>
        <v>39.299999999999997</v>
      </c>
      <c r="AZ408" s="585">
        <f>AZ391-AZ395</f>
        <v>42.099999999999994</v>
      </c>
      <c r="BA408" s="585">
        <f>BA391-BA395</f>
        <v>40.5</v>
      </c>
      <c r="BB408" s="585">
        <f>BB391-BB395</f>
        <v>48.299999999999983</v>
      </c>
      <c r="BC408" s="175">
        <f>BB408</f>
        <v>48.299999999999983</v>
      </c>
      <c r="BD408" s="298"/>
      <c r="BE408" s="585">
        <f>BE391-BE395</f>
        <v>46.900000000000006</v>
      </c>
      <c r="BF408" s="585">
        <f>BF391-BF395</f>
        <v>39.400000000000006</v>
      </c>
      <c r="BG408" s="585">
        <f>BG391-BG395</f>
        <v>42.099999999999994</v>
      </c>
      <c r="BH408" s="585">
        <f>BH391-BH395</f>
        <v>53.099999999999994</v>
      </c>
      <c r="BI408" s="175">
        <f>BH408</f>
        <v>53.099999999999994</v>
      </c>
      <c r="BJ408" s="298"/>
      <c r="BK408" s="585">
        <f>BK391-BK395</f>
        <v>55.499999999999972</v>
      </c>
      <c r="BL408" s="585">
        <f>BL391-BL395</f>
        <v>48.599999999999966</v>
      </c>
      <c r="BM408" s="585">
        <f>BM391-BM395</f>
        <v>38.800000000000011</v>
      </c>
      <c r="BN408" s="585">
        <f>BN391-BN395</f>
        <v>50.799999999999955</v>
      </c>
      <c r="BO408" s="1164">
        <f>BN408</f>
        <v>50.799999999999955</v>
      </c>
      <c r="BP408" s="298"/>
      <c r="BQ408" s="175">
        <f>BQ391-BQ395</f>
        <v>56.899999999999977</v>
      </c>
      <c r="BR408" s="175">
        <f>BR391-BR395</f>
        <v>55.899999999999977</v>
      </c>
      <c r="BS408" s="175">
        <f>BS391-BS395</f>
        <v>57.899999999999977</v>
      </c>
      <c r="BT408" s="175">
        <f>BT391-BT395</f>
        <v>72.100000000000023</v>
      </c>
      <c r="BU408" s="1164">
        <f>BT408</f>
        <v>72.100000000000023</v>
      </c>
      <c r="BV408" s="298"/>
      <c r="BW408" s="175">
        <f>BW391-BW395</f>
        <v>75.700000000000045</v>
      </c>
      <c r="BX408" s="175">
        <f>BX391-BX395</f>
        <v>74.600000000000023</v>
      </c>
      <c r="BY408" s="175">
        <f>BY391-BY395</f>
        <v>66.399999999999977</v>
      </c>
      <c r="BZ408" s="175">
        <f>BZ391-BZ395</f>
        <v>77.100000000000023</v>
      </c>
      <c r="CA408" s="1164">
        <f>BZ408</f>
        <v>77.100000000000023</v>
      </c>
      <c r="CB408" s="298"/>
      <c r="CC408" s="175">
        <f>CC391-CC395</f>
        <v>65</v>
      </c>
      <c r="CD408" s="175">
        <f>CD391-CD395</f>
        <v>57.899999999999977</v>
      </c>
      <c r="CE408" s="175">
        <f>CE391-CE395</f>
        <v>49.5</v>
      </c>
      <c r="CF408" s="175">
        <f>CF391-CF395</f>
        <v>52.5</v>
      </c>
      <c r="CG408" s="1164">
        <f>CF408</f>
        <v>52.5</v>
      </c>
      <c r="CH408" s="298"/>
      <c r="CI408" s="175">
        <f>CI391-CI395</f>
        <v>51.700000000000045</v>
      </c>
      <c r="CJ408" s="175">
        <f>CJ391-CJ395</f>
        <v>53.100000000000023</v>
      </c>
      <c r="CK408" s="175">
        <f>CK391-CK395</f>
        <v>57.100000000000023</v>
      </c>
      <c r="CL408" s="175">
        <f>CL391-CL395</f>
        <v>78.899999999999977</v>
      </c>
      <c r="CM408" s="1164">
        <f>CL408</f>
        <v>78.899999999999977</v>
      </c>
      <c r="CN408" s="298"/>
      <c r="CO408" s="175">
        <f>CO391-CO395</f>
        <v>79.399999999999977</v>
      </c>
      <c r="CP408" s="175">
        <f>CP391-CP395</f>
        <v>76.399999999999977</v>
      </c>
      <c r="CQ408" s="175">
        <f>CQ391-CQ395</f>
        <v>66.899999999999977</v>
      </c>
      <c r="CR408" s="175">
        <f>CR391-CR395</f>
        <v>86.199999999999932</v>
      </c>
      <c r="CS408" s="1164">
        <f>CR408</f>
        <v>86.199999999999932</v>
      </c>
      <c r="CT408" s="175"/>
      <c r="CU408" s="175">
        <f>CU391-CU395</f>
        <v>68.900000000000091</v>
      </c>
      <c r="CV408" s="175">
        <f>CV391-CV395</f>
        <v>65</v>
      </c>
      <c r="CW408" s="175">
        <f>CW391-CW395</f>
        <v>65.700000000000045</v>
      </c>
      <c r="CX408" s="175">
        <f>CX391-CX395</f>
        <v>81.600000000000023</v>
      </c>
      <c r="CY408" s="1164">
        <f>CX408</f>
        <v>81.600000000000023</v>
      </c>
      <c r="CZ408" s="175"/>
      <c r="DA408" s="175">
        <f>DA391-DA395</f>
        <v>76.400000000000091</v>
      </c>
      <c r="DB408" s="175">
        <f>DB391-DB395</f>
        <v>69.5</v>
      </c>
      <c r="DC408" s="175">
        <f>DC391-DC395</f>
        <v>66.699999999999932</v>
      </c>
      <c r="DD408" s="175">
        <f>DD391-DD395</f>
        <v>111.60000000000002</v>
      </c>
      <c r="DE408" s="1164">
        <f>DD408</f>
        <v>111.60000000000002</v>
      </c>
      <c r="DF408" s="175"/>
      <c r="DG408" s="175">
        <f>DG391-DG395</f>
        <v>115.5</v>
      </c>
      <c r="DH408" s="175">
        <f>DH391-DH395</f>
        <v>141.79999999999995</v>
      </c>
      <c r="DI408" s="175">
        <f>DI391-DI395</f>
        <v>167.20000000000005</v>
      </c>
      <c r="DJ408" s="175">
        <f>DJ391-DJ395</f>
        <v>220.09999999999991</v>
      </c>
      <c r="DK408" s="1164">
        <f>DJ408</f>
        <v>220.09999999999991</v>
      </c>
      <c r="DL408" s="298"/>
      <c r="DM408" s="175">
        <f>DM391-DM395</f>
        <v>223.70000000000005</v>
      </c>
      <c r="DN408" s="175">
        <f>DN391-DN395</f>
        <v>232.29999999999995</v>
      </c>
      <c r="DO408" s="175">
        <f>DO391-DO395</f>
        <v>249.29999999999995</v>
      </c>
      <c r="DP408" s="175" t="e">
        <f>DP391-DP395</f>
        <v>#REF!</v>
      </c>
      <c r="DQ408" s="1164" t="e">
        <f>DP408</f>
        <v>#REF!</v>
      </c>
      <c r="DR408" s="175"/>
      <c r="DS408" s="175">
        <f>DS391-DS395</f>
        <v>593.69999999999982</v>
      </c>
      <c r="DT408" s="175">
        <f>DT391-DT395</f>
        <v>511</v>
      </c>
      <c r="DU408" s="175">
        <f>DU391-DU395</f>
        <v>493</v>
      </c>
      <c r="DV408" s="175" t="e">
        <f>DV391-DV395</f>
        <v>#REF!</v>
      </c>
      <c r="DW408" s="1164" t="e">
        <f>DV408</f>
        <v>#REF!</v>
      </c>
      <c r="DX408" s="175"/>
      <c r="DY408" s="175" t="e">
        <f>DY391-DY395</f>
        <v>#REF!</v>
      </c>
      <c r="DZ408" s="175">
        <f>DZ391-DZ395</f>
        <v>767</v>
      </c>
      <c r="EA408" s="175">
        <f>EA391-EA395</f>
        <v>723.89999999999986</v>
      </c>
      <c r="EB408" s="175" t="e">
        <f>EB391-EB395</f>
        <v>#REF!</v>
      </c>
      <c r="EC408" s="1164" t="e">
        <f>EB408</f>
        <v>#REF!</v>
      </c>
      <c r="ED408" s="175"/>
      <c r="EE408" s="175" t="e">
        <f>EB408*(1+EE410)</f>
        <v>#REF!</v>
      </c>
      <c r="EF408" s="175" t="e">
        <f>EE408*(1+EF410)</f>
        <v>#REF!</v>
      </c>
      <c r="EG408" s="175" t="e">
        <f>EF408*(1+EG410)</f>
        <v>#REF!</v>
      </c>
      <c r="EH408" s="175" t="e">
        <f>EG408*(1+EH410)</f>
        <v>#REF!</v>
      </c>
      <c r="EI408" s="1164" t="e">
        <f>EH408</f>
        <v>#REF!</v>
      </c>
      <c r="EJ408" s="175"/>
      <c r="EK408" s="175" t="e">
        <f>EH408*(1+EK410)</f>
        <v>#REF!</v>
      </c>
      <c r="EL408" s="175" t="e">
        <f>EK408*(1+EL410)</f>
        <v>#REF!</v>
      </c>
      <c r="EM408" s="175" t="e">
        <f>EL408*(1+EM410)</f>
        <v>#REF!</v>
      </c>
      <c r="EN408" s="175" t="e">
        <f>EM408*(1+EN410)</f>
        <v>#REF!</v>
      </c>
      <c r="EO408" s="1164" t="e">
        <f>EN408</f>
        <v>#REF!</v>
      </c>
      <c r="EP408" s="175"/>
      <c r="EQ408" s="175" t="e">
        <f>EN408*(1+EQ410)</f>
        <v>#REF!</v>
      </c>
      <c r="ER408" s="175" t="e">
        <f>EQ408*(1+ER410)</f>
        <v>#REF!</v>
      </c>
      <c r="ES408" s="175" t="e">
        <f>ER408*(1+ES410)</f>
        <v>#REF!</v>
      </c>
      <c r="ET408" s="175" t="e">
        <f>ES408*(1+ET410)</f>
        <v>#REF!</v>
      </c>
      <c r="EU408" s="1164" t="e">
        <f>ET408</f>
        <v>#REF!</v>
      </c>
    </row>
    <row r="409" spans="1:222" hidden="1">
      <c r="A409" s="393" t="s">
        <v>345</v>
      </c>
      <c r="B409" s="147"/>
      <c r="C409" s="147"/>
      <c r="D409" s="147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263"/>
      <c r="AH409" s="263"/>
      <c r="AI409" s="263"/>
      <c r="AJ409" s="263"/>
      <c r="AK409" s="141"/>
      <c r="AL409" s="147"/>
      <c r="AM409" s="263" t="str">
        <f>IF(AG408&lt;&gt;"",AM408/AG408-1,"-")</f>
        <v>-</v>
      </c>
      <c r="AN409" s="263" t="str">
        <f>IF(AH408&lt;&gt;"",AN408/AH408-1,"-")</f>
        <v>-</v>
      </c>
      <c r="AO409" s="263" t="str">
        <f>IF(AI408&lt;&gt;"",AO408/AI408-1,"-")</f>
        <v>-</v>
      </c>
      <c r="AP409" s="263" t="str">
        <f>IF(AJ408&lt;&gt;"",AP408/AJ408-1,"-")</f>
        <v>-</v>
      </c>
      <c r="AQ409" s="263" t="str">
        <f>IF(AK408&lt;&gt;"",AQ408/AK408-1,"-")</f>
        <v>-</v>
      </c>
      <c r="AR409" s="147"/>
      <c r="AS409" s="263">
        <f>IF(AM408&lt;&gt;"",AS408/AM408-1,"-")</f>
        <v>0.11752357677726644</v>
      </c>
      <c r="AT409" s="263">
        <f>IF(AN408&lt;&gt;"",AT408/AN408-1,"-")</f>
        <v>0.27795674183156938</v>
      </c>
      <c r="AU409" s="263">
        <f>IF(AO408&lt;&gt;"",AU408/AO408-1,"-")</f>
        <v>0.27512830141444478</v>
      </c>
      <c r="AV409" s="263">
        <f>IF(AP408&lt;&gt;"",AV408/AP408-1,"-")</f>
        <v>0.19799677075066358</v>
      </c>
      <c r="AW409" s="263">
        <f>IF(AQ408&lt;&gt;"",AW408/AQ408-1,"-")</f>
        <v>0.19799677075066358</v>
      </c>
      <c r="AX409" s="147"/>
      <c r="AY409" s="263">
        <f>IF(AS408&lt;&gt;"",AY408/AS408-1,"-")</f>
        <v>0.10182796904788582</v>
      </c>
      <c r="AZ409" s="263">
        <f>IF(AT408&lt;&gt;"",AZ408/AT408-1,"-")</f>
        <v>8.2874633468799752E-2</v>
      </c>
      <c r="BA409" s="263">
        <f>IF(AU408&lt;&gt;"",BA408/AU408-1,"-")</f>
        <v>-6.0861882791795052E-3</v>
      </c>
      <c r="BB409" s="263">
        <f>IF(AV408&lt;&gt;"",BB408/AV408-1,"-")</f>
        <v>0.10334429824561364</v>
      </c>
      <c r="BC409" s="263">
        <f>IF(AW408&lt;&gt;"",BC408/AW408-1,"-")</f>
        <v>0.10334429824561364</v>
      </c>
      <c r="BD409" s="147"/>
      <c r="BE409" s="263">
        <f>IF(AY408&lt;&gt;"",BE408/AY408-1,"-")</f>
        <v>0.19338422391857524</v>
      </c>
      <c r="BF409" s="263">
        <f>IF(AZ408&lt;&gt;"",BF408/AZ408-1,"-")</f>
        <v>-6.4133016627078154E-2</v>
      </c>
      <c r="BG409" s="263">
        <f>IF(BA408&lt;&gt;"",BG408/BA408-1,"-")</f>
        <v>3.9506172839506082E-2</v>
      </c>
      <c r="BH409" s="263">
        <f>IF(BB408&lt;&gt;"",BH408/BB408-1,"-")</f>
        <v>9.9378881987577827E-2</v>
      </c>
      <c r="BI409" s="263">
        <f>IF(BC408&lt;&gt;"",BI408/BC408-1,"-")</f>
        <v>9.9378881987577827E-2</v>
      </c>
      <c r="BJ409" s="147"/>
      <c r="BK409" s="263">
        <f>IF(BE408&lt;&gt;"",BK408/BE408-1,"-")</f>
        <v>0.18336886993603341</v>
      </c>
      <c r="BL409" s="263">
        <f>IF(BF408&lt;&gt;"",BL408/BF408-1,"-")</f>
        <v>0.23350253807106491</v>
      </c>
      <c r="BM409" s="263">
        <f>IF(BG408&lt;&gt;"",BM408/BG408-1,"-")</f>
        <v>-7.8384798099762065E-2</v>
      </c>
      <c r="BN409" s="263">
        <f>IF(BH408&lt;&gt;"",BN408/BH408-1,"-")</f>
        <v>-4.3314500941620371E-2</v>
      </c>
      <c r="BO409" s="1104">
        <f>IF(BI408&lt;&gt;"",BO408/BI408-1,"-")</f>
        <v>-4.3314500941620371E-2</v>
      </c>
      <c r="BP409" s="147"/>
      <c r="BQ409" s="263">
        <f>IF(BK408&lt;&gt;"",BQ408/BK408-1,"-")</f>
        <v>2.5225225225225412E-2</v>
      </c>
      <c r="BR409" s="263">
        <f>IF(BL408&lt;&gt;"",BR408/BL408-1,"-")</f>
        <v>0.1502057613168728</v>
      </c>
      <c r="BS409" s="263">
        <f>IF(BM408&lt;&gt;"",BS408/BM408-1,"-")</f>
        <v>0.49226804123711232</v>
      </c>
      <c r="BT409" s="263">
        <f>IF(BN408&lt;&gt;"",BT408/BN408-1,"-")</f>
        <v>0.41929133858267886</v>
      </c>
      <c r="BU409" s="1104">
        <f>IF(BO408&lt;&gt;"",BU408/BO408-1,"-")</f>
        <v>0.41929133858267886</v>
      </c>
      <c r="BV409" s="147"/>
      <c r="BW409" s="263">
        <f>IF(BQ408&lt;&gt;"",BW408/BQ408-1,"-")</f>
        <v>0.33040421792618768</v>
      </c>
      <c r="BX409" s="263">
        <f>IF(BR408&lt;&gt;"",BX408/BR408-1,"-")</f>
        <v>0.33452593917710294</v>
      </c>
      <c r="BY409" s="263">
        <f>IF(BS408&lt;&gt;"",BY408/BS408-1,"-")</f>
        <v>0.14680483592400706</v>
      </c>
      <c r="BZ409" s="263">
        <f>IF(BT408&lt;&gt;"",BZ408/BT408-1,"-")</f>
        <v>6.9348127600554754E-2</v>
      </c>
      <c r="CA409" s="1104">
        <f>IF(BU408&lt;&gt;"",CA408/BU408-1,"-")</f>
        <v>6.9348127600554754E-2</v>
      </c>
      <c r="CB409" s="147"/>
      <c r="CC409" s="263">
        <f>IF(BW408&lt;&gt;"",CC408/BW408-1,"-")</f>
        <v>-0.14134742404227263</v>
      </c>
      <c r="CD409" s="263">
        <f>IF(BX408&lt;&gt;"",CD408/BX408-1,"-")</f>
        <v>-0.22386058981233303</v>
      </c>
      <c r="CE409" s="263">
        <f>IF(BY408&lt;&gt;"",CE408/BY408-1,"-")</f>
        <v>-0.25451807228915635</v>
      </c>
      <c r="CF409" s="263">
        <f>IF(BZ408&lt;&gt;"",CF408/BZ408-1,"-")</f>
        <v>-0.31906614785992238</v>
      </c>
      <c r="CG409" s="1104">
        <f>IF(CA408&lt;&gt;"",CG408/CA408-1,"-")</f>
        <v>-0.31906614785992238</v>
      </c>
      <c r="CH409" s="147"/>
      <c r="CI409" s="263">
        <f>IF(CC408&lt;&gt;"",CI408/CC408-1,"-")</f>
        <v>-0.20461538461538387</v>
      </c>
      <c r="CJ409" s="263">
        <f>IF(CD408&lt;&gt;"",CJ408/CD408-1,"-")</f>
        <v>-8.2901554404144373E-2</v>
      </c>
      <c r="CK409" s="263">
        <f>IF(CE408&lt;&gt;"",CK408/CE408-1,"-")</f>
        <v>0.15353535353535408</v>
      </c>
      <c r="CL409" s="263">
        <f>IF(CF408&lt;&gt;"",CL408/CF408-1,"-")</f>
        <v>0.50285714285714245</v>
      </c>
      <c r="CM409" s="1104">
        <f>IF(CG408&lt;&gt;"",CM408/CG408-1,"-")</f>
        <v>0.50285714285714245</v>
      </c>
      <c r="CN409" s="147"/>
      <c r="CO409" s="263">
        <f>IF(CI408&lt;&gt;"",CO408/CI408-1,"-")</f>
        <v>0.53578336557059791</v>
      </c>
      <c r="CP409" s="263">
        <f>IF(CJ408&lt;&gt;"",CP408/CJ408-1,"-")</f>
        <v>0.43879472693031918</v>
      </c>
      <c r="CQ409" s="263">
        <f>IF(CK408&lt;&gt;"",CQ408/CK408-1,"-")</f>
        <v>0.17162872154115494</v>
      </c>
      <c r="CR409" s="263">
        <f>IF(CL408&lt;&gt;"",CR408/CL408-1,"-")</f>
        <v>9.2522179974650953E-2</v>
      </c>
      <c r="CS409" s="1104">
        <f>IF(CM408&lt;&gt;"",CS408/CM408-1,"-")</f>
        <v>9.2522179974650953E-2</v>
      </c>
      <c r="CT409" s="263"/>
      <c r="CU409" s="263">
        <f>IF(CO408&lt;&gt;"",CU408/CO408-1,"-")</f>
        <v>-0.1322418136020137</v>
      </c>
      <c r="CV409" s="263">
        <f>IF(CP408&lt;&gt;"",CV408/CP408-1,"-")</f>
        <v>-0.14921465968586367</v>
      </c>
      <c r="CW409" s="263">
        <f>IF(CQ408&lt;&gt;"",CW408/CQ408-1,"-")</f>
        <v>-1.7937219730940646E-2</v>
      </c>
      <c r="CX409" s="263">
        <f>IF(CR408&lt;&gt;"",CX408/CR408-1,"-")</f>
        <v>-5.3364269141530363E-2</v>
      </c>
      <c r="CY409" s="1104">
        <f>IF(CS408&lt;&gt;"",CY408/CS408-1,"-")</f>
        <v>-5.3364269141530363E-2</v>
      </c>
      <c r="CZ409" s="263"/>
      <c r="DA409" s="263">
        <f>IF(CU408&lt;&gt;"",DA408/CU408-1,"-")</f>
        <v>0.10885341074020305</v>
      </c>
      <c r="DB409" s="263">
        <f>IF(CV408&lt;&gt;"",DB408/CV408-1,"-")</f>
        <v>6.9230769230769207E-2</v>
      </c>
      <c r="DC409" s="263">
        <f>IF(CW408&lt;&gt;"",DC408/CW408-1,"-")</f>
        <v>1.5220700152205335E-2</v>
      </c>
      <c r="DD409" s="263">
        <f>IF(CX408&lt;&gt;"",DD408/CX408-1,"-")</f>
        <v>0.36764705882352922</v>
      </c>
      <c r="DE409" s="1104">
        <f>IF(CY408&lt;&gt;"",DE408/CY408-1,"-")</f>
        <v>0.36764705882352922</v>
      </c>
      <c r="DF409" s="263"/>
      <c r="DG409" s="263">
        <f>IF(DA408&lt;&gt;"",DG408/DA408-1,"-")</f>
        <v>0.51178010471204005</v>
      </c>
      <c r="DH409" s="263">
        <f>IF(DB408&lt;&gt;"",DH408/DB408-1,"-")</f>
        <v>1.0402877697841721</v>
      </c>
      <c r="DI409" s="263">
        <f>IF(DC408&lt;&gt;"",DI408/DC408-1,"-")</f>
        <v>1.50674662668666</v>
      </c>
      <c r="DJ409" s="263">
        <f>IF(DD408&lt;&gt;"",DJ408/DD408-1,"-")</f>
        <v>0.97222222222222099</v>
      </c>
      <c r="DK409" s="1104">
        <f>IF(DE408&lt;&gt;"",DK408/DE408-1,"-")</f>
        <v>0.97222222222222099</v>
      </c>
      <c r="DL409" s="147"/>
      <c r="DM409" s="263">
        <f>IF(DG408&lt;&gt;"",DM408/DG408-1,"-")</f>
        <v>0.93679653679653718</v>
      </c>
      <c r="DN409" s="263">
        <f>IF(DH408&lt;&gt;"",DN408/DH408-1,"-")</f>
        <v>0.63822284908321603</v>
      </c>
      <c r="DO409" s="263">
        <f>IF(DI408&lt;&gt;"",DO408/DI408-1,"-")</f>
        <v>0.49102870813397059</v>
      </c>
      <c r="DP409" s="263" t="e">
        <f>IF(DJ408&lt;&gt;"",DP408/DJ408-1,"-")</f>
        <v>#REF!</v>
      </c>
      <c r="DQ409" s="1104" t="e">
        <f>IF(DK408&lt;&gt;"",DQ408/DK408-1,"-")</f>
        <v>#REF!</v>
      </c>
      <c r="DR409" s="263"/>
      <c r="DS409" s="263">
        <f>IF(DM408&lt;&gt;"",DS408/DM408-1,"-")</f>
        <v>1.6540008940545361</v>
      </c>
      <c r="DT409" s="263">
        <f>IF(DN408&lt;&gt;"",DT408/DN408-1,"-")</f>
        <v>1.1997417133017656</v>
      </c>
      <c r="DU409" s="263">
        <f>IF(DO408&lt;&gt;"",DU408/DO408-1,"-")</f>
        <v>0.97753710389089488</v>
      </c>
      <c r="DV409" s="263" t="e">
        <f>IF(DP408&lt;&gt;"",DV408/DP408-1,"-")</f>
        <v>#REF!</v>
      </c>
      <c r="DW409" s="1104" t="e">
        <f>IF(DQ408&lt;&gt;"",DW408/DQ408-1,"-")</f>
        <v>#REF!</v>
      </c>
      <c r="DX409" s="263"/>
      <c r="DY409" s="263" t="e">
        <f>IF(DS408&lt;&gt;"",DY408/DS408-1,"-")</f>
        <v>#REF!</v>
      </c>
      <c r="DZ409" s="263">
        <f>IF(DT408&lt;&gt;"",DZ408/DT408-1,"-")</f>
        <v>0.50097847358121328</v>
      </c>
      <c r="EA409" s="263">
        <f>IF(DU408&lt;&gt;"",EA408/DU408-1,"-")</f>
        <v>0.46835699797160224</v>
      </c>
      <c r="EB409" s="263" t="e">
        <f>IF(DV408&lt;&gt;"",EB408/DV408-1,"-")</f>
        <v>#REF!</v>
      </c>
      <c r="EC409" s="1104" t="e">
        <f>IF(DW408&lt;&gt;"",EC408/DW408-1,"-")</f>
        <v>#REF!</v>
      </c>
      <c r="ED409" s="263"/>
      <c r="EE409" s="263" t="e">
        <f>IF(DY408&lt;&gt;"",EE408/DY408-1,"-")</f>
        <v>#REF!</v>
      </c>
      <c r="EF409" s="263" t="e">
        <f>IF(DZ408&lt;&gt;"",EF408/DZ408-1,"-")</f>
        <v>#REF!</v>
      </c>
      <c r="EG409" s="263" t="e">
        <f>IF(EA408&lt;&gt;"",EG408/EA408-1,"-")</f>
        <v>#REF!</v>
      </c>
      <c r="EH409" s="263" t="e">
        <f>IF(EB408&lt;&gt;"",EH408/EB408-1,"-")</f>
        <v>#REF!</v>
      </c>
      <c r="EI409" s="1104" t="e">
        <f>IF(EC408&lt;&gt;"",EI408/EC408-1,"-")</f>
        <v>#REF!</v>
      </c>
      <c r="EJ409" s="263"/>
      <c r="EK409" s="263" t="e">
        <f>IF(EE408&lt;&gt;"",EK408/EE408-1,"-")</f>
        <v>#REF!</v>
      </c>
      <c r="EL409" s="263" t="e">
        <f>IF(EF408&lt;&gt;"",EL408/EF408-1,"-")</f>
        <v>#REF!</v>
      </c>
      <c r="EM409" s="263" t="e">
        <f>IF(EG408&lt;&gt;"",EM408/EG408-1,"-")</f>
        <v>#REF!</v>
      </c>
      <c r="EN409" s="263" t="e">
        <f>IF(EH408&lt;&gt;"",EN408/EH408-1,"-")</f>
        <v>#REF!</v>
      </c>
      <c r="EO409" s="1104" t="e">
        <f>IF(EI408&lt;&gt;"",EO408/EI408-1,"-")</f>
        <v>#REF!</v>
      </c>
      <c r="EP409" s="263"/>
      <c r="EQ409" s="263" t="e">
        <f>IF(EK408&lt;&gt;"",EQ408/EK408-1,"-")</f>
        <v>#REF!</v>
      </c>
      <c r="ER409" s="263" t="e">
        <f>IF(EL408&lt;&gt;"",ER408/EL408-1,"-")</f>
        <v>#REF!</v>
      </c>
      <c r="ES409" s="263" t="e">
        <f>IF(EM408&lt;&gt;"",ES408/EM408-1,"-")</f>
        <v>#REF!</v>
      </c>
      <c r="ET409" s="263" t="e">
        <f>IF(EN408&lt;&gt;"",ET408/EN408-1,"-")</f>
        <v>#REF!</v>
      </c>
      <c r="EU409" s="1104" t="e">
        <f>IF(EO408&lt;&gt;"",EU408/EO408-1,"-")</f>
        <v>#REF!</v>
      </c>
    </row>
    <row r="410" spans="1:222" ht="13.5" hidden="1" thickBot="1">
      <c r="A410" s="584" t="s">
        <v>344</v>
      </c>
      <c r="B410" s="391"/>
      <c r="C410" s="391"/>
      <c r="D410" s="391"/>
      <c r="E410" s="391"/>
      <c r="F410" s="391"/>
      <c r="G410" s="391"/>
      <c r="H410" s="391"/>
      <c r="I410" s="391"/>
      <c r="J410" s="391"/>
      <c r="K410" s="391"/>
      <c r="L410" s="391"/>
      <c r="M410" s="391"/>
      <c r="N410" s="391"/>
      <c r="O410" s="391"/>
      <c r="P410" s="391"/>
      <c r="Q410" s="391"/>
      <c r="R410" s="391"/>
      <c r="S410" s="391"/>
      <c r="T410" s="391"/>
      <c r="U410" s="391"/>
      <c r="V410" s="391"/>
      <c r="W410" s="391"/>
      <c r="X410" s="391"/>
      <c r="Y410" s="391"/>
      <c r="Z410" s="391"/>
      <c r="AA410" s="391"/>
      <c r="AB410" s="391"/>
      <c r="AC410" s="391"/>
      <c r="AD410" s="391"/>
      <c r="AE410" s="391"/>
      <c r="AF410" s="391"/>
      <c r="AG410" s="392"/>
      <c r="AH410" s="392"/>
      <c r="AI410" s="392"/>
      <c r="AJ410" s="392"/>
      <c r="AK410" s="395"/>
      <c r="AL410" s="391"/>
      <c r="AM410" s="392" t="str">
        <f>IF(AJ408&lt;&gt;"",AM408/AJ408-1,"-")</f>
        <v>-</v>
      </c>
      <c r="AN410" s="392">
        <f>IF(AM408&lt;&gt;"",AN408/AM408-1,"-")</f>
        <v>-4.6840241877369349E-2</v>
      </c>
      <c r="AO410" s="392">
        <f>IF(AN408&lt;&gt;"",AO408/AN408-1,"-")</f>
        <v>5.0424035237657261E-2</v>
      </c>
      <c r="AP410" s="392">
        <f>IF(AO408&lt;&gt;"",AP408/AO408-1,"-")</f>
        <v>0.14347853298285118</v>
      </c>
      <c r="AQ410" s="395" t="s">
        <v>6442</v>
      </c>
      <c r="AR410" s="391"/>
      <c r="AS410" s="392">
        <f>IF(AP408&lt;&gt;"",AS408/AP408-1,"-")</f>
        <v>-2.3890971785117787E-2</v>
      </c>
      <c r="AT410" s="392">
        <f>IF(AS408&lt;&gt;"",AT408/AS408-1,"-")</f>
        <v>8.9996635639788991E-2</v>
      </c>
      <c r="AU410" s="392">
        <f>IF(AT408&lt;&gt;"",AU408/AT408-1,"-")</f>
        <v>4.8099182056690282E-2</v>
      </c>
      <c r="AV410" s="392">
        <f>IF(AU408&lt;&gt;"",AV408/AU408-1,"-")</f>
        <v>7.4310395602237955E-2</v>
      </c>
      <c r="AW410" s="395" t="s">
        <v>6442</v>
      </c>
      <c r="AX410" s="391"/>
      <c r="AY410" s="392">
        <f>IF(AV408&lt;&gt;"",AY408/AV408-1,"-")</f>
        <v>-0.10224780701754388</v>
      </c>
      <c r="AZ410" s="392">
        <f>IF(AY408&lt;&gt;"",AZ408/AY408-1,"-")</f>
        <v>7.1246819338422362E-2</v>
      </c>
      <c r="BA410" s="392">
        <f>IF(AZ408&lt;&gt;"",BA408/AZ408-1,"-")</f>
        <v>-3.8004750593824133E-2</v>
      </c>
      <c r="BB410" s="392">
        <f>IF(BA408&lt;&gt;"",BB408/BA408-1,"-")</f>
        <v>0.1925925925925922</v>
      </c>
      <c r="BC410" s="395" t="s">
        <v>6442</v>
      </c>
      <c r="BD410" s="391"/>
      <c r="BE410" s="392">
        <f>IF(BB408&lt;&gt;"",BE408/BB408-1,"-")</f>
        <v>-2.8985507246376385E-2</v>
      </c>
      <c r="BF410" s="392">
        <f>IF(BE408&lt;&gt;"",BF408/BE408-1,"-")</f>
        <v>-0.15991471215351816</v>
      </c>
      <c r="BG410" s="392">
        <f>IF(BF408&lt;&gt;"",BG408/BF408-1,"-")</f>
        <v>6.8527918781725594E-2</v>
      </c>
      <c r="BH410" s="392">
        <f>IF(BG408&lt;&gt;"",BH408/BG408-1,"-")</f>
        <v>0.26128266033254155</v>
      </c>
      <c r="BI410" s="395" t="s">
        <v>6442</v>
      </c>
      <c r="BJ410" s="391"/>
      <c r="BK410" s="392">
        <f>IF(BH408&lt;&gt;"",BK408/BH408-1,"-")</f>
        <v>4.5197740112993934E-2</v>
      </c>
      <c r="BL410" s="392">
        <f>IF(BK408&lt;&gt;"",BL408/BK408-1,"-")</f>
        <v>-0.1243243243243245</v>
      </c>
      <c r="BM410" s="392">
        <f>IF(BL408&lt;&gt;"",BM408/BL408-1,"-")</f>
        <v>-0.20164609053497862</v>
      </c>
      <c r="BN410" s="392">
        <f>IF(BM408&lt;&gt;"",BN408/BM408-1,"-")</f>
        <v>0.30927835051546237</v>
      </c>
      <c r="BO410" s="1165" t="s">
        <v>6442</v>
      </c>
      <c r="BP410" s="391"/>
      <c r="BQ410" s="392">
        <f>IF(BN408&lt;&gt;"",BQ408/BN408-1,"-")</f>
        <v>0.12007874015748077</v>
      </c>
      <c r="BR410" s="392">
        <f>IF(BQ408&lt;&gt;"",BR408/BQ408-1,"-")</f>
        <v>-1.7574692442882234E-2</v>
      </c>
      <c r="BS410" s="392">
        <f>IF(BR408&lt;&gt;"",BS408/BR408-1,"-")</f>
        <v>3.5778175313059046E-2</v>
      </c>
      <c r="BT410" s="392">
        <f>IF(BS408&lt;&gt;"",BT408/BS408-1,"-")</f>
        <v>0.24525043177893013</v>
      </c>
      <c r="BU410" s="1165" t="s">
        <v>6442</v>
      </c>
      <c r="BV410" s="391"/>
      <c r="BW410" s="392">
        <f>IF(BT408&lt;&gt;"",BW408/BT408-1,"-")</f>
        <v>4.9930651872399645E-2</v>
      </c>
      <c r="BX410" s="392">
        <f>IF(BW408&lt;&gt;"",BX408/BW408-1,"-")</f>
        <v>-1.4531043593131066E-2</v>
      </c>
      <c r="BY410" s="392">
        <f>IF(BX408&lt;&gt;"",BY408/BX408-1,"-")</f>
        <v>-0.10991957104557704</v>
      </c>
      <c r="BZ410" s="392">
        <f>IF(BY408&lt;&gt;"",BZ408/BY408-1,"-")</f>
        <v>0.16114457831325368</v>
      </c>
      <c r="CA410" s="1165" t="s">
        <v>6442</v>
      </c>
      <c r="CB410" s="391"/>
      <c r="CC410" s="392">
        <f>IF(BZ408&lt;&gt;"",CC408/BZ408-1,"-")</f>
        <v>-0.15693904020752292</v>
      </c>
      <c r="CD410" s="392">
        <f>IF(CC408&lt;&gt;"",CD408/CC408-1,"-")</f>
        <v>-0.10923076923076958</v>
      </c>
      <c r="CE410" s="392">
        <f>IF(CD408&lt;&gt;"",CE408/CD408-1,"-")</f>
        <v>-0.14507772020725351</v>
      </c>
      <c r="CF410" s="392">
        <f>IF(CE408&lt;&gt;"",CF408/CE408-1,"-")</f>
        <v>6.0606060606060552E-2</v>
      </c>
      <c r="CG410" s="1165" t="s">
        <v>6442</v>
      </c>
      <c r="CH410" s="391"/>
      <c r="CI410" s="392">
        <f>IF(CF408&lt;&gt;"",CI408/CF408-1,"-")</f>
        <v>-1.5238095238094385E-2</v>
      </c>
      <c r="CJ410" s="392">
        <f>IF(CI408&lt;&gt;"",CJ408/CI408-1,"-")</f>
        <v>2.707930367504785E-2</v>
      </c>
      <c r="CK410" s="392">
        <f>IF(CJ408&lt;&gt;"",CK408/CJ408-1,"-")</f>
        <v>7.5329566854990482E-2</v>
      </c>
      <c r="CL410" s="392">
        <f>IF(CK408&lt;&gt;"",CL408/CK408-1,"-")</f>
        <v>0.38178633975481513</v>
      </c>
      <c r="CM410" s="1165" t="s">
        <v>6442</v>
      </c>
      <c r="CN410" s="391"/>
      <c r="CO410" s="392">
        <f>IF(CL408&lt;&gt;"",CO408/CL408-1,"-")</f>
        <v>6.3371356147021718E-3</v>
      </c>
      <c r="CP410" s="392">
        <f>IF(CO408&lt;&gt;"",CP408/CO408-1,"-")</f>
        <v>-3.7783375314861423E-2</v>
      </c>
      <c r="CQ410" s="392">
        <f>IF(CP408&lt;&gt;"",CQ408/CP408-1,"-")</f>
        <v>-0.12434554973821998</v>
      </c>
      <c r="CR410" s="392">
        <f>IF(CQ408&lt;&gt;"",CR408/CQ408-1,"-")</f>
        <v>0.28849028400597843</v>
      </c>
      <c r="CS410" s="1165" t="s">
        <v>6442</v>
      </c>
      <c r="CT410" s="395"/>
      <c r="CU410" s="392">
        <f>IF(CR408&lt;&gt;"",CU408/CR408-1,"-")</f>
        <v>-0.20069605568445303</v>
      </c>
      <c r="CV410" s="392">
        <f>IF(CU408&lt;&gt;"",CV408/CU408-1,"-")</f>
        <v>-5.6603773584906869E-2</v>
      </c>
      <c r="CW410" s="392">
        <f>IF(CV408&lt;&gt;"",CW408/CV408-1,"-")</f>
        <v>1.076923076923153E-2</v>
      </c>
      <c r="CX410" s="392">
        <f>IF(CW408&lt;&gt;"",CX408/CW408-1,"-")</f>
        <v>0.24200913242009081</v>
      </c>
      <c r="CY410" s="1165" t="s">
        <v>6442</v>
      </c>
      <c r="CZ410" s="395"/>
      <c r="DA410" s="392">
        <f>IF(CX408&lt;&gt;"",DA408/CX408-1,"-")</f>
        <v>-6.3725490196077539E-2</v>
      </c>
      <c r="DB410" s="392">
        <f>IF(CY408&lt;&gt;"",DB408/CY408-1,"-")</f>
        <v>-0.14828431372549045</v>
      </c>
      <c r="DC410" s="392">
        <f>IF(DB408&lt;&gt;"",DC408/DB408-1,"-")</f>
        <v>-4.0287769784173588E-2</v>
      </c>
      <c r="DD410" s="392">
        <f>IF(DC408&lt;&gt;"",DD408/DC408-1,"-")</f>
        <v>0.67316341829085657</v>
      </c>
      <c r="DE410" s="1165" t="s">
        <v>6442</v>
      </c>
      <c r="DF410" s="395"/>
      <c r="DG410" s="392">
        <f>IF(DD408&lt;&gt;"",DG408/DD408-1,"-")</f>
        <v>3.4946236559139532E-2</v>
      </c>
      <c r="DH410" s="392">
        <f>IF(DG408&lt;&gt;"",DH408/DG408-1,"-")</f>
        <v>0.2277056277056273</v>
      </c>
      <c r="DI410" s="392" t="str">
        <f>IF(DF408&lt;&gt;"",DI408/DF408-1,"-")</f>
        <v>-</v>
      </c>
      <c r="DJ410" s="392">
        <f>IF(DI408&lt;&gt;"",DJ408/DI408-1,"-")</f>
        <v>0.31638755980861144</v>
      </c>
      <c r="DK410" s="1165" t="s">
        <v>6442</v>
      </c>
      <c r="DL410" s="391"/>
      <c r="DM410" s="392">
        <f>IF(DJ408&lt;&gt;"",DM408/DJ408-1,"-")</f>
        <v>1.6356201726488662E-2</v>
      </c>
      <c r="DN410" s="392">
        <f>IF(DM408&lt;&gt;"",DN408/DM408-1,"-")</f>
        <v>3.8444345105050903E-2</v>
      </c>
      <c r="DO410" s="392">
        <f>IF(DN408&lt;&gt;"",DO408/DN408-1,"-")</f>
        <v>7.3181231166594918E-2</v>
      </c>
      <c r="DP410" s="392" t="e">
        <f>IF(DO408&lt;&gt;"",DP408/DO408-1,"-")</f>
        <v>#REF!</v>
      </c>
      <c r="DQ410" s="1165" t="s">
        <v>6442</v>
      </c>
      <c r="DR410" s="141"/>
      <c r="DS410" s="392" t="e">
        <f>IF(DP408&lt;&gt;"",DS408/DP408-1,"-")</f>
        <v>#REF!</v>
      </c>
      <c r="DT410" s="392">
        <f>IF(DS408&lt;&gt;"",DT408/DS408-1,"-")</f>
        <v>-0.13929594071079643</v>
      </c>
      <c r="DU410" s="392">
        <f>IF(DT408&lt;&gt;"",DU408/DT408-1,"-")</f>
        <v>-3.5225048923679059E-2</v>
      </c>
      <c r="DV410" s="392" t="e">
        <f>IF(DU408&lt;&gt;"",DV408/DU408-1,"-")</f>
        <v>#REF!</v>
      </c>
      <c r="DW410" s="1165" t="s">
        <v>6442</v>
      </c>
      <c r="DX410" s="141"/>
      <c r="DY410" s="392" t="e">
        <f>IF(DV408&lt;&gt;"",DY408/DV408-1,"-")</f>
        <v>#REF!</v>
      </c>
      <c r="DZ410" s="392" t="e">
        <f>IF(DY408&lt;&gt;"",DZ408/DY408-1,"-")</f>
        <v>#REF!</v>
      </c>
      <c r="EA410" s="392">
        <f>IF(DZ408&lt;&gt;"",EA408/DZ408-1,"-")</f>
        <v>-5.6192959582790247E-2</v>
      </c>
      <c r="EB410" s="392" t="e">
        <f>IF(EA408&lt;&gt;"",EB408/EA408-1,"-")</f>
        <v>#REF!</v>
      </c>
      <c r="EC410" s="1165" t="s">
        <v>6442</v>
      </c>
      <c r="ED410" s="141"/>
      <c r="EE410" s="1461">
        <v>-0.41</v>
      </c>
      <c r="EF410" s="1461">
        <v>-0.31</v>
      </c>
      <c r="EG410" s="1461">
        <v>-0.26</v>
      </c>
      <c r="EH410" s="1461">
        <v>0.6</v>
      </c>
      <c r="EI410" s="1165" t="s">
        <v>6442</v>
      </c>
      <c r="EJ410" s="141"/>
      <c r="EK410" s="1461">
        <v>-0.65</v>
      </c>
      <c r="EL410" s="1461">
        <v>-0.5</v>
      </c>
      <c r="EM410" s="1461">
        <v>-0.45</v>
      </c>
      <c r="EN410" s="1461">
        <v>0.35</v>
      </c>
      <c r="EO410" s="1165" t="s">
        <v>6442</v>
      </c>
      <c r="EP410" s="141"/>
      <c r="EQ410" s="1461">
        <v>-0.65</v>
      </c>
      <c r="ER410" s="1461">
        <v>-0.5</v>
      </c>
      <c r="ES410" s="1461">
        <v>-0.45</v>
      </c>
      <c r="ET410" s="1461">
        <v>0.35</v>
      </c>
      <c r="EU410" s="1165" t="s">
        <v>6442</v>
      </c>
    </row>
    <row r="411" spans="1:222" ht="7.5" hidden="1" customHeight="1">
      <c r="A411" s="583"/>
      <c r="B411" s="147"/>
      <c r="C411" s="147"/>
      <c r="D411" s="147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263"/>
      <c r="AH411" s="263"/>
      <c r="AI411" s="263"/>
      <c r="AJ411" s="263"/>
      <c r="AK411" s="141"/>
      <c r="AL411" s="147"/>
      <c r="AM411" s="263"/>
      <c r="AN411" s="263"/>
      <c r="AO411" s="263"/>
      <c r="AP411" s="263"/>
      <c r="AQ411" s="141"/>
      <c r="AR411" s="147"/>
      <c r="AS411" s="263"/>
      <c r="AT411" s="263"/>
      <c r="AU411" s="263"/>
      <c r="AV411" s="263"/>
      <c r="AW411" s="141"/>
      <c r="AX411" s="147"/>
      <c r="AY411" s="263"/>
      <c r="AZ411" s="263"/>
      <c r="BA411" s="263"/>
      <c r="BB411" s="263"/>
      <c r="BC411" s="141"/>
      <c r="BD411" s="147"/>
      <c r="BE411" s="263"/>
      <c r="BF411" s="141"/>
      <c r="BG411" s="141"/>
      <c r="BH411" s="141"/>
      <c r="BI411" s="141"/>
      <c r="BJ411" s="147"/>
      <c r="BK411" s="147"/>
      <c r="BL411" s="147"/>
      <c r="BM411" s="147"/>
      <c r="BN411" s="147"/>
      <c r="BO411" s="1096"/>
      <c r="BP411" s="147"/>
      <c r="BQ411" s="147"/>
      <c r="BR411" s="147"/>
      <c r="BS411" s="147"/>
      <c r="BT411" s="147"/>
      <c r="BU411" s="1096"/>
      <c r="BV411" s="147"/>
      <c r="BW411" s="147"/>
      <c r="BX411" s="147"/>
      <c r="BY411" s="147"/>
      <c r="BZ411" s="147"/>
      <c r="CA411" s="1096"/>
      <c r="CB411" s="147"/>
      <c r="CC411" s="147"/>
      <c r="CD411" s="147"/>
      <c r="CE411" s="147"/>
      <c r="CF411" s="147"/>
      <c r="CG411" s="1096"/>
      <c r="CH411" s="147"/>
      <c r="CI411" s="147"/>
      <c r="CJ411" s="147"/>
      <c r="CK411" s="141"/>
      <c r="CL411" s="141"/>
      <c r="CM411" s="1096"/>
      <c r="CN411" s="147"/>
      <c r="CO411" s="147"/>
      <c r="CP411" s="147"/>
      <c r="CQ411" s="147"/>
      <c r="CR411" s="147"/>
      <c r="CS411" s="1096"/>
      <c r="CT411" s="147"/>
      <c r="CU411" s="147"/>
      <c r="CV411" s="147"/>
      <c r="CW411" s="147"/>
      <c r="CX411" s="147"/>
      <c r="CY411" s="1096"/>
      <c r="CZ411" s="147"/>
      <c r="DA411" s="147"/>
      <c r="DB411" s="147"/>
      <c r="DC411" s="147"/>
      <c r="DD411" s="147"/>
      <c r="DE411" s="1096"/>
      <c r="DF411" s="147"/>
      <c r="DG411" s="147"/>
      <c r="DH411" s="147"/>
      <c r="DI411" s="147"/>
      <c r="DJ411" s="147"/>
      <c r="DK411" s="1096"/>
      <c r="DL411" s="147"/>
      <c r="DM411" s="147"/>
      <c r="DN411" s="147"/>
      <c r="DO411" s="147"/>
      <c r="DP411" s="147"/>
      <c r="DQ411" s="1096"/>
      <c r="DR411" s="147"/>
      <c r="DS411" s="147"/>
      <c r="DT411" s="147"/>
      <c r="DU411" s="147"/>
      <c r="DV411" s="147"/>
      <c r="DW411" s="1096"/>
      <c r="DX411" s="147"/>
      <c r="DY411" s="147"/>
      <c r="DZ411" s="147"/>
      <c r="EA411" s="147"/>
      <c r="EB411" s="147"/>
      <c r="EC411" s="1096"/>
      <c r="ED411" s="147"/>
      <c r="EE411" s="147"/>
      <c r="EF411" s="147"/>
      <c r="EG411" s="147"/>
      <c r="EH411" s="147"/>
      <c r="EI411" s="1096"/>
      <c r="EJ411" s="147"/>
      <c r="EK411" s="147"/>
      <c r="EL411" s="147"/>
      <c r="EM411" s="147"/>
      <c r="EN411" s="147"/>
      <c r="EO411" s="1096"/>
      <c r="EP411" s="147"/>
      <c r="EQ411" s="147"/>
      <c r="ER411" s="147"/>
      <c r="ES411" s="147"/>
      <c r="ET411" s="147"/>
      <c r="EU411" s="1096"/>
    </row>
    <row r="412" spans="1:222" s="1985" customFormat="1" ht="13.5" customHeight="1">
      <c r="A412" s="2297" t="s">
        <v>5587</v>
      </c>
      <c r="B412" s="589"/>
      <c r="C412" s="589"/>
      <c r="D412" s="589"/>
      <c r="E412" s="589"/>
      <c r="F412" s="589"/>
      <c r="G412" s="589"/>
      <c r="H412" s="589"/>
      <c r="I412" s="589"/>
      <c r="J412" s="589"/>
      <c r="K412" s="589"/>
      <c r="L412" s="589"/>
      <c r="M412" s="589"/>
      <c r="N412" s="589"/>
      <c r="O412" s="589"/>
      <c r="P412" s="589"/>
      <c r="Q412" s="589"/>
      <c r="R412" s="589"/>
      <c r="S412" s="589"/>
      <c r="T412" s="589"/>
      <c r="U412" s="589"/>
      <c r="V412" s="589"/>
      <c r="W412" s="589"/>
      <c r="X412" s="589"/>
      <c r="Y412" s="589"/>
      <c r="Z412" s="589"/>
      <c r="AA412" s="589"/>
      <c r="AB412" s="589"/>
      <c r="AC412" s="589"/>
      <c r="AD412" s="589"/>
      <c r="AE412" s="589"/>
      <c r="AF412" s="589"/>
      <c r="AG412" s="2298"/>
      <c r="AH412" s="2298"/>
      <c r="AI412" s="2298"/>
      <c r="AJ412" s="2298"/>
      <c r="AK412" s="981"/>
      <c r="AL412" s="589"/>
      <c r="AM412" s="591">
        <f>AM391-AJ391+Model!AM31</f>
        <v>231.87</v>
      </c>
      <c r="AN412" s="591">
        <f>AN391-AM391+Model!AN31</f>
        <v>217.60599999999999</v>
      </c>
      <c r="AO412" s="591">
        <f>AO391-AN391+Model!AO31</f>
        <v>191.13499999999999</v>
      </c>
      <c r="AP412" s="591">
        <f>AP391-AO391+Model!AP31</f>
        <v>212.101</v>
      </c>
      <c r="AQ412" s="591">
        <f>SUM(AM412:AP412)</f>
        <v>852.71199999999999</v>
      </c>
      <c r="AR412" s="589"/>
      <c r="AS412" s="591">
        <f>AS391-AP391+Model!AS31</f>
        <v>213.69299999999998</v>
      </c>
      <c r="AT412" s="591">
        <f>AT391-AS391+Model!AT31</f>
        <v>219.91499999999996</v>
      </c>
      <c r="AU412" s="591">
        <f>AU391-AT391+Model!AU31</f>
        <v>236.732</v>
      </c>
      <c r="AV412" s="591">
        <f>AV391-AU391+Model!AV31</f>
        <v>315.33800000000008</v>
      </c>
      <c r="AW412" s="591">
        <f>SUM(AS412:AV412)</f>
        <v>985.678</v>
      </c>
      <c r="AX412" s="589"/>
      <c r="AY412" s="591">
        <f>AY391-AV391+Model!AY31</f>
        <v>307.82400000000001</v>
      </c>
      <c r="AZ412" s="591">
        <f>AZ391-AY391+Model!AZ31</f>
        <v>294</v>
      </c>
      <c r="BA412" s="591">
        <f>BA391-AZ391+Model!BA31</f>
        <v>305.70000000000005</v>
      </c>
      <c r="BB412" s="591">
        <f>BB391-BA391+Model!BB31</f>
        <v>393.19999999999993</v>
      </c>
      <c r="BC412" s="591">
        <f>SUM(AY412:BB412)</f>
        <v>1300.7240000000002</v>
      </c>
      <c r="BD412" s="591"/>
      <c r="BE412" s="591">
        <f>BE391-BB391+Model!BE31</f>
        <v>383</v>
      </c>
      <c r="BF412" s="591">
        <f>BF391-BE391+Model!BF31</f>
        <v>382.4</v>
      </c>
      <c r="BG412" s="591">
        <f>BG391-BF391+Model!BG31</f>
        <v>390</v>
      </c>
      <c r="BH412" s="591">
        <f>BH391-BG391+Model!BH31</f>
        <v>459.20000000000005</v>
      </c>
      <c r="BI412" s="591">
        <f>SUM(BE412:BH412)</f>
        <v>1614.6000000000001</v>
      </c>
      <c r="BJ412" s="589"/>
      <c r="BK412" s="591">
        <f>BK391-BH391+Model!BK31</f>
        <v>477.4</v>
      </c>
      <c r="BL412" s="591">
        <f>BL391-BK391+Model!BL31</f>
        <v>453.90000000000003</v>
      </c>
      <c r="BM412" s="591">
        <f>BM391-BL391+Model!BM31</f>
        <v>458.40000000000003</v>
      </c>
      <c r="BN412" s="591">
        <f>BN391-BM391+Model!BN31</f>
        <v>562.39999999999986</v>
      </c>
      <c r="BO412" s="1162">
        <f>SUM(BK412:BN412)</f>
        <v>1952.1</v>
      </c>
      <c r="BP412" s="589"/>
      <c r="BQ412" s="591">
        <f>BQ391-BN391+Model!BQ31</f>
        <v>529.70000000000005</v>
      </c>
      <c r="BR412" s="591">
        <f>BR391-BQ391+Model!BR31</f>
        <v>537.90000000000009</v>
      </c>
      <c r="BS412" s="591">
        <f>BS391-BR391+Model!BS31</f>
        <v>550.4</v>
      </c>
      <c r="BT412" s="591">
        <f>BT391-BS391+Model!BT31</f>
        <v>681.30000000000007</v>
      </c>
      <c r="BU412" s="1162">
        <f>SUM(BQ412:BT412)</f>
        <v>2299.3000000000002</v>
      </c>
      <c r="BV412" s="589"/>
      <c r="BW412" s="591">
        <f>BW391-BT391+Model!BW31</f>
        <v>642.4</v>
      </c>
      <c r="BX412" s="591">
        <f>BX391-BW391+Model!BX31</f>
        <v>632.4</v>
      </c>
      <c r="BY412" s="591">
        <f>BY391-BX391+Model!BY31</f>
        <v>543.9</v>
      </c>
      <c r="BZ412" s="591">
        <f>BZ391-BY391+Model!BZ31</f>
        <v>542.5</v>
      </c>
      <c r="CA412" s="1162">
        <f>SUM(BW412:BZ412)</f>
        <v>2361.1999999999998</v>
      </c>
      <c r="CB412" s="589"/>
      <c r="CC412" s="591">
        <f>CC391-BZ391+Model!CC31</f>
        <v>407.69999999999993</v>
      </c>
      <c r="CD412" s="591">
        <f>CD391-CC391+Model!CD31</f>
        <v>382.79999999999995</v>
      </c>
      <c r="CE412" s="591">
        <f>CE391-CD391+Model!CE31</f>
        <v>384.5</v>
      </c>
      <c r="CF412" s="591">
        <f>CF391-CE391+Model!CF31</f>
        <v>503.1</v>
      </c>
      <c r="CG412" s="1162">
        <f>SUM(CC412:CF412)</f>
        <v>1678.1</v>
      </c>
      <c r="CH412" s="589"/>
      <c r="CI412" s="591">
        <f>CI391-CF391+Model!CI31</f>
        <v>501.80000000000007</v>
      </c>
      <c r="CJ412" s="591">
        <f>CJ391-CI391+Model!CJ31</f>
        <v>455.19999999999993</v>
      </c>
      <c r="CK412" s="591">
        <f>CK391-CJ391+Model!CK31</f>
        <v>457.7</v>
      </c>
      <c r="CL412" s="591">
        <f>CL391-CK391+Model!CL31</f>
        <v>608.5</v>
      </c>
      <c r="CM412" s="1162">
        <f>SUM(CI412:CL412)</f>
        <v>2023.2</v>
      </c>
      <c r="CN412" s="589"/>
      <c r="CO412" s="591">
        <f>CO391-CL391+Model!CO31</f>
        <v>562.79999999999995</v>
      </c>
      <c r="CP412" s="591">
        <f>CP391-CO391+Model!CP31</f>
        <v>566.29999999999995</v>
      </c>
      <c r="CQ412" s="591">
        <f>CQ391-CP391+Model!CQ31</f>
        <v>526.09999999999991</v>
      </c>
      <c r="CR412" s="591">
        <f>CR391-CQ391+Model!CR31</f>
        <v>691.69999999999993</v>
      </c>
      <c r="CS412" s="1162">
        <f>SUM(CO412:CR412)</f>
        <v>2346.8999999999996</v>
      </c>
      <c r="CT412" s="591"/>
      <c r="CU412" s="591">
        <f>CU391-CR391+Model!CU31</f>
        <v>596.30000000000018</v>
      </c>
      <c r="CV412" s="591">
        <f>CV391-CU391+Model!CV31</f>
        <v>594.09999999999991</v>
      </c>
      <c r="CW412" s="591">
        <f>CW391-CV391+Model!CW31</f>
        <v>509.70000000000005</v>
      </c>
      <c r="CX412" s="591">
        <f>CX391-CW391+Model!CX31</f>
        <v>727.9</v>
      </c>
      <c r="CY412" s="1162">
        <f>SUM(CU412:CX412)</f>
        <v>2428</v>
      </c>
      <c r="CZ412" s="591"/>
      <c r="DA412" s="591">
        <f>DA391-CX391+Model!DA31</f>
        <v>587.20000000000005</v>
      </c>
      <c r="DB412" s="591">
        <f>DB391-DA391+Model!DB31</f>
        <v>515.79999999999995</v>
      </c>
      <c r="DC412" s="591">
        <f>DC391-DB391+Model!DC31</f>
        <v>515.4</v>
      </c>
      <c r="DD412" s="591">
        <f>DD391-DC391+Model!DD31</f>
        <v>721.5</v>
      </c>
      <c r="DE412" s="1162">
        <f>SUM(DA412:DD412)</f>
        <v>2339.9</v>
      </c>
      <c r="DF412" s="591"/>
      <c r="DG412" s="591">
        <f>DG391-DD391+Model!DG31</f>
        <v>655.4</v>
      </c>
      <c r="DH412" s="591">
        <f>DH391-DG391+Model!DH31</f>
        <v>654.39999999999986</v>
      </c>
      <c r="DI412" s="591">
        <f>DI391-DH391+Model!DI31</f>
        <v>643.40000000000009</v>
      </c>
      <c r="DJ412" s="591">
        <f>DJ391-DI391+Model!DJ31</f>
        <v>815.49999999999989</v>
      </c>
      <c r="DK412" s="1162">
        <f>SUM(DG412:DJ412)</f>
        <v>2768.7</v>
      </c>
      <c r="DL412" s="589"/>
      <c r="DM412" s="591">
        <f>DM391-DJ391+Model!DM31</f>
        <v>643.10000000000014</v>
      </c>
      <c r="DN412" s="591">
        <f>DN391-DM391+Model!DN31</f>
        <v>692.09999999999991</v>
      </c>
      <c r="DO412" s="591">
        <f>DO391-DN391+Model!DO31</f>
        <v>575.79999999999995</v>
      </c>
      <c r="DP412" s="591">
        <f>DP391-DO391+Model!DP31</f>
        <v>955.2</v>
      </c>
      <c r="DQ412" s="1162">
        <f>SUM(DM412:DP412)</f>
        <v>2866.2</v>
      </c>
      <c r="DR412" s="591"/>
      <c r="DS412" s="591">
        <f>DS391-DP391+Model!DS31</f>
        <v>516.39999999999975</v>
      </c>
      <c r="DT412" s="591">
        <f>DT391-DS391+Model!DT31</f>
        <v>547.00000000000023</v>
      </c>
      <c r="DU412" s="591">
        <f>DU391-DT391+Model!DU31</f>
        <v>502.6</v>
      </c>
      <c r="DV412" s="591">
        <f>DV391-DU391+Model!DV31</f>
        <v>733.8</v>
      </c>
      <c r="DW412" s="1162">
        <f>SUM(DS412:DV412)</f>
        <v>2299.8000000000002</v>
      </c>
      <c r="DX412" s="591"/>
      <c r="DY412" s="591">
        <f>DY391-DV391+Model!DY31</f>
        <v>499.2</v>
      </c>
      <c r="DZ412" s="591">
        <f>DZ391-DY391+Model!DZ31</f>
        <v>476.29999999999995</v>
      </c>
      <c r="EA412" s="591">
        <f>EA391-DZ391+Model!EA31</f>
        <v>503.19999999999982</v>
      </c>
      <c r="EB412" s="591">
        <f>EB391-EA391+Model!EB31</f>
        <v>745</v>
      </c>
      <c r="EC412" s="1162">
        <f>SUM(DY412:EB412)</f>
        <v>2223.6999999999998</v>
      </c>
      <c r="ED412" s="591"/>
      <c r="EE412" s="591">
        <f>EE415*$EI$412</f>
        <v>619.03692193561403</v>
      </c>
      <c r="EF412" s="591">
        <f t="shared" ref="EF412:EH412" si="309">EF415*$EI$412</f>
        <v>647.17496384177832</v>
      </c>
      <c r="EG412" s="591">
        <f t="shared" si="309"/>
        <v>619.03692193561403</v>
      </c>
      <c r="EH412" s="591">
        <f t="shared" si="309"/>
        <v>928.55538290342088</v>
      </c>
      <c r="EI412" s="1162">
        <f>'Biz Transition Scenarios'!M195</f>
        <v>2813.8041906164271</v>
      </c>
      <c r="EJ412" s="591"/>
      <c r="EK412" s="591">
        <f>EK415*$EO$412</f>
        <v>783.59367039644644</v>
      </c>
      <c r="EL412" s="591">
        <f t="shared" ref="EL412:EN412" si="310">EL415*$EO$412</f>
        <v>819.2115645053758</v>
      </c>
      <c r="EM412" s="591">
        <f t="shared" si="310"/>
        <v>783.59367039644644</v>
      </c>
      <c r="EN412" s="591">
        <f t="shared" si="310"/>
        <v>1175.3905055946695</v>
      </c>
      <c r="EO412" s="1162">
        <f>'Biz Transition Scenarios'!N195</f>
        <v>3561.7894108929381</v>
      </c>
      <c r="EP412" s="591"/>
      <c r="EQ412" s="591">
        <f>EQ415*$EU$412</f>
        <v>908.84046170567103</v>
      </c>
      <c r="ER412" s="591">
        <f t="shared" ref="ER412:ET412" si="311">ER415*$EU$412</f>
        <v>950.15139178320157</v>
      </c>
      <c r="ES412" s="591">
        <f t="shared" si="311"/>
        <v>908.84046170567103</v>
      </c>
      <c r="ET412" s="591">
        <f t="shared" si="311"/>
        <v>1363.2606925585064</v>
      </c>
      <c r="EU412" s="1162">
        <f>'Biz Transition Scenarios'!O195</f>
        <v>4131.0930077530502</v>
      </c>
    </row>
    <row r="413" spans="1:222" ht="12.75" customHeight="1">
      <c r="A413" s="393" t="s">
        <v>345</v>
      </c>
      <c r="B413" s="147"/>
      <c r="C413" s="147"/>
      <c r="D413" s="147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263" t="str">
        <f>IF(AG412&lt;&gt;"",AM412/AG412-1,"-")</f>
        <v>-</v>
      </c>
      <c r="AN413" s="263" t="str">
        <f>IF(AH412&lt;&gt;"",AN412/AH412-1,"-")</f>
        <v>-</v>
      </c>
      <c r="AO413" s="263" t="str">
        <f>IF(AI412&lt;&gt;"",AO412/AI412-1,"-")</f>
        <v>-</v>
      </c>
      <c r="AP413" s="263" t="str">
        <f>IF(AJ412&lt;&gt;"",AP412/AJ412-1,"-")</f>
        <v>-</v>
      </c>
      <c r="AQ413" s="263" t="str">
        <f>IF(AK412&lt;&gt;"",AQ412/AK412-1,"-")</f>
        <v>-</v>
      </c>
      <c r="AR413" s="147"/>
      <c r="AS413" s="263">
        <f>IF(AM412&lt;&gt;"",AS412/AM412-1,"-")</f>
        <v>-7.8393065079570556E-2</v>
      </c>
      <c r="AT413" s="263">
        <f>IF(AN412&lt;&gt;"",AT412/AN412-1,"-")</f>
        <v>1.0610920654761324E-2</v>
      </c>
      <c r="AU413" s="263">
        <f>IF(AO412&lt;&gt;"",AU412/AO412-1,"-")</f>
        <v>0.23855913359667258</v>
      </c>
      <c r="AV413" s="263">
        <f>IF(AP412&lt;&gt;"",AV412/AP412-1,"-")</f>
        <v>0.48673509318673691</v>
      </c>
      <c r="AW413" s="263">
        <f>IF(AQ412&lt;&gt;"",AW412/AQ412-1,"-")</f>
        <v>0.15593307001660595</v>
      </c>
      <c r="AX413" s="147"/>
      <c r="AY413" s="263">
        <f>IF(AS412&lt;&gt;"",AY412/AS412-1,"-")</f>
        <v>0.44049641307857557</v>
      </c>
      <c r="AZ413" s="263">
        <f>IF(AT412&lt;&gt;"",AZ412/AT412-1,"-")</f>
        <v>0.33688015824295769</v>
      </c>
      <c r="BA413" s="263">
        <f>IF(AU412&lt;&gt;"",BA412/AU412-1,"-")</f>
        <v>0.29133366000371752</v>
      </c>
      <c r="BB413" s="263">
        <f>IF(AV412&lt;&gt;"",BB412/AV412-1,"-")</f>
        <v>0.2469160075855108</v>
      </c>
      <c r="BC413" s="263">
        <f>IF(AW412&lt;&gt;"",BC412/AW412-1,"-")</f>
        <v>0.31962364991406944</v>
      </c>
      <c r="BD413" s="147"/>
      <c r="BE413" s="263">
        <f>IF(AY412&lt;&gt;"",BE412/AY412-1,"-")</f>
        <v>0.24421747492073398</v>
      </c>
      <c r="BF413" s="263">
        <f>IF(AZ412&lt;&gt;"",BF412/AZ412-1,"-")</f>
        <v>0.30068027210884352</v>
      </c>
      <c r="BG413" s="263">
        <f>IF(BA412&lt;&gt;"",BG412/BA412-1,"-")</f>
        <v>0.27576054955839036</v>
      </c>
      <c r="BH413" s="263">
        <f>IF(BB412&lt;&gt;"",BH412/BB412-1,"-")</f>
        <v>0.16785350966429324</v>
      </c>
      <c r="BI413" s="263">
        <f>IF(BC412&lt;&gt;"",BI412/BC412-1,"-")</f>
        <v>0.24130868654687698</v>
      </c>
      <c r="BJ413" s="147"/>
      <c r="BK413" s="263">
        <f>IF(BE412&lt;&gt;"",BK412/BE412-1,"-")</f>
        <v>0.24647519582245425</v>
      </c>
      <c r="BL413" s="263">
        <f>IF(BF412&lt;&gt;"",BL412/BF412-1,"-")</f>
        <v>0.18697698744769897</v>
      </c>
      <c r="BM413" s="263">
        <f>IF(BG412&lt;&gt;"",BM412/BG412-1,"-")</f>
        <v>0.17538461538461547</v>
      </c>
      <c r="BN413" s="263">
        <f>IF(BH412&lt;&gt;"",BN412/BH412-1,"-")</f>
        <v>0.22473867595818775</v>
      </c>
      <c r="BO413" s="1104">
        <f>IF(BI412&lt;&gt;"",BO412/BI412-1,"-")</f>
        <v>0.20903010033444791</v>
      </c>
      <c r="BP413" s="147"/>
      <c r="BQ413" s="263">
        <f>IF(BK412&lt;&gt;"",BQ412/BK412-1,"-")</f>
        <v>0.1095517385839968</v>
      </c>
      <c r="BR413" s="263">
        <f>IF(BL412&lt;&gt;"",BR412/BL412-1,"-")</f>
        <v>0.18506278916060825</v>
      </c>
      <c r="BS413" s="263">
        <f>IF(BM412&lt;&gt;"",BS412/BM412-1,"-")</f>
        <v>0.20069808027923197</v>
      </c>
      <c r="BT413" s="263">
        <f>IF(BN412&lt;&gt;"",BT412/BN412-1,"-")</f>
        <v>0.21141536273115258</v>
      </c>
      <c r="BU413" s="1104">
        <f>IF(BO412&lt;&gt;"",BU412/BO412-1,"-")</f>
        <v>0.17785974079196776</v>
      </c>
      <c r="BV413" s="147"/>
      <c r="BW413" s="263">
        <f>IF(BQ412&lt;&gt;"",BW412/BQ412-1,"-")</f>
        <v>0.21276194072116272</v>
      </c>
      <c r="BX413" s="263">
        <f>IF(BR412&lt;&gt;"",BX412/BR412-1,"-")</f>
        <v>0.1756832124930281</v>
      </c>
      <c r="BY413" s="263">
        <f>IF(BS412&lt;&gt;"",BY412/BS412-1,"-")</f>
        <v>-1.1809593023255793E-2</v>
      </c>
      <c r="BZ413" s="263">
        <f>IF(BT412&lt;&gt;"",BZ412/BT412-1,"-")</f>
        <v>-0.20372816674005589</v>
      </c>
      <c r="CA413" s="1104">
        <f>IF(BU412&lt;&gt;"",CA412/BU412-1,"-")</f>
        <v>2.6921236898186152E-2</v>
      </c>
      <c r="CB413" s="147"/>
      <c r="CC413" s="263">
        <f>IF(BW412&lt;&gt;"",CC412/BW412-1,"-")</f>
        <v>-0.365348692403487</v>
      </c>
      <c r="CD413" s="263">
        <f>IF(BX412&lt;&gt;"",CD412/BX412-1,"-")</f>
        <v>-0.39468690702087295</v>
      </c>
      <c r="CE413" s="263">
        <f>IF(BY412&lt;&gt;"",CE412/BY412-1,"-")</f>
        <v>-0.29306857878286452</v>
      </c>
      <c r="CF413" s="263">
        <f>IF(BZ412&lt;&gt;"",CF412/BZ412-1,"-")</f>
        <v>-7.2626728110599004E-2</v>
      </c>
      <c r="CG413" s="1104">
        <f>IF(CA412&lt;&gt;"",CG412/CA412-1,"-")</f>
        <v>-0.28930204980518381</v>
      </c>
      <c r="CH413" s="147"/>
      <c r="CI413" s="263">
        <f>IF(CC412&lt;&gt;"",CI412/CC412-1,"-")</f>
        <v>0.23080696590630412</v>
      </c>
      <c r="CJ413" s="263">
        <f>IF(CD412&lt;&gt;"",CJ412/CD412-1,"-")</f>
        <v>0.18913270637408575</v>
      </c>
      <c r="CK413" s="263">
        <f>IF(CE412&lt;&gt;"",CK412/CE412-1,"-")</f>
        <v>0.19037711313394023</v>
      </c>
      <c r="CL413" s="263">
        <f>IF(CF412&lt;&gt;"",CL412/CF412-1,"-")</f>
        <v>0.20950109322202337</v>
      </c>
      <c r="CM413" s="1104">
        <f>IF(CG412&lt;&gt;"",CM412/CG412-1,"-")</f>
        <v>0.20564924617126512</v>
      </c>
      <c r="CN413" s="147"/>
      <c r="CO413" s="263">
        <f>IF(CI412&lt;&gt;"",CO412/CI412-1,"-")</f>
        <v>0.12156237544838566</v>
      </c>
      <c r="CP413" s="263">
        <f>IF(CJ412&lt;&gt;"",CP412/CJ412-1,"-")</f>
        <v>0.24406854130052724</v>
      </c>
      <c r="CQ413" s="263">
        <f>IF(CK412&lt;&gt;"",CQ412/CK412-1,"-")</f>
        <v>0.14944286650644512</v>
      </c>
      <c r="CR413" s="263">
        <f>IF(CL412&lt;&gt;"",CR412/CL412-1,"-")</f>
        <v>0.13672966310599821</v>
      </c>
      <c r="CS413" s="1104">
        <f>IF(CM412&lt;&gt;"",CS412/CM412-1,"-")</f>
        <v>0.1599940688018977</v>
      </c>
      <c r="CT413" s="263"/>
      <c r="CU413" s="263">
        <f>IF(CO412&lt;&gt;"",CU412/CO412-1,"-")</f>
        <v>5.9523809523809978E-2</v>
      </c>
      <c r="CV413" s="263">
        <f>IF(CP412&lt;&gt;"",CV412/CP412-1,"-")</f>
        <v>4.9090588027547177E-2</v>
      </c>
      <c r="CW413" s="263">
        <f>IF(CQ412&lt;&gt;"",CW412/CQ412-1,"-")</f>
        <v>-3.1172780840144187E-2</v>
      </c>
      <c r="CX413" s="263">
        <f>IF(CR412&lt;&gt;"",CX412/CR412-1,"-")</f>
        <v>5.2334827237241699E-2</v>
      </c>
      <c r="CY413" s="1104">
        <f>IF(CS412&lt;&gt;"",CY412/CS412-1,"-")</f>
        <v>3.4556223102816697E-2</v>
      </c>
      <c r="CZ413" s="263"/>
      <c r="DA413" s="263">
        <f>IF(CU412&lt;&gt;"",DA412/CU412-1,"-")</f>
        <v>-1.5260774777796637E-2</v>
      </c>
      <c r="DB413" s="263">
        <f>IF(CV412&lt;&gt;"",DB412/CV412-1,"-")</f>
        <v>-0.13179599394041397</v>
      </c>
      <c r="DC413" s="263">
        <f>IF(CW412&lt;&gt;"",DC412/CW412-1,"-")</f>
        <v>1.1183048852265953E-2</v>
      </c>
      <c r="DD413" s="344">
        <f>IF(CX412&lt;&gt;"",DD412/CX412-1,"-")</f>
        <v>-8.7924165407335941E-3</v>
      </c>
      <c r="DE413" s="1104">
        <f>IF(CY412&lt;&gt;"",DE412/CY412-1,"-")</f>
        <v>-3.6285008237232241E-2</v>
      </c>
      <c r="DF413" s="263"/>
      <c r="DG413" s="1808">
        <f>IF(DA412&lt;&gt;"",DG412/DA412-1,"-")</f>
        <v>0.11614441416893717</v>
      </c>
      <c r="DH413" s="263">
        <f>IF(DB412&lt;&gt;"",DH412/DB412-1,"-")</f>
        <v>0.26870880186118629</v>
      </c>
      <c r="DI413" s="263">
        <f>IF(DC412&lt;&gt;"",DI412/DC412-1,"-")</f>
        <v>0.24835079549864214</v>
      </c>
      <c r="DJ413" s="344">
        <f>IF(DD412&lt;&gt;"",DJ412/DD412-1,"-")</f>
        <v>0.13028413028413022</v>
      </c>
      <c r="DK413" s="1779">
        <f>IF(DE412&lt;&gt;"",DK412/DE412-1,"-")</f>
        <v>0.183255694687807</v>
      </c>
      <c r="DL413" s="147"/>
      <c r="DM413" s="1808">
        <f>IF(DG412&lt;&gt;"",DM412/DG412-1,"-")</f>
        <v>-1.8767165090021076E-2</v>
      </c>
      <c r="DN413" s="263">
        <f>IF(DH412&lt;&gt;"",DN412/DH412-1,"-")</f>
        <v>5.7610024449877839E-2</v>
      </c>
      <c r="DO413" s="263">
        <f>IF(DI412&lt;&gt;"",DO412/DI412-1,"-")</f>
        <v>-0.10506683245259574</v>
      </c>
      <c r="DP413" s="263">
        <f>IF(DJ412&lt;&gt;"",DP412/DJ412-1,"-")</f>
        <v>0.17130594727161275</v>
      </c>
      <c r="DQ413" s="1779">
        <f>IF(DK412&lt;&gt;"",DQ412/DK412-1,"-")</f>
        <v>3.5215082890887484E-2</v>
      </c>
      <c r="DR413" s="263"/>
      <c r="DS413" s="263">
        <f>IF(DM412&lt;&gt;"",DS412/DM412-1,"-")</f>
        <v>-0.19701446120354593</v>
      </c>
      <c r="DT413" s="263">
        <f>IF(DN412&lt;&gt;"",DT412/DN412-1,"-")</f>
        <v>-0.20965178442421573</v>
      </c>
      <c r="DU413" s="263">
        <f>IF(DO412&lt;&gt;"",DU412/DO412-1,"-")</f>
        <v>-0.12712747481764486</v>
      </c>
      <c r="DV413" s="263">
        <f>IF(DP412&lt;&gt;"",DV412/DP412-1,"-")</f>
        <v>-0.23178391959799005</v>
      </c>
      <c r="DW413" s="1104">
        <f>IF(DQ412&lt;&gt;"",DW412/DQ412-1,"-")</f>
        <v>-0.19761356499895322</v>
      </c>
      <c r="DX413" s="263"/>
      <c r="DY413" s="263">
        <f>IF(DS412&lt;&gt;"",DY412/DS412-1,"-")</f>
        <v>-3.3307513555382973E-2</v>
      </c>
      <c r="DZ413" s="263">
        <f>IF(DT412&lt;&gt;"",DZ412/DT412-1,"-")</f>
        <v>-0.12925045703839166</v>
      </c>
      <c r="EA413" s="263">
        <f>IF(DU412&lt;&gt;"",EA412/DU412-1,"-")</f>
        <v>1.1937922801428247E-3</v>
      </c>
      <c r="EB413" s="263">
        <f>IF(DV412&lt;&gt;"",EB412/DV412-1,"-")</f>
        <v>1.526301444535294E-2</v>
      </c>
      <c r="EC413" s="1104">
        <f>IF(DW412&lt;&gt;"",EC412/DW412-1,"-")</f>
        <v>-3.3089833898599985E-2</v>
      </c>
      <c r="ED413" s="263"/>
      <c r="EE413" s="263">
        <f>IF(DY412&lt;&gt;"",EE412/DY412-1,"-")</f>
        <v>0.24005793656973973</v>
      </c>
      <c r="EF413" s="263">
        <f>IF(DZ412&lt;&gt;"",EF412/DZ412-1,"-")</f>
        <v>0.35875491043833385</v>
      </c>
      <c r="EG413" s="263">
        <f>IF(EA412&lt;&gt;"",EG412/EA412-1,"-")</f>
        <v>0.23020056028540203</v>
      </c>
      <c r="EH413" s="263">
        <f>IF(EB412&lt;&gt;"",EH412/EB412-1,"-")</f>
        <v>0.24638306429989387</v>
      </c>
      <c r="EI413" s="1104">
        <f>IF(EC412&lt;&gt;"",EI412/EC412-1,"-")</f>
        <v>0.26537041445178189</v>
      </c>
      <c r="EJ413" s="263"/>
      <c r="EK413" s="263">
        <f>IF(EE412&lt;&gt;"",EK412/EE412-1,"-")</f>
        <v>0.26582703329923185</v>
      </c>
      <c r="EL413" s="263">
        <f>IF(EF412&lt;&gt;"",EL412/EF412-1,"-")</f>
        <v>0.26582703329923163</v>
      </c>
      <c r="EM413" s="263">
        <f>IF(EG412&lt;&gt;"",EM412/EG412-1,"-")</f>
        <v>0.26582703329923185</v>
      </c>
      <c r="EN413" s="263">
        <f>IF(EH412&lt;&gt;"",EN412/EH412-1,"-")</f>
        <v>0.26582703329923185</v>
      </c>
      <c r="EO413" s="1104">
        <f>IF(EI412&lt;&gt;"",EO412/EI412-1,"-")</f>
        <v>0.26582703329923185</v>
      </c>
      <c r="EP413" s="263"/>
      <c r="EQ413" s="263">
        <f>IF(EK412&lt;&gt;"",EQ412/EK412-1,"-")</f>
        <v>0.15983639996205934</v>
      </c>
      <c r="ER413" s="263">
        <f>IF(EL412&lt;&gt;"",ER412/EL412-1,"-")</f>
        <v>0.15983639996205956</v>
      </c>
      <c r="ES413" s="263">
        <f>IF(EM412&lt;&gt;"",ES412/EM412-1,"-")</f>
        <v>0.15983639996205934</v>
      </c>
      <c r="ET413" s="263">
        <f>IF(EN412&lt;&gt;"",ET412/EN412-1,"-")</f>
        <v>0.15983639996205956</v>
      </c>
      <c r="EU413" s="1104">
        <f>IF(EO412&lt;&gt;"",EU412/EO412-1,"-")</f>
        <v>0.15983639996205956</v>
      </c>
    </row>
    <row r="414" spans="1:222" ht="12.75" customHeight="1">
      <c r="A414" s="583" t="s">
        <v>344</v>
      </c>
      <c r="B414" s="147"/>
      <c r="C414" s="147"/>
      <c r="D414" s="147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263" t="str">
        <f>IF(AJ412&lt;&gt;"",AM412/AJ412-1,"-")</f>
        <v>-</v>
      </c>
      <c r="AN414" s="263">
        <f>IF(AM412&lt;&gt;"",AN412/AM412-1,"-")</f>
        <v>-6.1517229482037417E-2</v>
      </c>
      <c r="AO414" s="263">
        <f>IF(AN412&lt;&gt;"",AO412/AN412-1,"-")</f>
        <v>-0.12164646195417406</v>
      </c>
      <c r="AP414" s="263">
        <f>IF(AO412&lt;&gt;"",AP412/AO412-1,"-")</f>
        <v>0.10969210244068339</v>
      </c>
      <c r="AQ414" s="141" t="s">
        <v>6442</v>
      </c>
      <c r="AR414" s="147"/>
      <c r="AS414" s="263">
        <f>IF(AP412&lt;&gt;"",AS412/AP412-1,"-")</f>
        <v>7.5058580581892631E-3</v>
      </c>
      <c r="AT414" s="263">
        <f>IF(AS412&lt;&gt;"",AT412/AS412-1,"-")</f>
        <v>2.9116536339514942E-2</v>
      </c>
      <c r="AU414" s="263">
        <f>IF(AT412&lt;&gt;"",AU412/AT412-1,"-")</f>
        <v>7.6470454493781759E-2</v>
      </c>
      <c r="AV414" s="263">
        <f>IF(AU412&lt;&gt;"",AV412/AU412-1,"-")</f>
        <v>0.33204636466552939</v>
      </c>
      <c r="AW414" s="141" t="s">
        <v>6442</v>
      </c>
      <c r="AX414" s="147"/>
      <c r="AY414" s="263">
        <f>IF(AV412&lt;&gt;"",AY412/AV412-1,"-")</f>
        <v>-2.3828400002537165E-2</v>
      </c>
      <c r="AZ414" s="263">
        <f>IF(AY412&lt;&gt;"",AZ412/AY412-1,"-")</f>
        <v>-4.4908779042569846E-2</v>
      </c>
      <c r="BA414" s="263">
        <f>IF(AZ412&lt;&gt;"",BA412/AZ412-1,"-")</f>
        <v>3.9795918367347083E-2</v>
      </c>
      <c r="BB414" s="263">
        <f>IF(BA412&lt;&gt;"",BB412/BA412-1,"-")</f>
        <v>0.28622832842656165</v>
      </c>
      <c r="BC414" s="141" t="s">
        <v>6442</v>
      </c>
      <c r="BD414" s="147"/>
      <c r="BE414" s="263">
        <f>IF(BB412&lt;&gt;"",BE412/BB412-1,"-")</f>
        <v>-2.59409969481178E-2</v>
      </c>
      <c r="BF414" s="263">
        <f>IF(BE412&lt;&gt;"",BF412/BE412-1,"-")</f>
        <v>-1.5665796344648264E-3</v>
      </c>
      <c r="BG414" s="263">
        <f>IF(BF412&lt;&gt;"",BG412/BF412-1,"-")</f>
        <v>1.9874476987447709E-2</v>
      </c>
      <c r="BH414" s="263">
        <f>IF(BG412&lt;&gt;"",BH412/BG412-1,"-")</f>
        <v>0.1774358974358976</v>
      </c>
      <c r="BI414" s="141" t="s">
        <v>6442</v>
      </c>
      <c r="BJ414" s="147"/>
      <c r="BK414" s="263">
        <f>IF(BH412&lt;&gt;"",BK412/BH412-1,"-")</f>
        <v>3.9634146341463339E-2</v>
      </c>
      <c r="BL414" s="263">
        <f>IF(BK412&lt;&gt;"",BL412/BK412-1,"-")</f>
        <v>-4.9224968579807182E-2</v>
      </c>
      <c r="BM414" s="263">
        <f>IF(BL412&lt;&gt;"",BM412/BL412-1,"-")</f>
        <v>9.9140779907469501E-3</v>
      </c>
      <c r="BN414" s="263">
        <f>IF(BM412&lt;&gt;"",BN412/BM412-1,"-")</f>
        <v>0.22687609075043591</v>
      </c>
      <c r="BO414" s="1105" t="s">
        <v>6442</v>
      </c>
      <c r="BP414" s="147"/>
      <c r="BQ414" s="263">
        <f>IF(BN412&lt;&gt;"",BQ412/BN412-1,"-")</f>
        <v>-5.8143669985774915E-2</v>
      </c>
      <c r="BR414" s="263">
        <f>IF(BQ412&lt;&gt;"",BR412/BQ412-1,"-")</f>
        <v>1.548046063809716E-2</v>
      </c>
      <c r="BS414" s="263">
        <f>IF(BR412&lt;&gt;"",BS412/BR412-1,"-")</f>
        <v>2.3238520171035226E-2</v>
      </c>
      <c r="BT414" s="263">
        <f>IF(BS412&lt;&gt;"",BT412/BS412-1,"-")</f>
        <v>0.23782703488372103</v>
      </c>
      <c r="BU414" s="1105" t="s">
        <v>6442</v>
      </c>
      <c r="BV414" s="147"/>
      <c r="BW414" s="263">
        <f>IF(BT412&lt;&gt;"",BW412/BT412-1,"-")</f>
        <v>-5.709672684573619E-2</v>
      </c>
      <c r="BX414" s="263">
        <f>IF(BW412&lt;&gt;"",BX412/BW412-1,"-")</f>
        <v>-1.5566625155666203E-2</v>
      </c>
      <c r="BY414" s="263">
        <f>IF(BX412&lt;&gt;"",BY412/BX412-1,"-")</f>
        <v>-0.13994307400379502</v>
      </c>
      <c r="BZ414" s="263">
        <f>IF(BY412&lt;&gt;"",BZ412/BY412-1,"-")</f>
        <v>-2.5740025740025319E-3</v>
      </c>
      <c r="CA414" s="1105" t="s">
        <v>6442</v>
      </c>
      <c r="CB414" s="147"/>
      <c r="CC414" s="263">
        <f>IF(BZ412&lt;&gt;"",CC412/BZ412-1,"-")</f>
        <v>-0.24847926267281117</v>
      </c>
      <c r="CD414" s="263">
        <f>IF(CC412&lt;&gt;"",CD412/CC412-1,"-")</f>
        <v>-6.107431935246499E-2</v>
      </c>
      <c r="CE414" s="263">
        <f>IF(CD412&lt;&gt;"",CE412/CD412-1,"-")</f>
        <v>4.4409613375131496E-3</v>
      </c>
      <c r="CF414" s="263">
        <f>IF(CE412&lt;&gt;"",CF412/CE412-1,"-")</f>
        <v>0.30845253576072817</v>
      </c>
      <c r="CG414" s="1105" t="s">
        <v>6442</v>
      </c>
      <c r="CH414" s="147"/>
      <c r="CI414" s="263">
        <f>IF(CF412&lt;&gt;"",CI412/CF412-1,"-")</f>
        <v>-2.5839793281652312E-3</v>
      </c>
      <c r="CJ414" s="263">
        <f>IF(CI412&lt;&gt;"",CJ412/CI412-1,"-")</f>
        <v>-9.2865683539258947E-2</v>
      </c>
      <c r="CK414" s="263">
        <f>IF(CJ412&lt;&gt;"",CK412/CJ412-1,"-")</f>
        <v>5.4920913884008993E-3</v>
      </c>
      <c r="CL414" s="263">
        <f>IF(CK412&lt;&gt;"",CL412/CK412-1,"-")</f>
        <v>0.32947345422766006</v>
      </c>
      <c r="CM414" s="1105" t="s">
        <v>6442</v>
      </c>
      <c r="CN414" s="147"/>
      <c r="CO414" s="263">
        <f>IF(CL412&lt;&gt;"",CO412/CL412-1,"-")</f>
        <v>-7.510271158586701E-2</v>
      </c>
      <c r="CP414" s="263">
        <f>IF(CO412&lt;&gt;"",CP412/CO412-1,"-")</f>
        <v>6.2189054726369264E-3</v>
      </c>
      <c r="CQ414" s="263">
        <f>IF(CP412&lt;&gt;"",CQ412/CP412-1,"-")</f>
        <v>-7.098710930602159E-2</v>
      </c>
      <c r="CR414" s="263">
        <f>IF(CQ412&lt;&gt;"",CR412/CQ412-1,"-")</f>
        <v>0.31476905531267829</v>
      </c>
      <c r="CS414" s="1105" t="s">
        <v>6442</v>
      </c>
      <c r="CT414" s="141"/>
      <c r="CU414" s="263">
        <f>IF(CR412&lt;&gt;"",CU412/CR412-1,"-")</f>
        <v>-0.13792106404510596</v>
      </c>
      <c r="CV414" s="263">
        <f>IF(CU412&lt;&gt;"",CV412/CU412-1,"-")</f>
        <v>-3.6894180781490427E-3</v>
      </c>
      <c r="CW414" s="263">
        <f>IF(CV412&lt;&gt;"",CW412/CV412-1,"-")</f>
        <v>-0.14206362565224684</v>
      </c>
      <c r="CX414" s="263">
        <f>IF(CW412&lt;&gt;"",CX412/CW412-1,"-")</f>
        <v>0.42809495781832441</v>
      </c>
      <c r="CY414" s="1105" t="s">
        <v>6442</v>
      </c>
      <c r="CZ414" s="141"/>
      <c r="DA414" s="263">
        <f>IF(CX412&lt;&gt;"",DA412/CX412-1,"-")</f>
        <v>-0.19329578238769052</v>
      </c>
      <c r="DB414" s="263">
        <f>IF(DA412&lt;&gt;"",DB412/DA412-1,"-")</f>
        <v>-0.12159400544959142</v>
      </c>
      <c r="DC414" s="263">
        <f>IF(DB412&lt;&gt;"",DC412/DB412-1,"-")</f>
        <v>-7.754943776656642E-4</v>
      </c>
      <c r="DD414" s="263">
        <f>IF(DC412&lt;&gt;"",DD412/DC412-1,"-")</f>
        <v>0.39988358556461012</v>
      </c>
      <c r="DE414" s="1105" t="s">
        <v>6442</v>
      </c>
      <c r="DF414" s="141"/>
      <c r="DG414" s="263">
        <f>IF(DD412&lt;&gt;"",DG412/DD412-1,"-")</f>
        <v>-9.1614691614691601E-2</v>
      </c>
      <c r="DH414" s="263">
        <f>IF(DG412&lt;&gt;"",DH412/DG412-1,"-")</f>
        <v>-1.5257857796766583E-3</v>
      </c>
      <c r="DI414" s="263">
        <f>IF(DH412&lt;&gt;"",DI412/DH412-1,"-")</f>
        <v>-1.6809290953544886E-2</v>
      </c>
      <c r="DJ414" s="263">
        <f>IF(DI412&lt;&gt;"",DJ412/DI412-1,"-")</f>
        <v>0.26748523469070529</v>
      </c>
      <c r="DK414" s="1105" t="s">
        <v>6442</v>
      </c>
      <c r="DL414" s="147"/>
      <c r="DM414" s="263">
        <f>IF(DJ412&lt;&gt;"",DM412/DJ412-1,"-")</f>
        <v>-0.21140404659717937</v>
      </c>
      <c r="DN414" s="263">
        <f>IF(DM412&lt;&gt;"",DN412/DM412-1,"-")</f>
        <v>7.6193438034519945E-2</v>
      </c>
      <c r="DO414" s="263">
        <f>IF(DN412&lt;&gt;"",DO412/DN412-1,"-")</f>
        <v>-0.16803930067909256</v>
      </c>
      <c r="DP414" s="263">
        <f>IF(DO412&lt;&gt;"",DP412/DO412-1,"-")</f>
        <v>0.65890934352205655</v>
      </c>
      <c r="DQ414" s="1105" t="s">
        <v>6442</v>
      </c>
      <c r="DR414" s="141"/>
      <c r="DS414" s="263">
        <f>IF(DP412&lt;&gt;"",DS412/DP412-1,"-")</f>
        <v>-0.45938023450586296</v>
      </c>
      <c r="DT414" s="263">
        <f>IF(DS412&lt;&gt;"",DT412/DS412-1,"-")</f>
        <v>5.9256390395043601E-2</v>
      </c>
      <c r="DU414" s="263">
        <f>IF(DT412&lt;&gt;"",DU412/DT412-1,"-")</f>
        <v>-8.1170018281536027E-2</v>
      </c>
      <c r="DV414" s="263">
        <f>IF(DU412&lt;&gt;"",DV412/DU412-1,"-")</f>
        <v>0.46000795861520083</v>
      </c>
      <c r="DW414" s="1105" t="s">
        <v>6442</v>
      </c>
      <c r="DX414" s="141"/>
      <c r="DY414" s="263">
        <f>IF(DV412&lt;&gt;"",DY412/DV412-1,"-")</f>
        <v>-0.3197056418642682</v>
      </c>
      <c r="DZ414" s="263">
        <f>IF(DY412&lt;&gt;"",DZ412/DY412-1,"-")</f>
        <v>-4.5873397435897467E-2</v>
      </c>
      <c r="EA414" s="263">
        <f>IF(DZ412&lt;&gt;"",EA412/DZ412-1,"-")</f>
        <v>5.6477010287633522E-2</v>
      </c>
      <c r="EB414" s="263">
        <f>IF(EA412&lt;&gt;"",EB412/EA412-1,"-")</f>
        <v>0.48052464228934877</v>
      </c>
      <c r="EC414" s="1105" t="s">
        <v>6442</v>
      </c>
      <c r="ED414" s="141"/>
      <c r="EE414" s="263">
        <f>IF(EB412&lt;&gt;"",EE412/EB412-1,"-")</f>
        <v>-0.16907795713340401</v>
      </c>
      <c r="EF414" s="263">
        <f>IF(EE412&lt;&gt;"",EF412/EE412-1,"-")</f>
        <v>4.5454545454545414E-2</v>
      </c>
      <c r="EG414" s="263">
        <f>IF(EF412&lt;&gt;"",EG412/EF412-1,"-")</f>
        <v>-4.3478260869565188E-2</v>
      </c>
      <c r="EH414" s="263">
        <f>IF(EG412&lt;&gt;"",EH412/EG412-1,"-")</f>
        <v>0.49999999999999978</v>
      </c>
      <c r="EI414" s="1105" t="s">
        <v>6442</v>
      </c>
      <c r="EJ414" s="141"/>
      <c r="EK414" s="263">
        <f>IF(EH412&lt;&gt;"",EK412/EH412-1,"-")</f>
        <v>-0.15611531113384536</v>
      </c>
      <c r="EL414" s="263">
        <f>IF(EK412&lt;&gt;"",EL412/EK412-1,"-")</f>
        <v>4.5454545454545414E-2</v>
      </c>
      <c r="EM414" s="263">
        <f>IF(EL412&lt;&gt;"",EM412/EL412-1,"-")</f>
        <v>-4.3478260869565188E-2</v>
      </c>
      <c r="EN414" s="263">
        <f>IF(EM412&lt;&gt;"",EN412/EM412-1,"-")</f>
        <v>0.49999999999999978</v>
      </c>
      <c r="EO414" s="1105" t="s">
        <v>6442</v>
      </c>
      <c r="EP414" s="141"/>
      <c r="EQ414" s="263">
        <f>IF(EN412&lt;&gt;"",EQ412/EN412-1,"-")</f>
        <v>-0.226775733358627</v>
      </c>
      <c r="ER414" s="263">
        <f>IF(EQ412&lt;&gt;"",ER412/EQ412-1,"-")</f>
        <v>4.5454545454545414E-2</v>
      </c>
      <c r="ES414" s="263">
        <f>IF(ER412&lt;&gt;"",ES412/ER412-1,"-")</f>
        <v>-4.3478260869565299E-2</v>
      </c>
      <c r="ET414" s="263">
        <f>IF(ES412&lt;&gt;"",ET412/ES412-1,"-")</f>
        <v>0.49999999999999978</v>
      </c>
      <c r="EU414" s="1105" t="s">
        <v>6442</v>
      </c>
    </row>
    <row r="415" spans="1:222" ht="12.75" customHeight="1">
      <c r="A415" s="1780" t="s">
        <v>7220</v>
      </c>
      <c r="B415" s="147"/>
      <c r="C415" s="147"/>
      <c r="D415" s="147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263"/>
      <c r="AH415" s="263"/>
      <c r="AI415" s="263"/>
      <c r="AJ415" s="263"/>
      <c r="AK415" s="141"/>
      <c r="AL415" s="147"/>
      <c r="AM415" s="263"/>
      <c r="AN415" s="263"/>
      <c r="AO415" s="263"/>
      <c r="AP415" s="263"/>
      <c r="AQ415" s="141"/>
      <c r="AR415" s="147"/>
      <c r="AS415" s="263"/>
      <c r="AT415" s="263"/>
      <c r="AU415" s="263"/>
      <c r="AV415" s="263"/>
      <c r="AW415" s="141"/>
      <c r="AX415" s="147"/>
      <c r="AY415" s="263"/>
      <c r="AZ415" s="263"/>
      <c r="BA415" s="263"/>
      <c r="BB415" s="263"/>
      <c r="BC415" s="141"/>
      <c r="BD415" s="147"/>
      <c r="BE415" s="263"/>
      <c r="BF415" s="141"/>
      <c r="BG415" s="141"/>
      <c r="BH415" s="141"/>
      <c r="BI415" s="141"/>
      <c r="BJ415" s="147"/>
      <c r="BK415" s="147"/>
      <c r="BL415" s="147"/>
      <c r="BM415" s="147"/>
      <c r="BN415" s="147"/>
      <c r="BO415" s="1096"/>
      <c r="BP415" s="147"/>
      <c r="BQ415" s="147"/>
      <c r="BR415" s="147"/>
      <c r="BS415" s="147"/>
      <c r="BT415" s="147"/>
      <c r="BU415" s="1096"/>
      <c r="BV415" s="147"/>
      <c r="BW415" s="147"/>
      <c r="BX415" s="147"/>
      <c r="BY415" s="147"/>
      <c r="BZ415" s="147"/>
      <c r="CA415" s="1096"/>
      <c r="CB415" s="147"/>
      <c r="CC415" s="147"/>
      <c r="CD415" s="147"/>
      <c r="CE415" s="147"/>
      <c r="CF415" s="147"/>
      <c r="CG415" s="1096"/>
      <c r="CH415" s="147"/>
      <c r="CI415" s="147"/>
      <c r="CJ415" s="147"/>
      <c r="CK415" s="141"/>
      <c r="CL415" s="147"/>
      <c r="CM415" s="1096"/>
      <c r="CN415" s="147"/>
      <c r="CO415" s="147"/>
      <c r="CP415" s="147"/>
      <c r="CQ415" s="147"/>
      <c r="CR415" s="147"/>
      <c r="CS415" s="1096"/>
      <c r="CT415" s="147"/>
      <c r="CU415" s="263">
        <f>CU412/$CY$412</f>
        <v>0.24559308072487651</v>
      </c>
      <c r="CV415" s="263">
        <f t="shared" ref="CV415:CX415" si="312">CV412/$CY$412</f>
        <v>0.24468698517298185</v>
      </c>
      <c r="CW415" s="263">
        <f t="shared" si="312"/>
        <v>0.20992586490939047</v>
      </c>
      <c r="CX415" s="263">
        <f t="shared" si="312"/>
        <v>0.2997940691927512</v>
      </c>
      <c r="CY415" s="1096"/>
      <c r="CZ415" s="147"/>
      <c r="DA415" s="263">
        <f>DA412/$DE$412</f>
        <v>0.25095089533740761</v>
      </c>
      <c r="DB415" s="263">
        <f t="shared" ref="DB415:DD415" si="313">DB412/$DE$412</f>
        <v>0.220436770802171</v>
      </c>
      <c r="DC415" s="263">
        <f t="shared" si="313"/>
        <v>0.22026582332578312</v>
      </c>
      <c r="DD415" s="263">
        <f t="shared" si="313"/>
        <v>0.30834651053463824</v>
      </c>
      <c r="DE415" s="1096"/>
      <c r="DF415" s="147"/>
      <c r="DG415" s="263">
        <f>DG412/$DK$412</f>
        <v>0.23671759309423196</v>
      </c>
      <c r="DH415" s="263">
        <f t="shared" ref="DH415:DJ415" si="314">DH412/$DK$412</f>
        <v>0.23635641275688948</v>
      </c>
      <c r="DI415" s="263">
        <f t="shared" si="314"/>
        <v>0.23238342904612277</v>
      </c>
      <c r="DJ415" s="263">
        <f t="shared" si="314"/>
        <v>0.29454256510275578</v>
      </c>
      <c r="DK415" s="1096"/>
      <c r="DL415" s="147"/>
      <c r="DM415" s="263">
        <f>DM412/$DQ$412</f>
        <v>0.2243737352592283</v>
      </c>
      <c r="DN415" s="263">
        <f t="shared" ref="DN415:DP415" si="315">DN412/$DQ$412</f>
        <v>0.2414695415532761</v>
      </c>
      <c r="DO415" s="263">
        <f t="shared" si="315"/>
        <v>0.2008931686553625</v>
      </c>
      <c r="DP415" s="263">
        <f t="shared" si="315"/>
        <v>0.33326355453213319</v>
      </c>
      <c r="DQ415" s="1096"/>
      <c r="DR415" s="147"/>
      <c r="DS415" s="263">
        <f>DS412/$DW$412</f>
        <v>0.22454126445777881</v>
      </c>
      <c r="DT415" s="263">
        <f t="shared" ref="DT415:DV415" si="316">DT412/$DW$412</f>
        <v>0.23784676928428566</v>
      </c>
      <c r="DU415" s="263">
        <f t="shared" si="316"/>
        <v>0.21854074267327592</v>
      </c>
      <c r="DV415" s="263">
        <f t="shared" si="316"/>
        <v>0.3190712235846595</v>
      </c>
      <c r="DW415" s="1096"/>
      <c r="DX415" s="147"/>
      <c r="DY415" s="1808">
        <f>DY412/$EC$412</f>
        <v>0.22449071367540588</v>
      </c>
      <c r="DZ415" s="263">
        <f>DZ412/$EC$412</f>
        <v>0.2141925619463057</v>
      </c>
      <c r="EA415" s="263">
        <f>EA412/$EC$412</f>
        <v>0.2262895174708818</v>
      </c>
      <c r="EB415" s="263">
        <f t="shared" ref="EB415" si="317">EB412/$DW$412</f>
        <v>0.32394121227932859</v>
      </c>
      <c r="EC415" s="1096"/>
      <c r="ED415" s="147"/>
      <c r="EE415" s="2254">
        <v>0.22</v>
      </c>
      <c r="EF415" s="2254">
        <v>0.23</v>
      </c>
      <c r="EG415" s="2254">
        <v>0.22</v>
      </c>
      <c r="EH415" s="2256">
        <f>1-SUM(EE415:EG415)</f>
        <v>0.32999999999999996</v>
      </c>
      <c r="EI415" s="1096"/>
      <c r="EJ415" s="147"/>
      <c r="EK415" s="2254">
        <f>EE415</f>
        <v>0.22</v>
      </c>
      <c r="EL415" s="2254">
        <f t="shared" ref="EL415:EN415" si="318">EF415</f>
        <v>0.23</v>
      </c>
      <c r="EM415" s="2254">
        <f t="shared" si="318"/>
        <v>0.22</v>
      </c>
      <c r="EN415" s="2254">
        <f t="shared" si="318"/>
        <v>0.32999999999999996</v>
      </c>
      <c r="EO415" s="1096"/>
      <c r="EP415" s="147"/>
      <c r="EQ415" s="2254">
        <f>EK415</f>
        <v>0.22</v>
      </c>
      <c r="ER415" s="2254">
        <f t="shared" ref="ER415" si="319">EL415</f>
        <v>0.23</v>
      </c>
      <c r="ES415" s="2254">
        <f t="shared" ref="ES415" si="320">EM415</f>
        <v>0.22</v>
      </c>
      <c r="ET415" s="2254">
        <f t="shared" ref="ET415" si="321">EN415</f>
        <v>0.32999999999999996</v>
      </c>
      <c r="EU415" s="1096"/>
    </row>
    <row r="416" spans="1:222" s="2251" customFormat="1" ht="12.75" customHeight="1">
      <c r="A416" s="1780"/>
      <c r="B416" s="147"/>
      <c r="C416" s="147"/>
      <c r="D416" s="147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263"/>
      <c r="AH416" s="263"/>
      <c r="AI416" s="263"/>
      <c r="AJ416" s="263"/>
      <c r="AK416" s="141"/>
      <c r="AL416" s="147"/>
      <c r="AM416" s="263"/>
      <c r="AN416" s="263"/>
      <c r="AO416" s="263"/>
      <c r="AP416" s="263"/>
      <c r="AQ416" s="141"/>
      <c r="AR416" s="147"/>
      <c r="AS416" s="263"/>
      <c r="AT416" s="263"/>
      <c r="AU416" s="263"/>
      <c r="AV416" s="263"/>
      <c r="AW416" s="141"/>
      <c r="AX416" s="147"/>
      <c r="AY416" s="263"/>
      <c r="AZ416" s="263"/>
      <c r="BA416" s="263"/>
      <c r="BB416" s="263"/>
      <c r="BC416" s="141"/>
      <c r="BD416" s="147"/>
      <c r="BE416" s="263"/>
      <c r="BF416" s="141"/>
      <c r="BG416" s="141"/>
      <c r="BH416" s="141"/>
      <c r="BI416" s="141"/>
      <c r="BJ416" s="147"/>
      <c r="BK416" s="147"/>
      <c r="BL416" s="147"/>
      <c r="BM416" s="147"/>
      <c r="BN416" s="147"/>
      <c r="BO416" s="1096"/>
      <c r="BP416" s="147"/>
      <c r="BQ416" s="147"/>
      <c r="BR416" s="147"/>
      <c r="BS416" s="147"/>
      <c r="BT416" s="147"/>
      <c r="BU416" s="1096"/>
      <c r="BV416" s="147"/>
      <c r="BW416" s="147"/>
      <c r="BX416" s="147"/>
      <c r="BY416" s="147"/>
      <c r="BZ416" s="147"/>
      <c r="CA416" s="1096"/>
      <c r="CB416" s="147"/>
      <c r="CC416" s="147"/>
      <c r="CD416" s="147"/>
      <c r="CE416" s="147"/>
      <c r="CF416" s="147"/>
      <c r="CG416" s="1096"/>
      <c r="CH416" s="147"/>
      <c r="CI416" s="147"/>
      <c r="CJ416" s="147"/>
      <c r="CK416" s="141"/>
      <c r="CL416" s="147"/>
      <c r="CM416" s="1096"/>
      <c r="CN416" s="147"/>
      <c r="CO416" s="147"/>
      <c r="CP416" s="147"/>
      <c r="CQ416" s="147"/>
      <c r="CR416" s="147"/>
      <c r="CS416" s="1096"/>
      <c r="CT416" s="147"/>
      <c r="CU416" s="147"/>
      <c r="CV416" s="147"/>
      <c r="CW416" s="147"/>
      <c r="CX416" s="147"/>
      <c r="CY416" s="1096"/>
      <c r="CZ416" s="147"/>
      <c r="DA416" s="147"/>
      <c r="DB416" s="147"/>
      <c r="DC416" s="147"/>
      <c r="DD416" s="147"/>
      <c r="DE416" s="1096"/>
      <c r="DF416" s="147"/>
      <c r="DG416" s="929"/>
      <c r="DH416" s="929"/>
      <c r="DI416" s="929"/>
      <c r="DJ416" s="929"/>
      <c r="DK416" s="1096"/>
      <c r="DL416" s="147"/>
      <c r="DM416" s="929"/>
      <c r="DN416" s="929"/>
      <c r="DO416" s="929"/>
      <c r="DP416" s="929"/>
      <c r="DQ416" s="1096"/>
      <c r="DR416" s="147"/>
      <c r="DS416" s="929"/>
      <c r="DT416" s="929"/>
      <c r="DU416" s="929"/>
      <c r="DV416" s="929"/>
      <c r="DW416" s="1096"/>
      <c r="DX416" s="147"/>
      <c r="DY416" s="929"/>
      <c r="DZ416" s="929"/>
      <c r="EA416" s="929"/>
      <c r="EB416" s="929"/>
      <c r="EC416" s="1096"/>
      <c r="ED416" s="147"/>
      <c r="EE416" s="929"/>
      <c r="EF416" s="929"/>
      <c r="EG416" s="929"/>
      <c r="EH416" s="929"/>
      <c r="EI416" s="1096"/>
      <c r="EJ416" s="147"/>
      <c r="EK416" s="929"/>
      <c r="EL416" s="929"/>
      <c r="EM416" s="929"/>
      <c r="EN416" s="929"/>
      <c r="EO416" s="1096"/>
      <c r="EP416" s="147"/>
      <c r="EQ416" s="929"/>
      <c r="ER416" s="929"/>
      <c r="ES416" s="929"/>
      <c r="ET416" s="929"/>
      <c r="EU416" s="1096"/>
    </row>
    <row r="417" spans="1:227" s="1749" customFormat="1" ht="12" customHeight="1">
      <c r="A417" s="1748"/>
      <c r="B417" s="532"/>
      <c r="C417" s="532"/>
      <c r="D417" s="532"/>
      <c r="E417" s="532"/>
      <c r="F417" s="532"/>
      <c r="G417" s="532"/>
      <c r="H417" s="532"/>
      <c r="I417" s="532"/>
      <c r="J417" s="532"/>
      <c r="K417" s="532"/>
      <c r="L417" s="532"/>
      <c r="M417" s="532"/>
      <c r="N417" s="532"/>
      <c r="O417" s="532"/>
      <c r="P417" s="532"/>
      <c r="Q417" s="532"/>
      <c r="R417" s="532"/>
      <c r="S417" s="532"/>
      <c r="T417" s="532"/>
      <c r="U417" s="532"/>
      <c r="V417" s="532"/>
      <c r="W417" s="532"/>
      <c r="X417" s="532"/>
      <c r="Y417" s="532"/>
      <c r="Z417" s="532"/>
      <c r="AA417" s="532"/>
      <c r="AB417" s="532"/>
      <c r="AC417" s="532"/>
      <c r="AD417" s="532"/>
      <c r="AE417" s="532"/>
      <c r="AF417" s="532"/>
      <c r="AG417" s="532"/>
      <c r="AH417" s="532"/>
      <c r="AI417" s="532"/>
      <c r="AJ417" s="532"/>
      <c r="AK417" s="532"/>
      <c r="AL417" s="532"/>
      <c r="AM417" s="532"/>
      <c r="AN417" s="532"/>
      <c r="AO417" s="532"/>
      <c r="AP417" s="532"/>
      <c r="AQ417" s="532"/>
      <c r="AR417" s="532"/>
      <c r="AS417" s="532"/>
      <c r="AT417" s="532"/>
      <c r="AU417" s="532"/>
      <c r="AV417" s="532"/>
      <c r="AW417" s="532"/>
      <c r="AX417" s="532"/>
      <c r="AY417" s="532"/>
      <c r="AZ417" s="532"/>
      <c r="BA417" s="532"/>
      <c r="BB417" s="532"/>
      <c r="BC417" s="532"/>
      <c r="BD417" s="532"/>
      <c r="BE417" s="532"/>
      <c r="BF417" s="532"/>
      <c r="BG417" s="532"/>
      <c r="BH417" s="532"/>
      <c r="BI417" s="532"/>
      <c r="BJ417" s="532"/>
      <c r="BK417" s="532"/>
      <c r="BL417" s="532"/>
      <c r="BM417" s="532"/>
      <c r="BN417" s="532"/>
      <c r="BO417" s="1121"/>
      <c r="BP417" s="532"/>
      <c r="BQ417" s="532"/>
      <c r="BR417" s="532"/>
      <c r="BS417" s="532"/>
      <c r="BT417" s="532"/>
      <c r="BU417" s="1121"/>
      <c r="BV417" s="532"/>
      <c r="BW417" s="532"/>
      <c r="BX417" s="532"/>
      <c r="BY417" s="532"/>
      <c r="BZ417" s="532"/>
      <c r="CA417" s="1121"/>
      <c r="CB417" s="532"/>
      <c r="CC417" s="532"/>
      <c r="CD417" s="532"/>
      <c r="CE417" s="532"/>
      <c r="CF417" s="532"/>
      <c r="CG417" s="1121"/>
      <c r="CH417" s="532"/>
      <c r="CI417" s="532"/>
      <c r="CJ417" s="532"/>
      <c r="CK417" s="532"/>
      <c r="CL417" s="532"/>
      <c r="CM417" s="1121"/>
      <c r="CN417" s="532"/>
      <c r="CO417" s="532"/>
      <c r="CP417" s="532"/>
      <c r="CQ417" s="532"/>
      <c r="CR417" s="532"/>
      <c r="CS417" s="1121"/>
      <c r="CT417" s="532"/>
      <c r="CU417" s="532"/>
      <c r="CV417" s="532"/>
      <c r="CW417" s="532"/>
      <c r="CX417" s="532"/>
      <c r="CY417" s="1121"/>
      <c r="CZ417" s="532"/>
      <c r="DA417" s="532"/>
      <c r="DB417" s="532"/>
      <c r="DC417" s="532"/>
      <c r="DD417" s="532"/>
      <c r="DE417" s="1121"/>
      <c r="DF417" s="532"/>
      <c r="DG417" s="532"/>
      <c r="DH417" s="532"/>
      <c r="DI417" s="532"/>
      <c r="DJ417" s="532"/>
      <c r="DK417" s="1121"/>
      <c r="DL417" s="532"/>
      <c r="DM417" s="532"/>
      <c r="DN417" s="532"/>
      <c r="DO417" s="532"/>
      <c r="DP417" s="532"/>
      <c r="DQ417" s="1121"/>
      <c r="DR417" s="532"/>
      <c r="DS417" s="532"/>
      <c r="DT417" s="532"/>
      <c r="DU417" s="532"/>
      <c r="DV417" s="532"/>
      <c r="DW417" s="1121"/>
      <c r="DX417" s="532"/>
      <c r="DY417" s="532"/>
      <c r="DZ417" s="532"/>
      <c r="EA417" s="532"/>
      <c r="EB417" s="532"/>
      <c r="EC417" s="1121"/>
      <c r="ED417" s="532"/>
      <c r="EE417" s="532"/>
      <c r="EF417" s="532"/>
      <c r="EG417" s="532"/>
      <c r="EH417" s="532"/>
      <c r="EI417" s="1121"/>
      <c r="EJ417" s="532"/>
      <c r="EK417" s="532"/>
      <c r="EL417" s="532"/>
      <c r="EM417" s="532"/>
      <c r="EN417" s="532"/>
      <c r="EO417" s="1121"/>
      <c r="EP417" s="532"/>
      <c r="EQ417" s="532"/>
      <c r="ER417" s="532"/>
      <c r="ES417" s="532"/>
      <c r="ET417" s="532"/>
      <c r="EU417" s="1121"/>
    </row>
    <row r="418" spans="1:227">
      <c r="A418" s="414" t="s">
        <v>5636</v>
      </c>
      <c r="B418" s="111"/>
      <c r="C418" s="139"/>
      <c r="D418" s="139"/>
      <c r="E418" s="139"/>
      <c r="F418" s="139"/>
      <c r="G418" s="139"/>
      <c r="H418" s="111"/>
      <c r="I418" s="139"/>
      <c r="J418" s="139"/>
      <c r="K418" s="139"/>
      <c r="L418" s="139"/>
      <c r="M418" s="139"/>
      <c r="N418" s="111"/>
      <c r="O418" s="139"/>
      <c r="P418" s="139"/>
      <c r="Q418" s="139"/>
      <c r="R418" s="139"/>
      <c r="S418" s="139"/>
      <c r="T418" s="111"/>
      <c r="U418" s="139"/>
      <c r="V418" s="139"/>
      <c r="W418" s="139"/>
      <c r="X418" s="139"/>
      <c r="Y418" s="139"/>
      <c r="Z418" s="111"/>
      <c r="AA418" s="139"/>
      <c r="AB418" s="139"/>
      <c r="AC418" s="139"/>
      <c r="AD418" s="139"/>
      <c r="AE418" s="139"/>
      <c r="AF418" s="111"/>
      <c r="AG418" s="139"/>
      <c r="AH418" s="139"/>
      <c r="AI418" s="139"/>
      <c r="AJ418" s="139"/>
      <c r="AK418" s="139"/>
      <c r="AL418" s="111"/>
      <c r="AM418" s="139"/>
      <c r="AN418" s="139"/>
      <c r="AO418" s="139"/>
      <c r="AP418" s="139"/>
      <c r="AQ418" s="139"/>
      <c r="AR418" s="111"/>
      <c r="AS418" s="139"/>
      <c r="AT418" s="139"/>
      <c r="AU418" s="139"/>
      <c r="AV418" s="139"/>
      <c r="AW418" s="139"/>
      <c r="AX418" s="111"/>
      <c r="AY418" s="696"/>
      <c r="AZ418" s="696"/>
      <c r="BA418" s="696"/>
      <c r="BB418" s="696"/>
      <c r="BC418" s="696"/>
      <c r="BD418" s="139"/>
      <c r="BE418" s="696"/>
      <c r="BF418" s="696"/>
      <c r="BG418" s="696"/>
      <c r="BH418" s="696"/>
      <c r="BI418" s="696"/>
      <c r="BJ418" s="139"/>
      <c r="BK418" s="139"/>
      <c r="BL418" s="139"/>
      <c r="BM418" s="139"/>
      <c r="BN418" s="139"/>
      <c r="BO418" s="1145"/>
      <c r="BP418" s="139"/>
      <c r="BQ418" s="139"/>
      <c r="BR418" s="139"/>
      <c r="BS418" s="139"/>
      <c r="BT418" s="139"/>
      <c r="BU418" s="1145"/>
      <c r="BV418" s="139"/>
      <c r="BW418" s="139"/>
      <c r="BX418" s="139"/>
      <c r="BY418" s="139"/>
      <c r="BZ418" s="139"/>
      <c r="CA418" s="1145"/>
      <c r="CB418" s="139"/>
      <c r="CC418" s="139"/>
      <c r="CD418" s="1543"/>
      <c r="CE418" s="139"/>
      <c r="CF418" s="1547"/>
      <c r="CG418" s="1145"/>
      <c r="CH418" s="139"/>
      <c r="CI418" s="139"/>
      <c r="CJ418" s="139"/>
      <c r="CK418" s="696"/>
      <c r="CL418" s="139"/>
      <c r="CM418" s="1145"/>
      <c r="CN418" s="139"/>
      <c r="CO418" s="139"/>
      <c r="CP418" s="139"/>
      <c r="CQ418" s="139"/>
      <c r="CR418" s="139"/>
      <c r="CS418" s="1145"/>
      <c r="CT418" s="139"/>
      <c r="CU418" s="139"/>
      <c r="CV418" s="139"/>
      <c r="CW418" s="139"/>
      <c r="CX418" s="139"/>
      <c r="CY418" s="1145"/>
      <c r="CZ418" s="139"/>
      <c r="DA418" s="139"/>
      <c r="DB418" s="139"/>
      <c r="DC418" s="139"/>
      <c r="DD418" s="139"/>
      <c r="DE418" s="1145"/>
      <c r="DF418" s="139"/>
      <c r="DG418" s="139"/>
      <c r="DH418" s="139"/>
      <c r="DI418" s="139"/>
      <c r="DJ418" s="139"/>
      <c r="DK418" s="1145"/>
      <c r="DL418" s="139"/>
      <c r="DM418" s="139"/>
      <c r="DN418" s="139"/>
      <c r="DO418" s="139"/>
      <c r="DP418" s="139"/>
      <c r="DQ418" s="1145"/>
      <c r="DR418" s="138"/>
      <c r="DS418" s="139"/>
      <c r="DT418" s="139"/>
      <c r="DU418" s="139"/>
      <c r="DV418" s="139"/>
      <c r="DW418" s="1145"/>
      <c r="DX418" s="138"/>
      <c r="DY418" s="139"/>
      <c r="DZ418" s="139"/>
      <c r="EA418" s="139"/>
      <c r="EB418" s="139"/>
      <c r="EC418" s="1145"/>
      <c r="ED418" s="138"/>
      <c r="EE418" s="139"/>
      <c r="EF418" s="139"/>
      <c r="EG418" s="139"/>
      <c r="EH418" s="139"/>
      <c r="EI418" s="1145"/>
      <c r="EJ418" s="138"/>
      <c r="EK418" s="139"/>
      <c r="EL418" s="139"/>
      <c r="EM418" s="139"/>
      <c r="EN418" s="139"/>
      <c r="EO418" s="1145"/>
      <c r="EP418" s="138"/>
      <c r="EQ418" s="139"/>
      <c r="ER418" s="139"/>
      <c r="ES418" s="139"/>
      <c r="ET418" s="139"/>
      <c r="EU418" s="1145"/>
    </row>
    <row r="419" spans="1:227">
      <c r="A419" s="327" t="s">
        <v>5982</v>
      </c>
      <c r="B419" s="113"/>
      <c r="C419" s="412">
        <v>1958</v>
      </c>
      <c r="D419" s="412">
        <v>2049</v>
      </c>
      <c r="E419" s="412">
        <v>2042</v>
      </c>
      <c r="F419" s="412">
        <v>2044</v>
      </c>
      <c r="G419" s="412">
        <f>F419</f>
        <v>2044</v>
      </c>
      <c r="H419" s="113"/>
      <c r="I419" s="412">
        <v>2371</v>
      </c>
      <c r="J419" s="412">
        <v>2392</v>
      </c>
      <c r="K419" s="412">
        <v>2445</v>
      </c>
      <c r="L419" s="412">
        <v>2470</v>
      </c>
      <c r="M419" s="412">
        <f>L419</f>
        <v>2470</v>
      </c>
      <c r="N419" s="113"/>
      <c r="O419" s="412">
        <v>2540</v>
      </c>
      <c r="P419" s="412">
        <v>2587</v>
      </c>
      <c r="Q419" s="412">
        <v>2602</v>
      </c>
      <c r="R419" s="412">
        <f>Q419</f>
        <v>2602</v>
      </c>
      <c r="S419" s="412">
        <f>R419</f>
        <v>2602</v>
      </c>
      <c r="T419" s="113"/>
      <c r="U419" s="412">
        <v>3474</v>
      </c>
      <c r="V419" s="412">
        <v>3495</v>
      </c>
      <c r="W419" s="412">
        <v>3140</v>
      </c>
      <c r="X419" s="412">
        <v>3024</v>
      </c>
      <c r="Y419" s="412">
        <f>X419</f>
        <v>3024</v>
      </c>
      <c r="Z419" s="113"/>
      <c r="AA419" s="412">
        <v>3071</v>
      </c>
      <c r="AB419" s="412">
        <v>3198</v>
      </c>
      <c r="AC419" s="412">
        <v>3326</v>
      </c>
      <c r="AD419" s="412">
        <v>3484</v>
      </c>
      <c r="AE419" s="412">
        <f>AD419</f>
        <v>3484</v>
      </c>
      <c r="AF419" s="113"/>
      <c r="AG419" s="412">
        <v>3539</v>
      </c>
      <c r="AH419" s="412">
        <v>3554</v>
      </c>
      <c r="AI419" s="412">
        <v>3654</v>
      </c>
      <c r="AJ419" s="412">
        <v>3646</v>
      </c>
      <c r="AK419" s="412">
        <f>AJ419</f>
        <v>3646</v>
      </c>
      <c r="AL419" s="113"/>
      <c r="AM419" s="104">
        <v>3706</v>
      </c>
      <c r="AN419" s="104">
        <v>3715</v>
      </c>
      <c r="AO419" s="104">
        <v>3622</v>
      </c>
      <c r="AP419" s="104">
        <v>3498</v>
      </c>
      <c r="AQ419" s="62">
        <f>AP419</f>
        <v>3498</v>
      </c>
      <c r="AR419" s="90"/>
      <c r="AS419" s="104">
        <v>3551</v>
      </c>
      <c r="AT419" s="104">
        <v>3564</v>
      </c>
      <c r="AU419" s="104">
        <v>3537</v>
      </c>
      <c r="AV419" s="104">
        <v>3493</v>
      </c>
      <c r="AW419" s="62">
        <f>AV419</f>
        <v>3493</v>
      </c>
      <c r="AX419" s="90"/>
      <c r="AY419" s="104">
        <v>3409</v>
      </c>
      <c r="AZ419" s="104">
        <v>3443</v>
      </c>
      <c r="BA419" s="104">
        <v>3437</v>
      </c>
      <c r="BB419" s="104">
        <v>3477</v>
      </c>
      <c r="BC419" s="62">
        <f>BB419</f>
        <v>3477</v>
      </c>
      <c r="BD419" s="113"/>
      <c r="BE419" s="104">
        <v>3661</v>
      </c>
      <c r="BF419" s="705">
        <f>BG419-300</f>
        <v>3813</v>
      </c>
      <c r="BG419" s="705">
        <f>BH419-700</f>
        <v>4113</v>
      </c>
      <c r="BH419" s="412">
        <v>4813</v>
      </c>
      <c r="BI419" s="412">
        <f>BH419</f>
        <v>4813</v>
      </c>
      <c r="BJ419" s="113"/>
      <c r="BK419" s="705">
        <f>($BN419-$BI419)/4+BI419</f>
        <v>4902</v>
      </c>
      <c r="BL419" s="705">
        <f>($BN419-$BI419)/4+BK419</f>
        <v>4991</v>
      </c>
      <c r="BM419" s="705">
        <f>($BN419-$BI419)/4+BL419</f>
        <v>5080</v>
      </c>
      <c r="BN419" s="412">
        <v>5169</v>
      </c>
      <c r="BO419" s="1166">
        <f>BN419</f>
        <v>5169</v>
      </c>
      <c r="BP419" s="113"/>
      <c r="BQ419" s="705">
        <f>($BT419-$BO419)/4+BO419</f>
        <v>5701.75</v>
      </c>
      <c r="BR419" s="705">
        <f>($BT419-$BN419)/4+BQ419</f>
        <v>6234.5</v>
      </c>
      <c r="BS419" s="705">
        <f>($BT419-$BN419)/4+BR419</f>
        <v>6767.25</v>
      </c>
      <c r="BT419" s="412">
        <v>7300</v>
      </c>
      <c r="BU419" s="1166">
        <f>BT419</f>
        <v>7300</v>
      </c>
      <c r="BV419" s="113"/>
      <c r="BW419" s="412">
        <v>7800</v>
      </c>
      <c r="BX419" s="412">
        <v>7800</v>
      </c>
      <c r="BY419" s="412">
        <v>7800</v>
      </c>
      <c r="BZ419" s="412">
        <v>7800</v>
      </c>
      <c r="CA419" s="1166">
        <f>BZ419</f>
        <v>7800</v>
      </c>
      <c r="CB419" s="113"/>
      <c r="CC419" s="412">
        <f>BZ419*(1+CC422)</f>
        <v>7566</v>
      </c>
      <c r="CD419" s="412">
        <f>CC419*(1+CD422)</f>
        <v>7339.0199999999995</v>
      </c>
      <c r="CE419" s="412">
        <f>CD419*(1+CE422)</f>
        <v>7118.8493999999992</v>
      </c>
      <c r="CF419" s="412">
        <v>6800</v>
      </c>
      <c r="CG419" s="1166">
        <v>6800</v>
      </c>
      <c r="CH419" s="113"/>
      <c r="CI419" s="412">
        <f>CF419*(1+CI422)</f>
        <v>6800</v>
      </c>
      <c r="CJ419" s="412">
        <f>CI419*(1+CJ422)</f>
        <v>6800</v>
      </c>
      <c r="CK419" s="412">
        <f>CJ419*(1+CK422)</f>
        <v>6800</v>
      </c>
      <c r="CL419" s="412">
        <v>6800</v>
      </c>
      <c r="CM419" s="1166">
        <f>CL419</f>
        <v>6800</v>
      </c>
      <c r="CN419" s="113"/>
      <c r="CO419" s="412">
        <f>CL419*(1+CO422)</f>
        <v>6868</v>
      </c>
      <c r="CP419" s="412">
        <f>CO419*(1+CP422)</f>
        <v>6936.68</v>
      </c>
      <c r="CQ419" s="412">
        <f>CP419*(1+CQ422)</f>
        <v>7006.0468000000001</v>
      </c>
      <c r="CR419" s="412">
        <f>CQ419*(1+CR422)</f>
        <v>7076.1072679999997</v>
      </c>
      <c r="CS419" s="1166">
        <f>CR419</f>
        <v>7076.1072679999997</v>
      </c>
      <c r="CT419" s="412"/>
      <c r="CU419" s="412">
        <f>CR419*(1+CU422)</f>
        <v>7146.8683406800001</v>
      </c>
      <c r="CV419" s="412">
        <f>CU419*(1+CV422)</f>
        <v>7218.3370240867998</v>
      </c>
      <c r="CW419" s="412">
        <f>CV419*(1+CW422)</f>
        <v>7290.5203943276683</v>
      </c>
      <c r="CX419" s="412">
        <f>CW419*(1+CX422)</f>
        <v>7363.4255982709446</v>
      </c>
      <c r="CY419" s="1166">
        <f>CX419</f>
        <v>7363.4255982709446</v>
      </c>
      <c r="CZ419" s="412"/>
      <c r="DA419" s="412">
        <f>CX419*(1+DA422)</f>
        <v>7437.0598542536545</v>
      </c>
      <c r="DB419" s="412">
        <f>DA419*(1+DB422)</f>
        <v>7511.4304527961913</v>
      </c>
      <c r="DC419" s="412">
        <f>DB419*(1+DC422)</f>
        <v>7586.5447573241536</v>
      </c>
      <c r="DD419" s="412">
        <f>DC419*(1+DD422)</f>
        <v>7662.4102048973955</v>
      </c>
      <c r="DE419" s="1166">
        <f>DD419</f>
        <v>7662.4102048973955</v>
      </c>
      <c r="DF419" s="412"/>
      <c r="DG419" s="412">
        <f>DD419*(1+DG422)</f>
        <v>7739.0343069463697</v>
      </c>
      <c r="DH419" s="412">
        <f>DG419*(1+DH422)</f>
        <v>7816.4246500158333</v>
      </c>
      <c r="DI419" s="412">
        <f>DH419*(1+DI422)</f>
        <v>7894.588896515992</v>
      </c>
      <c r="DJ419" s="412">
        <f>DI419*(1+DJ422)</f>
        <v>7973.5347854811516</v>
      </c>
      <c r="DK419" s="1166">
        <f>DJ419</f>
        <v>7973.5347854811516</v>
      </c>
      <c r="DL419" s="113"/>
      <c r="DM419" s="412">
        <f>DJ419*(1+DM422)</f>
        <v>8053.2701333359628</v>
      </c>
      <c r="DN419" s="412">
        <f>DM419*(1+DN422)</f>
        <v>8133.8028346693227</v>
      </c>
      <c r="DO419" s="412">
        <f>DN419*(1+DO422)</f>
        <v>8215.1408630160167</v>
      </c>
      <c r="DP419" s="412">
        <f>DO419*(1+DP422)</f>
        <v>8297.2922716461762</v>
      </c>
      <c r="DQ419" s="1166">
        <f>DP419</f>
        <v>8297.2922716461762</v>
      </c>
      <c r="DR419" s="412"/>
      <c r="DS419" s="412">
        <f>DP419*(1+DS422)</f>
        <v>8380.2651943626388</v>
      </c>
      <c r="DT419" s="412">
        <f>DS419*(1+DT422)</f>
        <v>8464.067846306265</v>
      </c>
      <c r="DU419" s="412">
        <f>DT419*(1+DU422)</f>
        <v>8548.7085247693285</v>
      </c>
      <c r="DV419" s="412">
        <f>DU419*(1+DV422)</f>
        <v>8634.1956100170228</v>
      </c>
      <c r="DW419" s="1166">
        <f>DV419</f>
        <v>8634.1956100170228</v>
      </c>
      <c r="DX419" s="412"/>
      <c r="DY419" s="412">
        <f>DV419*(1+DY422)</f>
        <v>8720.5375661171929</v>
      </c>
      <c r="DZ419" s="412">
        <f>DY419*(1+DZ422)</f>
        <v>8807.7429417783642</v>
      </c>
      <c r="EA419" s="412">
        <f>DZ419*(1+EA422)</f>
        <v>8895.8203711961487</v>
      </c>
      <c r="EB419" s="412">
        <f>EA419*(1+EB422)</f>
        <v>8984.7785749081104</v>
      </c>
      <c r="EC419" s="1166">
        <f>EB419</f>
        <v>8984.7785749081104</v>
      </c>
      <c r="ED419" s="412"/>
      <c r="EE419" s="412">
        <f>EB419*(1+EE422)</f>
        <v>9074.626360657192</v>
      </c>
      <c r="EF419" s="412">
        <f>EE419*(1+EF422)</f>
        <v>9165.372624263764</v>
      </c>
      <c r="EG419" s="412">
        <f>EF419*(1+EG422)</f>
        <v>9257.0263505064013</v>
      </c>
      <c r="EH419" s="412">
        <f>EG419*(1+EH422)</f>
        <v>9349.5966140114651</v>
      </c>
      <c r="EI419" s="1166">
        <f>EH419</f>
        <v>9349.5966140114651</v>
      </c>
      <c r="EJ419" s="412"/>
      <c r="EK419" s="412">
        <f>EH419*(1+EK422)</f>
        <v>9443.0925801515805</v>
      </c>
      <c r="EL419" s="412">
        <f>EK419*(1+EL422)</f>
        <v>9537.5235059530969</v>
      </c>
      <c r="EM419" s="412">
        <f>EL419*(1+EM422)</f>
        <v>9632.8987410126283</v>
      </c>
      <c r="EN419" s="412">
        <f>EM419*(1+EN422)</f>
        <v>9729.2277284227548</v>
      </c>
      <c r="EO419" s="1166">
        <f>EN419</f>
        <v>9729.2277284227548</v>
      </c>
      <c r="EP419" s="412"/>
      <c r="EQ419" s="412">
        <f>EN419*(1+EQ422)</f>
        <v>9826.5200057069833</v>
      </c>
      <c r="ER419" s="412">
        <f>EQ419*(1+ER422)</f>
        <v>9924.7852057640539</v>
      </c>
      <c r="ES419" s="412">
        <f>ER419*(1+ES422)</f>
        <v>10024.033057821694</v>
      </c>
      <c r="ET419" s="412">
        <f>ES419*(1+ET422)</f>
        <v>10124.273388399912</v>
      </c>
      <c r="EU419" s="1166">
        <f>ET419</f>
        <v>10124.273388399912</v>
      </c>
    </row>
    <row r="420" spans="1:227">
      <c r="A420" s="417" t="s">
        <v>1925</v>
      </c>
      <c r="B420" s="99"/>
      <c r="C420" s="106"/>
      <c r="D420" s="106"/>
      <c r="E420" s="106"/>
      <c r="F420" s="106"/>
      <c r="G420" s="106"/>
      <c r="H420" s="99"/>
      <c r="I420" s="106">
        <f>I419/C419-1</f>
        <v>0.2109295199182839</v>
      </c>
      <c r="J420" s="106">
        <f>J419/D419-1</f>
        <v>0.16739873108833581</v>
      </c>
      <c r="K420" s="106">
        <f>K419/E419-1</f>
        <v>0.1973555337904016</v>
      </c>
      <c r="L420" s="106">
        <f>L419/F419-1</f>
        <v>0.20841487279843451</v>
      </c>
      <c r="M420" s="106">
        <f>M419/G419-1</f>
        <v>0.20841487279843451</v>
      </c>
      <c r="N420" s="99"/>
      <c r="O420" s="106">
        <f>O419/I419-1</f>
        <v>7.1277941796710209E-2</v>
      </c>
      <c r="P420" s="106">
        <f>P419/J419-1</f>
        <v>8.1521739130434812E-2</v>
      </c>
      <c r="Q420" s="106">
        <f>Q419/K419-1</f>
        <v>6.4212678936605316E-2</v>
      </c>
      <c r="R420" s="106">
        <f>R419/L419-1</f>
        <v>5.3441295546558631E-2</v>
      </c>
      <c r="S420" s="106"/>
      <c r="T420" s="99"/>
      <c r="U420" s="106">
        <f>U419/O419-1</f>
        <v>0.36771653543307092</v>
      </c>
      <c r="V420" s="106">
        <f>V419/P419-1</f>
        <v>0.35098569771936616</v>
      </c>
      <c r="W420" s="106">
        <f>W419/Q419-1</f>
        <v>0.20676402767102231</v>
      </c>
      <c r="X420" s="106">
        <f>X419/R419-1</f>
        <v>0.16218293620292079</v>
      </c>
      <c r="Y420" s="106"/>
      <c r="Z420" s="99"/>
      <c r="AA420" s="106">
        <f>AA419/U419-1</f>
        <v>-0.1160046056419114</v>
      </c>
      <c r="AB420" s="106">
        <f>AB419/V419-1</f>
        <v>-8.4978540772532196E-2</v>
      </c>
      <c r="AC420" s="106">
        <f>AC419/W419-1</f>
        <v>5.9235668789809015E-2</v>
      </c>
      <c r="AD420" s="106">
        <f>AD419/X419-1</f>
        <v>0.15211640211640209</v>
      </c>
      <c r="AE420" s="106"/>
      <c r="AF420" s="99"/>
      <c r="AG420" s="106">
        <f>AG419/AA419-1</f>
        <v>0.15239335721263436</v>
      </c>
      <c r="AH420" s="106">
        <f>AH419/AB419-1</f>
        <v>0.11131957473420884</v>
      </c>
      <c r="AI420" s="106">
        <f>AI419/AC419-1</f>
        <v>9.8616957306073338E-2</v>
      </c>
      <c r="AJ420" s="106">
        <f>AJ419/AD419-1</f>
        <v>4.6498277841561464E-2</v>
      </c>
      <c r="AK420" s="106"/>
      <c r="AL420" s="99"/>
      <c r="AM420" s="106">
        <f>AM419/AG419-1</f>
        <v>4.7188471319581815E-2</v>
      </c>
      <c r="AN420" s="106">
        <f>AN419/AH419-1</f>
        <v>4.5301069217782874E-2</v>
      </c>
      <c r="AO420" s="106">
        <f>AO419/AI419-1</f>
        <v>-8.7575259989053356E-3</v>
      </c>
      <c r="AP420" s="106">
        <f>AP419/AJ419-1</f>
        <v>-4.0592430060340079E-2</v>
      </c>
      <c r="AQ420" s="106">
        <f>AQ419/AK419-1</f>
        <v>-4.0592430060340079E-2</v>
      </c>
      <c r="AR420" s="97"/>
      <c r="AS420" s="106">
        <f>AS419/AM419-1</f>
        <v>-4.1824069077172177E-2</v>
      </c>
      <c r="AT420" s="106">
        <f>AT419/AN419-1</f>
        <v>-4.0646029609690437E-2</v>
      </c>
      <c r="AU420" s="106">
        <f>AU419/AO419-1</f>
        <v>-2.3467697404748744E-2</v>
      </c>
      <c r="AV420" s="106">
        <f>AV419/AP419-1</f>
        <v>-1.4293882218410214E-3</v>
      </c>
      <c r="AW420" s="106">
        <f>AW419/AQ419-1</f>
        <v>-1.4293882218410214E-3</v>
      </c>
      <c r="AX420" s="97"/>
      <c r="AY420" s="106">
        <f>AY419/AS419-1</f>
        <v>-3.9988735567445755E-2</v>
      </c>
      <c r="AZ420" s="106">
        <f>AZ419/AT419-1</f>
        <v>-3.3950617283950657E-2</v>
      </c>
      <c r="BA420" s="106">
        <f>BA419/AU419-1</f>
        <v>-2.8272547356516853E-2</v>
      </c>
      <c r="BB420" s="106">
        <f>BB419/AV419-1</f>
        <v>-4.5805897509304527E-3</v>
      </c>
      <c r="BC420" s="106">
        <f>BC419/AW419-1</f>
        <v>-4.5805897509304527E-3</v>
      </c>
      <c r="BD420" s="99"/>
      <c r="BE420" s="106">
        <f>BE419/AY419-1</f>
        <v>7.3921971252566721E-2</v>
      </c>
      <c r="BF420" s="106">
        <f>BF419/AZ419-1</f>
        <v>0.10746442056346206</v>
      </c>
      <c r="BG420" s="106">
        <f>BG419/BA419-1</f>
        <v>0.19668315391329649</v>
      </c>
      <c r="BH420" s="106">
        <f>BH419/BB419-1</f>
        <v>0.3842392867414437</v>
      </c>
      <c r="BI420" s="106">
        <f>BI419/BC419-1</f>
        <v>0.3842392867414437</v>
      </c>
      <c r="BJ420" s="99"/>
      <c r="BK420" s="106">
        <f>BK419/BE419-1</f>
        <v>0.33897842119639443</v>
      </c>
      <c r="BL420" s="106">
        <f>BL419/BF419-1</f>
        <v>0.30894308943089421</v>
      </c>
      <c r="BM420" s="106">
        <f>BM419/BG419-1</f>
        <v>0.23510819353270129</v>
      </c>
      <c r="BN420" s="106">
        <f>BN419/BH419-1</f>
        <v>7.3966341159360072E-2</v>
      </c>
      <c r="BO420" s="1139">
        <f>BO419/BI419-1</f>
        <v>7.3966341159360072E-2</v>
      </c>
      <c r="BP420" s="99"/>
      <c r="BQ420" s="106">
        <f>BQ419/BK419-1</f>
        <v>0.16314769481844138</v>
      </c>
      <c r="BR420" s="106">
        <f>BR419/BL419-1</f>
        <v>0.24914846724103379</v>
      </c>
      <c r="BS420" s="106">
        <f>BS419/BM419-1</f>
        <v>0.33213582677165365</v>
      </c>
      <c r="BT420" s="106">
        <f>BT419/BN419-1</f>
        <v>0.412265428516154</v>
      </c>
      <c r="BU420" s="1139">
        <f>BU419/BO419-1</f>
        <v>0.412265428516154</v>
      </c>
      <c r="BV420" s="99"/>
      <c r="BW420" s="106">
        <f>BW419/BQ419-1</f>
        <v>0.36800105230850177</v>
      </c>
      <c r="BX420" s="106">
        <f>BX419/BR419-1</f>
        <v>0.25110273478226008</v>
      </c>
      <c r="BY420" s="106">
        <f>BY419/BS419-1</f>
        <v>0.15260999667516351</v>
      </c>
      <c r="BZ420" s="106">
        <f>BZ419/BT419-1</f>
        <v>6.8493150684931559E-2</v>
      </c>
      <c r="CA420" s="1139">
        <f>CA419/BU419-1</f>
        <v>6.8493150684931559E-2</v>
      </c>
      <c r="CB420" s="99"/>
      <c r="CC420" s="106">
        <f>CC419/BW419-1</f>
        <v>-3.0000000000000027E-2</v>
      </c>
      <c r="CD420" s="106">
        <f>CD419/BX419-1</f>
        <v>-5.9100000000000041E-2</v>
      </c>
      <c r="CE420" s="106">
        <f>CE419/BY419-1</f>
        <v>-8.7327000000000155E-2</v>
      </c>
      <c r="CF420" s="106">
        <f>CF419/BZ419-1</f>
        <v>-0.12820512820512819</v>
      </c>
      <c r="CG420" s="1139">
        <f>CG419/CA419-1</f>
        <v>-0.12820512820512819</v>
      </c>
      <c r="CH420" s="99"/>
      <c r="CI420" s="106">
        <f>CI419/CC419-1</f>
        <v>-0.10124240021147235</v>
      </c>
      <c r="CJ420" s="106">
        <f>CJ419/CD419-1</f>
        <v>-7.3445773413889026E-2</v>
      </c>
      <c r="CK420" s="106">
        <f>CK419/CE419-1</f>
        <v>-4.4789457127720533E-2</v>
      </c>
      <c r="CL420" s="106">
        <f>CL419/CF419-1</f>
        <v>0</v>
      </c>
      <c r="CM420" s="1139">
        <f>CM419/CG419-1</f>
        <v>0</v>
      </c>
      <c r="CN420" s="99"/>
      <c r="CO420" s="106">
        <f>CO419/CI419-1</f>
        <v>1.0000000000000009E-2</v>
      </c>
      <c r="CP420" s="106">
        <f>CP419/CJ419-1</f>
        <v>2.0100000000000007E-2</v>
      </c>
      <c r="CQ420" s="106">
        <f>CQ419/CK419-1</f>
        <v>3.0300999999999911E-2</v>
      </c>
      <c r="CR420" s="106">
        <f>CR419/CL419-1</f>
        <v>4.0604010000000024E-2</v>
      </c>
      <c r="CS420" s="1139">
        <f>CS419/CM419-1</f>
        <v>4.0604010000000024E-2</v>
      </c>
      <c r="CT420" s="697"/>
      <c r="CU420" s="106">
        <f>CU419/CO419-1</f>
        <v>4.0604010000000024E-2</v>
      </c>
      <c r="CV420" s="106">
        <f>CV419/CP419-1</f>
        <v>4.0604010000000024E-2</v>
      </c>
      <c r="CW420" s="106">
        <f>CW419/CQ419-1</f>
        <v>4.0604010000000024E-2</v>
      </c>
      <c r="CX420" s="106">
        <f>CX419/CR419-1</f>
        <v>4.0604010000000024E-2</v>
      </c>
      <c r="CY420" s="1139">
        <f>CY419/CS419-1</f>
        <v>4.0604010000000024E-2</v>
      </c>
      <c r="CZ420" s="697"/>
      <c r="DA420" s="106">
        <f>DA419/CU419-1</f>
        <v>4.0604010000000024E-2</v>
      </c>
      <c r="DB420" s="106">
        <f>DB419/CV419-1</f>
        <v>4.0604010000000024E-2</v>
      </c>
      <c r="DC420" s="106">
        <f>DC419/CW419-1</f>
        <v>4.0604010000000024E-2</v>
      </c>
      <c r="DD420" s="106">
        <f>DD419/CX419-1</f>
        <v>4.0604010000000246E-2</v>
      </c>
      <c r="DE420" s="1139">
        <f>DE419/CY419-1</f>
        <v>4.0604010000000246E-2</v>
      </c>
      <c r="DF420" s="697"/>
      <c r="DG420" s="106">
        <f>DG419/DA419-1</f>
        <v>4.0604010000000246E-2</v>
      </c>
      <c r="DH420" s="106">
        <f>DH419/DB419-1</f>
        <v>4.0604010000000024E-2</v>
      </c>
      <c r="DI420" s="106">
        <f>DI419/DC419-1</f>
        <v>4.0604010000000024E-2</v>
      </c>
      <c r="DJ420" s="106">
        <f>DJ419/DD419-1</f>
        <v>4.0604010000000024E-2</v>
      </c>
      <c r="DK420" s="1139">
        <f>DK419/DE419-1</f>
        <v>4.0604010000000024E-2</v>
      </c>
      <c r="DL420" s="99"/>
      <c r="DM420" s="106">
        <f>DM419/DG419-1</f>
        <v>4.0604010000000024E-2</v>
      </c>
      <c r="DN420" s="106">
        <f>DN419/DH419-1</f>
        <v>4.0604010000000024E-2</v>
      </c>
      <c r="DO420" s="106">
        <f>DO419/DI419-1</f>
        <v>4.0604010000000024E-2</v>
      </c>
      <c r="DP420" s="106">
        <f>DP419/DJ419-1</f>
        <v>4.0604010000000024E-2</v>
      </c>
      <c r="DQ420" s="1139">
        <f>DQ419/DK419-1</f>
        <v>4.0604010000000024E-2</v>
      </c>
      <c r="DR420" s="697"/>
      <c r="DS420" s="106">
        <f>DS419/DM419-1</f>
        <v>4.0604010000000246E-2</v>
      </c>
      <c r="DT420" s="106">
        <f>DT419/DN419-1</f>
        <v>4.0604010000000024E-2</v>
      </c>
      <c r="DU420" s="106">
        <f>DU419/DO419-1</f>
        <v>4.0604010000000024E-2</v>
      </c>
      <c r="DV420" s="106">
        <f>DV419/DP419-1</f>
        <v>4.0604010000000246E-2</v>
      </c>
      <c r="DW420" s="1139">
        <f>DW419/DQ419-1</f>
        <v>4.0604010000000246E-2</v>
      </c>
      <c r="DX420" s="697"/>
      <c r="DY420" s="106">
        <f>DY419/DS419-1</f>
        <v>4.0604010000000246E-2</v>
      </c>
      <c r="DZ420" s="106">
        <f>DZ419/DT419-1</f>
        <v>4.0604010000000246E-2</v>
      </c>
      <c r="EA420" s="106">
        <f>EA419/DU419-1</f>
        <v>4.0604010000000024E-2</v>
      </c>
      <c r="EB420" s="106">
        <f>EB419/DV419-1</f>
        <v>4.0604010000000024E-2</v>
      </c>
      <c r="EC420" s="1139">
        <f>EC419/DW419-1</f>
        <v>4.0604010000000024E-2</v>
      </c>
      <c r="ED420" s="697"/>
      <c r="EE420" s="106">
        <f>EE419/DY419-1</f>
        <v>4.0604010000000024E-2</v>
      </c>
      <c r="EF420" s="106">
        <f>EF419/DZ419-1</f>
        <v>4.0604010000000246E-2</v>
      </c>
      <c r="EG420" s="106">
        <f>EG419/EA419-1</f>
        <v>4.0604010000000024E-2</v>
      </c>
      <c r="EH420" s="106">
        <f>EH419/EB419-1</f>
        <v>4.0604010000000024E-2</v>
      </c>
      <c r="EI420" s="1139">
        <f>EI419/EC419-1</f>
        <v>4.0604010000000024E-2</v>
      </c>
      <c r="EJ420" s="697"/>
      <c r="EK420" s="106">
        <f>EK419/EE419-1</f>
        <v>4.0604010000000024E-2</v>
      </c>
      <c r="EL420" s="106">
        <f>EL419/EF419-1</f>
        <v>4.0604010000000024E-2</v>
      </c>
      <c r="EM420" s="106">
        <f>EM419/EG419-1</f>
        <v>4.0604010000000246E-2</v>
      </c>
      <c r="EN420" s="106">
        <f>EN419/EH419-1</f>
        <v>4.0604010000000246E-2</v>
      </c>
      <c r="EO420" s="1139">
        <f>EO419/EI419-1</f>
        <v>4.0604010000000246E-2</v>
      </c>
      <c r="EP420" s="697"/>
      <c r="EQ420" s="106">
        <f>EQ419/EK419-1</f>
        <v>4.0604010000000246E-2</v>
      </c>
      <c r="ER420" s="106">
        <f>ER419/EL419-1</f>
        <v>4.0604010000000246E-2</v>
      </c>
      <c r="ES420" s="106">
        <f>ES419/EM419-1</f>
        <v>4.0604010000000246E-2</v>
      </c>
      <c r="ET420" s="106">
        <f>ET419/EN419-1</f>
        <v>4.0604010000000246E-2</v>
      </c>
      <c r="EU420" s="1139">
        <f>EU419/EO419-1</f>
        <v>4.0604010000000246E-2</v>
      </c>
    </row>
    <row r="421" spans="1:227">
      <c r="A421" s="417" t="s">
        <v>4598</v>
      </c>
      <c r="B421" s="99"/>
      <c r="C421" s="99"/>
      <c r="D421" s="99">
        <f>IF(C419&lt;&gt;"",D419-C419,"-")</f>
        <v>91</v>
      </c>
      <c r="E421" s="99">
        <f>IF(D419&lt;&gt;"",E419-D419,"-")</f>
        <v>-7</v>
      </c>
      <c r="F421" s="99">
        <f>IF(E419&lt;&gt;"",F419-E419,"-")</f>
        <v>2</v>
      </c>
      <c r="G421" s="148" t="s">
        <v>6442</v>
      </c>
      <c r="H421" s="99"/>
      <c r="I421" s="99">
        <f>IF(F419&lt;&gt;"",I419-F419,"-")</f>
        <v>327</v>
      </c>
      <c r="J421" s="99">
        <f>IF(I419&lt;&gt;"",J419-I419,"-")</f>
        <v>21</v>
      </c>
      <c r="K421" s="99">
        <f>IF(J419&lt;&gt;"",K419-J419,"-")</f>
        <v>53</v>
      </c>
      <c r="L421" s="99">
        <f>IF(K419&lt;&gt;"",L419-K419,"-")</f>
        <v>25</v>
      </c>
      <c r="M421" s="148" t="s">
        <v>6442</v>
      </c>
      <c r="N421" s="99"/>
      <c r="O421" s="99">
        <f>IF(L419&lt;&gt;"",O419-L419,"-")</f>
        <v>70</v>
      </c>
      <c r="P421" s="99">
        <f>IF(O419&lt;&gt;"",P419-O419,"-")</f>
        <v>47</v>
      </c>
      <c r="Q421" s="99">
        <f>IF(P419&lt;&gt;"",Q419-P419,"-")</f>
        <v>15</v>
      </c>
      <c r="R421" s="99">
        <f>IF(Q419&lt;&gt;"",R419-Q419,"-")</f>
        <v>0</v>
      </c>
      <c r="S421" s="148"/>
      <c r="T421" s="99"/>
      <c r="U421" s="99">
        <f>IF(R419&lt;&gt;"",U419-R419,"-")</f>
        <v>872</v>
      </c>
      <c r="V421" s="99">
        <f>IF(U419&lt;&gt;"",V419-U419,"-")</f>
        <v>21</v>
      </c>
      <c r="W421" s="99">
        <f>IF(V419&lt;&gt;"",W419-V419,"-")</f>
        <v>-355</v>
      </c>
      <c r="X421" s="99">
        <f>IF(W419&lt;&gt;"",X419-W419,"-")</f>
        <v>-116</v>
      </c>
      <c r="Y421" s="148"/>
      <c r="Z421" s="99"/>
      <c r="AA421" s="99">
        <f>IF(X419&lt;&gt;"",AA419-X419,"-")</f>
        <v>47</v>
      </c>
      <c r="AB421" s="99">
        <f>IF(AA419&lt;&gt;"",AB419-AA419,"-")</f>
        <v>127</v>
      </c>
      <c r="AC421" s="99">
        <f>IF(AB419&lt;&gt;"",AC419-AB419,"-")</f>
        <v>128</v>
      </c>
      <c r="AD421" s="99">
        <f>IF(AC419&lt;&gt;"",AD419-AC419,"-")</f>
        <v>158</v>
      </c>
      <c r="AE421" s="148"/>
      <c r="AF421" s="99"/>
      <c r="AG421" s="99">
        <f>IF(AD419&lt;&gt;"",AG419-AD419,"-")</f>
        <v>55</v>
      </c>
      <c r="AH421" s="99">
        <f>IF(AG419&lt;&gt;"",AH419-AG419,"-")</f>
        <v>15</v>
      </c>
      <c r="AI421" s="99">
        <f>IF(AH419&lt;&gt;"",AI419-AH419,"-")</f>
        <v>100</v>
      </c>
      <c r="AJ421" s="99">
        <f>IF(AI419&lt;&gt;"",AJ419-AI419,"-")</f>
        <v>-8</v>
      </c>
      <c r="AK421" s="148"/>
      <c r="AL421" s="99"/>
      <c r="AM421" s="99">
        <f>IF(AJ419&lt;&gt;"",AM419-AJ419,"-")</f>
        <v>60</v>
      </c>
      <c r="AN421" s="99">
        <f>IF(AM419&lt;&gt;"",AN419-AM419,"-")</f>
        <v>9</v>
      </c>
      <c r="AO421" s="99">
        <f>IF(AN419&lt;&gt;"",AO419-AN419,"-")</f>
        <v>-93</v>
      </c>
      <c r="AP421" s="99">
        <f>IF(AO419&lt;&gt;"",AP419-AO419,"-")</f>
        <v>-124</v>
      </c>
      <c r="AQ421" s="148" t="s">
        <v>6442</v>
      </c>
      <c r="AR421" s="99"/>
      <c r="AS421" s="99">
        <f>IF(AP419&lt;&gt;"",AS419-AP419,"-")</f>
        <v>53</v>
      </c>
      <c r="AT421" s="99">
        <f>IF(AS419&lt;&gt;"",AT419-AS419,"-")</f>
        <v>13</v>
      </c>
      <c r="AU421" s="99">
        <f>IF(AT419&lt;&gt;"",AU419-AT419,"-")</f>
        <v>-27</v>
      </c>
      <c r="AV421" s="99">
        <f>IF(AU419&lt;&gt;"",AV419-AU419,"-")</f>
        <v>-44</v>
      </c>
      <c r="AW421" s="148" t="s">
        <v>6442</v>
      </c>
      <c r="AX421" s="99"/>
      <c r="AY421" s="148">
        <f>IF(AV419&lt;&gt;"",AY419-AV419,"-")</f>
        <v>-84</v>
      </c>
      <c r="AZ421" s="148">
        <f>IF(AY419&lt;&gt;"",AZ419-AY419,"-")</f>
        <v>34</v>
      </c>
      <c r="BA421" s="148">
        <f>IF(AZ419&lt;&gt;"",BA419-AZ419,"-")</f>
        <v>-6</v>
      </c>
      <c r="BB421" s="148">
        <f>IF(BA419&lt;&gt;"",BB419-BA419,"-")</f>
        <v>40</v>
      </c>
      <c r="BC421" s="148" t="s">
        <v>6442</v>
      </c>
      <c r="BD421" s="99"/>
      <c r="BE421" s="148">
        <f>IF(BB419&lt;&gt;"",BE419-BB419,"-")</f>
        <v>184</v>
      </c>
      <c r="BF421" s="148"/>
      <c r="BG421" s="148"/>
      <c r="BH421" s="148"/>
      <c r="BI421" s="95"/>
      <c r="BJ421" s="99"/>
      <c r="BK421" s="99"/>
      <c r="BL421" s="99"/>
      <c r="BM421" s="99"/>
      <c r="BN421" s="99"/>
      <c r="BO421" s="1100"/>
      <c r="BP421" s="99"/>
      <c r="BQ421" s="99"/>
      <c r="BR421" s="99"/>
      <c r="BS421" s="99"/>
      <c r="BT421" s="99"/>
      <c r="BU421" s="1100"/>
      <c r="BV421" s="99"/>
      <c r="BW421" s="99"/>
      <c r="BX421" s="99"/>
      <c r="BY421" s="99"/>
      <c r="BZ421" s="99"/>
      <c r="CA421" s="1100"/>
      <c r="CB421" s="99"/>
      <c r="CC421" s="99"/>
      <c r="CD421" s="99"/>
      <c r="CE421" s="99"/>
      <c r="CF421" s="99"/>
      <c r="CG421" s="1100"/>
      <c r="CH421" s="99"/>
      <c r="CI421" s="99"/>
      <c r="CJ421" s="99"/>
      <c r="CK421" s="148"/>
      <c r="CL421" s="99"/>
      <c r="CM421" s="1100"/>
      <c r="CN421" s="99"/>
      <c r="CO421" s="99"/>
      <c r="CP421" s="99"/>
      <c r="CQ421" s="99"/>
      <c r="CR421" s="99"/>
      <c r="CS421" s="1100"/>
      <c r="CT421" s="95"/>
      <c r="CU421" s="99"/>
      <c r="CV421" s="99"/>
      <c r="CW421" s="99"/>
      <c r="CX421" s="99"/>
      <c r="CY421" s="1100"/>
      <c r="CZ421" s="95"/>
      <c r="DA421" s="99"/>
      <c r="DB421" s="99"/>
      <c r="DC421" s="99"/>
      <c r="DD421" s="99"/>
      <c r="DE421" s="1100"/>
      <c r="DF421" s="95"/>
      <c r="DG421" s="99"/>
      <c r="DH421" s="99"/>
      <c r="DI421" s="99"/>
      <c r="DJ421" s="99"/>
      <c r="DK421" s="1100"/>
      <c r="DL421" s="99"/>
      <c r="DM421" s="99"/>
      <c r="DN421" s="99"/>
      <c r="DO421" s="99"/>
      <c r="DP421" s="99"/>
      <c r="DQ421" s="1100"/>
      <c r="DR421" s="95"/>
      <c r="DS421" s="99"/>
      <c r="DT421" s="99"/>
      <c r="DU421" s="99"/>
      <c r="DV421" s="99"/>
      <c r="DW421" s="1100"/>
      <c r="DX421" s="95"/>
      <c r="DY421" s="99"/>
      <c r="DZ421" s="99"/>
      <c r="EA421" s="99"/>
      <c r="EB421" s="99"/>
      <c r="EC421" s="1100"/>
      <c r="ED421" s="95"/>
      <c r="EE421" s="99"/>
      <c r="EF421" s="99"/>
      <c r="EG421" s="99"/>
      <c r="EH421" s="99"/>
      <c r="EI421" s="1100"/>
      <c r="EJ421" s="95"/>
      <c r="EK421" s="99"/>
      <c r="EL421" s="99"/>
      <c r="EM421" s="99"/>
      <c r="EN421" s="99"/>
      <c r="EO421" s="1100"/>
      <c r="EP421" s="95"/>
      <c r="EQ421" s="99"/>
      <c r="ER421" s="99"/>
      <c r="ES421" s="99"/>
      <c r="ET421" s="99"/>
      <c r="EU421" s="1100"/>
    </row>
    <row r="422" spans="1:227">
      <c r="A422" s="417" t="s">
        <v>4599</v>
      </c>
      <c r="B422" s="99"/>
      <c r="C422" s="418"/>
      <c r="D422" s="419">
        <f>IF(C419&lt;&gt;"",D419/C419-1,"-")</f>
        <v>4.6475995914198265E-2</v>
      </c>
      <c r="E422" s="418">
        <f>IF(D419&lt;&gt;"",E419/D419-1,"-")</f>
        <v>-3.41630063445586E-3</v>
      </c>
      <c r="F422" s="418">
        <f>IF(E419&lt;&gt;"",F419/E419-1,"-")</f>
        <v>9.7943192948091173E-4</v>
      </c>
      <c r="G422" s="148" t="s">
        <v>6442</v>
      </c>
      <c r="H422" s="99"/>
      <c r="I422" s="418">
        <f>IF(F419&lt;&gt;"",I419/F419-1,"-")</f>
        <v>0.15998043052837563</v>
      </c>
      <c r="J422" s="419">
        <f>IF(I419&lt;&gt;"",J419/I419-1,"-")</f>
        <v>8.8570223534374382E-3</v>
      </c>
      <c r="K422" s="418">
        <f>IF(J419&lt;&gt;"",K419/J419-1,"-")</f>
        <v>2.2157190635451407E-2</v>
      </c>
      <c r="L422" s="418">
        <f>IF(K419&lt;&gt;"",L419/K419-1,"-")</f>
        <v>1.0224948875255713E-2</v>
      </c>
      <c r="M422" s="148" t="s">
        <v>6442</v>
      </c>
      <c r="N422" s="99"/>
      <c r="O422" s="418">
        <f>IF(L419&lt;&gt;"",O419/L419-1,"-")</f>
        <v>2.8340080971659853E-2</v>
      </c>
      <c r="P422" s="419">
        <f>IF(O419&lt;&gt;"",P419/O419-1,"-")</f>
        <v>1.8503937007874116E-2</v>
      </c>
      <c r="Q422" s="418">
        <f>IF(P419&lt;&gt;"",Q419/P419-1,"-")</f>
        <v>5.7982218786238882E-3</v>
      </c>
      <c r="R422" s="418">
        <f>IF(Q419&lt;&gt;"",R419/Q419-1,"-")</f>
        <v>0</v>
      </c>
      <c r="S422" s="148"/>
      <c r="T422" s="99"/>
      <c r="U422" s="418">
        <f>IF(R419&lt;&gt;"",U419/R419-1,"-")</f>
        <v>0.33512682551883177</v>
      </c>
      <c r="V422" s="419">
        <f>IF(U419&lt;&gt;"",V419/U419-1,"-")</f>
        <v>6.044905008635526E-3</v>
      </c>
      <c r="W422" s="418">
        <f>IF(V419&lt;&gt;"",W419/V419-1,"-")</f>
        <v>-0.10157367668097284</v>
      </c>
      <c r="X422" s="418">
        <f>IF(W419&lt;&gt;"",X419/W419-1,"-")</f>
        <v>-3.6942675159235661E-2</v>
      </c>
      <c r="Y422" s="148"/>
      <c r="Z422" s="99"/>
      <c r="AA422" s="418">
        <f>IF(X419&lt;&gt;"",AA419/X419-1,"-")</f>
        <v>1.5542328042328135E-2</v>
      </c>
      <c r="AB422" s="419">
        <f>IF(AA419&lt;&gt;"",AB419/AA419-1,"-")</f>
        <v>4.1354607619667805E-2</v>
      </c>
      <c r="AC422" s="418">
        <f>IF(AB419&lt;&gt;"",AC419/AB419-1,"-")</f>
        <v>4.0025015634771677E-2</v>
      </c>
      <c r="AD422" s="418">
        <f>IF(AC419&lt;&gt;"",AD419/AC419-1,"-")</f>
        <v>4.7504509921828086E-2</v>
      </c>
      <c r="AE422" s="148"/>
      <c r="AF422" s="99"/>
      <c r="AG422" s="418">
        <f>IF(AD419&lt;&gt;"",AG419/AD419-1,"-")</f>
        <v>1.5786452353616642E-2</v>
      </c>
      <c r="AH422" s="419">
        <f>IF(AG419&lt;&gt;"",AH419/AG419-1,"-")</f>
        <v>4.2384854478665357E-3</v>
      </c>
      <c r="AI422" s="418">
        <f>IF(AH419&lt;&gt;"",AI419/AH419-1,"-")</f>
        <v>2.8137310073157007E-2</v>
      </c>
      <c r="AJ422" s="418">
        <f>IF(AI419&lt;&gt;"",AJ419/AI419-1,"-")</f>
        <v>-2.1893814997263616E-3</v>
      </c>
      <c r="AK422" s="148"/>
      <c r="AL422" s="99"/>
      <c r="AM422" s="418">
        <f>IF(AJ419&lt;&gt;"",AM419/AJ419-1,"-")</f>
        <v>1.645639056500281E-2</v>
      </c>
      <c r="AN422" s="419">
        <f>IF(AM419&lt;&gt;"",AN419/AM419-1,"-")</f>
        <v>2.4284943335133313E-3</v>
      </c>
      <c r="AO422" s="418">
        <f>IF(AN419&lt;&gt;"",AO419/AN419-1,"-")</f>
        <v>-2.5033647375504731E-2</v>
      </c>
      <c r="AP422" s="418">
        <f>IF(AO419&lt;&gt;"",AP419/AO419-1,"-")</f>
        <v>-3.4235229155162861E-2</v>
      </c>
      <c r="AQ422" s="148" t="s">
        <v>6442</v>
      </c>
      <c r="AR422" s="99"/>
      <c r="AS422" s="418">
        <f>IF(AP419&lt;&gt;"",AS419/AP419-1,"-")</f>
        <v>1.5151515151515138E-2</v>
      </c>
      <c r="AT422" s="419">
        <f>IF(AS419&lt;&gt;"",AT419/AS419-1,"-")</f>
        <v>3.6609405801182326E-3</v>
      </c>
      <c r="AU422" s="418">
        <f>IF(AT419&lt;&gt;"",AU419/AT419-1,"-")</f>
        <v>-7.575757575757569E-3</v>
      </c>
      <c r="AV422" s="418">
        <f>IF(AU419&lt;&gt;"",AV419/AU419-1,"-")</f>
        <v>-1.2439920836867402E-2</v>
      </c>
      <c r="AW422" s="148" t="s">
        <v>6442</v>
      </c>
      <c r="AX422" s="99"/>
      <c r="AY422" s="697">
        <f>IF(AV419&lt;&gt;"",AY419/AV419-1,"-")</f>
        <v>-2.4048096192384794E-2</v>
      </c>
      <c r="AZ422" s="704">
        <f>IF(AY419&lt;&gt;"",AZ419/AY419-1,"-")</f>
        <v>9.9735992959812947E-3</v>
      </c>
      <c r="BA422" s="697">
        <f>IF(AZ419&lt;&gt;"",BA419/AZ419-1,"-")</f>
        <v>-1.7426662794074455E-3</v>
      </c>
      <c r="BB422" s="697">
        <f>IF(BA419&lt;&gt;"",BB419/BA419-1,"-")</f>
        <v>1.1638056444573719E-2</v>
      </c>
      <c r="BC422" s="148" t="s">
        <v>6442</v>
      </c>
      <c r="BD422" s="99"/>
      <c r="BE422" s="697">
        <f>IF(BB419&lt;&gt;"",BE419/BB419-1,"-")</f>
        <v>5.2919183203911313E-2</v>
      </c>
      <c r="BF422" s="148"/>
      <c r="BG422" s="148"/>
      <c r="BH422" s="148"/>
      <c r="BI422" s="95"/>
      <c r="BJ422" s="99"/>
      <c r="BK422" s="99"/>
      <c r="BL422" s="99"/>
      <c r="BM422" s="99"/>
      <c r="BN422" s="99"/>
      <c r="BO422" s="1100"/>
      <c r="BP422" s="99"/>
      <c r="BQ422" s="99"/>
      <c r="BR422" s="99"/>
      <c r="BS422" s="99"/>
      <c r="BT422" s="99"/>
      <c r="BU422" s="1100"/>
      <c r="BV422" s="99"/>
      <c r="BW422" s="664"/>
      <c r="BX422" s="664"/>
      <c r="BY422" s="664"/>
      <c r="BZ422" s="664"/>
      <c r="CA422" s="1139"/>
      <c r="CB422" s="99"/>
      <c r="CC422" s="664">
        <v>-0.03</v>
      </c>
      <c r="CD422" s="664">
        <v>-0.03</v>
      </c>
      <c r="CE422" s="664">
        <v>-0.03</v>
      </c>
      <c r="CF422" s="664">
        <v>-0.01</v>
      </c>
      <c r="CG422" s="1139"/>
      <c r="CH422" s="99"/>
      <c r="CI422" s="664"/>
      <c r="CJ422" s="664"/>
      <c r="CK422" s="664"/>
      <c r="CL422" s="664"/>
      <c r="CM422" s="1139"/>
      <c r="CN422" s="99"/>
      <c r="CO422" s="664">
        <v>0.01</v>
      </c>
      <c r="CP422" s="664">
        <v>0.01</v>
      </c>
      <c r="CQ422" s="664">
        <v>0.01</v>
      </c>
      <c r="CR422" s="664">
        <v>0.01</v>
      </c>
      <c r="CS422" s="1139"/>
      <c r="CT422" s="697"/>
      <c r="CU422" s="664">
        <v>0.01</v>
      </c>
      <c r="CV422" s="664">
        <v>0.01</v>
      </c>
      <c r="CW422" s="664">
        <v>0.01</v>
      </c>
      <c r="CX422" s="664">
        <v>0.01</v>
      </c>
      <c r="CY422" s="1139"/>
      <c r="CZ422" s="697"/>
      <c r="DA422" s="664">
        <v>0.01</v>
      </c>
      <c r="DB422" s="664">
        <v>0.01</v>
      </c>
      <c r="DC422" s="664">
        <v>0.01</v>
      </c>
      <c r="DD422" s="664">
        <v>0.01</v>
      </c>
      <c r="DE422" s="1139"/>
      <c r="DF422" s="697"/>
      <c r="DG422" s="664">
        <v>0.01</v>
      </c>
      <c r="DH422" s="664">
        <v>0.01</v>
      </c>
      <c r="DI422" s="664">
        <v>0.01</v>
      </c>
      <c r="DJ422" s="664">
        <v>0.01</v>
      </c>
      <c r="DK422" s="1139"/>
      <c r="DL422" s="99"/>
      <c r="DM422" s="664">
        <v>0.01</v>
      </c>
      <c r="DN422" s="664">
        <v>0.01</v>
      </c>
      <c r="DO422" s="664">
        <v>0.01</v>
      </c>
      <c r="DP422" s="664">
        <v>0.01</v>
      </c>
      <c r="DQ422" s="1139"/>
      <c r="DR422" s="697"/>
      <c r="DS422" s="664">
        <v>0.01</v>
      </c>
      <c r="DT422" s="664">
        <v>0.01</v>
      </c>
      <c r="DU422" s="664">
        <v>0.01</v>
      </c>
      <c r="DV422" s="664">
        <v>0.01</v>
      </c>
      <c r="DW422" s="1139"/>
      <c r="DX422" s="697"/>
      <c r="DY422" s="664">
        <v>0.01</v>
      </c>
      <c r="DZ422" s="664">
        <v>0.01</v>
      </c>
      <c r="EA422" s="664">
        <v>0.01</v>
      </c>
      <c r="EB422" s="664">
        <v>0.01</v>
      </c>
      <c r="EC422" s="1139"/>
      <c r="ED422" s="697"/>
      <c r="EE422" s="664">
        <v>0.01</v>
      </c>
      <c r="EF422" s="664">
        <v>0.01</v>
      </c>
      <c r="EG422" s="664">
        <v>0.01</v>
      </c>
      <c r="EH422" s="664">
        <v>0.01</v>
      </c>
      <c r="EI422" s="1139"/>
      <c r="EJ422" s="697"/>
      <c r="EK422" s="664">
        <v>0.01</v>
      </c>
      <c r="EL422" s="664">
        <v>0.01</v>
      </c>
      <c r="EM422" s="664">
        <v>0.01</v>
      </c>
      <c r="EN422" s="664">
        <v>0.01</v>
      </c>
      <c r="EO422" s="1139"/>
      <c r="EP422" s="697"/>
      <c r="EQ422" s="664">
        <v>0.01</v>
      </c>
      <c r="ER422" s="664">
        <v>0.01</v>
      </c>
      <c r="ES422" s="664">
        <v>0.01</v>
      </c>
      <c r="ET422" s="664">
        <v>0.01</v>
      </c>
      <c r="EU422" s="1139"/>
    </row>
    <row r="423" spans="1:227" ht="5.25" customHeight="1">
      <c r="A423" s="197"/>
      <c r="B423" s="147"/>
      <c r="C423" s="147"/>
      <c r="D423" s="147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1"/>
      <c r="AZ423" s="141"/>
      <c r="BA423" s="141"/>
      <c r="BB423" s="141"/>
      <c r="BC423" s="141"/>
      <c r="BD423" s="147"/>
      <c r="BE423" s="141"/>
      <c r="BF423" s="141"/>
      <c r="BG423" s="141"/>
      <c r="BH423" s="141"/>
      <c r="BI423" s="141"/>
      <c r="BJ423" s="147"/>
      <c r="BK423" s="147"/>
      <c r="BL423" s="147"/>
      <c r="BM423" s="147"/>
      <c r="BN423" s="147"/>
      <c r="BO423" s="1096"/>
      <c r="BP423" s="147"/>
      <c r="BQ423" s="147"/>
      <c r="BR423" s="147"/>
      <c r="BS423" s="147"/>
      <c r="BT423" s="147"/>
      <c r="BU423" s="1096"/>
      <c r="BV423" s="147"/>
      <c r="BW423" s="147"/>
      <c r="BX423" s="147"/>
      <c r="BY423" s="147"/>
      <c r="BZ423" s="147"/>
      <c r="CA423" s="1096"/>
      <c r="CB423" s="147"/>
      <c r="CC423" s="147"/>
      <c r="CD423" s="147"/>
      <c r="CE423" s="147"/>
      <c r="CF423" s="147"/>
      <c r="CG423" s="1096"/>
      <c r="CH423" s="147"/>
      <c r="CI423" s="147"/>
      <c r="CJ423" s="147"/>
      <c r="CK423" s="141"/>
      <c r="CL423" s="147"/>
      <c r="CM423" s="1096"/>
      <c r="CN423" s="147"/>
      <c r="CO423" s="147"/>
      <c r="CP423" s="147"/>
      <c r="CQ423" s="147"/>
      <c r="CR423" s="147"/>
      <c r="CS423" s="1096"/>
      <c r="CT423" s="147"/>
      <c r="CU423" s="147"/>
      <c r="CV423" s="147"/>
      <c r="CW423" s="147"/>
      <c r="CX423" s="147"/>
      <c r="CY423" s="1096"/>
      <c r="CZ423" s="147"/>
      <c r="DA423" s="147"/>
      <c r="DB423" s="147"/>
      <c r="DC423" s="147"/>
      <c r="DD423" s="147"/>
      <c r="DE423" s="1096"/>
      <c r="DF423" s="147"/>
      <c r="DG423" s="147"/>
      <c r="DH423" s="147"/>
      <c r="DI423" s="147"/>
      <c r="DJ423" s="147"/>
      <c r="DK423" s="1096"/>
      <c r="DL423" s="147"/>
      <c r="DM423" s="147"/>
      <c r="DN423" s="147"/>
      <c r="DO423" s="147"/>
      <c r="DP423" s="147"/>
      <c r="DQ423" s="1096"/>
      <c r="DR423" s="147"/>
      <c r="DS423" s="147"/>
      <c r="DT423" s="147"/>
      <c r="DU423" s="147"/>
      <c r="DV423" s="147"/>
      <c r="DW423" s="1096"/>
      <c r="DX423" s="147"/>
      <c r="DY423" s="147"/>
      <c r="DZ423" s="147"/>
      <c r="EA423" s="147"/>
      <c r="EB423" s="147"/>
      <c r="EC423" s="1096"/>
      <c r="ED423" s="147"/>
      <c r="EE423" s="147"/>
      <c r="EF423" s="147"/>
      <c r="EG423" s="147"/>
      <c r="EH423" s="147"/>
      <c r="EI423" s="1096"/>
      <c r="EJ423" s="147"/>
      <c r="EK423" s="147"/>
      <c r="EL423" s="147"/>
      <c r="EM423" s="147"/>
      <c r="EN423" s="147"/>
      <c r="EO423" s="1096"/>
      <c r="EP423" s="147"/>
      <c r="EQ423" s="147"/>
      <c r="ER423" s="147"/>
      <c r="ES423" s="147"/>
      <c r="ET423" s="147"/>
      <c r="EU423" s="1096"/>
    </row>
    <row r="424" spans="1:227" ht="13.5" customHeight="1">
      <c r="A424" s="577" t="s">
        <v>752</v>
      </c>
      <c r="B424" s="147"/>
      <c r="C424" s="147"/>
      <c r="D424" s="147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1"/>
      <c r="AZ424" s="141"/>
      <c r="BA424" s="141"/>
      <c r="BB424" s="141"/>
      <c r="BC424" s="141"/>
      <c r="BD424" s="147"/>
      <c r="BE424" s="141"/>
      <c r="BF424" s="141"/>
      <c r="BG424" s="141"/>
      <c r="BH424" s="141"/>
      <c r="BI424" s="141"/>
      <c r="BJ424" s="147"/>
      <c r="BK424" s="147"/>
      <c r="BL424" s="147"/>
      <c r="BM424" s="147"/>
      <c r="BN424" s="147"/>
      <c r="BO424" s="1096"/>
      <c r="BP424" s="147"/>
      <c r="BQ424" s="147"/>
      <c r="BR424" s="147"/>
      <c r="BS424" s="147"/>
      <c r="BT424" s="147"/>
      <c r="BU424" s="1096"/>
      <c r="BV424" s="147"/>
      <c r="BW424" s="147"/>
      <c r="BX424" s="147"/>
      <c r="BY424" s="147"/>
      <c r="BZ424" s="147"/>
      <c r="CA424" s="1096"/>
      <c r="CB424" s="147"/>
      <c r="CC424" s="147"/>
      <c r="CD424" s="147"/>
      <c r="CE424" s="147"/>
      <c r="CF424" s="147"/>
      <c r="CG424" s="1096"/>
      <c r="CH424" s="147"/>
      <c r="CI424" s="147"/>
      <c r="CJ424" s="147"/>
      <c r="CK424" s="141"/>
      <c r="CL424" s="147"/>
      <c r="CM424" s="1096"/>
      <c r="CN424" s="147"/>
      <c r="CO424" s="147"/>
      <c r="CP424" s="147"/>
      <c r="CQ424" s="147"/>
      <c r="CR424" s="147"/>
      <c r="CS424" s="1096"/>
      <c r="CT424" s="147"/>
      <c r="CU424" s="147"/>
      <c r="CV424" s="147"/>
      <c r="CW424" s="147"/>
      <c r="CX424" s="147"/>
      <c r="CY424" s="1096"/>
      <c r="CZ424" s="147"/>
      <c r="DA424" s="147"/>
      <c r="DB424" s="147"/>
      <c r="DC424" s="147"/>
      <c r="DD424" s="147"/>
      <c r="DE424" s="1096"/>
      <c r="DF424" s="147"/>
      <c r="DG424" s="147"/>
      <c r="DH424" s="147"/>
      <c r="DI424" s="147"/>
      <c r="DJ424" s="147"/>
      <c r="DK424" s="1096"/>
      <c r="DL424" s="147"/>
      <c r="DM424" s="147"/>
      <c r="DN424" s="147"/>
      <c r="DO424" s="147"/>
      <c r="DP424" s="147"/>
      <c r="DQ424" s="1096"/>
      <c r="DR424" s="147"/>
      <c r="DS424" s="147"/>
      <c r="DT424" s="147"/>
      <c r="DU424" s="147"/>
      <c r="DV424" s="147"/>
      <c r="DW424" s="1096"/>
      <c r="DX424" s="147"/>
      <c r="DY424" s="147"/>
      <c r="DZ424" s="147"/>
      <c r="EA424" s="147"/>
      <c r="EB424" s="147"/>
      <c r="EC424" s="1096"/>
      <c r="ED424" s="147"/>
      <c r="EE424" s="147"/>
      <c r="EF424" s="147"/>
      <c r="EG424" s="147"/>
      <c r="EH424" s="147"/>
      <c r="EI424" s="1096"/>
      <c r="EJ424" s="147"/>
      <c r="EK424" s="147"/>
      <c r="EL424" s="147"/>
      <c r="EM424" s="147"/>
      <c r="EN424" s="147"/>
      <c r="EO424" s="1096"/>
      <c r="EP424" s="147"/>
      <c r="EQ424" s="147"/>
      <c r="ER424" s="147"/>
      <c r="ES424" s="147"/>
      <c r="ET424" s="147"/>
      <c r="EU424" s="1096"/>
    </row>
    <row r="425" spans="1:227">
      <c r="A425" s="411" t="s">
        <v>4858</v>
      </c>
      <c r="B425" s="190"/>
      <c r="C425" s="758">
        <f>Model!C31/C419*1000</f>
        <v>69.611848825331975</v>
      </c>
      <c r="D425" s="758">
        <f>Model!D31/D419*1000</f>
        <v>62.811127379209367</v>
      </c>
      <c r="E425" s="758">
        <f>Model!E31/E419*1000</f>
        <v>57.100881488736526</v>
      </c>
      <c r="F425" s="758">
        <f>Model!F31/F419*1000</f>
        <v>56.262230919765166</v>
      </c>
      <c r="G425" s="759">
        <f>SUM(C425:F425)</f>
        <v>245.78608861304301</v>
      </c>
      <c r="H425" s="190"/>
      <c r="I425" s="413">
        <f>Model!I31/I419*1000</f>
        <v>61.577393504850271</v>
      </c>
      <c r="J425" s="413">
        <f>Model!J31/J419*1000</f>
        <v>78.971571906354527</v>
      </c>
      <c r="K425" s="413">
        <f>Model!K31/K419*1000</f>
        <v>82.044989775051121</v>
      </c>
      <c r="L425" s="413">
        <f>Model!L31/L419*1000</f>
        <v>88.704453441295541</v>
      </c>
      <c r="M425" s="759">
        <f>SUM(I425:L425)</f>
        <v>311.29840862755145</v>
      </c>
      <c r="N425" s="190"/>
      <c r="O425" s="413">
        <f>Model!O31/O419*1000</f>
        <v>89.717322834645671</v>
      </c>
      <c r="P425" s="413">
        <f>Model!P31/P419*1000</f>
        <v>89.812910707383068</v>
      </c>
      <c r="Q425" s="413">
        <f>Model!Q31/Q419*1000</f>
        <v>80.824365872405849</v>
      </c>
      <c r="R425" s="413">
        <f>Model!R31/R419*1000</f>
        <v>85.818216756341286</v>
      </c>
      <c r="S425" s="759">
        <f>SUM(O425:R425)</f>
        <v>346.17281617077583</v>
      </c>
      <c r="T425" s="190"/>
      <c r="U425" s="413">
        <f>Model!U31/U419*1000</f>
        <v>58.336499712147386</v>
      </c>
      <c r="V425" s="413">
        <f>Model!V31/V419*1000</f>
        <v>60.252360515021458</v>
      </c>
      <c r="W425" s="413">
        <f>Model!W31/W419*1000</f>
        <v>66.283757961783436</v>
      </c>
      <c r="X425" s="413">
        <f>Model!X31/X419*1000</f>
        <v>74.959325396825406</v>
      </c>
      <c r="Y425" s="759">
        <f>SUM(U425:X425)</f>
        <v>259.83194358577771</v>
      </c>
      <c r="Z425" s="190"/>
      <c r="AA425" s="413">
        <f>Model!AA31/AA419*1000</f>
        <v>75.30413546076197</v>
      </c>
      <c r="AB425" s="413">
        <f>Model!AB31/AB419*1000</f>
        <v>72.808317698561609</v>
      </c>
      <c r="AC425" s="413">
        <f>Model!AC31/AC419*1000</f>
        <v>68.904690318701142</v>
      </c>
      <c r="AD425" s="413">
        <f>Model!AD31/AD419*1000</f>
        <v>69.760907003444316</v>
      </c>
      <c r="AE425" s="759">
        <f>SUM(AA425:AD425)</f>
        <v>286.77805048146905</v>
      </c>
      <c r="AF425" s="190"/>
      <c r="AG425" s="413">
        <f>Model!AG31/AG419*1000</f>
        <v>69.437694263916356</v>
      </c>
      <c r="AH425" s="413">
        <f>Model!AH31/AH419*1000</f>
        <v>65.098480585256056</v>
      </c>
      <c r="AI425" s="413">
        <f>Model!AI31/AI419*1000</f>
        <v>59.211001642036123</v>
      </c>
      <c r="AJ425" s="413">
        <f>Model!AJ31/AJ419*1000</f>
        <v>69.67471201316512</v>
      </c>
      <c r="AK425" s="759">
        <f>SUM(AG425:AJ425)</f>
        <v>263.42188850437367</v>
      </c>
      <c r="AL425" s="190"/>
      <c r="AM425" s="413">
        <f>Model!AM31/AM419*1000</f>
        <v>61.879924446842956</v>
      </c>
      <c r="AN425" s="413">
        <f>Model!AN31/AN419*1000</f>
        <v>56.904710632570662</v>
      </c>
      <c r="AO425" s="413">
        <f>Model!AO31/AO419*1000</f>
        <v>52.098564329099943</v>
      </c>
      <c r="AP425" s="413">
        <f>Model!AP31/AP419*1000</f>
        <v>55.893653516295032</v>
      </c>
      <c r="AQ425" s="759">
        <f>SUM(AM425:AP425)</f>
        <v>226.77685292480862</v>
      </c>
      <c r="AR425" s="190"/>
      <c r="AS425" s="413">
        <f>Model!AS31/AS419*1000</f>
        <v>59.353984793016046</v>
      </c>
      <c r="AT425" s="413">
        <f>Model!AT31/AT419*1000</f>
        <v>59.400953984287312</v>
      </c>
      <c r="AU425" s="413">
        <f>Model!AU31/AU419*1000</f>
        <v>66.118744698897359</v>
      </c>
      <c r="AV425" s="413">
        <f>Model!AV31/AV419*1000</f>
        <v>84.543372459204136</v>
      </c>
      <c r="AW425" s="759">
        <f>SUM(AS425:AV425)</f>
        <v>269.41705593540485</v>
      </c>
      <c r="AX425" s="190"/>
      <c r="AY425" s="698">
        <f>Model!AY31/AY419*1000</f>
        <v>87.738339689058378</v>
      </c>
      <c r="AZ425" s="698">
        <f>Model!AZ31/AZ419*1000</f>
        <v>81.556781876270705</v>
      </c>
      <c r="BA425" s="698">
        <f>Model!BA31/BA419*1000</f>
        <v>87.692755309863259</v>
      </c>
      <c r="BB425" s="698">
        <f>Model!BB31/BB419*1000</f>
        <v>102.84728213977566</v>
      </c>
      <c r="BC425" s="759">
        <f>SUM(AY425:BB425)</f>
        <v>359.83515901496799</v>
      </c>
      <c r="BD425" s="190"/>
      <c r="BE425" s="698">
        <f>Model!BE31/BE419*1000</f>
        <v>98.08795411089865</v>
      </c>
      <c r="BF425" s="698">
        <f>Model!BF31/BF419*1000</f>
        <v>98.819826907946478</v>
      </c>
      <c r="BG425" s="698">
        <f>Model!BG31/BG419*1000</f>
        <v>92.754680282032581</v>
      </c>
      <c r="BH425" s="698">
        <f>Model!BH31/BH419*1000</f>
        <v>87.222106794099318</v>
      </c>
      <c r="BI425" s="759">
        <f>SUM(BE425:BH425)</f>
        <v>376.884568094977</v>
      </c>
      <c r="BJ425" s="190"/>
      <c r="BK425" s="413">
        <f>Model!BK31/BK419*1000</f>
        <v>88.943288453692375</v>
      </c>
      <c r="BL425" s="413">
        <f>Model!BL31/BL419*1000</f>
        <v>90.08214786615909</v>
      </c>
      <c r="BM425" s="413">
        <f>Model!BM31/BM419*1000</f>
        <v>89.921259842519689</v>
      </c>
      <c r="BN425" s="413">
        <f>Model!BN31/BN419*1000</f>
        <v>96.227510156703417</v>
      </c>
      <c r="BO425" s="1168">
        <f>SUM(BK425:BN425)</f>
        <v>365.17420631907459</v>
      </c>
      <c r="BP425" s="190"/>
      <c r="BQ425" s="413">
        <f>Model!BQ31/BQ419*1000</f>
        <v>89.200684000526167</v>
      </c>
      <c r="BR425" s="413">
        <f>Model!BR31/BR419*1000</f>
        <v>84.353195925896244</v>
      </c>
      <c r="BS425" s="413">
        <f>Model!BS31/BS419*1000</f>
        <v>79.559643873065127</v>
      </c>
      <c r="BT425" s="413">
        <f>Model!BT31/BT419*1000</f>
        <v>82.06849315068493</v>
      </c>
      <c r="BU425" s="1168">
        <f>SUM(BQ425:BT425)</f>
        <v>335.18201695017251</v>
      </c>
      <c r="BV425" s="190"/>
      <c r="BW425" s="413">
        <f>Model!BW31/BW419*1000</f>
        <v>76.769230769230774</v>
      </c>
      <c r="BX425" s="413">
        <f>Model!BX31/BX419*1000</f>
        <v>79.423076923076934</v>
      </c>
      <c r="BY425" s="413">
        <f>Model!BY31/BY419*1000</f>
        <v>77.833333333333343</v>
      </c>
      <c r="BZ425" s="413">
        <f>Model!BZ31/BZ419*1000</f>
        <v>62.794871794871796</v>
      </c>
      <c r="CA425" s="1168">
        <f>SUM(BW425:BZ425)</f>
        <v>296.82051282051282</v>
      </c>
      <c r="CB425" s="190"/>
      <c r="CC425" s="413">
        <f>Model!CC31/CC419*1000</f>
        <v>56.278086174993383</v>
      </c>
      <c r="CD425" s="413">
        <f>Model!CD31/CD419*1000</f>
        <v>56.533433619202562</v>
      </c>
      <c r="CE425" s="413">
        <f>Model!CE31/CE419*1000</f>
        <v>58.56283460639019</v>
      </c>
      <c r="CF425" s="413">
        <f>Model!CF31/CF419*1000</f>
        <v>67.07352941176471</v>
      </c>
      <c r="CG425" s="1168">
        <f>SUM(CC425:CF425)</f>
        <v>238.44788381235082</v>
      </c>
      <c r="CH425" s="190"/>
      <c r="CI425" s="413">
        <f>Model!CI31/CI419*1000</f>
        <v>69.794117647058826</v>
      </c>
      <c r="CJ425" s="413">
        <f>Model!CJ31/CJ419*1000</f>
        <v>69.529411764705884</v>
      </c>
      <c r="CK425" s="698">
        <f>Model!CK31/CK419*1000</f>
        <v>70.102941176470594</v>
      </c>
      <c r="CL425" s="413">
        <f>Model!CL31/CL419*1000</f>
        <v>77.602941176470594</v>
      </c>
      <c r="CM425" s="1168">
        <f>SUM(CI425:CL425)</f>
        <v>287.02941176470591</v>
      </c>
      <c r="CN425" s="190"/>
      <c r="CO425" s="413">
        <f>Model!CO31/CO419*1000</f>
        <v>76.9219569015725</v>
      </c>
      <c r="CP425" s="413">
        <f>Model!CP31/CP419*1000</f>
        <v>78.755254675147185</v>
      </c>
      <c r="CQ425" s="413">
        <f>Model!CQ31/CQ419*1000</f>
        <v>78.303787522515535</v>
      </c>
      <c r="CR425" s="413">
        <f>Model!CR31/CR419*1000</f>
        <v>83.718346481120648</v>
      </c>
      <c r="CS425" s="1168">
        <f>SUM(CO425:CR425)</f>
        <v>317.69934558035584</v>
      </c>
      <c r="CT425" s="759"/>
      <c r="CU425" s="413">
        <f>Model!CU31/CU419*1000</f>
        <v>82.357750547842997</v>
      </c>
      <c r="CV425" s="413">
        <f>Model!CV31/CV419*1000</f>
        <v>78.827020420535831</v>
      </c>
      <c r="CW425" s="413">
        <f>Model!CW31/CW419*1000</f>
        <v>75.166102055810313</v>
      </c>
      <c r="CX425" s="413">
        <f>Model!CX31/CX419*1000</f>
        <v>82.434458242171104</v>
      </c>
      <c r="CY425" s="1168">
        <f>SUM(CU425:CX425)</f>
        <v>318.78533126636023</v>
      </c>
      <c r="CZ425" s="759"/>
      <c r="DA425" s="413">
        <f>Model!DA31/DA419*1000</f>
        <v>76.696975845065637</v>
      </c>
      <c r="DB425" s="413">
        <f>Model!DB31/DB419*1000</f>
        <v>74.779365066330698</v>
      </c>
      <c r="DC425" s="413">
        <f>Model!DC31/DC419*1000</f>
        <v>73.182195289100804</v>
      </c>
      <c r="DD425" s="413">
        <f>Model!DD31/DD419*1000</f>
        <v>76.555546403020443</v>
      </c>
      <c r="DE425" s="1168">
        <f>SUM(DA425:DD425)</f>
        <v>301.21408260351757</v>
      </c>
      <c r="DF425" s="759"/>
      <c r="DG425" s="413">
        <f>Model!DG31/DG419*1000</f>
        <v>76.559939716016814</v>
      </c>
      <c r="DH425" s="413">
        <f>Model!DH31/DH419*1000</f>
        <v>81.507854105484071</v>
      </c>
      <c r="DI425" s="413">
        <f>Model!DI31/DI419*1000</f>
        <v>78.281466977049718</v>
      </c>
      <c r="DJ425" s="413">
        <f>Model!DJ31/DJ419*1000</f>
        <v>83.350736891517272</v>
      </c>
      <c r="DK425" s="1168">
        <f>SUM(DG425:DJ425)</f>
        <v>319.6999976900679</v>
      </c>
      <c r="DL425" s="190"/>
      <c r="DM425" s="413">
        <f>Model!DM31/DM419*1000</f>
        <v>80.277947876584619</v>
      </c>
      <c r="DN425" s="413">
        <f>Model!DN31/DN419*1000</f>
        <v>74.934198970508859</v>
      </c>
      <c r="DO425" s="413">
        <f>Model!DO31/DO419*1000</f>
        <v>73.011529564910703</v>
      </c>
      <c r="DP425" s="413">
        <f>Model!DP31/DP419*1000</f>
        <v>78.133923547010085</v>
      </c>
      <c r="DQ425" s="1168">
        <f>SUM(DM425:DP425)</f>
        <v>306.35759995901424</v>
      </c>
      <c r="DR425" s="494"/>
      <c r="DS425" s="413">
        <f>Model!DS31/DS419*1000</f>
        <v>61.083985784167361</v>
      </c>
      <c r="DT425" s="413">
        <f>Model!DT31/DT419*1000</f>
        <v>65.063278083283151</v>
      </c>
      <c r="DU425" s="413">
        <f>Model!DU31/DU419*1000</f>
        <v>57.271808786253004</v>
      </c>
      <c r="DV425" s="413">
        <f>Model!DV31/DV419*1000</f>
        <v>55.453920854482007</v>
      </c>
      <c r="DW425" s="1168">
        <f>SUM(DS425:DV425)</f>
        <v>238.87299350818552</v>
      </c>
      <c r="DX425" s="494"/>
      <c r="DY425" s="413">
        <f>Model!DY31/DY419*1000</f>
        <v>55.69610775912949</v>
      </c>
      <c r="DZ425" s="413">
        <f>Model!DZ31/DZ419*1000</f>
        <v>56.97259823737339</v>
      </c>
      <c r="EA425" s="413">
        <f>Model!EA31/EA419*1000</f>
        <v>57.926079720370048</v>
      </c>
      <c r="EB425" s="413">
        <f>Model!EB31/EB419*1000</f>
        <v>61.637579088103884</v>
      </c>
      <c r="EC425" s="1168">
        <f>SUM(DY425:EB425)</f>
        <v>232.23236480497681</v>
      </c>
      <c r="ED425" s="494"/>
      <c r="EE425" s="413">
        <f>Model!EE31/EE419*1000</f>
        <v>61.338451293003949</v>
      </c>
      <c r="EF425" s="413">
        <f>Model!EF31/EF419*1000</f>
        <v>64.870215337831098</v>
      </c>
      <c r="EG425" s="413">
        <f>Model!EG31/EG419*1000</f>
        <v>68.673685671082453</v>
      </c>
      <c r="EH425" s="413">
        <f>Model!EH31/EH419*1000</f>
        <v>76.226101792063176</v>
      </c>
      <c r="EI425" s="1168">
        <f>SUM(EE425:EH425)</f>
        <v>271.10845409398064</v>
      </c>
      <c r="EJ425" s="494"/>
      <c r="EK425" s="413">
        <f>Model!EK31/EK419*1000</f>
        <v>73.135354240233909</v>
      </c>
      <c r="EL425" s="413">
        <f>Model!EL31/EL419*1000</f>
        <v>76.835742020130283</v>
      </c>
      <c r="EM425" s="413">
        <f>Model!EM31/EM419*1000</f>
        <v>81.706209460820432</v>
      </c>
      <c r="EN425" s="413">
        <f>Model!EN31/EN419*1000</f>
        <v>92.006578562029475</v>
      </c>
      <c r="EO425" s="1168">
        <f>SUM(EK425:EN425)</f>
        <v>323.68388428321407</v>
      </c>
      <c r="EP425" s="494"/>
      <c r="EQ425" s="413">
        <f>Model!EQ31/EQ419*1000</f>
        <v>78.166447456181842</v>
      </c>
      <c r="ER425" s="413">
        <f>Model!ER31/ER419*1000</f>
        <v>87.250466005290704</v>
      </c>
      <c r="ES425" s="413">
        <f>Model!ES31/ES419*1000</f>
        <v>96.496037342764581</v>
      </c>
      <c r="ET425" s="413">
        <f>Model!ET31/ET419*1000</f>
        <v>112.16329111591381</v>
      </c>
      <c r="EU425" s="1168">
        <f>SUM(EQ425:ET425)</f>
        <v>374.07624192015095</v>
      </c>
    </row>
    <row r="426" spans="1:227">
      <c r="A426" s="327" t="s">
        <v>4859</v>
      </c>
      <c r="B426" s="113"/>
      <c r="C426" s="415"/>
      <c r="D426" s="415"/>
      <c r="E426" s="415"/>
      <c r="F426" s="415"/>
      <c r="G426" s="494"/>
      <c r="H426" s="113"/>
      <c r="I426" s="270"/>
      <c r="J426" s="270"/>
      <c r="K426" s="270"/>
      <c r="L426" s="270"/>
      <c r="M426" s="494"/>
      <c r="N426" s="113"/>
      <c r="O426" s="270"/>
      <c r="P426" s="270"/>
      <c r="Q426" s="270"/>
      <c r="R426" s="270"/>
      <c r="S426" s="494"/>
      <c r="T426" s="113"/>
      <c r="U426" s="270"/>
      <c r="V426" s="270"/>
      <c r="W426" s="270"/>
      <c r="X426" s="270"/>
      <c r="Y426" s="494"/>
      <c r="Z426" s="113"/>
      <c r="AA426" s="270"/>
      <c r="AB426" s="270"/>
      <c r="AC426" s="270"/>
      <c r="AD426" s="270"/>
      <c r="AE426" s="494"/>
      <c r="AF426" s="113"/>
      <c r="AG426" s="270">
        <f>Model!AG10/Metrics!AG419*1000</f>
        <v>66.906753320146933</v>
      </c>
      <c r="AH426" s="270">
        <f>Model!AH10/Metrics!AH419*1000</f>
        <v>61.966797974113668</v>
      </c>
      <c r="AI426" s="270">
        <f>Model!AI10/Metrics!AI419*1000</f>
        <v>55.977285166940341</v>
      </c>
      <c r="AJ426" s="270">
        <f>Model!AJ10/Metrics!AJ419*1000</f>
        <v>65.896324739440487</v>
      </c>
      <c r="AK426" s="494">
        <f>SUM(AG426:AJ426)</f>
        <v>250.74716120064141</v>
      </c>
      <c r="AL426" s="113"/>
      <c r="AM426" s="270">
        <f>Model!AM10/Metrics!AM419*1000</f>
        <v>57.653534808418776</v>
      </c>
      <c r="AN426" s="270">
        <f>Model!AN10/Metrics!AN419*1000</f>
        <v>52.041722745625847</v>
      </c>
      <c r="AO426" s="270">
        <f>Model!AO10/Metrics!AO419*1000</f>
        <v>46.45803423522915</v>
      </c>
      <c r="AP426" s="270">
        <f>Model!AP10/Metrics!AP419*1000</f>
        <v>49.649514008004573</v>
      </c>
      <c r="AQ426" s="494">
        <f>SUM(AM426:AP426)</f>
        <v>205.80280579727832</v>
      </c>
      <c r="AR426" s="113"/>
      <c r="AS426" s="270">
        <f>Model!AS10/Metrics!AS419*1000</f>
        <v>52.62771050408336</v>
      </c>
      <c r="AT426" s="270">
        <f>Model!AT10/Metrics!AT419*1000</f>
        <v>51.468574635241303</v>
      </c>
      <c r="AU426" s="270">
        <f>Model!AU10/Metrics!AU419*1000</f>
        <v>57.761662425784564</v>
      </c>
      <c r="AV426" s="270">
        <f>Model!AV10/Metrics!AV419*1000</f>
        <v>75.041225307758381</v>
      </c>
      <c r="AW426" s="494">
        <f>SUM(AS426:AV426)</f>
        <v>236.89917287286761</v>
      </c>
      <c r="AX426" s="113"/>
      <c r="AY426" s="270">
        <f>Model!AY10/Metrics!AY419*1000</f>
        <v>76.796714579055447</v>
      </c>
      <c r="AZ426" s="270">
        <f>Model!AZ10/Metrics!AZ419*1000</f>
        <v>69.76474005227999</v>
      </c>
      <c r="BA426" s="270">
        <f>Model!BA10/Metrics!BA419*1000</f>
        <v>74.658132091940658</v>
      </c>
      <c r="BB426" s="270">
        <f>Model!BB10/Metrics!BB419*1000</f>
        <v>88.208225481737117</v>
      </c>
      <c r="BC426" s="494">
        <f>SUM(AY426:BB426)</f>
        <v>309.4278122050132</v>
      </c>
      <c r="BD426" s="113"/>
      <c r="BE426" s="270">
        <f>Model!BE10/Metrics!BE419*1000</f>
        <v>81.780934170991529</v>
      </c>
      <c r="BF426" s="270">
        <f>Model!BF10/Metrics!BF419*1000</f>
        <v>82.061369000786783</v>
      </c>
      <c r="BG426" s="270">
        <f>Model!BG10/Metrics!BG419*1000</f>
        <v>75.054704595185996</v>
      </c>
      <c r="BH426" s="270">
        <f>Model!BH10/Metrics!BH419*1000</f>
        <v>70.808227716600882</v>
      </c>
      <c r="BI426" s="494">
        <f>SUM(BE426:BH426)</f>
        <v>309.70523548356522</v>
      </c>
      <c r="BJ426" s="113"/>
      <c r="BK426" s="270">
        <f>Model!BK10/Metrics!BK419*1000</f>
        <v>71.277029783761733</v>
      </c>
      <c r="BL426" s="270">
        <f>Model!BL10/Metrics!BL419*1000</f>
        <v>69.224604287717881</v>
      </c>
      <c r="BM426" s="270">
        <f>Model!BM10/Metrics!BM419*1000</f>
        <v>68.169291338582681</v>
      </c>
      <c r="BN426" s="270">
        <f>Model!BN10/Metrics!BN419*1000</f>
        <v>72.489843296575728</v>
      </c>
      <c r="BO426" s="1169">
        <f>SUM(BK426:BN426)</f>
        <v>281.16076870663801</v>
      </c>
      <c r="BP426" s="113"/>
      <c r="BQ426" s="270">
        <f>Model!BQ10/Metrics!BQ419*1000</f>
        <v>67.207436313412543</v>
      </c>
      <c r="BR426" s="270">
        <f>Model!BR10/Metrics!BR419*1000</f>
        <v>63.132568770550968</v>
      </c>
      <c r="BS426" s="270">
        <f>Model!BS10/Metrics!BS419*1000</f>
        <v>58.487568805644834</v>
      </c>
      <c r="BT426" s="270">
        <f>Model!BT10/Metrics!BT419*1000</f>
        <v>61.095890410958908</v>
      </c>
      <c r="BU426" s="1169">
        <f>SUM(BQ426:BT426)</f>
        <v>249.92346430056725</v>
      </c>
      <c r="BV426" s="113"/>
      <c r="BW426" s="270">
        <f>Model!BW10/Metrics!BW419*1000</f>
        <v>55.410256410256409</v>
      </c>
      <c r="BX426" s="270">
        <f>Model!BX10/Metrics!BX419*1000</f>
        <v>56.435897435897438</v>
      </c>
      <c r="BY426" s="270">
        <f>Model!BY10/Metrics!BY419*1000</f>
        <v>53.974358974358978</v>
      </c>
      <c r="BZ426" s="270">
        <f>Model!BZ10/Metrics!BZ419*1000</f>
        <v>39.743589743589745</v>
      </c>
      <c r="CA426" s="1169">
        <f>SUM(BW426:BZ426)</f>
        <v>205.56410256410257</v>
      </c>
      <c r="CB426" s="113"/>
      <c r="CC426" s="270">
        <f>Model!CC10/Metrics!CC419*1000</f>
        <v>32.196669310071371</v>
      </c>
      <c r="CD426" s="270">
        <f>Model!CD10/Metrics!CD419*1000</f>
        <v>31.475592109028184</v>
      </c>
      <c r="CE426" s="270">
        <f>Model!CE10/Metrics!CE419*1000</f>
        <v>33.16547193708017</v>
      </c>
      <c r="CF426" s="270">
        <f>Model!CF10/Metrics!CF419*1000</f>
        <v>39.705882352941174</v>
      </c>
      <c r="CG426" s="1169">
        <f>SUM(CC426:CF426)</f>
        <v>136.5436157091209</v>
      </c>
      <c r="CH426" s="113"/>
      <c r="CI426" s="270">
        <f>Model!CI10/Metrics!CI419*1000</f>
        <v>41.147058823529413</v>
      </c>
      <c r="CJ426" s="270">
        <f>Model!CJ10/Metrics!CJ419*1000</f>
        <v>41.279411764705884</v>
      </c>
      <c r="CK426" s="412">
        <f>Model!CK10/Metrics!CK419*1000</f>
        <v>41.470588235294123</v>
      </c>
      <c r="CL426" s="270">
        <f>Model!CL10/Metrics!CL419*1000</f>
        <v>48.470588235294116</v>
      </c>
      <c r="CM426" s="1169">
        <f>SUM(CI426:CL426)</f>
        <v>172.36764705882354</v>
      </c>
      <c r="CN426" s="113"/>
      <c r="CO426" s="270">
        <f>Model!CO10/Metrics!CO419*1000</f>
        <v>47.029702970297031</v>
      </c>
      <c r="CP426" s="270">
        <f>Model!CP10/Metrics!CP419*1000</f>
        <v>48.005674184191861</v>
      </c>
      <c r="CQ426" s="270">
        <f>Model!CQ10/Metrics!CQ419*1000</f>
        <v>47.30199632694432</v>
      </c>
      <c r="CR426" s="270">
        <f>Model!CR10/Metrics!CR419*1000</f>
        <v>52.316900518755673</v>
      </c>
      <c r="CS426" s="1169">
        <f>SUM(CO426:CR426)</f>
        <v>194.65427400018888</v>
      </c>
      <c r="CT426" s="494"/>
      <c r="CU426" s="270">
        <f>Model!CU10/Metrics!CU419*1000</f>
        <v>49.714082177452632</v>
      </c>
      <c r="CV426" s="270">
        <f>Model!CV10/Metrics!CV419*1000</f>
        <v>46.271045378662507</v>
      </c>
      <c r="CW426" s="270">
        <f>Model!CW10/Metrics!CW419*1000</f>
        <v>42.52097014106058</v>
      </c>
      <c r="CX426" s="270">
        <f>Model!CX10/Metrics!CX419*1000</f>
        <v>49.569320030300581</v>
      </c>
      <c r="CY426" s="1169">
        <f>SUM(CU426:CX426)</f>
        <v>188.07541772747632</v>
      </c>
      <c r="CZ426" s="494"/>
      <c r="DA426" s="270">
        <f>Model!DA10/Metrics!DA419*1000</f>
        <v>43.498372520825278</v>
      </c>
      <c r="DB426" s="270">
        <f>Model!DB10/Metrics!DB419*1000</f>
        <v>41.696452089682694</v>
      </c>
      <c r="DC426" s="270">
        <f>Model!DC10/Metrics!DC419*1000</f>
        <v>39.214162641403973</v>
      </c>
      <c r="DD426" s="270">
        <f>Model!DD10/Metrics!DD419*1000</f>
        <v>41.853671550372759</v>
      </c>
      <c r="DE426" s="1169">
        <f>SUM(DA426:DD426)</f>
        <v>166.2626588022847</v>
      </c>
      <c r="DF426" s="494"/>
      <c r="DG426" s="270">
        <f>Model!DG10/Metrics!DG419*1000</f>
        <v>40.857810866167959</v>
      </c>
      <c r="DH426" s="270">
        <f>Model!DH10/Metrics!DH419*1000</f>
        <v>44.828680079362137</v>
      </c>
      <c r="DI426" s="270">
        <f>Model!DI10/Metrics!DI419*1000</f>
        <v>40.59742745330815</v>
      </c>
      <c r="DJ426" s="270">
        <f>Model!DJ10/Metrics!DJ419*1000</f>
        <v>44.434496058779061</v>
      </c>
      <c r="DK426" s="1169">
        <f>SUM(DG426:DJ426)</f>
        <v>170.71841445761731</v>
      </c>
      <c r="DL426" s="113"/>
      <c r="DM426" s="270">
        <f>Model!DM10/Metrics!DM419*1000</f>
        <v>40.567371339953887</v>
      </c>
      <c r="DN426" s="270">
        <f>Model!DN10/Metrics!DN419*1000</f>
        <v>35.715151437133429</v>
      </c>
      <c r="DO426" s="270">
        <f>Model!DO10/Metrics!DO419*1000</f>
        <v>34.192962078665246</v>
      </c>
      <c r="DP426" s="270">
        <f>Model!DP10/Metrics!DP419*1000</f>
        <v>39.627385565720992</v>
      </c>
      <c r="DQ426" s="1169">
        <f>SUM(DM426:DP426)</f>
        <v>150.10287042147354</v>
      </c>
      <c r="DR426" s="494"/>
      <c r="DS426" s="270">
        <f>Model!DS10/Metrics!DS419*1000</f>
        <v>22.183068875320792</v>
      </c>
      <c r="DT426" s="270">
        <f>Model!DT10/Metrics!DT419*1000</f>
        <v>27.020104771466958</v>
      </c>
      <c r="DU426" s="270">
        <f>Model!DU10/Metrics!DU419*1000</f>
        <v>19.897742390812162</v>
      </c>
      <c r="DV426" s="270">
        <f>Model!DV10/Metrics!DV419*1000</f>
        <v>18.10243907593053</v>
      </c>
      <c r="DW426" s="1169">
        <f>SUM(DS426:DV426)</f>
        <v>87.203355113530449</v>
      </c>
      <c r="DX426" s="494"/>
      <c r="DY426" s="270">
        <f>Model!DY10/Metrics!DY419*1000</f>
        <v>0</v>
      </c>
      <c r="DZ426" s="270">
        <f>Model!DZ10/Metrics!DZ419*1000</f>
        <v>0</v>
      </c>
      <c r="EA426" s="270">
        <f>Model!EA10/Metrics!EA419*1000</f>
        <v>0</v>
      </c>
      <c r="EB426" s="270">
        <f>Model!EB10/Metrics!EB419*1000</f>
        <v>0</v>
      </c>
      <c r="EC426" s="1169">
        <f>SUM(DY426:EB426)</f>
        <v>0</v>
      </c>
      <c r="ED426" s="494"/>
      <c r="EE426" s="270">
        <f>Model!EE10/Metrics!EE419*1000</f>
        <v>0</v>
      </c>
      <c r="EF426" s="270">
        <f>Model!EF10/Metrics!EF419*1000</f>
        <v>0</v>
      </c>
      <c r="EG426" s="270">
        <f>Model!EG10/Metrics!EG419*1000</f>
        <v>0</v>
      </c>
      <c r="EH426" s="270">
        <f>Model!EH10/Metrics!EH419*1000</f>
        <v>0</v>
      </c>
      <c r="EI426" s="1169">
        <f>SUM(EE426:EH426)</f>
        <v>0</v>
      </c>
      <c r="EJ426" s="494"/>
      <c r="EK426" s="270">
        <f>Model!EK10/Metrics!EK419*1000</f>
        <v>0</v>
      </c>
      <c r="EL426" s="270">
        <f>Model!EL10/Metrics!EL419*1000</f>
        <v>0</v>
      </c>
      <c r="EM426" s="270">
        <f>Model!EM10/Metrics!EM419*1000</f>
        <v>0</v>
      </c>
      <c r="EN426" s="270">
        <f>Model!EN10/Metrics!EN419*1000</f>
        <v>0</v>
      </c>
      <c r="EO426" s="1169">
        <f>SUM(EK426:EN426)</f>
        <v>0</v>
      </c>
      <c r="EP426" s="494"/>
      <c r="EQ426" s="270">
        <f>Model!EQ10/Metrics!EQ419*1000</f>
        <v>0</v>
      </c>
      <c r="ER426" s="270">
        <f>Model!ER10/Metrics!ER419*1000</f>
        <v>0</v>
      </c>
      <c r="ES426" s="270">
        <f>Model!ES10/Metrics!ES419*1000</f>
        <v>0</v>
      </c>
      <c r="ET426" s="270">
        <f>Model!ET10/Metrics!ET419*1000</f>
        <v>0</v>
      </c>
      <c r="EU426" s="1169">
        <f>SUM(EQ426:ET426)</f>
        <v>0</v>
      </c>
    </row>
    <row r="427" spans="1:227">
      <c r="A427" s="327" t="s">
        <v>4257</v>
      </c>
      <c r="B427" s="113"/>
      <c r="C427" s="415"/>
      <c r="D427" s="415"/>
      <c r="E427" s="415"/>
      <c r="F427" s="415"/>
      <c r="G427" s="494"/>
      <c r="H427" s="113"/>
      <c r="I427" s="270"/>
      <c r="J427" s="270"/>
      <c r="K427" s="270"/>
      <c r="L427" s="270"/>
      <c r="M427" s="494"/>
      <c r="N427" s="113"/>
      <c r="O427" s="270"/>
      <c r="P427" s="270"/>
      <c r="Q427" s="270"/>
      <c r="R427" s="270"/>
      <c r="S427" s="494"/>
      <c r="T427" s="113"/>
      <c r="U427" s="270"/>
      <c r="V427" s="270"/>
      <c r="W427" s="270"/>
      <c r="X427" s="270"/>
      <c r="Y427" s="494"/>
      <c r="Z427" s="113"/>
      <c r="AA427" s="270"/>
      <c r="AB427" s="270"/>
      <c r="AC427" s="270"/>
      <c r="AD427" s="270"/>
      <c r="AE427" s="494"/>
      <c r="AF427" s="113"/>
      <c r="AG427" s="270">
        <f>Model!AG14/Metrics!AG419*1000</f>
        <v>2.5309409437694264</v>
      </c>
      <c r="AH427" s="270">
        <f>Model!AH14/Metrics!AH419*1000</f>
        <v>3.131682611142375</v>
      </c>
      <c r="AI427" s="270">
        <f>Model!AI14/Metrics!AI419*1000</f>
        <v>3.2337164750957856</v>
      </c>
      <c r="AJ427" s="270">
        <f>Model!AJ14/Metrics!AJ419*1000</f>
        <v>3.7783872737246296</v>
      </c>
      <c r="AK427" s="494">
        <f>SUM(AG427:AJ427)</f>
        <v>12.674727303732217</v>
      </c>
      <c r="AL427" s="113"/>
      <c r="AM427" s="270">
        <f>Model!AM14/Metrics!AM419*1000</f>
        <v>4.2263896384241768</v>
      </c>
      <c r="AN427" s="270">
        <f>Model!AN14/Metrics!AN419*1000</f>
        <v>4.8629878869448175</v>
      </c>
      <c r="AO427" s="270">
        <f>Model!AO14/Metrics!AO419*1000</f>
        <v>5.6405300938707894</v>
      </c>
      <c r="AP427" s="270">
        <f>Model!AP14/Metrics!AP419*1000</f>
        <v>6.2441395082904512</v>
      </c>
      <c r="AQ427" s="494">
        <f>SUM(AM427:AP427)</f>
        <v>20.974047127530238</v>
      </c>
      <c r="AR427" s="113"/>
      <c r="AS427" s="270">
        <f>Model!AS14/Metrics!AS419*1000</f>
        <v>6.7262742889326956</v>
      </c>
      <c r="AT427" s="270">
        <f>Model!AT14/Metrics!AT419*1000</f>
        <v>7.9323793490460162</v>
      </c>
      <c r="AU427" s="270">
        <f>Model!AU14/Metrics!AU419*1000</f>
        <v>8.3570822731128089</v>
      </c>
      <c r="AV427" s="270">
        <f>Model!AV14/Metrics!AV419*1000</f>
        <v>9.5021471514457492</v>
      </c>
      <c r="AW427" s="494">
        <f>SUM(AS427:AV427)</f>
        <v>32.517883062537273</v>
      </c>
      <c r="AX427" s="113"/>
      <c r="AY427" s="270">
        <f>Model!AY14/Metrics!AY419*1000</f>
        <v>10.941625110002931</v>
      </c>
      <c r="AZ427" s="270">
        <f>Model!AZ14/Metrics!AZ419*1000</f>
        <v>11.792041823990706</v>
      </c>
      <c r="BA427" s="270">
        <f>Model!BA14/Metrics!BA419*1000</f>
        <v>13.034623217922606</v>
      </c>
      <c r="BB427" s="270">
        <f>Model!BB14/Metrics!BB419*1000</f>
        <v>14.639056658038538</v>
      </c>
      <c r="BC427" s="494">
        <f>SUM(AY427:BB427)</f>
        <v>50.407346809954788</v>
      </c>
      <c r="BD427" s="113"/>
      <c r="BE427" s="270">
        <f>Model!BE14/Metrics!BE419*1000</f>
        <v>16.307019939907129</v>
      </c>
      <c r="BF427" s="270">
        <f>Model!BF14/Metrics!BF419*1000</f>
        <v>16.758457907159716</v>
      </c>
      <c r="BG427" s="270">
        <f>Model!BG14/Metrics!BG419*1000</f>
        <v>17.699975686846582</v>
      </c>
      <c r="BH427" s="270">
        <f>Model!BH14/Metrics!BH419*1000</f>
        <v>16.413879077498439</v>
      </c>
      <c r="BI427" s="494">
        <f>SUM(BE427:BH427)</f>
        <v>67.179332611411866</v>
      </c>
      <c r="BJ427" s="113"/>
      <c r="BK427" s="270">
        <f>Model!BK14/Metrics!BK419*1000</f>
        <v>17.666258669930638</v>
      </c>
      <c r="BL427" s="270">
        <f>Model!BL14/Metrics!BL419*1000</f>
        <v>20.857543578441195</v>
      </c>
      <c r="BM427" s="270">
        <f>Model!BM14/Metrics!BM419*1000</f>
        <v>21.751968503937007</v>
      </c>
      <c r="BN427" s="270">
        <f>Model!BN14/Metrics!BN419*1000</f>
        <v>23.737666860127685</v>
      </c>
      <c r="BO427" s="1169">
        <f>SUM(BK427:BN427)</f>
        <v>84.013437612436533</v>
      </c>
      <c r="BP427" s="113"/>
      <c r="BQ427" s="270">
        <f>Model!BQ14/Metrics!BQ419*1000</f>
        <v>21.993247687113605</v>
      </c>
      <c r="BR427" s="270">
        <f>Model!BR14/Metrics!BR419*1000</f>
        <v>21.220627155345255</v>
      </c>
      <c r="BS427" s="270">
        <f>Model!BS14/Metrics!BS419*1000</f>
        <v>21.072075067420293</v>
      </c>
      <c r="BT427" s="270">
        <f>Model!BT14/Metrics!BT419*1000</f>
        <v>20.972602739726028</v>
      </c>
      <c r="BU427" s="1169">
        <f>SUM(BQ427:BT427)</f>
        <v>85.258552649605178</v>
      </c>
      <c r="BV427" s="113"/>
      <c r="BW427" s="270">
        <f>Model!BW14/Metrics!BW419*1000</f>
        <v>21.358974358974361</v>
      </c>
      <c r="BX427" s="270">
        <f>Model!BX14/Metrics!BX419*1000</f>
        <v>22.987179487179489</v>
      </c>
      <c r="BY427" s="270">
        <f>Model!BY14/Metrics!BY419*1000</f>
        <v>23.858974358974358</v>
      </c>
      <c r="BZ427" s="270">
        <f>Model!BZ14/Metrics!BZ419*1000</f>
        <v>23.051282051282055</v>
      </c>
      <c r="CA427" s="1169">
        <f>SUM(BW427:BZ427)</f>
        <v>91.256410256410263</v>
      </c>
      <c r="CB427" s="113"/>
      <c r="CC427" s="270">
        <f>Model!CC14/Metrics!CC419*1000</f>
        <v>24.081416864922016</v>
      </c>
      <c r="CD427" s="270">
        <f>Model!CD14/Metrics!CD419*1000</f>
        <v>25.057841510174388</v>
      </c>
      <c r="CE427" s="270">
        <f>Model!CE14/Metrics!CE419*1000</f>
        <v>25.39736266931002</v>
      </c>
      <c r="CF427" s="270">
        <f>Model!CF14/Metrics!CF419*1000</f>
        <v>27.367647058823529</v>
      </c>
      <c r="CG427" s="1169">
        <f>SUM(CC427:CF427)</f>
        <v>101.90426810322995</v>
      </c>
      <c r="CH427" s="113"/>
      <c r="CI427" s="270">
        <f>Model!CI14/Metrics!CI419*1000</f>
        <v>28.647058823529413</v>
      </c>
      <c r="CJ427" s="270">
        <f>Model!CJ14/Metrics!CJ419*1000</f>
        <v>28.25</v>
      </c>
      <c r="CK427" s="412">
        <f>Model!CK14/Metrics!CK419*1000</f>
        <v>28.632352941176471</v>
      </c>
      <c r="CL427" s="270">
        <f>Model!CL14/Metrics!CL419*1000</f>
        <v>29.132352941176471</v>
      </c>
      <c r="CM427" s="1169">
        <f>SUM(CI427:CL427)</f>
        <v>114.66176470588235</v>
      </c>
      <c r="CN427" s="113"/>
      <c r="CO427" s="270">
        <f>Model!CO14/Metrics!CO419*1000</f>
        <v>29.89225393127548</v>
      </c>
      <c r="CP427" s="270">
        <f>Model!CP14/Metrics!CP419*1000</f>
        <v>30.749580490955328</v>
      </c>
      <c r="CQ427" s="270">
        <f>Model!CQ14/Metrics!CQ419*1000</f>
        <v>31.001791195571229</v>
      </c>
      <c r="CR427" s="270">
        <f>Model!CR14/Metrics!CR419*1000</f>
        <v>31.401445962364967</v>
      </c>
      <c r="CS427" s="1169">
        <f>SUM(CO427:CR427)</f>
        <v>123.04507158016699</v>
      </c>
      <c r="CT427" s="494"/>
      <c r="CU427" s="270">
        <f>Model!CU14/Metrics!CU419*1000</f>
        <v>32.643668370390365</v>
      </c>
      <c r="CV427" s="270">
        <f>Model!CV14/Metrics!CV419*1000</f>
        <v>32.555975041873317</v>
      </c>
      <c r="CW427" s="270">
        <f>Model!CW14/Metrics!CW419*1000</f>
        <v>32.645131914749733</v>
      </c>
      <c r="CX427" s="270">
        <f>Model!CX14/Metrics!CX419*1000</f>
        <v>32.865138211870523</v>
      </c>
      <c r="CY427" s="1169">
        <f>SUM(CU427:CX427)</f>
        <v>130.70991353888394</v>
      </c>
      <c r="CZ427" s="494"/>
      <c r="DA427" s="270">
        <f>Model!DA14/Metrics!DA419*1000</f>
        <v>33.198603324240374</v>
      </c>
      <c r="DB427" s="270">
        <f>Model!DB14/Metrics!DB419*1000</f>
        <v>33.082912976647989</v>
      </c>
      <c r="DC427" s="270">
        <f>Model!DC14/Metrics!DC419*1000</f>
        <v>33.968032647696823</v>
      </c>
      <c r="DD427" s="270">
        <f>Model!DD14/Metrics!DD419*1000</f>
        <v>34.701874852647691</v>
      </c>
      <c r="DE427" s="1169">
        <f>SUM(DA427:DD427)</f>
        <v>134.95142380123286</v>
      </c>
      <c r="DF427" s="494"/>
      <c r="DG427" s="270">
        <f>Model!DG14/Metrics!DG419*1000</f>
        <v>35.702128849848847</v>
      </c>
      <c r="DH427" s="270">
        <f>Model!DH14/Metrics!DH419*1000</f>
        <v>36.679174026121935</v>
      </c>
      <c r="DI427" s="270">
        <f>Model!DI14/Metrics!DI419*1000</f>
        <v>37.684039523741575</v>
      </c>
      <c r="DJ427" s="270">
        <f>Model!DJ14/Metrics!DJ419*1000</f>
        <v>38.916240832738204</v>
      </c>
      <c r="DK427" s="1169">
        <f>SUM(DG427:DJ427)</f>
        <v>148.98158323245056</v>
      </c>
      <c r="DL427" s="113"/>
      <c r="DM427" s="270">
        <f>Model!DM14/Metrics!DM419*1000</f>
        <v>39.710576536630718</v>
      </c>
      <c r="DN427" s="270">
        <f>Model!DN14/Metrics!DN419*1000</f>
        <v>39.219047533375431</v>
      </c>
      <c r="DO427" s="270">
        <f>Model!DO14/Metrics!DO419*1000</f>
        <v>38.818567486245449</v>
      </c>
      <c r="DP427" s="270">
        <f>Model!DP14/Metrics!DP419*1000</f>
        <v>38.5065379812891</v>
      </c>
      <c r="DQ427" s="1169">
        <f>SUM(DM427:DP427)</f>
        <v>156.2547295375407</v>
      </c>
      <c r="DR427" s="494"/>
      <c r="DS427" s="270">
        <f>Model!DS14/Metrics!DS419*1000</f>
        <v>38.900916908846575</v>
      </c>
      <c r="DT427" s="270">
        <f>Model!DT14/Metrics!DT419*1000</f>
        <v>38.043173311816183</v>
      </c>
      <c r="DU427" s="270">
        <f>Model!DU14/Metrics!DU419*1000</f>
        <v>37.374066395440835</v>
      </c>
      <c r="DV427" s="270">
        <f>Model!DV14/Metrics!DV419*1000</f>
        <v>37.351481778551481</v>
      </c>
      <c r="DW427" s="1169">
        <f>SUM(DS427:DV427)</f>
        <v>151.66963839465507</v>
      </c>
      <c r="DX427" s="494"/>
      <c r="DY427" s="270">
        <f>Model!DY14/Metrics!DY419*1000</f>
        <v>0</v>
      </c>
      <c r="DZ427" s="270">
        <f>Model!DZ14/Metrics!DZ419*1000</f>
        <v>0</v>
      </c>
      <c r="EA427" s="270">
        <f>Model!EA14/Metrics!EA419*1000</f>
        <v>0</v>
      </c>
      <c r="EB427" s="270">
        <f>Model!EB14/Metrics!EB419*1000</f>
        <v>0</v>
      </c>
      <c r="EC427" s="1169">
        <f>SUM(DY427:EB427)</f>
        <v>0</v>
      </c>
      <c r="ED427" s="494"/>
      <c r="EE427" s="270">
        <f>Model!EE14/Metrics!EE419*1000</f>
        <v>0</v>
      </c>
      <c r="EF427" s="270">
        <f>Model!EF14/Metrics!EF419*1000</f>
        <v>0</v>
      </c>
      <c r="EG427" s="270">
        <f>Model!EG14/Metrics!EG419*1000</f>
        <v>0</v>
      </c>
      <c r="EH427" s="270">
        <f>Model!EH14/Metrics!EH419*1000</f>
        <v>0</v>
      </c>
      <c r="EI427" s="1169">
        <f>SUM(EE427:EH427)</f>
        <v>0</v>
      </c>
      <c r="EJ427" s="494"/>
      <c r="EK427" s="270">
        <f>Model!EK14/Metrics!EK419*1000</f>
        <v>0</v>
      </c>
      <c r="EL427" s="270">
        <f>Model!EL14/Metrics!EL419*1000</f>
        <v>0</v>
      </c>
      <c r="EM427" s="270">
        <f>Model!EM14/Metrics!EM419*1000</f>
        <v>0</v>
      </c>
      <c r="EN427" s="270">
        <f>Model!EN14/Metrics!EN419*1000</f>
        <v>0</v>
      </c>
      <c r="EO427" s="1169">
        <f>SUM(EK427:EN427)</f>
        <v>0</v>
      </c>
      <c r="EP427" s="494"/>
      <c r="EQ427" s="270">
        <f>Model!EQ14/Metrics!EQ419*1000</f>
        <v>0</v>
      </c>
      <c r="ER427" s="270">
        <f>Model!ER14/Metrics!ER419*1000</f>
        <v>0</v>
      </c>
      <c r="ES427" s="270">
        <f>Model!ES14/Metrics!ES419*1000</f>
        <v>0</v>
      </c>
      <c r="ET427" s="270">
        <f>Model!ET14/Metrics!ET419*1000</f>
        <v>0</v>
      </c>
      <c r="EU427" s="1169">
        <f>SUM(EQ427:ET427)</f>
        <v>0</v>
      </c>
    </row>
    <row r="428" spans="1:227">
      <c r="A428" s="327" t="s">
        <v>3354</v>
      </c>
      <c r="B428" s="113"/>
      <c r="C428" s="494">
        <f>(Model!C79+Model!C48)/C419*1000</f>
        <v>55.260469867211434</v>
      </c>
      <c r="D428" s="494">
        <f>(Model!D79+Model!D48)/D419*1000</f>
        <v>52.903855539287463</v>
      </c>
      <c r="E428" s="494">
        <f>(Model!E79+Model!E48)/E419*1000</f>
        <v>52.693437806072481</v>
      </c>
      <c r="F428" s="494">
        <f>(Model!F79+Model!F48)/F419*1000</f>
        <v>52.788649706457917</v>
      </c>
      <c r="G428" s="494">
        <f>SUM(C428:F428)</f>
        <v>213.64641291902933</v>
      </c>
      <c r="H428" s="113"/>
      <c r="I428" s="494">
        <f>(Model!I79+Model!I48)/I419*1000</f>
        <v>57.27541121889498</v>
      </c>
      <c r="J428" s="494">
        <f>(Model!J79+Model!J48)/J419*1000</f>
        <v>64.130434782608702</v>
      </c>
      <c r="K428" s="494">
        <f>(Model!K79+Model!K48)/K419*1000</f>
        <v>65.439672801635993</v>
      </c>
      <c r="L428" s="494">
        <f>(Model!L79+Model!L48)/L419*1000</f>
        <v>66.396761133603235</v>
      </c>
      <c r="M428" s="494">
        <f>SUM(I428:L428)</f>
        <v>253.2422799367429</v>
      </c>
      <c r="N428" s="113"/>
      <c r="O428" s="494">
        <f>(Model!O79+Model!O48)/O419*1000</f>
        <v>70.496062992125985</v>
      </c>
      <c r="P428" s="494">
        <f>(Model!P79+Model!P48)/P419*1000</f>
        <v>70.545032856590637</v>
      </c>
      <c r="Q428" s="494">
        <f>(Model!Q79+Model!Q48)/Q419*1000</f>
        <v>68.296310530361254</v>
      </c>
      <c r="R428" s="494">
        <f>(Model!R79+Model!R48)/R419*1000</f>
        <v>70.204842428900847</v>
      </c>
      <c r="S428" s="494">
        <f>SUM(O428:R428)</f>
        <v>279.54224880797875</v>
      </c>
      <c r="T428" s="113"/>
      <c r="U428" s="494">
        <f>(Model!U79+Model!U48)/U419*1000</f>
        <v>55.798791018998273</v>
      </c>
      <c r="V428" s="494">
        <f>(Model!V79+Model!V48)/V419*1000</f>
        <v>59.5241773962804</v>
      </c>
      <c r="W428" s="494">
        <f>(Model!W79+Model!W48)/W419*1000</f>
        <v>60.521337579617828</v>
      </c>
      <c r="X428" s="494">
        <f>(Model!X79+Model!X48)/X419*1000</f>
        <v>62.829365079365068</v>
      </c>
      <c r="Y428" s="494">
        <f>SUM(U428:X428)</f>
        <v>238.67367107426156</v>
      </c>
      <c r="Z428" s="113"/>
      <c r="AA428" s="494">
        <f>(Model!AA79+Model!AA48)/AA419*1000</f>
        <v>60.660371214588089</v>
      </c>
      <c r="AB428" s="494">
        <f>(Model!AB79+Model!AB48)/AB419*1000</f>
        <v>59.902751719824884</v>
      </c>
      <c r="AC428" s="494">
        <f>(Model!AC79+Model!AC48)/AC419*1000</f>
        <v>58.398977751052321</v>
      </c>
      <c r="AD428" s="494">
        <f>(Model!AD79+Model!AD48)/AD419*1000</f>
        <v>57.096153846153847</v>
      </c>
      <c r="AE428" s="494">
        <f>SUM(AA428:AD428)</f>
        <v>236.05825453161913</v>
      </c>
      <c r="AF428" s="113"/>
      <c r="AG428" s="494">
        <f>(Model!AG79+Model!AG48)/AG419*1000</f>
        <v>57.595931053970055</v>
      </c>
      <c r="AH428" s="494">
        <f>(Model!AH79+Model!AH48)/AH419*1000</f>
        <v>55.437253798536858</v>
      </c>
      <c r="AI428" s="494">
        <f>(Model!AI79+Model!AI48)/AI419*1000</f>
        <v>52.281609195402297</v>
      </c>
      <c r="AJ428" s="494">
        <f>(Model!AJ79+Model!AJ48)/AJ419*1000</f>
        <v>55.647558968732866</v>
      </c>
      <c r="AK428" s="494">
        <f>SUM(AG428:AJ428)</f>
        <v>220.96235301664206</v>
      </c>
      <c r="AL428" s="113"/>
      <c r="AM428" s="494">
        <f>(Model!AM79+Model!AM48)/AM419*1000</f>
        <v>55.74662709120345</v>
      </c>
      <c r="AN428" s="494">
        <f>(Model!AN79+Model!AN48)/AN419*1000</f>
        <v>53.101749663526242</v>
      </c>
      <c r="AO428" s="494">
        <f>(Model!AO79+Model!AO48)/AO419*1000</f>
        <v>50.596355604638326</v>
      </c>
      <c r="AP428" s="494">
        <f>(Model!AP79+Model!AP48)/AP419*1000</f>
        <v>53.449399656946831</v>
      </c>
      <c r="AQ428" s="494">
        <f>SUM(AM428:AP428)</f>
        <v>212.89413201631484</v>
      </c>
      <c r="AR428" s="113"/>
      <c r="AS428" s="494">
        <f>(Model!AS79+Model!AS48)/AS419*1000</f>
        <v>57.493382145874399</v>
      </c>
      <c r="AT428" s="494">
        <f>(Model!AT79+Model!AT48)/AT419*1000</f>
        <v>55.48933782267116</v>
      </c>
      <c r="AU428" s="494">
        <f>(Model!AU79+Model!AU48)/AU419*1000</f>
        <v>58.219394967486565</v>
      </c>
      <c r="AV428" s="494">
        <f>(Model!AV79+Model!AV48)/AV419*1000</f>
        <v>67.099341540223307</v>
      </c>
      <c r="AW428" s="494">
        <f>SUM(AS428:AV428)</f>
        <v>238.3014564762554</v>
      </c>
      <c r="AX428" s="113"/>
      <c r="AY428" s="494">
        <f>(Model!AY79+Model!AY48)/AY419*1000</f>
        <v>69.287180991493116</v>
      </c>
      <c r="AZ428" s="494">
        <f>(Model!AZ79+Model!AZ48)/AZ419*1000</f>
        <v>65.756607609642757</v>
      </c>
      <c r="BA428" s="494">
        <f>(Model!BA79+Model!BA48)/BA419*1000</f>
        <v>70.788478324119865</v>
      </c>
      <c r="BB428" s="494">
        <f>(Model!BB79+Model!BB48)/BB419*1000</f>
        <v>76.589013517400062</v>
      </c>
      <c r="BC428" s="494">
        <f>SUM(AY428:BB428)</f>
        <v>282.42128044265581</v>
      </c>
      <c r="BD428" s="113"/>
      <c r="BE428" s="494">
        <f>(Model!BE79+Model!BE48)/BE419*1000</f>
        <v>72.248019666757713</v>
      </c>
      <c r="BF428" s="494">
        <f>(Model!BF79+Model!BF48)/BF419*1000</f>
        <v>74.508261211644381</v>
      </c>
      <c r="BG428" s="494">
        <f>(Model!BG79+Model!BG48)/BG419*1000</f>
        <v>69.341113542426442</v>
      </c>
      <c r="BH428" s="494">
        <f>(Model!BH79+Model!BH48)/BH419*1000</f>
        <v>64.616663203822981</v>
      </c>
      <c r="BI428" s="494">
        <f>SUM(BE428:BH428)</f>
        <v>280.71405762465156</v>
      </c>
      <c r="BJ428" s="113"/>
      <c r="BK428" s="494">
        <f>(Model!BK79+Model!BK48)/BK419*1000</f>
        <v>68.385964912280699</v>
      </c>
      <c r="BL428" s="494">
        <f>(Model!BL79+Model!BL48)/BL419*1000</f>
        <v>67.120817471448603</v>
      </c>
      <c r="BM428" s="494">
        <f>(Model!BM79+Model!BM48)/BM419*1000</f>
        <v>68.976377952755911</v>
      </c>
      <c r="BN428" s="494">
        <f>(Model!BN79+Model!BN48)/BN419*1000</f>
        <v>68.852776165602634</v>
      </c>
      <c r="BO428" s="1169">
        <f>SUM(BK428:BN428)</f>
        <v>273.33593650208786</v>
      </c>
      <c r="BP428" s="113"/>
      <c r="BQ428" s="494">
        <f>(Model!BQ79+Model!BQ48)/BQ419*1000</f>
        <v>66.014820011400005</v>
      </c>
      <c r="BR428" s="494">
        <f>(Model!BR79+Model!BR48)/BR419*1000</f>
        <v>61.785227363862383</v>
      </c>
      <c r="BS428" s="494">
        <f>(Model!BS79+Model!BS48)/BS419*1000</f>
        <v>57.275850604011978</v>
      </c>
      <c r="BT428" s="494">
        <f>(Model!BT79+Model!BT48)/BT419*1000</f>
        <v>60.06849315068493</v>
      </c>
      <c r="BU428" s="1169">
        <f>SUM(BQ428:BT428)</f>
        <v>245.1443911299593</v>
      </c>
      <c r="BV428" s="113"/>
      <c r="BW428" s="494">
        <f>(Model!BW79+Model!BW48)/BW419*1000</f>
        <v>57.333333333333336</v>
      </c>
      <c r="BX428" s="494">
        <f>(Model!BX79+Model!BX48)/BX419*1000</f>
        <v>57.564102564102562</v>
      </c>
      <c r="BY428" s="494">
        <f>(Model!BY79+Model!BY48)/BY419*1000</f>
        <v>55.153846153846153</v>
      </c>
      <c r="BZ428" s="494">
        <f>(Model!BZ79+Model!BZ48)/BZ419*1000</f>
        <v>52.833333333333336</v>
      </c>
      <c r="CA428" s="1169">
        <f>SUM(BW428:BZ428)</f>
        <v>222.88461538461539</v>
      </c>
      <c r="CB428" s="113"/>
      <c r="CC428" s="494">
        <f>(Model!CC79+Model!CC48)/CC419*1000</f>
        <v>48.902987047316934</v>
      </c>
      <c r="CD428" s="494">
        <f>(Model!CD79+Model!CD48)/CD419*1000</f>
        <v>47.63578788448595</v>
      </c>
      <c r="CE428" s="494">
        <f>(Model!CE79+Model!CE48)/CE419*1000</f>
        <v>47.802668785211274</v>
      </c>
      <c r="CF428" s="494">
        <f>(Model!CF79+Model!CF48)/CF419*1000</f>
        <v>53.985294117647065</v>
      </c>
      <c r="CG428" s="1169">
        <f>SUM(CC428:CF428)</f>
        <v>198.32673783466123</v>
      </c>
      <c r="CH428" s="113"/>
      <c r="CI428" s="494">
        <f>(Model!CI79+Model!CI48)/CI419*1000</f>
        <v>55.661764705882355</v>
      </c>
      <c r="CJ428" s="494">
        <f>(Model!CJ79+Model!CJ48)/CJ419*1000</f>
        <v>52.426470588235297</v>
      </c>
      <c r="CK428" s="494">
        <f>(Model!CK79+Model!CK48)/CK419*1000</f>
        <v>55.352941176470594</v>
      </c>
      <c r="CL428" s="494">
        <f>(Model!CL79+Model!CL48)/CL419*1000</f>
        <v>62.000000000000007</v>
      </c>
      <c r="CM428" s="1169">
        <f>SUM(CI428:CL428)</f>
        <v>225.44117647058823</v>
      </c>
      <c r="CN428" s="113"/>
      <c r="CO428" s="494">
        <f>(Model!CO79+Model!CO48)/CO419*1000</f>
        <v>59.580663948747812</v>
      </c>
      <c r="CP428" s="494">
        <f>(Model!CP79+Model!CP48)/CP419*1000</f>
        <v>58.745682372547101</v>
      </c>
      <c r="CQ428" s="494">
        <f>(Model!CQ79+Model!CQ48)/CQ419*1000</f>
        <v>59.020445024717787</v>
      </c>
      <c r="CR428" s="494">
        <f>(Model!CR79+Model!CR48)/CR419*1000</f>
        <v>63.876928780328385</v>
      </c>
      <c r="CS428" s="1169">
        <f>SUM(CO428:CR428)</f>
        <v>241.22372012634111</v>
      </c>
      <c r="CT428" s="494"/>
      <c r="CU428" s="494">
        <f>(Model!CU79+Model!CU48)/CU419*1000</f>
        <v>62.069143973875548</v>
      </c>
      <c r="CV428" s="494">
        <f>(Model!CV79+Model!CV48)/CV419*1000</f>
        <v>58.850119990586329</v>
      </c>
      <c r="CW428" s="494">
        <f>(Model!CW79+Model!CW48)/CW419*1000</f>
        <v>55.277261183378755</v>
      </c>
      <c r="CX428" s="494">
        <f>(Model!CX79+Model!CX48)/CX419*1000</f>
        <v>61.737569550067526</v>
      </c>
      <c r="CY428" s="1169">
        <f>SUM(CU428:CX428)</f>
        <v>237.93409469790817</v>
      </c>
      <c r="CZ428" s="494"/>
      <c r="DA428" s="494">
        <f>(Model!DA79+Model!DA48)/DA419*1000</f>
        <v>58.289163795294463</v>
      </c>
      <c r="DB428" s="494">
        <f>(Model!DB79+Model!DB48)/DB419*1000</f>
        <v>56.593747711762816</v>
      </c>
      <c r="DC428" s="494">
        <f>(Model!DC79+Model!DC48)/DC419*1000</f>
        <v>57.061549604920273</v>
      </c>
      <c r="DD428" s="494">
        <f>(Model!DD79+Model!DD48)/DD419*1000</f>
        <v>61.586366088621475</v>
      </c>
      <c r="DE428" s="1169">
        <f>SUM(DA428:DD428)</f>
        <v>233.53082720059902</v>
      </c>
      <c r="DF428" s="494"/>
      <c r="DG428" s="494">
        <f>(Model!DG79+Model!DG48)/DG419*1000</f>
        <v>63.380000726930369</v>
      </c>
      <c r="DH428" s="494">
        <f>(Model!DH79+Model!DH48)/DH419*1000</f>
        <v>66.782451488090871</v>
      </c>
      <c r="DI428" s="494">
        <f>(Model!DI79+Model!DI48)/DI419*1000</f>
        <v>68.109943031649877</v>
      </c>
      <c r="DJ428" s="494">
        <f>(Model!DJ79+Model!DJ48)/DJ419*1000</f>
        <v>72.690471113938329</v>
      </c>
      <c r="DK428" s="1169">
        <f>SUM(DG428:DJ428)</f>
        <v>270.96286636060944</v>
      </c>
      <c r="DL428" s="113"/>
      <c r="DM428" s="494">
        <f>(Model!DM79+Model!DM48)/DM419*1000</f>
        <v>68.593253529814902</v>
      </c>
      <c r="DN428" s="494">
        <f>(Model!DN79+Model!DN48)/DN419*1000</f>
        <v>66.918268252088552</v>
      </c>
      <c r="DO428" s="494">
        <f>(Model!DO79+Model!DO48)/DO419*1000</f>
        <v>66.304401723919426</v>
      </c>
      <c r="DP428" s="494">
        <f>(Model!DP79+Model!DP48)/DP419*1000</f>
        <v>70.143364961221465</v>
      </c>
      <c r="DQ428" s="1169">
        <f>SUM(DM428:DP428)</f>
        <v>271.95928846704436</v>
      </c>
      <c r="DR428" s="494"/>
      <c r="DS428" s="494">
        <f>(Model!DS79+Model!DS48)/DS419*1000</f>
        <v>64.305840865574908</v>
      </c>
      <c r="DT428" s="494">
        <f>(Model!DT79+Model!DT48)/DT419*1000</f>
        <v>62.003283708202275</v>
      </c>
      <c r="DU428" s="494">
        <f>(Model!DU79+Model!DU48)/DU419*1000</f>
        <v>62.29011065906807</v>
      </c>
      <c r="DV428" s="494">
        <f>(Model!DV79+Model!DV48)/DV419*1000</f>
        <v>64.893132528751607</v>
      </c>
      <c r="DW428" s="1169">
        <f>SUM(DS428:DV428)</f>
        <v>253.49236776159685</v>
      </c>
      <c r="DX428" s="494"/>
      <c r="DY428" s="494">
        <f>(Model!DY79+Model!DY48)/DY419*1000</f>
        <v>60.225645038284547</v>
      </c>
      <c r="DZ428" s="494">
        <f>(Model!DZ79+Model!DZ48)/DZ419*1000</f>
        <v>60.242448435134172</v>
      </c>
      <c r="EA428" s="494">
        <f>(Model!EA79+Model!EA48)/EA419*1000</f>
        <v>60.871283075063815</v>
      </c>
      <c r="EB428" s="494">
        <f>(Model!EB79+Model!EB48)/EB419*1000</f>
        <v>63.585317683340108</v>
      </c>
      <c r="EC428" s="1169">
        <f>SUM(DY428:EB428)</f>
        <v>244.92469423182263</v>
      </c>
      <c r="ED428" s="494"/>
      <c r="EE428" s="494">
        <f>(Model!EE79+Model!EE48)/EE419*1000</f>
        <v>58.479769592752852</v>
      </c>
      <c r="EF428" s="494">
        <f>(Model!EF79+Model!EF48)/EF419*1000</f>
        <v>58.168725693186865</v>
      </c>
      <c r="EG428" s="494">
        <f>(Model!EG79+Model!EG48)/EG419*1000</f>
        <v>58.21534173646279</v>
      </c>
      <c r="EH428" s="494">
        <f>(Model!EH79+Model!EH48)/EH419*1000</f>
        <v>62.746608771744746</v>
      </c>
      <c r="EI428" s="1169">
        <f>SUM(EE428:EH428)</f>
        <v>237.61044579414724</v>
      </c>
      <c r="EJ428" s="494"/>
      <c r="EK428" s="494">
        <f>(Model!EK79+Model!EK48)/EK419*1000</f>
        <v>56.725092364790832</v>
      </c>
      <c r="EL428" s="494">
        <f>(Model!EL79+Model!EL48)/EL419*1000</f>
        <v>55.710252065949732</v>
      </c>
      <c r="EM428" s="494">
        <f>(Model!EM79+Model!EM48)/EM419*1000</f>
        <v>57.236217001101217</v>
      </c>
      <c r="EN428" s="494">
        <f>(Model!EN79+Model!EN48)/EN419*1000</f>
        <v>61.878276005465864</v>
      </c>
      <c r="EO428" s="1169">
        <f>SUM(EK428:EN428)</f>
        <v>231.54983743730764</v>
      </c>
      <c r="EP428" s="494"/>
      <c r="EQ428" s="494">
        <f>(Model!EQ79+Model!EQ48)/EQ419*1000</f>
        <v>58.483414851827654</v>
      </c>
      <c r="ER428" s="494">
        <f>(Model!ER79+Model!ER48)/ER419*1000</f>
        <v>58.08566345158296</v>
      </c>
      <c r="ES428" s="494">
        <f>(Model!ES79+Model!ES48)/ES419*1000</f>
        <v>59.357203942530887</v>
      </c>
      <c r="ET428" s="494">
        <f>(Model!ET79+Model!ET48)/ET419*1000</f>
        <v>62.979424347451626</v>
      </c>
      <c r="EU428" s="1169">
        <f>SUM(EQ428:ET428)</f>
        <v>238.90570659339312</v>
      </c>
    </row>
    <row r="429" spans="1:227">
      <c r="A429" s="327"/>
      <c r="B429" s="113"/>
      <c r="C429" s="331"/>
      <c r="D429" s="331"/>
      <c r="E429" s="331"/>
      <c r="F429" s="331"/>
      <c r="G429" s="331"/>
      <c r="H429" s="113"/>
      <c r="I429" s="331"/>
      <c r="J429" s="331"/>
      <c r="K429" s="331"/>
      <c r="L429" s="331"/>
      <c r="M429" s="331"/>
      <c r="N429" s="113"/>
      <c r="O429" s="331"/>
      <c r="P429" s="331"/>
      <c r="Q429" s="331"/>
      <c r="R429" s="331"/>
      <c r="S429" s="331"/>
      <c r="T429" s="113"/>
      <c r="U429" s="331"/>
      <c r="V429" s="331"/>
      <c r="W429" s="331"/>
      <c r="X429" s="331"/>
      <c r="Y429" s="331"/>
      <c r="Z429" s="113"/>
      <c r="AA429" s="331"/>
      <c r="AB429" s="331"/>
      <c r="AC429" s="331"/>
      <c r="AD429" s="331"/>
      <c r="AE429" s="331"/>
      <c r="AF429" s="113"/>
      <c r="AG429" s="331"/>
      <c r="AH429" s="331"/>
      <c r="AI429" s="331"/>
      <c r="AJ429" s="331"/>
      <c r="AK429" s="331"/>
      <c r="AL429" s="113"/>
      <c r="AM429" s="331"/>
      <c r="AN429" s="331"/>
      <c r="AO429" s="331"/>
      <c r="AP429" s="331"/>
      <c r="AQ429" s="331"/>
      <c r="AR429" s="113"/>
      <c r="AS429" s="331"/>
      <c r="AT429" s="331"/>
      <c r="AU429" s="331"/>
      <c r="AV429" s="331"/>
      <c r="AW429" s="331"/>
      <c r="AX429" s="113"/>
      <c r="AY429" s="291"/>
      <c r="AZ429" s="291"/>
      <c r="BA429" s="291"/>
      <c r="BB429" s="291"/>
      <c r="BC429" s="291"/>
      <c r="BD429" s="113"/>
      <c r="BE429" s="412"/>
      <c r="BF429" s="412"/>
      <c r="BG429" s="412"/>
      <c r="BH429" s="412"/>
      <c r="BI429" s="412"/>
      <c r="BJ429" s="113"/>
      <c r="BK429" s="270"/>
      <c r="BL429" s="270"/>
      <c r="BM429" s="270"/>
      <c r="BN429" s="270"/>
      <c r="BO429" s="1170"/>
      <c r="BP429" s="113"/>
      <c r="BQ429" s="270"/>
      <c r="BR429" s="270"/>
      <c r="BS429" s="270"/>
      <c r="BT429" s="270"/>
      <c r="BU429" s="1125"/>
      <c r="BV429" s="113"/>
      <c r="BW429" s="270"/>
      <c r="BX429" s="270"/>
      <c r="BY429" s="270"/>
      <c r="BZ429" s="270"/>
      <c r="CA429" s="1125"/>
      <c r="CB429" s="113"/>
      <c r="CC429" s="270"/>
      <c r="CD429" s="270"/>
      <c r="CE429" s="270"/>
      <c r="CF429" s="270"/>
      <c r="CG429" s="1125"/>
      <c r="CH429" s="113"/>
      <c r="CI429" s="270"/>
      <c r="CJ429" s="270"/>
      <c r="CK429" s="412"/>
      <c r="CL429" s="270"/>
      <c r="CM429" s="1125"/>
      <c r="CN429" s="113"/>
      <c r="CO429" s="270"/>
      <c r="CP429" s="270"/>
      <c r="CQ429" s="270"/>
      <c r="CR429" s="270"/>
      <c r="CS429" s="1125"/>
      <c r="CT429" s="270"/>
      <c r="CU429" s="270"/>
      <c r="CV429" s="270"/>
      <c r="CW429" s="270"/>
      <c r="CX429" s="270"/>
      <c r="CY429" s="1125"/>
      <c r="CZ429" s="270"/>
      <c r="DA429" s="270"/>
      <c r="DB429" s="270"/>
      <c r="DC429" s="270"/>
      <c r="DD429" s="270"/>
      <c r="DE429" s="1125"/>
      <c r="DF429" s="270"/>
      <c r="DG429" s="270"/>
      <c r="DH429" s="270"/>
      <c r="DI429" s="270"/>
      <c r="DJ429" s="270"/>
      <c r="DK429" s="1125"/>
      <c r="DL429" s="113"/>
      <c r="DM429" s="270"/>
      <c r="DN429" s="270"/>
      <c r="DO429" s="270"/>
      <c r="DP429" s="270"/>
      <c r="DQ429" s="1125"/>
      <c r="DR429" s="270"/>
      <c r="DS429" s="270"/>
      <c r="DT429" s="270"/>
      <c r="DU429" s="270"/>
      <c r="DV429" s="270"/>
      <c r="DW429" s="1125"/>
      <c r="DX429" s="270"/>
      <c r="DY429" s="270"/>
      <c r="DZ429" s="270"/>
      <c r="EA429" s="270"/>
      <c r="EB429" s="270"/>
      <c r="EC429" s="1125"/>
      <c r="ED429" s="270"/>
      <c r="EE429" s="270"/>
      <c r="EF429" s="270"/>
      <c r="EG429" s="270"/>
      <c r="EH429" s="270"/>
      <c r="EI429" s="1125"/>
      <c r="EJ429" s="270"/>
      <c r="EK429" s="270"/>
      <c r="EL429" s="270"/>
      <c r="EM429" s="270"/>
      <c r="EN429" s="270"/>
      <c r="EO429" s="1125"/>
      <c r="EP429" s="270"/>
      <c r="EQ429" s="270"/>
      <c r="ER429" s="270"/>
      <c r="ES429" s="270"/>
      <c r="ET429" s="270"/>
      <c r="EU429" s="1125"/>
    </row>
    <row r="430" spans="1:227">
      <c r="A430" s="199"/>
      <c r="B430" s="90"/>
      <c r="C430" s="43"/>
      <c r="D430" s="43"/>
      <c r="E430" s="43"/>
      <c r="F430" s="43"/>
      <c r="G430" s="43"/>
      <c r="H430" s="90"/>
      <c r="I430" s="43"/>
      <c r="J430" s="43"/>
      <c r="K430" s="43"/>
      <c r="L430" s="43"/>
      <c r="M430" s="43"/>
      <c r="N430" s="90"/>
      <c r="O430" s="43"/>
      <c r="P430" s="43"/>
      <c r="Q430" s="43"/>
      <c r="R430" s="43"/>
      <c r="S430" s="43"/>
      <c r="T430" s="90"/>
      <c r="U430" s="43"/>
      <c r="V430" s="43"/>
      <c r="W430" s="43"/>
      <c r="X430" s="43"/>
      <c r="Y430" s="43"/>
      <c r="Z430" s="90"/>
      <c r="AA430" s="43"/>
      <c r="AB430" s="43"/>
      <c r="AC430" s="43"/>
      <c r="AD430" s="43"/>
      <c r="AE430" s="43"/>
      <c r="AF430" s="90"/>
      <c r="AG430" s="38"/>
      <c r="AH430" s="38"/>
      <c r="AI430" s="38"/>
      <c r="AJ430" s="38"/>
      <c r="AK430" s="38"/>
      <c r="AL430" s="90"/>
      <c r="AM430" s="38"/>
      <c r="AN430" s="38"/>
      <c r="AO430" s="38"/>
      <c r="AP430" s="38"/>
      <c r="AQ430" s="38"/>
      <c r="AR430" s="90"/>
      <c r="AS430" s="38"/>
      <c r="AT430" s="38"/>
      <c r="AU430" s="38"/>
      <c r="AV430" s="38"/>
      <c r="AW430" s="38"/>
      <c r="AX430" s="90"/>
      <c r="AY430" s="84"/>
      <c r="AZ430" s="84"/>
      <c r="BA430" s="84"/>
      <c r="BB430" s="84"/>
      <c r="BC430" s="84"/>
      <c r="BD430" s="138"/>
      <c r="BE430" s="84"/>
      <c r="BF430" s="84"/>
      <c r="BG430" s="84"/>
      <c r="BH430" s="84"/>
      <c r="BI430" s="84"/>
      <c r="BJ430" s="138"/>
      <c r="BK430" s="38"/>
      <c r="BL430" s="38"/>
      <c r="BM430" s="38"/>
      <c r="BN430" s="38"/>
      <c r="BO430" s="59"/>
      <c r="BP430" s="138"/>
      <c r="BQ430" s="38"/>
      <c r="BR430" s="38"/>
      <c r="BS430" s="38"/>
      <c r="BT430" s="38"/>
      <c r="BU430" s="38"/>
      <c r="BV430" s="138"/>
      <c r="BW430" s="38"/>
      <c r="BX430" s="38"/>
      <c r="BY430" s="38"/>
      <c r="BZ430" s="38"/>
      <c r="CA430" s="38"/>
      <c r="CB430" s="138"/>
      <c r="CC430" s="38"/>
      <c r="CD430" s="38"/>
      <c r="CE430" s="38"/>
      <c r="CF430" s="38"/>
      <c r="CG430" s="38"/>
      <c r="CH430" s="138"/>
      <c r="CI430" s="38"/>
      <c r="CJ430" s="38"/>
      <c r="CK430" s="84"/>
      <c r="CL430" s="38"/>
      <c r="CM430" s="38"/>
      <c r="CN430" s="138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138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</row>
    <row r="431" spans="1:227">
      <c r="A431" s="205" t="s">
        <v>5255</v>
      </c>
      <c r="B431" s="90"/>
      <c r="C431" s="26"/>
      <c r="D431" s="26"/>
      <c r="E431" s="26"/>
      <c r="F431" s="26"/>
      <c r="G431" s="26"/>
      <c r="H431" s="90"/>
      <c r="I431" s="26"/>
      <c r="J431" s="26"/>
      <c r="K431" s="26"/>
      <c r="L431" s="26"/>
      <c r="M431" s="26"/>
      <c r="N431" s="90"/>
      <c r="O431" s="26"/>
      <c r="P431" s="26"/>
      <c r="Q431" s="26"/>
      <c r="R431" s="26"/>
      <c r="S431" s="26"/>
      <c r="T431" s="90"/>
      <c r="U431" s="26"/>
      <c r="V431" s="26"/>
      <c r="W431" s="26"/>
      <c r="X431" s="26"/>
      <c r="Y431" s="26"/>
      <c r="Z431" s="90"/>
      <c r="AA431" s="26"/>
      <c r="AB431" s="26"/>
      <c r="AC431" s="26"/>
      <c r="AD431" s="26"/>
      <c r="AE431" s="26"/>
      <c r="AF431" s="90"/>
      <c r="AG431" s="26"/>
      <c r="AH431" s="26"/>
      <c r="AI431" s="26"/>
      <c r="AJ431" s="26"/>
      <c r="AK431" s="26"/>
      <c r="AL431" s="90"/>
      <c r="AM431" s="26"/>
      <c r="AN431" s="26"/>
      <c r="AO431" s="26"/>
      <c r="AP431" s="26"/>
      <c r="AQ431" s="26"/>
      <c r="AR431" s="90"/>
      <c r="AS431" s="26"/>
      <c r="AT431" s="26"/>
      <c r="AU431" s="26"/>
      <c r="AV431" s="26"/>
      <c r="AW431" s="26"/>
      <c r="AX431" s="90"/>
      <c r="AY431" s="83"/>
      <c r="AZ431" s="83"/>
      <c r="BA431" s="83"/>
      <c r="BB431" s="83"/>
      <c r="BC431" s="83"/>
      <c r="BD431" s="138"/>
      <c r="BE431" s="83"/>
      <c r="BF431" s="83"/>
      <c r="BG431" s="83"/>
      <c r="BH431" s="83"/>
      <c r="BI431" s="83"/>
      <c r="BJ431" s="138"/>
      <c r="BK431" s="26"/>
      <c r="BL431" s="26"/>
      <c r="BM431" s="26"/>
      <c r="BN431" s="26"/>
      <c r="BO431" s="138"/>
      <c r="BP431" s="138"/>
      <c r="BQ431" s="26"/>
      <c r="BR431" s="26"/>
      <c r="BS431" s="26"/>
      <c r="BT431" s="26"/>
      <c r="BU431" s="26"/>
      <c r="BV431" s="138"/>
      <c r="BW431" s="26"/>
      <c r="BX431" s="26"/>
      <c r="BY431" s="26"/>
      <c r="BZ431" s="26"/>
      <c r="CA431" s="26"/>
      <c r="CB431" s="138"/>
      <c r="CC431" s="26"/>
      <c r="CD431" s="26"/>
      <c r="CE431" s="26"/>
      <c r="CF431" s="26"/>
      <c r="CG431" s="26"/>
      <c r="CH431" s="138"/>
      <c r="CI431" s="26"/>
      <c r="CJ431" s="26"/>
      <c r="CK431" s="83"/>
      <c r="CL431" s="26"/>
      <c r="CM431" s="26"/>
      <c r="CN431" s="138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138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</row>
    <row r="432" spans="1:227" ht="4.5" customHeight="1">
      <c r="A432" s="204"/>
      <c r="B432" s="90"/>
      <c r="C432" s="26"/>
      <c r="D432" s="26"/>
      <c r="E432" s="26"/>
      <c r="F432" s="26"/>
      <c r="G432" s="26"/>
      <c r="H432" s="90"/>
      <c r="I432" s="26"/>
      <c r="J432" s="26"/>
      <c r="K432" s="26"/>
      <c r="L432" s="26"/>
      <c r="M432" s="26"/>
      <c r="N432" s="90"/>
      <c r="O432" s="26"/>
      <c r="P432" s="26"/>
      <c r="Q432" s="26"/>
      <c r="R432" s="26"/>
      <c r="S432" s="26"/>
      <c r="T432" s="90"/>
      <c r="U432" s="26"/>
      <c r="V432" s="26"/>
      <c r="W432" s="26"/>
      <c r="X432" s="26"/>
      <c r="Y432" s="26"/>
      <c r="Z432" s="90"/>
      <c r="AA432" s="26"/>
      <c r="AB432" s="26"/>
      <c r="AC432" s="26"/>
      <c r="AD432" s="26"/>
      <c r="AE432" s="26"/>
      <c r="AF432" s="90"/>
      <c r="AG432" s="26"/>
      <c r="AH432" s="26"/>
      <c r="AI432" s="26"/>
      <c r="AJ432" s="26"/>
      <c r="AK432" s="26"/>
      <c r="AL432" s="90"/>
      <c r="AM432" s="26"/>
      <c r="AN432" s="26"/>
      <c r="AO432" s="26"/>
      <c r="AP432" s="26"/>
      <c r="AQ432" s="26"/>
      <c r="AR432" s="90"/>
      <c r="AS432" s="26"/>
      <c r="AT432" s="26"/>
      <c r="AU432" s="26"/>
      <c r="AV432" s="26"/>
      <c r="AW432" s="26"/>
      <c r="AX432" s="90"/>
      <c r="AY432" s="83"/>
      <c r="AZ432" s="83"/>
      <c r="BA432" s="83"/>
      <c r="BB432" s="83"/>
      <c r="BC432" s="83"/>
      <c r="BD432" s="138"/>
      <c r="BE432" s="83"/>
      <c r="BF432" s="83"/>
      <c r="BG432" s="83"/>
      <c r="BH432" s="83"/>
      <c r="BI432" s="83"/>
      <c r="BJ432" s="138"/>
      <c r="BK432" s="26"/>
      <c r="BL432" s="26"/>
      <c r="BM432" s="26"/>
      <c r="BN432" s="26"/>
      <c r="BO432" s="138"/>
      <c r="BP432" s="138"/>
      <c r="BQ432" s="26"/>
      <c r="BR432" s="26"/>
      <c r="BS432" s="26"/>
      <c r="BT432" s="26"/>
      <c r="BU432" s="26"/>
      <c r="BV432" s="138"/>
      <c r="BW432" s="26"/>
      <c r="BX432" s="26"/>
      <c r="BY432" s="26"/>
      <c r="BZ432" s="26"/>
      <c r="CA432" s="26"/>
      <c r="CB432" s="138"/>
      <c r="CC432" s="26"/>
      <c r="CD432" s="26"/>
      <c r="CE432" s="26"/>
      <c r="CF432" s="26"/>
      <c r="CG432" s="26"/>
      <c r="CH432" s="138"/>
      <c r="CI432" s="26"/>
      <c r="CJ432" s="26"/>
      <c r="CK432" s="83"/>
      <c r="CL432" s="26"/>
      <c r="CM432" s="26"/>
      <c r="CN432" s="138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138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</row>
    <row r="433" spans="1:227">
      <c r="A433" s="202" t="s">
        <v>5978</v>
      </c>
      <c r="B433" s="90"/>
      <c r="C433" s="26"/>
      <c r="D433" s="26"/>
      <c r="E433" s="26"/>
      <c r="F433" s="26"/>
      <c r="G433" s="26"/>
      <c r="H433" s="90"/>
      <c r="I433" s="26"/>
      <c r="J433" s="26"/>
      <c r="K433" s="26"/>
      <c r="L433" s="26"/>
      <c r="M433" s="26"/>
      <c r="N433" s="90"/>
      <c r="O433" s="26"/>
      <c r="P433" s="26"/>
      <c r="Q433" s="26"/>
      <c r="R433" s="26"/>
      <c r="S433" s="26"/>
      <c r="T433" s="90"/>
      <c r="U433" s="26"/>
      <c r="V433" s="26"/>
      <c r="W433" s="26"/>
      <c r="X433" s="26"/>
      <c r="Y433" s="26"/>
      <c r="Z433" s="90"/>
      <c r="AA433" s="26"/>
      <c r="AB433" s="26"/>
      <c r="AC433" s="26"/>
      <c r="AD433" s="26"/>
      <c r="AE433" s="26"/>
      <c r="AF433" s="90"/>
      <c r="AG433" s="26"/>
      <c r="AH433" s="26"/>
      <c r="AI433" s="26"/>
      <c r="AJ433" s="26"/>
      <c r="AK433" s="26"/>
      <c r="AL433" s="90"/>
      <c r="AM433" s="26"/>
      <c r="AN433" s="26"/>
      <c r="AO433" s="26"/>
      <c r="AP433" s="26"/>
      <c r="AQ433" s="26"/>
      <c r="AR433" s="90"/>
      <c r="AS433" s="26"/>
      <c r="AT433" s="26"/>
      <c r="AU433" s="26"/>
      <c r="AV433" s="26"/>
      <c r="AW433" s="26"/>
      <c r="AX433" s="90"/>
      <c r="AY433" s="83"/>
      <c r="AZ433" s="83"/>
      <c r="BA433" s="83"/>
      <c r="BB433" s="83"/>
      <c r="BC433" s="104"/>
      <c r="BD433" s="138"/>
      <c r="BE433" s="83"/>
      <c r="BF433" s="83"/>
      <c r="BG433" s="83"/>
      <c r="BH433" s="83"/>
      <c r="BI433" s="83"/>
      <c r="BJ433" s="138"/>
      <c r="BK433" s="26"/>
      <c r="BL433" s="26"/>
      <c r="BM433" s="26"/>
      <c r="BN433" s="26"/>
      <c r="BO433" s="895" t="s">
        <v>6801</v>
      </c>
      <c r="BP433" s="138"/>
      <c r="BQ433" s="744" t="s">
        <v>6806</v>
      </c>
      <c r="BR433" s="744" t="s">
        <v>6803</v>
      </c>
      <c r="BS433" s="744" t="s">
        <v>6804</v>
      </c>
      <c r="BT433" s="744" t="s">
        <v>6805</v>
      </c>
      <c r="BU433" s="26"/>
      <c r="BV433" s="138"/>
      <c r="BW433" s="744" t="s">
        <v>6802</v>
      </c>
      <c r="BX433" s="744" t="s">
        <v>6808</v>
      </c>
      <c r="BY433" s="744" t="s">
        <v>479</v>
      </c>
      <c r="BZ433" s="744" t="s">
        <v>4333</v>
      </c>
      <c r="CA433" s="26"/>
      <c r="CB433" s="138"/>
      <c r="CC433" s="744" t="s">
        <v>6682</v>
      </c>
      <c r="CD433" s="744" t="s">
        <v>924</v>
      </c>
      <c r="CE433" s="744" t="s">
        <v>5584</v>
      </c>
      <c r="CF433" s="744" t="s">
        <v>4578</v>
      </c>
      <c r="CG433" s="26"/>
      <c r="CH433" s="138"/>
      <c r="CI433" s="744" t="s">
        <v>1789</v>
      </c>
      <c r="CJ433" s="744"/>
      <c r="CK433" s="43"/>
      <c r="CL433" s="26"/>
      <c r="CM433" s="26"/>
      <c r="CN433" s="138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138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</row>
    <row r="434" spans="1:227">
      <c r="A434" s="540" t="s">
        <v>4596</v>
      </c>
      <c r="B434" s="61"/>
      <c r="C434" s="44"/>
      <c r="D434" s="44"/>
      <c r="E434" s="44"/>
      <c r="F434" s="44"/>
      <c r="G434" s="44"/>
      <c r="H434" s="61"/>
      <c r="I434" s="44"/>
      <c r="J434" s="44"/>
      <c r="K434" s="44"/>
      <c r="L434" s="44"/>
      <c r="M434" s="44"/>
      <c r="N434" s="61"/>
      <c r="O434" s="44"/>
      <c r="P434" s="44"/>
      <c r="Q434" s="44"/>
      <c r="R434" s="44"/>
      <c r="S434" s="44"/>
      <c r="T434" s="61"/>
      <c r="U434" s="44"/>
      <c r="V434" s="44"/>
      <c r="W434" s="44"/>
      <c r="X434" s="44"/>
      <c r="Y434" s="44"/>
      <c r="Z434" s="61"/>
      <c r="AA434" s="44"/>
      <c r="AB434" s="44"/>
      <c r="AC434" s="44"/>
      <c r="AD434" s="44"/>
      <c r="AE434" s="44"/>
      <c r="AF434" s="61"/>
      <c r="AG434" s="44"/>
      <c r="AH434" s="44"/>
      <c r="AI434" s="44"/>
      <c r="AJ434" s="44"/>
      <c r="AK434" s="44"/>
      <c r="AL434" s="61"/>
      <c r="AM434" s="61"/>
      <c r="AN434" s="61">
        <v>210</v>
      </c>
      <c r="AO434" s="61">
        <v>200</v>
      </c>
      <c r="AP434" s="44"/>
      <c r="AQ434" s="44"/>
      <c r="AR434" s="61"/>
      <c r="AS434" s="61">
        <v>205</v>
      </c>
      <c r="AT434" s="61">
        <v>207</v>
      </c>
      <c r="AU434" s="61">
        <v>216</v>
      </c>
      <c r="AV434" s="61">
        <v>245</v>
      </c>
      <c r="AW434" s="44"/>
      <c r="AX434" s="61"/>
      <c r="AY434" s="62">
        <v>240</v>
      </c>
      <c r="AZ434" s="62">
        <v>260</v>
      </c>
      <c r="BA434" s="62">
        <v>280</v>
      </c>
      <c r="BB434" s="62">
        <v>335</v>
      </c>
      <c r="BC434" s="62"/>
      <c r="BD434" s="91"/>
      <c r="BE434" s="62">
        <v>335</v>
      </c>
      <c r="BF434" s="62">
        <v>350</v>
      </c>
      <c r="BG434" s="62">
        <v>373</v>
      </c>
      <c r="BH434" s="43">
        <v>405</v>
      </c>
      <c r="BI434" s="43"/>
      <c r="BJ434" s="91"/>
      <c r="BK434" s="44">
        <v>425</v>
      </c>
      <c r="BL434" s="44">
        <v>440</v>
      </c>
      <c r="BM434" s="44">
        <v>450</v>
      </c>
      <c r="BN434" s="44">
        <v>490</v>
      </c>
      <c r="BO434" s="91"/>
      <c r="BP434" s="91"/>
      <c r="BQ434" s="44">
        <v>490</v>
      </c>
      <c r="BR434" s="44">
        <v>520</v>
      </c>
      <c r="BS434" s="44">
        <v>530</v>
      </c>
      <c r="BT434" s="44">
        <v>575</v>
      </c>
      <c r="BU434" s="44"/>
      <c r="BV434" s="91"/>
      <c r="BW434" s="44">
        <v>575</v>
      </c>
      <c r="BX434" s="44">
        <v>600</v>
      </c>
      <c r="BY434" s="44">
        <v>625</v>
      </c>
      <c r="BZ434" s="44">
        <v>525</v>
      </c>
      <c r="CA434" s="44"/>
      <c r="CB434" s="91"/>
      <c r="CC434" s="44">
        <v>400</v>
      </c>
      <c r="CD434" s="44">
        <v>395</v>
      </c>
      <c r="CE434" s="44">
        <v>400</v>
      </c>
      <c r="CF434" s="44">
        <v>420</v>
      </c>
      <c r="CG434" s="44"/>
      <c r="CH434" s="91"/>
      <c r="CI434" s="44">
        <v>420</v>
      </c>
      <c r="CJ434" s="44">
        <v>435</v>
      </c>
      <c r="CK434" s="43">
        <v>450</v>
      </c>
      <c r="CL434" s="44">
        <v>500</v>
      </c>
      <c r="CM434" s="44"/>
      <c r="CN434" s="91"/>
      <c r="CO434" s="61">
        <v>510</v>
      </c>
      <c r="CP434" s="61">
        <v>530</v>
      </c>
      <c r="CQ434" s="61">
        <v>535</v>
      </c>
      <c r="CR434" s="61">
        <v>575</v>
      </c>
      <c r="CS434" s="61"/>
      <c r="CT434" s="61"/>
      <c r="CU434" s="61">
        <v>575</v>
      </c>
      <c r="CV434" s="61">
        <v>580</v>
      </c>
      <c r="CW434" s="61">
        <v>550</v>
      </c>
      <c r="CX434" s="61">
        <v>570</v>
      </c>
      <c r="CY434" s="61"/>
      <c r="CZ434" s="61"/>
      <c r="DA434" s="61">
        <v>570</v>
      </c>
      <c r="DB434" s="61">
        <v>550</v>
      </c>
      <c r="DC434" s="61">
        <v>540</v>
      </c>
      <c r="DD434" s="61">
        <v>560</v>
      </c>
      <c r="DE434" s="61"/>
      <c r="DF434" s="61"/>
      <c r="DG434" s="61">
        <v>560</v>
      </c>
      <c r="DH434" s="61">
        <v>595</v>
      </c>
      <c r="DI434" s="61">
        <v>590</v>
      </c>
      <c r="DJ434" s="61">
        <v>640</v>
      </c>
      <c r="DK434" s="61"/>
      <c r="DL434" s="91"/>
      <c r="DM434" s="61">
        <v>625</v>
      </c>
      <c r="DN434" s="61">
        <v>600</v>
      </c>
      <c r="DO434" s="61">
        <v>580</v>
      </c>
      <c r="DP434" s="61">
        <v>620</v>
      </c>
      <c r="DQ434" s="61"/>
      <c r="DR434" s="61"/>
      <c r="DS434" s="61">
        <v>520</v>
      </c>
      <c r="DT434" s="61">
        <v>520</v>
      </c>
      <c r="DU434" s="61">
        <v>470</v>
      </c>
      <c r="DV434" s="61">
        <v>460</v>
      </c>
      <c r="DW434" s="61"/>
      <c r="DX434" s="61"/>
      <c r="DY434" s="61">
        <v>460</v>
      </c>
      <c r="DZ434" s="61">
        <v>488</v>
      </c>
      <c r="EA434" s="61">
        <v>505</v>
      </c>
      <c r="EB434" s="61">
        <v>537</v>
      </c>
      <c r="EC434" s="61"/>
      <c r="ED434" s="61"/>
      <c r="EE434" s="61">
        <v>550</v>
      </c>
      <c r="EF434" s="61"/>
      <c r="EG434" s="61"/>
      <c r="EH434" s="61"/>
      <c r="EI434" s="61"/>
      <c r="EJ434" s="61"/>
      <c r="EK434" s="61"/>
      <c r="EL434" s="61"/>
      <c r="EM434" s="61"/>
      <c r="EN434" s="61"/>
      <c r="EO434" s="61"/>
      <c r="EP434" s="61"/>
      <c r="EQ434" s="61"/>
      <c r="ER434" s="61"/>
      <c r="ES434" s="61"/>
      <c r="ET434" s="61"/>
      <c r="EU434" s="61"/>
    </row>
    <row r="435" spans="1:227">
      <c r="A435" s="540" t="s">
        <v>4595</v>
      </c>
      <c r="B435" s="61"/>
      <c r="C435" s="44"/>
      <c r="D435" s="44"/>
      <c r="E435" s="44"/>
      <c r="F435" s="44"/>
      <c r="G435" s="44"/>
      <c r="H435" s="61"/>
      <c r="I435" s="44"/>
      <c r="J435" s="44"/>
      <c r="K435" s="44"/>
      <c r="L435" s="44"/>
      <c r="M435" s="44"/>
      <c r="N435" s="61"/>
      <c r="O435" s="44"/>
      <c r="P435" s="44"/>
      <c r="Q435" s="44"/>
      <c r="R435" s="44"/>
      <c r="S435" s="44"/>
      <c r="T435" s="61"/>
      <c r="U435" s="44"/>
      <c r="V435" s="44"/>
      <c r="W435" s="44"/>
      <c r="X435" s="44"/>
      <c r="Y435" s="44"/>
      <c r="Z435" s="61"/>
      <c r="AA435" s="44"/>
      <c r="AB435" s="44"/>
      <c r="AC435" s="44"/>
      <c r="AD435" s="44"/>
      <c r="AE435" s="44"/>
      <c r="AF435" s="61"/>
      <c r="AG435" s="44"/>
      <c r="AH435" s="44"/>
      <c r="AI435" s="44"/>
      <c r="AJ435" s="44"/>
      <c r="AK435" s="44"/>
      <c r="AL435" s="61"/>
      <c r="AM435" s="61"/>
      <c r="AN435" s="61">
        <v>220</v>
      </c>
      <c r="AO435" s="61">
        <v>210</v>
      </c>
      <c r="AP435" s="44"/>
      <c r="AQ435" s="44"/>
      <c r="AR435" s="61"/>
      <c r="AS435" s="61">
        <v>210</v>
      </c>
      <c r="AT435" s="61">
        <v>212</v>
      </c>
      <c r="AU435" s="61">
        <v>221</v>
      </c>
      <c r="AV435" s="61">
        <v>255</v>
      </c>
      <c r="AW435" s="44"/>
      <c r="AX435" s="61"/>
      <c r="AY435" s="62">
        <v>250</v>
      </c>
      <c r="AZ435" s="62">
        <v>270</v>
      </c>
      <c r="BA435" s="62">
        <v>280</v>
      </c>
      <c r="BB435" s="62">
        <v>345</v>
      </c>
      <c r="BC435" s="62"/>
      <c r="BD435" s="91"/>
      <c r="BE435" s="62">
        <v>345</v>
      </c>
      <c r="BF435" s="62">
        <v>360</v>
      </c>
      <c r="BG435" s="62">
        <v>373</v>
      </c>
      <c r="BH435" s="43">
        <v>415</v>
      </c>
      <c r="BI435" s="43"/>
      <c r="BJ435" s="91"/>
      <c r="BK435" s="44">
        <v>435</v>
      </c>
      <c r="BL435" s="44">
        <v>450</v>
      </c>
      <c r="BM435" s="44">
        <v>460</v>
      </c>
      <c r="BN435" s="44">
        <v>500</v>
      </c>
      <c r="BO435" s="91"/>
      <c r="BP435" s="91"/>
      <c r="BQ435" s="44">
        <v>500</v>
      </c>
      <c r="BR435" s="44">
        <v>530</v>
      </c>
      <c r="BS435" s="44">
        <v>540</v>
      </c>
      <c r="BT435" s="44">
        <v>585</v>
      </c>
      <c r="BU435" s="44"/>
      <c r="BV435" s="91"/>
      <c r="BW435" s="44">
        <v>585</v>
      </c>
      <c r="BX435" s="44">
        <v>610</v>
      </c>
      <c r="BY435" s="44">
        <v>635</v>
      </c>
      <c r="BZ435" s="44">
        <v>550</v>
      </c>
      <c r="CA435" s="44"/>
      <c r="CB435" s="91"/>
      <c r="CC435" s="44">
        <v>440</v>
      </c>
      <c r="CD435" s="44">
        <v>420</v>
      </c>
      <c r="CE435" s="44">
        <v>420</v>
      </c>
      <c r="CF435" s="44">
        <v>440</v>
      </c>
      <c r="CG435" s="44"/>
      <c r="CH435" s="91"/>
      <c r="CI435" s="44">
        <v>440</v>
      </c>
      <c r="CJ435" s="44">
        <v>460</v>
      </c>
      <c r="CK435" s="43">
        <v>475</v>
      </c>
      <c r="CL435" s="44">
        <v>520</v>
      </c>
      <c r="CM435" s="44"/>
      <c r="CN435" s="91"/>
      <c r="CO435" s="61">
        <v>525</v>
      </c>
      <c r="CP435" s="61">
        <v>545</v>
      </c>
      <c r="CQ435" s="61">
        <v>550</v>
      </c>
      <c r="CR435" s="61">
        <v>590</v>
      </c>
      <c r="CS435" s="61"/>
      <c r="CT435" s="61"/>
      <c r="CU435" s="61">
        <v>590</v>
      </c>
      <c r="CV435" s="61">
        <v>600</v>
      </c>
      <c r="CW435" s="61">
        <v>570</v>
      </c>
      <c r="CX435" s="61">
        <v>600</v>
      </c>
      <c r="CY435" s="61"/>
      <c r="CZ435" s="61"/>
      <c r="DA435" s="61">
        <v>590</v>
      </c>
      <c r="DB435" s="61">
        <v>570</v>
      </c>
      <c r="DC435" s="61">
        <v>555</v>
      </c>
      <c r="DD435" s="61">
        <v>580</v>
      </c>
      <c r="DE435" s="61"/>
      <c r="DF435" s="61"/>
      <c r="DG435" s="61">
        <v>575</v>
      </c>
      <c r="DH435" s="61">
        <v>610</v>
      </c>
      <c r="DI435" s="61">
        <v>605</v>
      </c>
      <c r="DJ435" s="61">
        <v>655</v>
      </c>
      <c r="DK435" s="61"/>
      <c r="DL435" s="91"/>
      <c r="DM435" s="61">
        <v>645</v>
      </c>
      <c r="DN435" s="61">
        <v>620</v>
      </c>
      <c r="DO435" s="61">
        <v>600</v>
      </c>
      <c r="DP435" s="61">
        <v>640</v>
      </c>
      <c r="DQ435" s="61"/>
      <c r="DR435" s="61"/>
      <c r="DS435" s="61">
        <v>500</v>
      </c>
      <c r="DT435" s="61">
        <v>500</v>
      </c>
      <c r="DU435" s="61">
        <v>485</v>
      </c>
      <c r="DV435" s="61">
        <v>480</v>
      </c>
      <c r="DW435" s="61"/>
      <c r="DX435" s="61"/>
      <c r="DY435" s="61">
        <v>480</v>
      </c>
      <c r="DZ435" s="61">
        <v>500</v>
      </c>
      <c r="EA435" s="61">
        <v>515</v>
      </c>
      <c r="EB435" s="61">
        <v>547</v>
      </c>
      <c r="EC435" s="61"/>
      <c r="ED435" s="61"/>
      <c r="EE435" s="61">
        <v>560</v>
      </c>
      <c r="EF435" s="61"/>
      <c r="EG435" s="61"/>
      <c r="EH435" s="61"/>
      <c r="EI435" s="61"/>
      <c r="EJ435" s="61"/>
      <c r="EK435" s="61"/>
      <c r="EL435" s="61"/>
      <c r="EM435" s="61"/>
      <c r="EN435" s="61"/>
      <c r="EO435" s="61"/>
      <c r="EP435" s="61"/>
      <c r="EQ435" s="61"/>
      <c r="ER435" s="61"/>
      <c r="ES435" s="61"/>
      <c r="ET435" s="61"/>
      <c r="EU435" s="61"/>
    </row>
    <row r="436" spans="1:227">
      <c r="A436" s="747" t="s">
        <v>4597</v>
      </c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4">
        <f>Model!O31</f>
        <v>227.88200000000001</v>
      </c>
      <c r="P436" s="64">
        <f>Model!P31</f>
        <v>232.346</v>
      </c>
      <c r="Q436" s="64">
        <f>Model!Q31</f>
        <v>210.30500000000001</v>
      </c>
      <c r="R436" s="64">
        <f>Model!R31</f>
        <v>223.29900000000001</v>
      </c>
      <c r="S436" s="61"/>
      <c r="T436" s="61"/>
      <c r="U436" s="64">
        <f>Model!U31</f>
        <v>202.661</v>
      </c>
      <c r="V436" s="64">
        <f>Model!V31</f>
        <v>210.58199999999999</v>
      </c>
      <c r="W436" s="64">
        <f>Model!W31</f>
        <v>208.131</v>
      </c>
      <c r="X436" s="64">
        <f>Model!X31</f>
        <v>226.67699999999999</v>
      </c>
      <c r="Y436" s="61"/>
      <c r="Z436" s="61"/>
      <c r="AA436" s="64">
        <f>Model!AA31</f>
        <v>231.25899999999999</v>
      </c>
      <c r="AB436" s="64">
        <f>Model!AB31</f>
        <v>232.84100000000001</v>
      </c>
      <c r="AC436" s="64">
        <f>Model!AC31</f>
        <v>229.17699999999999</v>
      </c>
      <c r="AD436" s="64">
        <f>Model!AD31</f>
        <v>243.047</v>
      </c>
      <c r="AE436" s="61"/>
      <c r="AF436" s="61"/>
      <c r="AG436" s="64">
        <f>Model!AG31</f>
        <v>245.73999999999998</v>
      </c>
      <c r="AH436" s="64">
        <f>Model!AH31</f>
        <v>231.35999999999999</v>
      </c>
      <c r="AI436" s="64">
        <f>Model!AI31</f>
        <v>216.357</v>
      </c>
      <c r="AJ436" s="64">
        <f>Model!AJ31</f>
        <v>254.03400000000002</v>
      </c>
      <c r="AK436" s="61"/>
      <c r="AL436" s="61"/>
      <c r="AM436" s="64">
        <f>Model!AM31</f>
        <v>229.327</v>
      </c>
      <c r="AN436" s="64">
        <f>Model!AN31</f>
        <v>211.40100000000001</v>
      </c>
      <c r="AO436" s="64">
        <f>Model!AO31</f>
        <v>188.70099999999999</v>
      </c>
      <c r="AP436" s="64">
        <f>Model!AP31</f>
        <v>195.51600000000002</v>
      </c>
      <c r="AQ436" s="61"/>
      <c r="AR436" s="61"/>
      <c r="AS436" s="194">
        <f>Model!AS31</f>
        <v>210.76599999999999</v>
      </c>
      <c r="AT436" s="194">
        <f>Model!AT31</f>
        <v>211.70499999999998</v>
      </c>
      <c r="AU436" s="64">
        <f>Model!AU31</f>
        <v>233.86199999999999</v>
      </c>
      <c r="AV436" s="64">
        <f>Model!AV31</f>
        <v>295.31000000000006</v>
      </c>
      <c r="AW436" s="61"/>
      <c r="AX436" s="61"/>
      <c r="AY436" s="363">
        <f>Model!AY31</f>
        <v>299.10000000000002</v>
      </c>
      <c r="AZ436" s="363">
        <f>Model!AZ31</f>
        <v>280.8</v>
      </c>
      <c r="BA436" s="363">
        <f>Model!BA31</f>
        <v>301.40000000000003</v>
      </c>
      <c r="BB436" s="363">
        <f>Model!BB31</f>
        <v>357.59999999999997</v>
      </c>
      <c r="BC436" s="363"/>
      <c r="BD436" s="270"/>
      <c r="BE436" s="363">
        <f>Model!BE31</f>
        <v>359.09999999999997</v>
      </c>
      <c r="BF436" s="363">
        <f>Model!BF31</f>
        <v>376.79999999999995</v>
      </c>
      <c r="BG436" s="363">
        <f>Model!BG31</f>
        <v>381.5</v>
      </c>
      <c r="BH436" s="363">
        <f>Model!BH31</f>
        <v>419.8</v>
      </c>
      <c r="BI436" s="62"/>
      <c r="BJ436" s="270"/>
      <c r="BK436" s="363">
        <f>Model!BK31</f>
        <v>436</v>
      </c>
      <c r="BL436" s="363">
        <f>Model!BL31</f>
        <v>449.6</v>
      </c>
      <c r="BM436" s="363">
        <f>Model!BM31</f>
        <v>456.8</v>
      </c>
      <c r="BN436" s="363">
        <f>Model!BN31</f>
        <v>497.4</v>
      </c>
      <c r="BO436" s="270"/>
      <c r="BP436" s="270"/>
      <c r="BQ436" s="363">
        <f>Model!BQ31</f>
        <v>508.6</v>
      </c>
      <c r="BR436" s="363">
        <f>Model!BR31</f>
        <v>525.90000000000009</v>
      </c>
      <c r="BS436" s="363">
        <f>Model!BS31</f>
        <v>538.4</v>
      </c>
      <c r="BT436" s="363">
        <f>Model!BT31</f>
        <v>599.1</v>
      </c>
      <c r="BU436" s="61"/>
      <c r="BV436" s="270"/>
      <c r="BW436" s="363">
        <f>Model!BW31</f>
        <v>598.79999999999995</v>
      </c>
      <c r="BX436" s="363">
        <f>Model!BX31</f>
        <v>619.5</v>
      </c>
      <c r="BY436" s="363">
        <f>Model!BY31</f>
        <v>607.1</v>
      </c>
      <c r="BZ436" s="363">
        <f>Model!BZ31</f>
        <v>489.8</v>
      </c>
      <c r="CA436" s="61"/>
      <c r="CB436" s="270"/>
      <c r="CC436" s="363">
        <f>Model!CC31</f>
        <v>425.79999999999995</v>
      </c>
      <c r="CD436" s="363">
        <f>Model!CD31</f>
        <v>414.9</v>
      </c>
      <c r="CE436" s="363">
        <f>Model!CE31</f>
        <v>416.9</v>
      </c>
      <c r="CF436" s="363">
        <f>Model!CF31</f>
        <v>456.1</v>
      </c>
      <c r="CG436" s="61"/>
      <c r="CH436" s="270"/>
      <c r="CI436" s="363">
        <f>Model!CI31</f>
        <v>474.6</v>
      </c>
      <c r="CJ436" s="363">
        <f>Model!CJ31</f>
        <v>472.79999999999995</v>
      </c>
      <c r="CK436" s="363">
        <f>Model!CK31</f>
        <v>476.7</v>
      </c>
      <c r="CL436" s="363">
        <f>Model!CL31</f>
        <v>527.70000000000005</v>
      </c>
      <c r="CM436" s="61"/>
      <c r="CN436" s="270"/>
      <c r="CO436" s="363">
        <f>Model!CO31</f>
        <v>528.29999999999995</v>
      </c>
      <c r="CP436" s="363">
        <f>Model!CP31</f>
        <v>546.29999999999995</v>
      </c>
      <c r="CQ436" s="363">
        <f>Model!CQ31</f>
        <v>548.59999999999991</v>
      </c>
      <c r="CR436" s="363">
        <f>Model!CR31</f>
        <v>592.4</v>
      </c>
      <c r="CS436" s="61"/>
      <c r="CT436" s="61"/>
      <c r="CU436" s="363">
        <f>Model!CU31</f>
        <v>588.6</v>
      </c>
      <c r="CV436" s="363">
        <f>Model!CV31</f>
        <v>569</v>
      </c>
      <c r="CW436" s="363">
        <f>Model!CW31</f>
        <v>548</v>
      </c>
      <c r="CX436" s="363">
        <f>Model!CX31</f>
        <v>607</v>
      </c>
      <c r="CY436" s="61"/>
      <c r="CZ436" s="61"/>
      <c r="DA436" s="363">
        <f>Model!DA31</f>
        <v>570.4</v>
      </c>
      <c r="DB436" s="363">
        <f>Model!DB31</f>
        <v>561.70000000000005</v>
      </c>
      <c r="DC436" s="363">
        <f>Model!DC31</f>
        <v>555.20000000000005</v>
      </c>
      <c r="DD436" s="363">
        <f>Model!DD31</f>
        <v>586.59999999999991</v>
      </c>
      <c r="DE436" s="61"/>
      <c r="DF436" s="61"/>
      <c r="DG436" s="363">
        <f>Model!DG31</f>
        <v>592.5</v>
      </c>
      <c r="DH436" s="363">
        <f>Model!DH31</f>
        <v>637.09999999999991</v>
      </c>
      <c r="DI436" s="363">
        <f>Model!DI31</f>
        <v>618</v>
      </c>
      <c r="DJ436" s="363">
        <f>Model!DJ31</f>
        <v>664.6</v>
      </c>
      <c r="DK436" s="61"/>
      <c r="DL436" s="270"/>
      <c r="DM436" s="363">
        <f>Model!DM31</f>
        <v>646.5</v>
      </c>
      <c r="DN436" s="363">
        <f>Model!DN31</f>
        <v>609.5</v>
      </c>
      <c r="DO436" s="363">
        <f>Model!DO31</f>
        <v>599.79999999999995</v>
      </c>
      <c r="DP436" s="363">
        <f>Model!DP31</f>
        <v>648.29999999999995</v>
      </c>
      <c r="DQ436" s="61"/>
      <c r="DR436" s="61"/>
      <c r="DS436" s="363">
        <f>Model!DS31</f>
        <v>511.9</v>
      </c>
      <c r="DT436" s="363">
        <f>Model!DT31</f>
        <v>550.70000000000005</v>
      </c>
      <c r="DU436" s="363">
        <f>Model!DU31</f>
        <v>489.6</v>
      </c>
      <c r="DV436" s="363">
        <f>Model!DV31</f>
        <v>478.8</v>
      </c>
      <c r="DW436" s="61"/>
      <c r="DX436" s="61"/>
      <c r="DY436" s="363">
        <f>Model!DY31</f>
        <v>485.7</v>
      </c>
      <c r="DZ436" s="363">
        <f>Model!DZ31</f>
        <v>501.79999999999995</v>
      </c>
      <c r="EA436" s="363">
        <f>Model!EA31</f>
        <v>515.29999999999995</v>
      </c>
      <c r="EB436" s="363">
        <f>Model!EB31</f>
        <v>553.79999999999995</v>
      </c>
      <c r="EC436" s="61"/>
      <c r="ED436" s="61"/>
      <c r="EE436" s="363">
        <f>Model!EE31</f>
        <v>556.62352702538089</v>
      </c>
      <c r="EF436" s="61"/>
      <c r="EG436" s="61"/>
      <c r="EH436" s="61"/>
      <c r="EI436" s="61"/>
      <c r="EJ436" s="61"/>
      <c r="EK436" s="61"/>
      <c r="EL436" s="61"/>
      <c r="EM436" s="61"/>
      <c r="EN436" s="61"/>
      <c r="EO436" s="61"/>
      <c r="EP436" s="61"/>
      <c r="EQ436" s="61"/>
      <c r="ER436" s="61"/>
      <c r="ES436" s="61"/>
      <c r="ET436" s="61"/>
      <c r="EU436" s="61"/>
    </row>
    <row r="437" spans="1:227">
      <c r="A437" s="330" t="s">
        <v>1445</v>
      </c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4"/>
      <c r="P437" s="64"/>
      <c r="Q437" s="64"/>
      <c r="R437" s="64"/>
      <c r="S437" s="61"/>
      <c r="T437" s="61"/>
      <c r="U437" s="64"/>
      <c r="V437" s="64"/>
      <c r="W437" s="64"/>
      <c r="X437" s="64"/>
      <c r="Y437" s="61"/>
      <c r="Z437" s="61"/>
      <c r="AA437" s="64"/>
      <c r="AB437" s="64"/>
      <c r="AC437" s="64"/>
      <c r="AD437" s="64"/>
      <c r="AE437" s="61"/>
      <c r="AF437" s="61"/>
      <c r="AG437" s="64"/>
      <c r="AH437" s="64"/>
      <c r="AI437" s="64"/>
      <c r="AJ437" s="64"/>
      <c r="AK437" s="61"/>
      <c r="AL437" s="61"/>
      <c r="AM437" s="64"/>
      <c r="AN437" s="64"/>
      <c r="AO437" s="64"/>
      <c r="AP437" s="64"/>
      <c r="AQ437" s="61"/>
      <c r="AR437" s="61"/>
      <c r="AS437" s="245">
        <f>AS436/(AVERAGE(AS434:AS435))-1</f>
        <v>1.5739759036144552E-2</v>
      </c>
      <c r="AT437" s="245">
        <f>AT436/(AVERAGE(AT434:AT435))-1</f>
        <v>1.0525059665871028E-2</v>
      </c>
      <c r="AU437" s="245">
        <f>AU436/(AVERAGE(AU434:AU435))-1</f>
        <v>7.0306636155606395E-2</v>
      </c>
      <c r="AV437" s="245">
        <f>AV436/(AVERAGE(AV434:AV435))-1</f>
        <v>0.18124000000000029</v>
      </c>
      <c r="AW437" s="61"/>
      <c r="AX437" s="61"/>
      <c r="AY437" s="245">
        <f>AY436/(AVERAGE(AY434:AY435))-1</f>
        <v>0.22081632653061223</v>
      </c>
      <c r="AZ437" s="245">
        <f>AZ436/(AVERAGE(AZ434:AZ435))-1</f>
        <v>5.9622641509434082E-2</v>
      </c>
      <c r="BA437" s="245">
        <f>BA436/(AVERAGE(BA434:BA435))-1</f>
        <v>7.6428571428571512E-2</v>
      </c>
      <c r="BB437" s="245">
        <f>BB436/(AVERAGE(BB434:BB435))-1</f>
        <v>5.1764705882352935E-2</v>
      </c>
      <c r="BC437" s="363"/>
      <c r="BD437" s="270"/>
      <c r="BE437" s="245">
        <f>BE436/(AVERAGE(BE434:BE435))-1</f>
        <v>5.6176470588235272E-2</v>
      </c>
      <c r="BF437" s="245">
        <f>BF436/(AVERAGE(BF434:BF435))-1</f>
        <v>6.1408450704225181E-2</v>
      </c>
      <c r="BG437" s="245">
        <f>BG436/(AVERAGE(BG434:BG435))-1</f>
        <v>2.2788203753351111E-2</v>
      </c>
      <c r="BH437" s="245">
        <f>BH436/(AVERAGE(BH434:BH435))-1</f>
        <v>2.3902439024390265E-2</v>
      </c>
      <c r="BI437" s="62"/>
      <c r="BJ437" s="270"/>
      <c r="BK437" s="245">
        <f>BK436/(AVERAGE(BK434:BK435))-1</f>
        <v>1.3953488372093092E-2</v>
      </c>
      <c r="BL437" s="245">
        <f>BL436/(AVERAGE(BL434:BL435))-1</f>
        <v>1.0337078651685427E-2</v>
      </c>
      <c r="BM437" s="245">
        <f>BM436/(AVERAGE(BM434:BM435))-1</f>
        <v>3.9560439560439864E-3</v>
      </c>
      <c r="BN437" s="245">
        <f>BN436/(AVERAGE(BN434:BN435))-1</f>
        <v>4.8484848484848797E-3</v>
      </c>
      <c r="BO437" s="270"/>
      <c r="BP437" s="270"/>
      <c r="BQ437" s="245">
        <f>BQ436/(AVERAGE(BQ434:BQ435))-1</f>
        <v>2.747474747474743E-2</v>
      </c>
      <c r="BR437" s="245">
        <f>BR436/(AVERAGE(BR434:BR435))-1</f>
        <v>1.7142857142857792E-3</v>
      </c>
      <c r="BS437" s="245">
        <f>BS436/(AVERAGE(BS434:BS435))-1</f>
        <v>6.355140186915742E-3</v>
      </c>
      <c r="BT437" s="245">
        <f>BT436/(AVERAGE(BT434:BT435))-1</f>
        <v>3.2931034482758692E-2</v>
      </c>
      <c r="BU437" s="61"/>
      <c r="BV437" s="270"/>
      <c r="BW437" s="245">
        <f>BW436/(AVERAGE(BW434:BW435))-1</f>
        <v>3.2413793103448274E-2</v>
      </c>
      <c r="BX437" s="245">
        <f>BX436/(AVERAGE(BX434:BX435))-1</f>
        <v>2.3966942148760273E-2</v>
      </c>
      <c r="BY437" s="245">
        <f>BY436/(AVERAGE(BY434:BY435))-1</f>
        <v>-3.6349206349206353E-2</v>
      </c>
      <c r="BZ437" s="245">
        <f>BZ436/(AVERAGE(BZ434:BZ435))-1</f>
        <v>-8.8744186046511575E-2</v>
      </c>
      <c r="CA437" s="61"/>
      <c r="CB437" s="270"/>
      <c r="CC437" s="245">
        <f>CC436/(AVERAGE(CC434:CC435))-1</f>
        <v>1.3809523809523716E-2</v>
      </c>
      <c r="CD437" s="245">
        <f>CD436/(AVERAGE(CD434:CD435))-1</f>
        <v>1.8159509202454016E-2</v>
      </c>
      <c r="CE437" s="245">
        <f>CE436/(AVERAGE(CE434:CE435))-1</f>
        <v>1.6829268292682942E-2</v>
      </c>
      <c r="CF437" s="245">
        <f>CF436/(AVERAGE(CF434:CF435))-1</f>
        <v>6.0697674418604741E-2</v>
      </c>
      <c r="CG437" s="61"/>
      <c r="CH437" s="270"/>
      <c r="CI437" s="245">
        <f>CI436/(AVERAGE(CI434:CI435))-1</f>
        <v>0.10372093023255813</v>
      </c>
      <c r="CJ437" s="245">
        <f>CJ436/(AVERAGE(CJ434:CJ435))-1</f>
        <v>5.6536312849161829E-2</v>
      </c>
      <c r="CK437" s="245">
        <f>CK436/(AVERAGE(CK434:CK435))-1</f>
        <v>3.07027027027027E-2</v>
      </c>
      <c r="CL437" s="245">
        <f>CL436/(AVERAGE(CL434:CL435))-1</f>
        <v>3.4705882352941364E-2</v>
      </c>
      <c r="CM437" s="61"/>
      <c r="CN437" s="270"/>
      <c r="CO437" s="245">
        <f>CO436/(AVERAGE(CO434:CO435))-1</f>
        <v>2.0869565217391139E-2</v>
      </c>
      <c r="CP437" s="245">
        <f>CP436/(AVERAGE(CP434:CP435))-1</f>
        <v>1.6372093023255818E-2</v>
      </c>
      <c r="CQ437" s="245">
        <f>CQ436/(AVERAGE(CQ434:CQ435))-1</f>
        <v>1.1244239631336139E-2</v>
      </c>
      <c r="CR437" s="245">
        <f>CR436/(AVERAGE(CR434:CR435))-1</f>
        <v>1.6995708154506461E-2</v>
      </c>
      <c r="CS437" s="61"/>
      <c r="CT437" s="61"/>
      <c r="CU437" s="245">
        <f>CU436/(AVERAGE(CU434:CU435))-1</f>
        <v>1.04721030042918E-2</v>
      </c>
      <c r="CV437" s="245">
        <f>CV436/(AVERAGE(CV434:CV435))-1</f>
        <v>-3.5593220338983045E-2</v>
      </c>
      <c r="CW437" s="245">
        <f>CW436/(AVERAGE(CW434:CW435))-1</f>
        <v>-2.1428571428571463E-2</v>
      </c>
      <c r="CX437" s="245">
        <f>CX436/(AVERAGE(CX434:CX435))-1</f>
        <v>3.7606837606837695E-2</v>
      </c>
      <c r="CY437" s="61"/>
      <c r="CZ437" s="61"/>
      <c r="DA437" s="245">
        <f>DA436/(AVERAGE(DA434:DA435))-1</f>
        <v>-1.6551724137931045E-2</v>
      </c>
      <c r="DB437" s="245">
        <f>DB436/(AVERAGE(DB434:DB435))-1</f>
        <v>3.0357142857144748E-3</v>
      </c>
      <c r="DC437" s="245">
        <f>DC436/(AVERAGE(DC434:DC435))-1</f>
        <v>1.4063926940639293E-2</v>
      </c>
      <c r="DD437" s="245">
        <f>DD436/(AVERAGE(DD434:DD435))-1</f>
        <v>2.9122807017543773E-2</v>
      </c>
      <c r="DE437" s="61"/>
      <c r="DF437" s="61"/>
      <c r="DG437" s="245">
        <f>DG436/(AVERAGE(DG434:DG435))-1</f>
        <v>4.4052863436123246E-2</v>
      </c>
      <c r="DH437" s="245">
        <f>DH436/(AVERAGE(DH434:DH435))-1</f>
        <v>5.7427385892115934E-2</v>
      </c>
      <c r="DI437" s="245">
        <f>DI436/(AVERAGE(DI434:DI435))-1</f>
        <v>3.4309623430962333E-2</v>
      </c>
      <c r="DJ437" s="245">
        <f>DJ436/(AVERAGE(DJ434:DJ435))-1</f>
        <v>2.6409266409266552E-2</v>
      </c>
      <c r="DK437" s="61"/>
      <c r="DL437" s="270"/>
      <c r="DM437" s="245">
        <f>DM436/(AVERAGE(DM434:DM435))-1</f>
        <v>1.8110236220472364E-2</v>
      </c>
      <c r="DN437" s="245">
        <f>DN436/(AVERAGE(DN434:DN435))-1</f>
        <v>-8.1967213114753079E-4</v>
      </c>
      <c r="DO437" s="245">
        <f>DO436/(AVERAGE(DO434:DO435))-1</f>
        <v>1.6610169491525273E-2</v>
      </c>
      <c r="DP437" s="245">
        <f>DP436/(AVERAGE(DP434:DP435))-1</f>
        <v>2.9047619047618989E-2</v>
      </c>
      <c r="DQ437" s="61"/>
      <c r="DR437" s="61"/>
      <c r="DS437" s="245">
        <f>DS436/(AVERAGE(DS434:DS435))-1</f>
        <v>3.7254901960783737E-3</v>
      </c>
      <c r="DT437" s="245">
        <f>DT436/(AVERAGE(DT434:DT435))-1</f>
        <v>7.9803921568627478E-2</v>
      </c>
      <c r="DU437" s="245">
        <f>DU436/(AVERAGE(DU434:DU435))-1</f>
        <v>2.5340314136125697E-2</v>
      </c>
      <c r="DV437" s="245">
        <f>DV436/(AVERAGE(DV434:DV435))-1</f>
        <v>1.8723404255319265E-2</v>
      </c>
      <c r="DW437" s="61"/>
      <c r="DX437" s="61"/>
      <c r="DY437" s="245">
        <f>DY436/(AVERAGE(DY434:DY435))-1</f>
        <v>3.3404255319148923E-2</v>
      </c>
      <c r="DZ437" s="245">
        <f>DZ436/(AVERAGE(DZ434:DZ435))-1</f>
        <v>1.5789473684210353E-2</v>
      </c>
      <c r="EA437" s="245">
        <f>EA436/(AVERAGE(EA434:EA435))-1</f>
        <v>1.0392156862744972E-2</v>
      </c>
      <c r="EB437" s="61"/>
      <c r="EC437" s="61"/>
      <c r="ED437" s="61"/>
      <c r="EE437" s="245">
        <f>EE436/(AVERAGE(EE434:EE435))-1</f>
        <v>2.9252739196052868E-3</v>
      </c>
      <c r="EF437" s="61"/>
      <c r="EG437" s="61"/>
      <c r="EH437" s="61"/>
      <c r="EI437" s="61"/>
      <c r="EJ437" s="61"/>
      <c r="EK437" s="61"/>
      <c r="EL437" s="61"/>
      <c r="EM437" s="61"/>
      <c r="EN437" s="61"/>
      <c r="EO437" s="61"/>
      <c r="EP437" s="61"/>
      <c r="EQ437" s="61"/>
      <c r="ER437" s="61"/>
      <c r="ES437" s="61"/>
      <c r="ET437" s="61"/>
      <c r="EU437" s="61"/>
    </row>
    <row r="438" spans="1:227">
      <c r="A438" s="202" t="s">
        <v>1444</v>
      </c>
      <c r="B438" s="90"/>
      <c r="C438" s="26"/>
      <c r="D438" s="26"/>
      <c r="E438" s="26"/>
      <c r="F438" s="26"/>
      <c r="G438" s="26"/>
      <c r="H438" s="90"/>
      <c r="I438" s="26"/>
      <c r="J438" s="26"/>
      <c r="K438" s="26"/>
      <c r="L438" s="26"/>
      <c r="M438" s="26"/>
      <c r="N438" s="90"/>
      <c r="O438" s="26"/>
      <c r="P438" s="26"/>
      <c r="Q438" s="26"/>
      <c r="R438" s="26"/>
      <c r="S438" s="26"/>
      <c r="T438" s="90"/>
      <c r="U438" s="26"/>
      <c r="V438" s="26"/>
      <c r="W438" s="26"/>
      <c r="X438" s="26"/>
      <c r="Y438" s="26"/>
      <c r="Z438" s="90"/>
      <c r="AA438" s="26"/>
      <c r="AB438" s="26"/>
      <c r="AC438" s="26"/>
      <c r="AD438" s="26"/>
      <c r="AE438" s="26"/>
      <c r="AF438" s="90"/>
      <c r="AG438" s="26"/>
      <c r="AH438" s="26"/>
      <c r="AI438" s="26"/>
      <c r="AJ438" s="26"/>
      <c r="AK438" s="26"/>
      <c r="AL438" s="90"/>
      <c r="AM438" s="26"/>
      <c r="AN438" s="26"/>
      <c r="AO438" s="90"/>
      <c r="AP438" s="26"/>
      <c r="AQ438" s="26"/>
      <c r="AR438" s="90"/>
      <c r="AS438" s="124">
        <f>AVERAGE(AS434:AS435)/AP436-1</f>
        <v>6.129421633012111E-2</v>
      </c>
      <c r="AT438" s="124">
        <f>AVERAGE(AT434:AT435)/AS436-1</f>
        <v>-6.006661415977832E-3</v>
      </c>
      <c r="AU438" s="124">
        <f>AVERAGE(AU434:AU435)/AT436-1</f>
        <v>3.2096549443801692E-2</v>
      </c>
      <c r="AV438" s="124">
        <f>AVERAGE(AV434:AV435)/AU436-1</f>
        <v>6.9006508111621345E-2</v>
      </c>
      <c r="AW438" s="26"/>
      <c r="AX438" s="90"/>
      <c r="AY438" s="124">
        <f>AVERAGE(AY434:AY435)/AV436-1</f>
        <v>-0.1703633469912974</v>
      </c>
      <c r="AZ438" s="124">
        <f>AVERAGE(AZ434:AZ435)/AY436-1</f>
        <v>-0.11400869274490144</v>
      </c>
      <c r="BA438" s="124">
        <f>AVERAGE(BA434:BA435)/AZ436-1</f>
        <v>-2.8490028490029129E-3</v>
      </c>
      <c r="BB438" s="124">
        <f>AVERAGE(BB434:BB435)/BA436-1</f>
        <v>0.12806901128068993</v>
      </c>
      <c r="BC438" s="286"/>
      <c r="BD438" s="138"/>
      <c r="BE438" s="124">
        <f>AVERAGE(BE434:BE435)/BB436-1</f>
        <v>-4.921700223713632E-2</v>
      </c>
      <c r="BF438" s="124">
        <f>AVERAGE(BF434:BF435)/BE436-1</f>
        <v>-1.1417432470063993E-2</v>
      </c>
      <c r="BG438" s="124">
        <f>AVERAGE(BG434:BG435)/BF436-1</f>
        <v>-1.0084925690021063E-2</v>
      </c>
      <c r="BH438" s="124">
        <f>AVERAGE(BH434:BH435)/BG436-1</f>
        <v>7.4705111402359137E-2</v>
      </c>
      <c r="BI438" s="83"/>
      <c r="BJ438" s="138"/>
      <c r="BK438" s="124">
        <f>AVERAGE(BK434:BK435)/BH436-1</f>
        <v>2.4297284421152865E-2</v>
      </c>
      <c r="BL438" s="124">
        <f>AVERAGE(BL434:BL435)/BK436-1</f>
        <v>2.0642201834862428E-2</v>
      </c>
      <c r="BM438" s="124">
        <f>AVERAGE(BM434:BM435)/BL436-1</f>
        <v>1.2010676156583688E-2</v>
      </c>
      <c r="BN438" s="124">
        <f>AVERAGE(BN434:BN435)/BM436-1</f>
        <v>8.3625218914185506E-2</v>
      </c>
      <c r="BO438" s="138"/>
      <c r="BP438" s="138"/>
      <c r="BQ438" s="124">
        <f>AVERAGE(BQ434:BQ435)/BN436-1</f>
        <v>-4.8250904704463249E-3</v>
      </c>
      <c r="BR438" s="124">
        <f>AVERAGE(BR434:BR435)/BQ436-1</f>
        <v>3.2245379473063274E-2</v>
      </c>
      <c r="BS438" s="124">
        <f>AVERAGE(BS434:BS435)/BR436-1</f>
        <v>1.7303669899220164E-2</v>
      </c>
      <c r="BT438" s="124">
        <f>AVERAGE(BT434:BT435)/BS436-1</f>
        <v>7.7265973254086129E-2</v>
      </c>
      <c r="BU438" s="26"/>
      <c r="BV438" s="138"/>
      <c r="BW438" s="124">
        <f>AVERAGE(BW434:BW435)/BT436-1</f>
        <v>-3.1881155065932254E-2</v>
      </c>
      <c r="BX438" s="124">
        <f>AVERAGE(BX434:BX435)/BW436-1</f>
        <v>1.0354041416165805E-2</v>
      </c>
      <c r="BY438" s="124">
        <f>AVERAGE(BY434:BY435)/BX436-1</f>
        <v>1.6949152542372836E-2</v>
      </c>
      <c r="BZ438" s="124">
        <f>AVERAGE(BZ434:BZ435)/BY436-1</f>
        <v>-0.1146433865919948</v>
      </c>
      <c r="CA438" s="26"/>
      <c r="CB438" s="138"/>
      <c r="CC438" s="124">
        <f>AVERAGE(CC434:CC435)/BZ436-1</f>
        <v>-0.1425071457737852</v>
      </c>
      <c r="CD438" s="124">
        <f>AVERAGE(CD434:CD435)/CC436-1</f>
        <v>-4.2977923907937865E-2</v>
      </c>
      <c r="CE438" s="124">
        <f>AVERAGE(CE434:CE435)/CD436-1</f>
        <v>-1.1810074716799179E-2</v>
      </c>
      <c r="CF438" s="124">
        <f>AVERAGE(CF434:CF435)/CE436-1</f>
        <v>3.1422403454065773E-2</v>
      </c>
      <c r="CG438" s="26"/>
      <c r="CH438" s="138"/>
      <c r="CI438" s="124">
        <f>AVERAGE(CI434:CI435)/CF436-1</f>
        <v>-5.7224292918219732E-2</v>
      </c>
      <c r="CJ438" s="124">
        <f>AVERAGE(CJ434:CJ435)/CI436-1</f>
        <v>-5.7100716392751827E-2</v>
      </c>
      <c r="CK438" s="124">
        <f>AVERAGE(CK434:CK435)/CJ436-1</f>
        <v>-2.1785109983079476E-2</v>
      </c>
      <c r="CL438" s="124">
        <f>AVERAGE(CL434:CL435)/CK436-1</f>
        <v>6.9855254877281281E-2</v>
      </c>
      <c r="CM438" s="26"/>
      <c r="CN438" s="138"/>
      <c r="CO438" s="124">
        <f>AVERAGE(CO434:CO435)/CL436-1</f>
        <v>-1.9329164297896662E-2</v>
      </c>
      <c r="CP438" s="124">
        <f>AVERAGE(CP434:CP435)/CO436-1</f>
        <v>1.7414347908385475E-2</v>
      </c>
      <c r="CQ438" s="124">
        <f>AVERAGE(CQ434:CQ435)/CP436-1</f>
        <v>-6.955885044847121E-3</v>
      </c>
      <c r="CR438" s="124">
        <f>AVERAGE(CR434:CR435)/CQ436-1</f>
        <v>6.1793656580386713E-2</v>
      </c>
      <c r="CS438" s="90"/>
      <c r="CT438" s="90"/>
      <c r="CU438" s="124">
        <f>AVERAGE(CU434:CU435)/CR436-1</f>
        <v>-1.671168129642131E-2</v>
      </c>
      <c r="CV438" s="124">
        <f>AVERAGE(CV434:CV435)/CU436-1</f>
        <v>2.3785253143051577E-3</v>
      </c>
      <c r="CW438" s="124">
        <f>AVERAGE(CW434:CW435)/CV436-1</f>
        <v>-1.5817223198594021E-2</v>
      </c>
      <c r="CX438" s="124">
        <f>AVERAGE(CX434:CX435)/CW436-1</f>
        <v>6.7518248175182372E-2</v>
      </c>
      <c r="CY438" s="90"/>
      <c r="CZ438" s="90"/>
      <c r="DA438" s="124">
        <f>AVERAGE(DA434:DA435)/CX436-1</f>
        <v>-4.448105436573313E-2</v>
      </c>
      <c r="DB438" s="124">
        <f>AVERAGE(DB434:DB435)/DA436-1</f>
        <v>-1.8232819074333717E-2</v>
      </c>
      <c r="DC438" s="124">
        <f>AVERAGE(DC434:DC435)/DB436-1</f>
        <v>-2.528039878938948E-2</v>
      </c>
      <c r="DD438" s="124">
        <f>AVERAGE(DD434:DD435)/DC436-1</f>
        <v>2.6657060518731956E-2</v>
      </c>
      <c r="DE438" s="90"/>
      <c r="DF438" s="90"/>
      <c r="DG438" s="124">
        <f>AVERAGE(DG434:DG435)/DD436-1</f>
        <v>-3.2560518240709047E-2</v>
      </c>
      <c r="DH438" s="124">
        <f>AVERAGE(DH434:DH435)/DG436-1</f>
        <v>1.6877637130801704E-2</v>
      </c>
      <c r="DI438" s="124">
        <f>AVERAGE(DI434:DI435)/DH436-1</f>
        <v>-6.2156647308114765E-2</v>
      </c>
      <c r="DJ438" s="124">
        <f>AVERAGE(DJ434:DJ435)/DI436-1</f>
        <v>4.7734627831715226E-2</v>
      </c>
      <c r="DK438" s="90"/>
      <c r="DL438" s="138"/>
      <c r="DM438" s="124">
        <f>AVERAGE(DM434:DM435)/DJ436-1</f>
        <v>-4.4538068010833598E-2</v>
      </c>
      <c r="DN438" s="124">
        <f>AVERAGE(DN434:DN435)/DM436-1</f>
        <v>-5.6457849961330187E-2</v>
      </c>
      <c r="DO438" s="124">
        <f>AVERAGE(DO434:DO435)/DO436-1</f>
        <v>-1.6338779593197628E-2</v>
      </c>
      <c r="DP438" s="124">
        <f>AVERAGE(DP434:DP435)/DP436-1</f>
        <v>-2.8227672373900892E-2</v>
      </c>
      <c r="DQ438" s="90"/>
      <c r="DR438" s="90"/>
      <c r="DS438" s="124">
        <f>AVERAGE(DS434:DS435)/DS436-1</f>
        <v>-3.7116624340690629E-3</v>
      </c>
      <c r="DT438" s="124">
        <f>AVERAGE(DT434:DT435)/DT436-1</f>
        <v>-7.3905937897221774E-2</v>
      </c>
      <c r="DU438" s="124">
        <f>AVERAGE(DU434:DU435)/DU436-1</f>
        <v>-2.4714052287581723E-2</v>
      </c>
      <c r="DV438" s="245">
        <f>AVERAGE(DV434:DV435)/DV436-1</f>
        <v>-1.8379281537176273E-2</v>
      </c>
      <c r="DW438" s="90"/>
      <c r="DX438" s="90"/>
      <c r="DY438" s="245">
        <f>AVERAGE(DY434:DY435)/DY436-1</f>
        <v>-3.2324480131768585E-2</v>
      </c>
      <c r="DZ438" s="124">
        <f>AVERAGE(DZ434:DZ435)/DZ436-1</f>
        <v>-1.5544041450777146E-2</v>
      </c>
      <c r="EA438" s="124">
        <f>AVERAGE(EA434:EA435)/EA436-1</f>
        <v>-1.0285270716087647E-2</v>
      </c>
      <c r="EB438" s="90"/>
      <c r="EC438" s="90"/>
      <c r="ED438" s="90"/>
      <c r="EE438" s="245">
        <f>AVERAGE(EE434:EE435)/EE436-1</f>
        <v>-2.9167416513223854E-3</v>
      </c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</row>
    <row r="439" spans="1:227" hidden="1" outlineLevel="1">
      <c r="A439" s="901" t="s">
        <v>6809</v>
      </c>
      <c r="B439" s="902"/>
      <c r="C439" s="902"/>
      <c r="D439" s="902"/>
      <c r="E439" s="902"/>
      <c r="F439" s="902"/>
      <c r="G439" s="902"/>
      <c r="H439" s="902"/>
      <c r="I439" s="902"/>
      <c r="J439" s="902"/>
      <c r="K439" s="902"/>
      <c r="L439" s="902"/>
      <c r="M439" s="902"/>
      <c r="N439" s="902"/>
      <c r="O439" s="902"/>
      <c r="P439" s="902"/>
      <c r="Q439" s="902"/>
      <c r="R439" s="902"/>
      <c r="S439" s="902"/>
      <c r="T439" s="902"/>
      <c r="U439" s="902"/>
      <c r="V439" s="902"/>
      <c r="W439" s="902"/>
      <c r="X439" s="902"/>
      <c r="Y439" s="902"/>
      <c r="Z439" s="902"/>
      <c r="AA439" s="902"/>
      <c r="AB439" s="902"/>
      <c r="AC439" s="902"/>
      <c r="AD439" s="902"/>
      <c r="AE439" s="902"/>
      <c r="AF439" s="902"/>
      <c r="AG439" s="902"/>
      <c r="AH439" s="902"/>
      <c r="AI439" s="902"/>
      <c r="AJ439" s="902"/>
      <c r="AK439" s="902"/>
      <c r="AL439" s="902"/>
      <c r="AM439" s="902"/>
      <c r="AN439" s="902"/>
      <c r="AO439" s="902"/>
      <c r="AP439" s="902"/>
      <c r="AQ439" s="902"/>
      <c r="AR439" s="902"/>
      <c r="AS439" s="687"/>
      <c r="AT439" s="687"/>
      <c r="AU439" s="687"/>
      <c r="AV439" s="687"/>
      <c r="AW439" s="902"/>
      <c r="AX439" s="902"/>
      <c r="AY439" s="687"/>
      <c r="AZ439" s="903"/>
      <c r="BA439" s="903"/>
      <c r="BB439" s="903"/>
      <c r="BC439" s="904"/>
      <c r="BD439" s="905"/>
      <c r="BE439" s="903"/>
      <c r="BF439" s="903"/>
      <c r="BG439" s="687"/>
      <c r="BH439" s="687"/>
      <c r="BI439" s="906"/>
      <c r="BJ439" s="905"/>
      <c r="BK439" s="687"/>
      <c r="BL439" s="687"/>
      <c r="BM439" s="687"/>
      <c r="BN439" s="687"/>
      <c r="BO439" s="905"/>
      <c r="BP439" s="905"/>
      <c r="BQ439" s="687"/>
      <c r="BR439" s="902"/>
      <c r="BS439" s="902"/>
      <c r="BT439" s="902"/>
      <c r="BU439" s="902"/>
      <c r="BV439" s="905"/>
      <c r="BW439" s="902"/>
      <c r="BX439" s="902"/>
      <c r="BY439" s="26"/>
      <c r="BZ439" s="902"/>
      <c r="CA439" s="902"/>
      <c r="CB439" s="905"/>
      <c r="CC439" s="902"/>
      <c r="CD439" s="902"/>
      <c r="CE439" s="902"/>
      <c r="CF439" s="26"/>
      <c r="CG439" s="26"/>
      <c r="CH439" s="138"/>
      <c r="CI439" s="902"/>
      <c r="CJ439" s="902">
        <f>AVERAGE(CJ440:CJ441)</f>
        <v>452.5</v>
      </c>
      <c r="CK439" s="83"/>
      <c r="CL439" s="26"/>
      <c r="CM439" s="26"/>
      <c r="CN439" s="138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138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W439" s="1619"/>
    </row>
    <row r="440" spans="1:227" hidden="1" outlineLevel="1">
      <c r="A440" s="907" t="s">
        <v>4596</v>
      </c>
      <c r="B440" s="902"/>
      <c r="C440" s="902"/>
      <c r="D440" s="902"/>
      <c r="E440" s="902"/>
      <c r="F440" s="902"/>
      <c r="G440" s="902"/>
      <c r="H440" s="902"/>
      <c r="I440" s="902"/>
      <c r="J440" s="902"/>
      <c r="K440" s="902"/>
      <c r="L440" s="902"/>
      <c r="M440" s="902"/>
      <c r="N440" s="902"/>
      <c r="O440" s="902"/>
      <c r="P440" s="902"/>
      <c r="Q440" s="902"/>
      <c r="R440" s="902"/>
      <c r="S440" s="902"/>
      <c r="T440" s="902"/>
      <c r="U440" s="902"/>
      <c r="V440" s="902"/>
      <c r="W440" s="902"/>
      <c r="X440" s="902"/>
      <c r="Y440" s="902"/>
      <c r="Z440" s="902"/>
      <c r="AA440" s="902"/>
      <c r="AB440" s="902"/>
      <c r="AC440" s="902"/>
      <c r="AD440" s="902"/>
      <c r="AE440" s="902"/>
      <c r="AF440" s="902"/>
      <c r="AG440" s="902"/>
      <c r="AH440" s="902"/>
      <c r="AI440" s="902"/>
      <c r="AJ440" s="902"/>
      <c r="AK440" s="902"/>
      <c r="AL440" s="902"/>
      <c r="AM440" s="902"/>
      <c r="AN440" s="902"/>
      <c r="AO440" s="902"/>
      <c r="AP440" s="902"/>
      <c r="AQ440" s="902"/>
      <c r="AR440" s="902"/>
      <c r="AS440" s="687"/>
      <c r="AT440" s="687"/>
      <c r="AU440" s="687"/>
      <c r="AV440" s="687"/>
      <c r="AW440" s="902"/>
      <c r="AX440" s="902"/>
      <c r="AY440" s="687"/>
      <c r="AZ440" s="903"/>
      <c r="BA440" s="903"/>
      <c r="BB440" s="903"/>
      <c r="BC440" s="904"/>
      <c r="BD440" s="905"/>
      <c r="BE440" s="903"/>
      <c r="BF440" s="903"/>
      <c r="BG440" s="687"/>
      <c r="BH440" s="687"/>
      <c r="BI440" s="906"/>
      <c r="BJ440" s="905"/>
      <c r="BK440" s="687"/>
      <c r="BL440" s="687"/>
      <c r="BM440" s="687"/>
      <c r="BN440" s="687"/>
      <c r="BO440" s="905"/>
      <c r="BP440" s="905"/>
      <c r="BQ440" s="687"/>
      <c r="BR440" s="902"/>
      <c r="BS440" s="902"/>
      <c r="BT440" s="902"/>
      <c r="BU440" s="902"/>
      <c r="BV440" s="905"/>
      <c r="BW440" s="902">
        <v>590</v>
      </c>
      <c r="BX440" s="902">
        <v>600</v>
      </c>
      <c r="BY440" s="26"/>
      <c r="BZ440" s="902">
        <v>475</v>
      </c>
      <c r="CA440" s="902"/>
      <c r="CB440" s="905"/>
      <c r="CC440" s="902"/>
      <c r="CD440" s="902"/>
      <c r="CE440" s="902"/>
      <c r="CF440" s="26"/>
      <c r="CG440" s="26"/>
      <c r="CH440" s="138"/>
      <c r="CI440" s="902"/>
      <c r="CJ440" s="902">
        <v>445</v>
      </c>
      <c r="CK440" s="83"/>
      <c r="CL440" s="26"/>
      <c r="CM440" s="26"/>
      <c r="CN440" s="138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138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W440" s="1459"/>
    </row>
    <row r="441" spans="1:227" hidden="1" outlineLevel="1">
      <c r="A441" s="907" t="s">
        <v>4595</v>
      </c>
      <c r="B441" s="902"/>
      <c r="C441" s="902"/>
      <c r="D441" s="902"/>
      <c r="E441" s="902"/>
      <c r="F441" s="902"/>
      <c r="G441" s="902"/>
      <c r="H441" s="902"/>
      <c r="I441" s="902"/>
      <c r="J441" s="902"/>
      <c r="K441" s="902"/>
      <c r="L441" s="902"/>
      <c r="M441" s="902"/>
      <c r="N441" s="902"/>
      <c r="O441" s="902"/>
      <c r="P441" s="902"/>
      <c r="Q441" s="902"/>
      <c r="R441" s="902"/>
      <c r="S441" s="902"/>
      <c r="T441" s="902"/>
      <c r="U441" s="902"/>
      <c r="V441" s="902"/>
      <c r="W441" s="902"/>
      <c r="X441" s="902"/>
      <c r="Y441" s="902"/>
      <c r="Z441" s="902"/>
      <c r="AA441" s="902"/>
      <c r="AB441" s="902"/>
      <c r="AC441" s="902"/>
      <c r="AD441" s="902"/>
      <c r="AE441" s="902"/>
      <c r="AF441" s="902"/>
      <c r="AG441" s="902"/>
      <c r="AH441" s="902"/>
      <c r="AI441" s="902"/>
      <c r="AJ441" s="902"/>
      <c r="AK441" s="902"/>
      <c r="AL441" s="902"/>
      <c r="AM441" s="902"/>
      <c r="AN441" s="902"/>
      <c r="AO441" s="902"/>
      <c r="AP441" s="902"/>
      <c r="AQ441" s="902"/>
      <c r="AR441" s="902"/>
      <c r="AS441" s="687"/>
      <c r="AT441" s="687"/>
      <c r="AU441" s="687"/>
      <c r="AV441" s="687"/>
      <c r="AW441" s="902"/>
      <c r="AX441" s="902"/>
      <c r="AY441" s="687"/>
      <c r="AZ441" s="903"/>
      <c r="BA441" s="903"/>
      <c r="BB441" s="903"/>
      <c r="BC441" s="904"/>
      <c r="BD441" s="905"/>
      <c r="BE441" s="903"/>
      <c r="BF441" s="903"/>
      <c r="BG441" s="687"/>
      <c r="BH441" s="687"/>
      <c r="BI441" s="906"/>
      <c r="BJ441" s="905"/>
      <c r="BK441" s="687"/>
      <c r="BL441" s="687"/>
      <c r="BM441" s="687"/>
      <c r="BN441" s="687"/>
      <c r="BO441" s="905"/>
      <c r="BP441" s="905"/>
      <c r="BQ441" s="687"/>
      <c r="BR441" s="902"/>
      <c r="BS441" s="902"/>
      <c r="BT441" s="902"/>
      <c r="BU441" s="902"/>
      <c r="BV441" s="905"/>
      <c r="BW441" s="902">
        <v>595</v>
      </c>
      <c r="BX441" s="902">
        <v>610</v>
      </c>
      <c r="BY441" s="26"/>
      <c r="BZ441" s="902">
        <v>500</v>
      </c>
      <c r="CA441" s="902"/>
      <c r="CB441" s="905"/>
      <c r="CC441" s="902"/>
      <c r="CD441" s="902"/>
      <c r="CE441" s="902"/>
      <c r="CF441" s="26"/>
      <c r="CG441" s="26"/>
      <c r="CH441" s="138"/>
      <c r="CI441" s="902"/>
      <c r="CJ441" s="902">
        <v>460</v>
      </c>
      <c r="CK441" s="83"/>
      <c r="CL441" s="26"/>
      <c r="CM441" s="26"/>
      <c r="CN441" s="138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138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W441" s="1459"/>
    </row>
    <row r="442" spans="1:227" hidden="1" outlineLevel="1">
      <c r="A442" s="908" t="s">
        <v>4597</v>
      </c>
      <c r="B442" s="902"/>
      <c r="C442" s="902"/>
      <c r="D442" s="902"/>
      <c r="E442" s="902"/>
      <c r="F442" s="902"/>
      <c r="G442" s="902"/>
      <c r="H442" s="902"/>
      <c r="I442" s="902"/>
      <c r="J442" s="902"/>
      <c r="K442" s="902"/>
      <c r="L442" s="902"/>
      <c r="M442" s="902"/>
      <c r="N442" s="902"/>
      <c r="O442" s="902"/>
      <c r="P442" s="902"/>
      <c r="Q442" s="902"/>
      <c r="R442" s="902"/>
      <c r="S442" s="902"/>
      <c r="T442" s="902"/>
      <c r="U442" s="902"/>
      <c r="V442" s="902"/>
      <c r="W442" s="902"/>
      <c r="X442" s="902"/>
      <c r="Y442" s="902"/>
      <c r="Z442" s="902"/>
      <c r="AA442" s="902"/>
      <c r="AB442" s="902"/>
      <c r="AC442" s="902"/>
      <c r="AD442" s="902"/>
      <c r="AE442" s="902"/>
      <c r="AF442" s="902"/>
      <c r="AG442" s="902"/>
      <c r="AH442" s="902"/>
      <c r="AI442" s="902"/>
      <c r="AJ442" s="902"/>
      <c r="AK442" s="902"/>
      <c r="AL442" s="902"/>
      <c r="AM442" s="902"/>
      <c r="AN442" s="902"/>
      <c r="AO442" s="902"/>
      <c r="AP442" s="902"/>
      <c r="AQ442" s="902"/>
      <c r="AR442" s="902"/>
      <c r="AS442" s="687"/>
      <c r="AT442" s="687"/>
      <c r="AU442" s="687"/>
      <c r="AV442" s="687"/>
      <c r="AW442" s="902"/>
      <c r="AX442" s="902"/>
      <c r="AY442" s="687"/>
      <c r="AZ442" s="903"/>
      <c r="BA442" s="903"/>
      <c r="BB442" s="903"/>
      <c r="BC442" s="904"/>
      <c r="BD442" s="905"/>
      <c r="BE442" s="903"/>
      <c r="BF442" s="903"/>
      <c r="BG442" s="687"/>
      <c r="BH442" s="687"/>
      <c r="BI442" s="906"/>
      <c r="BJ442" s="905"/>
      <c r="BK442" s="687"/>
      <c r="BL442" s="687"/>
      <c r="BM442" s="687"/>
      <c r="BN442" s="687"/>
      <c r="BO442" s="905"/>
      <c r="BP442" s="905"/>
      <c r="BQ442" s="687"/>
      <c r="BR442" s="902"/>
      <c r="BS442" s="902"/>
      <c r="BT442" s="902"/>
      <c r="BU442" s="902"/>
      <c r="BV442" s="905"/>
      <c r="BW442" s="909">
        <f>Model!BW31</f>
        <v>598.79999999999995</v>
      </c>
      <c r="BX442" s="909">
        <f>Model!BX31</f>
        <v>619.5</v>
      </c>
      <c r="BY442" s="26"/>
      <c r="BZ442" s="909">
        <f>Model!BZ31</f>
        <v>489.8</v>
      </c>
      <c r="CA442" s="902"/>
      <c r="CB442" s="905"/>
      <c r="CC442" s="909"/>
      <c r="CD442" s="909"/>
      <c r="CE442" s="909"/>
      <c r="CF442" s="26"/>
      <c r="CG442" s="26"/>
      <c r="CH442" s="138"/>
      <c r="CI442" s="909"/>
      <c r="CJ442" s="909">
        <f>Model!CJ31</f>
        <v>472.79999999999995</v>
      </c>
      <c r="CK442" s="83"/>
      <c r="CL442" s="26"/>
      <c r="CM442" s="26"/>
      <c r="CN442" s="138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138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W442" s="1459"/>
    </row>
    <row r="443" spans="1:227" hidden="1" outlineLevel="1">
      <c r="A443" s="202"/>
      <c r="B443" s="90"/>
      <c r="C443" s="26"/>
      <c r="D443" s="26"/>
      <c r="E443" s="26"/>
      <c r="F443" s="26"/>
      <c r="G443" s="26"/>
      <c r="H443" s="90"/>
      <c r="I443" s="26"/>
      <c r="J443" s="26"/>
      <c r="K443" s="26"/>
      <c r="L443" s="26"/>
      <c r="M443" s="26"/>
      <c r="N443" s="90"/>
      <c r="O443" s="26"/>
      <c r="P443" s="26"/>
      <c r="Q443" s="26"/>
      <c r="R443" s="26"/>
      <c r="S443" s="26"/>
      <c r="T443" s="90"/>
      <c r="U443" s="26"/>
      <c r="V443" s="26"/>
      <c r="W443" s="26"/>
      <c r="X443" s="26"/>
      <c r="Y443" s="26"/>
      <c r="Z443" s="90"/>
      <c r="AA443" s="26"/>
      <c r="AB443" s="26"/>
      <c r="AC443" s="26"/>
      <c r="AD443" s="26"/>
      <c r="AE443" s="26"/>
      <c r="AF443" s="90"/>
      <c r="AG443" s="26"/>
      <c r="AH443" s="26"/>
      <c r="AI443" s="26"/>
      <c r="AJ443" s="26"/>
      <c r="AK443" s="26"/>
      <c r="AL443" s="90"/>
      <c r="AM443" s="26"/>
      <c r="AN443" s="26"/>
      <c r="AO443" s="90"/>
      <c r="AP443" s="26"/>
      <c r="AQ443" s="26"/>
      <c r="AR443" s="90"/>
      <c r="AS443" s="38"/>
      <c r="AT443" s="38"/>
      <c r="AU443" s="38"/>
      <c r="AV443" s="38"/>
      <c r="AW443" s="26"/>
      <c r="AX443" s="90"/>
      <c r="AY443" s="38"/>
      <c r="AZ443" s="787"/>
      <c r="BA443" s="787"/>
      <c r="BB443" s="787"/>
      <c r="BC443" s="286"/>
      <c r="BD443" s="138"/>
      <c r="BE443" s="787"/>
      <c r="BF443" s="787"/>
      <c r="BG443" s="38"/>
      <c r="BH443" s="38"/>
      <c r="BI443" s="83"/>
      <c r="BJ443" s="138"/>
      <c r="BK443" s="38"/>
      <c r="BL443" s="38"/>
      <c r="BM443" s="38"/>
      <c r="BN443" s="38"/>
      <c r="BO443" s="138"/>
      <c r="BP443" s="138"/>
      <c r="BQ443" s="38"/>
      <c r="BR443" s="26"/>
      <c r="BS443" s="26"/>
      <c r="BT443" s="26"/>
      <c r="BU443" s="26"/>
      <c r="BV443" s="138"/>
      <c r="BW443" s="26"/>
      <c r="BX443" s="26"/>
      <c r="BY443" s="26"/>
      <c r="BZ443" s="26"/>
      <c r="CA443" s="26"/>
      <c r="CB443" s="138"/>
      <c r="CC443" s="26"/>
      <c r="CD443" s="26"/>
      <c r="CE443" s="26"/>
      <c r="CF443" s="26"/>
      <c r="CG443" s="26"/>
      <c r="CH443" s="138"/>
      <c r="CI443" s="26"/>
      <c r="CJ443" s="26"/>
      <c r="CK443" s="83"/>
      <c r="CL443" s="26"/>
      <c r="CM443" s="26"/>
      <c r="CN443" s="138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138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</row>
    <row r="444" spans="1:227" collapsed="1">
      <c r="A444" s="202" t="s">
        <v>4683</v>
      </c>
      <c r="B444" s="90"/>
      <c r="C444" s="26"/>
      <c r="D444" s="26"/>
      <c r="E444" s="26"/>
      <c r="F444" s="26"/>
      <c r="G444" s="26"/>
      <c r="H444" s="90"/>
      <c r="I444" s="26"/>
      <c r="J444" s="26"/>
      <c r="K444" s="26"/>
      <c r="L444" s="26"/>
      <c r="M444" s="26"/>
      <c r="N444" s="90"/>
      <c r="O444" s="26"/>
      <c r="P444" s="26"/>
      <c r="Q444" s="26"/>
      <c r="R444" s="26"/>
      <c r="S444" s="26"/>
      <c r="T444" s="90"/>
      <c r="U444" s="26"/>
      <c r="V444" s="26"/>
      <c r="W444" s="26"/>
      <c r="X444" s="26"/>
      <c r="Y444" s="26"/>
      <c r="Z444" s="90"/>
      <c r="AA444" s="26"/>
      <c r="AB444" s="26"/>
      <c r="AC444" s="26"/>
      <c r="AD444" s="26"/>
      <c r="AE444" s="26"/>
      <c r="AF444" s="90"/>
      <c r="AG444" s="26"/>
      <c r="AH444" s="26"/>
      <c r="AI444" s="26"/>
      <c r="AJ444" s="26"/>
      <c r="AK444" s="26"/>
      <c r="AL444" s="90"/>
      <c r="AM444" s="26"/>
      <c r="AN444" s="26"/>
      <c r="AO444" s="90"/>
      <c r="AP444" s="26"/>
      <c r="AQ444" s="26"/>
      <c r="AR444" s="90"/>
      <c r="AS444" s="26"/>
      <c r="AT444" s="90"/>
      <c r="AU444" s="26"/>
      <c r="AV444" s="26"/>
      <c r="AW444" s="26"/>
      <c r="AX444" s="90"/>
      <c r="AY444" s="83"/>
      <c r="AZ444" s="83"/>
      <c r="BA444" s="83"/>
      <c r="BB444" s="104"/>
      <c r="BC444" s="104"/>
      <c r="BD444" s="138"/>
      <c r="BE444" s="104"/>
      <c r="BF444" s="104"/>
      <c r="BG444" s="104"/>
      <c r="BH444" s="83"/>
      <c r="BI444" s="83"/>
      <c r="BJ444" s="138"/>
      <c r="BK444" s="26"/>
      <c r="BL444" s="26"/>
      <c r="BM444" s="26"/>
      <c r="BN444" s="26"/>
      <c r="BO444" s="138"/>
      <c r="BP444" s="138"/>
      <c r="BQ444" s="26"/>
      <c r="BR444" s="26"/>
      <c r="BS444" s="26"/>
      <c r="BT444" s="26"/>
      <c r="BU444" s="26"/>
      <c r="BV444" s="138"/>
      <c r="BW444" s="26"/>
      <c r="BX444" s="26"/>
      <c r="BY444" s="26"/>
      <c r="BZ444" s="26"/>
      <c r="CA444" s="26"/>
      <c r="CB444" s="138"/>
      <c r="CC444" s="26"/>
      <c r="CD444" s="26"/>
      <c r="CE444" s="26"/>
      <c r="CF444" s="26"/>
      <c r="CG444" s="26"/>
      <c r="CH444" s="138"/>
      <c r="CI444" s="26"/>
      <c r="CJ444" s="26"/>
      <c r="CK444" s="83"/>
      <c r="CL444" s="26"/>
      <c r="CM444" s="26"/>
      <c r="CN444" s="138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138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</row>
    <row r="445" spans="1:227">
      <c r="A445" s="538" t="s">
        <v>4596</v>
      </c>
      <c r="B445" s="108"/>
      <c r="C445" s="36"/>
      <c r="D445" s="36"/>
      <c r="E445" s="36"/>
      <c r="F445" s="36"/>
      <c r="G445" s="36"/>
      <c r="H445" s="108"/>
      <c r="I445" s="36"/>
      <c r="J445" s="36"/>
      <c r="K445" s="36"/>
      <c r="L445" s="36"/>
      <c r="M445" s="36"/>
      <c r="N445" s="108"/>
      <c r="O445" s="36"/>
      <c r="P445" s="36"/>
      <c r="Q445" s="36"/>
      <c r="R445" s="36"/>
      <c r="S445" s="36"/>
      <c r="T445" s="108"/>
      <c r="U445" s="36"/>
      <c r="V445" s="36"/>
      <c r="W445" s="36"/>
      <c r="X445" s="36"/>
      <c r="Y445" s="36"/>
      <c r="Z445" s="108"/>
      <c r="AA445" s="36"/>
      <c r="AB445" s="36"/>
      <c r="AC445" s="36"/>
      <c r="AD445" s="36"/>
      <c r="AE445" s="36"/>
      <c r="AF445" s="108"/>
      <c r="AG445" s="36"/>
      <c r="AH445" s="36"/>
      <c r="AI445" s="36"/>
      <c r="AJ445" s="36"/>
      <c r="AK445" s="36"/>
      <c r="AL445" s="108"/>
      <c r="AM445" s="36"/>
      <c r="AN445" s="36"/>
      <c r="AO445" s="108"/>
      <c r="AP445" s="36"/>
      <c r="AQ445" s="36"/>
      <c r="AR445" s="108"/>
      <c r="AS445" s="36"/>
      <c r="AT445" s="108"/>
      <c r="AU445" s="108"/>
      <c r="AV445" s="108"/>
      <c r="AW445" s="36"/>
      <c r="AX445" s="108"/>
      <c r="AY445" s="108"/>
      <c r="AZ445" s="109"/>
      <c r="BA445" s="109">
        <f>0.31</f>
        <v>0.31</v>
      </c>
      <c r="BB445" s="109">
        <v>0.25</v>
      </c>
      <c r="BC445" s="109"/>
      <c r="BD445" s="150"/>
      <c r="BE445" s="109">
        <v>0.26</v>
      </c>
      <c r="BF445" s="109">
        <v>0.22</v>
      </c>
      <c r="BG445" s="109">
        <v>0.22</v>
      </c>
      <c r="BH445" s="274">
        <v>0.34</v>
      </c>
      <c r="BI445" s="274"/>
      <c r="BJ445" s="150"/>
      <c r="BK445" s="36">
        <v>0.22</v>
      </c>
      <c r="BL445" s="36">
        <v>0.26</v>
      </c>
      <c r="BM445" s="36"/>
      <c r="BN445" s="36"/>
      <c r="BO445" s="150"/>
      <c r="BP445" s="150"/>
      <c r="BQ445" s="36"/>
      <c r="BR445" s="36"/>
      <c r="BS445" s="36">
        <v>0.34</v>
      </c>
      <c r="BT445" s="36">
        <v>0.42</v>
      </c>
      <c r="BU445" s="36"/>
      <c r="BV445" s="150"/>
      <c r="BW445" s="36">
        <v>0.35</v>
      </c>
      <c r="BX445" s="36">
        <v>0.4</v>
      </c>
      <c r="BY445" s="36">
        <v>0.4</v>
      </c>
      <c r="BZ445" s="36">
        <v>0.13</v>
      </c>
      <c r="CA445" s="36"/>
      <c r="CB445" s="150"/>
      <c r="CC445" s="36">
        <v>-0.2</v>
      </c>
      <c r="CD445" s="36">
        <v>-0.09</v>
      </c>
      <c r="CE445" s="36">
        <v>0.04</v>
      </c>
      <c r="CF445" s="36">
        <v>7.0000000000000007E-2</v>
      </c>
      <c r="CG445" s="36"/>
      <c r="CH445" s="150"/>
      <c r="CI445" s="36">
        <v>0.02</v>
      </c>
      <c r="CJ445" s="36">
        <f>0.23-SUM(0.06+0.04+0.01)</f>
        <v>0.12000000000000001</v>
      </c>
      <c r="CK445" s="274">
        <v>0.18</v>
      </c>
      <c r="CL445" s="36">
        <v>0.19</v>
      </c>
      <c r="CM445" s="36"/>
      <c r="CN445" s="150"/>
      <c r="CO445" s="108">
        <v>0.21</v>
      </c>
      <c r="CP445" s="108">
        <v>0.25</v>
      </c>
      <c r="CQ445" s="108">
        <v>0.25</v>
      </c>
      <c r="CR445" s="108">
        <v>0.26</v>
      </c>
      <c r="CS445" s="108"/>
      <c r="CT445" s="108"/>
      <c r="CU445" s="108">
        <v>0.28999999999999998</v>
      </c>
      <c r="CV445" s="108">
        <v>0.28999999999999998</v>
      </c>
      <c r="CW445" s="108">
        <v>0.02</v>
      </c>
      <c r="CX445" s="108">
        <v>0.18</v>
      </c>
      <c r="CY445" s="108"/>
      <c r="CZ445" s="108"/>
      <c r="DA445" s="108">
        <v>0.23</v>
      </c>
      <c r="DB445" s="108">
        <v>0.21</v>
      </c>
      <c r="DC445" s="108">
        <v>0.17</v>
      </c>
      <c r="DD445" s="108">
        <v>0.09</v>
      </c>
      <c r="DE445" s="108"/>
      <c r="DF445" s="108"/>
      <c r="DG445" s="108">
        <v>0.01</v>
      </c>
      <c r="DH445" s="108">
        <v>0.05</v>
      </c>
      <c r="DI445" s="108">
        <v>-0.05</v>
      </c>
      <c r="DJ445" s="108">
        <v>-0.03</v>
      </c>
      <c r="DK445" s="108"/>
      <c r="DL445" s="150"/>
      <c r="DM445" s="108">
        <v>0.01</v>
      </c>
      <c r="DN445" s="108">
        <v>-0.1</v>
      </c>
      <c r="DO445" s="108">
        <v>-0.18</v>
      </c>
      <c r="DP445" s="108">
        <v>-0.27</v>
      </c>
      <c r="DQ445" s="108"/>
      <c r="DR445" s="108"/>
      <c r="DS445" s="108">
        <v>-0.98</v>
      </c>
      <c r="DT445" s="108">
        <v>-0.73</v>
      </c>
      <c r="DU445" s="108">
        <v>-0.81</v>
      </c>
      <c r="DV445" s="108">
        <v>-0.94</v>
      </c>
      <c r="DW445" s="108"/>
      <c r="DX445" s="108"/>
      <c r="DY445" s="108">
        <v>-0.82</v>
      </c>
      <c r="DZ445" s="108">
        <v>-0.66</v>
      </c>
      <c r="EA445" s="108">
        <v>-0.64</v>
      </c>
      <c r="EB445" s="108">
        <v>-1.18</v>
      </c>
      <c r="EC445" s="108"/>
      <c r="ED445" s="108"/>
      <c r="EE445" s="108">
        <v>-0.44</v>
      </c>
      <c r="EF445" s="108"/>
      <c r="EG445" s="108"/>
      <c r="EH445" s="108"/>
      <c r="EI445" s="108"/>
      <c r="EJ445" s="108"/>
      <c r="EK445" s="108"/>
      <c r="EL445" s="108"/>
      <c r="EM445" s="108"/>
      <c r="EN445" s="108"/>
      <c r="EO445" s="108"/>
      <c r="EP445" s="108"/>
      <c r="EQ445" s="108"/>
      <c r="ER445" s="108"/>
      <c r="ES445" s="108"/>
      <c r="ET445" s="108"/>
      <c r="EU445" s="108"/>
    </row>
    <row r="446" spans="1:227">
      <c r="A446" s="538" t="s">
        <v>4595</v>
      </c>
      <c r="B446" s="108"/>
      <c r="C446" s="36"/>
      <c r="D446" s="36"/>
      <c r="E446" s="36"/>
      <c r="F446" s="36"/>
      <c r="G446" s="36"/>
      <c r="H446" s="108"/>
      <c r="I446" s="36"/>
      <c r="J446" s="36"/>
      <c r="K446" s="36"/>
      <c r="L446" s="36"/>
      <c r="M446" s="36"/>
      <c r="N446" s="108"/>
      <c r="O446" s="36"/>
      <c r="P446" s="36"/>
      <c r="Q446" s="36"/>
      <c r="R446" s="36"/>
      <c r="S446" s="36"/>
      <c r="T446" s="108"/>
      <c r="U446" s="36"/>
      <c r="V446" s="36"/>
      <c r="W446" s="36"/>
      <c r="X446" s="36"/>
      <c r="Y446" s="36"/>
      <c r="Z446" s="108"/>
      <c r="AA446" s="36"/>
      <c r="AB446" s="36"/>
      <c r="AC446" s="36"/>
      <c r="AD446" s="36"/>
      <c r="AE446" s="36"/>
      <c r="AF446" s="108"/>
      <c r="AG446" s="36"/>
      <c r="AH446" s="36"/>
      <c r="AI446" s="36"/>
      <c r="AJ446" s="36"/>
      <c r="AK446" s="36"/>
      <c r="AL446" s="108"/>
      <c r="AM446" s="36"/>
      <c r="AN446" s="36"/>
      <c r="AO446" s="108"/>
      <c r="AP446" s="36"/>
      <c r="AQ446" s="36"/>
      <c r="AR446" s="108"/>
      <c r="AS446" s="36"/>
      <c r="AT446" s="108"/>
      <c r="AU446" s="108"/>
      <c r="AV446" s="108"/>
      <c r="AW446" s="36"/>
      <c r="AX446" s="108"/>
      <c r="AY446" s="108"/>
      <c r="AZ446" s="109"/>
      <c r="BA446" s="109">
        <f>0.31</f>
        <v>0.31</v>
      </c>
      <c r="BB446" s="109">
        <v>0.28000000000000003</v>
      </c>
      <c r="BC446" s="109"/>
      <c r="BD446" s="150"/>
      <c r="BE446" s="109">
        <v>0.28000000000000003</v>
      </c>
      <c r="BF446" s="109">
        <v>0.24</v>
      </c>
      <c r="BG446" s="109">
        <v>0.24</v>
      </c>
      <c r="BH446" s="274">
        <v>0.36</v>
      </c>
      <c r="BI446" s="274"/>
      <c r="BJ446" s="150"/>
      <c r="BK446" s="36">
        <v>0.24</v>
      </c>
      <c r="BL446" s="36">
        <v>0.28000000000000003</v>
      </c>
      <c r="BM446" s="36"/>
      <c r="BN446" s="36"/>
      <c r="BO446" s="150"/>
      <c r="BP446" s="150"/>
      <c r="BQ446" s="36"/>
      <c r="BR446" s="36"/>
      <c r="BS446" s="36">
        <v>0.36</v>
      </c>
      <c r="BT446" s="36">
        <v>0.44</v>
      </c>
      <c r="BU446" s="36"/>
      <c r="BV446" s="150"/>
      <c r="BW446" s="36">
        <v>0.37</v>
      </c>
      <c r="BX446" s="36">
        <v>0.42</v>
      </c>
      <c r="BY446" s="36">
        <v>0.42</v>
      </c>
      <c r="BZ446" s="36">
        <v>0.19</v>
      </c>
      <c r="CA446" s="36"/>
      <c r="CB446" s="150"/>
      <c r="CC446" s="36">
        <v>-0.08</v>
      </c>
      <c r="CD446" s="36">
        <v>-0.03</v>
      </c>
      <c r="CE446" s="36">
        <v>0.09</v>
      </c>
      <c r="CF446" s="36">
        <v>0.12</v>
      </c>
      <c r="CG446" s="36"/>
      <c r="CH446" s="150"/>
      <c r="CI446" s="36">
        <v>7.0000000000000007E-2</v>
      </c>
      <c r="CJ446" s="36">
        <f>0.28-SUM(0.06+0.04+0.01)</f>
        <v>0.17000000000000004</v>
      </c>
      <c r="CK446" s="274">
        <v>0.23</v>
      </c>
      <c r="CL446" s="36">
        <v>0.22</v>
      </c>
      <c r="CM446" s="36"/>
      <c r="CN446" s="150"/>
      <c r="CO446" s="108">
        <v>0.24</v>
      </c>
      <c r="CP446" s="108">
        <v>0.28999999999999998</v>
      </c>
      <c r="CQ446" s="108">
        <v>0.28999999999999998</v>
      </c>
      <c r="CR446" s="108">
        <v>0.28999999999999998</v>
      </c>
      <c r="CS446" s="108"/>
      <c r="CT446" s="108"/>
      <c r="CU446" s="108">
        <v>0.31</v>
      </c>
      <c r="CV446" s="108">
        <v>0.34</v>
      </c>
      <c r="CW446" s="108">
        <v>7.0000000000000007E-2</v>
      </c>
      <c r="CX446" s="108">
        <v>0.26</v>
      </c>
      <c r="CY446" s="108"/>
      <c r="CZ446" s="108"/>
      <c r="DA446" s="108">
        <v>0.28000000000000003</v>
      </c>
      <c r="DB446" s="108">
        <v>0.26</v>
      </c>
      <c r="DC446" s="108">
        <v>0.21</v>
      </c>
      <c r="DD446" s="108">
        <v>0.16</v>
      </c>
      <c r="DE446" s="108"/>
      <c r="DF446" s="108"/>
      <c r="DG446" s="108">
        <v>0.04</v>
      </c>
      <c r="DH446" s="108">
        <v>0.1</v>
      </c>
      <c r="DI446" s="108">
        <v>0.01</v>
      </c>
      <c r="DJ446" s="108">
        <v>0</v>
      </c>
      <c r="DK446" s="108"/>
      <c r="DL446" s="150"/>
      <c r="DM446" s="108">
        <v>0.06</v>
      </c>
      <c r="DN446" s="108">
        <v>-0.05</v>
      </c>
      <c r="DO446" s="108">
        <v>-0.23</v>
      </c>
      <c r="DP446" s="108">
        <v>-0.31</v>
      </c>
      <c r="DQ446" s="108"/>
      <c r="DR446" s="108"/>
      <c r="DS446" s="108">
        <v>-0.89</v>
      </c>
      <c r="DT446" s="108">
        <v>-0.63</v>
      </c>
      <c r="DU446" s="108">
        <v>-0.74</v>
      </c>
      <c r="DV446" s="108">
        <v>-0.84</v>
      </c>
      <c r="DW446" s="108"/>
      <c r="DX446" s="108"/>
      <c r="DY446" s="108">
        <v>-0.72</v>
      </c>
      <c r="DZ446" s="108">
        <v>-0.6</v>
      </c>
      <c r="EA446" s="108">
        <v>-0.57999999999999996</v>
      </c>
      <c r="EB446" s="108">
        <v>-1.1100000000000001</v>
      </c>
      <c r="EC446" s="108"/>
      <c r="ED446" s="108"/>
      <c r="EE446" s="108">
        <v>-0.41</v>
      </c>
      <c r="EF446" s="108"/>
      <c r="EG446" s="108"/>
      <c r="EH446" s="108"/>
      <c r="EI446" s="108"/>
      <c r="EJ446" s="108"/>
      <c r="EK446" s="108"/>
      <c r="EL446" s="108"/>
      <c r="EM446" s="108"/>
      <c r="EN446" s="108"/>
      <c r="EO446" s="108"/>
      <c r="EP446" s="108"/>
      <c r="EQ446" s="108"/>
      <c r="ER446" s="108"/>
      <c r="ES446" s="108"/>
      <c r="ET446" s="108"/>
      <c r="EU446" s="108"/>
    </row>
    <row r="447" spans="1:227">
      <c r="A447" s="746" t="s">
        <v>4597</v>
      </c>
      <c r="B447" s="108"/>
      <c r="C447" s="108"/>
      <c r="D447" s="108"/>
      <c r="E447" s="108"/>
      <c r="F447" s="108"/>
      <c r="G447" s="108"/>
      <c r="H447" s="108"/>
      <c r="I447" s="108"/>
      <c r="J447" s="108"/>
      <c r="K447" s="108"/>
      <c r="L447" s="108"/>
      <c r="M447" s="108"/>
      <c r="N447" s="108"/>
      <c r="O447" s="529">
        <f>Model!O150</f>
        <v>0.12</v>
      </c>
      <c r="P447" s="529">
        <f>Model!P150</f>
        <v>0.12</v>
      </c>
      <c r="Q447" s="529">
        <f>Model!Q150</f>
        <v>0.08</v>
      </c>
      <c r="R447" s="529">
        <f>Model!R150</f>
        <v>0.1</v>
      </c>
      <c r="S447" s="529"/>
      <c r="T447" s="108"/>
      <c r="U447" s="529">
        <f>Model!U150</f>
        <v>-7.0000000000000007E-2</v>
      </c>
      <c r="V447" s="529">
        <f>Model!V150</f>
        <v>0</v>
      </c>
      <c r="W447" s="529">
        <f>Model!W150</f>
        <v>0.01</v>
      </c>
      <c r="X447" s="529">
        <f>Model!X150</f>
        <v>0.1</v>
      </c>
      <c r="Y447" s="529"/>
      <c r="Z447" s="108"/>
      <c r="AA447" s="529">
        <f>Model!AA150</f>
        <v>0.1</v>
      </c>
      <c r="AB447" s="529">
        <f>Model!AB150</f>
        <v>0.09</v>
      </c>
      <c r="AC447" s="529">
        <f>Model!AC150</f>
        <v>0.08</v>
      </c>
      <c r="AD447" s="529">
        <f>Model!AD150</f>
        <v>0.13</v>
      </c>
      <c r="AE447" s="529"/>
      <c r="AF447" s="108"/>
      <c r="AG447" s="529">
        <f>Model!AG150</f>
        <v>0.13</v>
      </c>
      <c r="AH447" s="529">
        <f>Model!AH150</f>
        <v>0.09</v>
      </c>
      <c r="AI447" s="529">
        <f>Model!AI150</f>
        <v>0.1</v>
      </c>
      <c r="AJ447" s="529">
        <f>Model!AJ150</f>
        <v>0.1</v>
      </c>
      <c r="AK447" s="529"/>
      <c r="AL447" s="108"/>
      <c r="AM447" s="529">
        <f>Model!AM150</f>
        <v>7.4496207834327199E-2</v>
      </c>
      <c r="AN447" s="529">
        <f>Model!AN150</f>
        <v>5.1455049026685809E-2</v>
      </c>
      <c r="AO447" s="529">
        <f>Model!AO150</f>
        <v>-1.7215872065376395E-2</v>
      </c>
      <c r="AP447" s="529">
        <f>Model!AP150</f>
        <v>2.8087402495587444E-2</v>
      </c>
      <c r="AQ447" s="529"/>
      <c r="AR447" s="108"/>
      <c r="AS447" s="529">
        <f>Model!AS150</f>
        <v>3.3090633429120463E-2</v>
      </c>
      <c r="AT447" s="529">
        <f>Model!AT150</f>
        <v>0.14367177860038771</v>
      </c>
      <c r="AU447" s="529">
        <f>Model!AU150</f>
        <v>9.9004957693183598E-2</v>
      </c>
      <c r="AV447" s="529">
        <f>Model!AV150</f>
        <v>0.24032644341897777</v>
      </c>
      <c r="AW447" s="529"/>
      <c r="AX447" s="108"/>
      <c r="AY447" s="700">
        <f>Model!AY150</f>
        <v>0.17651299245599344</v>
      </c>
      <c r="AZ447" s="700">
        <f>Model!AZ150</f>
        <v>0.15562214942120534</v>
      </c>
      <c r="BA447" s="700">
        <f>Model!BA150</f>
        <v>0.30187386108916153</v>
      </c>
      <c r="BB447" s="700">
        <f>Model!BB150</f>
        <v>0.25796992481202985</v>
      </c>
      <c r="BC447" s="700"/>
      <c r="BD447" s="607"/>
      <c r="BE447" s="700">
        <f>Model!BE150</f>
        <v>0.31207380665864404</v>
      </c>
      <c r="BF447" s="700">
        <f>Model!BF150</f>
        <v>0.30643228126248484</v>
      </c>
      <c r="BG447" s="700">
        <f>Model!BG150</f>
        <v>0.38356713426853717</v>
      </c>
      <c r="BH447" s="700">
        <f>Model!BH150</f>
        <v>0.3350743270389715</v>
      </c>
      <c r="BI447" s="109"/>
      <c r="BJ447" s="607"/>
      <c r="BK447" s="700">
        <f>Model!BK150</f>
        <v>0.19643580396921823</v>
      </c>
      <c r="BL447" s="700">
        <f>Model!BL150</f>
        <v>0.35486508585445631</v>
      </c>
      <c r="BM447" s="700">
        <f>Model!BM150</f>
        <v>0.2383888203863542</v>
      </c>
      <c r="BN447" s="700">
        <f>Model!BN150</f>
        <v>0.39282803585982073</v>
      </c>
      <c r="BO447" s="607"/>
      <c r="BP447" s="607"/>
      <c r="BQ447" s="700">
        <f>Model!BQ150</f>
        <v>0.33986128110975128</v>
      </c>
      <c r="BR447" s="700">
        <f>Model!BR150</f>
        <v>0.37494883340155571</v>
      </c>
      <c r="BS447" s="700">
        <f>Model!BS150</f>
        <v>0.35152298993516706</v>
      </c>
      <c r="BT447" s="700">
        <f>Model!BT150</f>
        <v>0.40309106098579783</v>
      </c>
      <c r="BU447" s="108"/>
      <c r="BV447" s="607"/>
      <c r="BW447" s="700">
        <f>Model!BW150</f>
        <v>0.40618291112065225</v>
      </c>
      <c r="BX447" s="700">
        <f>Model!BX150</f>
        <v>0.38861336864608487</v>
      </c>
      <c r="BY447" s="700">
        <f>Model!BY150</f>
        <v>0.45355902777777807</v>
      </c>
      <c r="BZ447" s="700">
        <f>Model!BZ150</f>
        <v>-0.46531153336279285</v>
      </c>
      <c r="CA447" s="108"/>
      <c r="CB447" s="607"/>
      <c r="CC447" s="700">
        <f>Model!CC150</f>
        <v>-0.1400523560209424</v>
      </c>
      <c r="CD447" s="700">
        <f>Model!CD150</f>
        <v>4.5200172191131961E-2</v>
      </c>
      <c r="CE447" s="700">
        <f>Model!CE150</f>
        <v>0.12617621899059009</v>
      </c>
      <c r="CF447" s="700">
        <f>Model!CF150</f>
        <v>0.2148370497427099</v>
      </c>
      <c r="CG447" s="108"/>
      <c r="CH447" s="607"/>
      <c r="CI447" s="700">
        <f>Model!CI150</f>
        <v>0.15728900255754488</v>
      </c>
      <c r="CJ447" s="700">
        <f>Model!CJ150</f>
        <v>0.25620188195038474</v>
      </c>
      <c r="CK447" s="700">
        <f>Model!CK150</f>
        <v>0.23063683304647142</v>
      </c>
      <c r="CL447" s="700">
        <f>Model!CL150</f>
        <v>0.26212765957446821</v>
      </c>
      <c r="CM447" s="108"/>
      <c r="CN447" s="607"/>
      <c r="CO447" s="700">
        <f>Model!CO150</f>
        <v>0.29228173766343302</v>
      </c>
      <c r="CP447" s="700">
        <f>Model!CP150</f>
        <v>0.30092983939137791</v>
      </c>
      <c r="CQ447" s="700">
        <f>Model!CQ150</f>
        <v>0.31556133506718642</v>
      </c>
      <c r="CR447" s="700">
        <f>Model!CR150</f>
        <v>0.31101511879049665</v>
      </c>
      <c r="CS447" s="108"/>
      <c r="CT447" s="108"/>
      <c r="CU447" s="700">
        <f>Model!CU150</f>
        <v>0.337035454933789</v>
      </c>
      <c r="CV447" s="700">
        <f>Model!CV150</f>
        <v>0.30116329168461869</v>
      </c>
      <c r="CW447" s="700">
        <f>Model!CW150</f>
        <v>0.12668112798264641</v>
      </c>
      <c r="CX447" s="700">
        <f>Model!CX150</f>
        <v>0.32578397212543525</v>
      </c>
      <c r="CY447" s="108"/>
      <c r="CZ447" s="108"/>
      <c r="DA447" s="700">
        <f>Model!DA150</f>
        <v>0.24422154382904454</v>
      </c>
      <c r="DB447" s="700">
        <f>Model!DB150</f>
        <v>0.27858081471747737</v>
      </c>
      <c r="DC447" s="700">
        <f>Model!DC150</f>
        <v>0.25164690382081695</v>
      </c>
      <c r="DD447" s="700">
        <f>Model!DD150</f>
        <v>0.23669407183037564</v>
      </c>
      <c r="DE447" s="108"/>
      <c r="DF447" s="108"/>
      <c r="DG447" s="700">
        <f>Model!DG150</f>
        <v>0.12219343696027632</v>
      </c>
      <c r="DH447" s="700">
        <f>Model!DH150</f>
        <v>0.14888123924268459</v>
      </c>
      <c r="DI447" s="700">
        <f>Model!DI150</f>
        <v>4.6220302375809971E-2</v>
      </c>
      <c r="DJ447" s="700">
        <f>Model!DJ150</f>
        <v>0.11714039621016366</v>
      </c>
      <c r="DK447" s="108"/>
      <c r="DL447" s="607"/>
      <c r="DM447" s="700">
        <f>Model!DM150</f>
        <v>8.2434182132067393E-2</v>
      </c>
      <c r="DN447" s="700">
        <f>Model!DN150</f>
        <v>-1.0190393768931199</v>
      </c>
      <c r="DO447" s="700">
        <f>Model!DO150</f>
        <v>-0.19108001749016224</v>
      </c>
      <c r="DP447" s="700">
        <f>Model!DP150</f>
        <v>-0.14273243125272828</v>
      </c>
      <c r="DQ447" s="108"/>
      <c r="DR447" s="108"/>
      <c r="DS447" s="700">
        <f>Model!DS150</f>
        <v>-0.7709251336898395</v>
      </c>
      <c r="DT447" s="700">
        <f>Model!DT150</f>
        <v>-0.41621863799283132</v>
      </c>
      <c r="DU447" s="700">
        <f>Model!DU150</f>
        <v>-0.64237516869095801</v>
      </c>
      <c r="DV447" s="700">
        <f>Model!DV150</f>
        <v>-0.77114427860696522</v>
      </c>
      <c r="DW447" s="108"/>
      <c r="DX447" s="108"/>
      <c r="DY447" s="700">
        <f>Model!DY150</f>
        <v>-0.58935879945429714</v>
      </c>
      <c r="DZ447" s="700">
        <f>Model!DZ150</f>
        <v>-0.65603644646924852</v>
      </c>
      <c r="EA447" s="700">
        <f>Model!EA150</f>
        <v>-0.54553734061930803</v>
      </c>
      <c r="EB447" s="700">
        <f>Model!EB150</f>
        <v>-0.79187585577361963</v>
      </c>
      <c r="EC447" s="108"/>
      <c r="ED447" s="108"/>
      <c r="EE447" s="700">
        <f>Model!EE150</f>
        <v>-0.43261599313336996</v>
      </c>
      <c r="EF447" s="108"/>
      <c r="EG447" s="108"/>
      <c r="EH447" s="108"/>
      <c r="EI447" s="108"/>
      <c r="EJ447" s="108"/>
      <c r="EK447" s="108"/>
      <c r="EL447" s="108"/>
      <c r="EM447" s="108"/>
      <c r="EN447" s="108"/>
      <c r="EO447" s="108"/>
      <c r="EP447" s="108"/>
      <c r="EQ447" s="108"/>
      <c r="ER447" s="108"/>
      <c r="ES447" s="108"/>
      <c r="ET447" s="108"/>
      <c r="EU447" s="108"/>
    </row>
    <row r="448" spans="1:227">
      <c r="A448" s="202"/>
      <c r="B448" s="90"/>
      <c r="C448" s="26"/>
      <c r="D448" s="26"/>
      <c r="E448" s="26"/>
      <c r="F448" s="26"/>
      <c r="G448" s="26"/>
      <c r="H448" s="90"/>
      <c r="I448" s="26"/>
      <c r="J448" s="26"/>
      <c r="K448" s="26"/>
      <c r="L448" s="26"/>
      <c r="M448" s="26"/>
      <c r="N448" s="90"/>
      <c r="O448" s="26"/>
      <c r="P448" s="26"/>
      <c r="Q448" s="26"/>
      <c r="R448" s="26"/>
      <c r="S448" s="26"/>
      <c r="T448" s="90"/>
      <c r="U448" s="26"/>
      <c r="V448" s="26"/>
      <c r="W448" s="26"/>
      <c r="X448" s="26"/>
      <c r="Y448" s="26"/>
      <c r="Z448" s="90"/>
      <c r="AA448" s="26"/>
      <c r="AB448" s="26"/>
      <c r="AC448" s="26"/>
      <c r="AD448" s="26"/>
      <c r="AE448" s="26"/>
      <c r="AF448" s="90"/>
      <c r="AG448" s="26"/>
      <c r="AH448" s="26"/>
      <c r="AI448" s="26"/>
      <c r="AJ448" s="26"/>
      <c r="AK448" s="26"/>
      <c r="AL448" s="90"/>
      <c r="AM448" s="26"/>
      <c r="AN448" s="26"/>
      <c r="AO448" s="90"/>
      <c r="AP448" s="26"/>
      <c r="AQ448" s="26"/>
      <c r="AR448" s="90"/>
      <c r="AS448" s="38"/>
      <c r="AT448" s="38"/>
      <c r="AU448" s="38"/>
      <c r="AV448" s="38"/>
      <c r="AW448" s="26"/>
      <c r="AX448" s="90"/>
      <c r="AY448" s="38"/>
      <c r="AZ448" s="787"/>
      <c r="BA448" s="787"/>
      <c r="BB448" s="787"/>
      <c r="BC448" s="286"/>
      <c r="BD448" s="138"/>
      <c r="BE448" s="787"/>
      <c r="BF448" s="787"/>
      <c r="BG448" s="38"/>
      <c r="BH448" s="38"/>
      <c r="BI448" s="83"/>
      <c r="BJ448" s="138"/>
      <c r="BK448" s="38"/>
      <c r="BL448" s="38"/>
      <c r="BM448" s="38"/>
      <c r="BN448" s="38"/>
      <c r="BO448" s="138"/>
      <c r="BP448" s="138"/>
      <c r="BQ448" s="38"/>
      <c r="BR448" s="26"/>
      <c r="BS448" s="26"/>
      <c r="BT448" s="26"/>
      <c r="BU448" s="26"/>
      <c r="BV448" s="138"/>
      <c r="BW448" s="26"/>
      <c r="BX448" s="26"/>
      <c r="BY448" s="26"/>
      <c r="BZ448" s="26"/>
      <c r="CA448" s="26"/>
      <c r="CB448" s="138"/>
      <c r="CC448" s="26"/>
      <c r="CD448" s="26"/>
      <c r="CE448" s="26"/>
      <c r="CF448" s="26"/>
      <c r="CG448" s="26"/>
      <c r="CH448" s="138"/>
      <c r="CI448" s="26"/>
      <c r="CJ448" s="26"/>
      <c r="CK448" s="83"/>
      <c r="CL448" s="26"/>
      <c r="CM448" s="26"/>
      <c r="CN448" s="138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138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</row>
    <row r="449" spans="1:274" hidden="1" outlineLevel="1">
      <c r="A449" s="901" t="s">
        <v>6809</v>
      </c>
      <c r="B449" s="902"/>
      <c r="C449" s="902"/>
      <c r="D449" s="902"/>
      <c r="E449" s="902"/>
      <c r="F449" s="902"/>
      <c r="G449" s="902"/>
      <c r="H449" s="902"/>
      <c r="I449" s="902"/>
      <c r="J449" s="902"/>
      <c r="K449" s="902"/>
      <c r="L449" s="902"/>
      <c r="M449" s="902"/>
      <c r="N449" s="902"/>
      <c r="O449" s="902"/>
      <c r="P449" s="902"/>
      <c r="Q449" s="902"/>
      <c r="R449" s="902"/>
      <c r="S449" s="902"/>
      <c r="T449" s="902"/>
      <c r="U449" s="902"/>
      <c r="V449" s="902"/>
      <c r="W449" s="902"/>
      <c r="X449" s="902"/>
      <c r="Y449" s="902"/>
      <c r="Z449" s="902"/>
      <c r="AA449" s="902"/>
      <c r="AB449" s="902"/>
      <c r="AC449" s="902"/>
      <c r="AD449" s="902"/>
      <c r="AE449" s="902"/>
      <c r="AF449" s="902"/>
      <c r="AG449" s="902"/>
      <c r="AH449" s="902"/>
      <c r="AI449" s="902"/>
      <c r="AJ449" s="902"/>
      <c r="AK449" s="902"/>
      <c r="AL449" s="902"/>
      <c r="AM449" s="902"/>
      <c r="AN449" s="902"/>
      <c r="AO449" s="902"/>
      <c r="AP449" s="902"/>
      <c r="AQ449" s="902"/>
      <c r="AR449" s="902"/>
      <c r="AS449" s="687"/>
      <c r="AT449" s="687"/>
      <c r="AU449" s="687"/>
      <c r="AV449" s="687"/>
      <c r="AW449" s="902"/>
      <c r="AX449" s="902"/>
      <c r="AY449" s="687"/>
      <c r="AZ449" s="903"/>
      <c r="BA449" s="903"/>
      <c r="BB449" s="903"/>
      <c r="BC449" s="904"/>
      <c r="BD449" s="905"/>
      <c r="BE449" s="903"/>
      <c r="BF449" s="903"/>
      <c r="BG449" s="687"/>
      <c r="BH449" s="687"/>
      <c r="BI449" s="906"/>
      <c r="BJ449" s="905"/>
      <c r="BK449" s="687"/>
      <c r="BL449" s="687"/>
      <c r="BM449" s="687"/>
      <c r="BN449" s="687"/>
      <c r="BO449" s="905"/>
      <c r="BP449" s="905"/>
      <c r="BQ449" s="687"/>
      <c r="BR449" s="902"/>
      <c r="BS449" s="902"/>
      <c r="BT449" s="902"/>
      <c r="BU449" s="902"/>
      <c r="BV449" s="905"/>
      <c r="BW449" s="902"/>
      <c r="BX449" s="902"/>
      <c r="BY449" s="26"/>
      <c r="BZ449" s="26"/>
      <c r="CA449" s="902"/>
      <c r="CB449" s="905"/>
      <c r="CC449" s="902"/>
      <c r="CD449" s="902"/>
      <c r="CE449" s="902"/>
      <c r="CF449" s="26"/>
      <c r="CG449" s="26"/>
      <c r="CH449" s="138"/>
      <c r="CI449" s="902"/>
      <c r="CJ449" s="902"/>
      <c r="CK449" s="83"/>
      <c r="CL449" s="26"/>
      <c r="CM449" s="26"/>
      <c r="CN449" s="138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138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</row>
    <row r="450" spans="1:274" hidden="1" outlineLevel="1">
      <c r="A450" s="907" t="s">
        <v>4596</v>
      </c>
      <c r="B450" s="902"/>
      <c r="C450" s="902"/>
      <c r="D450" s="902"/>
      <c r="E450" s="902"/>
      <c r="F450" s="902"/>
      <c r="G450" s="902"/>
      <c r="H450" s="902"/>
      <c r="I450" s="902"/>
      <c r="J450" s="902"/>
      <c r="K450" s="902"/>
      <c r="L450" s="902"/>
      <c r="M450" s="902"/>
      <c r="N450" s="902"/>
      <c r="O450" s="902"/>
      <c r="P450" s="902"/>
      <c r="Q450" s="902"/>
      <c r="R450" s="902"/>
      <c r="S450" s="902"/>
      <c r="T450" s="902"/>
      <c r="U450" s="902"/>
      <c r="V450" s="902"/>
      <c r="W450" s="902"/>
      <c r="X450" s="902"/>
      <c r="Y450" s="902"/>
      <c r="Z450" s="902"/>
      <c r="AA450" s="902"/>
      <c r="AB450" s="902"/>
      <c r="AC450" s="902"/>
      <c r="AD450" s="902"/>
      <c r="AE450" s="902"/>
      <c r="AF450" s="902"/>
      <c r="AG450" s="902"/>
      <c r="AH450" s="902"/>
      <c r="AI450" s="902"/>
      <c r="AJ450" s="902"/>
      <c r="AK450" s="902"/>
      <c r="AL450" s="902"/>
      <c r="AM450" s="902"/>
      <c r="AN450" s="902"/>
      <c r="AO450" s="902"/>
      <c r="AP450" s="902"/>
      <c r="AQ450" s="902"/>
      <c r="AR450" s="902"/>
      <c r="AS450" s="687"/>
      <c r="AT450" s="687"/>
      <c r="AU450" s="687"/>
      <c r="AV450" s="687"/>
      <c r="AW450" s="902"/>
      <c r="AX450" s="902"/>
      <c r="AY450" s="687"/>
      <c r="AZ450" s="903"/>
      <c r="BA450" s="903"/>
      <c r="BB450" s="903"/>
      <c r="BC450" s="904"/>
      <c r="BD450" s="905"/>
      <c r="BE450" s="903"/>
      <c r="BF450" s="903"/>
      <c r="BG450" s="687"/>
      <c r="BH450" s="687"/>
      <c r="BI450" s="906"/>
      <c r="BJ450" s="905"/>
      <c r="BK450" s="687"/>
      <c r="BL450" s="687"/>
      <c r="BM450" s="687"/>
      <c r="BN450" s="687"/>
      <c r="BO450" s="905"/>
      <c r="BP450" s="905"/>
      <c r="BQ450" s="687"/>
      <c r="BR450" s="902"/>
      <c r="BS450" s="902"/>
      <c r="BT450" s="902"/>
      <c r="BU450" s="902"/>
      <c r="BV450" s="905"/>
      <c r="BW450" s="902">
        <v>0.37</v>
      </c>
      <c r="BX450" s="902">
        <v>0.34</v>
      </c>
      <c r="BY450" s="26"/>
      <c r="BZ450" s="26"/>
      <c r="CA450" s="902"/>
      <c r="CB450" s="905"/>
      <c r="CC450" s="902"/>
      <c r="CD450" s="902"/>
      <c r="CE450" s="902"/>
      <c r="CF450" s="26"/>
      <c r="CG450" s="26"/>
      <c r="CH450" s="138"/>
      <c r="CI450" s="902"/>
      <c r="CJ450" s="902">
        <v>0.14000000000000001</v>
      </c>
      <c r="CK450" s="83"/>
      <c r="CL450" s="26"/>
      <c r="CM450" s="26"/>
      <c r="CN450" s="138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138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</row>
    <row r="451" spans="1:274" hidden="1" outlineLevel="1">
      <c r="A451" s="907" t="s">
        <v>4595</v>
      </c>
      <c r="B451" s="902"/>
      <c r="C451" s="902"/>
      <c r="D451" s="902"/>
      <c r="E451" s="902"/>
      <c r="F451" s="902"/>
      <c r="G451" s="902"/>
      <c r="H451" s="902"/>
      <c r="I451" s="902"/>
      <c r="J451" s="902"/>
      <c r="K451" s="902"/>
      <c r="L451" s="902"/>
      <c r="M451" s="902"/>
      <c r="N451" s="902"/>
      <c r="O451" s="902"/>
      <c r="P451" s="902"/>
      <c r="Q451" s="902"/>
      <c r="R451" s="902"/>
      <c r="S451" s="902"/>
      <c r="T451" s="902"/>
      <c r="U451" s="902"/>
      <c r="V451" s="902"/>
      <c r="W451" s="902"/>
      <c r="X451" s="902"/>
      <c r="Y451" s="902"/>
      <c r="Z451" s="902"/>
      <c r="AA451" s="902"/>
      <c r="AB451" s="902"/>
      <c r="AC451" s="902"/>
      <c r="AD451" s="902"/>
      <c r="AE451" s="902"/>
      <c r="AF451" s="902"/>
      <c r="AG451" s="902"/>
      <c r="AH451" s="902"/>
      <c r="AI451" s="902"/>
      <c r="AJ451" s="902"/>
      <c r="AK451" s="902"/>
      <c r="AL451" s="902"/>
      <c r="AM451" s="902"/>
      <c r="AN451" s="902"/>
      <c r="AO451" s="902"/>
      <c r="AP451" s="902"/>
      <c r="AQ451" s="902"/>
      <c r="AR451" s="902"/>
      <c r="AS451" s="687"/>
      <c r="AT451" s="687"/>
      <c r="AU451" s="687"/>
      <c r="AV451" s="687"/>
      <c r="AW451" s="902"/>
      <c r="AX451" s="902"/>
      <c r="AY451" s="687"/>
      <c r="AZ451" s="903"/>
      <c r="BA451" s="903"/>
      <c r="BB451" s="903"/>
      <c r="BC451" s="904"/>
      <c r="BD451" s="905"/>
      <c r="BE451" s="903"/>
      <c r="BF451" s="903"/>
      <c r="BG451" s="687"/>
      <c r="BH451" s="687"/>
      <c r="BI451" s="906"/>
      <c r="BJ451" s="905"/>
      <c r="BK451" s="687"/>
      <c r="BL451" s="687"/>
      <c r="BM451" s="687"/>
      <c r="BN451" s="687"/>
      <c r="BO451" s="905"/>
      <c r="BP451" s="905"/>
      <c r="BQ451" s="687"/>
      <c r="BR451" s="902"/>
      <c r="BS451" s="902"/>
      <c r="BT451" s="902"/>
      <c r="BU451" s="902"/>
      <c r="BV451" s="905"/>
      <c r="BW451" s="902">
        <v>0.38</v>
      </c>
      <c r="BX451" s="902">
        <v>0.36</v>
      </c>
      <c r="BY451" s="26"/>
      <c r="BZ451" s="26"/>
      <c r="CA451" s="902"/>
      <c r="CB451" s="905"/>
      <c r="CC451" s="902"/>
      <c r="CD451" s="902"/>
      <c r="CE451" s="902"/>
      <c r="CF451" s="26"/>
      <c r="CG451" s="26"/>
      <c r="CH451" s="138"/>
      <c r="CI451" s="902"/>
      <c r="CJ451" s="902">
        <v>0.17</v>
      </c>
      <c r="CK451" s="83"/>
      <c r="CL451" s="26"/>
      <c r="CM451" s="26"/>
      <c r="CN451" s="138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138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</row>
    <row r="452" spans="1:274" hidden="1" outlineLevel="1">
      <c r="A452" s="908" t="s">
        <v>4597</v>
      </c>
      <c r="B452" s="902"/>
      <c r="C452" s="902"/>
      <c r="D452" s="902"/>
      <c r="E452" s="902"/>
      <c r="F452" s="902"/>
      <c r="G452" s="902"/>
      <c r="H452" s="902"/>
      <c r="I452" s="902"/>
      <c r="J452" s="902"/>
      <c r="K452" s="902"/>
      <c r="L452" s="902"/>
      <c r="M452" s="902"/>
      <c r="N452" s="902"/>
      <c r="O452" s="902"/>
      <c r="P452" s="902"/>
      <c r="Q452" s="902"/>
      <c r="R452" s="902"/>
      <c r="S452" s="902"/>
      <c r="T452" s="902"/>
      <c r="U452" s="902"/>
      <c r="V452" s="902"/>
      <c r="W452" s="902"/>
      <c r="X452" s="902"/>
      <c r="Y452" s="902"/>
      <c r="Z452" s="902"/>
      <c r="AA452" s="902"/>
      <c r="AB452" s="902"/>
      <c r="AC452" s="902"/>
      <c r="AD452" s="902"/>
      <c r="AE452" s="902"/>
      <c r="AF452" s="902"/>
      <c r="AG452" s="902"/>
      <c r="AH452" s="902"/>
      <c r="AI452" s="902"/>
      <c r="AJ452" s="902"/>
      <c r="AK452" s="902"/>
      <c r="AL452" s="902"/>
      <c r="AM452" s="902"/>
      <c r="AN452" s="902"/>
      <c r="AO452" s="902"/>
      <c r="AP452" s="902"/>
      <c r="AQ452" s="902"/>
      <c r="AR452" s="902"/>
      <c r="AS452" s="687"/>
      <c r="AT452" s="687"/>
      <c r="AU452" s="687"/>
      <c r="AV452" s="687"/>
      <c r="AW452" s="902"/>
      <c r="AX452" s="902"/>
      <c r="AY452" s="687"/>
      <c r="AZ452" s="903"/>
      <c r="BA452" s="903"/>
      <c r="BB452" s="903"/>
      <c r="BC452" s="904"/>
      <c r="BD452" s="905"/>
      <c r="BE452" s="903"/>
      <c r="BF452" s="903"/>
      <c r="BG452" s="687"/>
      <c r="BH452" s="687"/>
      <c r="BI452" s="906"/>
      <c r="BJ452" s="905"/>
      <c r="BK452" s="687"/>
      <c r="BL452" s="687"/>
      <c r="BM452" s="687"/>
      <c r="BN452" s="687"/>
      <c r="BO452" s="905"/>
      <c r="BP452" s="905"/>
      <c r="BQ452" s="687"/>
      <c r="BR452" s="902"/>
      <c r="BS452" s="902"/>
      <c r="BT452" s="902"/>
      <c r="BU452" s="902"/>
      <c r="BV452" s="905"/>
      <c r="BW452" s="910">
        <f>Model!BW150</f>
        <v>0.40618291112065225</v>
      </c>
      <c r="BX452" s="910">
        <f>Model!BX150</f>
        <v>0.38861336864608487</v>
      </c>
      <c r="BY452" s="26"/>
      <c r="BZ452" s="26"/>
      <c r="CA452" s="902"/>
      <c r="CB452" s="905"/>
      <c r="CC452" s="910"/>
      <c r="CD452" s="910"/>
      <c r="CE452" s="910"/>
      <c r="CF452" s="26"/>
      <c r="CG452" s="26"/>
      <c r="CH452" s="138"/>
      <c r="CI452" s="910"/>
      <c r="CJ452" s="910">
        <f>Model!CJ150</f>
        <v>0.25620188195038474</v>
      </c>
      <c r="CK452" s="83"/>
      <c r="CL452" s="26"/>
      <c r="CM452" s="26"/>
      <c r="CN452" s="138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138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</row>
    <row r="453" spans="1:274" hidden="1" outlineLevel="1">
      <c r="A453" s="538"/>
      <c r="B453" s="108"/>
      <c r="C453" s="36"/>
      <c r="D453" s="36"/>
      <c r="E453" s="36"/>
      <c r="F453" s="36"/>
      <c r="G453" s="36"/>
      <c r="H453" s="108"/>
      <c r="I453" s="36"/>
      <c r="J453" s="36"/>
      <c r="K453" s="36"/>
      <c r="L453" s="36"/>
      <c r="M453" s="36"/>
      <c r="N453" s="108"/>
      <c r="O453" s="36"/>
      <c r="P453" s="36"/>
      <c r="Q453" s="36"/>
      <c r="R453" s="36"/>
      <c r="S453" s="36"/>
      <c r="T453" s="108"/>
      <c r="U453" s="36"/>
      <c r="V453" s="36"/>
      <c r="W453" s="36"/>
      <c r="X453" s="36"/>
      <c r="Y453" s="36"/>
      <c r="Z453" s="108"/>
      <c r="AA453" s="36"/>
      <c r="AB453" s="36"/>
      <c r="AC453" s="36"/>
      <c r="AD453" s="36"/>
      <c r="AE453" s="36"/>
      <c r="AF453" s="108"/>
      <c r="AG453" s="36"/>
      <c r="AH453" s="36"/>
      <c r="AI453" s="36"/>
      <c r="AJ453" s="36"/>
      <c r="AK453" s="36"/>
      <c r="AL453" s="108"/>
      <c r="AM453" s="36"/>
      <c r="AN453" s="36"/>
      <c r="AO453" s="108"/>
      <c r="AP453" s="36"/>
      <c r="AQ453" s="108"/>
      <c r="AR453" s="108"/>
      <c r="AS453" s="36"/>
      <c r="AT453" s="108"/>
      <c r="AU453" s="36"/>
      <c r="AV453" s="108"/>
      <c r="AW453" s="108"/>
      <c r="AX453" s="108"/>
      <c r="AY453" s="274"/>
      <c r="AZ453" s="274"/>
      <c r="BA453" s="274"/>
      <c r="BB453" s="109"/>
      <c r="BC453" s="109"/>
      <c r="BD453" s="150"/>
      <c r="BE453" s="109"/>
      <c r="BF453" s="109"/>
      <c r="BG453" s="109"/>
      <c r="BH453" s="274"/>
      <c r="BI453" s="274"/>
      <c r="BJ453" s="150"/>
      <c r="BK453" s="36"/>
      <c r="BL453" s="36"/>
      <c r="BM453" s="36"/>
      <c r="BN453" s="36"/>
      <c r="BO453" s="150"/>
      <c r="BP453" s="150"/>
      <c r="BQ453" s="36"/>
      <c r="BR453" s="36"/>
      <c r="BS453" s="36"/>
      <c r="BT453" s="36"/>
      <c r="BU453" s="36"/>
      <c r="BV453" s="150"/>
      <c r="BW453" s="36"/>
      <c r="BX453" s="36"/>
      <c r="BY453" s="36"/>
      <c r="BZ453" s="36"/>
      <c r="CA453" s="36"/>
      <c r="CB453" s="150"/>
      <c r="CC453" s="36"/>
      <c r="CD453" s="36"/>
      <c r="CE453" s="36"/>
      <c r="CF453" s="36"/>
      <c r="CG453" s="36"/>
      <c r="CH453" s="150"/>
      <c r="CI453" s="36"/>
      <c r="CJ453" s="36"/>
      <c r="CK453" s="274"/>
      <c r="CL453" s="36"/>
      <c r="CM453" s="36"/>
      <c r="CN453" s="150"/>
      <c r="CO453" s="108"/>
      <c r="CP453" s="108"/>
      <c r="CQ453" s="108"/>
      <c r="CR453" s="108"/>
      <c r="CS453" s="108"/>
      <c r="CT453" s="108"/>
      <c r="CU453" s="108"/>
      <c r="CV453" s="108"/>
      <c r="CW453" s="108"/>
      <c r="CX453" s="108"/>
      <c r="CY453" s="108"/>
      <c r="CZ453" s="108"/>
      <c r="DA453" s="108"/>
      <c r="DB453" s="108"/>
      <c r="DC453" s="108"/>
      <c r="DD453" s="108"/>
      <c r="DE453" s="108"/>
      <c r="DF453" s="108"/>
      <c r="DG453" s="108"/>
      <c r="DH453" s="108"/>
      <c r="DI453" s="108"/>
      <c r="DJ453" s="108"/>
      <c r="DK453" s="108"/>
      <c r="DL453" s="150"/>
      <c r="DM453" s="108"/>
      <c r="DN453" s="108"/>
      <c r="DO453" s="108"/>
      <c r="DP453" s="108"/>
      <c r="DQ453" s="108"/>
      <c r="DR453" s="108"/>
      <c r="DS453" s="108"/>
      <c r="DT453" s="108"/>
      <c r="DU453" s="108"/>
      <c r="DV453" s="108"/>
      <c r="DW453" s="108"/>
      <c r="DX453" s="108"/>
      <c r="DY453" s="108"/>
      <c r="DZ453" s="108"/>
      <c r="EA453" s="108"/>
      <c r="EB453" s="108"/>
      <c r="EC453" s="108"/>
      <c r="ED453" s="108"/>
      <c r="EE453" s="108"/>
      <c r="EF453" s="108"/>
      <c r="EG453" s="108"/>
      <c r="EH453" s="108"/>
      <c r="EI453" s="108"/>
      <c r="EJ453" s="108"/>
      <c r="EK453" s="108"/>
      <c r="EL453" s="108"/>
      <c r="EM453" s="108"/>
      <c r="EN453" s="108"/>
      <c r="EO453" s="108"/>
      <c r="EP453" s="108"/>
      <c r="EQ453" s="108"/>
      <c r="ER453" s="108"/>
      <c r="ES453" s="108"/>
      <c r="ET453" s="108"/>
      <c r="EU453" s="108"/>
    </row>
    <row r="454" spans="1:274" collapsed="1">
      <c r="A454" s="538" t="s">
        <v>5649</v>
      </c>
      <c r="B454" s="108"/>
      <c r="C454" s="36"/>
      <c r="D454" s="36"/>
      <c r="E454" s="36"/>
      <c r="F454" s="36"/>
      <c r="G454" s="36"/>
      <c r="H454" s="108"/>
      <c r="I454" s="36"/>
      <c r="J454" s="36"/>
      <c r="K454" s="36"/>
      <c r="L454" s="36"/>
      <c r="M454" s="36"/>
      <c r="N454" s="108"/>
      <c r="O454" s="36"/>
      <c r="P454" s="36"/>
      <c r="Q454" s="36"/>
      <c r="R454" s="36"/>
      <c r="S454" s="36"/>
      <c r="T454" s="108"/>
      <c r="U454" s="36"/>
      <c r="V454" s="36"/>
      <c r="W454" s="36"/>
      <c r="X454" s="36"/>
      <c r="Y454" s="36"/>
      <c r="Z454" s="108"/>
      <c r="AA454" s="36"/>
      <c r="AB454" s="36"/>
      <c r="AC454" s="36"/>
      <c r="AD454" s="36"/>
      <c r="AE454" s="36"/>
      <c r="AF454" s="108"/>
      <c r="AG454" s="36"/>
      <c r="AH454" s="36"/>
      <c r="AI454" s="36"/>
      <c r="AJ454" s="36"/>
      <c r="AK454" s="36"/>
      <c r="AL454" s="108"/>
      <c r="AM454" s="36"/>
      <c r="AN454" s="36"/>
      <c r="AO454" s="108"/>
      <c r="AP454" s="36"/>
      <c r="AQ454" s="108"/>
      <c r="AR454" s="108"/>
      <c r="AS454" s="36"/>
      <c r="AT454" s="108"/>
      <c r="AU454" s="108"/>
      <c r="AV454" s="108"/>
      <c r="AW454" s="108"/>
      <c r="AX454" s="108"/>
      <c r="AY454" s="108"/>
      <c r="AZ454" s="108"/>
      <c r="BA454" s="108"/>
      <c r="BB454" s="108"/>
      <c r="BC454" s="109"/>
      <c r="BD454" s="150"/>
      <c r="BE454" s="108"/>
      <c r="BF454" s="108"/>
      <c r="BG454" s="109"/>
      <c r="BH454" s="274"/>
      <c r="BI454" s="274"/>
      <c r="BJ454" s="150"/>
      <c r="BK454" s="36"/>
      <c r="BL454" s="36"/>
      <c r="BM454" s="36"/>
      <c r="BN454" s="36"/>
      <c r="BO454" s="150"/>
      <c r="BP454" s="150"/>
      <c r="BQ454" s="36"/>
      <c r="BR454" s="36"/>
      <c r="BS454" s="36"/>
      <c r="BT454" s="36"/>
      <c r="BU454" s="36"/>
      <c r="BV454" s="150"/>
      <c r="BW454" s="36"/>
      <c r="BX454" s="36"/>
      <c r="BY454" s="36"/>
      <c r="BZ454" s="36"/>
      <c r="CA454" s="36"/>
      <c r="CB454" s="150"/>
      <c r="CC454" s="36"/>
      <c r="CD454" s="36"/>
      <c r="CE454" s="36"/>
      <c r="CF454" s="36"/>
      <c r="CG454" s="36"/>
      <c r="CH454" s="150"/>
      <c r="CI454" s="36"/>
      <c r="CJ454" s="36"/>
      <c r="CK454" s="274"/>
      <c r="CL454" s="36"/>
      <c r="CM454" s="36"/>
      <c r="CN454" s="150"/>
      <c r="CO454" s="108"/>
      <c r="CP454" s="108"/>
      <c r="CQ454" s="108"/>
      <c r="CR454" s="108"/>
      <c r="CS454" s="108"/>
      <c r="CT454" s="108"/>
      <c r="CU454" s="108"/>
      <c r="CV454" s="108"/>
      <c r="CW454" s="108"/>
      <c r="CX454" s="108"/>
      <c r="CY454" s="108"/>
      <c r="CZ454" s="108"/>
      <c r="DA454" s="108"/>
      <c r="DB454" s="108"/>
      <c r="DC454" s="108"/>
      <c r="DD454" s="108"/>
      <c r="DE454" s="108"/>
      <c r="DF454" s="108"/>
      <c r="DG454" s="108"/>
      <c r="DH454" s="108"/>
      <c r="DI454" s="108"/>
      <c r="DJ454" s="108"/>
      <c r="DK454" s="108"/>
      <c r="DL454" s="150"/>
      <c r="DM454" s="108"/>
      <c r="DN454" s="108"/>
      <c r="DO454" s="108"/>
      <c r="DP454" s="108"/>
      <c r="DQ454" s="108"/>
      <c r="DR454" s="108"/>
      <c r="DS454" s="108"/>
      <c r="DT454" s="108"/>
      <c r="DU454" s="108"/>
      <c r="DV454" s="108"/>
      <c r="DW454" s="108"/>
      <c r="DX454" s="108"/>
      <c r="DY454" s="108"/>
      <c r="DZ454" s="108"/>
      <c r="EA454" s="108"/>
      <c r="EB454" s="108"/>
      <c r="EC454" s="108"/>
      <c r="ED454" s="108"/>
      <c r="EE454" s="108"/>
      <c r="EF454" s="108"/>
      <c r="EG454" s="108"/>
      <c r="EH454" s="108"/>
      <c r="EI454" s="108"/>
      <c r="EJ454" s="108"/>
      <c r="EK454" s="108"/>
      <c r="EL454" s="108"/>
      <c r="EM454" s="108"/>
      <c r="EN454" s="108"/>
      <c r="EO454" s="108"/>
      <c r="EP454" s="108"/>
      <c r="EQ454" s="108"/>
      <c r="ER454" s="108"/>
      <c r="ES454" s="108"/>
      <c r="ET454" s="108"/>
      <c r="EU454" s="108"/>
    </row>
    <row r="455" spans="1:274">
      <c r="A455" s="538" t="s">
        <v>4596</v>
      </c>
      <c r="B455" s="108"/>
      <c r="C455" s="36"/>
      <c r="D455" s="36"/>
      <c r="E455" s="36"/>
      <c r="F455" s="36"/>
      <c r="G455" s="36"/>
      <c r="H455" s="108"/>
      <c r="I455" s="36"/>
      <c r="J455" s="36"/>
      <c r="K455" s="36"/>
      <c r="L455" s="36"/>
      <c r="M455" s="36"/>
      <c r="N455" s="108"/>
      <c r="O455" s="36"/>
      <c r="P455" s="36"/>
      <c r="Q455" s="36"/>
      <c r="R455" s="36"/>
      <c r="S455" s="36"/>
      <c r="T455" s="108"/>
      <c r="U455" s="36"/>
      <c r="V455" s="36"/>
      <c r="W455" s="36"/>
      <c r="X455" s="36"/>
      <c r="Y455" s="36"/>
      <c r="Z455" s="108"/>
      <c r="AA455" s="36"/>
      <c r="AB455" s="36"/>
      <c r="AC455" s="36"/>
      <c r="AD455" s="36"/>
      <c r="AE455" s="36"/>
      <c r="AF455" s="108"/>
      <c r="AG455" s="36"/>
      <c r="AH455" s="36"/>
      <c r="AI455" s="36"/>
      <c r="AJ455" s="36"/>
      <c r="AK455" s="36"/>
      <c r="AL455" s="108"/>
      <c r="AM455" s="36"/>
      <c r="AN455" s="108">
        <f>0.08/2</f>
        <v>0.04</v>
      </c>
      <c r="AO455" s="108">
        <f>0.05/2</f>
        <v>2.5000000000000001E-2</v>
      </c>
      <c r="AP455" s="36"/>
      <c r="AQ455" s="108"/>
      <c r="AR455" s="108"/>
      <c r="AS455" s="36"/>
      <c r="AT455" s="108">
        <f>0.07/2</f>
        <v>3.5000000000000003E-2</v>
      </c>
      <c r="AU455" s="108">
        <f>0.13/2</f>
        <v>6.5000000000000002E-2</v>
      </c>
      <c r="AV455" s="108">
        <f>0.27/2</f>
        <v>0.13500000000000001</v>
      </c>
      <c r="AW455" s="108"/>
      <c r="AX455" s="108"/>
      <c r="AY455" s="274">
        <f>0.16/2</f>
        <v>0.08</v>
      </c>
      <c r="AZ455" s="109">
        <f>0.15/2</f>
        <v>7.4999999999999997E-2</v>
      </c>
      <c r="BA455" s="109">
        <v>0.18</v>
      </c>
      <c r="BB455" s="109">
        <v>0.26</v>
      </c>
      <c r="BC455" s="109"/>
      <c r="BD455" s="150"/>
      <c r="BE455" s="109">
        <v>0.26</v>
      </c>
      <c r="BF455" s="109">
        <v>0.22</v>
      </c>
      <c r="BG455" s="109">
        <v>0.28999999999999998</v>
      </c>
      <c r="BH455" s="274">
        <f>BG578-SUM(BG457,BE457:BF457)</f>
        <v>0.31085999999999991</v>
      </c>
      <c r="BI455" s="274"/>
      <c r="BJ455" s="150"/>
      <c r="BK455" s="36">
        <v>0.3</v>
      </c>
      <c r="BL455" s="36">
        <v>0.34</v>
      </c>
      <c r="BM455" s="36"/>
      <c r="BN455" s="36"/>
      <c r="BO455" s="150"/>
      <c r="BP455" s="150"/>
      <c r="BQ455" s="36"/>
      <c r="BR455" s="36"/>
      <c r="BS455" s="36">
        <v>0.47</v>
      </c>
      <c r="BT455" s="36">
        <v>0.52</v>
      </c>
      <c r="BU455" s="36"/>
      <c r="BV455" s="150"/>
      <c r="BW455" s="36">
        <v>0.46</v>
      </c>
      <c r="BX455" s="36">
        <v>0.52</v>
      </c>
      <c r="BY455" s="36">
        <v>0.54</v>
      </c>
      <c r="BZ455" s="36">
        <v>0.28000000000000003</v>
      </c>
      <c r="CA455" s="36"/>
      <c r="CB455" s="150"/>
      <c r="CC455" s="36">
        <v>0</v>
      </c>
      <c r="CD455" s="36">
        <v>0.15</v>
      </c>
      <c r="CE455" s="36">
        <v>0.18</v>
      </c>
      <c r="CF455" s="36">
        <v>0.19</v>
      </c>
      <c r="CG455" s="36"/>
      <c r="CH455" s="150"/>
      <c r="CI455" s="36">
        <v>0.18</v>
      </c>
      <c r="CJ455" s="36">
        <f>0.23</f>
        <v>0.23</v>
      </c>
      <c r="CK455" s="274">
        <v>0.28000000000000003</v>
      </c>
      <c r="CL455" s="36">
        <v>0.3</v>
      </c>
      <c r="CM455" s="36"/>
      <c r="CN455" s="150"/>
      <c r="CO455" s="108">
        <v>0.34</v>
      </c>
      <c r="CP455" s="108">
        <v>0.37</v>
      </c>
      <c r="CQ455" s="108">
        <v>0.38</v>
      </c>
      <c r="CR455" s="108">
        <v>0.42</v>
      </c>
      <c r="CS455" s="108"/>
      <c r="CT455" s="108"/>
      <c r="CU455" s="108">
        <v>0.46</v>
      </c>
      <c r="CV455" s="108">
        <v>0.46</v>
      </c>
      <c r="CW455" s="108">
        <v>0.4</v>
      </c>
      <c r="CX455" s="108">
        <v>0.43</v>
      </c>
      <c r="CY455" s="108"/>
      <c r="CZ455" s="108"/>
      <c r="DA455" s="108">
        <v>0.41</v>
      </c>
      <c r="DB455" s="108">
        <v>0.39</v>
      </c>
      <c r="DC455" s="108">
        <v>0.36</v>
      </c>
      <c r="DD455" s="108">
        <v>0.28999999999999998</v>
      </c>
      <c r="DE455" s="108"/>
      <c r="DF455" s="108"/>
      <c r="DG455" s="108">
        <v>0.19</v>
      </c>
      <c r="DH455" s="108">
        <v>0.25</v>
      </c>
      <c r="DI455" s="108">
        <v>0.17</v>
      </c>
      <c r="DJ455" s="108">
        <v>0.22</v>
      </c>
      <c r="DK455" s="108"/>
      <c r="DL455" s="150"/>
      <c r="DM455" s="108">
        <v>0.25</v>
      </c>
      <c r="DN455" s="108">
        <v>0.14000000000000001</v>
      </c>
      <c r="DO455" s="108">
        <v>0.05</v>
      </c>
      <c r="DP455" s="108">
        <v>0.08</v>
      </c>
      <c r="DQ455" s="108"/>
      <c r="DR455" s="108"/>
      <c r="DS455" s="108">
        <v>-0.12</v>
      </c>
      <c r="DT455" s="108">
        <v>-0.11</v>
      </c>
      <c r="DU455" s="108">
        <v>-0.27</v>
      </c>
      <c r="DV455" s="108">
        <v>-0.39</v>
      </c>
      <c r="DW455" s="108"/>
      <c r="DX455" s="108"/>
      <c r="DY455" s="108">
        <v>-0.27</v>
      </c>
      <c r="DZ455" s="108">
        <v>-0.11</v>
      </c>
      <c r="EA455" s="108">
        <v>-0.16</v>
      </c>
      <c r="EB455" s="108">
        <v>-0.14000000000000001</v>
      </c>
      <c r="EC455" s="108"/>
      <c r="ED455" s="108"/>
      <c r="EE455" s="108">
        <v>0.04</v>
      </c>
      <c r="EF455" s="108"/>
      <c r="EG455" s="108"/>
      <c r="EH455" s="108"/>
      <c r="EI455" s="108"/>
      <c r="EJ455" s="108"/>
      <c r="EK455" s="108"/>
      <c r="EL455" s="108"/>
      <c r="EM455" s="108"/>
      <c r="EN455" s="108"/>
      <c r="EO455" s="108"/>
      <c r="EP455" s="108"/>
      <c r="EQ455" s="108"/>
      <c r="ER455" s="108"/>
      <c r="ES455" s="108"/>
      <c r="ET455" s="108"/>
      <c r="EU455" s="108"/>
    </row>
    <row r="456" spans="1:274">
      <c r="A456" s="538" t="s">
        <v>4595</v>
      </c>
      <c r="B456" s="108"/>
      <c r="C456" s="36"/>
      <c r="D456" s="36"/>
      <c r="E456" s="36"/>
      <c r="F456" s="36"/>
      <c r="G456" s="36"/>
      <c r="H456" s="108"/>
      <c r="I456" s="36"/>
      <c r="J456" s="36"/>
      <c r="K456" s="36"/>
      <c r="L456" s="36"/>
      <c r="M456" s="36"/>
      <c r="N456" s="108"/>
      <c r="O456" s="36"/>
      <c r="P456" s="36"/>
      <c r="Q456" s="36"/>
      <c r="R456" s="36"/>
      <c r="S456" s="36"/>
      <c r="T456" s="108"/>
      <c r="U456" s="36"/>
      <c r="V456" s="36"/>
      <c r="W456" s="36"/>
      <c r="X456" s="36"/>
      <c r="Y456" s="36"/>
      <c r="Z456" s="108"/>
      <c r="AA456" s="36"/>
      <c r="AB456" s="36"/>
      <c r="AC456" s="36"/>
      <c r="AD456" s="36"/>
      <c r="AE456" s="36"/>
      <c r="AF456" s="108"/>
      <c r="AG456" s="36"/>
      <c r="AH456" s="36"/>
      <c r="AI456" s="36"/>
      <c r="AJ456" s="36"/>
      <c r="AK456" s="36"/>
      <c r="AL456" s="108"/>
      <c r="AM456" s="36"/>
      <c r="AN456" s="108">
        <f>0.13/2</f>
        <v>6.5000000000000002E-2</v>
      </c>
      <c r="AO456" s="108">
        <f>0.1/2</f>
        <v>0.05</v>
      </c>
      <c r="AP456" s="36"/>
      <c r="AQ456" s="108"/>
      <c r="AR456" s="108"/>
      <c r="AS456" s="36"/>
      <c r="AT456" s="108">
        <f>0.1/2</f>
        <v>0.05</v>
      </c>
      <c r="AU456" s="108">
        <f>0.15/2</f>
        <v>7.4999999999999997E-2</v>
      </c>
      <c r="AV456" s="108">
        <f>0.32/2</f>
        <v>0.16</v>
      </c>
      <c r="AW456" s="108"/>
      <c r="AX456" s="108"/>
      <c r="AY456" s="274">
        <f>0.21/2</f>
        <v>0.105</v>
      </c>
      <c r="AZ456" s="109">
        <f>0.3/2</f>
        <v>0.15</v>
      </c>
      <c r="BA456" s="109">
        <v>0.18</v>
      </c>
      <c r="BB456" s="109">
        <v>0.28999999999999998</v>
      </c>
      <c r="BC456" s="109"/>
      <c r="BD456" s="150"/>
      <c r="BE456" s="109">
        <v>0.28000000000000003</v>
      </c>
      <c r="BF456" s="109">
        <v>0.24</v>
      </c>
      <c r="BG456" s="109">
        <v>0.28999999999999998</v>
      </c>
      <c r="BH456" s="274">
        <f>BG579-SUM(BG457,BE457:BF457)</f>
        <v>0.33085999999999993</v>
      </c>
      <c r="BI456" s="274"/>
      <c r="BJ456" s="150"/>
      <c r="BK456" s="36">
        <v>0.32</v>
      </c>
      <c r="BL456" s="36">
        <v>0.36</v>
      </c>
      <c r="BM456" s="36"/>
      <c r="BN456" s="36"/>
      <c r="BO456" s="150"/>
      <c r="BP456" s="150"/>
      <c r="BQ456" s="36"/>
      <c r="BR456" s="36"/>
      <c r="BS456" s="36">
        <v>0.49</v>
      </c>
      <c r="BT456" s="36">
        <v>0.54</v>
      </c>
      <c r="BU456" s="36"/>
      <c r="BV456" s="150"/>
      <c r="BW456" s="36">
        <v>0.48</v>
      </c>
      <c r="BX456" s="36">
        <v>0.54</v>
      </c>
      <c r="BY456" s="36">
        <v>0.56000000000000005</v>
      </c>
      <c r="BZ456" s="36">
        <v>0.34</v>
      </c>
      <c r="CA456" s="36"/>
      <c r="CB456" s="150"/>
      <c r="CC456" s="36">
        <v>0.12</v>
      </c>
      <c r="CD456" s="36">
        <v>0.2</v>
      </c>
      <c r="CE456" s="36">
        <v>0.23</v>
      </c>
      <c r="CF456" s="36">
        <v>0.24</v>
      </c>
      <c r="CG456" s="36"/>
      <c r="CH456" s="150"/>
      <c r="CI456" s="36">
        <v>0.23</v>
      </c>
      <c r="CJ456" s="36">
        <f>0.28</f>
        <v>0.28000000000000003</v>
      </c>
      <c r="CK456" s="274">
        <v>0.33</v>
      </c>
      <c r="CL456" s="36">
        <v>0.33</v>
      </c>
      <c r="CM456" s="36"/>
      <c r="CN456" s="150"/>
      <c r="CO456" s="108">
        <v>0.37</v>
      </c>
      <c r="CP456" s="108">
        <v>0.41</v>
      </c>
      <c r="CQ456" s="108">
        <v>0.42</v>
      </c>
      <c r="CR456" s="108">
        <v>0.45</v>
      </c>
      <c r="CS456" s="108"/>
      <c r="CT456" s="108"/>
      <c r="CU456" s="108">
        <v>0.48</v>
      </c>
      <c r="CV456" s="108">
        <v>0.51</v>
      </c>
      <c r="CW456" s="108">
        <v>0.45</v>
      </c>
      <c r="CX456" s="108">
        <v>0.51</v>
      </c>
      <c r="CY456" s="108"/>
      <c r="CZ456" s="108"/>
      <c r="DA456" s="108">
        <v>0.46</v>
      </c>
      <c r="DB456" s="108">
        <v>0.44</v>
      </c>
      <c r="DC456" s="108">
        <v>0.4</v>
      </c>
      <c r="DD456" s="108">
        <v>0.36</v>
      </c>
      <c r="DE456" s="108"/>
      <c r="DF456" s="108"/>
      <c r="DG456" s="108">
        <v>0.22</v>
      </c>
      <c r="DH456" s="108">
        <v>0.3</v>
      </c>
      <c r="DI456" s="108">
        <v>0.23</v>
      </c>
      <c r="DJ456" s="108">
        <v>0.25</v>
      </c>
      <c r="DK456" s="108"/>
      <c r="DL456" s="150"/>
      <c r="DM456" s="108">
        <v>0.3</v>
      </c>
      <c r="DN456" s="108">
        <v>0.19</v>
      </c>
      <c r="DO456" s="108">
        <v>0.1</v>
      </c>
      <c r="DP456" s="108">
        <v>0.12</v>
      </c>
      <c r="DQ456" s="108"/>
      <c r="DR456" s="108"/>
      <c r="DS456" s="108">
        <v>-0.17</v>
      </c>
      <c r="DT456" s="108">
        <v>-0.18</v>
      </c>
      <c r="DU456" s="108">
        <v>-0.22</v>
      </c>
      <c r="DV456" s="108">
        <v>-0.32</v>
      </c>
      <c r="DW456" s="108"/>
      <c r="DX456" s="108"/>
      <c r="DY456" s="108">
        <v>-0.21</v>
      </c>
      <c r="DZ456" s="108">
        <v>-0.18</v>
      </c>
      <c r="EA456" s="108">
        <v>-0.12</v>
      </c>
      <c r="EB456" s="108">
        <v>-0.1</v>
      </c>
      <c r="EC456" s="108"/>
      <c r="ED456" s="108"/>
      <c r="EE456" s="108">
        <v>0.01</v>
      </c>
      <c r="EF456" s="108"/>
      <c r="EG456" s="108"/>
      <c r="EH456" s="108"/>
      <c r="EI456" s="108"/>
      <c r="EJ456" s="108"/>
      <c r="EK456" s="108"/>
      <c r="EL456" s="108"/>
      <c r="EM456" s="108"/>
      <c r="EN456" s="108"/>
      <c r="EO456" s="108"/>
      <c r="EP456" s="108"/>
      <c r="EQ456" s="108"/>
      <c r="ER456" s="108"/>
      <c r="ES456" s="108"/>
      <c r="ET456" s="108"/>
      <c r="EU456" s="108"/>
    </row>
    <row r="457" spans="1:274" ht="13.5" thickBot="1">
      <c r="A457" s="746" t="s">
        <v>4597</v>
      </c>
      <c r="B457" s="108"/>
      <c r="C457" s="108"/>
      <c r="D457" s="108"/>
      <c r="E457" s="108"/>
      <c r="F457" s="108"/>
      <c r="G457" s="108"/>
      <c r="H457" s="108"/>
      <c r="I457" s="108"/>
      <c r="J457" s="108"/>
      <c r="K457" s="108"/>
      <c r="L457" s="108"/>
      <c r="M457" s="108"/>
      <c r="N457" s="108"/>
      <c r="O457" s="529">
        <f>Model!O107</f>
        <v>0.13938999999999999</v>
      </c>
      <c r="P457" s="529">
        <f>Model!P107</f>
        <v>0.16088</v>
      </c>
      <c r="Q457" s="529">
        <f>Model!Q107</f>
        <v>0.10431</v>
      </c>
      <c r="R457" s="529">
        <f>Model!R107</f>
        <v>0.12010999999999999</v>
      </c>
      <c r="S457" s="529"/>
      <c r="T457" s="108"/>
      <c r="U457" s="529">
        <f>Model!U107</f>
        <v>3.8399999999999997E-2</v>
      </c>
      <c r="V457" s="529">
        <f>Model!V107</f>
        <v>2.3109999999999999E-2</v>
      </c>
      <c r="W457" s="529">
        <f>Model!W107</f>
        <v>6.7820000000000005E-2</v>
      </c>
      <c r="X457" s="529">
        <f>Model!X107</f>
        <v>0.11876</v>
      </c>
      <c r="Y457" s="529"/>
      <c r="Z457" s="108"/>
      <c r="AA457" s="529">
        <f>Model!AA107</f>
        <v>0.12048</v>
      </c>
      <c r="AB457" s="529">
        <f>Model!AB107</f>
        <v>0.10718999999999999</v>
      </c>
      <c r="AC457" s="529">
        <f>Model!AC107</f>
        <v>9.5740000000000006E-2</v>
      </c>
      <c r="AD457" s="529">
        <f>Model!AD107</f>
        <v>0.14274999999999999</v>
      </c>
      <c r="AE457" s="529"/>
      <c r="AF457" s="108"/>
      <c r="AG457" s="529">
        <f>Model!AG107</f>
        <v>0.14172000000000001</v>
      </c>
      <c r="AH457" s="529">
        <f>Model!AH107</f>
        <v>0.13299</v>
      </c>
      <c r="AI457" s="529">
        <f>Model!AI107</f>
        <v>9.2619999999999994E-2</v>
      </c>
      <c r="AJ457" s="529">
        <f>Model!AJ107</f>
        <v>0.16177</v>
      </c>
      <c r="AK457" s="529"/>
      <c r="AL457" s="108"/>
      <c r="AM457" s="529">
        <f>Model!AM107</f>
        <v>7.9020000000000007E-2</v>
      </c>
      <c r="AN457" s="529">
        <f>Model!AN107</f>
        <v>6.3329999999999997E-2</v>
      </c>
      <c r="AO457" s="529">
        <f>Model!AO107</f>
        <v>2.546E-2</v>
      </c>
      <c r="AP457" s="529">
        <f>Model!AP107</f>
        <v>3.4729999999999997E-2</v>
      </c>
      <c r="AQ457" s="529"/>
      <c r="AR457" s="108"/>
      <c r="AS457" s="529">
        <f>Model!AS107</f>
        <v>3.3090000000000001E-2</v>
      </c>
      <c r="AT457" s="529">
        <f>Model!AT107</f>
        <v>5.697E-2</v>
      </c>
      <c r="AU457" s="529">
        <f>Model!AU107</f>
        <v>9.9000000000000005E-2</v>
      </c>
      <c r="AV457" s="529">
        <f>Model!AV107</f>
        <v>0.22115000000000001</v>
      </c>
      <c r="AW457" s="529"/>
      <c r="AX457" s="108"/>
      <c r="AY457" s="700">
        <f>Model!AY107</f>
        <v>0.21717</v>
      </c>
      <c r="AZ457" s="700">
        <f>Model!AZ107</f>
        <v>0.18196000000000001</v>
      </c>
      <c r="BA457" s="700">
        <f>Model!BA107</f>
        <v>0.19472</v>
      </c>
      <c r="BB457" s="700">
        <f>Model!BB107</f>
        <v>0.30036000000000002</v>
      </c>
      <c r="BC457" s="700"/>
      <c r="BD457" s="607"/>
      <c r="BE457" s="700">
        <f>Model!BE107</f>
        <v>0.31007000000000001</v>
      </c>
      <c r="BF457" s="700">
        <f>Model!BF107</f>
        <v>0.30243999999999999</v>
      </c>
      <c r="BG457" s="700">
        <f>Model!BG107</f>
        <v>0.31663000000000002</v>
      </c>
      <c r="BH457" s="700">
        <f>Model!BH107</f>
        <v>0.37324000000000002</v>
      </c>
      <c r="BI457" s="109"/>
      <c r="BJ457" s="607"/>
      <c r="BK457" s="700">
        <f>Model!BK107</f>
        <v>0.32390000000000002</v>
      </c>
      <c r="BL457" s="700">
        <f>Model!BL107</f>
        <v>0.39124999999999999</v>
      </c>
      <c r="BM457" s="700">
        <f>Model!BM107</f>
        <v>0.35471000000000003</v>
      </c>
      <c r="BN457" s="700">
        <f>Model!BN107</f>
        <v>0.45924999999999999</v>
      </c>
      <c r="BO457" s="607"/>
      <c r="BP457" s="607"/>
      <c r="BQ457" s="700">
        <f>Model!BQ107</f>
        <v>0.43574000000000002</v>
      </c>
      <c r="BR457" s="700">
        <f>Model!BR107</f>
        <v>0.44372</v>
      </c>
      <c r="BS457" s="700">
        <f>Model!BS107</f>
        <v>0.48542000000000002</v>
      </c>
      <c r="BT457" s="700">
        <f>Model!BT107</f>
        <v>0.51880000000000004</v>
      </c>
      <c r="BU457" s="108"/>
      <c r="BV457" s="607"/>
      <c r="BW457" s="700">
        <f>Model!BW107</f>
        <v>0.50322</v>
      </c>
      <c r="BX457" s="700">
        <f>Model!BX107</f>
        <v>0.56388000000000005</v>
      </c>
      <c r="BY457" s="700">
        <f>Model!BY107</f>
        <v>0.56423999999999996</v>
      </c>
      <c r="BZ457" s="700">
        <f>Model!BZ107</f>
        <v>0.30685000000000001</v>
      </c>
      <c r="CA457" s="108"/>
      <c r="CB457" s="607"/>
      <c r="CC457" s="700">
        <f>Model!CC107</f>
        <v>0.18281</v>
      </c>
      <c r="CD457" s="700">
        <f>Model!CD107</f>
        <v>0.24407999999999999</v>
      </c>
      <c r="CE457" s="700">
        <f>Model!CE107</f>
        <v>0.26989000000000002</v>
      </c>
      <c r="CF457" s="700">
        <f>Model!CF107</f>
        <v>0.29974000000000001</v>
      </c>
      <c r="CG457" s="108"/>
      <c r="CH457" s="607"/>
      <c r="CI457" s="700">
        <f>Model!CI107</f>
        <v>0.28858</v>
      </c>
      <c r="CJ457" s="700">
        <f>Model!CJ107</f>
        <v>0.36355999999999999</v>
      </c>
      <c r="CK457" s="700">
        <f>Model!CK107</f>
        <v>0.32272000000000001</v>
      </c>
      <c r="CL457" s="700">
        <f>Model!CL107</f>
        <v>0.35191</v>
      </c>
      <c r="CM457" s="108"/>
      <c r="CN457" s="607"/>
      <c r="CO457" s="700">
        <f>Model!CO107</f>
        <v>0.39518999999999999</v>
      </c>
      <c r="CP457" s="700">
        <f>Model!CP107</f>
        <v>0.43745000000000001</v>
      </c>
      <c r="CQ457" s="700">
        <f>Model!CQ107</f>
        <v>0.44257000000000002</v>
      </c>
      <c r="CR457" s="700">
        <f>Model!CR107</f>
        <v>0.45832000000000001</v>
      </c>
      <c r="CS457" s="108"/>
      <c r="CT457" s="108"/>
      <c r="CU457" s="700">
        <f>Model!CU107</f>
        <v>0.46945999999999999</v>
      </c>
      <c r="CV457" s="700">
        <f>Model!CV107</f>
        <v>0.47997000000000001</v>
      </c>
      <c r="CW457" s="700">
        <f>Model!CW107</f>
        <v>0.46767999999999998</v>
      </c>
      <c r="CX457" s="700">
        <f>Model!CX107</f>
        <v>0.52656999999999998</v>
      </c>
      <c r="CY457" s="108"/>
      <c r="CZ457" s="108"/>
      <c r="DA457" s="700">
        <f>Model!DA107</f>
        <v>0.41997000000000001</v>
      </c>
      <c r="DB457" s="700">
        <f>Model!DB107</f>
        <v>0.44590000000000002</v>
      </c>
      <c r="DC457" s="700">
        <f>Model!DC107</f>
        <v>0.41414000000000001</v>
      </c>
      <c r="DD457" s="700">
        <f>Model!DD107</f>
        <v>0.40328999999999998</v>
      </c>
      <c r="DE457" s="108"/>
      <c r="DF457" s="108"/>
      <c r="DG457" s="700">
        <f>Model!DG107</f>
        <v>0.31864999999999999</v>
      </c>
      <c r="DH457" s="700">
        <f>Model!DH107</f>
        <v>0.35283999999999999</v>
      </c>
      <c r="DI457" s="700">
        <f>Model!DI107</f>
        <v>0.24923999999999999</v>
      </c>
      <c r="DJ457" s="700">
        <f>Model!DJ107</f>
        <v>0.25323000000000001</v>
      </c>
      <c r="DK457" s="108"/>
      <c r="DL457" s="607"/>
      <c r="DM457" s="700">
        <f>Model!DM107</f>
        <v>0.29823</v>
      </c>
      <c r="DN457" s="700">
        <f>Model!DN107</f>
        <v>0.19039</v>
      </c>
      <c r="DO457" s="700">
        <f>Model!DO107</f>
        <v>0.14473</v>
      </c>
      <c r="DP457" s="700">
        <f>Model!DP107</f>
        <v>0.20907999999999999</v>
      </c>
      <c r="DQ457" s="108"/>
      <c r="DR457" s="108"/>
      <c r="DS457" s="700">
        <f>Model!DS107</f>
        <v>-0.10248</v>
      </c>
      <c r="DT457" s="700">
        <f>Model!DT107</f>
        <v>5.3319999999999999E-2</v>
      </c>
      <c r="DU457" s="700">
        <f>Model!DU107</f>
        <v>-0.17544000000000001</v>
      </c>
      <c r="DV457" s="700">
        <f>Model!DV107</f>
        <v>-0.27544000000000002</v>
      </c>
      <c r="DW457" s="108"/>
      <c r="DX457" s="108"/>
      <c r="DY457" s="700">
        <f>Model!DY107</f>
        <v>-0.15825</v>
      </c>
      <c r="DZ457" s="700">
        <f>Model!DZ107</f>
        <v>-0.11481</v>
      </c>
      <c r="EA457" s="700">
        <f>Model!EA107</f>
        <v>-0.12021999999999999</v>
      </c>
      <c r="EB457" s="700">
        <f>Model!EB107</f>
        <v>-9.0829999999999994E-2</v>
      </c>
      <c r="EC457" s="108"/>
      <c r="ED457" s="108"/>
      <c r="EE457" s="700">
        <f>Model!EE107</f>
        <v>3.9879999999999999E-2</v>
      </c>
      <c r="EF457" s="108"/>
      <c r="EG457" s="108"/>
      <c r="EH457" s="108"/>
      <c r="EI457" s="108"/>
      <c r="EJ457" s="108"/>
      <c r="EK457" s="108"/>
      <c r="EL457" s="108"/>
      <c r="EM457" s="108"/>
      <c r="EN457" s="108"/>
      <c r="EO457" s="108"/>
      <c r="EP457" s="108"/>
      <c r="EQ457" s="108"/>
      <c r="ER457" s="108"/>
      <c r="ES457" s="108"/>
      <c r="ET457" s="108"/>
      <c r="EU457" s="108"/>
    </row>
    <row r="458" spans="1:274">
      <c r="A458" s="330" t="s">
        <v>1445</v>
      </c>
      <c r="B458" s="61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4"/>
      <c r="P458" s="64"/>
      <c r="Q458" s="64"/>
      <c r="R458" s="64"/>
      <c r="S458" s="61"/>
      <c r="T458" s="61"/>
      <c r="U458" s="64"/>
      <c r="V458" s="64"/>
      <c r="W458" s="64"/>
      <c r="X458" s="64"/>
      <c r="Y458" s="61"/>
      <c r="Z458" s="61"/>
      <c r="AA458" s="64"/>
      <c r="AB458" s="64"/>
      <c r="AC458" s="64"/>
      <c r="AD458" s="64"/>
      <c r="AE458" s="61"/>
      <c r="AF458" s="61"/>
      <c r="AG458" s="64"/>
      <c r="AH458" s="64"/>
      <c r="AI458" s="64"/>
      <c r="AJ458" s="64"/>
      <c r="AK458" s="61"/>
      <c r="AL458" s="61"/>
      <c r="AM458" s="64"/>
      <c r="AN458" s="64"/>
      <c r="AO458" s="64"/>
      <c r="AP458" s="64"/>
      <c r="AQ458" s="61"/>
      <c r="AR458" s="61"/>
      <c r="AS458" s="245"/>
      <c r="AT458" s="245">
        <f>AT457/(AVERAGE(AT455:AT456))-1</f>
        <v>0.34047058823529408</v>
      </c>
      <c r="AU458" s="245">
        <f>AU457/(AVERAGE(AU455:AU456))-1</f>
        <v>0.41428571428571415</v>
      </c>
      <c r="AV458" s="245">
        <f>AV457/(AVERAGE(AV455:AV456))-1</f>
        <v>0.49932203389830487</v>
      </c>
      <c r="AW458" s="61"/>
      <c r="AX458" s="61"/>
      <c r="AY458" s="245">
        <f>AY457/(AVERAGE(AY455:AY456))-1</f>
        <v>1.3477837837837838</v>
      </c>
      <c r="AZ458" s="245">
        <f>AZ457/(AVERAGE(AZ455:AZ456))-1</f>
        <v>0.61742222222222254</v>
      </c>
      <c r="BA458" s="245">
        <f>BA457/(AVERAGE(BA455:BA456))-1</f>
        <v>8.1777777777777949E-2</v>
      </c>
      <c r="BB458" s="245">
        <f>BB457/(AVERAGE(BB455:BB456))-1</f>
        <v>9.2218181818181755E-2</v>
      </c>
      <c r="BC458" s="363"/>
      <c r="BD458" s="270"/>
      <c r="BE458" s="245">
        <f>BE457/(AVERAGE(BE455:BE456))-1</f>
        <v>0.14840740740740732</v>
      </c>
      <c r="BF458" s="245">
        <f>BF457/(AVERAGE(BF455:BF456))-1</f>
        <v>0.31495652173913058</v>
      </c>
      <c r="BG458" s="245">
        <f>BG457/(AVERAGE(BG455:BG456))-1</f>
        <v>9.1827586206896683E-2</v>
      </c>
      <c r="BH458" s="245">
        <f>BH457/(AVERAGE(BH455:BH456))-1</f>
        <v>0.16324876893349161</v>
      </c>
      <c r="BI458" s="62"/>
      <c r="BJ458" s="270"/>
      <c r="BK458" s="245">
        <f>BK457/(AVERAGE(BK455:BK456))-1</f>
        <v>4.483870967741943E-2</v>
      </c>
      <c r="BL458" s="245">
        <f>BL457/(AVERAGE(BL455:BL456))-1</f>
        <v>0.11785714285714288</v>
      </c>
      <c r="BM458" s="245" t="e">
        <f>BM457/(AVERAGE(BM455:BM456))-1</f>
        <v>#DIV/0!</v>
      </c>
      <c r="BN458" s="245" t="e">
        <f>BN457/(AVERAGE(BN455:BN456))-1</f>
        <v>#DIV/0!</v>
      </c>
      <c r="BO458" s="270"/>
      <c r="BP458" s="270"/>
      <c r="BQ458" s="245" t="e">
        <f>BQ457/(AVERAGE(BQ455:BQ456))-1</f>
        <v>#DIV/0!</v>
      </c>
      <c r="BR458" s="245" t="e">
        <f>BR457/(AVERAGE(BR455:BR456))-1</f>
        <v>#DIV/0!</v>
      </c>
      <c r="BS458" s="245">
        <f>BS457/(AVERAGE(BS455:BS456))-1</f>
        <v>1.12916666666667E-2</v>
      </c>
      <c r="BT458" s="245">
        <f>BT457/(AVERAGE(BT455:BT456))-1</f>
        <v>-2.1132075471698042E-2</v>
      </c>
      <c r="BU458" s="61"/>
      <c r="BV458" s="270"/>
      <c r="BW458" s="245">
        <f>BW457/(AVERAGE(BW455:BW456))-1</f>
        <v>7.068085106382993E-2</v>
      </c>
      <c r="BX458" s="245">
        <f>BX457/(AVERAGE(BX455:BX456))-1</f>
        <v>6.3924528301886774E-2</v>
      </c>
      <c r="BY458" s="245">
        <f>BY457/(AVERAGE(BY455:BY456))-1</f>
        <v>2.5890909090908965E-2</v>
      </c>
      <c r="BZ458" s="245">
        <f>BZ457/(AVERAGE(BZ455:BZ456))-1</f>
        <v>-1.0161290322580729E-2</v>
      </c>
      <c r="CA458" s="61"/>
      <c r="CB458" s="270"/>
      <c r="CC458" s="245">
        <f>CC457/(AVERAGE(CC455:CC456))-1</f>
        <v>2.0468333333333333</v>
      </c>
      <c r="CD458" s="245">
        <f>CD457/(AVERAGE(CD455:CD456))-1</f>
        <v>0.39474285714285728</v>
      </c>
      <c r="CE458" s="245">
        <f>CE457/(AVERAGE(CE455:CE456))-1</f>
        <v>0.31653658536585372</v>
      </c>
      <c r="CF458" s="245">
        <f>CF457/(AVERAGE(CF455:CF456))-1</f>
        <v>0.39413953488372089</v>
      </c>
      <c r="CG458" s="61"/>
      <c r="CH458" s="270"/>
      <c r="CI458" s="245">
        <f>CI457/(AVERAGE(CI455:CI456))-1</f>
        <v>0.40770731707317065</v>
      </c>
      <c r="CJ458" s="245">
        <f>CJ457/(AVERAGE(CJ455:CJ456))-1</f>
        <v>0.4257254901960783</v>
      </c>
      <c r="CK458" s="245">
        <f>CK457/(AVERAGE(CK455:CK456))-1</f>
        <v>5.809836065573748E-2</v>
      </c>
      <c r="CL458" s="245">
        <f>CL457/(AVERAGE(CL455:CL456))-1</f>
        <v>0.11717460317460326</v>
      </c>
      <c r="CM458" s="61"/>
      <c r="CN458" s="270"/>
      <c r="CO458" s="245">
        <f>CO457/(AVERAGE(CO455:CO456))-1</f>
        <v>0.11321126760563383</v>
      </c>
      <c r="CP458" s="245">
        <f>CP457/(AVERAGE(CP455:CP456))-1</f>
        <v>0.12166666666666659</v>
      </c>
      <c r="CQ458" s="245">
        <f>CQ457/(AVERAGE(CQ455:CQ456))-1</f>
        <v>0.10642499999999999</v>
      </c>
      <c r="CR458" s="245">
        <f>CR457/(AVERAGE(CR455:CR456))-1</f>
        <v>5.3609195402298804E-2</v>
      </c>
      <c r="CS458" s="61"/>
      <c r="CT458" s="61"/>
      <c r="CU458" s="245">
        <f>CU457/(AVERAGE(CU455:CU456))-1</f>
        <v>-1.1489361702127221E-3</v>
      </c>
      <c r="CV458" s="245">
        <f>CV457/(AVERAGE(CV455:CV456))-1</f>
        <v>-1.0371134020618511E-2</v>
      </c>
      <c r="CW458" s="245">
        <f>CW457/(AVERAGE(CW455:CW456))-1</f>
        <v>0.10042352941176458</v>
      </c>
      <c r="CX458" s="245">
        <f>CX457/(AVERAGE(CX455:CX456))-1</f>
        <v>0.12036170212765951</v>
      </c>
      <c r="CY458" s="61"/>
      <c r="CZ458" s="61"/>
      <c r="DA458" s="245">
        <f>DA457/(AVERAGE(DA455:DA456))-1</f>
        <v>-3.4551724137931061E-2</v>
      </c>
      <c r="DB458" s="245">
        <f>DB457/(AVERAGE(DB455:DB456))-1</f>
        <v>7.445783132530126E-2</v>
      </c>
      <c r="DC458" s="245">
        <f>DC457/(AVERAGE(DC455:DC456))-1</f>
        <v>8.9842105263157945E-2</v>
      </c>
      <c r="DD458" s="245">
        <f>DD457/(AVERAGE(DD455:DD456))-1</f>
        <v>0.24089230769230774</v>
      </c>
      <c r="DE458" s="61"/>
      <c r="DF458" s="61"/>
      <c r="DG458" s="245">
        <f>DG457/(AVERAGE(DG455:DG456))-1</f>
        <v>0.55439024390243885</v>
      </c>
      <c r="DH458" s="245">
        <f>DH457/(AVERAGE(DH455:DH456))-1</f>
        <v>0.28305454545454523</v>
      </c>
      <c r="DI458" s="245">
        <f>DI457/(AVERAGE(DI455:DI456))-1</f>
        <v>0.24619999999999997</v>
      </c>
      <c r="DJ458" s="245">
        <f>DJ457/(AVERAGE(DJ455:DJ456))-1</f>
        <v>7.7574468085106485E-2</v>
      </c>
      <c r="DK458" s="61"/>
      <c r="DL458" s="270"/>
      <c r="DM458" s="245">
        <f>DM457/(AVERAGE(DM455:DM456))-1</f>
        <v>8.4472727272727255E-2</v>
      </c>
      <c r="DN458" s="245">
        <f>DN457/(AVERAGE(DN455:DN456))-1</f>
        <v>0.15387878787878795</v>
      </c>
      <c r="DO458" s="245">
        <f>DO457/(AVERAGE(DO455:DO456))-1</f>
        <v>0.92973333333333308</v>
      </c>
      <c r="DP458" s="245">
        <f>DP457/(AVERAGE(DP455:DP456))-1</f>
        <v>1.0907999999999998</v>
      </c>
      <c r="DQ458" s="61"/>
      <c r="DR458" s="61"/>
      <c r="DS458" s="245">
        <f>DS457/(AVERAGE(DS455:DS456))-1</f>
        <v>-0.29324137931034489</v>
      </c>
      <c r="DT458" s="245">
        <f>DT457/(AVERAGE(DT455:DT456))-1</f>
        <v>-1.3677241379310345</v>
      </c>
      <c r="DU458" s="245">
        <f>DU457/(AVERAGE(DU455:DU456))-1</f>
        <v>-0.28391836734693876</v>
      </c>
      <c r="DV458" s="245">
        <f>DV457/(AVERAGE(DV455:DV456))-1</f>
        <v>-0.22411267605633789</v>
      </c>
      <c r="DW458" s="61"/>
      <c r="DX458" s="61"/>
      <c r="DY458" s="245">
        <f>DY457/(AVERAGE(DY455:DY456))-1</f>
        <v>-0.34062499999999996</v>
      </c>
      <c r="DZ458" s="245">
        <f>DZ457/(AVERAGE(DZ455:DZ456))-1</f>
        <v>-0.20820689655172409</v>
      </c>
      <c r="EA458" s="245">
        <f>EA457/(AVERAGE(EA455:EA456))-1</f>
        <v>-0.14128571428571446</v>
      </c>
      <c r="EB458" s="245"/>
      <c r="EC458" s="61"/>
      <c r="ED458" s="61"/>
      <c r="EE458" s="245"/>
      <c r="EF458" s="61"/>
      <c r="EG458" s="61"/>
      <c r="EH458" s="61"/>
      <c r="EI458" s="61"/>
      <c r="EJ458" s="61"/>
      <c r="EK458" s="61"/>
      <c r="EL458" s="61"/>
      <c r="EM458" s="61"/>
      <c r="EN458" s="61"/>
      <c r="EO458" s="61"/>
      <c r="EP458" s="61"/>
      <c r="EQ458" s="61"/>
      <c r="ER458" s="61"/>
      <c r="ES458" s="61"/>
      <c r="ET458" s="61"/>
      <c r="EU458" s="61"/>
      <c r="EV458" s="1708">
        <f>Model!CW133/Model!CV58-1</f>
        <v>-1.0016554966625029</v>
      </c>
      <c r="EW458" s="1707">
        <f>Model!CX133/Model!CW133-1</f>
        <v>-1.3424491263507705</v>
      </c>
    </row>
    <row r="459" spans="1:274" s="1741" customFormat="1">
      <c r="A459" s="1735" t="s">
        <v>1444</v>
      </c>
      <c r="B459" s="1736"/>
      <c r="C459" s="1737"/>
      <c r="D459" s="1737"/>
      <c r="E459" s="1737"/>
      <c r="F459" s="1737"/>
      <c r="G459" s="1737"/>
      <c r="H459" s="1736"/>
      <c r="I459" s="1737"/>
      <c r="J459" s="1737"/>
      <c r="K459" s="1737"/>
      <c r="L459" s="1737"/>
      <c r="M459" s="1737"/>
      <c r="N459" s="1736"/>
      <c r="O459" s="1737"/>
      <c r="P459" s="1737"/>
      <c r="Q459" s="1737"/>
      <c r="R459" s="1737"/>
      <c r="S459" s="1737"/>
      <c r="T459" s="1736"/>
      <c r="U459" s="1737"/>
      <c r="V459" s="1737"/>
      <c r="W459" s="1737"/>
      <c r="X459" s="1737"/>
      <c r="Y459" s="1737"/>
      <c r="Z459" s="1736"/>
      <c r="AA459" s="1737"/>
      <c r="AB459" s="1737"/>
      <c r="AC459" s="1737"/>
      <c r="AD459" s="1737"/>
      <c r="AE459" s="1737"/>
      <c r="AF459" s="1736"/>
      <c r="AG459" s="1737"/>
      <c r="AH459" s="1737"/>
      <c r="AI459" s="1737"/>
      <c r="AJ459" s="1737"/>
      <c r="AK459" s="1737"/>
      <c r="AL459" s="1736"/>
      <c r="AM459" s="1737"/>
      <c r="AN459" s="1737"/>
      <c r="AO459" s="1736"/>
      <c r="AP459" s="1737"/>
      <c r="AQ459" s="1737"/>
      <c r="AR459" s="1736"/>
      <c r="AS459" s="1737"/>
      <c r="AT459" s="1737">
        <f>AVERAGE(AT455:AT456)-AS457</f>
        <v>9.4100000000000017E-3</v>
      </c>
      <c r="AU459" s="1737">
        <f>AVERAGE(AU455:AU456)-AT457</f>
        <v>1.3030000000000007E-2</v>
      </c>
      <c r="AV459" s="1737">
        <f>AVERAGE(AV455:AV456)-AU457</f>
        <v>4.8500000000000015E-2</v>
      </c>
      <c r="AW459" s="1737"/>
      <c r="AX459" s="1736"/>
      <c r="AY459" s="1737">
        <f>AVERAGE(AY455:AY456)-AV457</f>
        <v>-0.12865000000000001</v>
      </c>
      <c r="AZ459" s="1737">
        <f>AVERAGE(AZ455:AZ456)-AY457</f>
        <v>-0.10467000000000001</v>
      </c>
      <c r="BA459" s="1737">
        <f>AVERAGE(BA455:BA456)-AZ457</f>
        <v>-1.9600000000000173E-3</v>
      </c>
      <c r="BB459" s="1737">
        <f>AVERAGE(BB455:BB456)-BA457</f>
        <v>8.0280000000000018E-2</v>
      </c>
      <c r="BC459" s="1738"/>
      <c r="BD459" s="1739"/>
      <c r="BE459" s="1737">
        <f>AVERAGE(BE455:BE456)-BB457</f>
        <v>-3.0359999999999998E-2</v>
      </c>
      <c r="BF459" s="1737">
        <f>AVERAGE(BF455:BF456)-BE457</f>
        <v>-8.007000000000003E-2</v>
      </c>
      <c r="BG459" s="1737">
        <f>AVERAGE(BG455:BG456)-BF457</f>
        <v>-1.2440000000000007E-2</v>
      </c>
      <c r="BH459" s="1737">
        <f>AVERAGE(BH455:BH456)-BG457</f>
        <v>4.2299999999999005E-3</v>
      </c>
      <c r="BI459" s="1740"/>
      <c r="BJ459" s="1739"/>
      <c r="BK459" s="1737">
        <f>AVERAGE(BK455:BK456)-BH457</f>
        <v>-6.3240000000000018E-2</v>
      </c>
      <c r="BL459" s="1737">
        <f>AVERAGE(BL455:BL456)-BK457</f>
        <v>2.6099999999999957E-2</v>
      </c>
      <c r="BM459" s="1737" t="e">
        <f>AVERAGE(BM455:BM456)-BL457</f>
        <v>#DIV/0!</v>
      </c>
      <c r="BN459" s="1737" t="e">
        <f>AVERAGE(BN455:BN456)-BM457</f>
        <v>#DIV/0!</v>
      </c>
      <c r="BO459" s="1739"/>
      <c r="BP459" s="1739"/>
      <c r="BQ459" s="1737" t="e">
        <f>AVERAGE(BQ455:BQ456)-BN457</f>
        <v>#DIV/0!</v>
      </c>
      <c r="BR459" s="1737" t="e">
        <f>AVERAGE(BR455:BR456)-BQ457</f>
        <v>#DIV/0!</v>
      </c>
      <c r="BS459" s="1737">
        <f>AVERAGE(BS455:BS456)-BR457</f>
        <v>3.6279999999999979E-2</v>
      </c>
      <c r="BT459" s="1737">
        <f>AVERAGE(BT455:BT456)-BS457</f>
        <v>4.4580000000000009E-2</v>
      </c>
      <c r="BU459" s="1737"/>
      <c r="BV459" s="1739"/>
      <c r="BW459" s="1737">
        <f>AVERAGE(BW455:BW456)-BT457</f>
        <v>-4.8800000000000066E-2</v>
      </c>
      <c r="BX459" s="1737">
        <f>AVERAGE(BX455:BX456)-BW457</f>
        <v>2.6780000000000026E-2</v>
      </c>
      <c r="BY459" s="1737">
        <f>AVERAGE(BY455:BY456)-BX457</f>
        <v>-1.3880000000000003E-2</v>
      </c>
      <c r="BZ459" s="1737">
        <f>AVERAGE(BZ455:BZ456)-BY457</f>
        <v>-0.25423999999999991</v>
      </c>
      <c r="CA459" s="1737"/>
      <c r="CB459" s="1739"/>
      <c r="CC459" s="1737">
        <f>AVERAGE(CC455:CC456)-BZ457</f>
        <v>-0.24685000000000001</v>
      </c>
      <c r="CD459" s="1737">
        <f>AVERAGE(CD455:CD456)-CC457</f>
        <v>-7.8100000000000114E-3</v>
      </c>
      <c r="CE459" s="1737">
        <f>AVERAGE(CE455:CE456)-CD457</f>
        <v>-3.9079999999999976E-2</v>
      </c>
      <c r="CF459" s="1737">
        <f>AVERAGE(CF455:CF456)-CE457</f>
        <v>-5.4890000000000022E-2</v>
      </c>
      <c r="CG459" s="1737"/>
      <c r="CH459" s="1739"/>
      <c r="CI459" s="1737">
        <f>AVERAGE(CI455:CI456)-CF457</f>
        <v>-9.4739999999999991E-2</v>
      </c>
      <c r="CJ459" s="1737">
        <f>AVERAGE(CJ455:CJ456)-CI457</f>
        <v>-3.3579999999999999E-2</v>
      </c>
      <c r="CK459" s="1737">
        <f>AVERAGE(CK455:CK456)-CJ457</f>
        <v>-5.8559999999999945E-2</v>
      </c>
      <c r="CL459" s="1737">
        <f>AVERAGE(CL455:CL456)-CK457</f>
        <v>-7.7200000000000046E-3</v>
      </c>
      <c r="CM459" s="1737"/>
      <c r="CN459" s="1739"/>
      <c r="CO459" s="1737">
        <f>AVERAGE(CO455:CO456)-CL457</f>
        <v>3.0899999999999817E-3</v>
      </c>
      <c r="CP459" s="1737">
        <f>AVERAGE(CP455:CP456)-CO457</f>
        <v>-5.1899999999999724E-3</v>
      </c>
      <c r="CQ459" s="1737">
        <f>AVERAGE(CQ455:CQ456)-CP457</f>
        <v>-3.7449999999999983E-2</v>
      </c>
      <c r="CR459" s="1737">
        <f>AVERAGE(CR455:CR456)-CQ457</f>
        <v>-7.5700000000000212E-3</v>
      </c>
      <c r="CS459" s="1736"/>
      <c r="CT459" s="1736"/>
      <c r="CU459" s="1737">
        <f>AVERAGE(CU455:CU456)-CR457</f>
        <v>1.1679999999999968E-2</v>
      </c>
      <c r="CV459" s="1737">
        <f>AVERAGE(CV455:CV456)-CU457</f>
        <v>1.5539999999999998E-2</v>
      </c>
      <c r="CW459" s="1737">
        <f>AVERAGE(CW455:CW456)-CV457</f>
        <v>-5.4969999999999963E-2</v>
      </c>
      <c r="CX459" s="1737">
        <f>AVERAGE(CX455:CX456)-CW457</f>
        <v>2.3199999999999887E-3</v>
      </c>
      <c r="CY459" s="1736"/>
      <c r="CZ459" s="1736"/>
      <c r="DA459" s="1737">
        <f>AVERAGE(DA455:DA456)-CX457</f>
        <v>-9.1569999999999985E-2</v>
      </c>
      <c r="DB459" s="1737">
        <f>AVERAGE(DB455:DB456)-DA457</f>
        <v>-4.9699999999999744E-3</v>
      </c>
      <c r="DC459" s="1737">
        <f>AVERAGE(DC455:DC456)-DB457</f>
        <v>-6.5900000000000014E-2</v>
      </c>
      <c r="DD459" s="1737">
        <f>AVERAGE(DD455:DD456)-DC457</f>
        <v>-8.9140000000000053E-2</v>
      </c>
      <c r="DE459" s="1736"/>
      <c r="DF459" s="1736"/>
      <c r="DG459" s="1737">
        <f>AVERAGE(DG455:DG456)-DD457</f>
        <v>-0.19828999999999997</v>
      </c>
      <c r="DH459" s="1737">
        <f>AVERAGE(DH455:DH456)-DG457</f>
        <v>-4.3649999999999967E-2</v>
      </c>
      <c r="DI459" s="1737">
        <f>AVERAGE(DI455:DI456)-DH457</f>
        <v>-0.15283999999999998</v>
      </c>
      <c r="DJ459" s="1737">
        <f>AVERAGE(DJ455:DJ456)-DI457</f>
        <v>-1.4240000000000003E-2</v>
      </c>
      <c r="DK459" s="1736"/>
      <c r="DL459" s="1739"/>
      <c r="DM459" s="1737">
        <f>AVERAGE(DM455:DM456)-DJ457</f>
        <v>2.1770000000000012E-2</v>
      </c>
      <c r="DN459" s="1737">
        <f>AVERAGE(DN455:DN456)-DM457</f>
        <v>-0.13322999999999999</v>
      </c>
      <c r="DO459" s="1737">
        <f>AVERAGE(DO455:DO456)-DN457</f>
        <v>-0.11538999999999999</v>
      </c>
      <c r="DP459" s="1737">
        <f>AVERAGE(DP455:DP456)-DO457</f>
        <v>-4.4729999999999992E-2</v>
      </c>
      <c r="DQ459" s="1736"/>
      <c r="DR459" s="1736"/>
      <c r="DS459" s="1737">
        <f>AVERAGE(DS455:DS456)-DP457</f>
        <v>-0.35408000000000001</v>
      </c>
      <c r="DT459" s="1737">
        <f>AVERAGE(DT455:DT456)-DS457</f>
        <v>-4.2519999999999988E-2</v>
      </c>
      <c r="DU459" s="1737">
        <f>AVERAGE(DU455:DU456)-DT457</f>
        <v>-0.29831999999999997</v>
      </c>
      <c r="DV459" s="1737">
        <f>AVERAGE(DV455:DV456)-DU457</f>
        <v>-0.17955999999999997</v>
      </c>
      <c r="DW459" s="1736"/>
      <c r="DX459" s="1736"/>
      <c r="DY459" s="1737">
        <f>AVERAGE(DY455:DY456)-DV457</f>
        <v>3.5440000000000027E-2</v>
      </c>
      <c r="DZ459" s="1737">
        <f>AVERAGE(DZ455:DZ456)-DY457</f>
        <v>1.3250000000000012E-2</v>
      </c>
      <c r="EA459" s="1737">
        <f>AVERAGE(EA455:EA456)-DZ457</f>
        <v>-2.5190000000000018E-2</v>
      </c>
      <c r="EB459" s="1737"/>
      <c r="EC459" s="1736"/>
      <c r="ED459" s="1736"/>
      <c r="EE459" s="1737">
        <f>AVERAGE(EE455:EE456)-EB457</f>
        <v>0.11582999999999999</v>
      </c>
      <c r="EF459" s="1736"/>
      <c r="EG459" s="1736"/>
      <c r="EH459" s="1736"/>
      <c r="EI459" s="1736"/>
      <c r="EJ459" s="1736"/>
      <c r="EK459" s="1736"/>
      <c r="EL459" s="1736"/>
      <c r="EM459" s="1736"/>
      <c r="EN459" s="1736"/>
      <c r="EO459" s="1736"/>
      <c r="EP459" s="1736"/>
      <c r="EQ459" s="1736"/>
      <c r="ER459" s="1736"/>
      <c r="ES459" s="1736"/>
      <c r="ET459" s="1736"/>
      <c r="EU459" s="1736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</row>
    <row r="460" spans="1:274">
      <c r="A460" s="202"/>
      <c r="B460" s="90"/>
      <c r="C460" s="26"/>
      <c r="D460" s="26"/>
      <c r="E460" s="26"/>
      <c r="F460" s="26"/>
      <c r="G460" s="26"/>
      <c r="H460" s="90"/>
      <c r="I460" s="26"/>
      <c r="J460" s="26"/>
      <c r="K460" s="26"/>
      <c r="L460" s="26"/>
      <c r="M460" s="26"/>
      <c r="N460" s="90"/>
      <c r="O460" s="26"/>
      <c r="P460" s="26"/>
      <c r="Q460" s="26"/>
      <c r="R460" s="26"/>
      <c r="S460" s="26"/>
      <c r="T460" s="90"/>
      <c r="U460" s="26"/>
      <c r="V460" s="26"/>
      <c r="W460" s="26"/>
      <c r="X460" s="26"/>
      <c r="Y460" s="26"/>
      <c r="Z460" s="90"/>
      <c r="AA460" s="26"/>
      <c r="AB460" s="26"/>
      <c r="AC460" s="26"/>
      <c r="AD460" s="26"/>
      <c r="AE460" s="26"/>
      <c r="AF460" s="90"/>
      <c r="AG460" s="26"/>
      <c r="AH460" s="26"/>
      <c r="AI460" s="26"/>
      <c r="AJ460" s="26"/>
      <c r="AK460" s="26"/>
      <c r="AL460" s="90"/>
      <c r="AM460" s="26"/>
      <c r="AN460" s="26"/>
      <c r="AO460" s="90"/>
      <c r="AP460" s="26"/>
      <c r="AQ460" s="26"/>
      <c r="AR460" s="90"/>
      <c r="AS460" s="38"/>
      <c r="AT460" s="38"/>
      <c r="AU460" s="38"/>
      <c r="AV460" s="38"/>
      <c r="AW460" s="26"/>
      <c r="AX460" s="90"/>
      <c r="AY460" s="38"/>
      <c r="AZ460" s="787"/>
      <c r="BA460" s="787"/>
      <c r="BB460" s="787"/>
      <c r="BC460" s="286"/>
      <c r="BD460" s="138"/>
      <c r="BE460" s="787"/>
      <c r="BF460" s="787"/>
      <c r="BG460" s="38"/>
      <c r="BH460" s="38"/>
      <c r="BI460" s="83"/>
      <c r="BJ460" s="138"/>
      <c r="BK460" s="38"/>
      <c r="BL460" s="38"/>
      <c r="BM460" s="38"/>
      <c r="BN460" s="38"/>
      <c r="BO460" s="138"/>
      <c r="BP460" s="138"/>
      <c r="BQ460" s="38"/>
      <c r="BR460" s="26"/>
      <c r="BS460" s="26"/>
      <c r="BT460" s="26"/>
      <c r="BU460" s="26"/>
      <c r="BV460" s="138"/>
      <c r="BW460" s="26"/>
      <c r="BX460" s="26"/>
      <c r="BY460" s="26"/>
      <c r="BZ460" s="26"/>
      <c r="CA460" s="26"/>
      <c r="CB460" s="138"/>
      <c r="CC460" s="26"/>
      <c r="CD460" s="36"/>
      <c r="CE460" s="26"/>
      <c r="CF460" s="26"/>
      <c r="CG460" s="26"/>
      <c r="CH460" s="138"/>
      <c r="CI460" s="26"/>
      <c r="CJ460" s="26"/>
      <c r="CK460" s="1618"/>
      <c r="CL460" s="26"/>
      <c r="CM460" s="26"/>
      <c r="CN460" s="138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138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</row>
    <row r="461" spans="1:274" hidden="1" outlineLevel="1">
      <c r="A461" s="901" t="s">
        <v>6809</v>
      </c>
      <c r="B461" s="902"/>
      <c r="C461" s="902"/>
      <c r="D461" s="902"/>
      <c r="E461" s="902"/>
      <c r="F461" s="902"/>
      <c r="G461" s="902"/>
      <c r="H461" s="902"/>
      <c r="I461" s="902"/>
      <c r="J461" s="902"/>
      <c r="K461" s="902"/>
      <c r="L461" s="902"/>
      <c r="M461" s="902"/>
      <c r="N461" s="902"/>
      <c r="O461" s="902"/>
      <c r="P461" s="902"/>
      <c r="Q461" s="902"/>
      <c r="R461" s="902"/>
      <c r="S461" s="902"/>
      <c r="T461" s="902"/>
      <c r="U461" s="902"/>
      <c r="V461" s="902"/>
      <c r="W461" s="902"/>
      <c r="X461" s="902"/>
      <c r="Y461" s="902"/>
      <c r="Z461" s="902"/>
      <c r="AA461" s="902"/>
      <c r="AB461" s="902"/>
      <c r="AC461" s="902"/>
      <c r="AD461" s="902"/>
      <c r="AE461" s="902"/>
      <c r="AF461" s="902"/>
      <c r="AG461" s="902"/>
      <c r="AH461" s="902"/>
      <c r="AI461" s="902"/>
      <c r="AJ461" s="902"/>
      <c r="AK461" s="902"/>
      <c r="AL461" s="902"/>
      <c r="AM461" s="902"/>
      <c r="AN461" s="902"/>
      <c r="AO461" s="902"/>
      <c r="AP461" s="902"/>
      <c r="AQ461" s="902"/>
      <c r="AR461" s="902"/>
      <c r="AS461" s="687"/>
      <c r="AT461" s="687"/>
      <c r="AU461" s="687"/>
      <c r="AV461" s="687"/>
      <c r="AW461" s="902"/>
      <c r="AX461" s="902"/>
      <c r="AY461" s="687"/>
      <c r="AZ461" s="903"/>
      <c r="BA461" s="903"/>
      <c r="BB461" s="903"/>
      <c r="BC461" s="904"/>
      <c r="BD461" s="905"/>
      <c r="BE461" s="903"/>
      <c r="BF461" s="903"/>
      <c r="BG461" s="687"/>
      <c r="BH461" s="687"/>
      <c r="BI461" s="906"/>
      <c r="BJ461" s="905"/>
      <c r="BK461" s="687"/>
      <c r="BL461" s="687"/>
      <c r="BM461" s="687"/>
      <c r="BN461" s="687"/>
      <c r="BO461" s="905"/>
      <c r="BP461" s="905"/>
      <c r="BQ461" s="687"/>
      <c r="BR461" s="902"/>
      <c r="BS461" s="902"/>
      <c r="BT461" s="902"/>
      <c r="BU461" s="902"/>
      <c r="BV461" s="905"/>
      <c r="BW461" s="902"/>
      <c r="BX461" s="902"/>
      <c r="BY461" s="26"/>
      <c r="BZ461" s="902"/>
      <c r="CA461" s="902"/>
      <c r="CB461" s="905"/>
      <c r="CC461" s="902"/>
      <c r="CD461" s="26"/>
      <c r="CE461" s="26"/>
      <c r="CF461" s="26"/>
      <c r="CG461" s="26"/>
      <c r="CH461" s="138"/>
      <c r="CI461" s="902"/>
      <c r="CJ461" s="902"/>
      <c r="CK461" s="83"/>
      <c r="CL461" s="26"/>
      <c r="CM461" s="26"/>
      <c r="CN461" s="138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138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</row>
    <row r="462" spans="1:274" hidden="1" outlineLevel="1">
      <c r="A462" s="907" t="s">
        <v>4596</v>
      </c>
      <c r="B462" s="902"/>
      <c r="C462" s="902"/>
      <c r="D462" s="902"/>
      <c r="E462" s="902"/>
      <c r="F462" s="902"/>
      <c r="G462" s="902"/>
      <c r="H462" s="902"/>
      <c r="I462" s="902"/>
      <c r="J462" s="902"/>
      <c r="K462" s="902"/>
      <c r="L462" s="902"/>
      <c r="M462" s="902"/>
      <c r="N462" s="902"/>
      <c r="O462" s="902"/>
      <c r="P462" s="902"/>
      <c r="Q462" s="902"/>
      <c r="R462" s="902"/>
      <c r="S462" s="902"/>
      <c r="T462" s="902"/>
      <c r="U462" s="902"/>
      <c r="V462" s="902"/>
      <c r="W462" s="902"/>
      <c r="X462" s="902"/>
      <c r="Y462" s="902"/>
      <c r="Z462" s="902"/>
      <c r="AA462" s="902"/>
      <c r="AB462" s="902"/>
      <c r="AC462" s="902"/>
      <c r="AD462" s="902"/>
      <c r="AE462" s="902"/>
      <c r="AF462" s="902"/>
      <c r="AG462" s="902"/>
      <c r="AH462" s="902"/>
      <c r="AI462" s="902"/>
      <c r="AJ462" s="902"/>
      <c r="AK462" s="902"/>
      <c r="AL462" s="902"/>
      <c r="AM462" s="902"/>
      <c r="AN462" s="902"/>
      <c r="AO462" s="902"/>
      <c r="AP462" s="902"/>
      <c r="AQ462" s="902"/>
      <c r="AR462" s="902"/>
      <c r="AS462" s="687"/>
      <c r="AT462" s="687"/>
      <c r="AU462" s="687"/>
      <c r="AV462" s="687"/>
      <c r="AW462" s="902"/>
      <c r="AX462" s="902"/>
      <c r="AY462" s="687"/>
      <c r="AZ462" s="903"/>
      <c r="BA462" s="903"/>
      <c r="BB462" s="903"/>
      <c r="BC462" s="904"/>
      <c r="BD462" s="905"/>
      <c r="BE462" s="903"/>
      <c r="BF462" s="903"/>
      <c r="BG462" s="687"/>
      <c r="BH462" s="687"/>
      <c r="BI462" s="906"/>
      <c r="BJ462" s="905"/>
      <c r="BK462" s="687"/>
      <c r="BL462" s="687"/>
      <c r="BM462" s="687"/>
      <c r="BN462" s="687"/>
      <c r="BO462" s="905"/>
      <c r="BP462" s="905"/>
      <c r="BQ462" s="687"/>
      <c r="BR462" s="902"/>
      <c r="BS462" s="902"/>
      <c r="BT462" s="902"/>
      <c r="BU462" s="902"/>
      <c r="BV462" s="905"/>
      <c r="BW462" s="902">
        <v>0.47</v>
      </c>
      <c r="BX462" s="911">
        <v>0.5</v>
      </c>
      <c r="BY462" s="26"/>
      <c r="BZ462" s="911">
        <v>0.18</v>
      </c>
      <c r="CA462" s="902"/>
      <c r="CB462" s="905"/>
      <c r="CC462" s="902"/>
      <c r="CD462" s="26"/>
      <c r="CE462" s="26"/>
      <c r="CF462" s="26"/>
      <c r="CG462" s="26"/>
      <c r="CH462" s="138"/>
      <c r="CI462" s="902"/>
      <c r="CJ462" s="902">
        <v>0.25</v>
      </c>
      <c r="CK462" s="83"/>
      <c r="CL462" s="26"/>
      <c r="CM462" s="26"/>
      <c r="CN462" s="138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138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</row>
    <row r="463" spans="1:274" hidden="1" outlineLevel="1">
      <c r="A463" s="907" t="s">
        <v>4595</v>
      </c>
      <c r="B463" s="902"/>
      <c r="C463" s="902"/>
      <c r="D463" s="902"/>
      <c r="E463" s="902"/>
      <c r="F463" s="902"/>
      <c r="G463" s="902"/>
      <c r="H463" s="902"/>
      <c r="I463" s="902"/>
      <c r="J463" s="902"/>
      <c r="K463" s="902"/>
      <c r="L463" s="902"/>
      <c r="M463" s="902"/>
      <c r="N463" s="902"/>
      <c r="O463" s="902"/>
      <c r="P463" s="902"/>
      <c r="Q463" s="902"/>
      <c r="R463" s="902"/>
      <c r="S463" s="902"/>
      <c r="T463" s="902"/>
      <c r="U463" s="902"/>
      <c r="V463" s="902"/>
      <c r="W463" s="902"/>
      <c r="X463" s="902"/>
      <c r="Y463" s="902"/>
      <c r="Z463" s="902"/>
      <c r="AA463" s="902"/>
      <c r="AB463" s="902"/>
      <c r="AC463" s="902"/>
      <c r="AD463" s="902"/>
      <c r="AE463" s="902"/>
      <c r="AF463" s="902"/>
      <c r="AG463" s="902"/>
      <c r="AH463" s="902"/>
      <c r="AI463" s="902"/>
      <c r="AJ463" s="902"/>
      <c r="AK463" s="902"/>
      <c r="AL463" s="902"/>
      <c r="AM463" s="902"/>
      <c r="AN463" s="902"/>
      <c r="AO463" s="902"/>
      <c r="AP463" s="902"/>
      <c r="AQ463" s="902"/>
      <c r="AR463" s="902"/>
      <c r="AS463" s="687"/>
      <c r="AT463" s="687"/>
      <c r="AU463" s="687"/>
      <c r="AV463" s="687"/>
      <c r="AW463" s="902"/>
      <c r="AX463" s="902"/>
      <c r="AY463" s="687"/>
      <c r="AZ463" s="903"/>
      <c r="BA463" s="903"/>
      <c r="BB463" s="903"/>
      <c r="BC463" s="904"/>
      <c r="BD463" s="905"/>
      <c r="BE463" s="903"/>
      <c r="BF463" s="903"/>
      <c r="BG463" s="687"/>
      <c r="BH463" s="687"/>
      <c r="BI463" s="906"/>
      <c r="BJ463" s="905"/>
      <c r="BK463" s="687"/>
      <c r="BL463" s="687"/>
      <c r="BM463" s="687"/>
      <c r="BN463" s="687"/>
      <c r="BO463" s="905"/>
      <c r="BP463" s="905"/>
      <c r="BQ463" s="687"/>
      <c r="BR463" s="902"/>
      <c r="BS463" s="902"/>
      <c r="BT463" s="902"/>
      <c r="BU463" s="902"/>
      <c r="BV463" s="905"/>
      <c r="BW463" s="902">
        <v>0.48</v>
      </c>
      <c r="BX463" s="902">
        <v>0.52</v>
      </c>
      <c r="BY463" s="26"/>
      <c r="BZ463" s="902">
        <v>0.24</v>
      </c>
      <c r="CA463" s="902"/>
      <c r="CB463" s="905"/>
      <c r="CC463" s="902"/>
      <c r="CD463" s="26"/>
      <c r="CE463" s="26"/>
      <c r="CF463" s="26"/>
      <c r="CG463" s="26"/>
      <c r="CH463" s="138"/>
      <c r="CI463" s="902"/>
      <c r="CJ463" s="902">
        <v>0.28000000000000003</v>
      </c>
      <c r="CK463" s="83"/>
      <c r="CL463" s="26"/>
      <c r="CM463" s="26"/>
      <c r="CN463" s="138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138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</row>
    <row r="464" spans="1:274" hidden="1" outlineLevel="1">
      <c r="A464" s="908" t="s">
        <v>4597</v>
      </c>
      <c r="B464" s="902"/>
      <c r="C464" s="902"/>
      <c r="D464" s="902"/>
      <c r="E464" s="902"/>
      <c r="F464" s="902"/>
      <c r="G464" s="902"/>
      <c r="H464" s="902"/>
      <c r="I464" s="902"/>
      <c r="J464" s="902"/>
      <c r="K464" s="902"/>
      <c r="L464" s="902"/>
      <c r="M464" s="902"/>
      <c r="N464" s="902"/>
      <c r="O464" s="902"/>
      <c r="P464" s="902"/>
      <c r="Q464" s="902"/>
      <c r="R464" s="902"/>
      <c r="S464" s="902"/>
      <c r="T464" s="902"/>
      <c r="U464" s="902"/>
      <c r="V464" s="902"/>
      <c r="W464" s="902"/>
      <c r="X464" s="902"/>
      <c r="Y464" s="902"/>
      <c r="Z464" s="902"/>
      <c r="AA464" s="902"/>
      <c r="AB464" s="902"/>
      <c r="AC464" s="902"/>
      <c r="AD464" s="902"/>
      <c r="AE464" s="902"/>
      <c r="AF464" s="902"/>
      <c r="AG464" s="902"/>
      <c r="AH464" s="902"/>
      <c r="AI464" s="902"/>
      <c r="AJ464" s="902"/>
      <c r="AK464" s="902"/>
      <c r="AL464" s="902"/>
      <c r="AM464" s="902"/>
      <c r="AN464" s="902"/>
      <c r="AO464" s="902"/>
      <c r="AP464" s="902"/>
      <c r="AQ464" s="902"/>
      <c r="AR464" s="902"/>
      <c r="AS464" s="687"/>
      <c r="AT464" s="687"/>
      <c r="AU464" s="687"/>
      <c r="AV464" s="687"/>
      <c r="AW464" s="902"/>
      <c r="AX464" s="902"/>
      <c r="AY464" s="687"/>
      <c r="AZ464" s="903"/>
      <c r="BA464" s="903"/>
      <c r="BB464" s="903"/>
      <c r="BC464" s="904"/>
      <c r="BD464" s="905"/>
      <c r="BE464" s="903"/>
      <c r="BF464" s="903"/>
      <c r="BG464" s="687"/>
      <c r="BH464" s="687"/>
      <c r="BI464" s="906"/>
      <c r="BJ464" s="905"/>
      <c r="BK464" s="687"/>
      <c r="BL464" s="687"/>
      <c r="BM464" s="687"/>
      <c r="BN464" s="687"/>
      <c r="BO464" s="905"/>
      <c r="BP464" s="905"/>
      <c r="BQ464" s="687"/>
      <c r="BR464" s="902"/>
      <c r="BS464" s="902"/>
      <c r="BT464" s="902"/>
      <c r="BU464" s="902"/>
      <c r="BV464" s="905"/>
      <c r="BW464" s="910">
        <f>Model!BW107</f>
        <v>0.50322</v>
      </c>
      <c r="BX464" s="910">
        <f>Model!BX107</f>
        <v>0.56388000000000005</v>
      </c>
      <c r="BY464" s="26"/>
      <c r="BZ464" s="910">
        <f>Model!BZ107</f>
        <v>0.30685000000000001</v>
      </c>
      <c r="CA464" s="902"/>
      <c r="CB464" s="905"/>
      <c r="CC464" s="910"/>
      <c r="CD464" s="26"/>
      <c r="CE464" s="26"/>
      <c r="CF464" s="26"/>
      <c r="CG464" s="26"/>
      <c r="CH464" s="138"/>
      <c r="CI464" s="910"/>
      <c r="CJ464" s="910">
        <f>Model!CJ107</f>
        <v>0.36355999999999999</v>
      </c>
      <c r="CK464" s="83"/>
      <c r="CL464" s="26"/>
      <c r="CM464" s="26"/>
      <c r="CN464" s="138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138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</row>
    <row r="465" spans="1:183" hidden="1" outlineLevel="1">
      <c r="A465" s="539"/>
      <c r="B465" s="90"/>
      <c r="C465" s="90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529"/>
      <c r="P465" s="529"/>
      <c r="Q465" s="529"/>
      <c r="R465" s="529"/>
      <c r="S465" s="529"/>
      <c r="T465" s="90"/>
      <c r="U465" s="529"/>
      <c r="V465" s="529"/>
      <c r="W465" s="529"/>
      <c r="X465" s="529"/>
      <c r="Y465" s="529"/>
      <c r="Z465" s="90"/>
      <c r="AA465" s="529"/>
      <c r="AB465" s="529"/>
      <c r="AC465" s="529"/>
      <c r="AD465" s="529"/>
      <c r="AE465" s="529"/>
      <c r="AF465" s="90"/>
      <c r="AG465" s="529"/>
      <c r="AH465" s="529"/>
      <c r="AI465" s="529"/>
      <c r="AJ465" s="529"/>
      <c r="AK465" s="529"/>
      <c r="AL465" s="90"/>
      <c r="AM465" s="38"/>
      <c r="AN465" s="38"/>
      <c r="AO465" s="38"/>
      <c r="AP465" s="529"/>
      <c r="AQ465" s="529"/>
      <c r="AR465" s="90"/>
      <c r="AS465" s="38"/>
      <c r="AT465" s="38">
        <f>AT457/(AVERAGE(AT455:AT456))-1</f>
        <v>0.34047058823529408</v>
      </c>
      <c r="AU465" s="38">
        <f>AU457/(AVERAGE(AU455:AU456))-1</f>
        <v>0.41428571428571415</v>
      </c>
      <c r="AV465" s="38">
        <f>AV457/(AVERAGE(AV455:AV456))-1</f>
        <v>0.49932203389830487</v>
      </c>
      <c r="AW465" s="529"/>
      <c r="AX465" s="90"/>
      <c r="AY465" s="38">
        <f>AY457/(AVERAGE(AY455:AY456))-1</f>
        <v>1.3477837837837838</v>
      </c>
      <c r="AZ465" s="38">
        <f>AZ457/(AVERAGE(AZ455:AZ456))-1</f>
        <v>0.61742222222222254</v>
      </c>
      <c r="BA465" s="38">
        <f>BA457/(AVERAGE(BA455:BA456))-1</f>
        <v>8.1777777777777949E-2</v>
      </c>
      <c r="BB465" s="38">
        <f>BB457/(AVERAGE(BB455:BB456))-1</f>
        <v>9.2218181818181755E-2</v>
      </c>
      <c r="BC465" s="700"/>
      <c r="BD465" s="113"/>
      <c r="BE465" s="38">
        <f>BE457/(AVERAGE(BE455:BE456))-1</f>
        <v>0.14840740740740732</v>
      </c>
      <c r="BF465" s="38">
        <f>BF457/(AVERAGE(BF455:BF456))-1</f>
        <v>0.31495652173913058</v>
      </c>
      <c r="BG465" s="38">
        <f>BG457/(AVERAGE(BG455:BG456))-1</f>
        <v>9.1827586206896683E-2</v>
      </c>
      <c r="BH465" s="38">
        <f>BH457/(AVERAGE(BH455:BH456))-1</f>
        <v>0.16324876893349161</v>
      </c>
      <c r="BI465" s="104"/>
      <c r="BJ465" s="113"/>
      <c r="BK465" s="38">
        <f>BK457/(AVERAGE(BK455:BK456))-1</f>
        <v>4.483870967741943E-2</v>
      </c>
      <c r="BL465" s="38">
        <f>BL457/(AVERAGE(BL455:BL456))-1</f>
        <v>0.11785714285714288</v>
      </c>
      <c r="BM465" s="90"/>
      <c r="BN465" s="90"/>
      <c r="BO465" s="113"/>
      <c r="BP465" s="113"/>
      <c r="BQ465" s="90"/>
      <c r="BR465" s="90"/>
      <c r="BS465" s="90"/>
      <c r="BT465" s="90"/>
      <c r="BU465" s="90"/>
      <c r="BV465" s="113"/>
      <c r="BW465" s="90"/>
      <c r="BX465" s="90"/>
      <c r="BY465" s="90"/>
      <c r="BZ465" s="90"/>
      <c r="CA465" s="90"/>
      <c r="CB465" s="113"/>
      <c r="CC465" s="90"/>
      <c r="CD465" s="90"/>
      <c r="CE465" s="90"/>
      <c r="CF465" s="90"/>
      <c r="CG465" s="90"/>
      <c r="CH465" s="113"/>
      <c r="CI465" s="90"/>
      <c r="CJ465" s="90"/>
      <c r="CK465" s="104"/>
      <c r="CL465" s="90"/>
      <c r="CM465" s="90"/>
      <c r="CN465" s="113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113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</row>
    <row r="466" spans="1:183" ht="13.5" hidden="1" customHeight="1" outlineLevel="1">
      <c r="A466" s="202" t="s">
        <v>6807</v>
      </c>
      <c r="B466" s="90"/>
      <c r="C466" s="26"/>
      <c r="D466" s="26"/>
      <c r="E466" s="26"/>
      <c r="F466" s="26"/>
      <c r="G466" s="26"/>
      <c r="H466" s="90"/>
      <c r="I466" s="26"/>
      <c r="J466" s="26"/>
      <c r="K466" s="26"/>
      <c r="L466" s="26"/>
      <c r="M466" s="26"/>
      <c r="N466" s="90"/>
      <c r="O466" s="26"/>
      <c r="P466" s="26"/>
      <c r="Q466" s="26"/>
      <c r="R466" s="26"/>
      <c r="S466" s="26"/>
      <c r="T466" s="90"/>
      <c r="U466" s="26"/>
      <c r="V466" s="26"/>
      <c r="W466" s="26"/>
      <c r="X466" s="26"/>
      <c r="Y466" s="26"/>
      <c r="Z466" s="90"/>
      <c r="AA466" s="26"/>
      <c r="AB466" s="26"/>
      <c r="AC466" s="26"/>
      <c r="AD466" s="26"/>
      <c r="AE466" s="26"/>
      <c r="AF466" s="90"/>
      <c r="AG466" s="26"/>
      <c r="AH466" s="26"/>
      <c r="AI466" s="26"/>
      <c r="AJ466" s="26"/>
      <c r="AK466" s="26"/>
      <c r="AL466" s="90"/>
      <c r="AM466" s="26"/>
      <c r="AN466" s="26"/>
      <c r="AO466" s="90"/>
      <c r="AP466" s="26"/>
      <c r="AQ466" s="26"/>
      <c r="AR466" s="90"/>
      <c r="AS466" s="26"/>
      <c r="AT466" s="26"/>
      <c r="AU466" s="26"/>
      <c r="AV466" s="26"/>
      <c r="AW466" s="26"/>
      <c r="AX466" s="90"/>
      <c r="AY466" s="83"/>
      <c r="AZ466" s="83"/>
      <c r="BA466" s="83"/>
      <c r="BB466" s="104"/>
      <c r="BC466" s="104"/>
      <c r="BD466" s="138"/>
      <c r="BE466" s="104"/>
      <c r="BF466" s="104"/>
      <c r="BG466" s="104"/>
      <c r="BH466" s="83"/>
      <c r="BI466" s="83"/>
      <c r="BJ466" s="138"/>
      <c r="BK466" s="26"/>
      <c r="BL466" s="26"/>
      <c r="BM466" s="26"/>
      <c r="BN466" s="26"/>
      <c r="BO466" s="138"/>
      <c r="BP466" s="138"/>
      <c r="BQ466" s="26"/>
      <c r="BR466" s="26"/>
      <c r="BS466" s="26"/>
      <c r="BT466" s="26"/>
      <c r="BU466" s="26"/>
      <c r="BV466" s="138"/>
      <c r="BW466" s="26"/>
      <c r="BX466" s="26"/>
      <c r="BY466" s="26"/>
      <c r="BZ466" s="26"/>
      <c r="CA466" s="26"/>
      <c r="CB466" s="138"/>
      <c r="CC466" s="26"/>
      <c r="CD466" s="26"/>
      <c r="CE466" s="26"/>
      <c r="CF466" s="26"/>
      <c r="CG466" s="26"/>
      <c r="CH466" s="138"/>
      <c r="CI466" s="26"/>
      <c r="CJ466" s="26"/>
      <c r="CK466" s="83"/>
      <c r="CL466" s="26"/>
      <c r="CM466" s="26"/>
      <c r="CN466" s="138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138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</row>
    <row r="467" spans="1:183" hidden="1" outlineLevel="1">
      <c r="A467" s="202" t="s">
        <v>4596</v>
      </c>
      <c r="B467" s="90"/>
      <c r="C467" s="26"/>
      <c r="D467" s="26"/>
      <c r="E467" s="26"/>
      <c r="F467" s="26"/>
      <c r="G467" s="26"/>
      <c r="H467" s="90"/>
      <c r="I467" s="26"/>
      <c r="J467" s="26"/>
      <c r="K467" s="26"/>
      <c r="L467" s="26"/>
      <c r="M467" s="26"/>
      <c r="N467" s="90"/>
      <c r="O467" s="26"/>
      <c r="P467" s="26"/>
      <c r="Q467" s="26"/>
      <c r="R467" s="26"/>
      <c r="S467" s="26"/>
      <c r="T467" s="90"/>
      <c r="U467" s="26"/>
      <c r="V467" s="26"/>
      <c r="W467" s="26"/>
      <c r="X467" s="26"/>
      <c r="Y467" s="26"/>
      <c r="Z467" s="90"/>
      <c r="AA467" s="26"/>
      <c r="AB467" s="26"/>
      <c r="AC467" s="26"/>
      <c r="AD467" s="26"/>
      <c r="AE467" s="26"/>
      <c r="AF467" s="90"/>
      <c r="AG467" s="26"/>
      <c r="AH467" s="26"/>
      <c r="AI467" s="26"/>
      <c r="AJ467" s="26"/>
      <c r="AK467" s="26"/>
      <c r="AL467" s="90"/>
      <c r="AM467" s="26"/>
      <c r="AN467" s="26"/>
      <c r="AO467" s="90"/>
      <c r="AP467" s="26"/>
      <c r="AQ467" s="26"/>
      <c r="AR467" s="90"/>
      <c r="AS467" s="26"/>
      <c r="AT467" s="90"/>
      <c r="AU467" s="26"/>
      <c r="AV467" s="26"/>
      <c r="AW467" s="26"/>
      <c r="AX467" s="90"/>
      <c r="AY467" s="83"/>
      <c r="AZ467" s="83"/>
      <c r="BA467" s="83"/>
      <c r="BB467" s="286"/>
      <c r="BC467" s="104"/>
      <c r="BD467" s="138"/>
      <c r="BE467" s="286"/>
      <c r="BF467" s="104"/>
      <c r="BG467" s="104"/>
      <c r="BH467" s="83"/>
      <c r="BI467" s="83"/>
      <c r="BJ467" s="138"/>
      <c r="BK467" s="26"/>
      <c r="BL467" s="26"/>
      <c r="BM467" s="26"/>
      <c r="BN467" s="26"/>
      <c r="BO467" s="138"/>
      <c r="BP467" s="138"/>
      <c r="BQ467" s="897">
        <v>0.255</v>
      </c>
      <c r="BR467" s="898">
        <v>0.245</v>
      </c>
      <c r="BS467" s="26"/>
      <c r="BT467" s="26"/>
      <c r="BU467" s="26"/>
      <c r="BV467" s="138"/>
      <c r="BW467" s="26"/>
      <c r="BX467" s="26"/>
      <c r="BY467" s="26"/>
      <c r="BZ467" s="26"/>
      <c r="CA467" s="26"/>
      <c r="CB467" s="138"/>
      <c r="CC467" s="26"/>
      <c r="CD467" s="26"/>
      <c r="CE467" s="26"/>
      <c r="CF467" s="26"/>
      <c r="CG467" s="26"/>
      <c r="CH467" s="138"/>
      <c r="CI467" s="26"/>
      <c r="CJ467" s="26"/>
      <c r="CK467" s="83"/>
      <c r="CL467" s="26"/>
      <c r="CM467" s="26"/>
      <c r="CN467" s="138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138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</row>
    <row r="468" spans="1:183" hidden="1" outlineLevel="1">
      <c r="A468" s="202" t="s">
        <v>4595</v>
      </c>
      <c r="B468" s="90"/>
      <c r="C468" s="26"/>
      <c r="D468" s="26"/>
      <c r="E468" s="26"/>
      <c r="F468" s="26"/>
      <c r="G468" s="26"/>
      <c r="H468" s="90"/>
      <c r="I468" s="26"/>
      <c r="J468" s="26"/>
      <c r="K468" s="26"/>
      <c r="L468" s="26"/>
      <c r="M468" s="26"/>
      <c r="N468" s="90"/>
      <c r="O468" s="26"/>
      <c r="P468" s="26"/>
      <c r="Q468" s="26"/>
      <c r="R468" s="26"/>
      <c r="S468" s="26"/>
      <c r="T468" s="90"/>
      <c r="U468" s="26"/>
      <c r="V468" s="26"/>
      <c r="W468" s="26"/>
      <c r="X468" s="26"/>
      <c r="Y468" s="26"/>
      <c r="Z468" s="90"/>
      <c r="AA468" s="26"/>
      <c r="AB468" s="26"/>
      <c r="AC468" s="26"/>
      <c r="AD468" s="26"/>
      <c r="AE468" s="26"/>
      <c r="AF468" s="90"/>
      <c r="AG468" s="26"/>
      <c r="AH468" s="26"/>
      <c r="AI468" s="26"/>
      <c r="AJ468" s="26"/>
      <c r="AK468" s="26"/>
      <c r="AL468" s="90"/>
      <c r="AM468" s="26"/>
      <c r="AN468" s="26"/>
      <c r="AO468" s="90"/>
      <c r="AP468" s="26"/>
      <c r="AQ468" s="26"/>
      <c r="AR468" s="90"/>
      <c r="AS468" s="26"/>
      <c r="AT468" s="90"/>
      <c r="AU468" s="26"/>
      <c r="AV468" s="26"/>
      <c r="AW468" s="26"/>
      <c r="AX468" s="90"/>
      <c r="AY468" s="83"/>
      <c r="AZ468" s="83"/>
      <c r="BA468" s="83"/>
      <c r="BB468" s="286"/>
      <c r="BC468" s="104"/>
      <c r="BD468" s="138"/>
      <c r="BE468" s="286"/>
      <c r="BF468" s="104"/>
      <c r="BG468" s="104"/>
      <c r="BH468" s="83"/>
      <c r="BI468" s="83"/>
      <c r="BJ468" s="138"/>
      <c r="BK468" s="26"/>
      <c r="BL468" s="26"/>
      <c r="BM468" s="26"/>
      <c r="BN468" s="26"/>
      <c r="BO468" s="138"/>
      <c r="BP468" s="138"/>
      <c r="BQ468" s="897">
        <v>0.26300000000000001</v>
      </c>
      <c r="BR468" s="898">
        <v>0.254</v>
      </c>
      <c r="BS468" s="26"/>
      <c r="BT468" s="26"/>
      <c r="BU468" s="26"/>
      <c r="BV468" s="138"/>
      <c r="BW468" s="26"/>
      <c r="BX468" s="26"/>
      <c r="BY468" s="26"/>
      <c r="BZ468" s="26"/>
      <c r="CA468" s="26"/>
      <c r="CB468" s="138"/>
      <c r="CC468" s="26"/>
      <c r="CD468" s="26"/>
      <c r="CE468" s="26"/>
      <c r="CF468" s="26"/>
      <c r="CG468" s="26"/>
      <c r="CH468" s="138"/>
      <c r="CI468" s="26"/>
      <c r="CJ468" s="26"/>
      <c r="CK468" s="83"/>
      <c r="CL468" s="26"/>
      <c r="CM468" s="26"/>
      <c r="CN468" s="138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138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</row>
    <row r="469" spans="1:183" hidden="1" outlineLevel="1">
      <c r="A469" s="203" t="s">
        <v>4597</v>
      </c>
      <c r="B469" s="90"/>
      <c r="C469" s="26"/>
      <c r="D469" s="26"/>
      <c r="E469" s="26"/>
      <c r="F469" s="26"/>
      <c r="G469" s="26"/>
      <c r="H469" s="90"/>
      <c r="I469" s="26"/>
      <c r="J469" s="26"/>
      <c r="K469" s="26"/>
      <c r="L469" s="26"/>
      <c r="M469" s="26"/>
      <c r="N469" s="90"/>
      <c r="O469" s="26"/>
      <c r="P469" s="26"/>
      <c r="Q469" s="26"/>
      <c r="R469" s="26"/>
      <c r="S469" s="26"/>
      <c r="T469" s="90"/>
      <c r="U469" s="26"/>
      <c r="V469" s="26"/>
      <c r="W469" s="26"/>
      <c r="X469" s="26"/>
      <c r="Y469" s="26"/>
      <c r="Z469" s="90"/>
      <c r="AA469" s="26"/>
      <c r="AB469" s="26"/>
      <c r="AC469" s="26"/>
      <c r="AD469" s="26"/>
      <c r="AE469" s="26"/>
      <c r="AF469" s="90"/>
      <c r="AG469" s="26"/>
      <c r="AH469" s="26"/>
      <c r="AI469" s="26"/>
      <c r="AJ469" s="26"/>
      <c r="AK469" s="26"/>
      <c r="AL469" s="90"/>
      <c r="AM469" s="26"/>
      <c r="AN469" s="26"/>
      <c r="AO469" s="90"/>
      <c r="AP469" s="26"/>
      <c r="AQ469" s="26"/>
      <c r="AR469" s="90"/>
      <c r="AS469" s="26"/>
      <c r="AT469" s="26"/>
      <c r="AU469" s="26"/>
      <c r="AV469" s="26"/>
      <c r="AW469" s="26"/>
      <c r="AX469" s="90"/>
      <c r="AY469" s="83"/>
      <c r="AZ469" s="83"/>
      <c r="BA469" s="83"/>
      <c r="BB469" s="740"/>
      <c r="BC469" s="742"/>
      <c r="BD469" s="138"/>
      <c r="BE469" s="740"/>
      <c r="BF469" s="104"/>
      <c r="BG469" s="104"/>
      <c r="BH469" s="83"/>
      <c r="BI469" s="83"/>
      <c r="BJ469" s="138"/>
      <c r="BK469" s="26"/>
      <c r="BL469" s="26"/>
      <c r="BM469" s="26"/>
      <c r="BN469" s="26"/>
      <c r="BO469" s="138"/>
      <c r="BP469" s="138"/>
      <c r="BQ469" s="899">
        <f>Model!BQ86</f>
        <v>0.25992921745969333</v>
      </c>
      <c r="BR469" s="899">
        <f>Model!BR86</f>
        <v>0.26754135767256138</v>
      </c>
      <c r="BS469" s="26"/>
      <c r="BT469" s="26"/>
      <c r="BU469" s="26"/>
      <c r="BV469" s="138"/>
      <c r="BW469" s="26"/>
      <c r="BX469" s="26"/>
      <c r="BY469" s="26"/>
      <c r="BZ469" s="26"/>
      <c r="CA469" s="26"/>
      <c r="CB469" s="138"/>
      <c r="CC469" s="26"/>
      <c r="CD469" s="26"/>
      <c r="CE469" s="26"/>
      <c r="CF469" s="26"/>
      <c r="CG469" s="26"/>
      <c r="CH469" s="138"/>
      <c r="CI469" s="26"/>
      <c r="CJ469" s="26"/>
      <c r="CK469" s="83"/>
      <c r="CL469" s="26"/>
      <c r="CM469" s="26"/>
      <c r="CN469" s="138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138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</row>
    <row r="470" spans="1:183" hidden="1" outlineLevel="1">
      <c r="A470" s="202"/>
      <c r="B470" s="90"/>
      <c r="C470" s="26"/>
      <c r="D470" s="26"/>
      <c r="E470" s="26"/>
      <c r="F470" s="26"/>
      <c r="G470" s="26"/>
      <c r="H470" s="90"/>
      <c r="I470" s="26"/>
      <c r="J470" s="26"/>
      <c r="K470" s="26"/>
      <c r="L470" s="26"/>
      <c r="M470" s="26"/>
      <c r="N470" s="90"/>
      <c r="O470" s="26"/>
      <c r="P470" s="26"/>
      <c r="Q470" s="26"/>
      <c r="R470" s="26"/>
      <c r="S470" s="26"/>
      <c r="T470" s="90"/>
      <c r="U470" s="26"/>
      <c r="V470" s="26"/>
      <c r="W470" s="26"/>
      <c r="X470" s="26"/>
      <c r="Y470" s="26"/>
      <c r="Z470" s="90"/>
      <c r="AA470" s="26"/>
      <c r="AB470" s="26"/>
      <c r="AC470" s="26"/>
      <c r="AD470" s="26"/>
      <c r="AE470" s="26"/>
      <c r="AF470" s="90"/>
      <c r="AG470" s="26"/>
      <c r="AH470" s="26"/>
      <c r="AI470" s="26"/>
      <c r="AJ470" s="26"/>
      <c r="AK470" s="26"/>
      <c r="AL470" s="90"/>
      <c r="AM470" s="26"/>
      <c r="AN470" s="26"/>
      <c r="AO470" s="90"/>
      <c r="AP470" s="26"/>
      <c r="AQ470" s="26"/>
      <c r="AR470" s="90"/>
      <c r="AS470" s="26"/>
      <c r="AT470" s="26"/>
      <c r="AU470" s="26"/>
      <c r="AV470" s="26"/>
      <c r="AW470" s="26"/>
      <c r="AX470" s="90"/>
      <c r="AY470" s="83"/>
      <c r="AZ470" s="83"/>
      <c r="BA470" s="83"/>
      <c r="BB470" s="104"/>
      <c r="BC470" s="104"/>
      <c r="BD470" s="138"/>
      <c r="BE470" s="104"/>
      <c r="BF470" s="104"/>
      <c r="BG470" s="104"/>
      <c r="BH470" s="83"/>
      <c r="BI470" s="83"/>
      <c r="BJ470" s="138"/>
      <c r="BK470" s="26"/>
      <c r="BL470" s="26"/>
      <c r="BM470" s="26"/>
      <c r="BN470" s="26"/>
      <c r="BO470" s="138"/>
      <c r="BP470" s="138"/>
      <c r="BQ470" s="26"/>
      <c r="BR470" s="26"/>
      <c r="BS470" s="26"/>
      <c r="BT470" s="26"/>
      <c r="BU470" s="26"/>
      <c r="BV470" s="138"/>
      <c r="BW470" s="26"/>
      <c r="BX470" s="26"/>
      <c r="BY470" s="26"/>
      <c r="BZ470" s="26"/>
      <c r="CA470" s="26"/>
      <c r="CB470" s="138"/>
      <c r="CC470" s="26"/>
      <c r="CD470" s="26"/>
      <c r="CE470" s="26"/>
      <c r="CF470" s="26"/>
      <c r="CG470" s="26"/>
      <c r="CH470" s="138"/>
      <c r="CI470" s="26"/>
      <c r="CJ470" s="26"/>
      <c r="CK470" s="83"/>
      <c r="CL470" s="26"/>
      <c r="CM470" s="26"/>
      <c r="CN470" s="138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138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</row>
    <row r="471" spans="1:183" hidden="1" outlineLevel="1">
      <c r="A471" s="202" t="s">
        <v>3350</v>
      </c>
      <c r="B471" s="90"/>
      <c r="C471" s="26"/>
      <c r="D471" s="26"/>
      <c r="E471" s="26"/>
      <c r="F471" s="26"/>
      <c r="G471" s="26"/>
      <c r="H471" s="90"/>
      <c r="I471" s="26"/>
      <c r="J471" s="26"/>
      <c r="K471" s="26"/>
      <c r="L471" s="26"/>
      <c r="M471" s="26"/>
      <c r="N471" s="90"/>
      <c r="O471" s="26"/>
      <c r="P471" s="26"/>
      <c r="Q471" s="26"/>
      <c r="R471" s="26"/>
      <c r="S471" s="26"/>
      <c r="T471" s="90"/>
      <c r="U471" s="26"/>
      <c r="V471" s="26"/>
      <c r="W471" s="26"/>
      <c r="X471" s="26"/>
      <c r="Y471" s="26"/>
      <c r="Z471" s="90"/>
      <c r="AA471" s="26"/>
      <c r="AB471" s="26"/>
      <c r="AC471" s="26"/>
      <c r="AD471" s="26"/>
      <c r="AE471" s="26"/>
      <c r="AF471" s="90"/>
      <c r="AG471" s="26"/>
      <c r="AH471" s="26"/>
      <c r="AI471" s="26"/>
      <c r="AJ471" s="26"/>
      <c r="AK471" s="26"/>
      <c r="AL471" s="90"/>
      <c r="AM471" s="26"/>
      <c r="AN471" s="26"/>
      <c r="AO471" s="90"/>
      <c r="AP471" s="26"/>
      <c r="AQ471" s="26"/>
      <c r="AR471" s="90"/>
      <c r="AS471" s="26"/>
      <c r="AT471" s="26"/>
      <c r="AU471" s="26"/>
      <c r="AV471" s="26"/>
      <c r="AW471" s="26"/>
      <c r="AX471" s="90"/>
      <c r="AY471" s="83"/>
      <c r="AZ471" s="83"/>
      <c r="BA471" s="83"/>
      <c r="BB471" s="104"/>
      <c r="BC471" s="104"/>
      <c r="BD471" s="138"/>
      <c r="BE471" s="286"/>
      <c r="BF471" s="104"/>
      <c r="BG471" s="104"/>
      <c r="BH471" s="83"/>
      <c r="BI471" s="83"/>
      <c r="BJ471" s="138"/>
      <c r="BK471" s="26"/>
      <c r="BL471" s="26"/>
      <c r="BM471" s="26"/>
      <c r="BN471" s="26"/>
      <c r="BO471" s="138"/>
      <c r="BP471" s="138"/>
      <c r="BQ471" s="26"/>
      <c r="BR471" s="26"/>
      <c r="BS471" s="26"/>
      <c r="BT471" s="26"/>
      <c r="BU471" s="26"/>
      <c r="BV471" s="138"/>
      <c r="BW471" s="26"/>
      <c r="BX471" s="26"/>
      <c r="BY471" s="26"/>
      <c r="BZ471" s="26"/>
      <c r="CA471" s="26"/>
      <c r="CB471" s="138"/>
      <c r="CC471" s="26"/>
      <c r="CD471" s="26"/>
      <c r="CE471" s="26"/>
      <c r="CF471" s="26"/>
      <c r="CG471" s="26"/>
      <c r="CH471" s="138"/>
      <c r="CI471" s="26"/>
      <c r="CJ471" s="26"/>
      <c r="CK471" s="83"/>
      <c r="CL471" s="26"/>
      <c r="CM471" s="26"/>
      <c r="CN471" s="138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138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</row>
    <row r="472" spans="1:183" hidden="1" outlineLevel="1">
      <c r="A472" s="202" t="s">
        <v>4596</v>
      </c>
      <c r="B472" s="90"/>
      <c r="C472" s="26"/>
      <c r="D472" s="26"/>
      <c r="E472" s="26"/>
      <c r="F472" s="26"/>
      <c r="G472" s="26"/>
      <c r="H472" s="90"/>
      <c r="I472" s="26"/>
      <c r="J472" s="26"/>
      <c r="K472" s="26"/>
      <c r="L472" s="26"/>
      <c r="M472" s="26"/>
      <c r="N472" s="90"/>
      <c r="O472" s="26"/>
      <c r="P472" s="26"/>
      <c r="Q472" s="26"/>
      <c r="R472" s="26"/>
      <c r="S472" s="26"/>
      <c r="T472" s="90"/>
      <c r="U472" s="26"/>
      <c r="V472" s="26"/>
      <c r="W472" s="26"/>
      <c r="X472" s="26"/>
      <c r="Y472" s="26"/>
      <c r="Z472" s="90"/>
      <c r="AA472" s="26"/>
      <c r="AB472" s="26"/>
      <c r="AC472" s="26"/>
      <c r="AD472" s="26"/>
      <c r="AE472" s="26"/>
      <c r="AF472" s="90"/>
      <c r="AG472" s="26"/>
      <c r="AH472" s="26"/>
      <c r="AI472" s="26"/>
      <c r="AJ472" s="26"/>
      <c r="AK472" s="26"/>
      <c r="AL472" s="90"/>
      <c r="AM472" s="26"/>
      <c r="AN472" s="26"/>
      <c r="AO472" s="90"/>
      <c r="AP472" s="26"/>
      <c r="AQ472" s="26"/>
      <c r="AR472" s="90"/>
      <c r="AS472" s="26"/>
      <c r="AT472" s="26"/>
      <c r="AU472" s="26"/>
      <c r="AV472" s="26"/>
      <c r="AW472" s="26"/>
      <c r="AX472" s="90"/>
      <c r="AY472" s="83"/>
      <c r="AZ472" s="83"/>
      <c r="BA472" s="83"/>
      <c r="BB472" s="104"/>
      <c r="BC472" s="104"/>
      <c r="BD472" s="138"/>
      <c r="BE472" s="208"/>
      <c r="BF472" s="104"/>
      <c r="BG472" s="104"/>
      <c r="BH472" s="83"/>
      <c r="BI472" s="83"/>
      <c r="BJ472" s="138"/>
      <c r="BK472" s="26"/>
      <c r="BL472" s="26"/>
      <c r="BM472" s="44">
        <f>Model!BL79+10</f>
        <v>292.2</v>
      </c>
      <c r="BN472" s="44">
        <f>Model!BM79</f>
        <v>297.70000000000005</v>
      </c>
      <c r="BO472" s="138"/>
      <c r="BP472" s="138"/>
      <c r="BQ472" s="26"/>
      <c r="BR472" s="26"/>
      <c r="BS472" s="26"/>
      <c r="BT472" s="26"/>
      <c r="BU472" s="26"/>
      <c r="BV472" s="138"/>
      <c r="BW472" s="26"/>
      <c r="BX472" s="26"/>
      <c r="BY472" s="26"/>
      <c r="BZ472" s="26"/>
      <c r="CA472" s="26"/>
      <c r="CB472" s="138"/>
      <c r="CC472" s="26"/>
      <c r="CD472" s="26"/>
      <c r="CE472" s="26"/>
      <c r="CF472" s="26"/>
      <c r="CG472" s="26"/>
      <c r="CH472" s="138"/>
      <c r="CI472" s="26"/>
      <c r="CJ472" s="26"/>
      <c r="CK472" s="83"/>
      <c r="CL472" s="26"/>
      <c r="CM472" s="26"/>
      <c r="CN472" s="138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138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</row>
    <row r="473" spans="1:183" hidden="1" outlineLevel="1">
      <c r="A473" s="202" t="s">
        <v>4595</v>
      </c>
      <c r="B473" s="90"/>
      <c r="C473" s="26"/>
      <c r="D473" s="26"/>
      <c r="E473" s="26"/>
      <c r="F473" s="26"/>
      <c r="G473" s="26"/>
      <c r="H473" s="90"/>
      <c r="I473" s="26"/>
      <c r="J473" s="26"/>
      <c r="K473" s="26"/>
      <c r="L473" s="26"/>
      <c r="M473" s="26"/>
      <c r="N473" s="90"/>
      <c r="O473" s="26"/>
      <c r="P473" s="26"/>
      <c r="Q473" s="26"/>
      <c r="R473" s="26"/>
      <c r="S473" s="26"/>
      <c r="T473" s="90"/>
      <c r="U473" s="26"/>
      <c r="V473" s="26"/>
      <c r="W473" s="26"/>
      <c r="X473" s="26"/>
      <c r="Y473" s="26"/>
      <c r="Z473" s="90"/>
      <c r="AA473" s="26"/>
      <c r="AB473" s="26"/>
      <c r="AC473" s="26"/>
      <c r="AD473" s="26"/>
      <c r="AE473" s="26"/>
      <c r="AF473" s="90"/>
      <c r="AG473" s="26"/>
      <c r="AH473" s="26"/>
      <c r="AI473" s="26"/>
      <c r="AJ473" s="26"/>
      <c r="AK473" s="26"/>
      <c r="AL473" s="90"/>
      <c r="AM473" s="26"/>
      <c r="AN473" s="26"/>
      <c r="AO473" s="90"/>
      <c r="AP473" s="26"/>
      <c r="AQ473" s="26"/>
      <c r="AR473" s="90"/>
      <c r="AS473" s="26"/>
      <c r="AT473" s="26"/>
      <c r="AU473" s="26"/>
      <c r="AV473" s="26"/>
      <c r="AW473" s="26"/>
      <c r="AX473" s="90"/>
      <c r="AY473" s="83"/>
      <c r="AZ473" s="83"/>
      <c r="BA473" s="83"/>
      <c r="BB473" s="104"/>
      <c r="BC473" s="104"/>
      <c r="BD473" s="138"/>
      <c r="BE473" s="208"/>
      <c r="BF473" s="104"/>
      <c r="BG473" s="104"/>
      <c r="BH473" s="83"/>
      <c r="BI473" s="83"/>
      <c r="BJ473" s="138"/>
      <c r="BK473" s="26"/>
      <c r="BL473" s="26"/>
      <c r="BM473" s="44">
        <f>BM472</f>
        <v>292.2</v>
      </c>
      <c r="BN473" s="44">
        <f>BN472</f>
        <v>297.70000000000005</v>
      </c>
      <c r="BO473" s="138"/>
      <c r="BP473" s="138"/>
      <c r="BQ473" s="26"/>
      <c r="BR473" s="26"/>
      <c r="BS473" s="26"/>
      <c r="BT473" s="26"/>
      <c r="BU473" s="26"/>
      <c r="BV473" s="138"/>
      <c r="BW473" s="26"/>
      <c r="BX473" s="26"/>
      <c r="BY473" s="26"/>
      <c r="BZ473" s="26"/>
      <c r="CA473" s="26"/>
      <c r="CB473" s="138"/>
      <c r="CC473" s="26"/>
      <c r="CD473" s="26"/>
      <c r="CE473" s="26"/>
      <c r="CF473" s="26"/>
      <c r="CG473" s="26"/>
      <c r="CH473" s="138"/>
      <c r="CI473" s="26"/>
      <c r="CJ473" s="26"/>
      <c r="CK473" s="83"/>
      <c r="CL473" s="26"/>
      <c r="CM473" s="26"/>
      <c r="CN473" s="138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138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</row>
    <row r="474" spans="1:183" hidden="1" outlineLevel="1">
      <c r="A474" s="203" t="s">
        <v>4597</v>
      </c>
      <c r="B474" s="90"/>
      <c r="C474" s="26"/>
      <c r="D474" s="26"/>
      <c r="E474" s="26"/>
      <c r="F474" s="26"/>
      <c r="G474" s="26"/>
      <c r="H474" s="90"/>
      <c r="I474" s="26"/>
      <c r="J474" s="26"/>
      <c r="K474" s="26"/>
      <c r="L474" s="26"/>
      <c r="M474" s="26"/>
      <c r="N474" s="90"/>
      <c r="O474" s="26"/>
      <c r="P474" s="26"/>
      <c r="Q474" s="26"/>
      <c r="R474" s="26"/>
      <c r="S474" s="26"/>
      <c r="T474" s="90"/>
      <c r="U474" s="26"/>
      <c r="V474" s="26"/>
      <c r="W474" s="26"/>
      <c r="X474" s="26"/>
      <c r="Y474" s="26"/>
      <c r="Z474" s="90"/>
      <c r="AA474" s="26"/>
      <c r="AB474" s="26"/>
      <c r="AC474" s="26"/>
      <c r="AD474" s="26"/>
      <c r="AE474" s="26"/>
      <c r="AF474" s="90"/>
      <c r="AG474" s="26"/>
      <c r="AH474" s="26"/>
      <c r="AI474" s="26"/>
      <c r="AJ474" s="26"/>
      <c r="AK474" s="26"/>
      <c r="AL474" s="90"/>
      <c r="AM474" s="26"/>
      <c r="AN474" s="26"/>
      <c r="AO474" s="90"/>
      <c r="AP474" s="26"/>
      <c r="AQ474" s="26"/>
      <c r="AR474" s="90"/>
      <c r="AS474" s="26"/>
      <c r="AT474" s="26"/>
      <c r="AU474" s="26"/>
      <c r="AV474" s="26"/>
      <c r="AW474" s="26"/>
      <c r="AX474" s="90"/>
      <c r="AY474" s="83"/>
      <c r="AZ474" s="83"/>
      <c r="BA474" s="83"/>
      <c r="BB474" s="741"/>
      <c r="BC474" s="104"/>
      <c r="BD474" s="138"/>
      <c r="BE474" s="741"/>
      <c r="BF474" s="104"/>
      <c r="BG474" s="104"/>
      <c r="BH474" s="83"/>
      <c r="BI474" s="83"/>
      <c r="BJ474" s="138"/>
      <c r="BK474" s="26"/>
      <c r="BL474" s="26"/>
      <c r="BM474" s="44">
        <f>Model!BM79</f>
        <v>297.70000000000005</v>
      </c>
      <c r="BN474" s="44">
        <f>Model!BN79</f>
        <v>304.7</v>
      </c>
      <c r="BO474" s="138"/>
      <c r="BP474" s="138"/>
      <c r="BQ474" s="26"/>
      <c r="BR474" s="26"/>
      <c r="BS474" s="26"/>
      <c r="BT474" s="26"/>
      <c r="BU474" s="26"/>
      <c r="BV474" s="138"/>
      <c r="BW474" s="26"/>
      <c r="BX474" s="26"/>
      <c r="BY474" s="26"/>
      <c r="BZ474" s="26"/>
      <c r="CA474" s="26"/>
      <c r="CB474" s="138"/>
      <c r="CC474" s="26"/>
      <c r="CD474" s="26"/>
      <c r="CE474" s="26"/>
      <c r="CF474" s="26"/>
      <c r="CG474" s="26"/>
      <c r="CH474" s="138"/>
      <c r="CI474" s="26"/>
      <c r="CJ474" s="26"/>
      <c r="CK474" s="83"/>
      <c r="CL474" s="26"/>
      <c r="CM474" s="26"/>
      <c r="CN474" s="138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138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</row>
    <row r="475" spans="1:183" hidden="1" outlineLevel="1">
      <c r="A475" s="202"/>
      <c r="B475" s="90"/>
      <c r="C475" s="26"/>
      <c r="D475" s="26"/>
      <c r="E475" s="26"/>
      <c r="F475" s="26"/>
      <c r="G475" s="26"/>
      <c r="H475" s="90"/>
      <c r="I475" s="26"/>
      <c r="J475" s="26"/>
      <c r="K475" s="26"/>
      <c r="L475" s="26"/>
      <c r="M475" s="26"/>
      <c r="N475" s="90"/>
      <c r="O475" s="26"/>
      <c r="P475" s="26"/>
      <c r="Q475" s="26"/>
      <c r="R475" s="26"/>
      <c r="S475" s="26"/>
      <c r="T475" s="90"/>
      <c r="U475" s="26"/>
      <c r="V475" s="26"/>
      <c r="W475" s="26"/>
      <c r="X475" s="26"/>
      <c r="Y475" s="26"/>
      <c r="Z475" s="90"/>
      <c r="AA475" s="26"/>
      <c r="AB475" s="26"/>
      <c r="AC475" s="26"/>
      <c r="AD475" s="26"/>
      <c r="AE475" s="26"/>
      <c r="AF475" s="90"/>
      <c r="AG475" s="26"/>
      <c r="AH475" s="26"/>
      <c r="AI475" s="26"/>
      <c r="AJ475" s="26"/>
      <c r="AK475" s="26"/>
      <c r="AL475" s="90"/>
      <c r="AM475" s="26"/>
      <c r="AN475" s="26"/>
      <c r="AO475" s="90"/>
      <c r="AP475" s="26"/>
      <c r="AQ475" s="26"/>
      <c r="AR475" s="90"/>
      <c r="AS475" s="26"/>
      <c r="AT475" s="26"/>
      <c r="AU475" s="26"/>
      <c r="AV475" s="26"/>
      <c r="AW475" s="26"/>
      <c r="AX475" s="90"/>
      <c r="AY475" s="83"/>
      <c r="AZ475" s="83"/>
      <c r="BA475" s="83"/>
      <c r="BB475" s="104"/>
      <c r="BC475" s="104"/>
      <c r="BD475" s="138"/>
      <c r="BE475" s="104"/>
      <c r="BF475" s="104"/>
      <c r="BG475" s="104"/>
      <c r="BH475" s="83"/>
      <c r="BI475" s="83"/>
      <c r="BJ475" s="138"/>
      <c r="BK475" s="26"/>
      <c r="BL475" s="26"/>
      <c r="BM475" s="26"/>
      <c r="BN475" s="26"/>
      <c r="BO475" s="138"/>
      <c r="BP475" s="138"/>
      <c r="BQ475" s="26"/>
      <c r="BR475" s="26"/>
      <c r="BS475" s="26"/>
      <c r="BT475" s="26"/>
      <c r="BU475" s="26"/>
      <c r="BV475" s="138"/>
      <c r="BW475" s="26"/>
      <c r="BX475" s="26"/>
      <c r="BY475" s="26"/>
      <c r="BZ475" s="26"/>
      <c r="CA475" s="26"/>
      <c r="CB475" s="138"/>
      <c r="CC475" s="26"/>
      <c r="CD475" s="26"/>
      <c r="CE475" s="26"/>
      <c r="CF475" s="26"/>
      <c r="CG475" s="26"/>
      <c r="CH475" s="138"/>
      <c r="CI475" s="26"/>
      <c r="CJ475" s="26"/>
      <c r="CK475" s="83"/>
      <c r="CL475" s="26"/>
      <c r="CM475" s="26"/>
      <c r="CN475" s="138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138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</row>
    <row r="476" spans="1:183" hidden="1" outlineLevel="1">
      <c r="A476" s="202" t="s">
        <v>5184</v>
      </c>
      <c r="B476" s="90"/>
      <c r="C476" s="26"/>
      <c r="D476" s="26"/>
      <c r="E476" s="26"/>
      <c r="F476" s="26"/>
      <c r="G476" s="26"/>
      <c r="H476" s="90"/>
      <c r="I476" s="26"/>
      <c r="J476" s="26"/>
      <c r="K476" s="26"/>
      <c r="L476" s="26"/>
      <c r="M476" s="26"/>
      <c r="N476" s="90"/>
      <c r="O476" s="26"/>
      <c r="P476" s="26"/>
      <c r="Q476" s="26"/>
      <c r="R476" s="26"/>
      <c r="S476" s="26"/>
      <c r="T476" s="90"/>
      <c r="U476" s="26"/>
      <c r="V476" s="26"/>
      <c r="W476" s="26"/>
      <c r="X476" s="26"/>
      <c r="Y476" s="26"/>
      <c r="Z476" s="90"/>
      <c r="AA476" s="26"/>
      <c r="AB476" s="26"/>
      <c r="AC476" s="26"/>
      <c r="AD476" s="26"/>
      <c r="AE476" s="26"/>
      <c r="AF476" s="90"/>
      <c r="AG476" s="26"/>
      <c r="AH476" s="26"/>
      <c r="AI476" s="26"/>
      <c r="AJ476" s="26"/>
      <c r="AK476" s="26"/>
      <c r="AL476" s="90"/>
      <c r="AM476" s="26"/>
      <c r="AN476" s="26"/>
      <c r="AO476" s="90"/>
      <c r="AP476" s="26"/>
      <c r="AQ476" s="26"/>
      <c r="AR476" s="90"/>
      <c r="AS476" s="26"/>
      <c r="AT476" s="26"/>
      <c r="AU476" s="26"/>
      <c r="AV476" s="26"/>
      <c r="AW476" s="26"/>
      <c r="AX476" s="90"/>
      <c r="AY476" s="83"/>
      <c r="AZ476" s="83"/>
      <c r="BA476" s="83"/>
      <c r="BB476" s="104"/>
      <c r="BC476" s="104"/>
      <c r="BD476" s="138"/>
      <c r="BE476" s="286">
        <v>0.2</v>
      </c>
      <c r="BF476" s="104"/>
      <c r="BG476" s="104"/>
      <c r="BH476" s="83"/>
      <c r="BI476" s="83"/>
      <c r="BJ476" s="138"/>
      <c r="BK476" s="58">
        <v>0.23</v>
      </c>
      <c r="BL476" s="58">
        <v>0.23</v>
      </c>
      <c r="BM476" s="58">
        <v>0.24</v>
      </c>
      <c r="BN476" s="26"/>
      <c r="BO476" s="138"/>
      <c r="BP476" s="138"/>
      <c r="BQ476" s="26"/>
      <c r="BR476" s="26"/>
      <c r="BS476" s="26"/>
      <c r="BT476" s="26" t="s">
        <v>5256</v>
      </c>
      <c r="BU476" s="26"/>
      <c r="BV476" s="138"/>
      <c r="BW476" s="26"/>
      <c r="BX476" s="26"/>
      <c r="BY476" s="26"/>
      <c r="BZ476" s="26"/>
      <c r="CA476" s="26"/>
      <c r="CB476" s="138"/>
      <c r="CC476" s="58">
        <v>0.26</v>
      </c>
      <c r="CD476" s="26" t="s">
        <v>5256</v>
      </c>
      <c r="CE476" s="26"/>
      <c r="CF476" s="26"/>
      <c r="CG476" s="26"/>
      <c r="CH476" s="138"/>
      <c r="CI476" s="58"/>
      <c r="CJ476" s="58"/>
      <c r="CK476" s="83"/>
      <c r="CL476" s="26"/>
      <c r="CM476" s="26"/>
      <c r="CN476" s="138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138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</row>
    <row r="477" spans="1:183" hidden="1" outlineLevel="1">
      <c r="A477" s="203" t="s">
        <v>4597</v>
      </c>
      <c r="B477" s="90"/>
      <c r="C477" s="26"/>
      <c r="D477" s="26"/>
      <c r="E477" s="26"/>
      <c r="F477" s="26"/>
      <c r="G477" s="26"/>
      <c r="H477" s="90"/>
      <c r="I477" s="26"/>
      <c r="J477" s="26"/>
      <c r="K477" s="26"/>
      <c r="L477" s="26"/>
      <c r="M477" s="26"/>
      <c r="N477" s="90"/>
      <c r="O477" s="26"/>
      <c r="P477" s="26"/>
      <c r="Q477" s="26"/>
      <c r="R477" s="26"/>
      <c r="S477" s="26"/>
      <c r="T477" s="90"/>
      <c r="U477" s="26"/>
      <c r="V477" s="26"/>
      <c r="W477" s="26"/>
      <c r="X477" s="26"/>
      <c r="Y477" s="26"/>
      <c r="Z477" s="90"/>
      <c r="AA477" s="26"/>
      <c r="AB477" s="26"/>
      <c r="AC477" s="26"/>
      <c r="AD477" s="26"/>
      <c r="AE477" s="26"/>
      <c r="AF477" s="90"/>
      <c r="AG477" s="26"/>
      <c r="AH477" s="26"/>
      <c r="AI477" s="26"/>
      <c r="AJ477" s="26"/>
      <c r="AK477" s="26"/>
      <c r="AL477" s="90"/>
      <c r="AM477" s="26"/>
      <c r="AN477" s="26"/>
      <c r="AO477" s="90"/>
      <c r="AP477" s="26"/>
      <c r="AQ477" s="26"/>
      <c r="AR477" s="90"/>
      <c r="AS477" s="26"/>
      <c r="AT477" s="26"/>
      <c r="AU477" s="26"/>
      <c r="AV477" s="26"/>
      <c r="AW477" s="26"/>
      <c r="AX477" s="90"/>
      <c r="AY477" s="83"/>
      <c r="AZ477" s="83"/>
      <c r="BA477" s="83"/>
      <c r="BB477" s="104"/>
      <c r="BC477" s="104"/>
      <c r="BD477" s="138"/>
      <c r="BE477" s="286"/>
      <c r="BF477" s="104"/>
      <c r="BG477" s="104"/>
      <c r="BH477" s="83"/>
      <c r="BI477" s="83"/>
      <c r="BJ477" s="138"/>
      <c r="BK477" s="26"/>
      <c r="BL477" s="26"/>
      <c r="BM477" s="26"/>
      <c r="BN477" s="26"/>
      <c r="BO477" s="138"/>
      <c r="BP477" s="138"/>
      <c r="BQ477" s="26"/>
      <c r="BR477" s="26"/>
      <c r="BS477" s="26"/>
      <c r="BT477" s="26"/>
      <c r="BU477" s="26"/>
      <c r="BV477" s="138"/>
      <c r="BW477" s="26"/>
      <c r="BX477" s="26"/>
      <c r="BY477" s="26"/>
      <c r="BZ477" s="26"/>
      <c r="CA477" s="26"/>
      <c r="CB477" s="138"/>
      <c r="CC477" s="26"/>
      <c r="CD477" s="26"/>
      <c r="CE477" s="26"/>
      <c r="CF477" s="26"/>
      <c r="CG477" s="26"/>
      <c r="CH477" s="138"/>
      <c r="CI477" s="26"/>
      <c r="CJ477" s="26"/>
      <c r="CK477" s="83"/>
      <c r="CL477" s="26"/>
      <c r="CM477" s="26"/>
      <c r="CN477" s="138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138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</row>
    <row r="478" spans="1:183" hidden="1" outlineLevel="1">
      <c r="A478" s="202"/>
      <c r="B478" s="90"/>
      <c r="C478" s="26"/>
      <c r="D478" s="26"/>
      <c r="E478" s="26"/>
      <c r="F478" s="26"/>
      <c r="G478" s="26"/>
      <c r="H478" s="90"/>
      <c r="I478" s="26"/>
      <c r="J478" s="26"/>
      <c r="K478" s="26"/>
      <c r="L478" s="26"/>
      <c r="M478" s="26"/>
      <c r="N478" s="90"/>
      <c r="O478" s="26"/>
      <c r="P478" s="26"/>
      <c r="Q478" s="26"/>
      <c r="R478" s="26"/>
      <c r="S478" s="26"/>
      <c r="T478" s="90"/>
      <c r="U478" s="26"/>
      <c r="V478" s="26"/>
      <c r="W478" s="26"/>
      <c r="X478" s="26"/>
      <c r="Y478" s="26"/>
      <c r="Z478" s="90"/>
      <c r="AA478" s="26"/>
      <c r="AB478" s="26"/>
      <c r="AC478" s="26"/>
      <c r="AD478" s="26"/>
      <c r="AE478" s="26"/>
      <c r="AF478" s="90"/>
      <c r="AG478" s="26"/>
      <c r="AH478" s="26"/>
      <c r="AI478" s="26"/>
      <c r="AJ478" s="26"/>
      <c r="AK478" s="26"/>
      <c r="AL478" s="90"/>
      <c r="AM478" s="26"/>
      <c r="AN478" s="26"/>
      <c r="AO478" s="90"/>
      <c r="AP478" s="26"/>
      <c r="AQ478" s="26"/>
      <c r="AR478" s="90"/>
      <c r="AS478" s="26"/>
      <c r="AT478" s="26"/>
      <c r="AU478" s="26"/>
      <c r="AV478" s="26"/>
      <c r="AW478" s="26"/>
      <c r="AX478" s="90"/>
      <c r="AY478" s="83"/>
      <c r="AZ478" s="83"/>
      <c r="BA478" s="83"/>
      <c r="BB478" s="104"/>
      <c r="BC478" s="104"/>
      <c r="BD478" s="138"/>
      <c r="BE478" s="104"/>
      <c r="BF478" s="104"/>
      <c r="BG478" s="104"/>
      <c r="BH478" s="83"/>
      <c r="BI478" s="83"/>
      <c r="BJ478" s="138"/>
      <c r="BK478" s="26"/>
      <c r="BL478" s="26"/>
      <c r="BM478" s="26"/>
      <c r="BN478" s="26"/>
      <c r="BO478" s="138"/>
      <c r="BP478" s="138"/>
      <c r="BQ478" s="26"/>
      <c r="BR478" s="26"/>
      <c r="BS478" s="26"/>
      <c r="BT478" s="26"/>
      <c r="BU478" s="26"/>
      <c r="BV478" s="138"/>
      <c r="BW478" s="26"/>
      <c r="BX478" s="26"/>
      <c r="BY478" s="26"/>
      <c r="BZ478" s="26"/>
      <c r="CA478" s="26"/>
      <c r="CB478" s="138"/>
      <c r="CC478" s="26"/>
      <c r="CD478" s="26"/>
      <c r="CE478" s="26"/>
      <c r="CF478" s="26"/>
      <c r="CG478" s="26"/>
      <c r="CH478" s="138"/>
      <c r="CI478" s="26"/>
      <c r="CJ478" s="26"/>
      <c r="CK478" s="83"/>
      <c r="CL478" s="26"/>
      <c r="CM478" s="26"/>
      <c r="CN478" s="138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138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</row>
    <row r="479" spans="1:183" hidden="1" outlineLevel="1">
      <c r="A479" s="202" t="s">
        <v>3346</v>
      </c>
      <c r="B479" s="90"/>
      <c r="C479" s="26"/>
      <c r="D479" s="26"/>
      <c r="E479" s="26"/>
      <c r="F479" s="26"/>
      <c r="G479" s="26"/>
      <c r="H479" s="90"/>
      <c r="I479" s="26"/>
      <c r="J479" s="26"/>
      <c r="K479" s="26"/>
      <c r="L479" s="26"/>
      <c r="M479" s="26"/>
      <c r="N479" s="90"/>
      <c r="O479" s="26"/>
      <c r="P479" s="26"/>
      <c r="Q479" s="26"/>
      <c r="R479" s="26"/>
      <c r="S479" s="26"/>
      <c r="T479" s="90"/>
      <c r="U479" s="26"/>
      <c r="V479" s="26"/>
      <c r="W479" s="26"/>
      <c r="X479" s="26"/>
      <c r="Y479" s="26"/>
      <c r="Z479" s="90"/>
      <c r="AA479" s="26"/>
      <c r="AB479" s="26"/>
      <c r="AC479" s="26"/>
      <c r="AD479" s="26"/>
      <c r="AE479" s="26"/>
      <c r="AF479" s="90"/>
      <c r="AG479" s="26"/>
      <c r="AH479" s="26"/>
      <c r="AI479" s="26"/>
      <c r="AJ479" s="26"/>
      <c r="AK479" s="26"/>
      <c r="AL479" s="90"/>
      <c r="AM479" s="26"/>
      <c r="AN479" s="26"/>
      <c r="AO479" s="90"/>
      <c r="AP479" s="26"/>
      <c r="AQ479" s="26"/>
      <c r="AR479" s="90"/>
      <c r="AS479" s="26"/>
      <c r="AT479" s="26"/>
      <c r="AU479" s="26"/>
      <c r="AV479" s="26"/>
      <c r="AW479" s="26"/>
      <c r="AX479" s="90"/>
      <c r="AY479" s="83"/>
      <c r="AZ479" s="83"/>
      <c r="BA479" s="83"/>
      <c r="BB479" s="104"/>
      <c r="BC479" s="104"/>
      <c r="BD479" s="138"/>
      <c r="BE479" s="104"/>
      <c r="BF479" s="104"/>
      <c r="BG479" s="104"/>
      <c r="BH479" s="83"/>
      <c r="BI479" s="83"/>
      <c r="BJ479" s="138"/>
      <c r="BK479" s="26"/>
      <c r="BL479" s="26"/>
      <c r="BM479" s="26"/>
      <c r="BN479" s="26"/>
      <c r="BO479" s="138"/>
      <c r="BP479" s="138"/>
      <c r="BQ479" s="26"/>
      <c r="BR479" s="26"/>
      <c r="BS479" s="26"/>
      <c r="BT479" s="26"/>
      <c r="BU479" s="26"/>
      <c r="BV479" s="138"/>
      <c r="BW479" s="26"/>
      <c r="BX479" s="26"/>
      <c r="BY479" s="26"/>
      <c r="BZ479" s="26"/>
      <c r="CA479" s="26"/>
      <c r="CB479" s="138"/>
      <c r="CC479" s="26"/>
      <c r="CD479" s="26"/>
      <c r="CE479" s="26"/>
      <c r="CF479" s="26"/>
      <c r="CG479" s="26"/>
      <c r="CH479" s="138"/>
      <c r="CI479" s="26"/>
      <c r="CJ479" s="26"/>
      <c r="CK479" s="83"/>
      <c r="CL479" s="26"/>
      <c r="CM479" s="26"/>
      <c r="CN479" s="138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138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</row>
    <row r="480" spans="1:183" hidden="1" outlineLevel="1">
      <c r="A480" s="203" t="s">
        <v>4597</v>
      </c>
      <c r="B480" s="90"/>
      <c r="C480" s="26"/>
      <c r="D480" s="26"/>
      <c r="E480" s="26"/>
      <c r="F480" s="26"/>
      <c r="G480" s="26"/>
      <c r="H480" s="90"/>
      <c r="I480" s="26"/>
      <c r="J480" s="26"/>
      <c r="K480" s="26"/>
      <c r="L480" s="26"/>
      <c r="M480" s="26"/>
      <c r="N480" s="90"/>
      <c r="O480" s="26"/>
      <c r="P480" s="26"/>
      <c r="Q480" s="26"/>
      <c r="R480" s="26"/>
      <c r="S480" s="26"/>
      <c r="T480" s="90"/>
      <c r="U480" s="26"/>
      <c r="V480" s="26"/>
      <c r="W480" s="26"/>
      <c r="X480" s="26"/>
      <c r="Y480" s="26"/>
      <c r="Z480" s="90"/>
      <c r="AA480" s="26"/>
      <c r="AB480" s="26"/>
      <c r="AC480" s="26"/>
      <c r="AD480" s="26"/>
      <c r="AE480" s="26"/>
      <c r="AF480" s="90"/>
      <c r="AG480" s="26"/>
      <c r="AH480" s="26"/>
      <c r="AI480" s="26"/>
      <c r="AJ480" s="26"/>
      <c r="AK480" s="26"/>
      <c r="AL480" s="90"/>
      <c r="AM480" s="26"/>
      <c r="AN480" s="26"/>
      <c r="AO480" s="90"/>
      <c r="AP480" s="26"/>
      <c r="AQ480" s="26"/>
      <c r="AR480" s="90"/>
      <c r="AS480" s="26"/>
      <c r="AT480" s="26"/>
      <c r="AU480" s="26"/>
      <c r="AV480" s="26"/>
      <c r="AW480" s="26"/>
      <c r="AX480" s="90"/>
      <c r="AY480" s="83"/>
      <c r="AZ480" s="83"/>
      <c r="BA480" s="83"/>
      <c r="BB480" s="104"/>
      <c r="BC480" s="104"/>
      <c r="BD480" s="138"/>
      <c r="BE480" s="62"/>
      <c r="BF480" s="104"/>
      <c r="BG480" s="104"/>
      <c r="BH480" s="83"/>
      <c r="BI480" s="83"/>
      <c r="BJ480" s="138"/>
      <c r="BK480" s="26"/>
      <c r="BL480" s="26"/>
      <c r="BM480" s="26"/>
      <c r="BN480" s="26"/>
      <c r="BO480" s="138"/>
      <c r="BP480" s="138"/>
      <c r="BQ480" s="26"/>
      <c r="BR480" s="26"/>
      <c r="BS480" s="26"/>
      <c r="BT480" s="26"/>
      <c r="BU480" s="26"/>
      <c r="BV480" s="138"/>
      <c r="BW480" s="26"/>
      <c r="BX480" s="26"/>
      <c r="BY480" s="26"/>
      <c r="BZ480" s="26"/>
      <c r="CA480" s="26"/>
      <c r="CB480" s="138"/>
      <c r="CC480" s="26"/>
      <c r="CD480" s="26"/>
      <c r="CE480" s="26"/>
      <c r="CF480" s="26"/>
      <c r="CG480" s="26"/>
      <c r="CH480" s="138"/>
      <c r="CI480" s="26"/>
      <c r="CJ480" s="26"/>
      <c r="CK480" s="83"/>
      <c r="CL480" s="26"/>
      <c r="CM480" s="26"/>
      <c r="CN480" s="138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138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</row>
    <row r="481" spans="1:151" hidden="1" outlineLevel="1">
      <c r="A481" s="203"/>
      <c r="B481" s="90"/>
      <c r="C481" s="26"/>
      <c r="D481" s="26"/>
      <c r="E481" s="26"/>
      <c r="F481" s="26"/>
      <c r="G481" s="26"/>
      <c r="H481" s="90"/>
      <c r="I481" s="26"/>
      <c r="J481" s="26"/>
      <c r="K481" s="26"/>
      <c r="L481" s="26"/>
      <c r="M481" s="26"/>
      <c r="N481" s="90"/>
      <c r="O481" s="26"/>
      <c r="P481" s="26"/>
      <c r="Q481" s="26"/>
      <c r="R481" s="26"/>
      <c r="S481" s="26"/>
      <c r="T481" s="90"/>
      <c r="U481" s="26"/>
      <c r="V481" s="26"/>
      <c r="W481" s="26"/>
      <c r="X481" s="26"/>
      <c r="Y481" s="26"/>
      <c r="Z481" s="90"/>
      <c r="AA481" s="26"/>
      <c r="AB481" s="26"/>
      <c r="AC481" s="26"/>
      <c r="AD481" s="26"/>
      <c r="AE481" s="26"/>
      <c r="AF481" s="90"/>
      <c r="AG481" s="26"/>
      <c r="AH481" s="26"/>
      <c r="AI481" s="26"/>
      <c r="AJ481" s="26"/>
      <c r="AK481" s="26"/>
      <c r="AL481" s="90"/>
      <c r="AM481" s="26"/>
      <c r="AN481" s="26"/>
      <c r="AO481" s="90"/>
      <c r="AP481" s="26"/>
      <c r="AQ481" s="26"/>
      <c r="AR481" s="90"/>
      <c r="AS481" s="26"/>
      <c r="AT481" s="26"/>
      <c r="AU481" s="26"/>
      <c r="AV481" s="26"/>
      <c r="AW481" s="26"/>
      <c r="AX481" s="90"/>
      <c r="AY481" s="83"/>
      <c r="AZ481" s="83"/>
      <c r="BA481" s="83"/>
      <c r="BB481" s="700"/>
      <c r="BC481" s="104"/>
      <c r="BD481" s="138"/>
      <c r="BE481" s="700"/>
      <c r="BF481" s="104"/>
      <c r="BG481" s="104"/>
      <c r="BH481" s="83"/>
      <c r="BI481" s="83"/>
      <c r="BJ481" s="138"/>
      <c r="BK481" s="26"/>
      <c r="BL481" s="26"/>
      <c r="BM481" s="26"/>
      <c r="BN481" s="26"/>
      <c r="BO481" s="138"/>
      <c r="BP481" s="138"/>
      <c r="BQ481" s="26"/>
      <c r="BR481" s="26"/>
      <c r="BS481" s="26"/>
      <c r="BT481" s="26"/>
      <c r="BU481" s="26"/>
      <c r="BV481" s="138"/>
      <c r="BW481" s="26"/>
      <c r="BX481" s="26"/>
      <c r="BY481" s="26"/>
      <c r="BZ481" s="26"/>
      <c r="CA481" s="26"/>
      <c r="CB481" s="138"/>
      <c r="CC481" s="26"/>
      <c r="CD481" s="26"/>
      <c r="CE481" s="26"/>
      <c r="CF481" s="26"/>
      <c r="CG481" s="26"/>
      <c r="CH481" s="138"/>
      <c r="CI481" s="26"/>
      <c r="CJ481" s="26"/>
      <c r="CK481" s="83"/>
      <c r="CL481" s="26"/>
      <c r="CM481" s="26"/>
      <c r="CN481" s="138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138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</row>
    <row r="482" spans="1:151" hidden="1" outlineLevel="1">
      <c r="A482" s="205" t="s">
        <v>5552</v>
      </c>
      <c r="B482" s="90"/>
      <c r="C482" s="26"/>
      <c r="D482" s="26"/>
      <c r="E482" s="26"/>
      <c r="F482" s="26"/>
      <c r="G482" s="26"/>
      <c r="H482" s="90"/>
      <c r="I482" s="26"/>
      <c r="J482" s="26"/>
      <c r="K482" s="26"/>
      <c r="L482" s="26"/>
      <c r="M482" s="26"/>
      <c r="N482" s="90"/>
      <c r="O482" s="26"/>
      <c r="P482" s="26"/>
      <c r="Q482" s="26"/>
      <c r="R482" s="26"/>
      <c r="S482" s="26"/>
      <c r="T482" s="90"/>
      <c r="U482" s="26"/>
      <c r="V482" s="26"/>
      <c r="W482" s="26"/>
      <c r="X482" s="26"/>
      <c r="Y482" s="26"/>
      <c r="Z482" s="90"/>
      <c r="AA482" s="26"/>
      <c r="AB482" s="26"/>
      <c r="AC482" s="26"/>
      <c r="AD482" s="26"/>
      <c r="AE482" s="26"/>
      <c r="AF482" s="90"/>
      <c r="AG482" s="26"/>
      <c r="AH482" s="26"/>
      <c r="AI482" s="26"/>
      <c r="AJ482" s="26"/>
      <c r="AK482" s="26"/>
      <c r="AL482" s="90"/>
      <c r="AM482" s="26"/>
      <c r="AN482" s="26"/>
      <c r="AO482" s="26"/>
      <c r="AP482" s="26"/>
      <c r="AQ482" s="26"/>
      <c r="AR482" s="90"/>
      <c r="AS482" s="26"/>
      <c r="AT482" s="26"/>
      <c r="AU482" s="26"/>
      <c r="AV482" s="26"/>
      <c r="AW482" s="26"/>
      <c r="AX482" s="90"/>
      <c r="AY482" s="83"/>
      <c r="AZ482" s="83"/>
      <c r="BA482" s="83"/>
      <c r="BB482" s="83"/>
      <c r="BC482" s="83"/>
      <c r="BD482" s="138"/>
      <c r="BE482" s="83"/>
      <c r="BF482" s="83"/>
      <c r="BG482" s="83"/>
      <c r="BH482" s="83"/>
      <c r="BI482" s="83"/>
      <c r="BJ482" s="138"/>
      <c r="BK482" s="26"/>
      <c r="BL482" s="26"/>
      <c r="BM482" s="26"/>
      <c r="BN482" s="26"/>
      <c r="BO482" s="138"/>
      <c r="BP482" s="138"/>
      <c r="BQ482" s="26"/>
      <c r="BR482" s="26"/>
      <c r="BS482" s="26"/>
      <c r="BT482" s="26"/>
      <c r="BU482" s="26"/>
      <c r="BV482" s="138"/>
      <c r="BW482" s="26"/>
      <c r="BX482" s="26"/>
      <c r="BY482" s="26"/>
      <c r="BZ482" s="26"/>
      <c r="CA482" s="26"/>
      <c r="CB482" s="138"/>
      <c r="CC482" s="26"/>
      <c r="CD482" s="26"/>
      <c r="CE482" s="26"/>
      <c r="CF482" s="26"/>
      <c r="CG482" s="26"/>
      <c r="CH482" s="138"/>
      <c r="CI482" s="26"/>
      <c r="CJ482" s="26"/>
      <c r="CK482" s="83"/>
      <c r="CL482" s="26"/>
      <c r="CM482" s="26"/>
      <c r="CN482" s="138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138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</row>
    <row r="483" spans="1:151" ht="4.5" hidden="1" customHeight="1" outlineLevel="1">
      <c r="A483" s="204"/>
      <c r="B483" s="90"/>
      <c r="C483" s="26"/>
      <c r="D483" s="26"/>
      <c r="E483" s="26"/>
      <c r="F483" s="26"/>
      <c r="G483" s="26"/>
      <c r="H483" s="90"/>
      <c r="I483" s="26"/>
      <c r="J483" s="26"/>
      <c r="K483" s="26"/>
      <c r="L483" s="26"/>
      <c r="M483" s="26"/>
      <c r="N483" s="90"/>
      <c r="O483" s="26"/>
      <c r="P483" s="26"/>
      <c r="Q483" s="26"/>
      <c r="R483" s="26"/>
      <c r="S483" s="26"/>
      <c r="T483" s="90"/>
      <c r="U483" s="26"/>
      <c r="V483" s="26"/>
      <c r="W483" s="26"/>
      <c r="X483" s="26"/>
      <c r="Y483" s="26"/>
      <c r="Z483" s="90"/>
      <c r="AA483" s="26"/>
      <c r="AB483" s="26"/>
      <c r="AC483" s="26"/>
      <c r="AD483" s="26"/>
      <c r="AE483" s="26"/>
      <c r="AF483" s="90"/>
      <c r="AG483" s="26"/>
      <c r="AH483" s="26"/>
      <c r="AI483" s="26"/>
      <c r="AJ483" s="26"/>
      <c r="AK483" s="26"/>
      <c r="AL483" s="90"/>
      <c r="AM483" s="26"/>
      <c r="AN483" s="26"/>
      <c r="AO483" s="26"/>
      <c r="AP483" s="26"/>
      <c r="AQ483" s="26"/>
      <c r="AR483" s="90"/>
      <c r="AS483" s="26"/>
      <c r="AT483" s="26"/>
      <c r="AU483" s="26"/>
      <c r="AV483" s="26"/>
      <c r="AW483" s="26"/>
      <c r="AX483" s="90"/>
      <c r="AY483" s="83"/>
      <c r="AZ483" s="83"/>
      <c r="BA483" s="83"/>
      <c r="BB483" s="83"/>
      <c r="BC483" s="83"/>
      <c r="BD483" s="138"/>
      <c r="BE483" s="83"/>
      <c r="BF483" s="83"/>
      <c r="BG483" s="83"/>
      <c r="BH483" s="83"/>
      <c r="BI483" s="83"/>
      <c r="BJ483" s="138"/>
      <c r="BK483" s="26"/>
      <c r="BL483" s="26"/>
      <c r="BM483" s="26"/>
      <c r="BN483" s="26"/>
      <c r="BO483" s="138"/>
      <c r="BP483" s="138"/>
      <c r="BQ483" s="26"/>
      <c r="BR483" s="26"/>
      <c r="BS483" s="26"/>
      <c r="BT483" s="26"/>
      <c r="BU483" s="26"/>
      <c r="BV483" s="138"/>
      <c r="BW483" s="26"/>
      <c r="BX483" s="26"/>
      <c r="BY483" s="26"/>
      <c r="BZ483" s="26"/>
      <c r="CA483" s="26"/>
      <c r="CB483" s="138"/>
      <c r="CC483" s="26"/>
      <c r="CD483" s="26"/>
      <c r="CE483" s="26"/>
      <c r="CF483" s="26"/>
      <c r="CG483" s="26"/>
      <c r="CH483" s="138"/>
      <c r="CI483" s="26"/>
      <c r="CJ483" s="26"/>
      <c r="CK483" s="83"/>
      <c r="CL483" s="26"/>
      <c r="CM483" s="26"/>
      <c r="CN483" s="138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138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</row>
    <row r="484" spans="1:151" hidden="1" outlineLevel="1">
      <c r="A484" s="202" t="s">
        <v>5978</v>
      </c>
      <c r="B484" s="90"/>
      <c r="C484" s="26"/>
      <c r="D484" s="26"/>
      <c r="E484" s="26"/>
      <c r="F484" s="26"/>
      <c r="G484" s="26"/>
      <c r="H484" s="90"/>
      <c r="I484" s="26"/>
      <c r="J484" s="26"/>
      <c r="K484" s="26"/>
      <c r="L484" s="26"/>
      <c r="M484" s="26"/>
      <c r="N484" s="90"/>
      <c r="O484" s="26"/>
      <c r="P484" s="26"/>
      <c r="Q484" s="26"/>
      <c r="R484" s="26"/>
      <c r="S484" s="26"/>
      <c r="T484" s="90"/>
      <c r="U484" s="26"/>
      <c r="V484" s="26"/>
      <c r="W484" s="26"/>
      <c r="X484" s="26"/>
      <c r="Y484" s="26"/>
      <c r="Z484" s="90"/>
      <c r="AA484" s="26"/>
      <c r="AB484" s="26"/>
      <c r="AC484" s="26"/>
      <c r="AD484" s="26"/>
      <c r="AE484" s="26"/>
      <c r="AF484" s="90"/>
      <c r="AG484" s="26"/>
      <c r="AH484" s="26"/>
      <c r="AI484" s="26"/>
      <c r="AJ484" s="26"/>
      <c r="AK484" s="26"/>
      <c r="AL484" s="90"/>
      <c r="AM484" s="26"/>
      <c r="AN484" s="26"/>
      <c r="AO484" s="26"/>
      <c r="AP484" s="26"/>
      <c r="AQ484" s="26"/>
      <c r="AR484" s="90"/>
      <c r="AS484" s="26"/>
      <c r="AT484" s="26"/>
      <c r="AU484" s="26"/>
      <c r="AV484" s="26"/>
      <c r="AW484" s="26"/>
      <c r="AX484" s="90"/>
      <c r="AY484" s="83"/>
      <c r="AZ484" s="83"/>
      <c r="BA484" s="83"/>
      <c r="BB484" s="83"/>
      <c r="BC484" s="104"/>
      <c r="BD484" s="138"/>
      <c r="BE484" s="83"/>
      <c r="BF484" s="83"/>
      <c r="BG484" s="83"/>
      <c r="BH484" s="83"/>
      <c r="BI484" s="83"/>
      <c r="BJ484" s="138"/>
      <c r="BK484" s="26"/>
      <c r="BL484" s="26"/>
      <c r="BM484" s="26"/>
      <c r="BN484" s="26"/>
      <c r="BO484" s="895" t="s">
        <v>6801</v>
      </c>
      <c r="BP484" s="895"/>
      <c r="BQ484" s="744" t="s">
        <v>6803</v>
      </c>
      <c r="BR484" s="744" t="s">
        <v>6804</v>
      </c>
      <c r="BS484" s="744" t="s">
        <v>6805</v>
      </c>
      <c r="BT484" s="744" t="s">
        <v>6802</v>
      </c>
      <c r="BU484" s="26"/>
      <c r="BV484" s="138"/>
      <c r="BW484" s="744" t="s">
        <v>6808</v>
      </c>
      <c r="BX484" s="744" t="s">
        <v>479</v>
      </c>
      <c r="BY484" s="744" t="s">
        <v>4333</v>
      </c>
      <c r="BZ484" s="26"/>
      <c r="CA484" s="26"/>
      <c r="CB484" s="138"/>
      <c r="CC484" s="26"/>
      <c r="CD484" s="26"/>
      <c r="CE484" s="26"/>
      <c r="CF484" s="26"/>
      <c r="CG484" s="26"/>
      <c r="CH484" s="138"/>
      <c r="CI484" s="26"/>
      <c r="CJ484" s="26"/>
      <c r="CK484" s="83"/>
      <c r="CL484" s="26"/>
      <c r="CM484" s="26"/>
      <c r="CN484" s="138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138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</row>
    <row r="485" spans="1:151" hidden="1" outlineLevel="1">
      <c r="A485" s="540" t="s">
        <v>4596</v>
      </c>
      <c r="B485" s="61"/>
      <c r="C485" s="44"/>
      <c r="D485" s="44"/>
      <c r="E485" s="44"/>
      <c r="F485" s="44"/>
      <c r="G485" s="44"/>
      <c r="H485" s="61"/>
      <c r="I485" s="44"/>
      <c r="J485" s="44"/>
      <c r="K485" s="44"/>
      <c r="L485" s="44"/>
      <c r="M485" s="44"/>
      <c r="N485" s="61"/>
      <c r="O485" s="44"/>
      <c r="P485" s="44"/>
      <c r="Q485" s="44"/>
      <c r="R485" s="44"/>
      <c r="S485" s="44"/>
      <c r="T485" s="61"/>
      <c r="U485" s="44"/>
      <c r="V485" s="44"/>
      <c r="W485" s="44"/>
      <c r="X485" s="44"/>
      <c r="Y485" s="44"/>
      <c r="Z485" s="61"/>
      <c r="AA485" s="44"/>
      <c r="AB485" s="44"/>
      <c r="AC485" s="44"/>
      <c r="AD485" s="44"/>
      <c r="AE485" s="44"/>
      <c r="AF485" s="61"/>
      <c r="AG485" s="44"/>
      <c r="AH485" s="44"/>
      <c r="AI485" s="44"/>
      <c r="AJ485" s="44"/>
      <c r="AK485" s="44"/>
      <c r="AL485" s="61"/>
      <c r="AM485" s="61"/>
      <c r="AN485" s="61">
        <v>210</v>
      </c>
      <c r="AO485" s="61">
        <v>200</v>
      </c>
      <c r="AP485" s="44"/>
      <c r="AQ485" s="44"/>
      <c r="AR485" s="61"/>
      <c r="AS485" s="61">
        <v>205</v>
      </c>
      <c r="AT485" s="61">
        <v>207</v>
      </c>
      <c r="AU485" s="61">
        <v>216</v>
      </c>
      <c r="AV485" s="61">
        <v>245</v>
      </c>
      <c r="AW485" s="44"/>
      <c r="AX485" s="61"/>
      <c r="AY485" s="62"/>
      <c r="AZ485" s="62"/>
      <c r="BA485" s="62"/>
      <c r="BB485" s="62"/>
      <c r="BC485" s="62"/>
      <c r="BD485" s="91"/>
      <c r="BE485" s="62"/>
      <c r="BF485" s="62"/>
      <c r="BG485" s="62"/>
      <c r="BH485" s="43"/>
      <c r="BI485" s="43"/>
      <c r="BJ485" s="91"/>
      <c r="BK485" s="44"/>
      <c r="BL485" s="44"/>
      <c r="BM485" s="44"/>
      <c r="BN485" s="44"/>
      <c r="BO485" s="91"/>
      <c r="BP485" s="91"/>
      <c r="BQ485" s="44">
        <v>505</v>
      </c>
      <c r="BR485" s="44">
        <v>520</v>
      </c>
      <c r="BS485" s="44">
        <v>575</v>
      </c>
      <c r="BT485" s="44">
        <v>575</v>
      </c>
      <c r="BU485" s="44"/>
      <c r="BV485" s="91"/>
      <c r="BW485" s="44">
        <v>590</v>
      </c>
      <c r="BX485" s="44">
        <v>605</v>
      </c>
      <c r="BY485" s="44">
        <v>660</v>
      </c>
      <c r="BZ485" s="44"/>
      <c r="CA485" s="44"/>
      <c r="CB485" s="91"/>
      <c r="CC485" s="44"/>
      <c r="CD485" s="44"/>
      <c r="CE485" s="44"/>
      <c r="CF485" s="44"/>
      <c r="CG485" s="44"/>
      <c r="CH485" s="91"/>
      <c r="CI485" s="44"/>
      <c r="CJ485" s="44"/>
      <c r="CK485" s="43"/>
      <c r="CL485" s="44"/>
      <c r="CM485" s="44"/>
      <c r="CN485" s="9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9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  <c r="EA485" s="61"/>
      <c r="EB485" s="61"/>
      <c r="EC485" s="61"/>
      <c r="ED485" s="61"/>
      <c r="EE485" s="61"/>
      <c r="EF485" s="61"/>
      <c r="EG485" s="61"/>
      <c r="EH485" s="61"/>
      <c r="EI485" s="61"/>
      <c r="EJ485" s="61"/>
      <c r="EK485" s="61"/>
      <c r="EL485" s="61"/>
      <c r="EM485" s="61"/>
      <c r="EN485" s="61"/>
      <c r="EO485" s="61"/>
      <c r="EP485" s="61"/>
      <c r="EQ485" s="61"/>
      <c r="ER485" s="61"/>
      <c r="ES485" s="61"/>
      <c r="ET485" s="61"/>
      <c r="EU485" s="61"/>
    </row>
    <row r="486" spans="1:151" hidden="1" outlineLevel="1">
      <c r="A486" s="540" t="s">
        <v>4595</v>
      </c>
      <c r="B486" s="61"/>
      <c r="C486" s="44"/>
      <c r="D486" s="44"/>
      <c r="E486" s="44"/>
      <c r="F486" s="44"/>
      <c r="G486" s="44"/>
      <c r="H486" s="61"/>
      <c r="I486" s="44"/>
      <c r="J486" s="44"/>
      <c r="K486" s="44"/>
      <c r="L486" s="44"/>
      <c r="M486" s="44"/>
      <c r="N486" s="61"/>
      <c r="O486" s="44"/>
      <c r="P486" s="44"/>
      <c r="Q486" s="44"/>
      <c r="R486" s="44"/>
      <c r="S486" s="44"/>
      <c r="T486" s="61"/>
      <c r="U486" s="44"/>
      <c r="V486" s="44"/>
      <c r="W486" s="44"/>
      <c r="X486" s="44"/>
      <c r="Y486" s="44"/>
      <c r="Z486" s="61"/>
      <c r="AA486" s="44"/>
      <c r="AB486" s="44"/>
      <c r="AC486" s="44"/>
      <c r="AD486" s="44"/>
      <c r="AE486" s="44"/>
      <c r="AF486" s="61"/>
      <c r="AG486" s="44"/>
      <c r="AH486" s="44"/>
      <c r="AI486" s="44"/>
      <c r="AJ486" s="44"/>
      <c r="AK486" s="44"/>
      <c r="AL486" s="61"/>
      <c r="AM486" s="61"/>
      <c r="AN486" s="61">
        <v>220</v>
      </c>
      <c r="AO486" s="61">
        <v>210</v>
      </c>
      <c r="AP486" s="44"/>
      <c r="AQ486" s="44"/>
      <c r="AR486" s="61"/>
      <c r="AS486" s="61">
        <v>210</v>
      </c>
      <c r="AT486" s="61">
        <v>212</v>
      </c>
      <c r="AU486" s="61">
        <v>221</v>
      </c>
      <c r="AV486" s="61">
        <v>255</v>
      </c>
      <c r="AW486" s="44"/>
      <c r="AX486" s="61"/>
      <c r="AY486" s="62"/>
      <c r="AZ486" s="62"/>
      <c r="BA486" s="62"/>
      <c r="BB486" s="62"/>
      <c r="BC486" s="62"/>
      <c r="BD486" s="91"/>
      <c r="BE486" s="62"/>
      <c r="BF486" s="62"/>
      <c r="BG486" s="62"/>
      <c r="BH486" s="43"/>
      <c r="BI486" s="43"/>
      <c r="BJ486" s="91"/>
      <c r="BK486" s="44"/>
      <c r="BL486" s="44"/>
      <c r="BM486" s="44"/>
      <c r="BN486" s="44"/>
      <c r="BO486" s="91"/>
      <c r="BP486" s="91"/>
      <c r="BQ486" s="44">
        <v>515</v>
      </c>
      <c r="BR486" s="44">
        <v>530</v>
      </c>
      <c r="BS486" s="44">
        <v>585</v>
      </c>
      <c r="BT486" s="44">
        <v>585</v>
      </c>
      <c r="BU486" s="44"/>
      <c r="BV486" s="91"/>
      <c r="BW486" s="44">
        <v>590</v>
      </c>
      <c r="BX486" s="44">
        <v>620</v>
      </c>
      <c r="BY486" s="44">
        <v>680</v>
      </c>
      <c r="BZ486" s="44"/>
      <c r="CA486" s="44"/>
      <c r="CB486" s="91"/>
      <c r="CC486" s="44"/>
      <c r="CD486" s="44"/>
      <c r="CE486" s="44"/>
      <c r="CF486" s="44"/>
      <c r="CG486" s="44"/>
      <c r="CH486" s="91"/>
      <c r="CI486" s="44"/>
      <c r="CJ486" s="44"/>
      <c r="CK486" s="43"/>
      <c r="CL486" s="44"/>
      <c r="CM486" s="44"/>
      <c r="CN486" s="9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9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  <c r="EA486" s="61"/>
      <c r="EB486" s="61"/>
      <c r="EC486" s="61"/>
      <c r="ED486" s="61"/>
      <c r="EE486" s="61"/>
      <c r="EF486" s="61"/>
      <c r="EG486" s="61"/>
      <c r="EH486" s="61"/>
      <c r="EI486" s="61"/>
      <c r="EJ486" s="61"/>
      <c r="EK486" s="61"/>
      <c r="EL486" s="61"/>
      <c r="EM486" s="61"/>
      <c r="EN486" s="61"/>
      <c r="EO486" s="61"/>
      <c r="EP486" s="61"/>
      <c r="EQ486" s="61"/>
      <c r="ER486" s="61"/>
      <c r="ES486" s="61"/>
      <c r="ET486" s="61"/>
      <c r="EU486" s="61"/>
    </row>
    <row r="487" spans="1:151" hidden="1" outlineLevel="1">
      <c r="A487" s="747" t="s">
        <v>4597</v>
      </c>
      <c r="B487" s="61"/>
      <c r="C487" s="61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4">
        <f>Model!O70</f>
        <v>6.133</v>
      </c>
      <c r="P487" s="64">
        <f>Model!P70</f>
        <v>8.9580000000000002</v>
      </c>
      <c r="Q487" s="64">
        <f>Model!Q70</f>
        <v>7.4050000000000002</v>
      </c>
      <c r="R487" s="64">
        <f>Model!R70</f>
        <v>7.3090000000000002</v>
      </c>
      <c r="S487" s="61"/>
      <c r="T487" s="61"/>
      <c r="U487" s="64">
        <f>Model!U70</f>
        <v>29.024999999999999</v>
      </c>
      <c r="V487" s="64">
        <f>Model!V70</f>
        <v>7.7930000000000001</v>
      </c>
      <c r="W487" s="64">
        <f>Model!W70</f>
        <v>22.529</v>
      </c>
      <c r="X487" s="64">
        <f>Model!X70</f>
        <v>6.0250000000000004</v>
      </c>
      <c r="Y487" s="61"/>
      <c r="Z487" s="61"/>
      <c r="AA487" s="64">
        <f>Model!AA70</f>
        <v>6.9880000000000004</v>
      </c>
      <c r="AB487" s="64">
        <f>Model!AB70</f>
        <v>7.2720000000000002</v>
      </c>
      <c r="AC487" s="64">
        <f>Model!AC70</f>
        <v>5.4219999999999997</v>
      </c>
      <c r="AD487" s="64">
        <f>Model!AD70</f>
        <v>5.6130000000000004</v>
      </c>
      <c r="AE487" s="61"/>
      <c r="AF487" s="61"/>
      <c r="AG487" s="64">
        <f>Model!AG70</f>
        <v>5.3070000000000004</v>
      </c>
      <c r="AH487" s="64">
        <f>Model!AH70</f>
        <v>14.948</v>
      </c>
      <c r="AI487" s="64">
        <f>Model!AI70</f>
        <v>3.0269999999999992</v>
      </c>
      <c r="AJ487" s="64">
        <f>Model!AJ70</f>
        <v>21.79</v>
      </c>
      <c r="AK487" s="61"/>
      <c r="AL487" s="61"/>
      <c r="AM487" s="64">
        <f>Model!AM70</f>
        <v>1.542</v>
      </c>
      <c r="AN487" s="64">
        <f>Model!AN70</f>
        <v>3.7349999999999999</v>
      </c>
      <c r="AO487" s="64">
        <f>Model!AO70</f>
        <v>13.286</v>
      </c>
      <c r="AP487" s="64">
        <f>Model!AP70</f>
        <v>7.3239999999999998</v>
      </c>
      <c r="AQ487" s="61"/>
      <c r="AR487" s="61"/>
      <c r="AS487" s="194">
        <f>Model!AS70</f>
        <v>0</v>
      </c>
      <c r="AT487" s="194">
        <f>Model!AT70</f>
        <v>0</v>
      </c>
      <c r="AU487" s="64">
        <f>Model!AU70</f>
        <v>0</v>
      </c>
      <c r="AV487" s="64">
        <f>Model!AV70</f>
        <v>3.1829999999999998</v>
      </c>
      <c r="AW487" s="61"/>
      <c r="AX487" s="61"/>
      <c r="AY487" s="363"/>
      <c r="AZ487" s="363"/>
      <c r="BA487" s="363"/>
      <c r="BB487" s="363"/>
      <c r="BC487" s="363"/>
      <c r="BD487" s="270"/>
      <c r="BE487" s="363"/>
      <c r="BF487" s="363"/>
      <c r="BG487" s="363"/>
      <c r="BH487" s="363"/>
      <c r="BI487" s="62"/>
      <c r="BJ487" s="270"/>
      <c r="BK487" s="363"/>
      <c r="BL487" s="363"/>
      <c r="BM487" s="363"/>
      <c r="BN487" s="61"/>
      <c r="BO487" s="270"/>
      <c r="BP487" s="270"/>
      <c r="BQ487" s="363">
        <f>Model!BR31</f>
        <v>525.90000000000009</v>
      </c>
      <c r="BR487" s="363">
        <f>Model!BS31</f>
        <v>538.4</v>
      </c>
      <c r="BS487" s="363">
        <f>Model!BT31</f>
        <v>599.1</v>
      </c>
      <c r="BT487" s="363">
        <f>Model!BW31</f>
        <v>598.79999999999995</v>
      </c>
      <c r="BU487" s="61"/>
      <c r="BV487" s="270"/>
      <c r="BW487" s="363">
        <f>Model!BX31</f>
        <v>619.5</v>
      </c>
      <c r="BX487" s="363">
        <f>Model!BY31</f>
        <v>607.1</v>
      </c>
      <c r="BY487" s="363">
        <f>Model!BZ31</f>
        <v>489.8</v>
      </c>
      <c r="BZ487" s="61"/>
      <c r="CA487" s="61"/>
      <c r="CB487" s="270"/>
      <c r="CC487" s="61"/>
      <c r="CD487" s="61"/>
      <c r="CE487" s="61"/>
      <c r="CF487" s="61"/>
      <c r="CG487" s="61"/>
      <c r="CH487" s="270"/>
      <c r="CI487" s="61"/>
      <c r="CJ487" s="61"/>
      <c r="CK487" s="62"/>
      <c r="CL487" s="61"/>
      <c r="CM487" s="61"/>
      <c r="CN487" s="270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270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  <c r="EA487" s="61"/>
      <c r="EB487" s="61"/>
      <c r="EC487" s="61"/>
      <c r="ED487" s="61"/>
      <c r="EE487" s="61"/>
      <c r="EF487" s="61"/>
      <c r="EG487" s="61"/>
      <c r="EH487" s="61"/>
      <c r="EI487" s="61"/>
      <c r="EJ487" s="61"/>
      <c r="EK487" s="61"/>
      <c r="EL487" s="61"/>
      <c r="EM487" s="61"/>
      <c r="EN487" s="61"/>
      <c r="EO487" s="61"/>
      <c r="EP487" s="61"/>
      <c r="EQ487" s="61"/>
      <c r="ER487" s="61"/>
      <c r="ES487" s="61"/>
      <c r="ET487" s="61"/>
      <c r="EU487" s="61"/>
    </row>
    <row r="488" spans="1:151" hidden="1" outlineLevel="1">
      <c r="A488" s="202"/>
      <c r="B488" s="90"/>
      <c r="C488" s="26"/>
      <c r="D488" s="26"/>
      <c r="E488" s="26"/>
      <c r="F488" s="26"/>
      <c r="G488" s="26"/>
      <c r="H488" s="90"/>
      <c r="I488" s="26"/>
      <c r="J488" s="26"/>
      <c r="K488" s="26"/>
      <c r="L488" s="26"/>
      <c r="M488" s="26"/>
      <c r="N488" s="90"/>
      <c r="O488" s="26"/>
      <c r="P488" s="26"/>
      <c r="Q488" s="26"/>
      <c r="R488" s="26"/>
      <c r="S488" s="26"/>
      <c r="T488" s="90"/>
      <c r="U488" s="26"/>
      <c r="V488" s="26"/>
      <c r="W488" s="26"/>
      <c r="X488" s="26"/>
      <c r="Y488" s="26"/>
      <c r="Z488" s="90"/>
      <c r="AA488" s="26"/>
      <c r="AB488" s="26"/>
      <c r="AC488" s="26"/>
      <c r="AD488" s="26"/>
      <c r="AE488" s="26"/>
      <c r="AF488" s="90"/>
      <c r="AG488" s="26"/>
      <c r="AH488" s="26"/>
      <c r="AI488" s="26"/>
      <c r="AJ488" s="26"/>
      <c r="AK488" s="26"/>
      <c r="AL488" s="90"/>
      <c r="AM488" s="26"/>
      <c r="AN488" s="26"/>
      <c r="AO488" s="90"/>
      <c r="AP488" s="26"/>
      <c r="AQ488" s="26"/>
      <c r="AR488" s="90"/>
      <c r="AS488" s="38"/>
      <c r="AT488" s="38"/>
      <c r="AU488" s="38"/>
      <c r="AV488" s="38"/>
      <c r="AW488" s="26"/>
      <c r="AX488" s="90"/>
      <c r="AY488" s="38"/>
      <c r="AZ488" s="787"/>
      <c r="BA488" s="787"/>
      <c r="BB488" s="787"/>
      <c r="BC488" s="286"/>
      <c r="BD488" s="138"/>
      <c r="BE488" s="787"/>
      <c r="BF488" s="787"/>
      <c r="BG488" s="38"/>
      <c r="BH488" s="38"/>
      <c r="BI488" s="83"/>
      <c r="BJ488" s="138"/>
      <c r="BK488" s="38"/>
      <c r="BL488" s="38"/>
      <c r="BM488" s="38"/>
      <c r="BN488" s="38"/>
      <c r="BO488" s="138"/>
      <c r="BP488" s="138"/>
      <c r="BQ488" s="38"/>
      <c r="BR488" s="26"/>
      <c r="BS488" s="26"/>
      <c r="BT488" s="26"/>
      <c r="BU488" s="26"/>
      <c r="BV488" s="138"/>
      <c r="BW488" s="26"/>
      <c r="BX488" s="26"/>
      <c r="BY488" s="26"/>
      <c r="BZ488" s="26"/>
      <c r="CA488" s="26"/>
      <c r="CB488" s="138"/>
      <c r="CC488" s="26"/>
      <c r="CD488" s="26"/>
      <c r="CE488" s="26"/>
      <c r="CF488" s="26"/>
      <c r="CG488" s="26"/>
      <c r="CH488" s="138"/>
      <c r="CI488" s="26"/>
      <c r="CJ488" s="26"/>
      <c r="CK488" s="83"/>
      <c r="CL488" s="26"/>
      <c r="CM488" s="26"/>
      <c r="CN488" s="138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138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</row>
    <row r="489" spans="1:151" hidden="1" outlineLevel="1">
      <c r="A489" s="901" t="s">
        <v>6809</v>
      </c>
      <c r="B489" s="902"/>
      <c r="C489" s="902"/>
      <c r="D489" s="902"/>
      <c r="E489" s="902"/>
      <c r="F489" s="902"/>
      <c r="G489" s="902"/>
      <c r="H489" s="902"/>
      <c r="I489" s="902"/>
      <c r="J489" s="902"/>
      <c r="K489" s="902"/>
      <c r="L489" s="902"/>
      <c r="M489" s="902"/>
      <c r="N489" s="902"/>
      <c r="O489" s="902"/>
      <c r="P489" s="902"/>
      <c r="Q489" s="902"/>
      <c r="R489" s="902"/>
      <c r="S489" s="902"/>
      <c r="T489" s="902"/>
      <c r="U489" s="902"/>
      <c r="V489" s="902"/>
      <c r="W489" s="902"/>
      <c r="X489" s="902"/>
      <c r="Y489" s="902"/>
      <c r="Z489" s="902"/>
      <c r="AA489" s="902"/>
      <c r="AB489" s="902"/>
      <c r="AC489" s="902"/>
      <c r="AD489" s="902"/>
      <c r="AE489" s="902"/>
      <c r="AF489" s="902"/>
      <c r="AG489" s="902"/>
      <c r="AH489" s="902"/>
      <c r="AI489" s="902"/>
      <c r="AJ489" s="902"/>
      <c r="AK489" s="902"/>
      <c r="AL489" s="902"/>
      <c r="AM489" s="902"/>
      <c r="AN489" s="902"/>
      <c r="AO489" s="902"/>
      <c r="AP489" s="902"/>
      <c r="AQ489" s="902"/>
      <c r="AR489" s="902"/>
      <c r="AS489" s="687"/>
      <c r="AT489" s="687"/>
      <c r="AU489" s="687"/>
      <c r="AV489" s="687"/>
      <c r="AW489" s="902"/>
      <c r="AX489" s="902"/>
      <c r="AY489" s="687"/>
      <c r="AZ489" s="903"/>
      <c r="BA489" s="903"/>
      <c r="BB489" s="903"/>
      <c r="BC489" s="904"/>
      <c r="BD489" s="905"/>
      <c r="BE489" s="903"/>
      <c r="BF489" s="903"/>
      <c r="BG489" s="687"/>
      <c r="BH489" s="687"/>
      <c r="BI489" s="906"/>
      <c r="BJ489" s="905"/>
      <c r="BK489" s="687"/>
      <c r="BL489" s="687"/>
      <c r="BM489" s="687"/>
      <c r="BN489" s="687"/>
      <c r="BO489" s="905"/>
      <c r="BP489" s="905"/>
      <c r="BQ489" s="687"/>
      <c r="BR489" s="902"/>
      <c r="BS489" s="902"/>
      <c r="BT489" s="902"/>
      <c r="BU489" s="902"/>
      <c r="BV489" s="905"/>
      <c r="BW489" s="902"/>
      <c r="BX489" s="902"/>
      <c r="BY489" s="26"/>
      <c r="BZ489" s="26"/>
      <c r="CA489" s="26"/>
      <c r="CB489" s="138"/>
      <c r="CC489" s="26"/>
      <c r="CD489" s="26"/>
      <c r="CE489" s="26"/>
      <c r="CF489" s="26"/>
      <c r="CG489" s="26"/>
      <c r="CH489" s="138"/>
      <c r="CI489" s="26"/>
      <c r="CJ489" s="26"/>
      <c r="CK489" s="83"/>
      <c r="CL489" s="26"/>
      <c r="CM489" s="26"/>
      <c r="CN489" s="138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138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</row>
    <row r="490" spans="1:151" hidden="1" outlineLevel="1">
      <c r="A490" s="907" t="s">
        <v>4596</v>
      </c>
      <c r="B490" s="902"/>
      <c r="C490" s="902"/>
      <c r="D490" s="902"/>
      <c r="E490" s="902"/>
      <c r="F490" s="902"/>
      <c r="G490" s="902"/>
      <c r="H490" s="902"/>
      <c r="I490" s="902"/>
      <c r="J490" s="902"/>
      <c r="K490" s="902"/>
      <c r="L490" s="902"/>
      <c r="M490" s="902"/>
      <c r="N490" s="902"/>
      <c r="O490" s="902"/>
      <c r="P490" s="902"/>
      <c r="Q490" s="902"/>
      <c r="R490" s="902"/>
      <c r="S490" s="902"/>
      <c r="T490" s="902"/>
      <c r="U490" s="902"/>
      <c r="V490" s="902"/>
      <c r="W490" s="902"/>
      <c r="X490" s="902"/>
      <c r="Y490" s="902"/>
      <c r="Z490" s="902"/>
      <c r="AA490" s="902"/>
      <c r="AB490" s="902"/>
      <c r="AC490" s="902"/>
      <c r="AD490" s="902"/>
      <c r="AE490" s="902"/>
      <c r="AF490" s="902"/>
      <c r="AG490" s="902"/>
      <c r="AH490" s="902"/>
      <c r="AI490" s="902"/>
      <c r="AJ490" s="902"/>
      <c r="AK490" s="902"/>
      <c r="AL490" s="902"/>
      <c r="AM490" s="902"/>
      <c r="AN490" s="902"/>
      <c r="AO490" s="902"/>
      <c r="AP490" s="902"/>
      <c r="AQ490" s="902"/>
      <c r="AR490" s="902"/>
      <c r="AS490" s="687"/>
      <c r="AT490" s="687"/>
      <c r="AU490" s="687"/>
      <c r="AV490" s="687"/>
      <c r="AW490" s="902"/>
      <c r="AX490" s="902"/>
      <c r="AY490" s="687"/>
      <c r="AZ490" s="903"/>
      <c r="BA490" s="903"/>
      <c r="BB490" s="903"/>
      <c r="BC490" s="904"/>
      <c r="BD490" s="905"/>
      <c r="BE490" s="903"/>
      <c r="BF490" s="903"/>
      <c r="BG490" s="687"/>
      <c r="BH490" s="687"/>
      <c r="BI490" s="906"/>
      <c r="BJ490" s="905"/>
      <c r="BK490" s="687"/>
      <c r="BL490" s="687"/>
      <c r="BM490" s="687"/>
      <c r="BN490" s="687"/>
      <c r="BO490" s="905"/>
      <c r="BP490" s="905"/>
      <c r="BQ490" s="687"/>
      <c r="BR490" s="902"/>
      <c r="BS490" s="902"/>
      <c r="BT490" s="902"/>
      <c r="BU490" s="902"/>
      <c r="BV490" s="905"/>
      <c r="BW490" s="902">
        <v>600</v>
      </c>
      <c r="BX490" s="902">
        <v>615</v>
      </c>
      <c r="BY490" s="26"/>
      <c r="BZ490" s="26"/>
      <c r="CA490" s="26"/>
      <c r="CB490" s="138"/>
      <c r="CC490" s="26"/>
      <c r="CD490" s="26"/>
      <c r="CE490" s="26"/>
      <c r="CF490" s="26"/>
      <c r="CG490" s="26"/>
      <c r="CH490" s="138"/>
      <c r="CI490" s="26"/>
      <c r="CJ490" s="26"/>
      <c r="CK490" s="83"/>
      <c r="CL490" s="26"/>
      <c r="CM490" s="26"/>
      <c r="CN490" s="138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138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</row>
    <row r="491" spans="1:151" hidden="1" outlineLevel="1">
      <c r="A491" s="907" t="s">
        <v>4595</v>
      </c>
      <c r="B491" s="902"/>
      <c r="C491" s="902"/>
      <c r="D491" s="902"/>
      <c r="E491" s="902"/>
      <c r="F491" s="902"/>
      <c r="G491" s="902"/>
      <c r="H491" s="902"/>
      <c r="I491" s="902"/>
      <c r="J491" s="902"/>
      <c r="K491" s="902"/>
      <c r="L491" s="902"/>
      <c r="M491" s="902"/>
      <c r="N491" s="902"/>
      <c r="O491" s="902"/>
      <c r="P491" s="902"/>
      <c r="Q491" s="902"/>
      <c r="R491" s="902"/>
      <c r="S491" s="902"/>
      <c r="T491" s="902"/>
      <c r="U491" s="902"/>
      <c r="V491" s="902"/>
      <c r="W491" s="902"/>
      <c r="X491" s="902"/>
      <c r="Y491" s="902"/>
      <c r="Z491" s="902"/>
      <c r="AA491" s="902"/>
      <c r="AB491" s="902"/>
      <c r="AC491" s="902"/>
      <c r="AD491" s="902"/>
      <c r="AE491" s="902"/>
      <c r="AF491" s="902"/>
      <c r="AG491" s="902"/>
      <c r="AH491" s="902"/>
      <c r="AI491" s="902"/>
      <c r="AJ491" s="902"/>
      <c r="AK491" s="902"/>
      <c r="AL491" s="902"/>
      <c r="AM491" s="902"/>
      <c r="AN491" s="902"/>
      <c r="AO491" s="902"/>
      <c r="AP491" s="902"/>
      <c r="AQ491" s="902"/>
      <c r="AR491" s="902"/>
      <c r="AS491" s="687"/>
      <c r="AT491" s="687"/>
      <c r="AU491" s="687"/>
      <c r="AV491" s="687"/>
      <c r="AW491" s="902"/>
      <c r="AX491" s="902"/>
      <c r="AY491" s="687"/>
      <c r="AZ491" s="903"/>
      <c r="BA491" s="903"/>
      <c r="BB491" s="903"/>
      <c r="BC491" s="904"/>
      <c r="BD491" s="905"/>
      <c r="BE491" s="903"/>
      <c r="BF491" s="903"/>
      <c r="BG491" s="687"/>
      <c r="BH491" s="687"/>
      <c r="BI491" s="906"/>
      <c r="BJ491" s="905"/>
      <c r="BK491" s="687"/>
      <c r="BL491" s="687"/>
      <c r="BM491" s="687"/>
      <c r="BN491" s="687"/>
      <c r="BO491" s="905"/>
      <c r="BP491" s="905"/>
      <c r="BQ491" s="687"/>
      <c r="BR491" s="902"/>
      <c r="BS491" s="902"/>
      <c r="BT491" s="902"/>
      <c r="BU491" s="902"/>
      <c r="BV491" s="905"/>
      <c r="BW491" s="902">
        <v>610</v>
      </c>
      <c r="BX491" s="902">
        <v>630</v>
      </c>
      <c r="BY491" s="26"/>
      <c r="BZ491" s="26"/>
      <c r="CA491" s="26"/>
      <c r="CB491" s="138"/>
      <c r="CC491" s="26"/>
      <c r="CD491" s="26"/>
      <c r="CE491" s="26"/>
      <c r="CF491" s="26"/>
      <c r="CG491" s="26"/>
      <c r="CH491" s="138"/>
      <c r="CI491" s="26"/>
      <c r="CJ491" s="26"/>
      <c r="CK491" s="83"/>
      <c r="CL491" s="26"/>
      <c r="CM491" s="26"/>
      <c r="CN491" s="138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138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</row>
    <row r="492" spans="1:151" hidden="1" outlineLevel="1">
      <c r="A492" s="908" t="s">
        <v>4597</v>
      </c>
      <c r="B492" s="902"/>
      <c r="C492" s="902"/>
      <c r="D492" s="902"/>
      <c r="E492" s="902"/>
      <c r="F492" s="902"/>
      <c r="G492" s="902"/>
      <c r="H492" s="902"/>
      <c r="I492" s="902"/>
      <c r="J492" s="902"/>
      <c r="K492" s="902"/>
      <c r="L492" s="902"/>
      <c r="M492" s="902"/>
      <c r="N492" s="902"/>
      <c r="O492" s="902"/>
      <c r="P492" s="902"/>
      <c r="Q492" s="902"/>
      <c r="R492" s="902"/>
      <c r="S492" s="902"/>
      <c r="T492" s="902"/>
      <c r="U492" s="902"/>
      <c r="V492" s="902"/>
      <c r="W492" s="902"/>
      <c r="X492" s="902"/>
      <c r="Y492" s="902"/>
      <c r="Z492" s="902"/>
      <c r="AA492" s="902"/>
      <c r="AB492" s="902"/>
      <c r="AC492" s="902"/>
      <c r="AD492" s="902"/>
      <c r="AE492" s="902"/>
      <c r="AF492" s="902"/>
      <c r="AG492" s="902"/>
      <c r="AH492" s="902"/>
      <c r="AI492" s="902"/>
      <c r="AJ492" s="902"/>
      <c r="AK492" s="902"/>
      <c r="AL492" s="902"/>
      <c r="AM492" s="902"/>
      <c r="AN492" s="902"/>
      <c r="AO492" s="902"/>
      <c r="AP492" s="902"/>
      <c r="AQ492" s="902"/>
      <c r="AR492" s="902"/>
      <c r="AS492" s="687"/>
      <c r="AT492" s="687"/>
      <c r="AU492" s="687"/>
      <c r="AV492" s="687"/>
      <c r="AW492" s="902"/>
      <c r="AX492" s="902"/>
      <c r="AY492" s="687"/>
      <c r="AZ492" s="903"/>
      <c r="BA492" s="903"/>
      <c r="BB492" s="903"/>
      <c r="BC492" s="904"/>
      <c r="BD492" s="905"/>
      <c r="BE492" s="903"/>
      <c r="BF492" s="903"/>
      <c r="BG492" s="687"/>
      <c r="BH492" s="687"/>
      <c r="BI492" s="906"/>
      <c r="BJ492" s="905"/>
      <c r="BK492" s="687"/>
      <c r="BL492" s="687"/>
      <c r="BM492" s="687"/>
      <c r="BN492" s="687"/>
      <c r="BO492" s="905"/>
      <c r="BP492" s="905"/>
      <c r="BQ492" s="687"/>
      <c r="BR492" s="902"/>
      <c r="BS492" s="902"/>
      <c r="BT492" s="902"/>
      <c r="BU492" s="902"/>
      <c r="BV492" s="905"/>
      <c r="BW492" s="909">
        <f>Model!BX31</f>
        <v>619.5</v>
      </c>
      <c r="BX492" s="909">
        <f>Model!BY31</f>
        <v>607.1</v>
      </c>
      <c r="BY492" s="26"/>
      <c r="BZ492" s="26"/>
      <c r="CA492" s="26"/>
      <c r="CB492" s="138"/>
      <c r="CC492" s="26"/>
      <c r="CD492" s="26"/>
      <c r="CE492" s="26"/>
      <c r="CF492" s="26"/>
      <c r="CG492" s="26"/>
      <c r="CH492" s="138"/>
      <c r="CI492" s="26"/>
      <c r="CJ492" s="26"/>
      <c r="CK492" s="83"/>
      <c r="CL492" s="26"/>
      <c r="CM492" s="26"/>
      <c r="CN492" s="138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138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</row>
    <row r="493" spans="1:151" hidden="1" outlineLevel="1">
      <c r="A493" s="202"/>
      <c r="B493" s="90"/>
      <c r="C493" s="26"/>
      <c r="D493" s="26"/>
      <c r="E493" s="26"/>
      <c r="F493" s="26"/>
      <c r="G493" s="26"/>
      <c r="H493" s="90"/>
      <c r="I493" s="26"/>
      <c r="J493" s="26"/>
      <c r="K493" s="26"/>
      <c r="L493" s="26"/>
      <c r="M493" s="26"/>
      <c r="N493" s="90"/>
      <c r="O493" s="26"/>
      <c r="P493" s="26"/>
      <c r="Q493" s="26"/>
      <c r="R493" s="26"/>
      <c r="S493" s="26"/>
      <c r="T493" s="90"/>
      <c r="U493" s="26"/>
      <c r="V493" s="26"/>
      <c r="W493" s="26"/>
      <c r="X493" s="26"/>
      <c r="Y493" s="26"/>
      <c r="Z493" s="90"/>
      <c r="AA493" s="26"/>
      <c r="AB493" s="26"/>
      <c r="AC493" s="26"/>
      <c r="AD493" s="26"/>
      <c r="AE493" s="26"/>
      <c r="AF493" s="90"/>
      <c r="AG493" s="26"/>
      <c r="AH493" s="26"/>
      <c r="AI493" s="26"/>
      <c r="AJ493" s="26"/>
      <c r="AK493" s="26"/>
      <c r="AL493" s="90"/>
      <c r="AM493" s="26"/>
      <c r="AN493" s="26"/>
      <c r="AO493" s="90"/>
      <c r="AP493" s="26"/>
      <c r="AQ493" s="26"/>
      <c r="AR493" s="90"/>
      <c r="AS493" s="38"/>
      <c r="AT493" s="38">
        <f>AT487/(AVERAGE(AT485:AT486))-1</f>
        <v>-1</v>
      </c>
      <c r="AU493" s="38">
        <f>AU487/(AVERAGE(AU485:AU486))-1</f>
        <v>-1</v>
      </c>
      <c r="AV493" s="38">
        <f>AV487/(AVERAGE(AV485:AV486))-1</f>
        <v>-0.98726800000000003</v>
      </c>
      <c r="AW493" s="26"/>
      <c r="AX493" s="90"/>
      <c r="AY493" s="38"/>
      <c r="AZ493" s="787"/>
      <c r="BA493" s="787"/>
      <c r="BB493" s="787"/>
      <c r="BC493" s="286"/>
      <c r="BD493" s="138"/>
      <c r="BE493" s="787"/>
      <c r="BF493" s="787"/>
      <c r="BG493" s="38"/>
      <c r="BH493" s="38"/>
      <c r="BI493" s="83"/>
      <c r="BJ493" s="138"/>
      <c r="BK493" s="38"/>
      <c r="BL493" s="38"/>
      <c r="BM493" s="38"/>
      <c r="BN493" s="26"/>
      <c r="BO493" s="138"/>
      <c r="BP493" s="138"/>
      <c r="BQ493" s="38">
        <f>BQ487/(AVERAGE(BQ485:BQ486))-1</f>
        <v>3.1176470588235583E-2</v>
      </c>
      <c r="BR493" s="26"/>
      <c r="BS493" s="26"/>
      <c r="BT493" s="26"/>
      <c r="BU493" s="26"/>
      <c r="BV493" s="138"/>
      <c r="BW493" s="26"/>
      <c r="BX493" s="26"/>
      <c r="BY493" s="26"/>
      <c r="BZ493" s="26"/>
      <c r="CA493" s="26"/>
      <c r="CB493" s="138"/>
      <c r="CC493" s="26"/>
      <c r="CD493" s="26"/>
      <c r="CE493" s="26"/>
      <c r="CF493" s="26"/>
      <c r="CG493" s="26"/>
      <c r="CH493" s="138"/>
      <c r="CI493" s="26"/>
      <c r="CJ493" s="26"/>
      <c r="CK493" s="83"/>
      <c r="CL493" s="26"/>
      <c r="CM493" s="26"/>
      <c r="CN493" s="138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138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</row>
    <row r="494" spans="1:151" hidden="1" outlineLevel="1">
      <c r="A494" s="202" t="s">
        <v>4683</v>
      </c>
      <c r="B494" s="90"/>
      <c r="C494" s="26"/>
      <c r="D494" s="26"/>
      <c r="E494" s="26"/>
      <c r="F494" s="26"/>
      <c r="G494" s="26"/>
      <c r="H494" s="90"/>
      <c r="I494" s="26"/>
      <c r="J494" s="26"/>
      <c r="K494" s="26"/>
      <c r="L494" s="26"/>
      <c r="M494" s="26"/>
      <c r="N494" s="90"/>
      <c r="O494" s="26"/>
      <c r="P494" s="26"/>
      <c r="Q494" s="26"/>
      <c r="R494" s="26"/>
      <c r="S494" s="26"/>
      <c r="T494" s="90"/>
      <c r="U494" s="26"/>
      <c r="V494" s="26"/>
      <c r="W494" s="26"/>
      <c r="X494" s="26"/>
      <c r="Y494" s="26"/>
      <c r="Z494" s="90"/>
      <c r="AA494" s="26"/>
      <c r="AB494" s="26"/>
      <c r="AC494" s="26"/>
      <c r="AD494" s="26"/>
      <c r="AE494" s="26"/>
      <c r="AF494" s="90"/>
      <c r="AG494" s="26"/>
      <c r="AH494" s="26"/>
      <c r="AI494" s="26"/>
      <c r="AJ494" s="26"/>
      <c r="AK494" s="26"/>
      <c r="AL494" s="90"/>
      <c r="AM494" s="26"/>
      <c r="AN494" s="26"/>
      <c r="AO494" s="90"/>
      <c r="AP494" s="26"/>
      <c r="AQ494" s="26"/>
      <c r="AR494" s="90"/>
      <c r="AS494" s="26"/>
      <c r="AT494" s="90"/>
      <c r="AU494" s="26"/>
      <c r="AV494" s="26"/>
      <c r="AW494" s="26"/>
      <c r="AX494" s="90"/>
      <c r="AY494" s="83"/>
      <c r="AZ494" s="83"/>
      <c r="BA494" s="83"/>
      <c r="BB494" s="104"/>
      <c r="BC494" s="104"/>
      <c r="BD494" s="138"/>
      <c r="BE494" s="104"/>
      <c r="BF494" s="104"/>
      <c r="BG494" s="104"/>
      <c r="BH494" s="83"/>
      <c r="BI494" s="83"/>
      <c r="BJ494" s="138"/>
      <c r="BK494" s="26"/>
      <c r="BL494" s="26"/>
      <c r="BM494" s="26"/>
      <c r="BN494" s="26"/>
      <c r="BO494" s="138"/>
      <c r="BP494" s="138"/>
      <c r="BQ494" s="26"/>
      <c r="BR494" s="26"/>
      <c r="BS494" s="26"/>
      <c r="BT494" s="26"/>
      <c r="BU494" s="26"/>
      <c r="BV494" s="138"/>
      <c r="BW494" s="26"/>
      <c r="BX494" s="26"/>
      <c r="BY494" s="26"/>
      <c r="BZ494" s="26"/>
      <c r="CA494" s="26"/>
      <c r="CB494" s="138"/>
      <c r="CC494" s="26"/>
      <c r="CD494" s="26"/>
      <c r="CE494" s="26"/>
      <c r="CF494" s="26"/>
      <c r="CG494" s="26"/>
      <c r="CH494" s="138"/>
      <c r="CI494" s="26"/>
      <c r="CJ494" s="26"/>
      <c r="CK494" s="83"/>
      <c r="CL494" s="26"/>
      <c r="CM494" s="26"/>
      <c r="CN494" s="138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138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</row>
    <row r="495" spans="1:151" hidden="1" outlineLevel="1">
      <c r="A495" s="538" t="s">
        <v>4596</v>
      </c>
      <c r="B495" s="108"/>
      <c r="C495" s="36"/>
      <c r="D495" s="36"/>
      <c r="E495" s="36"/>
      <c r="F495" s="36"/>
      <c r="G495" s="36"/>
      <c r="H495" s="108"/>
      <c r="I495" s="36"/>
      <c r="J495" s="36"/>
      <c r="K495" s="36"/>
      <c r="L495" s="36"/>
      <c r="M495" s="36"/>
      <c r="N495" s="108"/>
      <c r="O495" s="36"/>
      <c r="P495" s="36"/>
      <c r="Q495" s="36"/>
      <c r="R495" s="36"/>
      <c r="S495" s="36"/>
      <c r="T495" s="108"/>
      <c r="U495" s="36"/>
      <c r="V495" s="36"/>
      <c r="W495" s="36"/>
      <c r="X495" s="36"/>
      <c r="Y495" s="36"/>
      <c r="Z495" s="108"/>
      <c r="AA495" s="36"/>
      <c r="AB495" s="36"/>
      <c r="AC495" s="36"/>
      <c r="AD495" s="36"/>
      <c r="AE495" s="36"/>
      <c r="AF495" s="108"/>
      <c r="AG495" s="36"/>
      <c r="AH495" s="36"/>
      <c r="AI495" s="36"/>
      <c r="AJ495" s="36"/>
      <c r="AK495" s="36"/>
      <c r="AL495" s="108"/>
      <c r="AM495" s="36"/>
      <c r="AN495" s="36"/>
      <c r="AO495" s="108"/>
      <c r="AP495" s="36"/>
      <c r="AQ495" s="36"/>
      <c r="AR495" s="108"/>
      <c r="AS495" s="36"/>
      <c r="AT495" s="108"/>
      <c r="AU495" s="108"/>
      <c r="AV495" s="108"/>
      <c r="AW495" s="36"/>
      <c r="AX495" s="108"/>
      <c r="AY495" s="108"/>
      <c r="AZ495" s="109"/>
      <c r="BA495" s="109"/>
      <c r="BB495" s="109"/>
      <c r="BC495" s="109"/>
      <c r="BD495" s="150"/>
      <c r="BE495" s="109"/>
      <c r="BF495" s="109"/>
      <c r="BG495" s="109"/>
      <c r="BH495" s="274"/>
      <c r="BI495" s="274"/>
      <c r="BJ495" s="150"/>
      <c r="BK495" s="36"/>
      <c r="BL495" s="36"/>
      <c r="BM495" s="36"/>
      <c r="BN495" s="36"/>
      <c r="BO495" s="150"/>
      <c r="BP495" s="150"/>
      <c r="BQ495" s="36"/>
      <c r="BR495" s="36"/>
      <c r="BS495" s="36">
        <v>0.42</v>
      </c>
      <c r="BT495" s="36">
        <v>0.42</v>
      </c>
      <c r="BU495" s="36"/>
      <c r="BV495" s="150"/>
      <c r="BW495" s="36">
        <v>0.4</v>
      </c>
      <c r="BX495" s="36">
        <v>0.42</v>
      </c>
      <c r="BY495" s="36">
        <v>0.52</v>
      </c>
      <c r="BZ495" s="36"/>
      <c r="CA495" s="36"/>
      <c r="CB495" s="150"/>
      <c r="CC495" s="36"/>
      <c r="CD495" s="36"/>
      <c r="CE495" s="36"/>
      <c r="CF495" s="36"/>
      <c r="CG495" s="36"/>
      <c r="CH495" s="150"/>
      <c r="CI495" s="36"/>
      <c r="CJ495" s="36"/>
      <c r="CK495" s="274"/>
      <c r="CL495" s="36"/>
      <c r="CM495" s="36"/>
      <c r="CN495" s="150"/>
      <c r="CO495" s="108"/>
      <c r="CP495" s="108"/>
      <c r="CQ495" s="108"/>
      <c r="CR495" s="108"/>
      <c r="CS495" s="108"/>
      <c r="CT495" s="108"/>
      <c r="CU495" s="108"/>
      <c r="CV495" s="108"/>
      <c r="CW495" s="108"/>
      <c r="CX495" s="108"/>
      <c r="CY495" s="108"/>
      <c r="CZ495" s="108"/>
      <c r="DA495" s="108"/>
      <c r="DB495" s="108"/>
      <c r="DC495" s="108"/>
      <c r="DD495" s="108"/>
      <c r="DE495" s="108"/>
      <c r="DF495" s="108"/>
      <c r="DG495" s="108"/>
      <c r="DH495" s="108"/>
      <c r="DI495" s="108"/>
      <c r="DJ495" s="108"/>
      <c r="DK495" s="108"/>
      <c r="DL495" s="150"/>
      <c r="DM495" s="108"/>
      <c r="DN495" s="108"/>
      <c r="DO495" s="108"/>
      <c r="DP495" s="108"/>
      <c r="DQ495" s="108"/>
      <c r="DR495" s="108"/>
      <c r="DS495" s="108"/>
      <c r="DT495" s="108"/>
      <c r="DU495" s="108"/>
      <c r="DV495" s="108"/>
      <c r="DW495" s="108"/>
      <c r="DX495" s="108"/>
      <c r="DY495" s="108"/>
      <c r="DZ495" s="108"/>
      <c r="EA495" s="108"/>
      <c r="EB495" s="108"/>
      <c r="EC495" s="108"/>
      <c r="ED495" s="108"/>
      <c r="EE495" s="108"/>
      <c r="EF495" s="108"/>
      <c r="EG495" s="108"/>
      <c r="EH495" s="108"/>
      <c r="EI495" s="108"/>
      <c r="EJ495" s="108"/>
      <c r="EK495" s="108"/>
      <c r="EL495" s="108"/>
      <c r="EM495" s="108"/>
      <c r="EN495" s="108"/>
      <c r="EO495" s="108"/>
      <c r="EP495" s="108"/>
      <c r="EQ495" s="108"/>
      <c r="ER495" s="108"/>
      <c r="ES495" s="108"/>
      <c r="ET495" s="108"/>
      <c r="EU495" s="108"/>
    </row>
    <row r="496" spans="1:151" hidden="1" outlineLevel="1">
      <c r="A496" s="538" t="s">
        <v>4595</v>
      </c>
      <c r="B496" s="108"/>
      <c r="C496" s="36"/>
      <c r="D496" s="36"/>
      <c r="E496" s="36"/>
      <c r="F496" s="36"/>
      <c r="G496" s="36"/>
      <c r="H496" s="108"/>
      <c r="I496" s="36"/>
      <c r="J496" s="36"/>
      <c r="K496" s="36"/>
      <c r="L496" s="36"/>
      <c r="M496" s="36"/>
      <c r="N496" s="108"/>
      <c r="O496" s="36"/>
      <c r="P496" s="36"/>
      <c r="Q496" s="36"/>
      <c r="R496" s="36"/>
      <c r="S496" s="36"/>
      <c r="T496" s="108"/>
      <c r="U496" s="36"/>
      <c r="V496" s="36"/>
      <c r="W496" s="36"/>
      <c r="X496" s="36"/>
      <c r="Y496" s="36"/>
      <c r="Z496" s="108"/>
      <c r="AA496" s="36"/>
      <c r="AB496" s="36"/>
      <c r="AC496" s="36"/>
      <c r="AD496" s="36"/>
      <c r="AE496" s="36"/>
      <c r="AF496" s="108"/>
      <c r="AG496" s="36"/>
      <c r="AH496" s="36"/>
      <c r="AI496" s="36"/>
      <c r="AJ496" s="36"/>
      <c r="AK496" s="36"/>
      <c r="AL496" s="108"/>
      <c r="AM496" s="36"/>
      <c r="AN496" s="36"/>
      <c r="AO496" s="108"/>
      <c r="AP496" s="36"/>
      <c r="AQ496" s="36"/>
      <c r="AR496" s="108"/>
      <c r="AS496" s="36"/>
      <c r="AT496" s="108"/>
      <c r="AU496" s="108"/>
      <c r="AV496" s="108"/>
      <c r="AW496" s="36"/>
      <c r="AX496" s="108"/>
      <c r="AY496" s="108"/>
      <c r="AZ496" s="109"/>
      <c r="BA496" s="109"/>
      <c r="BB496" s="109"/>
      <c r="BC496" s="109"/>
      <c r="BD496" s="150"/>
      <c r="BE496" s="109"/>
      <c r="BF496" s="109"/>
      <c r="BG496" s="109"/>
      <c r="BH496" s="274"/>
      <c r="BI496" s="274"/>
      <c r="BJ496" s="150"/>
      <c r="BK496" s="36"/>
      <c r="BL496" s="36"/>
      <c r="BM496" s="36"/>
      <c r="BN496" s="36"/>
      <c r="BO496" s="150"/>
      <c r="BP496" s="150"/>
      <c r="BQ496" s="36"/>
      <c r="BR496" s="36"/>
      <c r="BS496" s="36">
        <v>0.44</v>
      </c>
      <c r="BT496" s="36">
        <v>0.44</v>
      </c>
      <c r="BU496" s="36"/>
      <c r="BV496" s="150"/>
      <c r="BW496" s="36">
        <v>0.4</v>
      </c>
      <c r="BX496" s="36">
        <v>0.45</v>
      </c>
      <c r="BY496" s="36">
        <v>0.56000000000000005</v>
      </c>
      <c r="BZ496" s="36"/>
      <c r="CA496" s="36"/>
      <c r="CB496" s="150"/>
      <c r="CC496" s="36"/>
      <c r="CD496" s="36"/>
      <c r="CE496" s="36"/>
      <c r="CF496" s="36"/>
      <c r="CG496" s="36"/>
      <c r="CH496" s="150"/>
      <c r="CI496" s="36"/>
      <c r="CJ496" s="36"/>
      <c r="CK496" s="274"/>
      <c r="CL496" s="36"/>
      <c r="CM496" s="36"/>
      <c r="CN496" s="150"/>
      <c r="CO496" s="108"/>
      <c r="CP496" s="108"/>
      <c r="CQ496" s="108"/>
      <c r="CR496" s="108"/>
      <c r="CS496" s="108"/>
      <c r="CT496" s="108"/>
      <c r="CU496" s="108"/>
      <c r="CV496" s="108"/>
      <c r="CW496" s="108"/>
      <c r="CX496" s="108"/>
      <c r="CY496" s="108"/>
      <c r="CZ496" s="108"/>
      <c r="DA496" s="108"/>
      <c r="DB496" s="108"/>
      <c r="DC496" s="108"/>
      <c r="DD496" s="108"/>
      <c r="DE496" s="108"/>
      <c r="DF496" s="108"/>
      <c r="DG496" s="108"/>
      <c r="DH496" s="108"/>
      <c r="DI496" s="108"/>
      <c r="DJ496" s="108"/>
      <c r="DK496" s="108"/>
      <c r="DL496" s="150"/>
      <c r="DM496" s="108"/>
      <c r="DN496" s="108"/>
      <c r="DO496" s="108"/>
      <c r="DP496" s="108"/>
      <c r="DQ496" s="108"/>
      <c r="DR496" s="108"/>
      <c r="DS496" s="108"/>
      <c r="DT496" s="108"/>
      <c r="DU496" s="108"/>
      <c r="DV496" s="108"/>
      <c r="DW496" s="108"/>
      <c r="DX496" s="108"/>
      <c r="DY496" s="108"/>
      <c r="DZ496" s="108"/>
      <c r="EA496" s="108"/>
      <c r="EB496" s="108"/>
      <c r="EC496" s="108"/>
      <c r="ED496" s="108"/>
      <c r="EE496" s="108"/>
      <c r="EF496" s="108"/>
      <c r="EG496" s="108"/>
      <c r="EH496" s="108"/>
      <c r="EI496" s="108"/>
      <c r="EJ496" s="108"/>
      <c r="EK496" s="108"/>
      <c r="EL496" s="108"/>
      <c r="EM496" s="108"/>
      <c r="EN496" s="108"/>
      <c r="EO496" s="108"/>
      <c r="EP496" s="108"/>
      <c r="EQ496" s="108"/>
      <c r="ER496" s="108"/>
      <c r="ES496" s="108"/>
      <c r="ET496" s="108"/>
      <c r="EU496" s="108"/>
    </row>
    <row r="497" spans="1:197" hidden="1" outlineLevel="1">
      <c r="A497" s="746" t="s">
        <v>4597</v>
      </c>
      <c r="B497" s="108"/>
      <c r="C497" s="108"/>
      <c r="D497" s="108"/>
      <c r="E497" s="108"/>
      <c r="F497" s="108"/>
      <c r="G497" s="108"/>
      <c r="H497" s="108"/>
      <c r="I497" s="108"/>
      <c r="J497" s="108"/>
      <c r="K497" s="108"/>
      <c r="L497" s="108"/>
      <c r="M497" s="108"/>
      <c r="N497" s="108"/>
      <c r="O497" s="529">
        <f>Model!O183</f>
        <v>0</v>
      </c>
      <c r="P497" s="529">
        <f>Model!P183</f>
        <v>0</v>
      </c>
      <c r="Q497" s="529">
        <f>Model!Q183</f>
        <v>0</v>
      </c>
      <c r="R497" s="529">
        <f>Model!R183</f>
        <v>0</v>
      </c>
      <c r="S497" s="529"/>
      <c r="T497" s="108"/>
      <c r="U497" s="529">
        <f>Model!U183</f>
        <v>0</v>
      </c>
      <c r="V497" s="529">
        <f>Model!V183</f>
        <v>0</v>
      </c>
      <c r="W497" s="529">
        <f>Model!W183</f>
        <v>0</v>
      </c>
      <c r="X497" s="529">
        <f>Model!X183</f>
        <v>0</v>
      </c>
      <c r="Y497" s="529"/>
      <c r="Z497" s="108"/>
      <c r="AA497" s="529">
        <f>Model!AA183</f>
        <v>0</v>
      </c>
      <c r="AB497" s="529">
        <f>Model!AB183</f>
        <v>0</v>
      </c>
      <c r="AC497" s="529">
        <f>Model!AC183</f>
        <v>0</v>
      </c>
      <c r="AD497" s="529">
        <f>Model!AD183</f>
        <v>0</v>
      </c>
      <c r="AE497" s="529"/>
      <c r="AF497" s="108"/>
      <c r="AG497" s="529">
        <f>Model!AG183</f>
        <v>0</v>
      </c>
      <c r="AH497" s="529">
        <f>Model!AH183</f>
        <v>0</v>
      </c>
      <c r="AI497" s="529">
        <f>Model!AI183</f>
        <v>0</v>
      </c>
      <c r="AJ497" s="529">
        <f>Model!AJ183</f>
        <v>0</v>
      </c>
      <c r="AK497" s="529"/>
      <c r="AL497" s="108"/>
      <c r="AM497" s="529">
        <f>Model!AM183</f>
        <v>0</v>
      </c>
      <c r="AN497" s="529">
        <f>Model!AN183</f>
        <v>0</v>
      </c>
      <c r="AO497" s="529">
        <f>Model!AO183</f>
        <v>0</v>
      </c>
      <c r="AP497" s="529">
        <f>Model!AP183</f>
        <v>0</v>
      </c>
      <c r="AQ497" s="529"/>
      <c r="AR497" s="108"/>
      <c r="AS497" s="529">
        <f>Model!AS183</f>
        <v>0</v>
      </c>
      <c r="AT497" s="529">
        <f>Model!AT183</f>
        <v>0</v>
      </c>
      <c r="AU497" s="529">
        <f>Model!AU183</f>
        <v>0</v>
      </c>
      <c r="AV497" s="529">
        <f>Model!AV183</f>
        <v>0</v>
      </c>
      <c r="AW497" s="529"/>
      <c r="AX497" s="108"/>
      <c r="AY497" s="700"/>
      <c r="AZ497" s="700"/>
      <c r="BA497" s="700"/>
      <c r="BB497" s="700"/>
      <c r="BC497" s="700"/>
      <c r="BD497" s="607"/>
      <c r="BE497" s="700"/>
      <c r="BF497" s="700"/>
      <c r="BG497" s="700"/>
      <c r="BH497" s="700"/>
      <c r="BI497" s="109"/>
      <c r="BJ497" s="607"/>
      <c r="BK497" s="700"/>
      <c r="BL497" s="700"/>
      <c r="BM497" s="700"/>
      <c r="BN497" s="108"/>
      <c r="BO497" s="607"/>
      <c r="BP497" s="607"/>
      <c r="BQ497" s="529">
        <f>Model!BR150</f>
        <v>0.37494883340155571</v>
      </c>
      <c r="BR497" s="529">
        <f>Model!BS150</f>
        <v>0.35152298993516706</v>
      </c>
      <c r="BS497" s="529">
        <f>Model!BT150</f>
        <v>0.40309106098579783</v>
      </c>
      <c r="BT497" s="529">
        <f>Model!BW150</f>
        <v>0.40618291112065225</v>
      </c>
      <c r="BU497" s="108"/>
      <c r="BV497" s="607"/>
      <c r="BW497" s="529">
        <f>Model!BX150</f>
        <v>0.38861336864608487</v>
      </c>
      <c r="BX497" s="529">
        <f>Model!BY150</f>
        <v>0.45355902777777807</v>
      </c>
      <c r="BY497" s="529">
        <f>Model!BZ150</f>
        <v>-0.46531153336279285</v>
      </c>
      <c r="BZ497" s="108"/>
      <c r="CA497" s="108"/>
      <c r="CB497" s="607"/>
      <c r="CC497" s="108"/>
      <c r="CD497" s="108"/>
      <c r="CE497" s="108"/>
      <c r="CF497" s="108"/>
      <c r="CG497" s="108"/>
      <c r="CH497" s="607"/>
      <c r="CI497" s="108"/>
      <c r="CJ497" s="108"/>
      <c r="CK497" s="109"/>
      <c r="CL497" s="108"/>
      <c r="CM497" s="108"/>
      <c r="CN497" s="607"/>
      <c r="CO497" s="108"/>
      <c r="CP497" s="108"/>
      <c r="CQ497" s="108"/>
      <c r="CR497" s="108"/>
      <c r="CS497" s="108"/>
      <c r="CT497" s="108"/>
      <c r="CU497" s="108"/>
      <c r="CV497" s="108"/>
      <c r="CW497" s="108"/>
      <c r="CX497" s="108"/>
      <c r="CY497" s="108"/>
      <c r="CZ497" s="108"/>
      <c r="DA497" s="108"/>
      <c r="DB497" s="108"/>
      <c r="DC497" s="108"/>
      <c r="DD497" s="108"/>
      <c r="DE497" s="108"/>
      <c r="DF497" s="108"/>
      <c r="DG497" s="108"/>
      <c r="DH497" s="108"/>
      <c r="DI497" s="108"/>
      <c r="DJ497" s="108"/>
      <c r="DK497" s="108"/>
      <c r="DL497" s="607"/>
      <c r="DM497" s="108"/>
      <c r="DN497" s="108"/>
      <c r="DO497" s="108"/>
      <c r="DP497" s="108"/>
      <c r="DQ497" s="108"/>
      <c r="DR497" s="108"/>
      <c r="DS497" s="108"/>
      <c r="DT497" s="108"/>
      <c r="DU497" s="108"/>
      <c r="DV497" s="108"/>
      <c r="DW497" s="108"/>
      <c r="DX497" s="108"/>
      <c r="DY497" s="108"/>
      <c r="DZ497" s="108"/>
      <c r="EA497" s="108"/>
      <c r="EB497" s="108"/>
      <c r="EC497" s="108"/>
      <c r="ED497" s="108"/>
      <c r="EE497" s="108"/>
      <c r="EF497" s="108"/>
      <c r="EG497" s="108"/>
      <c r="EH497" s="108"/>
      <c r="EI497" s="108"/>
      <c r="EJ497" s="108"/>
      <c r="EK497" s="108"/>
      <c r="EL497" s="108"/>
      <c r="EM497" s="108"/>
      <c r="EN497" s="108"/>
      <c r="EO497" s="108"/>
      <c r="EP497" s="108"/>
      <c r="EQ497" s="108"/>
      <c r="ER497" s="108"/>
      <c r="ES497" s="108"/>
      <c r="ET497" s="108"/>
      <c r="EU497" s="108"/>
    </row>
    <row r="498" spans="1:197" hidden="1" outlineLevel="1">
      <c r="A498" s="538"/>
      <c r="B498" s="108"/>
      <c r="C498" s="36"/>
      <c r="D498" s="36"/>
      <c r="E498" s="36"/>
      <c r="F498" s="36"/>
      <c r="G498" s="36"/>
      <c r="H498" s="108"/>
      <c r="I498" s="36"/>
      <c r="J498" s="36"/>
      <c r="K498" s="36"/>
      <c r="L498" s="36"/>
      <c r="M498" s="36"/>
      <c r="N498" s="108"/>
      <c r="O498" s="36"/>
      <c r="P498" s="36"/>
      <c r="Q498" s="36"/>
      <c r="R498" s="36"/>
      <c r="S498" s="36"/>
      <c r="T498" s="108"/>
      <c r="U498" s="36"/>
      <c r="V498" s="36"/>
      <c r="W498" s="36"/>
      <c r="X498" s="36"/>
      <c r="Y498" s="36"/>
      <c r="Z498" s="108"/>
      <c r="AA498" s="36"/>
      <c r="AB498" s="36"/>
      <c r="AC498" s="36"/>
      <c r="AD498" s="36"/>
      <c r="AE498" s="36"/>
      <c r="AF498" s="108"/>
      <c r="AG498" s="36"/>
      <c r="AH498" s="36"/>
      <c r="AI498" s="36"/>
      <c r="AJ498" s="36"/>
      <c r="AK498" s="36"/>
      <c r="AL498" s="108"/>
      <c r="AM498" s="36"/>
      <c r="AN498" s="36"/>
      <c r="AO498" s="108"/>
      <c r="AP498" s="36"/>
      <c r="AQ498" s="108"/>
      <c r="AR498" s="108"/>
      <c r="AS498" s="36"/>
      <c r="AT498" s="108"/>
      <c r="AU498" s="36"/>
      <c r="AV498" s="108"/>
      <c r="AW498" s="108"/>
      <c r="AX498" s="108"/>
      <c r="AY498" s="274"/>
      <c r="AZ498" s="274"/>
      <c r="BA498" s="274"/>
      <c r="BB498" s="109"/>
      <c r="BC498" s="109"/>
      <c r="BD498" s="150"/>
      <c r="BE498" s="109"/>
      <c r="BF498" s="109"/>
      <c r="BG498" s="109"/>
      <c r="BH498" s="274"/>
      <c r="BI498" s="274"/>
      <c r="BJ498" s="150"/>
      <c r="BK498" s="36"/>
      <c r="BL498" s="36"/>
      <c r="BM498" s="36"/>
      <c r="BN498" s="36"/>
      <c r="BO498" s="150"/>
      <c r="BP498" s="150"/>
      <c r="BQ498" s="36"/>
      <c r="BR498" s="36"/>
      <c r="BS498" s="36"/>
      <c r="BT498" s="36"/>
      <c r="BU498" s="36"/>
      <c r="BV498" s="150"/>
      <c r="BW498" s="36"/>
      <c r="BX498" s="36"/>
      <c r="BY498" s="36"/>
      <c r="BZ498" s="36"/>
      <c r="CA498" s="36"/>
      <c r="CB498" s="150"/>
      <c r="CC498" s="36"/>
      <c r="CD498" s="36"/>
      <c r="CE498" s="36"/>
      <c r="CF498" s="36"/>
      <c r="CG498" s="36"/>
      <c r="CH498" s="150"/>
      <c r="CI498" s="36"/>
      <c r="CJ498" s="36"/>
      <c r="CK498" s="274"/>
      <c r="CL498" s="36"/>
      <c r="CM498" s="36"/>
      <c r="CN498" s="150"/>
      <c r="CO498" s="108"/>
      <c r="CP498" s="108"/>
      <c r="CQ498" s="108"/>
      <c r="CR498" s="108"/>
      <c r="CS498" s="108"/>
      <c r="CT498" s="108"/>
      <c r="CU498" s="108"/>
      <c r="CV498" s="108"/>
      <c r="CW498" s="108"/>
      <c r="CX498" s="108"/>
      <c r="CY498" s="108"/>
      <c r="CZ498" s="108"/>
      <c r="DA498" s="108"/>
      <c r="DB498" s="108"/>
      <c r="DC498" s="108"/>
      <c r="DD498" s="108"/>
      <c r="DE498" s="108"/>
      <c r="DF498" s="108"/>
      <c r="DG498" s="108"/>
      <c r="DH498" s="108"/>
      <c r="DI498" s="108"/>
      <c r="DJ498" s="108"/>
      <c r="DK498" s="108"/>
      <c r="DL498" s="150"/>
      <c r="DM498" s="108"/>
      <c r="DN498" s="108"/>
      <c r="DO498" s="108"/>
      <c r="DP498" s="108"/>
      <c r="DQ498" s="108"/>
      <c r="DR498" s="108"/>
      <c r="DS498" s="108"/>
      <c r="DT498" s="108"/>
      <c r="DU498" s="108"/>
      <c r="DV498" s="108"/>
      <c r="DW498" s="108"/>
      <c r="DX498" s="108"/>
      <c r="DY498" s="108"/>
      <c r="DZ498" s="108"/>
      <c r="EA498" s="108"/>
      <c r="EB498" s="108"/>
      <c r="EC498" s="108"/>
      <c r="ED498" s="108"/>
      <c r="EE498" s="108"/>
      <c r="EF498" s="108"/>
      <c r="EG498" s="108"/>
      <c r="EH498" s="108"/>
      <c r="EI498" s="108"/>
      <c r="EJ498" s="108"/>
      <c r="EK498" s="108"/>
      <c r="EL498" s="108"/>
      <c r="EM498" s="108"/>
      <c r="EN498" s="108"/>
      <c r="EO498" s="108"/>
      <c r="EP498" s="108"/>
      <c r="EQ498" s="108"/>
      <c r="ER498" s="108"/>
      <c r="ES498" s="108"/>
      <c r="ET498" s="108"/>
      <c r="EU498" s="108"/>
    </row>
    <row r="499" spans="1:197" hidden="1" outlineLevel="1">
      <c r="A499" s="538" t="s">
        <v>5649</v>
      </c>
      <c r="B499" s="108"/>
      <c r="C499" s="36"/>
      <c r="D499" s="36"/>
      <c r="E499" s="36"/>
      <c r="F499" s="36"/>
      <c r="G499" s="36"/>
      <c r="H499" s="108"/>
      <c r="I499" s="36"/>
      <c r="J499" s="36"/>
      <c r="K499" s="36"/>
      <c r="L499" s="36"/>
      <c r="M499" s="36"/>
      <c r="N499" s="108"/>
      <c r="O499" s="36"/>
      <c r="P499" s="36"/>
      <c r="Q499" s="36"/>
      <c r="R499" s="36"/>
      <c r="S499" s="36"/>
      <c r="T499" s="108"/>
      <c r="U499" s="36"/>
      <c r="V499" s="36"/>
      <c r="W499" s="36"/>
      <c r="X499" s="36"/>
      <c r="Y499" s="36"/>
      <c r="Z499" s="108"/>
      <c r="AA499" s="36"/>
      <c r="AB499" s="36"/>
      <c r="AC499" s="36"/>
      <c r="AD499" s="36"/>
      <c r="AE499" s="36"/>
      <c r="AF499" s="108"/>
      <c r="AG499" s="36"/>
      <c r="AH499" s="36"/>
      <c r="AI499" s="36"/>
      <c r="AJ499" s="36"/>
      <c r="AK499" s="36"/>
      <c r="AL499" s="108"/>
      <c r="AM499" s="36"/>
      <c r="AN499" s="36"/>
      <c r="AO499" s="108"/>
      <c r="AP499" s="36"/>
      <c r="AQ499" s="108"/>
      <c r="AR499" s="108"/>
      <c r="AS499" s="36"/>
      <c r="AT499" s="108"/>
      <c r="AU499" s="108"/>
      <c r="AV499" s="108"/>
      <c r="AW499" s="108"/>
      <c r="AX499" s="108"/>
      <c r="AY499" s="108"/>
      <c r="AZ499" s="108"/>
      <c r="BA499" s="108"/>
      <c r="BB499" s="108"/>
      <c r="BC499" s="109"/>
      <c r="BD499" s="150"/>
      <c r="BE499" s="108"/>
      <c r="BF499" s="108"/>
      <c r="BG499" s="109"/>
      <c r="BH499" s="274"/>
      <c r="BI499" s="274"/>
      <c r="BJ499" s="150"/>
      <c r="BK499" s="36"/>
      <c r="BL499" s="36"/>
      <c r="BM499" s="36"/>
      <c r="BN499" s="36"/>
      <c r="BO499" s="150"/>
      <c r="BP499" s="150"/>
      <c r="BQ499" s="36"/>
      <c r="BR499" s="36"/>
      <c r="BS499" s="36"/>
      <c r="BT499" s="36"/>
      <c r="BU499" s="36"/>
      <c r="BV499" s="150"/>
      <c r="BW499" s="36"/>
      <c r="BX499" s="36"/>
      <c r="BY499" s="36"/>
      <c r="BZ499" s="36"/>
      <c r="CA499" s="36"/>
      <c r="CB499" s="150"/>
      <c r="CC499" s="36"/>
      <c r="CD499" s="36"/>
      <c r="CE499" s="36"/>
      <c r="CF499" s="36"/>
      <c r="CG499" s="36"/>
      <c r="CH499" s="150"/>
      <c r="CI499" s="36"/>
      <c r="CJ499" s="36"/>
      <c r="CK499" s="274"/>
      <c r="CL499" s="36"/>
      <c r="CM499" s="36"/>
      <c r="CN499" s="150"/>
      <c r="CO499" s="108"/>
      <c r="CP499" s="108"/>
      <c r="CQ499" s="108"/>
      <c r="CR499" s="108"/>
      <c r="CS499" s="108"/>
      <c r="CT499" s="108"/>
      <c r="CU499" s="108"/>
      <c r="CV499" s="108"/>
      <c r="CW499" s="108"/>
      <c r="CX499" s="108"/>
      <c r="CY499" s="108"/>
      <c r="CZ499" s="108"/>
      <c r="DA499" s="108"/>
      <c r="DB499" s="108"/>
      <c r="DC499" s="108"/>
      <c r="DD499" s="108"/>
      <c r="DE499" s="108"/>
      <c r="DF499" s="108"/>
      <c r="DG499" s="108"/>
      <c r="DH499" s="108"/>
      <c r="DI499" s="108"/>
      <c r="DJ499" s="108"/>
      <c r="DK499" s="108"/>
      <c r="DL499" s="150"/>
      <c r="DM499" s="108"/>
      <c r="DN499" s="108"/>
      <c r="DO499" s="108"/>
      <c r="DP499" s="108"/>
      <c r="DQ499" s="108"/>
      <c r="DR499" s="108"/>
      <c r="DS499" s="108"/>
      <c r="DT499" s="108"/>
      <c r="DU499" s="108"/>
      <c r="DV499" s="108"/>
      <c r="DW499" s="108"/>
      <c r="DX499" s="108"/>
      <c r="DY499" s="108"/>
      <c r="DZ499" s="108"/>
      <c r="EA499" s="108"/>
      <c r="EB499" s="108"/>
      <c r="EC499" s="108"/>
      <c r="ED499" s="108"/>
      <c r="EE499" s="108"/>
      <c r="EF499" s="108"/>
      <c r="EG499" s="108"/>
      <c r="EH499" s="108"/>
      <c r="EI499" s="108"/>
      <c r="EJ499" s="108"/>
      <c r="EK499" s="108"/>
      <c r="EL499" s="108"/>
      <c r="EM499" s="108"/>
      <c r="EN499" s="108"/>
      <c r="EO499" s="108"/>
      <c r="EP499" s="108"/>
      <c r="EQ499" s="108"/>
      <c r="ER499" s="108"/>
      <c r="ES499" s="108"/>
      <c r="ET499" s="108"/>
      <c r="EU499" s="108"/>
    </row>
    <row r="500" spans="1:197" hidden="1" outlineLevel="1">
      <c r="A500" s="538" t="s">
        <v>4596</v>
      </c>
      <c r="B500" s="108"/>
      <c r="C500" s="36"/>
      <c r="D500" s="36"/>
      <c r="E500" s="36"/>
      <c r="F500" s="36"/>
      <c r="G500" s="36"/>
      <c r="H500" s="108"/>
      <c r="I500" s="36"/>
      <c r="J500" s="36"/>
      <c r="K500" s="36"/>
      <c r="L500" s="36"/>
      <c r="M500" s="36"/>
      <c r="N500" s="108"/>
      <c r="O500" s="36"/>
      <c r="P500" s="36"/>
      <c r="Q500" s="36"/>
      <c r="R500" s="36"/>
      <c r="S500" s="36"/>
      <c r="T500" s="108"/>
      <c r="U500" s="36"/>
      <c r="V500" s="36"/>
      <c r="W500" s="36"/>
      <c r="X500" s="36"/>
      <c r="Y500" s="36"/>
      <c r="Z500" s="108"/>
      <c r="AA500" s="36"/>
      <c r="AB500" s="36"/>
      <c r="AC500" s="36"/>
      <c r="AD500" s="36"/>
      <c r="AE500" s="36"/>
      <c r="AF500" s="108"/>
      <c r="AG500" s="36"/>
      <c r="AH500" s="36"/>
      <c r="AI500" s="36"/>
      <c r="AJ500" s="36"/>
      <c r="AK500" s="36"/>
      <c r="AL500" s="108"/>
      <c r="AM500" s="36"/>
      <c r="AN500" s="108">
        <f>0.08/2</f>
        <v>0.04</v>
      </c>
      <c r="AO500" s="108">
        <f>0.05/2</f>
        <v>2.5000000000000001E-2</v>
      </c>
      <c r="AP500" s="36"/>
      <c r="AQ500" s="108"/>
      <c r="AR500" s="108"/>
      <c r="AS500" s="36"/>
      <c r="AT500" s="108">
        <f>0.07/2</f>
        <v>3.5000000000000003E-2</v>
      </c>
      <c r="AU500" s="108">
        <f>0.13/2</f>
        <v>6.5000000000000002E-2</v>
      </c>
      <c r="AV500" s="108">
        <f>0.27/2</f>
        <v>0.13500000000000001</v>
      </c>
      <c r="AW500" s="108"/>
      <c r="AX500" s="108"/>
      <c r="AY500" s="274"/>
      <c r="AZ500" s="109"/>
      <c r="BA500" s="109"/>
      <c r="BB500" s="109"/>
      <c r="BC500" s="109"/>
      <c r="BD500" s="150"/>
      <c r="BE500" s="109"/>
      <c r="BF500" s="109"/>
      <c r="BG500" s="109"/>
      <c r="BH500" s="274"/>
      <c r="BI500" s="274"/>
      <c r="BJ500" s="150"/>
      <c r="BK500" s="36"/>
      <c r="BL500" s="36"/>
      <c r="BM500" s="36"/>
      <c r="BN500" s="36"/>
      <c r="BO500" s="150"/>
      <c r="BP500" s="150"/>
      <c r="BQ500" s="36"/>
      <c r="BR500" s="36"/>
      <c r="BS500" s="36">
        <v>0.52</v>
      </c>
      <c r="BT500" s="36">
        <v>0.5</v>
      </c>
      <c r="BU500" s="36"/>
      <c r="BV500" s="150"/>
      <c r="BW500" s="36">
        <v>0.5</v>
      </c>
      <c r="BX500" s="36">
        <v>0.53</v>
      </c>
      <c r="BY500" s="36">
        <v>0.64</v>
      </c>
      <c r="BZ500" s="36"/>
      <c r="CA500" s="36"/>
      <c r="CB500" s="150"/>
      <c r="CC500" s="36"/>
      <c r="CD500" s="36"/>
      <c r="CE500" s="36"/>
      <c r="CF500" s="36"/>
      <c r="CG500" s="36"/>
      <c r="CH500" s="150"/>
      <c r="CI500" s="36"/>
      <c r="CJ500" s="36"/>
      <c r="CK500" s="274"/>
      <c r="CL500" s="36"/>
      <c r="CM500" s="36"/>
      <c r="CN500" s="150"/>
      <c r="CO500" s="108"/>
      <c r="CP500" s="108"/>
      <c r="CQ500" s="108"/>
      <c r="CR500" s="108"/>
      <c r="CS500" s="108"/>
      <c r="CT500" s="108"/>
      <c r="CU500" s="108"/>
      <c r="CV500" s="108"/>
      <c r="CW500" s="108"/>
      <c r="CX500" s="108"/>
      <c r="CY500" s="108"/>
      <c r="CZ500" s="108"/>
      <c r="DA500" s="108"/>
      <c r="DB500" s="108"/>
      <c r="DC500" s="108"/>
      <c r="DD500" s="108"/>
      <c r="DE500" s="108"/>
      <c r="DF500" s="108"/>
      <c r="DG500" s="108"/>
      <c r="DH500" s="108"/>
      <c r="DI500" s="108"/>
      <c r="DJ500" s="108"/>
      <c r="DK500" s="108"/>
      <c r="DL500" s="150"/>
      <c r="DM500" s="108"/>
      <c r="DN500" s="108"/>
      <c r="DO500" s="108"/>
      <c r="DP500" s="108"/>
      <c r="DQ500" s="108"/>
      <c r="DR500" s="108"/>
      <c r="DS500" s="108"/>
      <c r="DT500" s="108"/>
      <c r="DU500" s="108"/>
      <c r="DV500" s="108"/>
      <c r="DW500" s="108"/>
      <c r="DX500" s="108"/>
      <c r="DY500" s="108"/>
      <c r="DZ500" s="108"/>
      <c r="EA500" s="108"/>
      <c r="EB500" s="108"/>
      <c r="EC500" s="108"/>
      <c r="ED500" s="108"/>
      <c r="EE500" s="108"/>
      <c r="EF500" s="108"/>
      <c r="EG500" s="108"/>
      <c r="EH500" s="108"/>
      <c r="EI500" s="108"/>
      <c r="EJ500" s="108"/>
      <c r="EK500" s="108"/>
      <c r="EL500" s="108"/>
      <c r="EM500" s="108"/>
      <c r="EN500" s="108"/>
      <c r="EO500" s="108"/>
      <c r="EP500" s="108"/>
      <c r="EQ500" s="108"/>
      <c r="ER500" s="108"/>
      <c r="ES500" s="108"/>
      <c r="ET500" s="108"/>
      <c r="EU500" s="108"/>
    </row>
    <row r="501" spans="1:197" hidden="1" outlineLevel="1">
      <c r="A501" s="538" t="s">
        <v>4595</v>
      </c>
      <c r="B501" s="108"/>
      <c r="C501" s="36"/>
      <c r="D501" s="36"/>
      <c r="E501" s="36"/>
      <c r="F501" s="36"/>
      <c r="G501" s="36"/>
      <c r="H501" s="108"/>
      <c r="I501" s="36"/>
      <c r="J501" s="36"/>
      <c r="K501" s="36"/>
      <c r="L501" s="36"/>
      <c r="M501" s="36"/>
      <c r="N501" s="108"/>
      <c r="O501" s="36"/>
      <c r="P501" s="36"/>
      <c r="Q501" s="36"/>
      <c r="R501" s="36"/>
      <c r="S501" s="36"/>
      <c r="T501" s="108"/>
      <c r="U501" s="36"/>
      <c r="V501" s="36"/>
      <c r="W501" s="36"/>
      <c r="X501" s="36"/>
      <c r="Y501" s="36"/>
      <c r="Z501" s="108"/>
      <c r="AA501" s="36"/>
      <c r="AB501" s="36"/>
      <c r="AC501" s="36"/>
      <c r="AD501" s="36"/>
      <c r="AE501" s="36"/>
      <c r="AF501" s="108"/>
      <c r="AG501" s="36"/>
      <c r="AH501" s="36"/>
      <c r="AI501" s="36"/>
      <c r="AJ501" s="36"/>
      <c r="AK501" s="36"/>
      <c r="AL501" s="108"/>
      <c r="AM501" s="36"/>
      <c r="AN501" s="108">
        <f>0.13/2</f>
        <v>6.5000000000000002E-2</v>
      </c>
      <c r="AO501" s="108">
        <f>0.1/2</f>
        <v>0.05</v>
      </c>
      <c r="AP501" s="36"/>
      <c r="AQ501" s="108"/>
      <c r="AR501" s="108"/>
      <c r="AS501" s="36"/>
      <c r="AT501" s="108">
        <f>0.1/2</f>
        <v>0.05</v>
      </c>
      <c r="AU501" s="108">
        <f>0.15/2</f>
        <v>7.4999999999999997E-2</v>
      </c>
      <c r="AV501" s="108">
        <f>0.32/2</f>
        <v>0.16</v>
      </c>
      <c r="AW501" s="108"/>
      <c r="AX501" s="108"/>
      <c r="AY501" s="274"/>
      <c r="AZ501" s="109"/>
      <c r="BA501" s="109"/>
      <c r="BB501" s="109"/>
      <c r="BC501" s="109"/>
      <c r="BD501" s="150"/>
      <c r="BE501" s="109"/>
      <c r="BF501" s="109"/>
      <c r="BG501" s="109"/>
      <c r="BH501" s="274"/>
      <c r="BI501" s="274"/>
      <c r="BJ501" s="150"/>
      <c r="BK501" s="36"/>
      <c r="BL501" s="36"/>
      <c r="BM501" s="36"/>
      <c r="BN501" s="36"/>
      <c r="BO501" s="150"/>
      <c r="BP501" s="150"/>
      <c r="BQ501" s="36"/>
      <c r="BR501" s="36"/>
      <c r="BS501" s="36">
        <v>0.54</v>
      </c>
      <c r="BT501" s="36">
        <v>0.52</v>
      </c>
      <c r="BU501" s="36"/>
      <c r="BV501" s="150"/>
      <c r="BW501" s="36">
        <v>0.5</v>
      </c>
      <c r="BX501" s="36">
        <v>0.56000000000000005</v>
      </c>
      <c r="BY501" s="36">
        <v>0.68</v>
      </c>
      <c r="BZ501" s="36"/>
      <c r="CA501" s="36"/>
      <c r="CB501" s="150"/>
      <c r="CC501" s="36"/>
      <c r="CD501" s="36"/>
      <c r="CE501" s="36"/>
      <c r="CF501" s="36"/>
      <c r="CG501" s="36"/>
      <c r="CH501" s="150"/>
      <c r="CI501" s="36"/>
      <c r="CJ501" s="36"/>
      <c r="CK501" s="274"/>
      <c r="CL501" s="36"/>
      <c r="CM501" s="36"/>
      <c r="CN501" s="150"/>
      <c r="CO501" s="108"/>
      <c r="CP501" s="108"/>
      <c r="CQ501" s="108"/>
      <c r="CR501" s="108"/>
      <c r="CS501" s="108"/>
      <c r="CT501" s="108"/>
      <c r="CU501" s="108"/>
      <c r="CV501" s="108"/>
      <c r="CW501" s="108"/>
      <c r="CX501" s="108"/>
      <c r="CY501" s="108"/>
      <c r="CZ501" s="108"/>
      <c r="DA501" s="108"/>
      <c r="DB501" s="108"/>
      <c r="DC501" s="108"/>
      <c r="DD501" s="108"/>
      <c r="DE501" s="108"/>
      <c r="DF501" s="108"/>
      <c r="DG501" s="108"/>
      <c r="DH501" s="108"/>
      <c r="DI501" s="108"/>
      <c r="DJ501" s="108"/>
      <c r="DK501" s="108"/>
      <c r="DL501" s="150"/>
      <c r="DM501" s="108"/>
      <c r="DN501" s="108"/>
      <c r="DO501" s="108"/>
      <c r="DP501" s="108"/>
      <c r="DQ501" s="108"/>
      <c r="DR501" s="108"/>
      <c r="DS501" s="108"/>
      <c r="DT501" s="108"/>
      <c r="DU501" s="108"/>
      <c r="DV501" s="108"/>
      <c r="DW501" s="108"/>
      <c r="DX501" s="108"/>
      <c r="DY501" s="108"/>
      <c r="DZ501" s="108"/>
      <c r="EA501" s="108"/>
      <c r="EB501" s="108"/>
      <c r="EC501" s="108"/>
      <c r="ED501" s="108"/>
      <c r="EE501" s="108"/>
      <c r="EF501" s="108"/>
      <c r="EG501" s="108"/>
      <c r="EH501" s="108"/>
      <c r="EI501" s="108"/>
      <c r="EJ501" s="108"/>
      <c r="EK501" s="108"/>
      <c r="EL501" s="108"/>
      <c r="EM501" s="108"/>
      <c r="EN501" s="108"/>
      <c r="EO501" s="108"/>
      <c r="EP501" s="108"/>
      <c r="EQ501" s="108"/>
      <c r="ER501" s="108"/>
      <c r="ES501" s="108"/>
      <c r="ET501" s="108"/>
      <c r="EU501" s="108"/>
    </row>
    <row r="502" spans="1:197" hidden="1" outlineLevel="1">
      <c r="A502" s="746" t="s">
        <v>4597</v>
      </c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/>
      <c r="N502" s="108"/>
      <c r="O502" s="529">
        <f>Model!O154</f>
        <v>241.70400000000001</v>
      </c>
      <c r="P502" s="529">
        <f>Model!P154</f>
        <v>238.608</v>
      </c>
      <c r="Q502" s="529">
        <f>Model!Q154</f>
        <v>230.13200000000001</v>
      </c>
      <c r="R502" s="529">
        <f>Model!R154</f>
        <v>240.60400000000001</v>
      </c>
      <c r="S502" s="529"/>
      <c r="T502" s="108"/>
      <c r="U502" s="529">
        <f>Model!U154</f>
        <v>235.72</v>
      </c>
      <c r="V502" s="529">
        <f>Model!V154</f>
        <v>246.14</v>
      </c>
      <c r="W502" s="529">
        <f>Model!W154</f>
        <v>245.928</v>
      </c>
      <c r="X502" s="529">
        <f>Model!X154</f>
        <v>246.44800000000001</v>
      </c>
      <c r="Y502" s="529"/>
      <c r="Z502" s="108"/>
      <c r="AA502" s="529">
        <f>Model!AA154</f>
        <v>250.33199999999999</v>
      </c>
      <c r="AB502" s="529">
        <f>Model!AB154</f>
        <v>236.292</v>
      </c>
      <c r="AC502" s="529">
        <f>Model!AC154</f>
        <v>228.292</v>
      </c>
      <c r="AD502" s="529">
        <f>Model!AD154</f>
        <v>224.57599999999999</v>
      </c>
      <c r="AE502" s="529"/>
      <c r="AF502" s="108"/>
      <c r="AG502" s="529">
        <f>Model!AG154</f>
        <v>222.74700000000001</v>
      </c>
      <c r="AH502" s="529">
        <f>Model!AH154</f>
        <v>222.84</v>
      </c>
      <c r="AI502" s="529">
        <f>Model!AI154</f>
        <v>224.03899999999999</v>
      </c>
      <c r="AJ502" s="529">
        <f>Model!AJ154</f>
        <v>228.85400000000001</v>
      </c>
      <c r="AK502" s="529"/>
      <c r="AL502" s="108"/>
      <c r="AM502" s="529">
        <f>Model!AM154</f>
        <v>236.804</v>
      </c>
      <c r="AN502" s="529">
        <f>Model!AN154</f>
        <v>228.54900000000001</v>
      </c>
      <c r="AO502" s="529">
        <f>Model!AO154</f>
        <v>225.619</v>
      </c>
      <c r="AP502" s="529">
        <f>Model!AP154</f>
        <v>228.32300000000001</v>
      </c>
      <c r="AQ502" s="529"/>
      <c r="AR502" s="108"/>
      <c r="AS502" s="529">
        <f>Model!AS154</f>
        <v>226.892</v>
      </c>
      <c r="AT502" s="529">
        <f>Model!AT154</f>
        <v>226.92</v>
      </c>
      <c r="AU502" s="529">
        <f>Model!AU154</f>
        <v>228.33199999999999</v>
      </c>
      <c r="AV502" s="529">
        <f>Model!AV154</f>
        <v>239.67400000000001</v>
      </c>
      <c r="AW502" s="529"/>
      <c r="AX502" s="108"/>
      <c r="AY502" s="700"/>
      <c r="AZ502" s="700"/>
      <c r="BA502" s="700"/>
      <c r="BB502" s="700"/>
      <c r="BC502" s="700"/>
      <c r="BD502" s="607"/>
      <c r="BE502" s="700"/>
      <c r="BF502" s="700"/>
      <c r="BG502" s="700"/>
      <c r="BH502" s="700"/>
      <c r="BI502" s="109"/>
      <c r="BJ502" s="607"/>
      <c r="BK502" s="700"/>
      <c r="BL502" s="700"/>
      <c r="BM502" s="700"/>
      <c r="BN502" s="108"/>
      <c r="BO502" s="607"/>
      <c r="BP502" s="607"/>
      <c r="BQ502" s="529">
        <f>Model!BR107</f>
        <v>0.44372</v>
      </c>
      <c r="BR502" s="529">
        <f>Model!BS107</f>
        <v>0.48542000000000002</v>
      </c>
      <c r="BS502" s="529">
        <f>Model!BT107</f>
        <v>0.51880000000000004</v>
      </c>
      <c r="BT502" s="529">
        <f>Model!BW107</f>
        <v>0.50322</v>
      </c>
      <c r="BU502" s="108"/>
      <c r="BV502" s="607"/>
      <c r="BW502" s="529">
        <f>Model!BX107</f>
        <v>0.56388000000000005</v>
      </c>
      <c r="BX502" s="529">
        <f>Model!BY107</f>
        <v>0.56423999999999996</v>
      </c>
      <c r="BY502" s="529">
        <f>Model!BZ107</f>
        <v>0.30685000000000001</v>
      </c>
      <c r="BZ502" s="108"/>
      <c r="CA502" s="108"/>
      <c r="CB502" s="607"/>
      <c r="CC502" s="108"/>
      <c r="CD502" s="108"/>
      <c r="CE502" s="108"/>
      <c r="CF502" s="108"/>
      <c r="CG502" s="108"/>
      <c r="CH502" s="607"/>
      <c r="CI502" s="108"/>
      <c r="CJ502" s="108"/>
      <c r="CK502" s="109"/>
      <c r="CL502" s="108"/>
      <c r="CM502" s="108"/>
      <c r="CN502" s="607"/>
      <c r="CO502" s="108"/>
      <c r="CP502" s="108"/>
      <c r="CQ502" s="108"/>
      <c r="CR502" s="108"/>
      <c r="CS502" s="108"/>
      <c r="CT502" s="108"/>
      <c r="CU502" s="108"/>
      <c r="CV502" s="108"/>
      <c r="CW502" s="108"/>
      <c r="CX502" s="108"/>
      <c r="CY502" s="108"/>
      <c r="CZ502" s="108"/>
      <c r="DA502" s="108"/>
      <c r="DB502" s="108"/>
      <c r="DC502" s="108"/>
      <c r="DD502" s="108"/>
      <c r="DE502" s="108"/>
      <c r="DF502" s="108"/>
      <c r="DG502" s="108"/>
      <c r="DH502" s="108"/>
      <c r="DI502" s="108"/>
      <c r="DJ502" s="108"/>
      <c r="DK502" s="108"/>
      <c r="DL502" s="607"/>
      <c r="DM502" s="108"/>
      <c r="DN502" s="108"/>
      <c r="DO502" s="108"/>
      <c r="DP502" s="108"/>
      <c r="DQ502" s="108"/>
      <c r="DR502" s="108"/>
      <c r="DS502" s="108"/>
      <c r="DT502" s="108"/>
      <c r="DU502" s="108"/>
      <c r="DV502" s="108"/>
      <c r="DW502" s="108"/>
      <c r="DX502" s="108"/>
      <c r="DY502" s="108"/>
      <c r="DZ502" s="108"/>
      <c r="EA502" s="108"/>
      <c r="EB502" s="108"/>
      <c r="EC502" s="108"/>
      <c r="ED502" s="108"/>
      <c r="EE502" s="108"/>
      <c r="EF502" s="108"/>
      <c r="EG502" s="108"/>
      <c r="EH502" s="108"/>
      <c r="EI502" s="108"/>
      <c r="EJ502" s="108"/>
      <c r="EK502" s="108"/>
      <c r="EL502" s="108"/>
      <c r="EM502" s="108"/>
      <c r="EN502" s="108"/>
      <c r="EO502" s="108"/>
      <c r="EP502" s="108"/>
      <c r="EQ502" s="108"/>
      <c r="ER502" s="108"/>
      <c r="ES502" s="108"/>
      <c r="ET502" s="108"/>
      <c r="EU502" s="108"/>
    </row>
    <row r="503" spans="1:197" hidden="1" outlineLevel="1">
      <c r="A503" s="202"/>
      <c r="B503" s="90"/>
      <c r="C503" s="26"/>
      <c r="D503" s="26"/>
      <c r="E503" s="26"/>
      <c r="F503" s="26"/>
      <c r="G503" s="26"/>
      <c r="H503" s="90"/>
      <c r="I503" s="26"/>
      <c r="J503" s="26"/>
      <c r="K503" s="26"/>
      <c r="L503" s="26"/>
      <c r="M503" s="26"/>
      <c r="N503" s="90"/>
      <c r="O503" s="26"/>
      <c r="P503" s="26"/>
      <c r="Q503" s="26"/>
      <c r="R503" s="26"/>
      <c r="S503" s="26"/>
      <c r="T503" s="90"/>
      <c r="U503" s="26"/>
      <c r="V503" s="26"/>
      <c r="W503" s="26"/>
      <c r="X503" s="26"/>
      <c r="Y503" s="26"/>
      <c r="Z503" s="90"/>
      <c r="AA503" s="26"/>
      <c r="AB503" s="26"/>
      <c r="AC503" s="26"/>
      <c r="AD503" s="26"/>
      <c r="AE503" s="26"/>
      <c r="AF503" s="90"/>
      <c r="AG503" s="26"/>
      <c r="AH503" s="26"/>
      <c r="AI503" s="26"/>
      <c r="AJ503" s="26"/>
      <c r="AK503" s="26"/>
      <c r="AL503" s="90"/>
      <c r="AM503" s="26"/>
      <c r="AN503" s="26"/>
      <c r="AO503" s="90"/>
      <c r="AP503" s="26"/>
      <c r="AQ503" s="26"/>
      <c r="AR503" s="90"/>
      <c r="AS503" s="38"/>
      <c r="AT503" s="38"/>
      <c r="AU503" s="38"/>
      <c r="AV503" s="38"/>
      <c r="AW503" s="26"/>
      <c r="AX503" s="90"/>
      <c r="AY503" s="38"/>
      <c r="AZ503" s="787"/>
      <c r="BA503" s="787"/>
      <c r="BB503" s="787"/>
      <c r="BC503" s="286"/>
      <c r="BD503" s="138"/>
      <c r="BE503" s="787"/>
      <c r="BF503" s="787"/>
      <c r="BG503" s="38"/>
      <c r="BH503" s="38"/>
      <c r="BI503" s="83"/>
      <c r="BJ503" s="138"/>
      <c r="BK503" s="38"/>
      <c r="BL503" s="38"/>
      <c r="BM503" s="38"/>
      <c r="BN503" s="38"/>
      <c r="BO503" s="138"/>
      <c r="BP503" s="138"/>
      <c r="BQ503" s="38"/>
      <c r="BR503" s="26"/>
      <c r="BS503" s="26"/>
      <c r="BT503" s="26"/>
      <c r="BU503" s="26"/>
      <c r="BV503" s="138"/>
      <c r="BW503" s="26"/>
      <c r="BX503" s="26"/>
      <c r="BY503" s="26"/>
      <c r="BZ503" s="26"/>
      <c r="CA503" s="26"/>
      <c r="CB503" s="138"/>
      <c r="CC503" s="26"/>
      <c r="CD503" s="26"/>
      <c r="CE503" s="26"/>
      <c r="CF503" s="26"/>
      <c r="CG503" s="26"/>
      <c r="CH503" s="138"/>
      <c r="CI503" s="26"/>
      <c r="CJ503" s="26"/>
      <c r="CK503" s="83"/>
      <c r="CL503" s="26"/>
      <c r="CM503" s="26"/>
      <c r="CN503" s="138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138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</row>
    <row r="504" spans="1:197" hidden="1" outlineLevel="1">
      <c r="A504" s="901" t="s">
        <v>6809</v>
      </c>
      <c r="B504" s="902"/>
      <c r="C504" s="902"/>
      <c r="D504" s="902"/>
      <c r="E504" s="902"/>
      <c r="F504" s="902"/>
      <c r="G504" s="902"/>
      <c r="H504" s="902"/>
      <c r="I504" s="902"/>
      <c r="J504" s="902"/>
      <c r="K504" s="902"/>
      <c r="L504" s="902"/>
      <c r="M504" s="902"/>
      <c r="N504" s="902"/>
      <c r="O504" s="902"/>
      <c r="P504" s="902"/>
      <c r="Q504" s="902"/>
      <c r="R504" s="902"/>
      <c r="S504" s="902"/>
      <c r="T504" s="902"/>
      <c r="U504" s="902"/>
      <c r="V504" s="902"/>
      <c r="W504" s="902"/>
      <c r="X504" s="902"/>
      <c r="Y504" s="902"/>
      <c r="Z504" s="902"/>
      <c r="AA504" s="902"/>
      <c r="AB504" s="902"/>
      <c r="AC504" s="902"/>
      <c r="AD504" s="902"/>
      <c r="AE504" s="902"/>
      <c r="AF504" s="902"/>
      <c r="AG504" s="902"/>
      <c r="AH504" s="902"/>
      <c r="AI504" s="902"/>
      <c r="AJ504" s="902"/>
      <c r="AK504" s="902"/>
      <c r="AL504" s="902"/>
      <c r="AM504" s="902"/>
      <c r="AN504" s="902"/>
      <c r="AO504" s="902"/>
      <c r="AP504" s="902"/>
      <c r="AQ504" s="902"/>
      <c r="AR504" s="902"/>
      <c r="AS504" s="687"/>
      <c r="AT504" s="687"/>
      <c r="AU504" s="687"/>
      <c r="AV504" s="687"/>
      <c r="AW504" s="902"/>
      <c r="AX504" s="902"/>
      <c r="AY504" s="687"/>
      <c r="AZ504" s="903"/>
      <c r="BA504" s="903"/>
      <c r="BB504" s="903"/>
      <c r="BC504" s="904"/>
      <c r="BD504" s="905"/>
      <c r="BE504" s="903"/>
      <c r="BF504" s="903"/>
      <c r="BG504" s="687"/>
      <c r="BH504" s="687"/>
      <c r="BI504" s="906"/>
      <c r="BJ504" s="905"/>
      <c r="BK504" s="687"/>
      <c r="BL504" s="687"/>
      <c r="BM504" s="687"/>
      <c r="BN504" s="687"/>
      <c r="BO504" s="905"/>
      <c r="BP504" s="905"/>
      <c r="BQ504" s="687"/>
      <c r="BR504" s="902"/>
      <c r="BS504" s="902"/>
      <c r="BT504" s="902"/>
      <c r="BU504" s="902"/>
      <c r="BV504" s="905"/>
      <c r="BW504" s="902"/>
      <c r="BX504" s="902"/>
      <c r="BY504" s="26"/>
      <c r="BZ504" s="26"/>
      <c r="CA504" s="26"/>
      <c r="CB504" s="138"/>
      <c r="CC504" s="26"/>
      <c r="CD504" s="26"/>
      <c r="CE504" s="26"/>
      <c r="CF504" s="26"/>
      <c r="CG504" s="26"/>
      <c r="CH504" s="138"/>
      <c r="CI504" s="26"/>
      <c r="CJ504" s="26"/>
      <c r="CK504" s="83"/>
      <c r="CL504" s="26"/>
      <c r="CM504" s="26"/>
      <c r="CN504" s="138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138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</row>
    <row r="505" spans="1:197" hidden="1" outlineLevel="1">
      <c r="A505" s="907" t="s">
        <v>4596</v>
      </c>
      <c r="B505" s="902"/>
      <c r="C505" s="902"/>
      <c r="D505" s="902"/>
      <c r="E505" s="902"/>
      <c r="F505" s="902"/>
      <c r="G505" s="902"/>
      <c r="H505" s="902"/>
      <c r="I505" s="902"/>
      <c r="J505" s="902"/>
      <c r="K505" s="902"/>
      <c r="L505" s="902"/>
      <c r="M505" s="902"/>
      <c r="N505" s="902"/>
      <c r="O505" s="902"/>
      <c r="P505" s="902"/>
      <c r="Q505" s="902"/>
      <c r="R505" s="902"/>
      <c r="S505" s="902"/>
      <c r="T505" s="902"/>
      <c r="U505" s="902"/>
      <c r="V505" s="902"/>
      <c r="W505" s="902"/>
      <c r="X505" s="902"/>
      <c r="Y505" s="902"/>
      <c r="Z505" s="902"/>
      <c r="AA505" s="902"/>
      <c r="AB505" s="902"/>
      <c r="AC505" s="902"/>
      <c r="AD505" s="902"/>
      <c r="AE505" s="902"/>
      <c r="AF505" s="902"/>
      <c r="AG505" s="902"/>
      <c r="AH505" s="902"/>
      <c r="AI505" s="902"/>
      <c r="AJ505" s="902"/>
      <c r="AK505" s="902"/>
      <c r="AL505" s="902"/>
      <c r="AM505" s="902"/>
      <c r="AN505" s="902"/>
      <c r="AO505" s="902"/>
      <c r="AP505" s="902"/>
      <c r="AQ505" s="902"/>
      <c r="AR505" s="902"/>
      <c r="AS505" s="687"/>
      <c r="AT505" s="687"/>
      <c r="AU505" s="687"/>
      <c r="AV505" s="687"/>
      <c r="AW505" s="902"/>
      <c r="AX505" s="902"/>
      <c r="AY505" s="687"/>
      <c r="AZ505" s="903"/>
      <c r="BA505" s="903"/>
      <c r="BB505" s="903"/>
      <c r="BC505" s="904"/>
      <c r="BD505" s="905"/>
      <c r="BE505" s="903"/>
      <c r="BF505" s="903"/>
      <c r="BG505" s="687"/>
      <c r="BH505" s="687"/>
      <c r="BI505" s="906"/>
      <c r="BJ505" s="905"/>
      <c r="BK505" s="687"/>
      <c r="BL505" s="687"/>
      <c r="BM505" s="687"/>
      <c r="BN505" s="687"/>
      <c r="BO505" s="905"/>
      <c r="BP505" s="905"/>
      <c r="BQ505" s="687"/>
      <c r="BR505" s="902"/>
      <c r="BS505" s="902"/>
      <c r="BT505" s="902"/>
      <c r="BU505" s="902"/>
      <c r="BV505" s="905"/>
      <c r="BW505" s="902">
        <v>0.52</v>
      </c>
      <c r="BX505" s="902">
        <v>0.53</v>
      </c>
      <c r="BY505" s="26"/>
      <c r="BZ505" s="26"/>
      <c r="CA505" s="26"/>
      <c r="CB505" s="138"/>
      <c r="CC505" s="26"/>
      <c r="CD505" s="26"/>
      <c r="CE505" s="26"/>
      <c r="CF505" s="26"/>
      <c r="CG505" s="26"/>
      <c r="CH505" s="138"/>
      <c r="CI505" s="26"/>
      <c r="CJ505" s="26"/>
      <c r="CK505" s="83"/>
      <c r="CL505" s="26"/>
      <c r="CM505" s="26"/>
      <c r="CN505" s="138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138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</row>
    <row r="506" spans="1:197" hidden="1" outlineLevel="1">
      <c r="A506" s="907" t="s">
        <v>4595</v>
      </c>
      <c r="B506" s="902"/>
      <c r="C506" s="902"/>
      <c r="D506" s="902"/>
      <c r="E506" s="902"/>
      <c r="F506" s="902"/>
      <c r="G506" s="902"/>
      <c r="H506" s="902"/>
      <c r="I506" s="902"/>
      <c r="J506" s="902"/>
      <c r="K506" s="902"/>
      <c r="L506" s="902"/>
      <c r="M506" s="902"/>
      <c r="N506" s="902"/>
      <c r="O506" s="902"/>
      <c r="P506" s="902"/>
      <c r="Q506" s="902"/>
      <c r="R506" s="902"/>
      <c r="S506" s="902"/>
      <c r="T506" s="902"/>
      <c r="U506" s="902"/>
      <c r="V506" s="902"/>
      <c r="W506" s="902"/>
      <c r="X506" s="902"/>
      <c r="Y506" s="902"/>
      <c r="Z506" s="902"/>
      <c r="AA506" s="902"/>
      <c r="AB506" s="902"/>
      <c r="AC506" s="902"/>
      <c r="AD506" s="902"/>
      <c r="AE506" s="902"/>
      <c r="AF506" s="902"/>
      <c r="AG506" s="902"/>
      <c r="AH506" s="902"/>
      <c r="AI506" s="902"/>
      <c r="AJ506" s="902"/>
      <c r="AK506" s="902"/>
      <c r="AL506" s="902"/>
      <c r="AM506" s="902"/>
      <c r="AN506" s="902"/>
      <c r="AO506" s="902"/>
      <c r="AP506" s="902"/>
      <c r="AQ506" s="902"/>
      <c r="AR506" s="902"/>
      <c r="AS506" s="687"/>
      <c r="AT506" s="687"/>
      <c r="AU506" s="687"/>
      <c r="AV506" s="687"/>
      <c r="AW506" s="902"/>
      <c r="AX506" s="902"/>
      <c r="AY506" s="687"/>
      <c r="AZ506" s="903"/>
      <c r="BA506" s="903"/>
      <c r="BB506" s="903"/>
      <c r="BC506" s="904"/>
      <c r="BD506" s="905"/>
      <c r="BE506" s="903"/>
      <c r="BF506" s="903"/>
      <c r="BG506" s="687"/>
      <c r="BH506" s="687"/>
      <c r="BI506" s="906"/>
      <c r="BJ506" s="905"/>
      <c r="BK506" s="687"/>
      <c r="BL506" s="687"/>
      <c r="BM506" s="687"/>
      <c r="BN506" s="687"/>
      <c r="BO506" s="905"/>
      <c r="BP506" s="905"/>
      <c r="BQ506" s="687"/>
      <c r="BR506" s="902"/>
      <c r="BS506" s="902"/>
      <c r="BT506" s="902"/>
      <c r="BU506" s="902"/>
      <c r="BV506" s="905"/>
      <c r="BW506" s="902">
        <v>0.54</v>
      </c>
      <c r="BX506" s="902">
        <v>0.55000000000000004</v>
      </c>
      <c r="BY506" s="26"/>
      <c r="BZ506" s="26"/>
      <c r="CA506" s="26"/>
      <c r="CB506" s="138"/>
      <c r="CC506" s="26"/>
      <c r="CD506" s="26"/>
      <c r="CE506" s="26"/>
      <c r="CF506" s="26"/>
      <c r="CG506" s="26"/>
      <c r="CH506" s="138"/>
      <c r="CI506" s="26"/>
      <c r="CJ506" s="26"/>
      <c r="CK506" s="83"/>
      <c r="CL506" s="26"/>
      <c r="CM506" s="26"/>
      <c r="CN506" s="138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138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</row>
    <row r="507" spans="1:197" hidden="1" outlineLevel="1">
      <c r="A507" s="908" t="s">
        <v>4597</v>
      </c>
      <c r="B507" s="902"/>
      <c r="C507" s="902"/>
      <c r="D507" s="902"/>
      <c r="E507" s="902"/>
      <c r="F507" s="902"/>
      <c r="G507" s="902"/>
      <c r="H507" s="902"/>
      <c r="I507" s="902"/>
      <c r="J507" s="902"/>
      <c r="K507" s="902"/>
      <c r="L507" s="902"/>
      <c r="M507" s="902"/>
      <c r="N507" s="902"/>
      <c r="O507" s="902"/>
      <c r="P507" s="902"/>
      <c r="Q507" s="902"/>
      <c r="R507" s="902"/>
      <c r="S507" s="902"/>
      <c r="T507" s="902"/>
      <c r="U507" s="902"/>
      <c r="V507" s="902"/>
      <c r="W507" s="902"/>
      <c r="X507" s="902"/>
      <c r="Y507" s="902"/>
      <c r="Z507" s="902"/>
      <c r="AA507" s="902"/>
      <c r="AB507" s="902"/>
      <c r="AC507" s="902"/>
      <c r="AD507" s="902"/>
      <c r="AE507" s="902"/>
      <c r="AF507" s="902"/>
      <c r="AG507" s="902"/>
      <c r="AH507" s="902"/>
      <c r="AI507" s="902"/>
      <c r="AJ507" s="902"/>
      <c r="AK507" s="902"/>
      <c r="AL507" s="902"/>
      <c r="AM507" s="902"/>
      <c r="AN507" s="902"/>
      <c r="AO507" s="902"/>
      <c r="AP507" s="902"/>
      <c r="AQ507" s="902"/>
      <c r="AR507" s="902"/>
      <c r="AS507" s="687"/>
      <c r="AT507" s="687"/>
      <c r="AU507" s="687"/>
      <c r="AV507" s="687"/>
      <c r="AW507" s="902"/>
      <c r="AX507" s="902"/>
      <c r="AY507" s="687"/>
      <c r="AZ507" s="903"/>
      <c r="BA507" s="903"/>
      <c r="BB507" s="903"/>
      <c r="BC507" s="904"/>
      <c r="BD507" s="905"/>
      <c r="BE507" s="903"/>
      <c r="BF507" s="903"/>
      <c r="BG507" s="687"/>
      <c r="BH507" s="687"/>
      <c r="BI507" s="906"/>
      <c r="BJ507" s="905"/>
      <c r="BK507" s="687"/>
      <c r="BL507" s="687"/>
      <c r="BM507" s="687"/>
      <c r="BN507" s="687"/>
      <c r="BO507" s="905"/>
      <c r="BP507" s="905"/>
      <c r="BQ507" s="687"/>
      <c r="BR507" s="902"/>
      <c r="BS507" s="902"/>
      <c r="BT507" s="902"/>
      <c r="BU507" s="902"/>
      <c r="BV507" s="905"/>
      <c r="BW507" s="910">
        <f>Model!BX107</f>
        <v>0.56388000000000005</v>
      </c>
      <c r="BX507" s="910">
        <f>Model!BY107</f>
        <v>0.56423999999999996</v>
      </c>
      <c r="BY507" s="26"/>
      <c r="BZ507" s="26"/>
      <c r="CA507" s="26"/>
      <c r="CB507" s="138"/>
      <c r="CC507" s="26"/>
      <c r="CD507" s="26"/>
      <c r="CE507" s="26"/>
      <c r="CF507" s="26"/>
      <c r="CG507" s="26"/>
      <c r="CH507" s="138"/>
      <c r="CI507" s="26"/>
      <c r="CJ507" s="26"/>
      <c r="CK507" s="83"/>
      <c r="CL507" s="26"/>
      <c r="CM507" s="26"/>
      <c r="CN507" s="138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138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</row>
    <row r="508" spans="1:197" hidden="1" outlineLevel="1">
      <c r="A508" s="539"/>
      <c r="B508" s="90"/>
      <c r="C508" s="90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529"/>
      <c r="P508" s="529"/>
      <c r="Q508" s="529"/>
      <c r="R508" s="529"/>
      <c r="S508" s="529"/>
      <c r="T508" s="90"/>
      <c r="U508" s="529"/>
      <c r="V508" s="529"/>
      <c r="W508" s="529"/>
      <c r="X508" s="529"/>
      <c r="Y508" s="529"/>
      <c r="Z508" s="90"/>
      <c r="AA508" s="529"/>
      <c r="AB508" s="529"/>
      <c r="AC508" s="529"/>
      <c r="AD508" s="529"/>
      <c r="AE508" s="529"/>
      <c r="AF508" s="90"/>
      <c r="AG508" s="529"/>
      <c r="AH508" s="529"/>
      <c r="AI508" s="529"/>
      <c r="AJ508" s="529"/>
      <c r="AK508" s="529"/>
      <c r="AL508" s="90"/>
      <c r="AM508" s="38"/>
      <c r="AN508" s="38"/>
      <c r="AO508" s="38"/>
      <c r="AP508" s="529"/>
      <c r="AQ508" s="529"/>
      <c r="AR508" s="90"/>
      <c r="AS508" s="38"/>
      <c r="AT508" s="38">
        <f>AT502/(AVERAGE(AT500:AT501))-1</f>
        <v>5338.2941176470586</v>
      </c>
      <c r="AU508" s="38">
        <f>AU502/(AVERAGE(AU500:AU501))-1</f>
        <v>3260.8857142857137</v>
      </c>
      <c r="AV508" s="38">
        <f>AV502/(AVERAGE(AV500:AV501))-1</f>
        <v>1623.9084745762709</v>
      </c>
      <c r="AW508" s="529"/>
      <c r="AX508" s="90"/>
      <c r="AY508" s="38"/>
      <c r="AZ508" s="38"/>
      <c r="BA508" s="38"/>
      <c r="BB508" s="38"/>
      <c r="BC508" s="700"/>
      <c r="BD508" s="113"/>
      <c r="BE508" s="38"/>
      <c r="BF508" s="38"/>
      <c r="BG508" s="38"/>
      <c r="BH508" s="38"/>
      <c r="BI508" s="104"/>
      <c r="BJ508" s="113"/>
      <c r="BK508" s="38"/>
      <c r="BL508" s="38"/>
      <c r="BM508" s="90"/>
      <c r="BN508" s="90"/>
      <c r="BO508" s="113"/>
      <c r="BP508" s="113"/>
      <c r="BQ508" s="90"/>
      <c r="BR508" s="90"/>
      <c r="BS508" s="90"/>
      <c r="BT508" s="90"/>
      <c r="BU508" s="90"/>
      <c r="BV508" s="113"/>
      <c r="BW508" s="90"/>
      <c r="BX508" s="90"/>
      <c r="BY508" s="90"/>
      <c r="BZ508" s="90"/>
      <c r="CA508" s="90"/>
      <c r="CB508" s="113"/>
      <c r="CC508" s="90"/>
      <c r="CD508" s="90"/>
      <c r="CE508" s="90"/>
      <c r="CF508" s="90"/>
      <c r="CG508" s="90"/>
      <c r="CH508" s="113"/>
      <c r="CI508" s="90"/>
      <c r="CJ508" s="90"/>
      <c r="CK508" s="104"/>
      <c r="CL508" s="90"/>
      <c r="CM508" s="90"/>
      <c r="CN508" s="113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113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</row>
    <row r="509" spans="1:197" ht="13.5" hidden="1" customHeight="1" outlineLevel="1">
      <c r="A509" s="202" t="s">
        <v>6807</v>
      </c>
      <c r="B509" s="90"/>
      <c r="C509" s="26"/>
      <c r="D509" s="26"/>
      <c r="E509" s="26"/>
      <c r="F509" s="26"/>
      <c r="G509" s="26"/>
      <c r="H509" s="90"/>
      <c r="I509" s="26"/>
      <c r="J509" s="26"/>
      <c r="K509" s="26"/>
      <c r="L509" s="26"/>
      <c r="M509" s="26"/>
      <c r="N509" s="90"/>
      <c r="O509" s="26"/>
      <c r="P509" s="26"/>
      <c r="Q509" s="26"/>
      <c r="R509" s="26"/>
      <c r="S509" s="26"/>
      <c r="T509" s="90"/>
      <c r="U509" s="26"/>
      <c r="V509" s="26"/>
      <c r="W509" s="26"/>
      <c r="X509" s="26"/>
      <c r="Y509" s="26"/>
      <c r="Z509" s="90"/>
      <c r="AA509" s="26"/>
      <c r="AB509" s="26"/>
      <c r="AC509" s="26"/>
      <c r="AD509" s="26"/>
      <c r="AE509" s="26"/>
      <c r="AF509" s="90"/>
      <c r="AG509" s="26"/>
      <c r="AH509" s="26"/>
      <c r="AI509" s="26"/>
      <c r="AJ509" s="26"/>
      <c r="AK509" s="26"/>
      <c r="AL509" s="90"/>
      <c r="AM509" s="26"/>
      <c r="AN509" s="26"/>
      <c r="AO509" s="90"/>
      <c r="AP509" s="26"/>
      <c r="AQ509" s="26"/>
      <c r="AR509" s="90"/>
      <c r="AS509" s="26"/>
      <c r="AT509" s="26"/>
      <c r="AU509" s="26"/>
      <c r="AV509" s="26"/>
      <c r="AW509" s="26"/>
      <c r="AX509" s="90"/>
      <c r="AY509" s="83"/>
      <c r="AZ509" s="83"/>
      <c r="BA509" s="83"/>
      <c r="BB509" s="104"/>
      <c r="BC509" s="104"/>
      <c r="BD509" s="138"/>
      <c r="BE509" s="104"/>
      <c r="BF509" s="104"/>
      <c r="BG509" s="104"/>
      <c r="BH509" s="83"/>
      <c r="BI509" s="83"/>
      <c r="BJ509" s="138"/>
      <c r="BK509" s="26"/>
      <c r="BL509" s="26"/>
      <c r="BM509" s="26"/>
      <c r="BN509" s="26"/>
      <c r="BO509" s="138"/>
      <c r="BP509" s="138"/>
      <c r="BQ509" s="26"/>
      <c r="BR509" s="26"/>
      <c r="BS509" s="26"/>
      <c r="BT509" s="26"/>
      <c r="BU509" s="26"/>
      <c r="BV509" s="138"/>
      <c r="BW509" s="26"/>
      <c r="BX509" s="26"/>
      <c r="BY509" s="26"/>
      <c r="BZ509" s="26"/>
      <c r="CA509" s="26"/>
      <c r="CB509" s="138"/>
      <c r="CC509" s="26"/>
      <c r="CD509" s="26"/>
      <c r="CE509" s="26"/>
      <c r="CF509" s="26"/>
      <c r="CG509" s="26"/>
      <c r="CH509" s="138"/>
      <c r="CI509" s="26"/>
      <c r="CJ509" s="26"/>
      <c r="CK509" s="83"/>
      <c r="CL509" s="26"/>
      <c r="CM509" s="26"/>
      <c r="CN509" s="138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138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</row>
    <row r="510" spans="1:197" hidden="1" outlineLevel="1">
      <c r="A510" s="202" t="s">
        <v>4596</v>
      </c>
      <c r="B510" s="90"/>
      <c r="C510" s="26"/>
      <c r="D510" s="26"/>
      <c r="E510" s="26"/>
      <c r="F510" s="26"/>
      <c r="G510" s="26"/>
      <c r="H510" s="90"/>
      <c r="I510" s="26"/>
      <c r="J510" s="26"/>
      <c r="K510" s="26"/>
      <c r="L510" s="26"/>
      <c r="M510" s="26"/>
      <c r="N510" s="90"/>
      <c r="O510" s="26"/>
      <c r="P510" s="26"/>
      <c r="Q510" s="26"/>
      <c r="R510" s="26"/>
      <c r="S510" s="26"/>
      <c r="T510" s="90"/>
      <c r="U510" s="26"/>
      <c r="V510" s="26"/>
      <c r="W510" s="26"/>
      <c r="X510" s="26"/>
      <c r="Y510" s="26"/>
      <c r="Z510" s="90"/>
      <c r="AA510" s="26"/>
      <c r="AB510" s="26"/>
      <c r="AC510" s="26"/>
      <c r="AD510" s="26"/>
      <c r="AE510" s="26"/>
      <c r="AF510" s="90"/>
      <c r="AG510" s="26"/>
      <c r="AH510" s="26"/>
      <c r="AI510" s="26"/>
      <c r="AJ510" s="26"/>
      <c r="AK510" s="26"/>
      <c r="AL510" s="90"/>
      <c r="AM510" s="26"/>
      <c r="AN510" s="26"/>
      <c r="AO510" s="90"/>
      <c r="AP510" s="26"/>
      <c r="AQ510" s="26"/>
      <c r="AR510" s="90"/>
      <c r="AS510" s="543">
        <v>0.83</v>
      </c>
      <c r="AT510" s="26"/>
      <c r="AU510" s="26"/>
      <c r="AV510" s="26"/>
      <c r="AW510" s="26"/>
      <c r="AX510" s="90"/>
      <c r="AY510" s="83"/>
      <c r="AZ510" s="83"/>
      <c r="BA510" s="83"/>
      <c r="BB510" s="286"/>
      <c r="BC510" s="104"/>
      <c r="BD510" s="138"/>
      <c r="BE510" s="286"/>
      <c r="BF510" s="104"/>
      <c r="BG510" s="104"/>
      <c r="BH510" s="83"/>
      <c r="BI510" s="83"/>
      <c r="BJ510" s="138"/>
      <c r="BK510" s="26"/>
      <c r="BL510" s="26"/>
      <c r="BM510" s="26"/>
      <c r="BN510" s="26"/>
      <c r="BO510" s="138"/>
      <c r="BP510" s="138"/>
      <c r="BQ510" s="898">
        <v>0.255</v>
      </c>
      <c r="BR510" s="898">
        <v>0.26400000000000001</v>
      </c>
      <c r="BS510" s="26"/>
      <c r="BT510" s="26"/>
      <c r="BU510" s="26"/>
      <c r="BV510" s="138"/>
      <c r="BW510" s="26"/>
      <c r="BX510" s="26"/>
      <c r="BY510" s="26"/>
      <c r="BZ510" s="26"/>
      <c r="CA510" s="26"/>
      <c r="CB510" s="138"/>
      <c r="CC510" s="26"/>
      <c r="CD510" s="26"/>
      <c r="CE510" s="26"/>
      <c r="CF510" s="26"/>
      <c r="CG510" s="26"/>
      <c r="CH510" s="138"/>
      <c r="CI510" s="26"/>
      <c r="CJ510" s="26"/>
      <c r="CK510" s="83"/>
      <c r="CL510" s="26"/>
      <c r="CM510" s="26"/>
      <c r="CN510" s="138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138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</row>
    <row r="511" spans="1:197" hidden="1" outlineLevel="1">
      <c r="A511" s="202" t="s">
        <v>4595</v>
      </c>
      <c r="B511" s="90"/>
      <c r="C511" s="26"/>
      <c r="D511" s="26"/>
      <c r="E511" s="26"/>
      <c r="F511" s="26"/>
      <c r="G511" s="26"/>
      <c r="H511" s="90"/>
      <c r="I511" s="26"/>
      <c r="J511" s="26"/>
      <c r="K511" s="26"/>
      <c r="L511" s="26"/>
      <c r="M511" s="26"/>
      <c r="N511" s="90"/>
      <c r="O511" s="26"/>
      <c r="P511" s="26"/>
      <c r="Q511" s="26"/>
      <c r="R511" s="26"/>
      <c r="S511" s="26"/>
      <c r="T511" s="90"/>
      <c r="U511" s="26"/>
      <c r="V511" s="26"/>
      <c r="W511" s="26"/>
      <c r="X511" s="26"/>
      <c r="Y511" s="26"/>
      <c r="Z511" s="90"/>
      <c r="AA511" s="26"/>
      <c r="AB511" s="26"/>
      <c r="AC511" s="26"/>
      <c r="AD511" s="26"/>
      <c r="AE511" s="26"/>
      <c r="AF511" s="90"/>
      <c r="AG511" s="26"/>
      <c r="AH511" s="26"/>
      <c r="AI511" s="26"/>
      <c r="AJ511" s="26"/>
      <c r="AK511" s="26"/>
      <c r="AL511" s="90"/>
      <c r="AM511" s="26"/>
      <c r="AN511" s="26"/>
      <c r="AO511" s="90"/>
      <c r="AP511" s="26"/>
      <c r="AQ511" s="26"/>
      <c r="AR511" s="90"/>
      <c r="AS511" s="543">
        <v>0.83</v>
      </c>
      <c r="AT511" s="26"/>
      <c r="AU511" s="26"/>
      <c r="AV511" s="26"/>
      <c r="AW511" s="26"/>
      <c r="AX511" s="90"/>
      <c r="AY511" s="83"/>
      <c r="AZ511" s="83"/>
      <c r="BA511" s="83"/>
      <c r="BB511" s="286"/>
      <c r="BC511" s="104"/>
      <c r="BD511" s="138"/>
      <c r="BE511" s="286"/>
      <c r="BF511" s="104"/>
      <c r="BG511" s="104"/>
      <c r="BH511" s="83"/>
      <c r="BI511" s="83"/>
      <c r="BJ511" s="138"/>
      <c r="BK511" s="26"/>
      <c r="BL511" s="26"/>
      <c r="BM511" s="26"/>
      <c r="BN511" s="26"/>
      <c r="BO511" s="138"/>
      <c r="BP511" s="138"/>
      <c r="BQ511" s="898">
        <v>0.26300000000000001</v>
      </c>
      <c r="BR511" s="898">
        <v>0.26900000000000002</v>
      </c>
      <c r="BS511" s="26"/>
      <c r="BT511" s="26"/>
      <c r="BU511" s="26"/>
      <c r="BV511" s="138"/>
      <c r="BW511" s="26"/>
      <c r="BX511" s="26"/>
      <c r="BY511" s="26"/>
      <c r="BZ511" s="26"/>
      <c r="CA511" s="26"/>
      <c r="CB511" s="138"/>
      <c r="CC511" s="26"/>
      <c r="CD511" s="26"/>
      <c r="CE511" s="26"/>
      <c r="CF511" s="26"/>
      <c r="CG511" s="26"/>
      <c r="CH511" s="138"/>
      <c r="CI511" s="26"/>
      <c r="CJ511" s="26"/>
      <c r="CK511" s="83"/>
      <c r="CL511" s="26"/>
      <c r="CM511" s="26"/>
      <c r="CN511" s="138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138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</row>
    <row r="512" spans="1:197" hidden="1" outlineLevel="1">
      <c r="A512" s="203" t="s">
        <v>4597</v>
      </c>
      <c r="B512" s="90"/>
      <c r="C512" s="26"/>
      <c r="D512" s="26"/>
      <c r="E512" s="26"/>
      <c r="F512" s="26"/>
      <c r="G512" s="26"/>
      <c r="H512" s="90"/>
      <c r="I512" s="26"/>
      <c r="J512" s="26"/>
      <c r="K512" s="26"/>
      <c r="L512" s="26"/>
      <c r="M512" s="26"/>
      <c r="N512" s="90"/>
      <c r="O512" s="26"/>
      <c r="P512" s="26"/>
      <c r="Q512" s="26"/>
      <c r="R512" s="26"/>
      <c r="S512" s="26"/>
      <c r="T512" s="90"/>
      <c r="U512" s="26"/>
      <c r="V512" s="26"/>
      <c r="W512" s="26"/>
      <c r="X512" s="26"/>
      <c r="Y512" s="26"/>
      <c r="Z512" s="90"/>
      <c r="AA512" s="26"/>
      <c r="AB512" s="26"/>
      <c r="AC512" s="26"/>
      <c r="AD512" s="26"/>
      <c r="AE512" s="26"/>
      <c r="AF512" s="90"/>
      <c r="AG512" s="26"/>
      <c r="AH512" s="26"/>
      <c r="AI512" s="26"/>
      <c r="AJ512" s="26"/>
      <c r="AK512" s="26"/>
      <c r="AL512" s="90"/>
      <c r="AM512" s="26"/>
      <c r="AN512" s="26"/>
      <c r="AO512" s="90"/>
      <c r="AP512" s="26"/>
      <c r="AQ512" s="26"/>
      <c r="AR512" s="90"/>
      <c r="AS512" s="26"/>
      <c r="AT512" s="26"/>
      <c r="AU512" s="26"/>
      <c r="AV512" s="26"/>
      <c r="AW512" s="26"/>
      <c r="AX512" s="90"/>
      <c r="AY512" s="83"/>
      <c r="AZ512" s="83"/>
      <c r="BA512" s="83"/>
      <c r="BB512" s="740"/>
      <c r="BC512" s="742"/>
      <c r="BD512" s="138"/>
      <c r="BE512" s="740"/>
      <c r="BF512" s="104"/>
      <c r="BG512" s="104"/>
      <c r="BH512" s="83"/>
      <c r="BI512" s="83"/>
      <c r="BJ512" s="138"/>
      <c r="BK512" s="26"/>
      <c r="BL512" s="26"/>
      <c r="BM512" s="26"/>
      <c r="BN512" s="26"/>
      <c r="BO512" s="138"/>
      <c r="BP512" s="138"/>
      <c r="BQ512" s="900">
        <f>Model!BR86</f>
        <v>0.26754135767256138</v>
      </c>
      <c r="BR512" s="900">
        <f>Model!BS86</f>
        <v>0.28008915304606236</v>
      </c>
      <c r="BS512" s="26"/>
      <c r="BT512" s="26"/>
      <c r="BU512" s="26"/>
      <c r="BV512" s="138"/>
      <c r="BW512" s="26"/>
      <c r="BX512" s="26"/>
      <c r="BY512" s="26"/>
      <c r="BZ512" s="26"/>
      <c r="CA512" s="26"/>
      <c r="CB512" s="138"/>
      <c r="CC512" s="26"/>
      <c r="CD512" s="26"/>
      <c r="CE512" s="26"/>
      <c r="CF512" s="26"/>
      <c r="CG512" s="26"/>
      <c r="CH512" s="138"/>
      <c r="CI512" s="26"/>
      <c r="CJ512" s="26"/>
      <c r="CK512" s="83"/>
      <c r="CL512" s="26"/>
      <c r="CM512" s="26"/>
      <c r="CN512" s="138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138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</row>
    <row r="513" spans="1:151" hidden="1" outlineLevel="1">
      <c r="A513" s="202"/>
      <c r="B513" s="90"/>
      <c r="C513" s="26"/>
      <c r="D513" s="26"/>
      <c r="E513" s="26"/>
      <c r="F513" s="26"/>
      <c r="G513" s="26"/>
      <c r="H513" s="90"/>
      <c r="I513" s="26"/>
      <c r="J513" s="26"/>
      <c r="K513" s="26"/>
      <c r="L513" s="26"/>
      <c r="M513" s="26"/>
      <c r="N513" s="90"/>
      <c r="O513" s="26"/>
      <c r="P513" s="26"/>
      <c r="Q513" s="26"/>
      <c r="R513" s="26"/>
      <c r="S513" s="26"/>
      <c r="T513" s="90"/>
      <c r="U513" s="26"/>
      <c r="V513" s="26"/>
      <c r="W513" s="26"/>
      <c r="X513" s="26"/>
      <c r="Y513" s="26"/>
      <c r="Z513" s="90"/>
      <c r="AA513" s="26"/>
      <c r="AB513" s="26"/>
      <c r="AC513" s="26"/>
      <c r="AD513" s="26"/>
      <c r="AE513" s="26"/>
      <c r="AF513" s="90"/>
      <c r="AG513" s="26"/>
      <c r="AH513" s="26"/>
      <c r="AI513" s="26"/>
      <c r="AJ513" s="26"/>
      <c r="AK513" s="26"/>
      <c r="AL513" s="90"/>
      <c r="AM513" s="26"/>
      <c r="AN513" s="26"/>
      <c r="AO513" s="90"/>
      <c r="AP513" s="26"/>
      <c r="AQ513" s="26"/>
      <c r="AR513" s="90"/>
      <c r="AS513" s="26"/>
      <c r="AT513" s="26"/>
      <c r="AU513" s="26"/>
      <c r="AV513" s="26"/>
      <c r="AW513" s="26"/>
      <c r="AX513" s="90"/>
      <c r="AY513" s="83"/>
      <c r="AZ513" s="83"/>
      <c r="BA513" s="83"/>
      <c r="BB513" s="104"/>
      <c r="BC513" s="104"/>
      <c r="BD513" s="138"/>
      <c r="BE513" s="104"/>
      <c r="BF513" s="104"/>
      <c r="BG513" s="104"/>
      <c r="BH513" s="83"/>
      <c r="BI513" s="83"/>
      <c r="BJ513" s="138"/>
      <c r="BK513" s="26"/>
      <c r="BL513" s="26"/>
      <c r="BM513" s="26"/>
      <c r="BN513" s="26"/>
      <c r="BO513" s="138"/>
      <c r="BP513" s="138"/>
      <c r="BQ513" s="26"/>
      <c r="BR513" s="26"/>
      <c r="BS513" s="26"/>
      <c r="BT513" s="26"/>
      <c r="BU513" s="26"/>
      <c r="BV513" s="138"/>
      <c r="BW513" s="26"/>
      <c r="BX513" s="26"/>
      <c r="BY513" s="26"/>
      <c r="BZ513" s="26"/>
      <c r="CA513" s="26"/>
      <c r="CB513" s="138"/>
      <c r="CC513" s="26"/>
      <c r="CD513" s="26"/>
      <c r="CE513" s="26"/>
      <c r="CF513" s="26"/>
      <c r="CG513" s="26"/>
      <c r="CH513" s="138"/>
      <c r="CI513" s="26"/>
      <c r="CJ513" s="26"/>
      <c r="CK513" s="83"/>
      <c r="CL513" s="26"/>
      <c r="CM513" s="26"/>
      <c r="CN513" s="138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138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</row>
    <row r="514" spans="1:151" hidden="1" outlineLevel="1">
      <c r="A514" s="202" t="s">
        <v>3350</v>
      </c>
      <c r="B514" s="90"/>
      <c r="C514" s="26"/>
      <c r="D514" s="26"/>
      <c r="E514" s="26"/>
      <c r="F514" s="26"/>
      <c r="G514" s="26"/>
      <c r="H514" s="90"/>
      <c r="I514" s="26"/>
      <c r="J514" s="26"/>
      <c r="K514" s="26"/>
      <c r="L514" s="26"/>
      <c r="M514" s="26"/>
      <c r="N514" s="90"/>
      <c r="O514" s="26"/>
      <c r="P514" s="26"/>
      <c r="Q514" s="26"/>
      <c r="R514" s="26"/>
      <c r="S514" s="26"/>
      <c r="T514" s="90"/>
      <c r="U514" s="26"/>
      <c r="V514" s="26"/>
      <c r="W514" s="26"/>
      <c r="X514" s="26"/>
      <c r="Y514" s="26"/>
      <c r="Z514" s="90"/>
      <c r="AA514" s="26"/>
      <c r="AB514" s="26"/>
      <c r="AC514" s="26"/>
      <c r="AD514" s="26"/>
      <c r="AE514" s="26"/>
      <c r="AF514" s="90"/>
      <c r="AG514" s="26"/>
      <c r="AH514" s="26"/>
      <c r="AI514" s="26"/>
      <c r="AJ514" s="26"/>
      <c r="AK514" s="26"/>
      <c r="AL514" s="90"/>
      <c r="AM514" s="26"/>
      <c r="AN514" s="26"/>
      <c r="AO514" s="90"/>
      <c r="AP514" s="26"/>
      <c r="AQ514" s="26"/>
      <c r="AR514" s="90"/>
      <c r="AS514" s="26"/>
      <c r="AT514" s="26"/>
      <c r="AU514" s="26"/>
      <c r="AV514" s="26"/>
      <c r="AW514" s="26"/>
      <c r="AX514" s="90"/>
      <c r="AY514" s="83"/>
      <c r="AZ514" s="83"/>
      <c r="BA514" s="83"/>
      <c r="BB514" s="104"/>
      <c r="BC514" s="104"/>
      <c r="BD514" s="138"/>
      <c r="BE514" s="286"/>
      <c r="BF514" s="104"/>
      <c r="BG514" s="104"/>
      <c r="BH514" s="83"/>
      <c r="BI514" s="83"/>
      <c r="BJ514" s="138"/>
      <c r="BK514" s="26"/>
      <c r="BL514" s="26"/>
      <c r="BM514" s="26"/>
      <c r="BN514" s="26"/>
      <c r="BO514" s="138"/>
      <c r="BP514" s="138"/>
      <c r="BQ514" s="26"/>
      <c r="BR514" s="26"/>
      <c r="BS514" s="26"/>
      <c r="BT514" s="26"/>
      <c r="BU514" s="26"/>
      <c r="BV514" s="138"/>
      <c r="BW514" s="26"/>
      <c r="BX514" s="26"/>
      <c r="BY514" s="26"/>
      <c r="BZ514" s="26"/>
      <c r="CA514" s="26"/>
      <c r="CB514" s="138"/>
      <c r="CC514" s="26"/>
      <c r="CD514" s="26"/>
      <c r="CE514" s="26"/>
      <c r="CF514" s="26"/>
      <c r="CG514" s="26"/>
      <c r="CH514" s="138"/>
      <c r="CI514" s="26"/>
      <c r="CJ514" s="26"/>
      <c r="CK514" s="83"/>
      <c r="CL514" s="26"/>
      <c r="CM514" s="26"/>
      <c r="CN514" s="138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138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</row>
    <row r="515" spans="1:151" hidden="1" outlineLevel="1">
      <c r="A515" s="202" t="s">
        <v>4596</v>
      </c>
      <c r="B515" s="90"/>
      <c r="C515" s="26"/>
      <c r="D515" s="26"/>
      <c r="E515" s="26"/>
      <c r="F515" s="26"/>
      <c r="G515" s="26"/>
      <c r="H515" s="90"/>
      <c r="I515" s="26"/>
      <c r="J515" s="26"/>
      <c r="K515" s="26"/>
      <c r="L515" s="26"/>
      <c r="M515" s="26"/>
      <c r="N515" s="90"/>
      <c r="O515" s="26"/>
      <c r="P515" s="26"/>
      <c r="Q515" s="26"/>
      <c r="R515" s="26"/>
      <c r="S515" s="26"/>
      <c r="T515" s="90"/>
      <c r="U515" s="26"/>
      <c r="V515" s="26"/>
      <c r="W515" s="26"/>
      <c r="X515" s="26"/>
      <c r="Y515" s="26"/>
      <c r="Z515" s="90"/>
      <c r="AA515" s="26"/>
      <c r="AB515" s="26"/>
      <c r="AC515" s="26"/>
      <c r="AD515" s="26"/>
      <c r="AE515" s="26"/>
      <c r="AF515" s="90"/>
      <c r="AG515" s="26"/>
      <c r="AH515" s="26"/>
      <c r="AI515" s="26"/>
      <c r="AJ515" s="26"/>
      <c r="AK515" s="26"/>
      <c r="AL515" s="90"/>
      <c r="AM515" s="26"/>
      <c r="AN515" s="26"/>
      <c r="AO515" s="90"/>
      <c r="AP515" s="26"/>
      <c r="AQ515" s="26"/>
      <c r="AR515" s="90"/>
      <c r="AS515" s="26"/>
      <c r="AT515" s="26"/>
      <c r="AU515" s="26"/>
      <c r="AV515" s="26"/>
      <c r="AW515" s="26"/>
      <c r="AX515" s="90"/>
      <c r="AY515" s="83"/>
      <c r="AZ515" s="83"/>
      <c r="BA515" s="83"/>
      <c r="BB515" s="104"/>
      <c r="BC515" s="104"/>
      <c r="BD515" s="138"/>
      <c r="BE515" s="208"/>
      <c r="BF515" s="104"/>
      <c r="BG515" s="104"/>
      <c r="BH515" s="83"/>
      <c r="BI515" s="83"/>
      <c r="BJ515" s="138"/>
      <c r="BK515" s="26"/>
      <c r="BL515" s="26"/>
      <c r="BM515" s="26"/>
      <c r="BN515" s="26"/>
      <c r="BO515" s="138"/>
      <c r="BP515" s="138"/>
      <c r="BQ515" s="26"/>
      <c r="BR515" s="26"/>
      <c r="BS515" s="26"/>
      <c r="BT515" s="26"/>
      <c r="BU515" s="26"/>
      <c r="BV515" s="138"/>
      <c r="BW515" s="26"/>
      <c r="BX515" s="26"/>
      <c r="BY515" s="26"/>
      <c r="BZ515" s="26"/>
      <c r="CA515" s="26"/>
      <c r="CB515" s="138"/>
      <c r="CC515" s="26"/>
      <c r="CD515" s="26"/>
      <c r="CE515" s="26"/>
      <c r="CF515" s="26"/>
      <c r="CG515" s="26"/>
      <c r="CH515" s="138"/>
      <c r="CI515" s="26"/>
      <c r="CJ515" s="26"/>
      <c r="CK515" s="83"/>
      <c r="CL515" s="26"/>
      <c r="CM515" s="26"/>
      <c r="CN515" s="138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138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</row>
    <row r="516" spans="1:151" hidden="1" outlineLevel="1">
      <c r="A516" s="202" t="s">
        <v>4595</v>
      </c>
      <c r="B516" s="90"/>
      <c r="C516" s="26"/>
      <c r="D516" s="26"/>
      <c r="E516" s="26"/>
      <c r="F516" s="26"/>
      <c r="G516" s="26"/>
      <c r="H516" s="90"/>
      <c r="I516" s="26"/>
      <c r="J516" s="26"/>
      <c r="K516" s="26"/>
      <c r="L516" s="26"/>
      <c r="M516" s="26"/>
      <c r="N516" s="90"/>
      <c r="O516" s="26"/>
      <c r="P516" s="26"/>
      <c r="Q516" s="26"/>
      <c r="R516" s="26"/>
      <c r="S516" s="26"/>
      <c r="T516" s="90"/>
      <c r="U516" s="26"/>
      <c r="V516" s="26"/>
      <c r="W516" s="26"/>
      <c r="X516" s="26"/>
      <c r="Y516" s="26"/>
      <c r="Z516" s="90"/>
      <c r="AA516" s="26"/>
      <c r="AB516" s="26"/>
      <c r="AC516" s="26"/>
      <c r="AD516" s="26"/>
      <c r="AE516" s="26"/>
      <c r="AF516" s="90"/>
      <c r="AG516" s="26"/>
      <c r="AH516" s="26"/>
      <c r="AI516" s="26"/>
      <c r="AJ516" s="26"/>
      <c r="AK516" s="26"/>
      <c r="AL516" s="90"/>
      <c r="AM516" s="26"/>
      <c r="AN516" s="26"/>
      <c r="AO516" s="90"/>
      <c r="AP516" s="26"/>
      <c r="AQ516" s="26"/>
      <c r="AR516" s="90"/>
      <c r="AS516" s="26"/>
      <c r="AT516" s="26"/>
      <c r="AU516" s="26"/>
      <c r="AV516" s="26"/>
      <c r="AW516" s="26"/>
      <c r="AX516" s="90"/>
      <c r="AY516" s="83"/>
      <c r="AZ516" s="83"/>
      <c r="BA516" s="83"/>
      <c r="BB516" s="104"/>
      <c r="BC516" s="104"/>
      <c r="BD516" s="138"/>
      <c r="BE516" s="208"/>
      <c r="BF516" s="104"/>
      <c r="BG516" s="104"/>
      <c r="BH516" s="83"/>
      <c r="BI516" s="83"/>
      <c r="BJ516" s="138"/>
      <c r="BK516" s="26"/>
      <c r="BL516" s="26"/>
      <c r="BM516" s="26"/>
      <c r="BN516" s="26"/>
      <c r="BO516" s="138"/>
      <c r="BP516" s="138"/>
      <c r="BQ516" s="26"/>
      <c r="BR516" s="26"/>
      <c r="BS516" s="26"/>
      <c r="BT516" s="26"/>
      <c r="BU516" s="26"/>
      <c r="BV516" s="138"/>
      <c r="BW516" s="26"/>
      <c r="BX516" s="26"/>
      <c r="BY516" s="26"/>
      <c r="BZ516" s="26"/>
      <c r="CA516" s="26"/>
      <c r="CB516" s="138"/>
      <c r="CC516" s="26"/>
      <c r="CD516" s="26"/>
      <c r="CE516" s="26"/>
      <c r="CF516" s="26"/>
      <c r="CG516" s="26"/>
      <c r="CH516" s="138"/>
      <c r="CI516" s="26"/>
      <c r="CJ516" s="26"/>
      <c r="CK516" s="83"/>
      <c r="CL516" s="26"/>
      <c r="CM516" s="26"/>
      <c r="CN516" s="138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138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</row>
    <row r="517" spans="1:151" hidden="1" outlineLevel="1">
      <c r="A517" s="203" t="s">
        <v>4597</v>
      </c>
      <c r="B517" s="90"/>
      <c r="C517" s="26"/>
      <c r="D517" s="26"/>
      <c r="E517" s="26"/>
      <c r="F517" s="26"/>
      <c r="G517" s="26"/>
      <c r="H517" s="90"/>
      <c r="I517" s="26"/>
      <c r="J517" s="26"/>
      <c r="K517" s="26"/>
      <c r="L517" s="26"/>
      <c r="M517" s="26"/>
      <c r="N517" s="90"/>
      <c r="O517" s="26"/>
      <c r="P517" s="26"/>
      <c r="Q517" s="26"/>
      <c r="R517" s="26"/>
      <c r="S517" s="26"/>
      <c r="T517" s="90"/>
      <c r="U517" s="26"/>
      <c r="V517" s="26"/>
      <c r="W517" s="26"/>
      <c r="X517" s="26"/>
      <c r="Y517" s="26"/>
      <c r="Z517" s="90"/>
      <c r="AA517" s="26"/>
      <c r="AB517" s="26"/>
      <c r="AC517" s="26"/>
      <c r="AD517" s="26"/>
      <c r="AE517" s="26"/>
      <c r="AF517" s="90"/>
      <c r="AG517" s="26"/>
      <c r="AH517" s="26"/>
      <c r="AI517" s="26"/>
      <c r="AJ517" s="26"/>
      <c r="AK517" s="26"/>
      <c r="AL517" s="90"/>
      <c r="AM517" s="26"/>
      <c r="AN517" s="26"/>
      <c r="AO517" s="90"/>
      <c r="AP517" s="26"/>
      <c r="AQ517" s="26"/>
      <c r="AR517" s="90"/>
      <c r="AS517" s="26"/>
      <c r="AT517" s="26"/>
      <c r="AU517" s="26"/>
      <c r="AV517" s="26"/>
      <c r="AW517" s="26"/>
      <c r="AX517" s="90"/>
      <c r="AY517" s="83"/>
      <c r="AZ517" s="83"/>
      <c r="BA517" s="83"/>
      <c r="BB517" s="741"/>
      <c r="BC517" s="104"/>
      <c r="BD517" s="138"/>
      <c r="BE517" s="741"/>
      <c r="BF517" s="104"/>
      <c r="BG517" s="104"/>
      <c r="BH517" s="83"/>
      <c r="BI517" s="83"/>
      <c r="BJ517" s="138"/>
      <c r="BK517" s="26"/>
      <c r="BL517" s="26"/>
      <c r="BM517" s="26"/>
      <c r="BN517" s="26"/>
      <c r="BO517" s="138"/>
      <c r="BP517" s="138"/>
      <c r="BQ517" s="26"/>
      <c r="BR517" s="26"/>
      <c r="BS517" s="26"/>
      <c r="BT517" s="26"/>
      <c r="BU517" s="26"/>
      <c r="BV517" s="138"/>
      <c r="BW517" s="26"/>
      <c r="BX517" s="26"/>
      <c r="BY517" s="26"/>
      <c r="BZ517" s="26"/>
      <c r="CA517" s="26"/>
      <c r="CB517" s="138"/>
      <c r="CC517" s="26"/>
      <c r="CD517" s="26"/>
      <c r="CE517" s="26"/>
      <c r="CF517" s="26"/>
      <c r="CG517" s="26"/>
      <c r="CH517" s="138"/>
      <c r="CI517" s="26"/>
      <c r="CJ517" s="26"/>
      <c r="CK517" s="83"/>
      <c r="CL517" s="26"/>
      <c r="CM517" s="26"/>
      <c r="CN517" s="138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138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</row>
    <row r="518" spans="1:151" hidden="1" outlineLevel="1">
      <c r="A518" s="202"/>
      <c r="B518" s="90"/>
      <c r="C518" s="26"/>
      <c r="D518" s="26"/>
      <c r="E518" s="26"/>
      <c r="F518" s="26"/>
      <c r="G518" s="26"/>
      <c r="H518" s="90"/>
      <c r="I518" s="26"/>
      <c r="J518" s="26"/>
      <c r="K518" s="26"/>
      <c r="L518" s="26"/>
      <c r="M518" s="26"/>
      <c r="N518" s="90"/>
      <c r="O518" s="26"/>
      <c r="P518" s="26"/>
      <c r="Q518" s="26"/>
      <c r="R518" s="26"/>
      <c r="S518" s="26"/>
      <c r="T518" s="90"/>
      <c r="U518" s="26"/>
      <c r="V518" s="26"/>
      <c r="W518" s="26"/>
      <c r="X518" s="26"/>
      <c r="Y518" s="26"/>
      <c r="Z518" s="90"/>
      <c r="AA518" s="26"/>
      <c r="AB518" s="26"/>
      <c r="AC518" s="26"/>
      <c r="AD518" s="26"/>
      <c r="AE518" s="26"/>
      <c r="AF518" s="90"/>
      <c r="AG518" s="26"/>
      <c r="AH518" s="26"/>
      <c r="AI518" s="26"/>
      <c r="AJ518" s="26"/>
      <c r="AK518" s="26"/>
      <c r="AL518" s="90"/>
      <c r="AM518" s="26"/>
      <c r="AN518" s="26"/>
      <c r="AO518" s="90"/>
      <c r="AP518" s="26"/>
      <c r="AQ518" s="26"/>
      <c r="AR518" s="90"/>
      <c r="AS518" s="26"/>
      <c r="AT518" s="26"/>
      <c r="AU518" s="26"/>
      <c r="AV518" s="26"/>
      <c r="AW518" s="26"/>
      <c r="AX518" s="90"/>
      <c r="AY518" s="83"/>
      <c r="AZ518" s="83"/>
      <c r="BA518" s="83"/>
      <c r="BB518" s="104"/>
      <c r="BC518" s="104"/>
      <c r="BD518" s="138"/>
      <c r="BE518" s="104"/>
      <c r="BF518" s="104"/>
      <c r="BG518" s="104"/>
      <c r="BH518" s="83"/>
      <c r="BI518" s="83"/>
      <c r="BJ518" s="138"/>
      <c r="BK518" s="26"/>
      <c r="BL518" s="26"/>
      <c r="BM518" s="26"/>
      <c r="BN518" s="26"/>
      <c r="BO518" s="138"/>
      <c r="BP518" s="138"/>
      <c r="BQ518" s="26"/>
      <c r="BR518" s="26"/>
      <c r="BS518" s="26"/>
      <c r="BT518" s="26"/>
      <c r="BU518" s="26"/>
      <c r="BV518" s="138"/>
      <c r="BW518" s="26"/>
      <c r="BX518" s="26"/>
      <c r="BY518" s="26"/>
      <c r="BZ518" s="26"/>
      <c r="CA518" s="26"/>
      <c r="CB518" s="138"/>
      <c r="CC518" s="26"/>
      <c r="CD518" s="26"/>
      <c r="CE518" s="26"/>
      <c r="CF518" s="26"/>
      <c r="CG518" s="26"/>
      <c r="CH518" s="138"/>
      <c r="CI518" s="26"/>
      <c r="CJ518" s="26"/>
      <c r="CK518" s="83"/>
      <c r="CL518" s="26"/>
      <c r="CM518" s="26"/>
      <c r="CN518" s="138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138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</row>
    <row r="519" spans="1:151" hidden="1" outlineLevel="1">
      <c r="A519" s="202" t="s">
        <v>5184</v>
      </c>
      <c r="B519" s="90"/>
      <c r="C519" s="26"/>
      <c r="D519" s="26"/>
      <c r="E519" s="26"/>
      <c r="F519" s="26"/>
      <c r="G519" s="26"/>
      <c r="H519" s="90"/>
      <c r="I519" s="26"/>
      <c r="J519" s="26"/>
      <c r="K519" s="26"/>
      <c r="L519" s="26"/>
      <c r="M519" s="26"/>
      <c r="N519" s="90"/>
      <c r="O519" s="26"/>
      <c r="P519" s="26"/>
      <c r="Q519" s="26"/>
      <c r="R519" s="26"/>
      <c r="S519" s="26"/>
      <c r="T519" s="90"/>
      <c r="U519" s="26"/>
      <c r="V519" s="26"/>
      <c r="W519" s="26"/>
      <c r="X519" s="26"/>
      <c r="Y519" s="26"/>
      <c r="Z519" s="90"/>
      <c r="AA519" s="26"/>
      <c r="AB519" s="26"/>
      <c r="AC519" s="26"/>
      <c r="AD519" s="26"/>
      <c r="AE519" s="26"/>
      <c r="AF519" s="90"/>
      <c r="AG519" s="26"/>
      <c r="AH519" s="26"/>
      <c r="AI519" s="26"/>
      <c r="AJ519" s="26"/>
      <c r="AK519" s="26"/>
      <c r="AL519" s="90"/>
      <c r="AM519" s="26"/>
      <c r="AN519" s="26"/>
      <c r="AO519" s="90"/>
      <c r="AP519" s="26"/>
      <c r="AQ519" s="26"/>
      <c r="AR519" s="90"/>
      <c r="AS519" s="26"/>
      <c r="AT519" s="26"/>
      <c r="AU519" s="26"/>
      <c r="AV519" s="26"/>
      <c r="AW519" s="26"/>
      <c r="AX519" s="90"/>
      <c r="AY519" s="83"/>
      <c r="AZ519" s="83"/>
      <c r="BA519" s="83"/>
      <c r="BB519" s="104"/>
      <c r="BC519" s="104"/>
      <c r="BD519" s="138"/>
      <c r="BE519" s="286"/>
      <c r="BF519" s="104"/>
      <c r="BG519" s="104"/>
      <c r="BH519" s="83"/>
      <c r="BI519" s="83"/>
      <c r="BJ519" s="138"/>
      <c r="BK519" s="58"/>
      <c r="BL519" s="58"/>
      <c r="BM519" s="58"/>
      <c r="BN519" s="26"/>
      <c r="BO519" s="138"/>
      <c r="BP519" s="138"/>
      <c r="BQ519" s="26"/>
      <c r="BR519" s="26"/>
      <c r="BS519" s="26"/>
      <c r="BT519" s="26"/>
      <c r="BU519" s="26"/>
      <c r="BV519" s="138"/>
      <c r="BW519" s="26"/>
      <c r="BX519" s="26"/>
      <c r="BY519" s="26"/>
      <c r="BZ519" s="26"/>
      <c r="CA519" s="26"/>
      <c r="CB519" s="138"/>
      <c r="CC519" s="26"/>
      <c r="CD519" s="26"/>
      <c r="CE519" s="26"/>
      <c r="CF519" s="26"/>
      <c r="CG519" s="26"/>
      <c r="CH519" s="138"/>
      <c r="CI519" s="26"/>
      <c r="CJ519" s="26"/>
      <c r="CK519" s="83"/>
      <c r="CL519" s="26"/>
      <c r="CM519" s="26"/>
      <c r="CN519" s="138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138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</row>
    <row r="520" spans="1:151" hidden="1" outlineLevel="1">
      <c r="A520" s="203" t="s">
        <v>4597</v>
      </c>
      <c r="B520" s="90"/>
      <c r="C520" s="26"/>
      <c r="D520" s="26"/>
      <c r="E520" s="26"/>
      <c r="F520" s="26"/>
      <c r="G520" s="26"/>
      <c r="H520" s="90"/>
      <c r="I520" s="26"/>
      <c r="J520" s="26"/>
      <c r="K520" s="26"/>
      <c r="L520" s="26"/>
      <c r="M520" s="26"/>
      <c r="N520" s="90"/>
      <c r="O520" s="26"/>
      <c r="P520" s="26"/>
      <c r="Q520" s="26"/>
      <c r="R520" s="26"/>
      <c r="S520" s="26"/>
      <c r="T520" s="90"/>
      <c r="U520" s="26"/>
      <c r="V520" s="26"/>
      <c r="W520" s="26"/>
      <c r="X520" s="26"/>
      <c r="Y520" s="26"/>
      <c r="Z520" s="90"/>
      <c r="AA520" s="26"/>
      <c r="AB520" s="26"/>
      <c r="AC520" s="26"/>
      <c r="AD520" s="26"/>
      <c r="AE520" s="26"/>
      <c r="AF520" s="90"/>
      <c r="AG520" s="26"/>
      <c r="AH520" s="26"/>
      <c r="AI520" s="26"/>
      <c r="AJ520" s="26"/>
      <c r="AK520" s="26"/>
      <c r="AL520" s="90"/>
      <c r="AM520" s="26"/>
      <c r="AN520" s="26"/>
      <c r="AO520" s="90"/>
      <c r="AP520" s="26"/>
      <c r="AQ520" s="26"/>
      <c r="AR520" s="90"/>
      <c r="AS520" s="26"/>
      <c r="AT520" s="26"/>
      <c r="AU520" s="26"/>
      <c r="AV520" s="26"/>
      <c r="AW520" s="26"/>
      <c r="AX520" s="90"/>
      <c r="AY520" s="83"/>
      <c r="AZ520" s="83"/>
      <c r="BA520" s="83"/>
      <c r="BB520" s="104"/>
      <c r="BC520" s="104"/>
      <c r="BD520" s="138"/>
      <c r="BE520" s="286"/>
      <c r="BF520" s="104"/>
      <c r="BG520" s="104"/>
      <c r="BH520" s="83"/>
      <c r="BI520" s="83"/>
      <c r="BJ520" s="138"/>
      <c r="BK520" s="26"/>
      <c r="BL520" s="26"/>
      <c r="BM520" s="26"/>
      <c r="BN520" s="26"/>
      <c r="BO520" s="138"/>
      <c r="BP520" s="138"/>
      <c r="BQ520" s="26"/>
      <c r="BR520" s="26"/>
      <c r="BS520" s="26"/>
      <c r="BT520" s="26"/>
      <c r="BU520" s="26"/>
      <c r="BV520" s="138"/>
      <c r="BW520" s="26"/>
      <c r="BX520" s="26"/>
      <c r="BY520" s="26"/>
      <c r="BZ520" s="26"/>
      <c r="CA520" s="26"/>
      <c r="CB520" s="138"/>
      <c r="CC520" s="26"/>
      <c r="CD520" s="26"/>
      <c r="CE520" s="26"/>
      <c r="CF520" s="26"/>
      <c r="CG520" s="26"/>
      <c r="CH520" s="138"/>
      <c r="CI520" s="26"/>
      <c r="CJ520" s="26"/>
      <c r="CK520" s="83"/>
      <c r="CL520" s="26"/>
      <c r="CM520" s="26"/>
      <c r="CN520" s="138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138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</row>
    <row r="521" spans="1:151" hidden="1" outlineLevel="1">
      <c r="A521" s="202"/>
      <c r="B521" s="90"/>
      <c r="C521" s="26"/>
      <c r="D521" s="26"/>
      <c r="E521" s="26"/>
      <c r="F521" s="26"/>
      <c r="G521" s="26"/>
      <c r="H521" s="90"/>
      <c r="I521" s="26"/>
      <c r="J521" s="26"/>
      <c r="K521" s="26"/>
      <c r="L521" s="26"/>
      <c r="M521" s="26"/>
      <c r="N521" s="90"/>
      <c r="O521" s="26"/>
      <c r="P521" s="26"/>
      <c r="Q521" s="26"/>
      <c r="R521" s="26"/>
      <c r="S521" s="26"/>
      <c r="T521" s="90"/>
      <c r="U521" s="26"/>
      <c r="V521" s="26"/>
      <c r="W521" s="26"/>
      <c r="X521" s="26"/>
      <c r="Y521" s="26"/>
      <c r="Z521" s="90"/>
      <c r="AA521" s="26"/>
      <c r="AB521" s="26"/>
      <c r="AC521" s="26"/>
      <c r="AD521" s="26"/>
      <c r="AE521" s="26"/>
      <c r="AF521" s="90"/>
      <c r="AG521" s="26"/>
      <c r="AH521" s="26"/>
      <c r="AI521" s="26"/>
      <c r="AJ521" s="26"/>
      <c r="AK521" s="26"/>
      <c r="AL521" s="90"/>
      <c r="AM521" s="26"/>
      <c r="AN521" s="26"/>
      <c r="AO521" s="90"/>
      <c r="AP521" s="26"/>
      <c r="AQ521" s="26"/>
      <c r="AR521" s="90"/>
      <c r="AS521" s="26"/>
      <c r="AT521" s="26"/>
      <c r="AU521" s="26"/>
      <c r="AV521" s="26"/>
      <c r="AW521" s="26"/>
      <c r="AX521" s="90"/>
      <c r="AY521" s="83"/>
      <c r="AZ521" s="83"/>
      <c r="BA521" s="83"/>
      <c r="BB521" s="104"/>
      <c r="BC521" s="104"/>
      <c r="BD521" s="138"/>
      <c r="BE521" s="104"/>
      <c r="BF521" s="104"/>
      <c r="BG521" s="104"/>
      <c r="BH521" s="83"/>
      <c r="BI521" s="83"/>
      <c r="BJ521" s="138"/>
      <c r="BK521" s="26"/>
      <c r="BL521" s="26"/>
      <c r="BM521" s="26"/>
      <c r="BN521" s="26"/>
      <c r="BO521" s="138"/>
      <c r="BP521" s="138"/>
      <c r="BQ521" s="26"/>
      <c r="BR521" s="26"/>
      <c r="BS521" s="26"/>
      <c r="BT521" s="26"/>
      <c r="BU521" s="26"/>
      <c r="BV521" s="138"/>
      <c r="BW521" s="26"/>
      <c r="BX521" s="26"/>
      <c r="BY521" s="26"/>
      <c r="BZ521" s="26"/>
      <c r="CA521" s="26"/>
      <c r="CB521" s="138"/>
      <c r="CC521" s="26"/>
      <c r="CD521" s="26"/>
      <c r="CE521" s="26"/>
      <c r="CF521" s="26"/>
      <c r="CG521" s="26"/>
      <c r="CH521" s="138"/>
      <c r="CI521" s="26"/>
      <c r="CJ521" s="26"/>
      <c r="CK521" s="83"/>
      <c r="CL521" s="26"/>
      <c r="CM521" s="26"/>
      <c r="CN521" s="138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138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</row>
    <row r="522" spans="1:151" hidden="1" outlineLevel="1">
      <c r="A522" s="202" t="s">
        <v>3346</v>
      </c>
      <c r="B522" s="90"/>
      <c r="C522" s="26"/>
      <c r="D522" s="26"/>
      <c r="E522" s="26"/>
      <c r="F522" s="26"/>
      <c r="G522" s="26"/>
      <c r="H522" s="90"/>
      <c r="I522" s="26"/>
      <c r="J522" s="26"/>
      <c r="K522" s="26"/>
      <c r="L522" s="26"/>
      <c r="M522" s="26"/>
      <c r="N522" s="90"/>
      <c r="O522" s="26"/>
      <c r="P522" s="26"/>
      <c r="Q522" s="26"/>
      <c r="R522" s="26"/>
      <c r="S522" s="26"/>
      <c r="T522" s="90"/>
      <c r="U522" s="26"/>
      <c r="V522" s="26"/>
      <c r="W522" s="26"/>
      <c r="X522" s="26"/>
      <c r="Y522" s="26"/>
      <c r="Z522" s="90"/>
      <c r="AA522" s="26"/>
      <c r="AB522" s="26"/>
      <c r="AC522" s="26"/>
      <c r="AD522" s="26"/>
      <c r="AE522" s="26"/>
      <c r="AF522" s="90"/>
      <c r="AG522" s="26"/>
      <c r="AH522" s="26"/>
      <c r="AI522" s="26"/>
      <c r="AJ522" s="26"/>
      <c r="AK522" s="26"/>
      <c r="AL522" s="90"/>
      <c r="AM522" s="26"/>
      <c r="AN522" s="26"/>
      <c r="AO522" s="90"/>
      <c r="AP522" s="26"/>
      <c r="AQ522" s="26"/>
      <c r="AR522" s="90"/>
      <c r="AS522" s="26"/>
      <c r="AT522" s="26"/>
      <c r="AU522" s="26"/>
      <c r="AV522" s="26"/>
      <c r="AW522" s="26"/>
      <c r="AX522" s="90"/>
      <c r="AY522" s="83"/>
      <c r="AZ522" s="83"/>
      <c r="BA522" s="83"/>
      <c r="BB522" s="104"/>
      <c r="BC522" s="104"/>
      <c r="BD522" s="138"/>
      <c r="BE522" s="104"/>
      <c r="BF522" s="104"/>
      <c r="BG522" s="104"/>
      <c r="BH522" s="83"/>
      <c r="BI522" s="83"/>
      <c r="BJ522" s="138"/>
      <c r="BK522" s="26"/>
      <c r="BL522" s="26"/>
      <c r="BM522" s="26"/>
      <c r="BN522" s="26"/>
      <c r="BO522" s="138"/>
      <c r="BP522" s="138"/>
      <c r="BQ522" s="26"/>
      <c r="BR522" s="26"/>
      <c r="BS522" s="26"/>
      <c r="BT522" s="26"/>
      <c r="BU522" s="26"/>
      <c r="BV522" s="138"/>
      <c r="BW522" s="26"/>
      <c r="BX522" s="26"/>
      <c r="BY522" s="26"/>
      <c r="BZ522" s="26"/>
      <c r="CA522" s="26"/>
      <c r="CB522" s="138"/>
      <c r="CC522" s="26"/>
      <c r="CD522" s="26"/>
      <c r="CE522" s="26"/>
      <c r="CF522" s="26"/>
      <c r="CG522" s="26"/>
      <c r="CH522" s="138"/>
      <c r="CI522" s="26"/>
      <c r="CJ522" s="26"/>
      <c r="CK522" s="83"/>
      <c r="CL522" s="26"/>
      <c r="CM522" s="26"/>
      <c r="CN522" s="138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138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</row>
    <row r="523" spans="1:151" hidden="1" outlineLevel="1">
      <c r="A523" s="203" t="s">
        <v>4597</v>
      </c>
      <c r="B523" s="90"/>
      <c r="C523" s="26"/>
      <c r="D523" s="26"/>
      <c r="E523" s="26"/>
      <c r="F523" s="26"/>
      <c r="G523" s="26"/>
      <c r="H523" s="90"/>
      <c r="I523" s="26"/>
      <c r="J523" s="26"/>
      <c r="K523" s="26"/>
      <c r="L523" s="26"/>
      <c r="M523" s="26"/>
      <c r="N523" s="90"/>
      <c r="O523" s="26"/>
      <c r="P523" s="26"/>
      <c r="Q523" s="26"/>
      <c r="R523" s="26"/>
      <c r="S523" s="26"/>
      <c r="T523" s="90"/>
      <c r="U523" s="26"/>
      <c r="V523" s="26"/>
      <c r="W523" s="26"/>
      <c r="X523" s="26"/>
      <c r="Y523" s="26"/>
      <c r="Z523" s="90"/>
      <c r="AA523" s="26"/>
      <c r="AB523" s="26"/>
      <c r="AC523" s="26"/>
      <c r="AD523" s="26"/>
      <c r="AE523" s="26"/>
      <c r="AF523" s="90"/>
      <c r="AG523" s="26"/>
      <c r="AH523" s="26"/>
      <c r="AI523" s="26"/>
      <c r="AJ523" s="26"/>
      <c r="AK523" s="26"/>
      <c r="AL523" s="90"/>
      <c r="AM523" s="26"/>
      <c r="AN523" s="26"/>
      <c r="AO523" s="90"/>
      <c r="AP523" s="26"/>
      <c r="AQ523" s="26"/>
      <c r="AR523" s="90"/>
      <c r="AS523" s="26"/>
      <c r="AT523" s="26"/>
      <c r="AU523" s="26"/>
      <c r="AV523" s="26"/>
      <c r="AW523" s="26"/>
      <c r="AX523" s="90"/>
      <c r="AY523" s="83"/>
      <c r="AZ523" s="83"/>
      <c r="BA523" s="83"/>
      <c r="BB523" s="104"/>
      <c r="BC523" s="104"/>
      <c r="BD523" s="138"/>
      <c r="BE523" s="62"/>
      <c r="BF523" s="104"/>
      <c r="BG523" s="104"/>
      <c r="BH523" s="83"/>
      <c r="BI523" s="83"/>
      <c r="BJ523" s="138"/>
      <c r="BK523" s="26"/>
      <c r="BL523" s="26"/>
      <c r="BM523" s="26"/>
      <c r="BN523" s="26"/>
      <c r="BO523" s="138"/>
      <c r="BP523" s="138"/>
      <c r="BQ523" s="26"/>
      <c r="BR523" s="26"/>
      <c r="BS523" s="26"/>
      <c r="BT523" s="26"/>
      <c r="BU523" s="26"/>
      <c r="BV523" s="138"/>
      <c r="BW523" s="26"/>
      <c r="BX523" s="26"/>
      <c r="BY523" s="26"/>
      <c r="BZ523" s="26"/>
      <c r="CA523" s="26"/>
      <c r="CB523" s="138"/>
      <c r="CC523" s="26"/>
      <c r="CD523" s="26"/>
      <c r="CE523" s="26"/>
      <c r="CF523" s="26"/>
      <c r="CG523" s="26"/>
      <c r="CH523" s="138"/>
      <c r="CI523" s="26"/>
      <c r="CJ523" s="26"/>
      <c r="CK523" s="83"/>
      <c r="CL523" s="26"/>
      <c r="CM523" s="26"/>
      <c r="CN523" s="138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138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</row>
    <row r="524" spans="1:151" hidden="1" outlineLevel="1">
      <c r="A524" s="203"/>
      <c r="B524" s="90"/>
      <c r="C524" s="26"/>
      <c r="D524" s="26"/>
      <c r="E524" s="26"/>
      <c r="F524" s="26"/>
      <c r="G524" s="26"/>
      <c r="H524" s="90"/>
      <c r="I524" s="26"/>
      <c r="J524" s="26"/>
      <c r="K524" s="26"/>
      <c r="L524" s="26"/>
      <c r="M524" s="26"/>
      <c r="N524" s="90"/>
      <c r="O524" s="26"/>
      <c r="P524" s="26"/>
      <c r="Q524" s="26"/>
      <c r="R524" s="26"/>
      <c r="S524" s="26"/>
      <c r="T524" s="90"/>
      <c r="U524" s="26"/>
      <c r="V524" s="26"/>
      <c r="W524" s="26"/>
      <c r="X524" s="26"/>
      <c r="Y524" s="26"/>
      <c r="Z524" s="90"/>
      <c r="AA524" s="26"/>
      <c r="AB524" s="26"/>
      <c r="AC524" s="26"/>
      <c r="AD524" s="26"/>
      <c r="AE524" s="26"/>
      <c r="AF524" s="90"/>
      <c r="AG524" s="26"/>
      <c r="AH524" s="26"/>
      <c r="AI524" s="26"/>
      <c r="AJ524" s="26"/>
      <c r="AK524" s="26"/>
      <c r="AL524" s="90"/>
      <c r="AM524" s="26"/>
      <c r="AN524" s="26"/>
      <c r="AO524" s="90"/>
      <c r="AP524" s="26"/>
      <c r="AQ524" s="26"/>
      <c r="AR524" s="90"/>
      <c r="AS524" s="26"/>
      <c r="AT524" s="26"/>
      <c r="AU524" s="26"/>
      <c r="AV524" s="26"/>
      <c r="AW524" s="26"/>
      <c r="AX524" s="90"/>
      <c r="AY524" s="83"/>
      <c r="AZ524" s="83"/>
      <c r="BA524" s="83"/>
      <c r="BB524" s="700"/>
      <c r="BC524" s="104"/>
      <c r="BD524" s="138"/>
      <c r="BE524" s="700"/>
      <c r="BF524" s="104"/>
      <c r="BG524" s="104"/>
      <c r="BH524" s="83"/>
      <c r="BI524" s="83"/>
      <c r="BJ524" s="138"/>
      <c r="BK524" s="26"/>
      <c r="BL524" s="26"/>
      <c r="BM524" s="26"/>
      <c r="BN524" s="26"/>
      <c r="BO524" s="138"/>
      <c r="BP524" s="138"/>
      <c r="BQ524" s="26"/>
      <c r="BR524" s="26"/>
      <c r="BS524" s="26"/>
      <c r="BT524" s="26"/>
      <c r="BU524" s="26"/>
      <c r="BV524" s="138"/>
      <c r="BW524" s="26"/>
      <c r="BX524" s="26"/>
      <c r="BY524" s="26"/>
      <c r="BZ524" s="26"/>
      <c r="CA524" s="26"/>
      <c r="CB524" s="138"/>
      <c r="CC524" s="26"/>
      <c r="CD524" s="26"/>
      <c r="CE524" s="26"/>
      <c r="CF524" s="26"/>
      <c r="CG524" s="26"/>
      <c r="CH524" s="138"/>
      <c r="CI524" s="26"/>
      <c r="CJ524" s="26"/>
      <c r="CK524" s="83"/>
      <c r="CL524" s="26"/>
      <c r="CM524" s="26"/>
      <c r="CN524" s="138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138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</row>
    <row r="525" spans="1:151" collapsed="1">
      <c r="A525" s="205" t="s">
        <v>3347</v>
      </c>
      <c r="B525" s="90"/>
      <c r="C525" s="26"/>
      <c r="D525" s="26"/>
      <c r="E525" s="26"/>
      <c r="F525" s="26"/>
      <c r="G525" s="26"/>
      <c r="H525" s="90"/>
      <c r="I525" s="26"/>
      <c r="J525" s="26"/>
      <c r="K525" s="26"/>
      <c r="L525" s="26"/>
      <c r="M525" s="26"/>
      <c r="N525" s="90"/>
      <c r="O525" s="26"/>
      <c r="P525" s="26"/>
      <c r="Q525" s="26"/>
      <c r="R525" s="26"/>
      <c r="S525" s="26"/>
      <c r="T525" s="90"/>
      <c r="U525" s="26"/>
      <c r="V525" s="26"/>
      <c r="W525" s="26"/>
      <c r="X525" s="26"/>
      <c r="Y525" s="26"/>
      <c r="Z525" s="90"/>
      <c r="AA525" s="26"/>
      <c r="AB525" s="26"/>
      <c r="AC525" s="26"/>
      <c r="AD525" s="26"/>
      <c r="AE525" s="26"/>
      <c r="AF525" s="90"/>
      <c r="AG525" s="26"/>
      <c r="AH525" s="26"/>
      <c r="AI525" s="26"/>
      <c r="AJ525" s="26"/>
      <c r="AK525" s="26"/>
      <c r="AL525" s="90"/>
      <c r="AM525" s="26"/>
      <c r="AN525" s="26"/>
      <c r="AO525" s="90"/>
      <c r="AP525" s="26"/>
      <c r="AQ525" s="26"/>
      <c r="AR525" s="90"/>
      <c r="AS525" s="26"/>
      <c r="AT525" s="26"/>
      <c r="AU525" s="26"/>
      <c r="AV525" s="26"/>
      <c r="AW525" s="26"/>
      <c r="AX525" s="90"/>
      <c r="AY525" s="83"/>
      <c r="AZ525" s="83"/>
      <c r="BA525" s="83"/>
      <c r="BB525" s="104"/>
      <c r="BC525" s="104"/>
      <c r="BD525" s="138"/>
      <c r="BE525" s="104"/>
      <c r="BF525" s="104"/>
      <c r="BG525" s="104"/>
      <c r="BH525" s="83"/>
      <c r="BI525" s="83"/>
      <c r="BJ525" s="138"/>
      <c r="BK525" s="26"/>
      <c r="BL525" s="26"/>
      <c r="BM525" s="26"/>
      <c r="BN525" s="26"/>
      <c r="BO525" s="138"/>
      <c r="BP525" s="138"/>
      <c r="BQ525" s="26"/>
      <c r="BR525" s="26"/>
      <c r="BS525" s="26"/>
      <c r="BT525" s="26"/>
      <c r="BU525" s="26"/>
      <c r="BV525" s="138"/>
      <c r="BW525" s="26"/>
      <c r="BX525" s="26"/>
      <c r="BY525" s="26"/>
      <c r="BZ525" s="26"/>
      <c r="CA525" s="26"/>
      <c r="CB525" s="138"/>
      <c r="CC525" s="26"/>
      <c r="CD525" s="26"/>
      <c r="CE525" s="26"/>
      <c r="CF525" s="26"/>
      <c r="CG525" s="26"/>
      <c r="CH525" s="138"/>
      <c r="CI525" s="26"/>
      <c r="CJ525" s="26"/>
      <c r="CK525" s="83"/>
      <c r="CL525" s="26"/>
      <c r="CM525" s="26"/>
      <c r="CN525" s="138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138"/>
      <c r="DM525" s="90"/>
      <c r="DN525" s="90"/>
      <c r="DO525" s="90">
        <v>2512.1999999999998</v>
      </c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</row>
    <row r="526" spans="1:151" ht="4.5" customHeight="1">
      <c r="A526" s="202"/>
      <c r="B526" s="90"/>
      <c r="C526" s="26"/>
      <c r="D526" s="26"/>
      <c r="E526" s="26"/>
      <c r="F526" s="26"/>
      <c r="G526" s="26"/>
      <c r="H526" s="90"/>
      <c r="I526" s="26"/>
      <c r="J526" s="26"/>
      <c r="K526" s="26"/>
      <c r="L526" s="26"/>
      <c r="M526" s="26"/>
      <c r="N526" s="90"/>
      <c r="O526" s="26"/>
      <c r="P526" s="26"/>
      <c r="Q526" s="26"/>
      <c r="R526" s="26"/>
      <c r="S526" s="26"/>
      <c r="T526" s="90"/>
      <c r="U526" s="26"/>
      <c r="V526" s="26"/>
      <c r="W526" s="26"/>
      <c r="X526" s="26"/>
      <c r="Y526" s="26"/>
      <c r="Z526" s="90"/>
      <c r="AA526" s="26"/>
      <c r="AB526" s="26"/>
      <c r="AC526" s="26"/>
      <c r="AD526" s="26"/>
      <c r="AE526" s="26"/>
      <c r="AF526" s="90"/>
      <c r="AG526" s="26"/>
      <c r="AH526" s="26"/>
      <c r="AI526" s="26"/>
      <c r="AJ526" s="26"/>
      <c r="AK526" s="26"/>
      <c r="AL526" s="90"/>
      <c r="AM526" s="26"/>
      <c r="AN526" s="26"/>
      <c r="AO526" s="90"/>
      <c r="AP526" s="26"/>
      <c r="AQ526" s="26"/>
      <c r="AR526" s="90"/>
      <c r="AS526" s="26"/>
      <c r="AT526" s="26"/>
      <c r="AU526" s="26"/>
      <c r="AV526" s="26"/>
      <c r="AW526" s="26"/>
      <c r="AX526" s="90"/>
      <c r="AY526" s="83"/>
      <c r="AZ526" s="83"/>
      <c r="BA526" s="83"/>
      <c r="BB526" s="104"/>
      <c r="BC526" s="104"/>
      <c r="BD526" s="138"/>
      <c r="BE526" s="104"/>
      <c r="BF526" s="104"/>
      <c r="BG526" s="104"/>
      <c r="BH526" s="83"/>
      <c r="BI526" s="83"/>
      <c r="BJ526" s="138"/>
      <c r="BK526" s="26"/>
      <c r="BL526" s="26"/>
      <c r="BM526" s="26"/>
      <c r="BN526" s="26"/>
      <c r="BO526" s="138"/>
      <c r="BP526" s="138"/>
      <c r="BQ526" s="26"/>
      <c r="BR526" s="26"/>
      <c r="BS526" s="26"/>
      <c r="BT526" s="26"/>
      <c r="BU526" s="26"/>
      <c r="BV526" s="138"/>
      <c r="BW526" s="26"/>
      <c r="BX526" s="26"/>
      <c r="BY526" s="26"/>
      <c r="BZ526" s="26"/>
      <c r="CA526" s="26"/>
      <c r="CB526" s="138"/>
      <c r="CC526" s="26"/>
      <c r="CD526" s="26"/>
      <c r="CE526" s="26"/>
      <c r="CF526" s="26"/>
      <c r="CG526" s="26"/>
      <c r="CH526" s="138"/>
      <c r="CI526" s="26"/>
      <c r="CJ526" s="26"/>
      <c r="CK526" s="83"/>
      <c r="CL526" s="26"/>
      <c r="CM526" s="26"/>
      <c r="CN526" s="138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138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</row>
    <row r="527" spans="1:151">
      <c r="A527" s="202" t="s">
        <v>5978</v>
      </c>
      <c r="B527" s="90"/>
      <c r="C527" s="26"/>
      <c r="D527" s="26"/>
      <c r="E527" s="26"/>
      <c r="F527" s="26"/>
      <c r="G527" s="26"/>
      <c r="H527" s="90"/>
      <c r="I527" s="26"/>
      <c r="J527" s="26"/>
      <c r="K527" s="26"/>
      <c r="L527" s="26"/>
      <c r="M527" s="26"/>
      <c r="N527" s="90"/>
      <c r="O527" s="26"/>
      <c r="P527" s="26"/>
      <c r="Q527" s="26"/>
      <c r="R527" s="26"/>
      <c r="S527" s="26"/>
      <c r="T527" s="90"/>
      <c r="U527" s="26"/>
      <c r="V527" s="26"/>
      <c r="W527" s="26"/>
      <c r="X527" s="26"/>
      <c r="Y527" s="26"/>
      <c r="Z527" s="90"/>
      <c r="AA527" s="26"/>
      <c r="AB527" s="26"/>
      <c r="AC527" s="743"/>
      <c r="AD527" s="743"/>
      <c r="AE527" s="743"/>
      <c r="AF527" s="69"/>
      <c r="AG527" s="743"/>
      <c r="AH527" s="743"/>
      <c r="AI527" s="743"/>
      <c r="AJ527" s="743"/>
      <c r="AK527" s="743"/>
      <c r="AL527" s="69"/>
      <c r="AM527" s="743">
        <v>2003</v>
      </c>
      <c r="AN527" s="743">
        <v>2003</v>
      </c>
      <c r="AO527" s="69">
        <v>2003</v>
      </c>
      <c r="AP527" s="743">
        <v>2004</v>
      </c>
      <c r="AQ527" s="743"/>
      <c r="AR527" s="69"/>
      <c r="AS527" s="743">
        <v>2004</v>
      </c>
      <c r="AT527" s="743">
        <v>2004</v>
      </c>
      <c r="AU527" s="743">
        <v>2004</v>
      </c>
      <c r="AV527" s="743">
        <v>2005</v>
      </c>
      <c r="AW527" s="743"/>
      <c r="AX527" s="69"/>
      <c r="AY527" s="744">
        <v>2005</v>
      </c>
      <c r="AZ527" s="744">
        <v>2005</v>
      </c>
      <c r="BA527" s="744">
        <v>2005</v>
      </c>
      <c r="BB527" s="745">
        <v>2006</v>
      </c>
      <c r="BC527" s="745"/>
      <c r="BD527" s="138"/>
      <c r="BE527" s="745">
        <v>2006</v>
      </c>
      <c r="BF527" s="745">
        <v>2006</v>
      </c>
      <c r="BG527" s="745">
        <v>2006</v>
      </c>
      <c r="BH527" s="745">
        <v>2007</v>
      </c>
      <c r="BI527" s="83"/>
      <c r="BJ527" s="138"/>
      <c r="BK527" s="26"/>
      <c r="BL527" s="745">
        <v>2007</v>
      </c>
      <c r="BM527" s="745">
        <v>2007</v>
      </c>
      <c r="BN527" s="745">
        <v>2007</v>
      </c>
      <c r="BO527" s="138"/>
      <c r="BP527" s="138"/>
      <c r="BQ527" s="743">
        <v>2008</v>
      </c>
      <c r="BR527" s="743">
        <v>2008</v>
      </c>
      <c r="BS527" s="743">
        <v>2008</v>
      </c>
      <c r="BT527" s="743">
        <v>2008</v>
      </c>
      <c r="BU527" s="26"/>
      <c r="BV527" s="138"/>
      <c r="BW527" s="743">
        <v>2009</v>
      </c>
      <c r="BX527" s="743">
        <v>2009</v>
      </c>
      <c r="BY527" s="743">
        <v>2009</v>
      </c>
      <c r="BZ527" s="26"/>
      <c r="CA527" s="26"/>
      <c r="CB527" s="138"/>
      <c r="CC527" s="26"/>
      <c r="CD527" s="26"/>
      <c r="CE527" s="26"/>
      <c r="CF527" s="26"/>
      <c r="CG527" s="26"/>
      <c r="CH527" s="138"/>
      <c r="CI527" s="26"/>
      <c r="CJ527" s="26"/>
      <c r="CK527" s="83"/>
      <c r="CL527" s="26"/>
      <c r="CM527" s="26"/>
      <c r="CN527" s="138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138"/>
      <c r="DM527" s="90"/>
      <c r="DN527" s="90"/>
      <c r="DO527" s="90"/>
      <c r="DP527" s="90"/>
      <c r="DQ527" s="90"/>
      <c r="DR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</row>
    <row r="528" spans="1:151">
      <c r="A528" s="202" t="s">
        <v>4596</v>
      </c>
      <c r="B528" s="90"/>
      <c r="C528" s="26"/>
      <c r="D528" s="26"/>
      <c r="E528" s="26"/>
      <c r="F528" s="26"/>
      <c r="G528" s="26"/>
      <c r="H528" s="90"/>
      <c r="I528" s="26"/>
      <c r="J528" s="26"/>
      <c r="K528" s="26"/>
      <c r="L528" s="26"/>
      <c r="M528" s="26"/>
      <c r="N528" s="90"/>
      <c r="O528" s="26"/>
      <c r="P528" s="26"/>
      <c r="Q528" s="26"/>
      <c r="R528" s="26"/>
      <c r="S528" s="26"/>
      <c r="T528" s="90"/>
      <c r="U528" s="26"/>
      <c r="V528" s="26"/>
      <c r="W528" s="26"/>
      <c r="X528" s="26"/>
      <c r="Y528" s="26"/>
      <c r="Z528" s="90"/>
      <c r="AA528" s="26"/>
      <c r="AB528" s="26"/>
      <c r="AC528" s="26"/>
      <c r="AD528" s="26"/>
      <c r="AE528" s="26"/>
      <c r="AF528" s="90"/>
      <c r="AG528" s="26"/>
      <c r="AH528" s="26"/>
      <c r="AI528" s="26"/>
      <c r="AJ528" s="26"/>
      <c r="AK528" s="26"/>
      <c r="AL528" s="90"/>
      <c r="AM528" s="26">
        <v>950</v>
      </c>
      <c r="AN528" s="26">
        <v>860</v>
      </c>
      <c r="AO528" s="90"/>
      <c r="AP528" s="26">
        <v>875</v>
      </c>
      <c r="AQ528" s="26"/>
      <c r="AR528" s="90"/>
      <c r="AS528" s="90">
        <v>875</v>
      </c>
      <c r="AT528" s="90">
        <v>875</v>
      </c>
      <c r="AU528" s="90"/>
      <c r="AV528" s="26">
        <v>990</v>
      </c>
      <c r="AW528" s="26"/>
      <c r="AX528" s="90"/>
      <c r="AY528" s="62">
        <v>1100</v>
      </c>
      <c r="AZ528" s="62">
        <v>1167</v>
      </c>
      <c r="BA528" s="62">
        <v>1213</v>
      </c>
      <c r="BB528" s="62">
        <v>1346</v>
      </c>
      <c r="BC528" s="62"/>
      <c r="BD528" s="138"/>
      <c r="BE528" s="104">
        <v>1450</v>
      </c>
      <c r="BF528" s="104">
        <v>1490</v>
      </c>
      <c r="BG528" s="104">
        <v>1511</v>
      </c>
      <c r="BH528" s="62">
        <f>BG530*1.18</f>
        <v>1813.8959999999997</v>
      </c>
      <c r="BI528" s="83"/>
      <c r="BJ528" s="138"/>
      <c r="BK528" s="26"/>
      <c r="BL528" s="62">
        <v>1810</v>
      </c>
      <c r="BM528" s="26">
        <v>1820</v>
      </c>
      <c r="BN528" s="26">
        <v>1832</v>
      </c>
      <c r="BO528" s="138"/>
      <c r="BP528" s="138"/>
      <c r="BQ528" s="26">
        <v>2075</v>
      </c>
      <c r="BR528" s="26">
        <v>2.1150000000000002</v>
      </c>
      <c r="BS528" s="852">
        <v>2.14</v>
      </c>
      <c r="BT528" s="26">
        <v>2148</v>
      </c>
      <c r="BU528" s="26"/>
      <c r="BV528" s="138"/>
      <c r="BW528" s="26">
        <v>2425</v>
      </c>
      <c r="BX528" s="26">
        <v>2450</v>
      </c>
      <c r="BY528" s="26">
        <v>2500</v>
      </c>
      <c r="BZ528" s="26"/>
      <c r="CA528" s="852">
        <f>BW528/BT530-1</f>
        <v>0.11648250460405163</v>
      </c>
      <c r="CB528" s="26"/>
      <c r="CC528" s="852">
        <f>BY528/BT530-1</f>
        <v>0.15101289134438312</v>
      </c>
      <c r="CD528" s="26"/>
      <c r="CE528" s="26">
        <v>1680</v>
      </c>
      <c r="CF528" s="26"/>
      <c r="CG528" s="26"/>
      <c r="CH528" s="138"/>
      <c r="CI528" s="852"/>
      <c r="CJ528" s="852"/>
      <c r="CK528" s="83"/>
      <c r="CL528" s="26"/>
      <c r="CM528" s="26"/>
      <c r="CN528" s="138"/>
      <c r="CO528" s="90"/>
      <c r="CP528" s="90">
        <f>CM90*(1+CP529)</f>
        <v>2178.0640000000003</v>
      </c>
      <c r="CQ528" s="90">
        <f>CM90*(1+CQ529)</f>
        <v>2197.511</v>
      </c>
      <c r="CR528" s="90"/>
      <c r="CS528" s="90"/>
      <c r="CT528" s="90"/>
      <c r="CU528" s="90" t="s">
        <v>6777</v>
      </c>
      <c r="CV528" s="90"/>
      <c r="CW528" s="90"/>
      <c r="CX528" s="90"/>
      <c r="CY528" s="90"/>
      <c r="CZ528" s="90"/>
      <c r="DA528" s="90" t="s">
        <v>3018</v>
      </c>
      <c r="DB528" s="90" t="s">
        <v>3958</v>
      </c>
      <c r="DC528" s="90"/>
      <c r="DD528" s="90"/>
      <c r="DE528" s="262">
        <v>0.03</v>
      </c>
      <c r="DF528" s="90"/>
      <c r="DG528" s="262">
        <v>0.04</v>
      </c>
      <c r="DH528" s="262">
        <v>7.0000000000000007E-2</v>
      </c>
      <c r="DI528" s="262">
        <v>0.09</v>
      </c>
      <c r="DJ528" s="90"/>
      <c r="DK528" s="262">
        <v>0.03</v>
      </c>
      <c r="DL528" s="138"/>
      <c r="DM528" s="262">
        <v>0.02</v>
      </c>
      <c r="DN528" s="159">
        <f>2465/Model!DK31-1</f>
        <v>-1.8788313032401804E-2</v>
      </c>
      <c r="DO528" s="245">
        <f>2475/DO525-100%</f>
        <v>-1.4807738237401447E-2</v>
      </c>
      <c r="DP528" s="90"/>
      <c r="DQ528" s="90"/>
      <c r="DR528" s="90"/>
      <c r="DS528" s="262">
        <f>1950/Model!DQ31-1</f>
        <v>-0.22127710554690305</v>
      </c>
      <c r="DT528" s="262">
        <f>2000/Model!DQ31-1</f>
        <v>-0.20130985184297745</v>
      </c>
      <c r="DU528" s="262">
        <f>2012/Model!DQ31-1</f>
        <v>-0.19651771095403536</v>
      </c>
      <c r="DV528" s="90"/>
      <c r="DW528" s="90"/>
      <c r="DX528" s="90"/>
      <c r="DY528" s="245">
        <f>2000/Model!$DW$31-1</f>
        <v>-1.5263417035942806E-2</v>
      </c>
      <c r="DZ528" s="353">
        <f>DY528</f>
        <v>-1.5263417035942806E-2</v>
      </c>
      <c r="EA528" s="245">
        <f>2030/Model!$DW$31-1</f>
        <v>-4.9236829148191497E-4</v>
      </c>
      <c r="EB528" s="245">
        <f>2040/Model!$DW$31-1</f>
        <v>4.4313146233383449E-3</v>
      </c>
      <c r="EC528" s="90"/>
      <c r="ED528" s="90"/>
      <c r="EE528" s="1468">
        <v>2455</v>
      </c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</row>
    <row r="529" spans="1:173">
      <c r="A529" s="202" t="s">
        <v>4595</v>
      </c>
      <c r="B529" s="90"/>
      <c r="C529" s="26"/>
      <c r="D529" s="26"/>
      <c r="E529" s="26"/>
      <c r="F529" s="26"/>
      <c r="G529" s="26"/>
      <c r="H529" s="90"/>
      <c r="I529" s="26"/>
      <c r="J529" s="26"/>
      <c r="K529" s="26"/>
      <c r="L529" s="26"/>
      <c r="M529" s="26"/>
      <c r="N529" s="90"/>
      <c r="O529" s="26"/>
      <c r="P529" s="26"/>
      <c r="Q529" s="26"/>
      <c r="R529" s="26"/>
      <c r="S529" s="26"/>
      <c r="T529" s="90"/>
      <c r="U529" s="26"/>
      <c r="V529" s="26"/>
      <c r="W529" s="26"/>
      <c r="X529" s="26"/>
      <c r="Y529" s="26"/>
      <c r="Z529" s="90"/>
      <c r="AA529" s="26"/>
      <c r="AB529" s="26"/>
      <c r="AC529" s="26"/>
      <c r="AD529" s="26"/>
      <c r="AE529" s="26"/>
      <c r="AF529" s="90"/>
      <c r="AG529" s="26"/>
      <c r="AH529" s="26"/>
      <c r="AI529" s="26"/>
      <c r="AJ529" s="26"/>
      <c r="AK529" s="26"/>
      <c r="AL529" s="90"/>
      <c r="AM529" s="26">
        <v>1000</v>
      </c>
      <c r="AN529" s="26">
        <v>900</v>
      </c>
      <c r="AO529" s="90"/>
      <c r="AP529" s="26">
        <v>900</v>
      </c>
      <c r="AQ529" s="26"/>
      <c r="AR529" s="90"/>
      <c r="AS529" s="90">
        <v>900</v>
      </c>
      <c r="AT529" s="90">
        <v>885</v>
      </c>
      <c r="AU529" s="90"/>
      <c r="AV529" s="26">
        <v>1010</v>
      </c>
      <c r="AW529" s="61"/>
      <c r="AX529" s="90"/>
      <c r="AY529" s="62">
        <v>1125</v>
      </c>
      <c r="AZ529" s="62">
        <v>1770</v>
      </c>
      <c r="BA529" s="62">
        <v>1223</v>
      </c>
      <c r="BB529" s="62">
        <v>1410</v>
      </c>
      <c r="BC529" s="62"/>
      <c r="BD529" s="138"/>
      <c r="BE529" s="104">
        <v>1500</v>
      </c>
      <c r="BF529" s="104">
        <v>1510</v>
      </c>
      <c r="BG529" s="104">
        <v>1521</v>
      </c>
      <c r="BH529" s="62">
        <f>BG530*1.2</f>
        <v>1844.6399999999996</v>
      </c>
      <c r="BI529" s="83"/>
      <c r="BJ529" s="138"/>
      <c r="BK529" s="26"/>
      <c r="BL529" s="62">
        <v>1850</v>
      </c>
      <c r="BM529" s="26">
        <v>1850</v>
      </c>
      <c r="BN529" s="26">
        <v>1842</v>
      </c>
      <c r="BO529" s="138"/>
      <c r="BP529" s="138"/>
      <c r="BQ529" s="26">
        <v>2125</v>
      </c>
      <c r="BR529" s="26">
        <v>2.15</v>
      </c>
      <c r="BS529" s="852">
        <v>2.16</v>
      </c>
      <c r="BT529" s="26">
        <v>2158</v>
      </c>
      <c r="BU529" s="26"/>
      <c r="BV529" s="138"/>
      <c r="BW529" s="26">
        <v>2475</v>
      </c>
      <c r="BX529" s="26">
        <v>2500</v>
      </c>
      <c r="BY529" s="26">
        <v>2530</v>
      </c>
      <c r="BZ529" s="26"/>
      <c r="CA529" s="852">
        <f>BW529/BT530-1</f>
        <v>0.13950276243093929</v>
      </c>
      <c r="CB529" s="26"/>
      <c r="CC529" s="852">
        <f>BY529/BT530-1</f>
        <v>0.16482504604051562</v>
      </c>
      <c r="CD529" s="26"/>
      <c r="CE529" s="26">
        <v>1700</v>
      </c>
      <c r="CF529" s="26"/>
      <c r="CG529" s="26"/>
      <c r="CH529" s="138"/>
      <c r="CI529" s="852"/>
      <c r="CJ529" s="852"/>
      <c r="CK529" s="83"/>
      <c r="CL529" s="26"/>
      <c r="CM529" s="26"/>
      <c r="CN529" s="138"/>
      <c r="CO529" s="90"/>
      <c r="CP529" s="262">
        <v>0.12</v>
      </c>
      <c r="CQ529" s="262">
        <v>0.13</v>
      </c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262">
        <v>0.05</v>
      </c>
      <c r="DF529" s="90"/>
      <c r="DG529" s="262">
        <v>0.06</v>
      </c>
      <c r="DH529" s="262">
        <v>0.09</v>
      </c>
      <c r="DI529" s="262">
        <v>0.1</v>
      </c>
      <c r="DJ529" s="90"/>
      <c r="DK529" s="262">
        <v>0.05</v>
      </c>
      <c r="DL529" s="138"/>
      <c r="DM529" s="262">
        <v>0.04</v>
      </c>
      <c r="DN529" s="285">
        <f>2505/Model!DK31-1</f>
        <v>-2.8660138524002621E-3</v>
      </c>
      <c r="DO529" s="245">
        <f>2495/DO525-1</f>
        <v>-6.8465886474006199E-3</v>
      </c>
      <c r="DP529" s="90"/>
      <c r="DQ529" s="90"/>
      <c r="DR529" s="90"/>
      <c r="DS529" s="1777">
        <f>2050/Model!DQ31-1</f>
        <v>-0.18134259813905196</v>
      </c>
      <c r="DT529" s="1777">
        <f>2050/Model!DQ31-1</f>
        <v>-0.18134259813905196</v>
      </c>
      <c r="DU529" s="2082">
        <f>2032/Model!DQ31-1</f>
        <v>-0.18853080947246514</v>
      </c>
      <c r="DV529" s="90"/>
      <c r="DW529" s="90"/>
      <c r="DX529" s="90"/>
      <c r="DY529" s="245">
        <f>2050/Model!$DW$31-1</f>
        <v>9.3549975381586048E-3</v>
      </c>
      <c r="DZ529" s="245">
        <f>DY529</f>
        <v>9.3549975381586048E-3</v>
      </c>
      <c r="EA529" s="245">
        <f>2050/Model!$DW$31-1</f>
        <v>9.3549975381586048E-3</v>
      </c>
      <c r="EB529" s="245">
        <f>2050/Model!$DW$31-1</f>
        <v>9.3549975381586048E-3</v>
      </c>
      <c r="EC529" s="90"/>
      <c r="ED529" s="90"/>
      <c r="EE529" s="1468">
        <v>2505</v>
      </c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</row>
    <row r="530" spans="1:173">
      <c r="A530" s="203" t="s">
        <v>4597</v>
      </c>
      <c r="B530" s="52"/>
      <c r="C530" s="30"/>
      <c r="D530" s="30"/>
      <c r="E530" s="30"/>
      <c r="F530" s="30"/>
      <c r="G530" s="30"/>
      <c r="H530" s="52"/>
      <c r="I530" s="30"/>
      <c r="J530" s="30"/>
      <c r="K530" s="30"/>
      <c r="L530" s="30"/>
      <c r="M530" s="30"/>
      <c r="N530" s="52"/>
      <c r="O530" s="30"/>
      <c r="P530" s="30"/>
      <c r="Q530" s="30"/>
      <c r="R530" s="30"/>
      <c r="S530" s="30"/>
      <c r="T530" s="52"/>
      <c r="U530" s="30"/>
      <c r="V530" s="30"/>
      <c r="W530" s="30"/>
      <c r="X530" s="30"/>
      <c r="Y530" s="30"/>
      <c r="Z530" s="52"/>
      <c r="AA530" s="30"/>
      <c r="AB530" s="30"/>
      <c r="AC530" s="30"/>
      <c r="AD530" s="30"/>
      <c r="AE530" s="30"/>
      <c r="AF530" s="52"/>
      <c r="AG530" s="30"/>
      <c r="AH530" s="30"/>
      <c r="AI530" s="30"/>
      <c r="AJ530" s="30"/>
      <c r="AK530" s="30"/>
      <c r="AL530" s="52"/>
      <c r="AM530" s="30"/>
      <c r="AN530" s="30"/>
      <c r="AO530" s="52"/>
      <c r="AP530" s="30"/>
      <c r="AQ530" s="64">
        <f>Model!AQ31</f>
        <v>824.94499999999994</v>
      </c>
      <c r="AR530" s="52"/>
      <c r="AS530" s="30"/>
      <c r="AT530" s="30"/>
      <c r="AU530" s="52"/>
      <c r="AV530" s="64"/>
      <c r="AW530" s="64">
        <f>Model!AW31</f>
        <v>951.64300000000003</v>
      </c>
      <c r="AX530" s="52"/>
      <c r="AY530" s="79"/>
      <c r="AZ530" s="79"/>
      <c r="BA530" s="79"/>
      <c r="BB530" s="363"/>
      <c r="BC530" s="363">
        <f>Model!BC31</f>
        <v>1238.9000000000001</v>
      </c>
      <c r="BD530" s="57"/>
      <c r="BE530" s="319">
        <f>Model!$BI31</f>
        <v>1537.1999999999998</v>
      </c>
      <c r="BF530" s="319">
        <f>Model!$BI31</f>
        <v>1537.1999999999998</v>
      </c>
      <c r="BG530" s="319">
        <f>Model!$BI31</f>
        <v>1537.1999999999998</v>
      </c>
      <c r="BH530" s="742">
        <f>Model!BO31</f>
        <v>1839.8000000000002</v>
      </c>
      <c r="BI530" s="272"/>
      <c r="BJ530" s="57"/>
      <c r="BK530" s="30"/>
      <c r="BL530" s="319">
        <f>Model!$BO31</f>
        <v>1839.8000000000002</v>
      </c>
      <c r="BM530" s="319">
        <f>Model!$BO31</f>
        <v>1839.8000000000002</v>
      </c>
      <c r="BN530" s="319">
        <f>Model!$BO31</f>
        <v>1839.8000000000002</v>
      </c>
      <c r="BO530" s="57"/>
      <c r="BP530" s="57"/>
      <c r="BQ530" s="363">
        <f>Model!$BU31</f>
        <v>2172</v>
      </c>
      <c r="BR530" s="363">
        <f>Model!$BU31</f>
        <v>2172</v>
      </c>
      <c r="BS530" s="363">
        <f>Model!$BU31</f>
        <v>2172</v>
      </c>
      <c r="BT530" s="363">
        <f>Model!$BU31</f>
        <v>2172</v>
      </c>
      <c r="BU530" s="30"/>
      <c r="BV530" s="57"/>
      <c r="BW530" s="80">
        <f>Model!$CA31</f>
        <v>2315.2000000000003</v>
      </c>
      <c r="BX530" s="80">
        <f>Model!$CA31</f>
        <v>2315.2000000000003</v>
      </c>
      <c r="BY530" s="80">
        <f>Model!$CA31</f>
        <v>2315.2000000000003</v>
      </c>
      <c r="BZ530" s="30"/>
      <c r="CA530" s="30"/>
      <c r="CB530" s="57"/>
      <c r="CC530" s="30"/>
      <c r="CD530" s="30"/>
      <c r="CE530" s="80">
        <f>Model!CG31</f>
        <v>1713.6999999999998</v>
      </c>
      <c r="CF530" s="30"/>
      <c r="CG530" s="30"/>
      <c r="CH530" s="57"/>
      <c r="CI530" s="30"/>
      <c r="CJ530" s="30"/>
      <c r="CK530" s="272"/>
      <c r="CL530" s="30"/>
      <c r="CM530" s="30"/>
      <c r="CN530" s="57"/>
      <c r="CO530" s="52"/>
      <c r="CP530" s="52"/>
      <c r="CQ530" s="52"/>
      <c r="CR530" s="52"/>
      <c r="CS530" s="52"/>
      <c r="CT530" s="52"/>
      <c r="CU530" s="52"/>
      <c r="CV530" s="52"/>
      <c r="CW530" s="52"/>
      <c r="CX530" s="52"/>
      <c r="CY530" s="52"/>
      <c r="CZ530" s="52"/>
      <c r="DA530" s="52"/>
      <c r="DB530" s="52"/>
      <c r="DC530" s="52"/>
      <c r="DD530" s="52"/>
      <c r="DE530" s="52"/>
      <c r="DF530" s="52"/>
      <c r="DG530" s="353"/>
      <c r="DH530" s="353">
        <v>8.5126524136871939E-2</v>
      </c>
      <c r="DI530" s="52"/>
      <c r="DJ530" s="52"/>
      <c r="DK530" s="52"/>
      <c r="DL530" s="57"/>
      <c r="DM530" s="52"/>
      <c r="DN530" s="52"/>
      <c r="DO530" s="52"/>
      <c r="DP530" s="52"/>
      <c r="DQ530" s="52"/>
      <c r="DR530" s="52"/>
      <c r="DS530" s="52"/>
      <c r="DT530" s="52"/>
      <c r="DU530" s="52"/>
      <c r="DV530" s="52"/>
      <c r="DW530" s="52"/>
      <c r="DX530" s="52"/>
      <c r="DY530" s="52"/>
      <c r="DZ530" s="52"/>
      <c r="EA530" s="52"/>
      <c r="EB530" s="52"/>
      <c r="EC530" s="52"/>
      <c r="ED530" s="52"/>
      <c r="EE530" s="52"/>
      <c r="EF530" s="52"/>
      <c r="EG530" s="52"/>
      <c r="EH530" s="52"/>
      <c r="EI530" s="52"/>
      <c r="EJ530" s="52"/>
      <c r="EK530" s="52"/>
      <c r="EL530" s="52"/>
      <c r="EM530" s="52"/>
      <c r="EN530" s="52"/>
      <c r="EO530" s="52"/>
      <c r="EP530" s="52"/>
      <c r="EQ530" s="52"/>
      <c r="ER530" s="52"/>
      <c r="ES530" s="52"/>
      <c r="ET530" s="52"/>
      <c r="EU530" s="52"/>
    </row>
    <row r="531" spans="1:173" s="1805" customFormat="1">
      <c r="A531" s="203"/>
      <c r="B531" s="52"/>
      <c r="C531" s="30"/>
      <c r="D531" s="30"/>
      <c r="E531" s="30"/>
      <c r="F531" s="30"/>
      <c r="G531" s="30"/>
      <c r="H531" s="52"/>
      <c r="I531" s="30"/>
      <c r="J531" s="30"/>
      <c r="K531" s="30"/>
      <c r="L531" s="30"/>
      <c r="M531" s="30"/>
      <c r="N531" s="52"/>
      <c r="O531" s="30"/>
      <c r="P531" s="30"/>
      <c r="Q531" s="30"/>
      <c r="R531" s="30"/>
      <c r="S531" s="30"/>
      <c r="T531" s="52"/>
      <c r="U531" s="30"/>
      <c r="V531" s="30"/>
      <c r="W531" s="30"/>
      <c r="X531" s="30"/>
      <c r="Y531" s="30"/>
      <c r="Z531" s="52"/>
      <c r="AA531" s="30"/>
      <c r="AB531" s="30"/>
      <c r="AC531" s="30"/>
      <c r="AD531" s="30"/>
      <c r="AE531" s="30"/>
      <c r="AF531" s="52"/>
      <c r="AG531" s="30"/>
      <c r="AH531" s="30"/>
      <c r="AI531" s="30"/>
      <c r="AJ531" s="30"/>
      <c r="AK531" s="30"/>
      <c r="AL531" s="52"/>
      <c r="AM531" s="30"/>
      <c r="AN531" s="30"/>
      <c r="AO531" s="52"/>
      <c r="AP531" s="30"/>
      <c r="AQ531" s="64"/>
      <c r="AR531" s="52"/>
      <c r="AS531" s="30"/>
      <c r="AT531" s="30"/>
      <c r="AU531" s="52"/>
      <c r="AV531" s="64"/>
      <c r="AW531" s="64"/>
      <c r="AX531" s="52"/>
      <c r="AY531" s="79"/>
      <c r="AZ531" s="79"/>
      <c r="BA531" s="79"/>
      <c r="BB531" s="363"/>
      <c r="BC531" s="363"/>
      <c r="BD531" s="57"/>
      <c r="BE531" s="319"/>
      <c r="BF531" s="319"/>
      <c r="BG531" s="319"/>
      <c r="BH531" s="742"/>
      <c r="BI531" s="272"/>
      <c r="BJ531" s="57"/>
      <c r="BK531" s="30"/>
      <c r="BL531" s="319"/>
      <c r="BM531" s="319"/>
      <c r="BN531" s="319"/>
      <c r="BO531" s="57"/>
      <c r="BP531" s="57"/>
      <c r="BQ531" s="363"/>
      <c r="BR531" s="363"/>
      <c r="BS531" s="363"/>
      <c r="BT531" s="363"/>
      <c r="BU531" s="30"/>
      <c r="BV531" s="57"/>
      <c r="BW531" s="80"/>
      <c r="BX531" s="80"/>
      <c r="BY531" s="80"/>
      <c r="BZ531" s="30"/>
      <c r="CA531" s="30"/>
      <c r="CB531" s="57"/>
      <c r="CC531" s="30"/>
      <c r="CD531" s="30"/>
      <c r="CE531" s="80"/>
      <c r="CF531" s="30"/>
      <c r="CG531" s="30"/>
      <c r="CH531" s="57"/>
      <c r="CI531" s="30"/>
      <c r="CJ531" s="30"/>
      <c r="CK531" s="272"/>
      <c r="CL531" s="30"/>
      <c r="CM531" s="30"/>
      <c r="CN531" s="57"/>
      <c r="CO531" s="52"/>
      <c r="CP531" s="52"/>
      <c r="CQ531" s="52"/>
      <c r="CR531" s="52"/>
      <c r="CS531" s="52"/>
      <c r="CT531" s="52"/>
      <c r="CU531" s="52"/>
      <c r="CV531" s="52"/>
      <c r="CW531" s="52"/>
      <c r="CX531" s="52"/>
      <c r="CY531" s="52"/>
      <c r="CZ531" s="52"/>
      <c r="DA531" s="52"/>
      <c r="DB531" s="52"/>
      <c r="DC531" s="52"/>
      <c r="DD531" s="52"/>
      <c r="DE531" s="52"/>
      <c r="DF531" s="52"/>
      <c r="DG531" s="353"/>
      <c r="DH531" s="353"/>
      <c r="DI531" s="52"/>
      <c r="DJ531" s="52"/>
      <c r="DK531" s="52"/>
      <c r="DL531" s="57"/>
      <c r="DM531" s="52"/>
      <c r="DN531" s="52"/>
      <c r="DO531" s="52"/>
      <c r="DP531" s="52"/>
      <c r="DQ531" s="52"/>
      <c r="DR531" s="52"/>
      <c r="DS531" s="52"/>
      <c r="DT531" s="52"/>
      <c r="DU531" s="52"/>
      <c r="DV531" s="52"/>
      <c r="DW531" s="52"/>
      <c r="DX531" s="52"/>
      <c r="DY531" s="52"/>
      <c r="DZ531" s="52"/>
      <c r="EA531" s="52"/>
      <c r="EB531" s="52"/>
      <c r="EC531" s="52"/>
      <c r="ED531" s="52"/>
      <c r="EE531" s="52"/>
      <c r="EF531" s="52"/>
      <c r="EG531" s="52"/>
      <c r="EH531" s="52"/>
      <c r="EI531" s="52"/>
      <c r="EJ531" s="52"/>
      <c r="EK531" s="52"/>
      <c r="EL531" s="52"/>
      <c r="EM531" s="52"/>
      <c r="EN531" s="52"/>
      <c r="EO531" s="52"/>
      <c r="EP531" s="52"/>
      <c r="EQ531" s="52"/>
      <c r="ER531" s="52"/>
      <c r="ES531" s="52"/>
      <c r="ET531" s="52"/>
      <c r="EU531" s="52"/>
    </row>
    <row r="532" spans="1:173" s="1805" customFormat="1">
      <c r="A532" s="202" t="s">
        <v>7004</v>
      </c>
      <c r="B532" s="52"/>
      <c r="C532" s="30"/>
      <c r="D532" s="30"/>
      <c r="E532" s="30"/>
      <c r="F532" s="30"/>
      <c r="G532" s="30"/>
      <c r="H532" s="52"/>
      <c r="I532" s="30"/>
      <c r="J532" s="30"/>
      <c r="K532" s="30"/>
      <c r="L532" s="30"/>
      <c r="M532" s="30"/>
      <c r="N532" s="52"/>
      <c r="O532" s="30"/>
      <c r="P532" s="30"/>
      <c r="Q532" s="30"/>
      <c r="R532" s="30"/>
      <c r="S532" s="30"/>
      <c r="T532" s="52"/>
      <c r="U532" s="30"/>
      <c r="V532" s="30"/>
      <c r="W532" s="30"/>
      <c r="X532" s="30"/>
      <c r="Y532" s="30"/>
      <c r="Z532" s="52"/>
      <c r="AA532" s="30"/>
      <c r="AB532" s="30"/>
      <c r="AC532" s="30"/>
      <c r="AD532" s="30"/>
      <c r="AE532" s="30"/>
      <c r="AF532" s="52"/>
      <c r="AG532" s="30"/>
      <c r="AH532" s="30"/>
      <c r="AI532" s="30"/>
      <c r="AJ532" s="30"/>
      <c r="AK532" s="30"/>
      <c r="AL532" s="52"/>
      <c r="AM532" s="30"/>
      <c r="AN532" s="30"/>
      <c r="AO532" s="52"/>
      <c r="AP532" s="30"/>
      <c r="AQ532" s="64"/>
      <c r="AR532" s="52"/>
      <c r="AS532" s="30"/>
      <c r="AT532" s="30"/>
      <c r="AU532" s="52"/>
      <c r="AV532" s="64"/>
      <c r="AW532" s="64"/>
      <c r="AX532" s="52"/>
      <c r="AY532" s="79"/>
      <c r="AZ532" s="79"/>
      <c r="BA532" s="79"/>
      <c r="BB532" s="363"/>
      <c r="BC532" s="363"/>
      <c r="BD532" s="57"/>
      <c r="BE532" s="319"/>
      <c r="BF532" s="319"/>
      <c r="BG532" s="319"/>
      <c r="BH532" s="742"/>
      <c r="BI532" s="272"/>
      <c r="BJ532" s="57"/>
      <c r="BK532" s="30"/>
      <c r="BL532" s="319"/>
      <c r="BM532" s="319"/>
      <c r="BN532" s="319"/>
      <c r="BO532" s="57"/>
      <c r="BP532" s="57"/>
      <c r="BQ532" s="363"/>
      <c r="BR532" s="363"/>
      <c r="BS532" s="363"/>
      <c r="BT532" s="363"/>
      <c r="BU532" s="30"/>
      <c r="BV532" s="57"/>
      <c r="BW532" s="80"/>
      <c r="BX532" s="80"/>
      <c r="BY532" s="80"/>
      <c r="BZ532" s="30"/>
      <c r="CA532" s="30"/>
      <c r="CB532" s="57"/>
      <c r="CC532" s="30"/>
      <c r="CD532" s="30"/>
      <c r="CE532" s="80"/>
      <c r="CF532" s="30"/>
      <c r="CG532" s="30"/>
      <c r="CH532" s="57"/>
      <c r="CI532" s="30"/>
      <c r="CJ532" s="30"/>
      <c r="CK532" s="272"/>
      <c r="CL532" s="30"/>
      <c r="CM532" s="30"/>
      <c r="CN532" s="57"/>
      <c r="CO532" s="52"/>
      <c r="CP532" s="52"/>
      <c r="CQ532" s="52"/>
      <c r="CR532" s="52"/>
      <c r="CS532" s="52"/>
      <c r="CT532" s="52"/>
      <c r="CU532" s="52"/>
      <c r="CV532" s="52"/>
      <c r="CW532" s="52"/>
      <c r="CX532" s="52"/>
      <c r="CY532" s="52"/>
      <c r="CZ532" s="52"/>
      <c r="DA532" s="52"/>
      <c r="DB532" s="52"/>
      <c r="DC532" s="52"/>
      <c r="DD532" s="52"/>
      <c r="DE532" s="52"/>
      <c r="DF532" s="52"/>
      <c r="DG532" s="353"/>
      <c r="DH532" s="353"/>
      <c r="DI532" s="52"/>
      <c r="DJ532" s="52"/>
      <c r="DK532" s="262"/>
      <c r="DL532" s="57"/>
      <c r="DM532" s="262"/>
      <c r="DN532" s="52"/>
      <c r="DO532" s="52"/>
      <c r="DP532" s="52"/>
      <c r="DQ532" s="52"/>
      <c r="DR532" s="52"/>
      <c r="DS532" s="52"/>
      <c r="DT532" s="52"/>
      <c r="DU532" s="52"/>
      <c r="DV532" s="52"/>
      <c r="DW532" s="52"/>
      <c r="DX532" s="52"/>
      <c r="DY532" s="52"/>
      <c r="DZ532" s="52"/>
      <c r="EA532" s="52"/>
      <c r="EB532" s="52"/>
      <c r="EC532" s="52"/>
      <c r="ED532" s="52"/>
      <c r="EE532" s="52"/>
      <c r="EF532" s="52"/>
      <c r="EG532" s="52"/>
      <c r="EH532" s="52"/>
      <c r="EI532" s="52"/>
      <c r="EJ532" s="52"/>
      <c r="EK532" s="52"/>
      <c r="EL532" s="52"/>
      <c r="EM532" s="52"/>
      <c r="EN532" s="52"/>
      <c r="EO532" s="52"/>
      <c r="EP532" s="52"/>
      <c r="EQ532" s="52"/>
      <c r="ER532" s="52"/>
      <c r="ES532" s="52"/>
      <c r="ET532" s="52"/>
      <c r="EU532" s="52"/>
    </row>
    <row r="533" spans="1:173" s="1805" customFormat="1">
      <c r="A533" s="202" t="s">
        <v>4596</v>
      </c>
      <c r="B533" s="52"/>
      <c r="C533" s="30"/>
      <c r="D533" s="30"/>
      <c r="E533" s="30"/>
      <c r="F533" s="30"/>
      <c r="G533" s="30"/>
      <c r="H533" s="52"/>
      <c r="I533" s="30"/>
      <c r="J533" s="30"/>
      <c r="K533" s="30"/>
      <c r="L533" s="30"/>
      <c r="M533" s="30"/>
      <c r="N533" s="52"/>
      <c r="O533" s="30"/>
      <c r="P533" s="30"/>
      <c r="Q533" s="30"/>
      <c r="R533" s="30"/>
      <c r="S533" s="30"/>
      <c r="T533" s="52"/>
      <c r="U533" s="30"/>
      <c r="V533" s="30"/>
      <c r="W533" s="30"/>
      <c r="X533" s="30"/>
      <c r="Y533" s="30"/>
      <c r="Z533" s="52"/>
      <c r="AA533" s="30"/>
      <c r="AB533" s="30"/>
      <c r="AC533" s="30"/>
      <c r="AD533" s="30"/>
      <c r="AE533" s="30"/>
      <c r="AF533" s="52"/>
      <c r="AG533" s="30"/>
      <c r="AH533" s="30"/>
      <c r="AI533" s="30"/>
      <c r="AJ533" s="30"/>
      <c r="AK533" s="30"/>
      <c r="AL533" s="52"/>
      <c r="AM533" s="30"/>
      <c r="AN533" s="30"/>
      <c r="AO533" s="52"/>
      <c r="AP533" s="30"/>
      <c r="AQ533" s="64"/>
      <c r="AR533" s="52"/>
      <c r="AS533" s="30"/>
      <c r="AT533" s="30"/>
      <c r="AU533" s="52"/>
      <c r="AV533" s="64"/>
      <c r="AW533" s="64"/>
      <c r="AX533" s="52"/>
      <c r="AY533" s="79"/>
      <c r="AZ533" s="79"/>
      <c r="BA533" s="79"/>
      <c r="BB533" s="363"/>
      <c r="BC533" s="363"/>
      <c r="BD533" s="57"/>
      <c r="BE533" s="319"/>
      <c r="BF533" s="319"/>
      <c r="BG533" s="319"/>
      <c r="BH533" s="742"/>
      <c r="BI533" s="272"/>
      <c r="BJ533" s="57"/>
      <c r="BK533" s="30"/>
      <c r="BL533" s="319"/>
      <c r="BM533" s="319"/>
      <c r="BN533" s="319"/>
      <c r="BO533" s="57"/>
      <c r="BP533" s="57"/>
      <c r="BQ533" s="363"/>
      <c r="BR533" s="363"/>
      <c r="BS533" s="363"/>
      <c r="BT533" s="363"/>
      <c r="BU533" s="30"/>
      <c r="BV533" s="57"/>
      <c r="BW533" s="80"/>
      <c r="BX533" s="80"/>
      <c r="BY533" s="80"/>
      <c r="BZ533" s="30"/>
      <c r="CA533" s="30"/>
      <c r="CB533" s="57"/>
      <c r="CC533" s="30"/>
      <c r="CD533" s="30"/>
      <c r="CE533" s="80"/>
      <c r="CF533" s="30"/>
      <c r="CG533" s="30"/>
      <c r="CH533" s="57"/>
      <c r="CI533" s="30"/>
      <c r="CJ533" s="30"/>
      <c r="CK533" s="272"/>
      <c r="CL533" s="30"/>
      <c r="CM533" s="30"/>
      <c r="CN533" s="57"/>
      <c r="CO533" s="52"/>
      <c r="CP533" s="52"/>
      <c r="CQ533" s="52"/>
      <c r="CR533" s="52"/>
      <c r="CS533" s="52"/>
      <c r="CT533" s="52"/>
      <c r="CU533" s="52"/>
      <c r="CV533" s="52"/>
      <c r="CW533" s="52"/>
      <c r="CX533" s="52"/>
      <c r="CY533" s="52"/>
      <c r="CZ533" s="52"/>
      <c r="DA533" s="52"/>
      <c r="DB533" s="52"/>
      <c r="DC533" s="52"/>
      <c r="DD533" s="52"/>
      <c r="DE533" s="52"/>
      <c r="DF533" s="52"/>
      <c r="DG533" s="353"/>
      <c r="DH533" s="353"/>
      <c r="DI533" s="52"/>
      <c r="DJ533" s="52"/>
      <c r="DK533" s="262">
        <v>7.0000000000000007E-2</v>
      </c>
      <c r="DL533" s="57"/>
      <c r="DM533" s="262">
        <v>7.0000000000000007E-2</v>
      </c>
      <c r="DN533" s="262">
        <v>0.03</v>
      </c>
      <c r="DO533" s="159">
        <v>0.03</v>
      </c>
      <c r="DP533" s="52"/>
      <c r="DQ533" s="52"/>
      <c r="DR533" s="52"/>
      <c r="DS533" s="262">
        <f>2000/Model!DQ31-1</f>
        <v>-0.20130985184297745</v>
      </c>
      <c r="DT533" s="262">
        <f>2045/Model!DQ31-1</f>
        <v>-0.18333932350944449</v>
      </c>
      <c r="DU533" s="262">
        <f>2045/Model!DQ31-1</f>
        <v>-0.18333932350944449</v>
      </c>
      <c r="DV533" s="52"/>
      <c r="DW533" s="52"/>
      <c r="DX533" s="52"/>
      <c r="DY533" s="245">
        <f>2010/Model!$DW$31-1</f>
        <v>-1.0339734121122435E-2</v>
      </c>
      <c r="DZ533" s="245">
        <f>2005/Model!$DW$31-1</f>
        <v>-1.2801575578532676E-2</v>
      </c>
      <c r="EA533" s="245">
        <f>2035/Model!$DW$31-1</f>
        <v>1.969473165928326E-3</v>
      </c>
      <c r="EB533" s="245">
        <f>2045/Model!$DW$31-1</f>
        <v>6.8931560807485859E-3</v>
      </c>
      <c r="EC533" s="52"/>
      <c r="ED533" s="52"/>
      <c r="EE533" s="245"/>
      <c r="EF533" s="52"/>
      <c r="EG533" s="52"/>
      <c r="EH533" s="52"/>
      <c r="EI533" s="52"/>
      <c r="EJ533" s="52"/>
      <c r="EK533" s="52"/>
      <c r="EL533" s="52"/>
      <c r="EM533" s="52"/>
      <c r="EN533" s="52"/>
      <c r="EO533" s="52"/>
      <c r="EP533" s="52"/>
      <c r="EQ533" s="52"/>
      <c r="ER533" s="52"/>
      <c r="ES533" s="52"/>
      <c r="ET533" s="52"/>
      <c r="EU533" s="52"/>
    </row>
    <row r="534" spans="1:173" s="1805" customFormat="1">
      <c r="A534" s="202" t="s">
        <v>4595</v>
      </c>
      <c r="B534" s="52"/>
      <c r="C534" s="30"/>
      <c r="D534" s="30"/>
      <c r="E534" s="30"/>
      <c r="F534" s="30"/>
      <c r="G534" s="30"/>
      <c r="H534" s="52"/>
      <c r="I534" s="30"/>
      <c r="J534" s="30"/>
      <c r="K534" s="30"/>
      <c r="L534" s="30"/>
      <c r="M534" s="30"/>
      <c r="N534" s="52"/>
      <c r="O534" s="30"/>
      <c r="P534" s="30"/>
      <c r="Q534" s="30"/>
      <c r="R534" s="30"/>
      <c r="S534" s="30"/>
      <c r="T534" s="52"/>
      <c r="U534" s="30"/>
      <c r="V534" s="30"/>
      <c r="W534" s="30"/>
      <c r="X534" s="30"/>
      <c r="Y534" s="30"/>
      <c r="Z534" s="52"/>
      <c r="AA534" s="30"/>
      <c r="AB534" s="30"/>
      <c r="AC534" s="30"/>
      <c r="AD534" s="30"/>
      <c r="AE534" s="30"/>
      <c r="AF534" s="52"/>
      <c r="AG534" s="30"/>
      <c r="AH534" s="30"/>
      <c r="AI534" s="30"/>
      <c r="AJ534" s="30"/>
      <c r="AK534" s="30"/>
      <c r="AL534" s="52"/>
      <c r="AM534" s="30"/>
      <c r="AN534" s="30"/>
      <c r="AO534" s="52"/>
      <c r="AP534" s="30"/>
      <c r="AQ534" s="64"/>
      <c r="AR534" s="52"/>
      <c r="AS534" s="30"/>
      <c r="AT534" s="30"/>
      <c r="AU534" s="52"/>
      <c r="AV534" s="64"/>
      <c r="AW534" s="64"/>
      <c r="AX534" s="52"/>
      <c r="AY534" s="79"/>
      <c r="AZ534" s="79"/>
      <c r="BA534" s="79"/>
      <c r="BB534" s="363"/>
      <c r="BC534" s="363"/>
      <c r="BD534" s="57"/>
      <c r="BE534" s="319"/>
      <c r="BF534" s="319"/>
      <c r="BG534" s="319"/>
      <c r="BH534" s="742"/>
      <c r="BI534" s="272"/>
      <c r="BJ534" s="57"/>
      <c r="BK534" s="30"/>
      <c r="BL534" s="319"/>
      <c r="BM534" s="319"/>
      <c r="BN534" s="319"/>
      <c r="BO534" s="57"/>
      <c r="BP534" s="57"/>
      <c r="BQ534" s="363"/>
      <c r="BR534" s="363"/>
      <c r="BS534" s="363"/>
      <c r="BT534" s="363"/>
      <c r="BU534" s="30"/>
      <c r="BV534" s="57"/>
      <c r="BW534" s="80"/>
      <c r="BX534" s="80"/>
      <c r="BY534" s="80"/>
      <c r="BZ534" s="30"/>
      <c r="CA534" s="30"/>
      <c r="CB534" s="57"/>
      <c r="CC534" s="30"/>
      <c r="CD534" s="30"/>
      <c r="CE534" s="80"/>
      <c r="CF534" s="30"/>
      <c r="CG534" s="30"/>
      <c r="CH534" s="57"/>
      <c r="CI534" s="30"/>
      <c r="CJ534" s="30"/>
      <c r="CK534" s="272"/>
      <c r="CL534" s="30"/>
      <c r="CM534" s="30"/>
      <c r="CN534" s="57"/>
      <c r="CO534" s="52"/>
      <c r="CP534" s="52"/>
      <c r="CQ534" s="52"/>
      <c r="CR534" s="52"/>
      <c r="CS534" s="52"/>
      <c r="CT534" s="52"/>
      <c r="CU534" s="52"/>
      <c r="CV534" s="52"/>
      <c r="CW534" s="52"/>
      <c r="CX534" s="52"/>
      <c r="CY534" s="52"/>
      <c r="CZ534" s="52"/>
      <c r="DA534" s="52"/>
      <c r="DB534" s="52"/>
      <c r="DC534" s="52"/>
      <c r="DD534" s="52"/>
      <c r="DE534" s="52"/>
      <c r="DF534" s="52"/>
      <c r="DG534" s="353"/>
      <c r="DH534" s="353"/>
      <c r="DI534" s="52"/>
      <c r="DJ534" s="52"/>
      <c r="DK534" s="262">
        <v>0.09</v>
      </c>
      <c r="DL534" s="57"/>
      <c r="DM534" s="262">
        <v>0.09</v>
      </c>
      <c r="DN534" s="262">
        <v>0.05</v>
      </c>
      <c r="DO534" s="159">
        <v>0.04</v>
      </c>
      <c r="DP534" s="52"/>
      <c r="DQ534" s="52"/>
      <c r="DR534" s="52"/>
      <c r="DS534" s="262">
        <f>2100/Model!DQ31-1</f>
        <v>-0.16137534443512636</v>
      </c>
      <c r="DT534" s="262">
        <f>2095/Model!DQ31-1</f>
        <v>-0.16337206980551888</v>
      </c>
      <c r="DU534" s="262">
        <f>2065/Model!DQ31-1</f>
        <v>-0.17535242202787427</v>
      </c>
      <c r="DV534" s="52"/>
      <c r="DW534" s="52"/>
      <c r="DX534" s="52"/>
      <c r="DY534" s="245">
        <f>2060/Model!$DW$31-1</f>
        <v>1.4278680452978865E-2</v>
      </c>
      <c r="DZ534" s="245">
        <f>2055/Model!$DW$31-1</f>
        <v>1.1816838995568846E-2</v>
      </c>
      <c r="EA534" s="245">
        <f>2055/Model!$DW$31-1</f>
        <v>1.1816838995568846E-2</v>
      </c>
      <c r="EB534" s="245">
        <f>2055/Model!$DW$31-1</f>
        <v>1.1816838995568846E-2</v>
      </c>
      <c r="EC534" s="52"/>
      <c r="ED534" s="52"/>
      <c r="EE534" s="245"/>
      <c r="EF534" s="52"/>
      <c r="EG534" s="52"/>
      <c r="EH534" s="52"/>
      <c r="EI534" s="52"/>
      <c r="EJ534" s="52"/>
      <c r="EK534" s="52"/>
      <c r="EL534" s="52"/>
      <c r="EM534" s="52"/>
      <c r="EN534" s="52"/>
      <c r="EO534" s="52"/>
      <c r="EP534" s="52"/>
      <c r="EQ534" s="52"/>
      <c r="ER534" s="52"/>
      <c r="ES534" s="52"/>
      <c r="ET534" s="52"/>
      <c r="EU534" s="52"/>
    </row>
    <row r="535" spans="1:173" s="1805" customFormat="1">
      <c r="A535" s="203" t="s">
        <v>4597</v>
      </c>
      <c r="B535" s="52"/>
      <c r="C535" s="30"/>
      <c r="D535" s="30"/>
      <c r="E535" s="30"/>
      <c r="F535" s="30"/>
      <c r="G535" s="30"/>
      <c r="H535" s="52"/>
      <c r="I535" s="30"/>
      <c r="J535" s="30"/>
      <c r="K535" s="30"/>
      <c r="L535" s="30"/>
      <c r="M535" s="30"/>
      <c r="N535" s="52"/>
      <c r="O535" s="30"/>
      <c r="P535" s="30"/>
      <c r="Q535" s="30"/>
      <c r="R535" s="30"/>
      <c r="S535" s="30"/>
      <c r="T535" s="52"/>
      <c r="U535" s="30"/>
      <c r="V535" s="30"/>
      <c r="W535" s="30"/>
      <c r="X535" s="30"/>
      <c r="Y535" s="30"/>
      <c r="Z535" s="52"/>
      <c r="AA535" s="30"/>
      <c r="AB535" s="30"/>
      <c r="AC535" s="30"/>
      <c r="AD535" s="30"/>
      <c r="AE535" s="30"/>
      <c r="AF535" s="52"/>
      <c r="AG535" s="30"/>
      <c r="AH535" s="30"/>
      <c r="AI535" s="30"/>
      <c r="AJ535" s="30"/>
      <c r="AK535" s="30"/>
      <c r="AL535" s="52"/>
      <c r="AM535" s="30"/>
      <c r="AN535" s="30"/>
      <c r="AO535" s="52"/>
      <c r="AP535" s="30"/>
      <c r="AQ535" s="64"/>
      <c r="AR535" s="52"/>
      <c r="AS535" s="30"/>
      <c r="AT535" s="30"/>
      <c r="AU535" s="52"/>
      <c r="AV535" s="64"/>
      <c r="AW535" s="64"/>
      <c r="AX535" s="52"/>
      <c r="AY535" s="79"/>
      <c r="AZ535" s="79"/>
      <c r="BA535" s="79"/>
      <c r="BB535" s="363"/>
      <c r="BC535" s="363"/>
      <c r="BD535" s="57"/>
      <c r="BE535" s="319"/>
      <c r="BF535" s="319"/>
      <c r="BG535" s="319"/>
      <c r="BH535" s="742"/>
      <c r="BI535" s="272"/>
      <c r="BJ535" s="57"/>
      <c r="BK535" s="30"/>
      <c r="BL535" s="319"/>
      <c r="BM535" s="319"/>
      <c r="BN535" s="319"/>
      <c r="BO535" s="57"/>
      <c r="BP535" s="57"/>
      <c r="BQ535" s="363"/>
      <c r="BR535" s="363"/>
      <c r="BS535" s="363"/>
      <c r="BT535" s="363"/>
      <c r="BU535" s="30"/>
      <c r="BV535" s="57"/>
      <c r="BW535" s="80"/>
      <c r="BX535" s="80"/>
      <c r="BY535" s="80"/>
      <c r="BZ535" s="30"/>
      <c r="CA535" s="30"/>
      <c r="CB535" s="57"/>
      <c r="CC535" s="30"/>
      <c r="CD535" s="30"/>
      <c r="CE535" s="80"/>
      <c r="CF535" s="30"/>
      <c r="CG535" s="30"/>
      <c r="CH535" s="57"/>
      <c r="CI535" s="30"/>
      <c r="CJ535" s="30"/>
      <c r="CK535" s="272"/>
      <c r="CL535" s="30"/>
      <c r="CM535" s="30"/>
      <c r="CN535" s="57"/>
      <c r="CO535" s="52"/>
      <c r="CP535" s="52"/>
      <c r="CQ535" s="52"/>
      <c r="CR535" s="52"/>
      <c r="CS535" s="52"/>
      <c r="CT535" s="52"/>
      <c r="CU535" s="52"/>
      <c r="CV535" s="52"/>
      <c r="CW535" s="52"/>
      <c r="CX535" s="52"/>
      <c r="CY535" s="52"/>
      <c r="CZ535" s="52"/>
      <c r="DA535" s="52"/>
      <c r="DB535" s="52"/>
      <c r="DC535" s="52"/>
      <c r="DD535" s="52"/>
      <c r="DE535" s="52"/>
      <c r="DF535" s="52"/>
      <c r="DG535" s="353"/>
      <c r="DH535" s="353"/>
      <c r="DI535" s="52"/>
      <c r="DJ535" s="52"/>
      <c r="DK535" s="52"/>
      <c r="DL535" s="57"/>
      <c r="DM535" s="52"/>
      <c r="DN535" s="52"/>
      <c r="DO535" s="52"/>
      <c r="DP535" s="52"/>
      <c r="DQ535" s="52"/>
      <c r="DR535" s="52"/>
      <c r="DS535" s="52"/>
      <c r="DT535" s="52"/>
      <c r="DU535" s="52"/>
      <c r="DV535" s="52"/>
      <c r="DW535" s="52"/>
      <c r="DX535" s="52"/>
      <c r="DY535" s="52"/>
      <c r="DZ535" s="52"/>
      <c r="EA535" s="52"/>
      <c r="EB535" s="52"/>
      <c r="EC535" s="52"/>
      <c r="ED535" s="52"/>
      <c r="EE535" s="52"/>
      <c r="EF535" s="52"/>
      <c r="EG535" s="52"/>
      <c r="EH535" s="52"/>
      <c r="EI535" s="52"/>
      <c r="EJ535" s="52"/>
      <c r="EK535" s="52"/>
      <c r="EL535" s="52"/>
      <c r="EM535" s="52"/>
      <c r="EN535" s="52"/>
      <c r="EO535" s="52"/>
      <c r="EP535" s="52"/>
      <c r="EQ535" s="52"/>
      <c r="ER535" s="52"/>
      <c r="ES535" s="52"/>
      <c r="ET535" s="52"/>
      <c r="EU535" s="52"/>
    </row>
    <row r="536" spans="1:173" s="1805" customFormat="1">
      <c r="A536" s="203"/>
      <c r="B536" s="52"/>
      <c r="C536" s="30"/>
      <c r="D536" s="30"/>
      <c r="E536" s="30"/>
      <c r="F536" s="30"/>
      <c r="G536" s="30"/>
      <c r="H536" s="52"/>
      <c r="I536" s="30"/>
      <c r="J536" s="30"/>
      <c r="K536" s="30"/>
      <c r="L536" s="30"/>
      <c r="M536" s="30"/>
      <c r="N536" s="52"/>
      <c r="O536" s="30"/>
      <c r="P536" s="30"/>
      <c r="Q536" s="30"/>
      <c r="R536" s="30"/>
      <c r="S536" s="30"/>
      <c r="T536" s="52"/>
      <c r="U536" s="30"/>
      <c r="V536" s="30"/>
      <c r="W536" s="30"/>
      <c r="X536" s="30"/>
      <c r="Y536" s="30"/>
      <c r="Z536" s="52"/>
      <c r="AA536" s="30"/>
      <c r="AB536" s="30"/>
      <c r="AC536" s="30"/>
      <c r="AD536" s="30"/>
      <c r="AE536" s="30"/>
      <c r="AF536" s="52"/>
      <c r="AG536" s="30"/>
      <c r="AH536" s="30"/>
      <c r="AI536" s="30"/>
      <c r="AJ536" s="30"/>
      <c r="AK536" s="30"/>
      <c r="AL536" s="52"/>
      <c r="AM536" s="30"/>
      <c r="AN536" s="30"/>
      <c r="AO536" s="52"/>
      <c r="AP536" s="30"/>
      <c r="AQ536" s="64"/>
      <c r="AR536" s="52"/>
      <c r="AS536" s="30"/>
      <c r="AT536" s="30"/>
      <c r="AU536" s="52"/>
      <c r="AV536" s="64"/>
      <c r="AW536" s="64"/>
      <c r="AX536" s="52"/>
      <c r="AY536" s="79"/>
      <c r="AZ536" s="79"/>
      <c r="BA536" s="79"/>
      <c r="BB536" s="363"/>
      <c r="BC536" s="363"/>
      <c r="BD536" s="57"/>
      <c r="BE536" s="319"/>
      <c r="BF536" s="319"/>
      <c r="BG536" s="319"/>
      <c r="BH536" s="742"/>
      <c r="BI536" s="272"/>
      <c r="BJ536" s="57"/>
      <c r="BK536" s="30"/>
      <c r="BL536" s="319"/>
      <c r="BM536" s="319"/>
      <c r="BN536" s="319"/>
      <c r="BO536" s="57"/>
      <c r="BP536" s="57"/>
      <c r="BQ536" s="363"/>
      <c r="BR536" s="363"/>
      <c r="BS536" s="363"/>
      <c r="BT536" s="363"/>
      <c r="BU536" s="30"/>
      <c r="BV536" s="57"/>
      <c r="BW536" s="80"/>
      <c r="BX536" s="80"/>
      <c r="BY536" s="80"/>
      <c r="BZ536" s="30"/>
      <c r="CA536" s="30"/>
      <c r="CB536" s="57"/>
      <c r="CC536" s="30"/>
      <c r="CD536" s="30"/>
      <c r="CE536" s="80"/>
      <c r="CF536" s="30"/>
      <c r="CG536" s="30"/>
      <c r="CH536" s="57"/>
      <c r="CI536" s="30"/>
      <c r="CJ536" s="30"/>
      <c r="CK536" s="272"/>
      <c r="CL536" s="30"/>
      <c r="CM536" s="30"/>
      <c r="CN536" s="57"/>
      <c r="CO536" s="52"/>
      <c r="CP536" s="52"/>
      <c r="CQ536" s="52"/>
      <c r="CR536" s="52"/>
      <c r="CS536" s="52"/>
      <c r="CT536" s="52"/>
      <c r="CU536" s="52"/>
      <c r="CV536" s="52"/>
      <c r="CW536" s="52"/>
      <c r="CX536" s="52"/>
      <c r="CY536" s="52"/>
      <c r="CZ536" s="52"/>
      <c r="DA536" s="52"/>
      <c r="DB536" s="52"/>
      <c r="DC536" s="52"/>
      <c r="DD536" s="52"/>
      <c r="DE536" s="52"/>
      <c r="DF536" s="52"/>
      <c r="DG536" s="353"/>
      <c r="DH536" s="353"/>
      <c r="DI536" s="52"/>
      <c r="DJ536" s="52"/>
      <c r="DK536" s="52"/>
      <c r="DL536" s="57"/>
      <c r="DM536" s="52"/>
      <c r="DN536" s="52"/>
      <c r="DO536" s="52"/>
      <c r="DP536" s="52"/>
      <c r="DQ536" s="52"/>
      <c r="DR536" s="52"/>
      <c r="DS536" s="52"/>
      <c r="DT536" s="52"/>
      <c r="DU536" s="52"/>
      <c r="DV536" s="52"/>
      <c r="DW536" s="52"/>
      <c r="DX536" s="52"/>
      <c r="DY536" s="52"/>
      <c r="DZ536" s="52"/>
      <c r="EA536" s="52"/>
      <c r="EB536" s="52"/>
      <c r="EC536" s="52"/>
      <c r="ED536" s="52"/>
      <c r="EE536" s="52"/>
      <c r="EF536" s="52"/>
      <c r="EG536" s="52"/>
      <c r="EH536" s="52"/>
      <c r="EI536" s="52"/>
      <c r="EJ536" s="52"/>
      <c r="EK536" s="52"/>
      <c r="EL536" s="52"/>
      <c r="EM536" s="52"/>
      <c r="EN536" s="52"/>
      <c r="EO536" s="52"/>
      <c r="EP536" s="52"/>
      <c r="EQ536" s="52"/>
      <c r="ER536" s="52"/>
      <c r="ES536" s="52"/>
      <c r="ET536" s="52"/>
      <c r="EU536" s="52"/>
    </row>
    <row r="537" spans="1:173" ht="12.75" hidden="1" customHeight="1" outlineLevel="1">
      <c r="A537" s="901" t="s">
        <v>6809</v>
      </c>
      <c r="B537" s="902"/>
      <c r="C537" s="902"/>
      <c r="D537" s="902"/>
      <c r="E537" s="902"/>
      <c r="F537" s="902"/>
      <c r="G537" s="902"/>
      <c r="H537" s="902"/>
      <c r="I537" s="902"/>
      <c r="J537" s="902"/>
      <c r="K537" s="902"/>
      <c r="L537" s="902"/>
      <c r="M537" s="902"/>
      <c r="N537" s="902"/>
      <c r="O537" s="902"/>
      <c r="P537" s="902"/>
      <c r="Q537" s="902"/>
      <c r="R537" s="902"/>
      <c r="S537" s="902"/>
      <c r="T537" s="902"/>
      <c r="U537" s="902"/>
      <c r="V537" s="902"/>
      <c r="W537" s="902"/>
      <c r="X537" s="902"/>
      <c r="Y537" s="902"/>
      <c r="Z537" s="902"/>
      <c r="AA537" s="902"/>
      <c r="AB537" s="902"/>
      <c r="AC537" s="902"/>
      <c r="AD537" s="902"/>
      <c r="AE537" s="902"/>
      <c r="AF537" s="902"/>
      <c r="AG537" s="902"/>
      <c r="AH537" s="902"/>
      <c r="AI537" s="902"/>
      <c r="AJ537" s="902"/>
      <c r="AK537" s="902"/>
      <c r="AL537" s="902"/>
      <c r="AM537" s="902"/>
      <c r="AN537" s="902"/>
      <c r="AO537" s="902"/>
      <c r="AP537" s="902"/>
      <c r="AQ537" s="902"/>
      <c r="AR537" s="902"/>
      <c r="AS537" s="687"/>
      <c r="AT537" s="687"/>
      <c r="AU537" s="687"/>
      <c r="AV537" s="687"/>
      <c r="AW537" s="902"/>
      <c r="AX537" s="902"/>
      <c r="AY537" s="687"/>
      <c r="AZ537" s="903"/>
      <c r="BA537" s="903"/>
      <c r="BB537" s="903"/>
      <c r="BC537" s="904"/>
      <c r="BD537" s="905"/>
      <c r="BE537" s="903"/>
      <c r="BF537" s="903"/>
      <c r="BG537" s="687"/>
      <c r="BH537" s="687"/>
      <c r="BI537" s="906"/>
      <c r="BJ537" s="905"/>
      <c r="BK537" s="687"/>
      <c r="BL537" s="687"/>
      <c r="BM537" s="687"/>
      <c r="BN537" s="687"/>
      <c r="BO537" s="905"/>
      <c r="BP537" s="905"/>
      <c r="BQ537" s="687"/>
      <c r="BR537" s="902"/>
      <c r="BS537" s="902"/>
      <c r="BT537" s="902"/>
      <c r="BU537" s="902"/>
      <c r="BV537" s="905"/>
      <c r="BW537" s="902"/>
      <c r="BX537" s="902"/>
      <c r="BY537" s="26"/>
      <c r="BZ537" s="26"/>
      <c r="CA537" s="26"/>
      <c r="CB537" s="138"/>
      <c r="CC537" s="26"/>
      <c r="CD537" s="26"/>
      <c r="CE537" s="26"/>
      <c r="CF537" s="26"/>
      <c r="CG537" s="26"/>
      <c r="CH537" s="138"/>
      <c r="CI537" s="26"/>
      <c r="CJ537" s="26"/>
      <c r="CK537" s="83"/>
      <c r="CL537" s="26"/>
      <c r="CM537" s="26"/>
      <c r="CN537" s="138"/>
      <c r="CO537" s="90"/>
      <c r="CP537" s="90" t="s">
        <v>5182</v>
      </c>
      <c r="CQ537" s="90" t="s">
        <v>5182</v>
      </c>
      <c r="CR537" s="90"/>
      <c r="CS537" s="90"/>
      <c r="CT537" s="90"/>
      <c r="CU537" s="90" t="s">
        <v>5182</v>
      </c>
      <c r="CV537" s="90"/>
      <c r="CW537" s="90"/>
      <c r="CX537" s="90"/>
      <c r="CY537" s="90"/>
      <c r="CZ537" s="90"/>
      <c r="DA537" s="90" t="s">
        <v>1658</v>
      </c>
      <c r="DB537" s="90" t="s">
        <v>3959</v>
      </c>
      <c r="DC537" s="90"/>
      <c r="DD537" s="90"/>
      <c r="DE537" s="90"/>
      <c r="DF537" s="90"/>
      <c r="DG537" s="90"/>
      <c r="DH537" s="90"/>
      <c r="DI537" s="90"/>
      <c r="DJ537" s="90"/>
      <c r="DK537" s="90"/>
      <c r="DL537" s="138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</row>
    <row r="538" spans="1:173" ht="12.75" hidden="1" customHeight="1" outlineLevel="1">
      <c r="A538" s="907" t="s">
        <v>4596</v>
      </c>
      <c r="B538" s="902"/>
      <c r="C538" s="902"/>
      <c r="D538" s="902"/>
      <c r="E538" s="902"/>
      <c r="F538" s="902"/>
      <c r="G538" s="902"/>
      <c r="H538" s="902"/>
      <c r="I538" s="902"/>
      <c r="J538" s="902"/>
      <c r="K538" s="902"/>
      <c r="L538" s="902"/>
      <c r="M538" s="902"/>
      <c r="N538" s="902"/>
      <c r="O538" s="902"/>
      <c r="P538" s="902"/>
      <c r="Q538" s="902"/>
      <c r="R538" s="902"/>
      <c r="S538" s="902"/>
      <c r="T538" s="902"/>
      <c r="U538" s="902"/>
      <c r="V538" s="902"/>
      <c r="W538" s="902"/>
      <c r="X538" s="902"/>
      <c r="Y538" s="902"/>
      <c r="Z538" s="902"/>
      <c r="AA538" s="902"/>
      <c r="AB538" s="902"/>
      <c r="AC538" s="902"/>
      <c r="AD538" s="902"/>
      <c r="AE538" s="902"/>
      <c r="AF538" s="902"/>
      <c r="AG538" s="902"/>
      <c r="AH538" s="902"/>
      <c r="AI538" s="902"/>
      <c r="AJ538" s="902"/>
      <c r="AK538" s="902"/>
      <c r="AL538" s="902"/>
      <c r="AM538" s="902"/>
      <c r="AN538" s="902"/>
      <c r="AO538" s="902"/>
      <c r="AP538" s="902"/>
      <c r="AQ538" s="902"/>
      <c r="AR538" s="902"/>
      <c r="AS538" s="687"/>
      <c r="AT538" s="687"/>
      <c r="AU538" s="687"/>
      <c r="AV538" s="687"/>
      <c r="AW538" s="902"/>
      <c r="AX538" s="902"/>
      <c r="AY538" s="687"/>
      <c r="AZ538" s="903"/>
      <c r="BA538" s="903"/>
      <c r="BB538" s="903"/>
      <c r="BC538" s="904"/>
      <c r="BD538" s="905"/>
      <c r="BE538" s="903"/>
      <c r="BF538" s="903"/>
      <c r="BG538" s="687"/>
      <c r="BH538" s="687"/>
      <c r="BI538" s="906"/>
      <c r="BJ538" s="905"/>
      <c r="BK538" s="687"/>
      <c r="BL538" s="687"/>
      <c r="BM538" s="687"/>
      <c r="BN538" s="687"/>
      <c r="BO538" s="905"/>
      <c r="BP538" s="905"/>
      <c r="BQ538" s="687"/>
      <c r="BR538" s="902"/>
      <c r="BS538" s="902"/>
      <c r="BT538" s="902"/>
      <c r="BU538" s="902"/>
      <c r="BV538" s="905"/>
      <c r="BW538" s="902">
        <v>2450</v>
      </c>
      <c r="BX538" s="902">
        <v>2480</v>
      </c>
      <c r="BY538" s="26"/>
      <c r="BZ538" s="26"/>
      <c r="CA538" s="26"/>
      <c r="CB538" s="138"/>
      <c r="CC538" s="26"/>
      <c r="CD538" s="26"/>
      <c r="CE538" s="26"/>
      <c r="CF538" s="26"/>
      <c r="CG538" s="26"/>
      <c r="CH538" s="138"/>
      <c r="CI538" s="26"/>
      <c r="CJ538" s="26"/>
      <c r="CK538" s="83"/>
      <c r="CL538" s="26"/>
      <c r="CM538" s="26"/>
      <c r="CN538" s="138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138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</row>
    <row r="539" spans="1:173" ht="12.75" hidden="1" customHeight="1" outlineLevel="1">
      <c r="A539" s="907" t="s">
        <v>4595</v>
      </c>
      <c r="B539" s="902"/>
      <c r="C539" s="902"/>
      <c r="D539" s="902"/>
      <c r="E539" s="902"/>
      <c r="F539" s="902"/>
      <c r="G539" s="902"/>
      <c r="H539" s="902"/>
      <c r="I539" s="902"/>
      <c r="J539" s="902"/>
      <c r="K539" s="902"/>
      <c r="L539" s="902"/>
      <c r="M539" s="902"/>
      <c r="N539" s="902"/>
      <c r="O539" s="902"/>
      <c r="P539" s="902"/>
      <c r="Q539" s="902"/>
      <c r="R539" s="902"/>
      <c r="S539" s="902"/>
      <c r="T539" s="902"/>
      <c r="U539" s="902"/>
      <c r="V539" s="902"/>
      <c r="W539" s="902"/>
      <c r="X539" s="902"/>
      <c r="Y539" s="902"/>
      <c r="Z539" s="902"/>
      <c r="AA539" s="902"/>
      <c r="AB539" s="902"/>
      <c r="AC539" s="902"/>
      <c r="AD539" s="902"/>
      <c r="AE539" s="902"/>
      <c r="AF539" s="902"/>
      <c r="AG539" s="902"/>
      <c r="AH539" s="902"/>
      <c r="AI539" s="902"/>
      <c r="AJ539" s="902"/>
      <c r="AK539" s="902"/>
      <c r="AL539" s="902"/>
      <c r="AM539" s="902"/>
      <c r="AN539" s="902"/>
      <c r="AO539" s="902"/>
      <c r="AP539" s="902"/>
      <c r="AQ539" s="902"/>
      <c r="AR539" s="902"/>
      <c r="AS539" s="687"/>
      <c r="AT539" s="687"/>
      <c r="AU539" s="687"/>
      <c r="AV539" s="687"/>
      <c r="AW539" s="902"/>
      <c r="AX539" s="902"/>
      <c r="AY539" s="687"/>
      <c r="AZ539" s="903"/>
      <c r="BA539" s="903"/>
      <c r="BB539" s="903"/>
      <c r="BC539" s="904"/>
      <c r="BD539" s="905"/>
      <c r="BE539" s="903"/>
      <c r="BF539" s="903"/>
      <c r="BG539" s="687"/>
      <c r="BH539" s="687"/>
      <c r="BI539" s="906"/>
      <c r="BJ539" s="905"/>
      <c r="BK539" s="687"/>
      <c r="BL539" s="687"/>
      <c r="BM539" s="687"/>
      <c r="BN539" s="687"/>
      <c r="BO539" s="905"/>
      <c r="BP539" s="905"/>
      <c r="BQ539" s="687"/>
      <c r="BR539" s="902"/>
      <c r="BS539" s="902"/>
      <c r="BT539" s="902"/>
      <c r="BU539" s="902"/>
      <c r="BV539" s="905"/>
      <c r="BW539" s="902">
        <v>2500</v>
      </c>
      <c r="BX539" s="902">
        <v>2530</v>
      </c>
      <c r="BY539" s="26"/>
      <c r="BZ539" s="26"/>
      <c r="CA539" s="26"/>
      <c r="CB539" s="138"/>
      <c r="CC539" s="26"/>
      <c r="CD539" s="26"/>
      <c r="CE539" s="26"/>
      <c r="CF539" s="26"/>
      <c r="CG539" s="26"/>
      <c r="CH539" s="138"/>
      <c r="CI539" s="26"/>
      <c r="CJ539" s="26"/>
      <c r="CK539" s="83"/>
      <c r="CL539" s="26"/>
      <c r="CM539" s="26"/>
      <c r="CN539" s="138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138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</row>
    <row r="540" spans="1:173" ht="12.75" hidden="1" customHeight="1" outlineLevel="1">
      <c r="A540" s="908" t="s">
        <v>4597</v>
      </c>
      <c r="B540" s="902"/>
      <c r="C540" s="902"/>
      <c r="D540" s="902"/>
      <c r="E540" s="902"/>
      <c r="F540" s="902"/>
      <c r="G540" s="902"/>
      <c r="H540" s="902"/>
      <c r="I540" s="902"/>
      <c r="J540" s="902"/>
      <c r="K540" s="902"/>
      <c r="L540" s="902"/>
      <c r="M540" s="902"/>
      <c r="N540" s="902"/>
      <c r="O540" s="902"/>
      <c r="P540" s="902"/>
      <c r="Q540" s="902"/>
      <c r="R540" s="902"/>
      <c r="S540" s="902"/>
      <c r="T540" s="902"/>
      <c r="U540" s="902"/>
      <c r="V540" s="902"/>
      <c r="W540" s="902"/>
      <c r="X540" s="902"/>
      <c r="Y540" s="902"/>
      <c r="Z540" s="902"/>
      <c r="AA540" s="902"/>
      <c r="AB540" s="902"/>
      <c r="AC540" s="902"/>
      <c r="AD540" s="902"/>
      <c r="AE540" s="902"/>
      <c r="AF540" s="902"/>
      <c r="AG540" s="902"/>
      <c r="AH540" s="902"/>
      <c r="AI540" s="902"/>
      <c r="AJ540" s="902"/>
      <c r="AK540" s="902"/>
      <c r="AL540" s="902"/>
      <c r="AM540" s="902"/>
      <c r="AN540" s="902"/>
      <c r="AO540" s="902"/>
      <c r="AP540" s="902"/>
      <c r="AQ540" s="902"/>
      <c r="AR540" s="902"/>
      <c r="AS540" s="687"/>
      <c r="AT540" s="687"/>
      <c r="AU540" s="687"/>
      <c r="AV540" s="687"/>
      <c r="AW540" s="902"/>
      <c r="AX540" s="902"/>
      <c r="AY540" s="687"/>
      <c r="AZ540" s="903"/>
      <c r="BA540" s="903"/>
      <c r="BB540" s="903"/>
      <c r="BC540" s="904"/>
      <c r="BD540" s="905"/>
      <c r="BE540" s="903"/>
      <c r="BF540" s="903"/>
      <c r="BG540" s="687"/>
      <c r="BH540" s="687"/>
      <c r="BI540" s="906"/>
      <c r="BJ540" s="905"/>
      <c r="BK540" s="687"/>
      <c r="BL540" s="687"/>
      <c r="BM540" s="687"/>
      <c r="BN540" s="687"/>
      <c r="BO540" s="905"/>
      <c r="BP540" s="905"/>
      <c r="BQ540" s="687"/>
      <c r="BR540" s="902"/>
      <c r="BS540" s="902"/>
      <c r="BT540" s="902"/>
      <c r="BU540" s="902"/>
      <c r="BV540" s="905"/>
      <c r="BW540" s="909">
        <f>Model!$CA31</f>
        <v>2315.2000000000003</v>
      </c>
      <c r="BX540" s="909">
        <f>Model!$CA31</f>
        <v>2315.2000000000003</v>
      </c>
      <c r="BY540" s="26"/>
      <c r="BZ540" s="26"/>
      <c r="CA540" s="26"/>
      <c r="CB540" s="138"/>
      <c r="CC540" s="26"/>
      <c r="CD540" s="26"/>
      <c r="CE540" s="26"/>
      <c r="CF540" s="26"/>
      <c r="CG540" s="26"/>
      <c r="CH540" s="138"/>
      <c r="CI540" s="26"/>
      <c r="CJ540" s="26"/>
      <c r="CK540" s="83"/>
      <c r="CL540" s="26"/>
      <c r="CM540" s="26"/>
      <c r="CN540" s="138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138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</row>
    <row r="541" spans="1:173" collapsed="1">
      <c r="A541" s="202"/>
      <c r="B541" s="90"/>
      <c r="C541" s="26"/>
      <c r="D541" s="26"/>
      <c r="E541" s="26"/>
      <c r="F541" s="26"/>
      <c r="G541" s="26"/>
      <c r="H541" s="90"/>
      <c r="I541" s="26"/>
      <c r="J541" s="26"/>
      <c r="K541" s="26"/>
      <c r="L541" s="26"/>
      <c r="M541" s="26"/>
      <c r="N541" s="90"/>
      <c r="O541" s="26"/>
      <c r="P541" s="26"/>
      <c r="Q541" s="26"/>
      <c r="R541" s="26"/>
      <c r="S541" s="26"/>
      <c r="T541" s="90"/>
      <c r="U541" s="26"/>
      <c r="V541" s="26"/>
      <c r="W541" s="26"/>
      <c r="X541" s="26"/>
      <c r="Y541" s="26"/>
      <c r="Z541" s="90"/>
      <c r="AA541" s="26"/>
      <c r="AB541" s="26"/>
      <c r="AC541" s="26"/>
      <c r="AD541" s="26"/>
      <c r="AE541" s="26"/>
      <c r="AF541" s="90"/>
      <c r="AG541" s="26"/>
      <c r="AH541" s="26"/>
      <c r="AI541" s="26"/>
      <c r="AJ541" s="26"/>
      <c r="AK541" s="26"/>
      <c r="AL541" s="90"/>
      <c r="AM541" s="26"/>
      <c r="AN541" s="26"/>
      <c r="AO541" s="90"/>
      <c r="AP541" s="26"/>
      <c r="AQ541" s="26"/>
      <c r="AR541" s="90"/>
      <c r="AS541" s="26"/>
      <c r="AT541" s="26"/>
      <c r="AU541" s="90"/>
      <c r="AV541" s="26"/>
      <c r="AW541" s="26"/>
      <c r="AX541" s="90"/>
      <c r="AY541" s="83"/>
      <c r="AZ541" s="83"/>
      <c r="BA541" s="83"/>
      <c r="BB541" s="104"/>
      <c r="BC541" s="104"/>
      <c r="BD541" s="138"/>
      <c r="BE541" s="104"/>
      <c r="BF541" s="104"/>
      <c r="BG541" s="104"/>
      <c r="BH541" s="83"/>
      <c r="BI541" s="83"/>
      <c r="BJ541" s="138"/>
      <c r="BK541" s="26"/>
      <c r="BL541" s="83"/>
      <c r="BM541" s="26"/>
      <c r="BN541" s="26"/>
      <c r="BO541" s="138"/>
      <c r="BP541" s="138"/>
      <c r="BQ541" s="26"/>
      <c r="BR541" s="26"/>
      <c r="BS541" s="26"/>
      <c r="BT541" s="26"/>
      <c r="BU541" s="26"/>
      <c r="BV541" s="138"/>
      <c r="BW541" s="26"/>
      <c r="BX541" s="26"/>
      <c r="BY541" s="26"/>
      <c r="BZ541" s="26"/>
      <c r="CA541" s="26"/>
      <c r="CB541" s="138"/>
      <c r="CC541" s="26"/>
      <c r="CD541" s="26"/>
      <c r="CE541" s="26"/>
      <c r="CF541" s="26"/>
      <c r="CG541" s="26"/>
      <c r="CH541" s="138"/>
      <c r="CI541" s="26"/>
      <c r="CJ541" s="26"/>
      <c r="CK541" s="83"/>
      <c r="CL541" s="26"/>
      <c r="CM541" s="26"/>
      <c r="CN541" s="138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138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</row>
    <row r="542" spans="1:173">
      <c r="A542" s="202" t="s">
        <v>6983</v>
      </c>
      <c r="B542" s="90"/>
      <c r="C542" s="26"/>
      <c r="D542" s="26"/>
      <c r="E542" s="26"/>
      <c r="F542" s="26"/>
      <c r="G542" s="26"/>
      <c r="H542" s="90"/>
      <c r="I542" s="26"/>
      <c r="J542" s="26"/>
      <c r="K542" s="26"/>
      <c r="L542" s="26"/>
      <c r="M542" s="26"/>
      <c r="N542" s="90"/>
      <c r="O542" s="26"/>
      <c r="P542" s="26"/>
      <c r="Q542" s="26"/>
      <c r="R542" s="26"/>
      <c r="S542" s="26"/>
      <c r="T542" s="90"/>
      <c r="U542" s="26"/>
      <c r="V542" s="26"/>
      <c r="W542" s="26"/>
      <c r="X542" s="26"/>
      <c r="Y542" s="26"/>
      <c r="Z542" s="90"/>
      <c r="AA542" s="26"/>
      <c r="AB542" s="26"/>
      <c r="AC542" s="26"/>
      <c r="AD542" s="26"/>
      <c r="AE542" s="26"/>
      <c r="AF542" s="90"/>
      <c r="AG542" s="26"/>
      <c r="AH542" s="26"/>
      <c r="AI542" s="26"/>
      <c r="AJ542" s="26"/>
      <c r="AK542" s="26"/>
      <c r="AL542" s="90"/>
      <c r="AM542" s="26"/>
      <c r="AN542" s="26"/>
      <c r="AO542" s="90"/>
      <c r="AP542" s="26"/>
      <c r="AQ542" s="26"/>
      <c r="AR542" s="90"/>
      <c r="AS542" s="26"/>
      <c r="AT542" s="26"/>
      <c r="AU542" s="90"/>
      <c r="AV542" s="26"/>
      <c r="AW542" s="26"/>
      <c r="AX542" s="90"/>
      <c r="AY542" s="83"/>
      <c r="AZ542" s="83"/>
      <c r="BA542" s="83"/>
      <c r="BB542" s="104"/>
      <c r="BC542" s="104"/>
      <c r="BD542" s="138"/>
      <c r="BE542" s="104"/>
      <c r="BF542" s="104"/>
      <c r="BG542" s="104"/>
      <c r="BH542" s="83"/>
      <c r="BI542" s="83"/>
      <c r="BJ542" s="138"/>
      <c r="BK542" s="26"/>
      <c r="BL542" s="83"/>
      <c r="BM542" s="26"/>
      <c r="BN542" s="26"/>
      <c r="BO542" s="138"/>
      <c r="BP542" s="138"/>
      <c r="BQ542" s="26"/>
      <c r="BR542" s="26"/>
      <c r="BS542" s="26"/>
      <c r="BT542" s="26"/>
      <c r="BU542" s="26"/>
      <c r="BV542" s="138"/>
      <c r="BW542" s="26"/>
      <c r="BX542" s="26"/>
      <c r="BY542" s="26"/>
      <c r="BZ542" s="26"/>
      <c r="CA542" s="26"/>
      <c r="CB542" s="138"/>
      <c r="CC542" s="26"/>
      <c r="CD542" s="26"/>
      <c r="CE542" s="26"/>
      <c r="CF542" s="26"/>
      <c r="CG542" s="26"/>
      <c r="CH542" s="138"/>
      <c r="CI542" s="26"/>
      <c r="CJ542" s="26"/>
      <c r="CK542" s="83"/>
      <c r="CL542" s="26"/>
      <c r="CM542" s="26"/>
      <c r="CN542" s="138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H542" s="90"/>
      <c r="DI542" s="90"/>
      <c r="DJ542" s="90"/>
      <c r="DK542" s="90"/>
      <c r="DL542" s="138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</row>
    <row r="543" spans="1:173">
      <c r="A543" s="202" t="s">
        <v>4596</v>
      </c>
      <c r="B543" s="90"/>
      <c r="C543" s="26"/>
      <c r="D543" s="26"/>
      <c r="E543" s="26"/>
      <c r="F543" s="26"/>
      <c r="G543" s="26"/>
      <c r="H543" s="90"/>
      <c r="I543" s="26"/>
      <c r="J543" s="26"/>
      <c r="K543" s="26"/>
      <c r="L543" s="26"/>
      <c r="M543" s="26"/>
      <c r="N543" s="90"/>
      <c r="O543" s="26"/>
      <c r="P543" s="26"/>
      <c r="Q543" s="26"/>
      <c r="R543" s="26"/>
      <c r="S543" s="26"/>
      <c r="T543" s="90"/>
      <c r="U543" s="26"/>
      <c r="V543" s="26"/>
      <c r="W543" s="26"/>
      <c r="X543" s="26"/>
      <c r="Y543" s="26"/>
      <c r="Z543" s="90"/>
      <c r="AA543" s="26"/>
      <c r="AB543" s="26"/>
      <c r="AC543" s="26"/>
      <c r="AD543" s="26"/>
      <c r="AE543" s="26"/>
      <c r="AF543" s="90"/>
      <c r="AG543" s="26"/>
      <c r="AH543" s="26"/>
      <c r="AI543" s="26"/>
      <c r="AJ543" s="26"/>
      <c r="AK543" s="26"/>
      <c r="AL543" s="90"/>
      <c r="AM543" s="26"/>
      <c r="AN543" s="26"/>
      <c r="AO543" s="90"/>
      <c r="AP543" s="26"/>
      <c r="AQ543" s="26"/>
      <c r="AR543" s="90"/>
      <c r="AS543" s="26"/>
      <c r="AT543" s="26"/>
      <c r="AU543" s="90"/>
      <c r="AV543" s="26"/>
      <c r="AW543" s="26"/>
      <c r="AX543" s="90"/>
      <c r="AY543" s="83"/>
      <c r="AZ543" s="83"/>
      <c r="BA543" s="83"/>
      <c r="BB543" s="104"/>
      <c r="BC543" s="104"/>
      <c r="BD543" s="138"/>
      <c r="BE543" s="104"/>
      <c r="BF543" s="104"/>
      <c r="BG543" s="104"/>
      <c r="BH543" s="83"/>
      <c r="BI543" s="83"/>
      <c r="BJ543" s="138"/>
      <c r="BK543" s="26"/>
      <c r="BL543" s="83"/>
      <c r="BM543" s="26"/>
      <c r="BN543" s="26"/>
      <c r="BO543" s="138"/>
      <c r="BP543" s="138"/>
      <c r="BQ543" s="26"/>
      <c r="BR543" s="26"/>
      <c r="BS543" s="26"/>
      <c r="BT543" s="26"/>
      <c r="BU543" s="26"/>
      <c r="BV543" s="138"/>
      <c r="BW543" s="26"/>
      <c r="BX543" s="26"/>
      <c r="BY543" s="26"/>
      <c r="BZ543" s="26"/>
      <c r="CA543" s="26"/>
      <c r="CB543" s="138"/>
      <c r="CC543" s="26"/>
      <c r="CD543" s="26"/>
      <c r="CE543" s="26"/>
      <c r="CF543" s="26"/>
      <c r="CG543" s="26"/>
      <c r="CH543" s="138"/>
      <c r="CI543" s="26"/>
      <c r="CJ543" s="26"/>
      <c r="CK543" s="83"/>
      <c r="CL543" s="26"/>
      <c r="CM543" s="26"/>
      <c r="CN543" s="138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>
        <v>150</v>
      </c>
      <c r="DF543" s="90"/>
      <c r="DG543" s="90">
        <v>150</v>
      </c>
      <c r="DH543" s="90">
        <v>200</v>
      </c>
      <c r="DI543" s="90">
        <v>325</v>
      </c>
      <c r="DJ543" s="90"/>
      <c r="DK543" s="90">
        <v>375</v>
      </c>
      <c r="DL543" s="138"/>
      <c r="DM543" s="90">
        <v>375</v>
      </c>
      <c r="DN543" s="90">
        <v>375</v>
      </c>
      <c r="DO543" s="90">
        <v>310</v>
      </c>
      <c r="DP543" s="90"/>
      <c r="DQ543" s="90"/>
      <c r="DR543" s="90"/>
      <c r="DS543" s="90">
        <v>475</v>
      </c>
      <c r="DT543" s="90">
        <v>475</v>
      </c>
      <c r="DU543" s="90">
        <v>475</v>
      </c>
      <c r="DV543" s="90">
        <v>515</v>
      </c>
      <c r="DW543" s="90"/>
      <c r="DX543" s="90"/>
      <c r="DY543" s="90">
        <v>600</v>
      </c>
      <c r="DZ543" s="90">
        <v>600</v>
      </c>
      <c r="EA543" s="90">
        <v>625</v>
      </c>
      <c r="EB543" s="90">
        <v>625</v>
      </c>
      <c r="EC543" s="90"/>
      <c r="ED543" s="90"/>
      <c r="EE543" s="90">
        <v>500</v>
      </c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</row>
    <row r="544" spans="1:173">
      <c r="A544" s="202" t="s">
        <v>4595</v>
      </c>
      <c r="B544" s="90"/>
      <c r="C544" s="26"/>
      <c r="D544" s="26"/>
      <c r="E544" s="26"/>
      <c r="F544" s="26"/>
      <c r="G544" s="26"/>
      <c r="H544" s="90"/>
      <c r="I544" s="26"/>
      <c r="J544" s="26"/>
      <c r="K544" s="26"/>
      <c r="L544" s="26"/>
      <c r="M544" s="26"/>
      <c r="N544" s="90"/>
      <c r="O544" s="26"/>
      <c r="P544" s="26"/>
      <c r="Q544" s="26"/>
      <c r="R544" s="26"/>
      <c r="S544" s="26"/>
      <c r="T544" s="90"/>
      <c r="U544" s="26"/>
      <c r="V544" s="26"/>
      <c r="W544" s="26"/>
      <c r="X544" s="26"/>
      <c r="Y544" s="26"/>
      <c r="Z544" s="90"/>
      <c r="AA544" s="26"/>
      <c r="AB544" s="26"/>
      <c r="AC544" s="26"/>
      <c r="AD544" s="26"/>
      <c r="AE544" s="26"/>
      <c r="AF544" s="90"/>
      <c r="AG544" s="26"/>
      <c r="AH544" s="26"/>
      <c r="AI544" s="26"/>
      <c r="AJ544" s="26"/>
      <c r="AK544" s="26"/>
      <c r="AL544" s="90"/>
      <c r="AM544" s="26"/>
      <c r="AN544" s="26"/>
      <c r="AO544" s="90"/>
      <c r="AP544" s="26"/>
      <c r="AQ544" s="26"/>
      <c r="AR544" s="90"/>
      <c r="AS544" s="26"/>
      <c r="AT544" s="26"/>
      <c r="AU544" s="90"/>
      <c r="AV544" s="26"/>
      <c r="AW544" s="26"/>
      <c r="AX544" s="90"/>
      <c r="AY544" s="83"/>
      <c r="AZ544" s="83"/>
      <c r="BA544" s="83"/>
      <c r="BB544" s="104"/>
      <c r="BC544" s="104"/>
      <c r="BD544" s="138"/>
      <c r="BE544" s="104"/>
      <c r="BF544" s="104"/>
      <c r="BG544" s="104"/>
      <c r="BH544" s="83"/>
      <c r="BI544" s="83"/>
      <c r="BJ544" s="138"/>
      <c r="BK544" s="26"/>
      <c r="BL544" s="83"/>
      <c r="BM544" s="26"/>
      <c r="BN544" s="26"/>
      <c r="BO544" s="138"/>
      <c r="BP544" s="138"/>
      <c r="BQ544" s="26"/>
      <c r="BR544" s="26"/>
      <c r="BS544" s="26"/>
      <c r="BT544" s="26"/>
      <c r="BU544" s="26"/>
      <c r="BV544" s="138"/>
      <c r="BW544" s="26"/>
      <c r="BX544" s="26"/>
      <c r="BY544" s="26"/>
      <c r="BZ544" s="26"/>
      <c r="CA544" s="26"/>
      <c r="CB544" s="138"/>
      <c r="CC544" s="26"/>
      <c r="CD544" s="26"/>
      <c r="CE544" s="26"/>
      <c r="CF544" s="26"/>
      <c r="CG544" s="26"/>
      <c r="CH544" s="138"/>
      <c r="CI544" s="26"/>
      <c r="CJ544" s="26"/>
      <c r="CK544" s="83"/>
      <c r="CL544" s="26"/>
      <c r="CM544" s="26"/>
      <c r="CN544" s="138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>
        <v>200</v>
      </c>
      <c r="DF544" s="90"/>
      <c r="DG544" s="90">
        <v>200</v>
      </c>
      <c r="DH544" s="90">
        <v>250</v>
      </c>
      <c r="DI544" s="90">
        <v>375</v>
      </c>
      <c r="DJ544" s="90"/>
      <c r="DK544" s="90">
        <v>425</v>
      </c>
      <c r="DL544" s="138"/>
      <c r="DM544" s="90">
        <v>425</v>
      </c>
      <c r="DN544" s="90">
        <v>425</v>
      </c>
      <c r="DO544" s="90">
        <v>330</v>
      </c>
      <c r="DP544" s="90"/>
      <c r="DQ544" s="90"/>
      <c r="DR544" s="90"/>
      <c r="DS544" s="90">
        <v>525</v>
      </c>
      <c r="DT544" s="90">
        <v>525</v>
      </c>
      <c r="DU544" s="90">
        <v>525</v>
      </c>
      <c r="DV544" s="90">
        <v>525</v>
      </c>
      <c r="DW544" s="90"/>
      <c r="DX544" s="90"/>
      <c r="DY544" s="90">
        <v>650</v>
      </c>
      <c r="DZ544" s="90">
        <v>650</v>
      </c>
      <c r="EA544" s="90">
        <v>675</v>
      </c>
      <c r="EB544" s="90">
        <v>650</v>
      </c>
      <c r="EC544" s="90"/>
      <c r="ED544" s="90"/>
      <c r="EE544" s="90">
        <v>550</v>
      </c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</row>
    <row r="545" spans="1:202">
      <c r="A545" s="203" t="s">
        <v>4597</v>
      </c>
      <c r="B545" s="90"/>
      <c r="C545" s="26"/>
      <c r="D545" s="26"/>
      <c r="E545" s="26"/>
      <c r="F545" s="26"/>
      <c r="G545" s="26"/>
      <c r="H545" s="90"/>
      <c r="I545" s="26"/>
      <c r="J545" s="26"/>
      <c r="K545" s="26"/>
      <c r="L545" s="26"/>
      <c r="M545" s="26"/>
      <c r="N545" s="90"/>
      <c r="O545" s="26"/>
      <c r="P545" s="26"/>
      <c r="Q545" s="26"/>
      <c r="R545" s="26"/>
      <c r="S545" s="26"/>
      <c r="T545" s="90"/>
      <c r="U545" s="26"/>
      <c r="V545" s="26"/>
      <c r="W545" s="26"/>
      <c r="X545" s="26"/>
      <c r="Y545" s="26"/>
      <c r="Z545" s="90"/>
      <c r="AA545" s="26"/>
      <c r="AB545" s="26"/>
      <c r="AC545" s="26"/>
      <c r="AD545" s="26"/>
      <c r="AE545" s="26"/>
      <c r="AF545" s="90"/>
      <c r="AG545" s="26"/>
      <c r="AH545" s="26"/>
      <c r="AI545" s="26"/>
      <c r="AJ545" s="26"/>
      <c r="AK545" s="26"/>
      <c r="AL545" s="90"/>
      <c r="AM545" s="26"/>
      <c r="AN545" s="26"/>
      <c r="AO545" s="90"/>
      <c r="AP545" s="26"/>
      <c r="AQ545" s="26"/>
      <c r="AR545" s="90"/>
      <c r="AS545" s="26"/>
      <c r="AT545" s="26"/>
      <c r="AU545" s="90"/>
      <c r="AV545" s="26"/>
      <c r="AW545" s="26"/>
      <c r="AX545" s="90"/>
      <c r="AY545" s="83"/>
      <c r="AZ545" s="83"/>
      <c r="BA545" s="83"/>
      <c r="BB545" s="104"/>
      <c r="BC545" s="104"/>
      <c r="BD545" s="138"/>
      <c r="BE545" s="104"/>
      <c r="BF545" s="104"/>
      <c r="BG545" s="104"/>
      <c r="BH545" s="83"/>
      <c r="BI545" s="83"/>
      <c r="BJ545" s="138"/>
      <c r="BK545" s="26"/>
      <c r="BL545" s="83"/>
      <c r="BM545" s="26"/>
      <c r="BN545" s="26"/>
      <c r="BO545" s="138"/>
      <c r="BP545" s="138"/>
      <c r="BQ545" s="26"/>
      <c r="BR545" s="26"/>
      <c r="BS545" s="26"/>
      <c r="BT545" s="26"/>
      <c r="BU545" s="26"/>
      <c r="BV545" s="138"/>
      <c r="BW545" s="26"/>
      <c r="BX545" s="26"/>
      <c r="BY545" s="26"/>
      <c r="BZ545" s="26"/>
      <c r="CA545" s="26"/>
      <c r="CB545" s="138"/>
      <c r="CC545" s="26"/>
      <c r="CD545" s="26"/>
      <c r="CE545" s="26"/>
      <c r="CF545" s="26"/>
      <c r="CG545" s="26"/>
      <c r="CH545" s="138"/>
      <c r="CI545" s="26"/>
      <c r="CJ545" s="26"/>
      <c r="CK545" s="83"/>
      <c r="CL545" s="26"/>
      <c r="CM545" s="26"/>
      <c r="CN545" s="138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>
        <v>180</v>
      </c>
      <c r="DF545" s="90"/>
      <c r="DG545" s="90">
        <v>180</v>
      </c>
      <c r="DH545" s="90">
        <v>300</v>
      </c>
      <c r="DI545" s="90">
        <v>361</v>
      </c>
      <c r="DJ545" s="90"/>
      <c r="DK545" s="1801">
        <v>400</v>
      </c>
      <c r="DL545" s="138"/>
      <c r="DM545" s="1801">
        <v>400</v>
      </c>
      <c r="DN545" s="1801">
        <v>400</v>
      </c>
      <c r="DO545" s="1801">
        <v>390</v>
      </c>
      <c r="DP545" s="90"/>
      <c r="DQ545" s="90"/>
      <c r="DR545" s="90"/>
      <c r="DS545" s="2033">
        <f>'Biz Transition Scenarios'!$K$84</f>
        <v>520.78269794655637</v>
      </c>
      <c r="DT545" s="2033">
        <f>'Biz Transition Scenarios'!$K$84</f>
        <v>520.78269794655637</v>
      </c>
      <c r="DU545" s="2033">
        <f>'Biz Transition Scenarios'!$K$84</f>
        <v>520.78269794655637</v>
      </c>
      <c r="DV545" s="2033">
        <f>'Biz Transition Scenarios'!$K$84</f>
        <v>520.78269794655637</v>
      </c>
      <c r="DW545" s="90"/>
      <c r="DX545" s="90"/>
      <c r="DY545" s="2033">
        <f>'Biz Transition Scenarios'!$L$84</f>
        <v>611.52014365296304</v>
      </c>
      <c r="DZ545" s="2033">
        <f>'Biz Transition Scenarios'!$L$84</f>
        <v>611.52014365296304</v>
      </c>
      <c r="EA545" s="2033">
        <f>'Biz Transition Scenarios'!$L$84</f>
        <v>611.52014365296304</v>
      </c>
      <c r="EB545" s="2033">
        <f>'Biz Transition Scenarios'!$L$84</f>
        <v>611.52014365296304</v>
      </c>
      <c r="EC545" s="90"/>
      <c r="ED545" s="90"/>
      <c r="EE545" s="2033">
        <f>'Biz Transition Scenarios'!$M$84</f>
        <v>541.90327107315443</v>
      </c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</row>
    <row r="546" spans="1:202">
      <c r="A546" s="202"/>
      <c r="B546" s="90"/>
      <c r="C546" s="26"/>
      <c r="D546" s="26"/>
      <c r="E546" s="26"/>
      <c r="F546" s="26"/>
      <c r="G546" s="26"/>
      <c r="H546" s="90"/>
      <c r="I546" s="26"/>
      <c r="J546" s="26"/>
      <c r="K546" s="26"/>
      <c r="L546" s="26"/>
      <c r="M546" s="26"/>
      <c r="N546" s="90"/>
      <c r="O546" s="26"/>
      <c r="P546" s="26"/>
      <c r="Q546" s="26"/>
      <c r="R546" s="26"/>
      <c r="S546" s="26"/>
      <c r="T546" s="90"/>
      <c r="U546" s="26"/>
      <c r="V546" s="26"/>
      <c r="W546" s="26"/>
      <c r="X546" s="26"/>
      <c r="Y546" s="26"/>
      <c r="Z546" s="90"/>
      <c r="AA546" s="26"/>
      <c r="AB546" s="26"/>
      <c r="AC546" s="26"/>
      <c r="AD546" s="26"/>
      <c r="AE546" s="26"/>
      <c r="AF546" s="90"/>
      <c r="AG546" s="26"/>
      <c r="AH546" s="26"/>
      <c r="AI546" s="26"/>
      <c r="AJ546" s="26"/>
      <c r="AK546" s="26"/>
      <c r="AL546" s="90"/>
      <c r="AM546" s="26"/>
      <c r="AN546" s="26"/>
      <c r="AO546" s="90"/>
      <c r="AP546" s="26"/>
      <c r="AQ546" s="26"/>
      <c r="AR546" s="90"/>
      <c r="AS546" s="26"/>
      <c r="AT546" s="26"/>
      <c r="AU546" s="90"/>
      <c r="AV546" s="26"/>
      <c r="AW546" s="26"/>
      <c r="AX546" s="90"/>
      <c r="AY546" s="83"/>
      <c r="AZ546" s="83"/>
      <c r="BA546" s="83"/>
      <c r="BB546" s="104"/>
      <c r="BC546" s="104"/>
      <c r="BD546" s="138"/>
      <c r="BE546" s="104"/>
      <c r="BF546" s="104"/>
      <c r="BG546" s="104"/>
      <c r="BH546" s="83"/>
      <c r="BI546" s="83"/>
      <c r="BJ546" s="138"/>
      <c r="BK546" s="26"/>
      <c r="BL546" s="83"/>
      <c r="BM546" s="26"/>
      <c r="BN546" s="26"/>
      <c r="BO546" s="138"/>
      <c r="BP546" s="138"/>
      <c r="BQ546" s="26"/>
      <c r="BR546" s="26"/>
      <c r="BS546" s="26"/>
      <c r="BT546" s="26"/>
      <c r="BU546" s="26"/>
      <c r="BV546" s="138"/>
      <c r="BW546" s="26"/>
      <c r="BX546" s="26"/>
      <c r="BY546" s="26"/>
      <c r="BZ546" s="26"/>
      <c r="CA546" s="26"/>
      <c r="CB546" s="138"/>
      <c r="CC546" s="26"/>
      <c r="CD546" s="26"/>
      <c r="CE546" s="26"/>
      <c r="CF546" s="26"/>
      <c r="CG546" s="26"/>
      <c r="CH546" s="138"/>
      <c r="CI546" s="26"/>
      <c r="CJ546" s="26"/>
      <c r="CK546" s="83"/>
      <c r="CL546" s="26"/>
      <c r="CM546" s="26"/>
      <c r="CN546" s="138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138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</row>
    <row r="547" spans="1:202" s="2115" customFormat="1">
      <c r="A547" s="202" t="s">
        <v>7054</v>
      </c>
      <c r="B547" s="90"/>
      <c r="C547" s="26"/>
      <c r="D547" s="26"/>
      <c r="E547" s="26"/>
      <c r="F547" s="26"/>
      <c r="G547" s="26"/>
      <c r="H547" s="90"/>
      <c r="I547" s="26"/>
      <c r="J547" s="26"/>
      <c r="K547" s="26"/>
      <c r="L547" s="26"/>
      <c r="M547" s="26"/>
      <c r="N547" s="90"/>
      <c r="O547" s="26"/>
      <c r="P547" s="26"/>
      <c r="Q547" s="26"/>
      <c r="R547" s="26"/>
      <c r="S547" s="26"/>
      <c r="T547" s="90"/>
      <c r="U547" s="26"/>
      <c r="V547" s="26"/>
      <c r="W547" s="26"/>
      <c r="X547" s="26"/>
      <c r="Y547" s="26"/>
      <c r="Z547" s="90"/>
      <c r="AA547" s="26"/>
      <c r="AB547" s="26"/>
      <c r="AC547" s="26"/>
      <c r="AD547" s="26"/>
      <c r="AE547" s="26"/>
      <c r="AF547" s="90"/>
      <c r="AG547" s="26"/>
      <c r="AH547" s="26"/>
      <c r="AI547" s="26"/>
      <c r="AJ547" s="26"/>
      <c r="AK547" s="26"/>
      <c r="AL547" s="90"/>
      <c r="AM547" s="26"/>
      <c r="AN547" s="26"/>
      <c r="AO547" s="90"/>
      <c r="AP547" s="26"/>
      <c r="AQ547" s="26"/>
      <c r="AR547" s="90"/>
      <c r="AS547" s="26"/>
      <c r="AT547" s="26"/>
      <c r="AU547" s="90"/>
      <c r="AV547" s="26"/>
      <c r="AW547" s="26"/>
      <c r="AX547" s="90"/>
      <c r="AY547" s="83"/>
      <c r="AZ547" s="83"/>
      <c r="BA547" s="83"/>
      <c r="BB547" s="104"/>
      <c r="BC547" s="104"/>
      <c r="BD547" s="138"/>
      <c r="BE547" s="104"/>
      <c r="BF547" s="104"/>
      <c r="BG547" s="104"/>
      <c r="BH547" s="83"/>
      <c r="BI547" s="83"/>
      <c r="BJ547" s="138"/>
      <c r="BK547" s="26"/>
      <c r="BL547" s="83"/>
      <c r="BM547" s="26"/>
      <c r="BN547" s="26"/>
      <c r="BO547" s="138"/>
      <c r="BP547" s="138"/>
      <c r="BQ547" s="26"/>
      <c r="BR547" s="26"/>
      <c r="BS547" s="26"/>
      <c r="BT547" s="26"/>
      <c r="BU547" s="26"/>
      <c r="BV547" s="138"/>
      <c r="BW547" s="26"/>
      <c r="BX547" s="26"/>
      <c r="BY547" s="26"/>
      <c r="BZ547" s="26"/>
      <c r="CA547" s="26"/>
      <c r="CB547" s="138"/>
      <c r="CC547" s="26"/>
      <c r="CD547" s="26"/>
      <c r="CE547" s="26"/>
      <c r="CF547" s="26"/>
      <c r="CG547" s="26"/>
      <c r="CH547" s="138"/>
      <c r="CI547" s="26"/>
      <c r="CJ547" s="26"/>
      <c r="CK547" s="83"/>
      <c r="CL547" s="26"/>
      <c r="CM547" s="26"/>
      <c r="CN547" s="138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138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</row>
    <row r="548" spans="1:202" s="2115" customFormat="1">
      <c r="A548" s="202" t="s">
        <v>4596</v>
      </c>
      <c r="B548" s="90"/>
      <c r="C548" s="26"/>
      <c r="D548" s="26"/>
      <c r="E548" s="26"/>
      <c r="F548" s="26"/>
      <c r="G548" s="26"/>
      <c r="H548" s="90"/>
      <c r="I548" s="26"/>
      <c r="J548" s="26"/>
      <c r="K548" s="26"/>
      <c r="L548" s="26"/>
      <c r="M548" s="26"/>
      <c r="N548" s="90"/>
      <c r="O548" s="26"/>
      <c r="P548" s="26"/>
      <c r="Q548" s="26"/>
      <c r="R548" s="26"/>
      <c r="S548" s="26"/>
      <c r="T548" s="90"/>
      <c r="U548" s="26"/>
      <c r="V548" s="26"/>
      <c r="W548" s="26"/>
      <c r="X548" s="26"/>
      <c r="Y548" s="26"/>
      <c r="Z548" s="90"/>
      <c r="AA548" s="26"/>
      <c r="AB548" s="26"/>
      <c r="AC548" s="26"/>
      <c r="AD548" s="26"/>
      <c r="AE548" s="26"/>
      <c r="AF548" s="90"/>
      <c r="AG548" s="26"/>
      <c r="AH548" s="26"/>
      <c r="AI548" s="26"/>
      <c r="AJ548" s="26"/>
      <c r="AK548" s="26"/>
      <c r="AL548" s="90"/>
      <c r="AM548" s="26"/>
      <c r="AN548" s="26"/>
      <c r="AO548" s="90"/>
      <c r="AP548" s="26"/>
      <c r="AQ548" s="26"/>
      <c r="AR548" s="90"/>
      <c r="AS548" s="26"/>
      <c r="AT548" s="26"/>
      <c r="AU548" s="90"/>
      <c r="AV548" s="26"/>
      <c r="AW548" s="26"/>
      <c r="AX548" s="90"/>
      <c r="AY548" s="83"/>
      <c r="AZ548" s="83"/>
      <c r="BA548" s="83"/>
      <c r="BB548" s="104"/>
      <c r="BC548" s="104"/>
      <c r="BD548" s="138"/>
      <c r="BE548" s="104"/>
      <c r="BF548" s="104"/>
      <c r="BG548" s="104"/>
      <c r="BH548" s="83"/>
      <c r="BI548" s="83"/>
      <c r="BJ548" s="138"/>
      <c r="BK548" s="26"/>
      <c r="BL548" s="83"/>
      <c r="BM548" s="26"/>
      <c r="BN548" s="26"/>
      <c r="BO548" s="138"/>
      <c r="BP548" s="138"/>
      <c r="BQ548" s="26"/>
      <c r="BR548" s="26"/>
      <c r="BS548" s="26"/>
      <c r="BT548" s="26"/>
      <c r="BU548" s="26"/>
      <c r="BV548" s="138"/>
      <c r="BW548" s="26"/>
      <c r="BX548" s="26"/>
      <c r="BY548" s="26"/>
      <c r="BZ548" s="26"/>
      <c r="CA548" s="26"/>
      <c r="CB548" s="138"/>
      <c r="CC548" s="26"/>
      <c r="CD548" s="26"/>
      <c r="CE548" s="26"/>
      <c r="CF548" s="26"/>
      <c r="CG548" s="26"/>
      <c r="CH548" s="138"/>
      <c r="CI548" s="26"/>
      <c r="CJ548" s="26"/>
      <c r="CK548" s="83"/>
      <c r="CL548" s="26"/>
      <c r="CM548" s="26"/>
      <c r="CN548" s="138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138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262">
        <v>0.24</v>
      </c>
      <c r="DZ548" s="262">
        <v>0.24</v>
      </c>
      <c r="EA548" s="262">
        <v>0.24</v>
      </c>
      <c r="EB548" s="262">
        <v>0.24</v>
      </c>
      <c r="EC548" s="90"/>
      <c r="ED548" s="90"/>
      <c r="EE548" s="262">
        <v>0.28000000000000003</v>
      </c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</row>
    <row r="549" spans="1:202" s="2115" customFormat="1">
      <c r="A549" s="202" t="s">
        <v>4595</v>
      </c>
      <c r="B549" s="90"/>
      <c r="C549" s="26"/>
      <c r="D549" s="26"/>
      <c r="E549" s="26"/>
      <c r="F549" s="26"/>
      <c r="G549" s="26"/>
      <c r="H549" s="90"/>
      <c r="I549" s="26"/>
      <c r="J549" s="26"/>
      <c r="K549" s="26"/>
      <c r="L549" s="26"/>
      <c r="M549" s="26"/>
      <c r="N549" s="90"/>
      <c r="O549" s="26"/>
      <c r="P549" s="26"/>
      <c r="Q549" s="26"/>
      <c r="R549" s="26"/>
      <c r="S549" s="26"/>
      <c r="T549" s="90"/>
      <c r="U549" s="26"/>
      <c r="V549" s="26"/>
      <c r="W549" s="26"/>
      <c r="X549" s="26"/>
      <c r="Y549" s="26"/>
      <c r="Z549" s="90"/>
      <c r="AA549" s="26"/>
      <c r="AB549" s="26"/>
      <c r="AC549" s="26"/>
      <c r="AD549" s="26"/>
      <c r="AE549" s="26"/>
      <c r="AF549" s="90"/>
      <c r="AG549" s="26"/>
      <c r="AH549" s="26"/>
      <c r="AI549" s="26"/>
      <c r="AJ549" s="26"/>
      <c r="AK549" s="26"/>
      <c r="AL549" s="90"/>
      <c r="AM549" s="26"/>
      <c r="AN549" s="26"/>
      <c r="AO549" s="90"/>
      <c r="AP549" s="26"/>
      <c r="AQ549" s="26"/>
      <c r="AR549" s="90"/>
      <c r="AS549" s="26"/>
      <c r="AT549" s="26"/>
      <c r="AU549" s="90"/>
      <c r="AV549" s="26"/>
      <c r="AW549" s="26"/>
      <c r="AX549" s="90"/>
      <c r="AY549" s="83"/>
      <c r="AZ549" s="83"/>
      <c r="BA549" s="83"/>
      <c r="BB549" s="104"/>
      <c r="BC549" s="104"/>
      <c r="BD549" s="138"/>
      <c r="BE549" s="104"/>
      <c r="BF549" s="104"/>
      <c r="BG549" s="104"/>
      <c r="BH549" s="83"/>
      <c r="BI549" s="83"/>
      <c r="BJ549" s="138"/>
      <c r="BK549" s="26"/>
      <c r="BL549" s="83"/>
      <c r="BM549" s="26"/>
      <c r="BN549" s="26"/>
      <c r="BO549" s="138"/>
      <c r="BP549" s="138"/>
      <c r="BQ549" s="26"/>
      <c r="BR549" s="26"/>
      <c r="BS549" s="26"/>
      <c r="BT549" s="26"/>
      <c r="BU549" s="26"/>
      <c r="BV549" s="138"/>
      <c r="BW549" s="26"/>
      <c r="BX549" s="26"/>
      <c r="BY549" s="26"/>
      <c r="BZ549" s="26"/>
      <c r="CA549" s="26"/>
      <c r="CB549" s="138"/>
      <c r="CC549" s="26"/>
      <c r="CD549" s="26"/>
      <c r="CE549" s="26"/>
      <c r="CF549" s="26"/>
      <c r="CG549" s="26"/>
      <c r="CH549" s="138"/>
      <c r="CI549" s="26"/>
      <c r="CJ549" s="26"/>
      <c r="CK549" s="83"/>
      <c r="CL549" s="26"/>
      <c r="CM549" s="26"/>
      <c r="CN549" s="138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138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262">
        <v>0.26</v>
      </c>
      <c r="DZ549" s="262">
        <v>0.26</v>
      </c>
      <c r="EA549" s="262">
        <v>0.26</v>
      </c>
      <c r="EB549" s="262">
        <v>0.26</v>
      </c>
      <c r="EC549" s="90"/>
      <c r="ED549" s="90"/>
      <c r="EE549" s="262">
        <v>0.3</v>
      </c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</row>
    <row r="550" spans="1:202" s="2115" customFormat="1">
      <c r="A550" s="203" t="s">
        <v>4597</v>
      </c>
      <c r="B550" s="90"/>
      <c r="C550" s="26"/>
      <c r="D550" s="26"/>
      <c r="E550" s="26"/>
      <c r="F550" s="26"/>
      <c r="G550" s="26"/>
      <c r="H550" s="90"/>
      <c r="I550" s="26"/>
      <c r="J550" s="26"/>
      <c r="K550" s="26"/>
      <c r="L550" s="26"/>
      <c r="M550" s="26"/>
      <c r="N550" s="90"/>
      <c r="O550" s="26"/>
      <c r="P550" s="26"/>
      <c r="Q550" s="26"/>
      <c r="R550" s="26"/>
      <c r="S550" s="26"/>
      <c r="T550" s="90"/>
      <c r="U550" s="26"/>
      <c r="V550" s="26"/>
      <c r="W550" s="26"/>
      <c r="X550" s="26"/>
      <c r="Y550" s="26"/>
      <c r="Z550" s="90"/>
      <c r="AA550" s="26"/>
      <c r="AB550" s="26"/>
      <c r="AC550" s="26"/>
      <c r="AD550" s="26"/>
      <c r="AE550" s="26"/>
      <c r="AF550" s="90"/>
      <c r="AG550" s="26"/>
      <c r="AH550" s="26"/>
      <c r="AI550" s="26"/>
      <c r="AJ550" s="26"/>
      <c r="AK550" s="26"/>
      <c r="AL550" s="90"/>
      <c r="AM550" s="26"/>
      <c r="AN550" s="26"/>
      <c r="AO550" s="90"/>
      <c r="AP550" s="26"/>
      <c r="AQ550" s="26"/>
      <c r="AR550" s="90"/>
      <c r="AS550" s="26"/>
      <c r="AT550" s="26"/>
      <c r="AU550" s="90"/>
      <c r="AV550" s="26"/>
      <c r="AW550" s="26"/>
      <c r="AX550" s="90"/>
      <c r="AY550" s="83"/>
      <c r="AZ550" s="83"/>
      <c r="BA550" s="83"/>
      <c r="BB550" s="104"/>
      <c r="BC550" s="104"/>
      <c r="BD550" s="138"/>
      <c r="BE550" s="104"/>
      <c r="BF550" s="104"/>
      <c r="BG550" s="104"/>
      <c r="BH550" s="83"/>
      <c r="BI550" s="83"/>
      <c r="BJ550" s="138"/>
      <c r="BK550" s="26"/>
      <c r="BL550" s="83"/>
      <c r="BM550" s="26"/>
      <c r="BN550" s="26"/>
      <c r="BO550" s="138"/>
      <c r="BP550" s="138"/>
      <c r="BQ550" s="26"/>
      <c r="BR550" s="26"/>
      <c r="BS550" s="26"/>
      <c r="BT550" s="26"/>
      <c r="BU550" s="26"/>
      <c r="BV550" s="138"/>
      <c r="BW550" s="26"/>
      <c r="BX550" s="26"/>
      <c r="BY550" s="26"/>
      <c r="BZ550" s="26"/>
      <c r="CA550" s="26"/>
      <c r="CB550" s="138"/>
      <c r="CC550" s="26"/>
      <c r="CD550" s="26"/>
      <c r="CE550" s="26"/>
      <c r="CF550" s="26"/>
      <c r="CG550" s="26"/>
      <c r="CH550" s="138"/>
      <c r="CI550" s="26"/>
      <c r="CJ550" s="26"/>
      <c r="CK550" s="83"/>
      <c r="CL550" s="26"/>
      <c r="CM550" s="26"/>
      <c r="CN550" s="138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138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2154">
        <f>'Biz Transition Scenarios'!$L$151</f>
        <v>0.25311156964014381</v>
      </c>
      <c r="DZ550" s="2154">
        <f>'Biz Transition Scenarios'!$L$151</f>
        <v>0.25311156964014381</v>
      </c>
      <c r="EA550" s="2154">
        <f>'Biz Transition Scenarios'!$L$151</f>
        <v>0.25311156964014381</v>
      </c>
      <c r="EB550" s="2154">
        <f>'Biz Transition Scenarios'!$L$151</f>
        <v>0.25311156964014381</v>
      </c>
      <c r="EC550" s="90"/>
      <c r="ED550" s="90"/>
      <c r="EE550" s="2154">
        <f>'Biz Transition Scenarios'!$M$151</f>
        <v>0.29137546598801034</v>
      </c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</row>
    <row r="551" spans="1:202" s="2115" customFormat="1">
      <c r="A551" s="203"/>
      <c r="B551" s="90"/>
      <c r="C551" s="26"/>
      <c r="D551" s="26"/>
      <c r="E551" s="26"/>
      <c r="F551" s="26"/>
      <c r="G551" s="26"/>
      <c r="H551" s="90"/>
      <c r="I551" s="26"/>
      <c r="J551" s="26"/>
      <c r="K551" s="26"/>
      <c r="L551" s="26"/>
      <c r="M551" s="26"/>
      <c r="N551" s="90"/>
      <c r="O551" s="26"/>
      <c r="P551" s="26"/>
      <c r="Q551" s="26"/>
      <c r="R551" s="26"/>
      <c r="S551" s="26"/>
      <c r="T551" s="90"/>
      <c r="U551" s="26"/>
      <c r="V551" s="26"/>
      <c r="W551" s="26"/>
      <c r="X551" s="26"/>
      <c r="Y551" s="26"/>
      <c r="Z551" s="90"/>
      <c r="AA551" s="26"/>
      <c r="AB551" s="26"/>
      <c r="AC551" s="26"/>
      <c r="AD551" s="26"/>
      <c r="AE551" s="26"/>
      <c r="AF551" s="90"/>
      <c r="AG551" s="26"/>
      <c r="AH551" s="26"/>
      <c r="AI551" s="26"/>
      <c r="AJ551" s="26"/>
      <c r="AK551" s="26"/>
      <c r="AL551" s="90"/>
      <c r="AM551" s="26"/>
      <c r="AN551" s="26"/>
      <c r="AO551" s="90"/>
      <c r="AP551" s="26"/>
      <c r="AQ551" s="26"/>
      <c r="AR551" s="90"/>
      <c r="AS551" s="26"/>
      <c r="AT551" s="26"/>
      <c r="AU551" s="90"/>
      <c r="AV551" s="26"/>
      <c r="AW551" s="26"/>
      <c r="AX551" s="90"/>
      <c r="AY551" s="83"/>
      <c r="AZ551" s="83"/>
      <c r="BA551" s="83"/>
      <c r="BB551" s="104"/>
      <c r="BC551" s="104"/>
      <c r="BD551" s="138"/>
      <c r="BE551" s="104"/>
      <c r="BF551" s="104"/>
      <c r="BG551" s="104"/>
      <c r="BH551" s="83"/>
      <c r="BI551" s="83"/>
      <c r="BJ551" s="138"/>
      <c r="BK551" s="26"/>
      <c r="BL551" s="83"/>
      <c r="BM551" s="26"/>
      <c r="BN551" s="26"/>
      <c r="BO551" s="138"/>
      <c r="BP551" s="138"/>
      <c r="BQ551" s="26"/>
      <c r="BR551" s="26"/>
      <c r="BS551" s="26"/>
      <c r="BT551" s="26"/>
      <c r="BU551" s="26"/>
      <c r="BV551" s="138"/>
      <c r="BW551" s="26"/>
      <c r="BX551" s="26"/>
      <c r="BY551" s="26"/>
      <c r="BZ551" s="26"/>
      <c r="CA551" s="26"/>
      <c r="CB551" s="138"/>
      <c r="CC551" s="26"/>
      <c r="CD551" s="26"/>
      <c r="CE551" s="26"/>
      <c r="CF551" s="26"/>
      <c r="CG551" s="26"/>
      <c r="CH551" s="138"/>
      <c r="CI551" s="26"/>
      <c r="CJ551" s="26"/>
      <c r="CK551" s="83"/>
      <c r="CL551" s="26"/>
      <c r="CM551" s="26"/>
      <c r="CN551" s="138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138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</row>
    <row r="552" spans="1:202">
      <c r="A552" s="202" t="s">
        <v>2390</v>
      </c>
      <c r="B552" s="90"/>
      <c r="C552" s="26"/>
      <c r="D552" s="26"/>
      <c r="E552" s="26"/>
      <c r="F552" s="26"/>
      <c r="G552" s="26"/>
      <c r="H552" s="90"/>
      <c r="I552" s="26"/>
      <c r="J552" s="26"/>
      <c r="K552" s="26"/>
      <c r="L552" s="26"/>
      <c r="M552" s="26"/>
      <c r="N552" s="90"/>
      <c r="O552" s="26"/>
      <c r="P552" s="26"/>
      <c r="Q552" s="26"/>
      <c r="R552" s="26"/>
      <c r="S552" s="26"/>
      <c r="T552" s="90"/>
      <c r="U552" s="26"/>
      <c r="V552" s="26"/>
      <c r="W552" s="26"/>
      <c r="X552" s="26"/>
      <c r="Y552" s="26"/>
      <c r="Z552" s="90"/>
      <c r="AA552" s="26"/>
      <c r="AB552" s="26"/>
      <c r="AC552" s="26"/>
      <c r="AD552" s="26"/>
      <c r="AE552" s="26"/>
      <c r="AF552" s="90"/>
      <c r="AG552" s="26"/>
      <c r="AH552" s="26"/>
      <c r="AI552" s="26"/>
      <c r="AJ552" s="26"/>
      <c r="AK552" s="26"/>
      <c r="AL552" s="90"/>
      <c r="AM552" s="26"/>
      <c r="AN552" s="26"/>
      <c r="AO552" s="90"/>
      <c r="AP552" s="26"/>
      <c r="AQ552" s="26"/>
      <c r="AR552" s="90"/>
      <c r="AS552" s="26"/>
      <c r="AT552" s="26"/>
      <c r="AU552" s="90"/>
      <c r="AV552" s="26"/>
      <c r="AW552" s="26"/>
      <c r="AX552" s="90"/>
      <c r="AY552" s="83"/>
      <c r="AZ552" s="83"/>
      <c r="BA552" s="83"/>
      <c r="BB552" s="104"/>
      <c r="BC552" s="104"/>
      <c r="BD552" s="138"/>
      <c r="BE552" s="104"/>
      <c r="BF552" s="104"/>
      <c r="BG552" s="104"/>
      <c r="BH552" s="83"/>
      <c r="BI552" s="83"/>
      <c r="BJ552" s="138"/>
      <c r="BK552" s="26"/>
      <c r="BL552" s="83"/>
      <c r="BM552" s="26"/>
      <c r="BN552" s="26"/>
      <c r="BO552" s="138"/>
      <c r="BP552" s="138"/>
      <c r="BQ552" s="26"/>
      <c r="BR552" s="26"/>
      <c r="BS552" s="26"/>
      <c r="BT552" s="26"/>
      <c r="BU552" s="26"/>
      <c r="BV552" s="138"/>
      <c r="BW552" s="26"/>
      <c r="BX552" s="26"/>
      <c r="BY552" s="26"/>
      <c r="BZ552" s="26"/>
      <c r="CA552" s="26"/>
      <c r="CB552" s="138"/>
      <c r="CC552" s="26"/>
      <c r="CD552" s="26"/>
      <c r="CE552" s="26"/>
      <c r="CF552" s="26"/>
      <c r="CG552" s="26"/>
      <c r="CH552" s="138"/>
      <c r="CI552" s="26"/>
      <c r="CJ552" s="26"/>
      <c r="CK552" s="83"/>
      <c r="CL552" s="26"/>
      <c r="CM552" s="26"/>
      <c r="CN552" s="138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138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</row>
    <row r="553" spans="1:202">
      <c r="A553" s="202" t="s">
        <v>4596</v>
      </c>
      <c r="B553" s="90"/>
      <c r="C553" s="26"/>
      <c r="D553" s="26"/>
      <c r="E553" s="26"/>
      <c r="F553" s="26"/>
      <c r="G553" s="26"/>
      <c r="H553" s="90"/>
      <c r="I553" s="26"/>
      <c r="J553" s="26"/>
      <c r="K553" s="26"/>
      <c r="L553" s="26"/>
      <c r="M553" s="26"/>
      <c r="N553" s="90"/>
      <c r="O553" s="26"/>
      <c r="P553" s="26"/>
      <c r="Q553" s="26"/>
      <c r="R553" s="26"/>
      <c r="S553" s="26"/>
      <c r="T553" s="90"/>
      <c r="U553" s="26"/>
      <c r="V553" s="26"/>
      <c r="W553" s="26"/>
      <c r="X553" s="26"/>
      <c r="Y553" s="26"/>
      <c r="Z553" s="90"/>
      <c r="AA553" s="26"/>
      <c r="AB553" s="26"/>
      <c r="AC553" s="26"/>
      <c r="AD553" s="26"/>
      <c r="AE553" s="26"/>
      <c r="AF553" s="90"/>
      <c r="AG553" s="26"/>
      <c r="AH553" s="26"/>
      <c r="AI553" s="26"/>
      <c r="AJ553" s="26"/>
      <c r="AK553" s="26"/>
      <c r="AL553" s="90"/>
      <c r="AM553" s="26"/>
      <c r="AN553" s="26"/>
      <c r="AO553" s="90"/>
      <c r="AP553" s="26"/>
      <c r="AQ553" s="26"/>
      <c r="AR553" s="90"/>
      <c r="AS553" s="26"/>
      <c r="AT553" s="26"/>
      <c r="AU553" s="90"/>
      <c r="AV553" s="26"/>
      <c r="AW553" s="26"/>
      <c r="AX553" s="90"/>
      <c r="AY553" s="83"/>
      <c r="AZ553" s="83"/>
      <c r="BA553" s="83"/>
      <c r="BB553" s="104"/>
      <c r="BC553" s="104"/>
      <c r="BD553" s="138"/>
      <c r="BE553" s="104"/>
      <c r="BF553" s="104"/>
      <c r="BG553" s="104"/>
      <c r="BH553" s="83"/>
      <c r="BI553" s="83"/>
      <c r="BJ553" s="138"/>
      <c r="BK553" s="26"/>
      <c r="BL553" s="83"/>
      <c r="BM553" s="26"/>
      <c r="BN553" s="26"/>
      <c r="BO553" s="138"/>
      <c r="BP553" s="138"/>
      <c r="BQ553" s="26"/>
      <c r="BR553" s="26"/>
      <c r="BS553" s="26"/>
      <c r="BT553" s="26"/>
      <c r="BU553" s="26"/>
      <c r="BV553" s="138"/>
      <c r="BW553" s="26"/>
      <c r="BX553" s="26"/>
      <c r="BY553" s="26"/>
      <c r="BZ553" s="26"/>
      <c r="CA553" s="26"/>
      <c r="CB553" s="138"/>
      <c r="CC553" s="26"/>
      <c r="CD553" s="26"/>
      <c r="CE553" s="26"/>
      <c r="CF553" s="26"/>
      <c r="CG553" s="26"/>
      <c r="CH553" s="138"/>
      <c r="CI553" s="26"/>
      <c r="CJ553" s="26"/>
      <c r="CK553" s="83"/>
      <c r="CL553" s="26"/>
      <c r="CM553" s="26"/>
      <c r="CN553" s="138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262">
        <v>0.05</v>
      </c>
      <c r="DF553" s="90"/>
      <c r="DG553" s="262">
        <v>7.0000000000000007E-2</v>
      </c>
      <c r="DH553" s="262">
        <v>0.1</v>
      </c>
      <c r="DI553" s="262">
        <v>0.15</v>
      </c>
      <c r="DJ553" s="90"/>
      <c r="DK553" s="262">
        <v>0.03</v>
      </c>
      <c r="DL553" s="138"/>
      <c r="DM553" s="262">
        <v>0.02</v>
      </c>
      <c r="DN553" s="262">
        <v>0.02</v>
      </c>
      <c r="DO553" s="353">
        <v>5.0000000000000001E-3</v>
      </c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>
        <v>2720</v>
      </c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</row>
    <row r="554" spans="1:202">
      <c r="A554" s="202" t="s">
        <v>4595</v>
      </c>
      <c r="B554" s="90"/>
      <c r="C554" s="26"/>
      <c r="D554" s="26"/>
      <c r="E554" s="26"/>
      <c r="F554" s="26"/>
      <c r="G554" s="26"/>
      <c r="H554" s="90"/>
      <c r="I554" s="26"/>
      <c r="J554" s="26"/>
      <c r="K554" s="26"/>
      <c r="L554" s="26"/>
      <c r="M554" s="26"/>
      <c r="N554" s="90"/>
      <c r="O554" s="26"/>
      <c r="P554" s="26"/>
      <c r="Q554" s="26"/>
      <c r="R554" s="26"/>
      <c r="S554" s="26"/>
      <c r="T554" s="90"/>
      <c r="U554" s="26"/>
      <c r="V554" s="26"/>
      <c r="W554" s="26"/>
      <c r="X554" s="26"/>
      <c r="Y554" s="26"/>
      <c r="Z554" s="90"/>
      <c r="AA554" s="26"/>
      <c r="AB554" s="26"/>
      <c r="AC554" s="26"/>
      <c r="AD554" s="26"/>
      <c r="AE554" s="26"/>
      <c r="AF554" s="90"/>
      <c r="AG554" s="26"/>
      <c r="AH554" s="26"/>
      <c r="AI554" s="26"/>
      <c r="AJ554" s="26"/>
      <c r="AK554" s="26"/>
      <c r="AL554" s="90"/>
      <c r="AM554" s="26"/>
      <c r="AN554" s="26"/>
      <c r="AO554" s="90"/>
      <c r="AP554" s="26"/>
      <c r="AQ554" s="26"/>
      <c r="AR554" s="90"/>
      <c r="AS554" s="26"/>
      <c r="AT554" s="26"/>
      <c r="AU554" s="90"/>
      <c r="AV554" s="26"/>
      <c r="AW554" s="26"/>
      <c r="AX554" s="90"/>
      <c r="AY554" s="83"/>
      <c r="AZ554" s="83"/>
      <c r="BA554" s="83"/>
      <c r="BB554" s="104"/>
      <c r="BC554" s="104"/>
      <c r="BD554" s="138"/>
      <c r="BE554" s="104"/>
      <c r="BF554" s="104"/>
      <c r="BG554" s="104"/>
      <c r="BH554" s="83"/>
      <c r="BI554" s="83"/>
      <c r="BJ554" s="138"/>
      <c r="BK554" s="26"/>
      <c r="BL554" s="83"/>
      <c r="BM554" s="26"/>
      <c r="BN554" s="26"/>
      <c r="BO554" s="138"/>
      <c r="BP554" s="138"/>
      <c r="BQ554" s="26"/>
      <c r="BR554" s="26"/>
      <c r="BS554" s="26"/>
      <c r="BT554" s="26"/>
      <c r="BU554" s="26"/>
      <c r="BV554" s="138"/>
      <c r="BW554" s="26"/>
      <c r="BX554" s="26"/>
      <c r="BY554" s="26"/>
      <c r="BZ554" s="26"/>
      <c r="CA554" s="26"/>
      <c r="CB554" s="138"/>
      <c r="CC554" s="26"/>
      <c r="CD554" s="26"/>
      <c r="CE554" s="26"/>
      <c r="CF554" s="26"/>
      <c r="CG554" s="26"/>
      <c r="CH554" s="138"/>
      <c r="CI554" s="26"/>
      <c r="CJ554" s="26"/>
      <c r="CK554" s="83"/>
      <c r="CL554" s="26"/>
      <c r="CM554" s="26"/>
      <c r="CN554" s="138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262">
        <v>0.08</v>
      </c>
      <c r="DF554" s="90"/>
      <c r="DG554" s="262">
        <v>0.09</v>
      </c>
      <c r="DH554" s="262">
        <v>0.12</v>
      </c>
      <c r="DI554" s="262">
        <v>0.17</v>
      </c>
      <c r="DJ554" s="90"/>
      <c r="DK554" s="262">
        <v>0.05</v>
      </c>
      <c r="DL554" s="138"/>
      <c r="DM554" s="262">
        <v>0.04</v>
      </c>
      <c r="DN554" s="262">
        <v>0.04</v>
      </c>
      <c r="DO554" s="353">
        <v>1.4999999999999999E-2</v>
      </c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>
        <v>2820</v>
      </c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</row>
    <row r="555" spans="1:202">
      <c r="A555" s="203" t="s">
        <v>4597</v>
      </c>
      <c r="B555" s="90"/>
      <c r="C555" s="26"/>
      <c r="D555" s="26"/>
      <c r="E555" s="26"/>
      <c r="F555" s="26"/>
      <c r="G555" s="26"/>
      <c r="H555" s="90"/>
      <c r="I555" s="26"/>
      <c r="J555" s="26"/>
      <c r="K555" s="26"/>
      <c r="L555" s="26"/>
      <c r="M555" s="26"/>
      <c r="N555" s="90"/>
      <c r="O555" s="26"/>
      <c r="P555" s="26"/>
      <c r="Q555" s="26"/>
      <c r="R555" s="26"/>
      <c r="S555" s="26"/>
      <c r="T555" s="90"/>
      <c r="U555" s="26"/>
      <c r="V555" s="26"/>
      <c r="W555" s="26"/>
      <c r="X555" s="26"/>
      <c r="Y555" s="26"/>
      <c r="Z555" s="90"/>
      <c r="AA555" s="26"/>
      <c r="AB555" s="26"/>
      <c r="AC555" s="26"/>
      <c r="AD555" s="26"/>
      <c r="AE555" s="26"/>
      <c r="AF555" s="90"/>
      <c r="AG555" s="26"/>
      <c r="AH555" s="26"/>
      <c r="AI555" s="26"/>
      <c r="AJ555" s="26"/>
      <c r="AK555" s="26"/>
      <c r="AL555" s="90"/>
      <c r="AM555" s="26"/>
      <c r="AN555" s="26"/>
      <c r="AO555" s="90"/>
      <c r="AP555" s="26"/>
      <c r="AQ555" s="26"/>
      <c r="AR555" s="90"/>
      <c r="AS555" s="26"/>
      <c r="AT555" s="26"/>
      <c r="AU555" s="90"/>
      <c r="AV555" s="26"/>
      <c r="AW555" s="26"/>
      <c r="AX555" s="90"/>
      <c r="AY555" s="83"/>
      <c r="AZ555" s="83"/>
      <c r="BA555" s="83"/>
      <c r="BB555" s="104"/>
      <c r="BC555" s="104"/>
      <c r="BD555" s="138"/>
      <c r="BE555" s="104"/>
      <c r="BF555" s="104"/>
      <c r="BG555" s="104"/>
      <c r="BH555" s="83"/>
      <c r="BI555" s="83"/>
      <c r="BJ555" s="138"/>
      <c r="BK555" s="26"/>
      <c r="BL555" s="83"/>
      <c r="BM555" s="26"/>
      <c r="BN555" s="26"/>
      <c r="BO555" s="138"/>
      <c r="BP555" s="138"/>
      <c r="BQ555" s="26"/>
      <c r="BR555" s="26"/>
      <c r="BS555" s="26"/>
      <c r="BT555" s="26"/>
      <c r="BU555" s="26"/>
      <c r="BV555" s="138"/>
      <c r="BW555" s="26"/>
      <c r="BX555" s="26"/>
      <c r="BY555" s="26"/>
      <c r="BZ555" s="26"/>
      <c r="CA555" s="26"/>
      <c r="CB555" s="138"/>
      <c r="CC555" s="26"/>
      <c r="CD555" s="26"/>
      <c r="CE555" s="26"/>
      <c r="CF555" s="26"/>
      <c r="CG555" s="26"/>
      <c r="CH555" s="138"/>
      <c r="CI555" s="26"/>
      <c r="CJ555" s="26"/>
      <c r="CK555" s="83"/>
      <c r="CL555" s="26"/>
      <c r="CM555" s="26"/>
      <c r="CN555" s="138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262">
        <v>0.13</v>
      </c>
      <c r="DF555" s="90"/>
      <c r="DG555" s="262">
        <v>0.11</v>
      </c>
      <c r="DH555" s="262">
        <v>0.14000000000000001</v>
      </c>
      <c r="DI555" s="262">
        <v>0.14000000000000001</v>
      </c>
      <c r="DJ555" s="90"/>
      <c r="DK555" s="262">
        <v>0.08</v>
      </c>
      <c r="DL555" s="138"/>
      <c r="DM555" s="262">
        <f>$DQ$413</f>
        <v>3.5215082890887484E-2</v>
      </c>
      <c r="DN555" s="262">
        <f>$DQ$413</f>
        <v>3.5215082890887484E-2</v>
      </c>
      <c r="DO555" s="262">
        <f>$DQ$413</f>
        <v>3.5215082890887484E-2</v>
      </c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2033">
        <f>'Biz Transition Scenarios'!$M$195</f>
        <v>2813.8041906164271</v>
      </c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</row>
    <row r="556" spans="1:202" s="1782" customFormat="1">
      <c r="A556" s="203"/>
      <c r="B556" s="90"/>
      <c r="C556" s="26"/>
      <c r="D556" s="26"/>
      <c r="E556" s="26"/>
      <c r="F556" s="26"/>
      <c r="G556" s="26"/>
      <c r="H556" s="90"/>
      <c r="I556" s="26"/>
      <c r="J556" s="26"/>
      <c r="K556" s="26"/>
      <c r="L556" s="26"/>
      <c r="M556" s="26"/>
      <c r="N556" s="90"/>
      <c r="O556" s="26"/>
      <c r="P556" s="26"/>
      <c r="Q556" s="26"/>
      <c r="R556" s="26"/>
      <c r="S556" s="26"/>
      <c r="T556" s="90"/>
      <c r="U556" s="26"/>
      <c r="V556" s="26"/>
      <c r="W556" s="26"/>
      <c r="X556" s="26"/>
      <c r="Y556" s="26"/>
      <c r="Z556" s="90"/>
      <c r="AA556" s="26"/>
      <c r="AB556" s="26"/>
      <c r="AC556" s="26"/>
      <c r="AD556" s="26"/>
      <c r="AE556" s="26"/>
      <c r="AF556" s="90"/>
      <c r="AG556" s="26"/>
      <c r="AH556" s="26"/>
      <c r="AI556" s="26"/>
      <c r="AJ556" s="26"/>
      <c r="AK556" s="26"/>
      <c r="AL556" s="90"/>
      <c r="AM556" s="26"/>
      <c r="AN556" s="26"/>
      <c r="AO556" s="90"/>
      <c r="AP556" s="26"/>
      <c r="AQ556" s="26"/>
      <c r="AR556" s="90"/>
      <c r="AS556" s="26"/>
      <c r="AT556" s="26"/>
      <c r="AU556" s="90"/>
      <c r="AV556" s="26"/>
      <c r="AW556" s="26"/>
      <c r="AX556" s="90"/>
      <c r="AY556" s="83"/>
      <c r="AZ556" s="83"/>
      <c r="BA556" s="83"/>
      <c r="BB556" s="104"/>
      <c r="BC556" s="104"/>
      <c r="BD556" s="138"/>
      <c r="BE556" s="104"/>
      <c r="BF556" s="104"/>
      <c r="BG556" s="104"/>
      <c r="BH556" s="83"/>
      <c r="BI556" s="83"/>
      <c r="BJ556" s="138"/>
      <c r="BK556" s="26"/>
      <c r="BL556" s="83"/>
      <c r="BM556" s="26"/>
      <c r="BN556" s="26"/>
      <c r="BO556" s="138"/>
      <c r="BP556" s="138"/>
      <c r="BQ556" s="26"/>
      <c r="BR556" s="26"/>
      <c r="BS556" s="26"/>
      <c r="BT556" s="26"/>
      <c r="BU556" s="26"/>
      <c r="BV556" s="138"/>
      <c r="BW556" s="26"/>
      <c r="BX556" s="26"/>
      <c r="BY556" s="26"/>
      <c r="BZ556" s="26"/>
      <c r="CA556" s="26"/>
      <c r="CB556" s="138"/>
      <c r="CC556" s="26"/>
      <c r="CD556" s="26"/>
      <c r="CE556" s="26"/>
      <c r="CF556" s="26"/>
      <c r="CG556" s="26"/>
      <c r="CH556" s="138"/>
      <c r="CI556" s="26"/>
      <c r="CJ556" s="26"/>
      <c r="CK556" s="83"/>
      <c r="CL556" s="26"/>
      <c r="CM556" s="26"/>
      <c r="CN556" s="138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262"/>
      <c r="DF556" s="90"/>
      <c r="DG556" s="262"/>
      <c r="DH556" s="262"/>
      <c r="DI556" s="262"/>
      <c r="DJ556" s="90"/>
      <c r="DK556" s="90"/>
      <c r="DL556" s="138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</row>
    <row r="557" spans="1:202" s="1805" customFormat="1">
      <c r="A557" s="202" t="s">
        <v>7003</v>
      </c>
      <c r="B557" s="90"/>
      <c r="C557" s="26"/>
      <c r="D557" s="26"/>
      <c r="E557" s="26"/>
      <c r="F557" s="26"/>
      <c r="G557" s="26"/>
      <c r="H557" s="90"/>
      <c r="I557" s="26"/>
      <c r="J557" s="26"/>
      <c r="K557" s="26"/>
      <c r="L557" s="26"/>
      <c r="M557" s="26"/>
      <c r="N557" s="90"/>
      <c r="O557" s="26"/>
      <c r="P557" s="26"/>
      <c r="Q557" s="26"/>
      <c r="R557" s="26"/>
      <c r="S557" s="26"/>
      <c r="T557" s="90"/>
      <c r="U557" s="26"/>
      <c r="V557" s="26"/>
      <c r="W557" s="26"/>
      <c r="X557" s="26"/>
      <c r="Y557" s="26"/>
      <c r="Z557" s="90"/>
      <c r="AA557" s="26"/>
      <c r="AB557" s="26"/>
      <c r="AC557" s="26"/>
      <c r="AD557" s="26"/>
      <c r="AE557" s="26"/>
      <c r="AF557" s="90"/>
      <c r="AG557" s="26"/>
      <c r="AH557" s="26"/>
      <c r="AI557" s="26"/>
      <c r="AJ557" s="26"/>
      <c r="AK557" s="26"/>
      <c r="AL557" s="90"/>
      <c r="AM557" s="26"/>
      <c r="AN557" s="26"/>
      <c r="AO557" s="90"/>
      <c r="AP557" s="26"/>
      <c r="AQ557" s="26"/>
      <c r="AR557" s="90"/>
      <c r="AS557" s="26"/>
      <c r="AT557" s="26"/>
      <c r="AU557" s="90"/>
      <c r="AV557" s="26"/>
      <c r="AW557" s="26"/>
      <c r="AX557" s="90"/>
      <c r="AY557" s="83"/>
      <c r="AZ557" s="83"/>
      <c r="BA557" s="83"/>
      <c r="BB557" s="104"/>
      <c r="BC557" s="104"/>
      <c r="BD557" s="138"/>
      <c r="BE557" s="104"/>
      <c r="BF557" s="104"/>
      <c r="BG557" s="104"/>
      <c r="BH557" s="83"/>
      <c r="BI557" s="83"/>
      <c r="BJ557" s="138"/>
      <c r="BK557" s="26"/>
      <c r="BL557" s="83"/>
      <c r="BM557" s="26"/>
      <c r="BN557" s="26"/>
      <c r="BO557" s="138"/>
      <c r="BP557" s="138"/>
      <c r="BQ557" s="26"/>
      <c r="BR557" s="26"/>
      <c r="BS557" s="26"/>
      <c r="BT557" s="26"/>
      <c r="BU557" s="26"/>
      <c r="BV557" s="138"/>
      <c r="BW557" s="26"/>
      <c r="BX557" s="26"/>
      <c r="BY557" s="26"/>
      <c r="BZ557" s="26"/>
      <c r="CA557" s="26"/>
      <c r="CB557" s="138"/>
      <c r="CC557" s="26"/>
      <c r="CD557" s="26"/>
      <c r="CE557" s="26"/>
      <c r="CF557" s="26"/>
      <c r="CG557" s="26"/>
      <c r="CH557" s="138"/>
      <c r="CI557" s="26"/>
      <c r="CJ557" s="26"/>
      <c r="CK557" s="83"/>
      <c r="CL557" s="26"/>
      <c r="CM557" s="26"/>
      <c r="CN557" s="138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262"/>
      <c r="DF557" s="90"/>
      <c r="DG557" s="262"/>
      <c r="DH557" s="262"/>
      <c r="DI557" s="262"/>
      <c r="DJ557" s="90"/>
      <c r="DK557" s="90"/>
      <c r="DL557" s="138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</row>
    <row r="558" spans="1:202" s="1805" customFormat="1">
      <c r="A558" s="202" t="s">
        <v>4596</v>
      </c>
      <c r="B558" s="90"/>
      <c r="C558" s="26"/>
      <c r="D558" s="26"/>
      <c r="E558" s="26"/>
      <c r="F558" s="26"/>
      <c r="G558" s="26"/>
      <c r="H558" s="90"/>
      <c r="I558" s="26"/>
      <c r="J558" s="26"/>
      <c r="K558" s="26"/>
      <c r="L558" s="26"/>
      <c r="M558" s="26"/>
      <c r="N558" s="90"/>
      <c r="O558" s="26"/>
      <c r="P558" s="26"/>
      <c r="Q558" s="26"/>
      <c r="R558" s="26"/>
      <c r="S558" s="26"/>
      <c r="T558" s="90"/>
      <c r="U558" s="26"/>
      <c r="V558" s="26"/>
      <c r="W558" s="26"/>
      <c r="X558" s="26"/>
      <c r="Y558" s="26"/>
      <c r="Z558" s="90"/>
      <c r="AA558" s="26"/>
      <c r="AB558" s="26"/>
      <c r="AC558" s="26"/>
      <c r="AD558" s="26"/>
      <c r="AE558" s="26"/>
      <c r="AF558" s="90"/>
      <c r="AG558" s="26"/>
      <c r="AH558" s="26"/>
      <c r="AI558" s="26"/>
      <c r="AJ558" s="26"/>
      <c r="AK558" s="26"/>
      <c r="AL558" s="90"/>
      <c r="AM558" s="26"/>
      <c r="AN558" s="26"/>
      <c r="AO558" s="90"/>
      <c r="AP558" s="26"/>
      <c r="AQ558" s="26"/>
      <c r="AR558" s="90"/>
      <c r="AS558" s="26"/>
      <c r="AT558" s="26"/>
      <c r="AU558" s="90"/>
      <c r="AV558" s="26"/>
      <c r="AW558" s="26"/>
      <c r="AX558" s="90"/>
      <c r="AY558" s="83"/>
      <c r="AZ558" s="83"/>
      <c r="BA558" s="83"/>
      <c r="BB558" s="104"/>
      <c r="BC558" s="104"/>
      <c r="BD558" s="138"/>
      <c r="BE558" s="104"/>
      <c r="BF558" s="104"/>
      <c r="BG558" s="104"/>
      <c r="BH558" s="83"/>
      <c r="BI558" s="83"/>
      <c r="BJ558" s="138"/>
      <c r="BK558" s="26"/>
      <c r="BL558" s="83"/>
      <c r="BM558" s="26"/>
      <c r="BN558" s="26"/>
      <c r="BO558" s="138"/>
      <c r="BP558" s="138"/>
      <c r="BQ558" s="26"/>
      <c r="BR558" s="26"/>
      <c r="BS558" s="26"/>
      <c r="BT558" s="26"/>
      <c r="BU558" s="26"/>
      <c r="BV558" s="138"/>
      <c r="BW558" s="26"/>
      <c r="BX558" s="26"/>
      <c r="BY558" s="26"/>
      <c r="BZ558" s="26"/>
      <c r="CA558" s="26"/>
      <c r="CB558" s="138"/>
      <c r="CC558" s="26"/>
      <c r="CD558" s="26"/>
      <c r="CE558" s="26"/>
      <c r="CF558" s="26"/>
      <c r="CG558" s="26"/>
      <c r="CH558" s="138"/>
      <c r="CI558" s="26"/>
      <c r="CJ558" s="26"/>
      <c r="CK558" s="83"/>
      <c r="CL558" s="26"/>
      <c r="CM558" s="26"/>
      <c r="CN558" s="138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262"/>
      <c r="DF558" s="90"/>
      <c r="DG558" s="262"/>
      <c r="DH558" s="262"/>
      <c r="DI558" s="262"/>
      <c r="DJ558" s="90"/>
      <c r="DK558" s="262">
        <v>0.09</v>
      </c>
      <c r="DL558" s="138"/>
      <c r="DM558" s="262">
        <v>0.09</v>
      </c>
      <c r="DN558" s="262">
        <v>0.09</v>
      </c>
      <c r="DO558" s="262">
        <v>7.0000000000000007E-2</v>
      </c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</row>
    <row r="559" spans="1:202" s="1805" customFormat="1">
      <c r="A559" s="202" t="s">
        <v>4595</v>
      </c>
      <c r="B559" s="90"/>
      <c r="C559" s="26"/>
      <c r="D559" s="26"/>
      <c r="E559" s="26"/>
      <c r="F559" s="26"/>
      <c r="G559" s="26"/>
      <c r="H559" s="90"/>
      <c r="I559" s="26"/>
      <c r="J559" s="26"/>
      <c r="K559" s="26"/>
      <c r="L559" s="26"/>
      <c r="M559" s="26"/>
      <c r="N559" s="90"/>
      <c r="O559" s="26"/>
      <c r="P559" s="26"/>
      <c r="Q559" s="26"/>
      <c r="R559" s="26"/>
      <c r="S559" s="26"/>
      <c r="T559" s="90"/>
      <c r="U559" s="26"/>
      <c r="V559" s="26"/>
      <c r="W559" s="26"/>
      <c r="X559" s="26"/>
      <c r="Y559" s="26"/>
      <c r="Z559" s="90"/>
      <c r="AA559" s="26"/>
      <c r="AB559" s="26"/>
      <c r="AC559" s="26"/>
      <c r="AD559" s="26"/>
      <c r="AE559" s="26"/>
      <c r="AF559" s="90"/>
      <c r="AG559" s="26"/>
      <c r="AH559" s="26"/>
      <c r="AI559" s="26"/>
      <c r="AJ559" s="26"/>
      <c r="AK559" s="26"/>
      <c r="AL559" s="90"/>
      <c r="AM559" s="26"/>
      <c r="AN559" s="26"/>
      <c r="AO559" s="90"/>
      <c r="AP559" s="26"/>
      <c r="AQ559" s="26"/>
      <c r="AR559" s="90"/>
      <c r="AS559" s="26"/>
      <c r="AT559" s="26"/>
      <c r="AU559" s="90"/>
      <c r="AV559" s="26"/>
      <c r="AW559" s="26"/>
      <c r="AX559" s="90"/>
      <c r="AY559" s="83"/>
      <c r="AZ559" s="83"/>
      <c r="BA559" s="83"/>
      <c r="BB559" s="104"/>
      <c r="BC559" s="104"/>
      <c r="BD559" s="138"/>
      <c r="BE559" s="104"/>
      <c r="BF559" s="104"/>
      <c r="BG559" s="104"/>
      <c r="BH559" s="83"/>
      <c r="BI559" s="83"/>
      <c r="BJ559" s="138"/>
      <c r="BK559" s="26"/>
      <c r="BL559" s="83"/>
      <c r="BM559" s="26"/>
      <c r="BN559" s="26"/>
      <c r="BO559" s="138"/>
      <c r="BP559" s="138"/>
      <c r="BQ559" s="26"/>
      <c r="BR559" s="26"/>
      <c r="BS559" s="26"/>
      <c r="BT559" s="26"/>
      <c r="BU559" s="26"/>
      <c r="BV559" s="138"/>
      <c r="BW559" s="26"/>
      <c r="BX559" s="26"/>
      <c r="BY559" s="26"/>
      <c r="BZ559" s="26"/>
      <c r="CA559" s="26"/>
      <c r="CB559" s="138"/>
      <c r="CC559" s="26"/>
      <c r="CD559" s="26"/>
      <c r="CE559" s="26"/>
      <c r="CF559" s="26"/>
      <c r="CG559" s="26"/>
      <c r="CH559" s="138"/>
      <c r="CI559" s="26"/>
      <c r="CJ559" s="26"/>
      <c r="CK559" s="83"/>
      <c r="CL559" s="26"/>
      <c r="CM559" s="26"/>
      <c r="CN559" s="138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262"/>
      <c r="DF559" s="90"/>
      <c r="DG559" s="262"/>
      <c r="DH559" s="262"/>
      <c r="DI559" s="262"/>
      <c r="DJ559" s="90"/>
      <c r="DK559" s="262">
        <v>0.11</v>
      </c>
      <c r="DL559" s="138"/>
      <c r="DM559" s="262">
        <v>0.11</v>
      </c>
      <c r="DN559" s="262">
        <v>0.11</v>
      </c>
      <c r="DO559" s="262">
        <v>0.08</v>
      </c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2033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</row>
    <row r="560" spans="1:202" s="1805" customFormat="1">
      <c r="A560" s="203" t="s">
        <v>4597</v>
      </c>
      <c r="B560" s="90"/>
      <c r="C560" s="26"/>
      <c r="D560" s="26"/>
      <c r="E560" s="26"/>
      <c r="F560" s="26"/>
      <c r="G560" s="26"/>
      <c r="H560" s="90"/>
      <c r="I560" s="26"/>
      <c r="J560" s="26"/>
      <c r="K560" s="26"/>
      <c r="L560" s="26"/>
      <c r="M560" s="26"/>
      <c r="N560" s="90"/>
      <c r="O560" s="26"/>
      <c r="P560" s="26"/>
      <c r="Q560" s="26"/>
      <c r="R560" s="26"/>
      <c r="S560" s="26"/>
      <c r="T560" s="90"/>
      <c r="U560" s="26"/>
      <c r="V560" s="26"/>
      <c r="W560" s="26"/>
      <c r="X560" s="26"/>
      <c r="Y560" s="26"/>
      <c r="Z560" s="90"/>
      <c r="AA560" s="26"/>
      <c r="AB560" s="26"/>
      <c r="AC560" s="26"/>
      <c r="AD560" s="26"/>
      <c r="AE560" s="26"/>
      <c r="AF560" s="90"/>
      <c r="AG560" s="26"/>
      <c r="AH560" s="26"/>
      <c r="AI560" s="26"/>
      <c r="AJ560" s="26"/>
      <c r="AK560" s="26"/>
      <c r="AL560" s="90"/>
      <c r="AM560" s="26"/>
      <c r="AN560" s="26"/>
      <c r="AO560" s="90"/>
      <c r="AP560" s="26"/>
      <c r="AQ560" s="26"/>
      <c r="AR560" s="90"/>
      <c r="AS560" s="26"/>
      <c r="AT560" s="26"/>
      <c r="AU560" s="90"/>
      <c r="AV560" s="26"/>
      <c r="AW560" s="26"/>
      <c r="AX560" s="90"/>
      <c r="AY560" s="83"/>
      <c r="AZ560" s="83"/>
      <c r="BA560" s="83"/>
      <c r="BB560" s="104"/>
      <c r="BC560" s="104"/>
      <c r="BD560" s="138"/>
      <c r="BE560" s="104"/>
      <c r="BF560" s="104"/>
      <c r="BG560" s="104"/>
      <c r="BH560" s="83"/>
      <c r="BI560" s="83"/>
      <c r="BJ560" s="138"/>
      <c r="BK560" s="26"/>
      <c r="BL560" s="83"/>
      <c r="BM560" s="26"/>
      <c r="BN560" s="26"/>
      <c r="BO560" s="138"/>
      <c r="BP560" s="138"/>
      <c r="BQ560" s="26"/>
      <c r="BR560" s="26"/>
      <c r="BS560" s="26"/>
      <c r="BT560" s="26"/>
      <c r="BU560" s="26"/>
      <c r="BV560" s="138"/>
      <c r="BW560" s="26"/>
      <c r="BX560" s="26"/>
      <c r="BY560" s="26"/>
      <c r="BZ560" s="26"/>
      <c r="CA560" s="26"/>
      <c r="CB560" s="138"/>
      <c r="CC560" s="26"/>
      <c r="CD560" s="26"/>
      <c r="CE560" s="26"/>
      <c r="CF560" s="26"/>
      <c r="CG560" s="26"/>
      <c r="CH560" s="138"/>
      <c r="CI560" s="26"/>
      <c r="CJ560" s="26"/>
      <c r="CK560" s="83"/>
      <c r="CL560" s="26"/>
      <c r="CM560" s="26"/>
      <c r="CN560" s="138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262"/>
      <c r="DF560" s="90"/>
      <c r="DG560" s="262"/>
      <c r="DH560" s="262"/>
      <c r="DI560" s="262"/>
      <c r="DJ560" s="90"/>
      <c r="DK560" s="90"/>
      <c r="DL560" s="138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</row>
    <row r="561" spans="1:151" s="1805" customFormat="1">
      <c r="A561" s="203"/>
      <c r="B561" s="90"/>
      <c r="C561" s="26"/>
      <c r="D561" s="26"/>
      <c r="E561" s="26"/>
      <c r="F561" s="26"/>
      <c r="G561" s="26"/>
      <c r="H561" s="90"/>
      <c r="I561" s="26"/>
      <c r="J561" s="26"/>
      <c r="K561" s="26"/>
      <c r="L561" s="26"/>
      <c r="M561" s="26"/>
      <c r="N561" s="90"/>
      <c r="O561" s="26"/>
      <c r="P561" s="26"/>
      <c r="Q561" s="26"/>
      <c r="R561" s="26"/>
      <c r="S561" s="26"/>
      <c r="T561" s="90"/>
      <c r="U561" s="26"/>
      <c r="V561" s="26"/>
      <c r="W561" s="26"/>
      <c r="X561" s="26"/>
      <c r="Y561" s="26"/>
      <c r="Z561" s="90"/>
      <c r="AA561" s="26"/>
      <c r="AB561" s="26"/>
      <c r="AC561" s="26"/>
      <c r="AD561" s="26"/>
      <c r="AE561" s="26"/>
      <c r="AF561" s="90"/>
      <c r="AG561" s="26"/>
      <c r="AH561" s="26"/>
      <c r="AI561" s="26"/>
      <c r="AJ561" s="26"/>
      <c r="AK561" s="26"/>
      <c r="AL561" s="90"/>
      <c r="AM561" s="26"/>
      <c r="AN561" s="26"/>
      <c r="AO561" s="90"/>
      <c r="AP561" s="26"/>
      <c r="AQ561" s="26"/>
      <c r="AR561" s="90"/>
      <c r="AS561" s="26"/>
      <c r="AT561" s="26"/>
      <c r="AU561" s="90"/>
      <c r="AV561" s="26"/>
      <c r="AW561" s="26"/>
      <c r="AX561" s="90"/>
      <c r="AY561" s="83"/>
      <c r="AZ561" s="83"/>
      <c r="BA561" s="83"/>
      <c r="BB561" s="104"/>
      <c r="BC561" s="104"/>
      <c r="BD561" s="138"/>
      <c r="BE561" s="104"/>
      <c r="BF561" s="104"/>
      <c r="BG561" s="104"/>
      <c r="BH561" s="83"/>
      <c r="BI561" s="83"/>
      <c r="BJ561" s="138"/>
      <c r="BK561" s="26"/>
      <c r="BL561" s="83"/>
      <c r="BM561" s="26"/>
      <c r="BN561" s="26"/>
      <c r="BO561" s="138"/>
      <c r="BP561" s="138"/>
      <c r="BQ561" s="26"/>
      <c r="BR561" s="26"/>
      <c r="BS561" s="26"/>
      <c r="BT561" s="26"/>
      <c r="BU561" s="26"/>
      <c r="BV561" s="138"/>
      <c r="BW561" s="26"/>
      <c r="BX561" s="26"/>
      <c r="BY561" s="26"/>
      <c r="BZ561" s="26"/>
      <c r="CA561" s="26"/>
      <c r="CB561" s="138"/>
      <c r="CC561" s="26"/>
      <c r="CD561" s="26"/>
      <c r="CE561" s="26"/>
      <c r="CF561" s="26"/>
      <c r="CG561" s="26"/>
      <c r="CH561" s="138"/>
      <c r="CI561" s="26"/>
      <c r="CJ561" s="26"/>
      <c r="CK561" s="83"/>
      <c r="CL561" s="26"/>
      <c r="CM561" s="26"/>
      <c r="CN561" s="138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262"/>
      <c r="DF561" s="90"/>
      <c r="DG561" s="262"/>
      <c r="DH561" s="262"/>
      <c r="DI561" s="262"/>
      <c r="DJ561" s="90"/>
      <c r="DK561" s="90"/>
      <c r="DL561" s="138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</row>
    <row r="562" spans="1:151" s="1782" customFormat="1">
      <c r="A562" s="202" t="s">
        <v>5649</v>
      </c>
      <c r="B562" s="90"/>
      <c r="C562" s="26"/>
      <c r="D562" s="26"/>
      <c r="E562" s="26"/>
      <c r="F562" s="26"/>
      <c r="G562" s="26"/>
      <c r="H562" s="90"/>
      <c r="I562" s="26"/>
      <c r="J562" s="26"/>
      <c r="K562" s="26"/>
      <c r="L562" s="26"/>
      <c r="M562" s="26"/>
      <c r="N562" s="90"/>
      <c r="O562" s="26"/>
      <c r="P562" s="26"/>
      <c r="Q562" s="26"/>
      <c r="R562" s="26"/>
      <c r="S562" s="26"/>
      <c r="T562" s="90"/>
      <c r="U562" s="26"/>
      <c r="V562" s="26"/>
      <c r="W562" s="26"/>
      <c r="X562" s="26"/>
      <c r="Y562" s="26"/>
      <c r="Z562" s="90"/>
      <c r="AA562" s="26"/>
      <c r="AB562" s="26"/>
      <c r="AC562" s="26"/>
      <c r="AD562" s="26"/>
      <c r="AE562" s="26"/>
      <c r="AF562" s="90"/>
      <c r="AG562" s="26"/>
      <c r="AH562" s="26"/>
      <c r="AI562" s="26"/>
      <c r="AJ562" s="26"/>
      <c r="AK562" s="26"/>
      <c r="AL562" s="90"/>
      <c r="AM562" s="26"/>
      <c r="AN562" s="26"/>
      <c r="AO562" s="90"/>
      <c r="AP562" s="26"/>
      <c r="AQ562" s="26"/>
      <c r="AR562" s="90"/>
      <c r="AS562" s="26"/>
      <c r="AT562" s="26"/>
      <c r="AU562" s="90"/>
      <c r="AV562" s="26"/>
      <c r="AW562" s="26"/>
      <c r="AX562" s="90"/>
      <c r="AY562" s="83"/>
      <c r="AZ562" s="83"/>
      <c r="BA562" s="83"/>
      <c r="BB562" s="104"/>
      <c r="BC562" s="104"/>
      <c r="BD562" s="138"/>
      <c r="BE562" s="104"/>
      <c r="BF562" s="104"/>
      <c r="BG562" s="104"/>
      <c r="BH562" s="83">
        <v>2007</v>
      </c>
      <c r="BI562" s="83"/>
      <c r="BJ562" s="138"/>
      <c r="BK562" s="26"/>
      <c r="BL562" s="83">
        <v>2007</v>
      </c>
      <c r="BM562" s="26"/>
      <c r="BN562" s="26"/>
      <c r="BO562" s="138"/>
      <c r="BP562" s="138"/>
      <c r="BQ562" s="26"/>
      <c r="BR562" s="26"/>
      <c r="BS562" s="743">
        <v>2008</v>
      </c>
      <c r="BT562" s="743">
        <v>2008</v>
      </c>
      <c r="BU562" s="26"/>
      <c r="BV562" s="138"/>
      <c r="BW562" s="743">
        <v>2009</v>
      </c>
      <c r="BX562" s="743">
        <v>2009</v>
      </c>
      <c r="BY562" s="743">
        <v>2009</v>
      </c>
      <c r="BZ562" s="26"/>
      <c r="CA562" s="26"/>
      <c r="CB562" s="138"/>
      <c r="CC562" s="26"/>
      <c r="CD562" s="26"/>
      <c r="CE562" s="26"/>
      <c r="CF562" s="26"/>
      <c r="CG562" s="26"/>
      <c r="CH562" s="138"/>
      <c r="CI562" s="26"/>
      <c r="CJ562" s="26"/>
      <c r="CK562" s="83"/>
      <c r="CL562" s="26"/>
      <c r="CM562" s="26"/>
      <c r="CN562" s="138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138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</row>
    <row r="563" spans="1:151" s="1782" customFormat="1">
      <c r="A563" s="202" t="s">
        <v>4596</v>
      </c>
      <c r="B563" s="90"/>
      <c r="C563" s="26"/>
      <c r="D563" s="26"/>
      <c r="E563" s="26"/>
      <c r="F563" s="26"/>
      <c r="G563" s="26"/>
      <c r="H563" s="90"/>
      <c r="I563" s="26"/>
      <c r="J563" s="26"/>
      <c r="K563" s="26"/>
      <c r="L563" s="26"/>
      <c r="M563" s="26"/>
      <c r="N563" s="90"/>
      <c r="O563" s="26"/>
      <c r="P563" s="26"/>
      <c r="Q563" s="26"/>
      <c r="R563" s="26"/>
      <c r="S563" s="26"/>
      <c r="T563" s="90"/>
      <c r="U563" s="26"/>
      <c r="V563" s="26"/>
      <c r="W563" s="26"/>
      <c r="X563" s="26"/>
      <c r="Y563" s="26"/>
      <c r="Z563" s="90"/>
      <c r="AA563" s="26"/>
      <c r="AB563" s="26"/>
      <c r="AC563" s="26"/>
      <c r="AD563" s="26"/>
      <c r="AE563" s="26"/>
      <c r="AF563" s="90"/>
      <c r="AG563" s="26"/>
      <c r="AH563" s="26"/>
      <c r="AI563" s="26"/>
      <c r="AJ563" s="26"/>
      <c r="AK563" s="26"/>
      <c r="AL563" s="90"/>
      <c r="AM563" s="36">
        <f>1.1/4</f>
        <v>0.27500000000000002</v>
      </c>
      <c r="AN563" s="26">
        <f>0.5/2</f>
        <v>0.25</v>
      </c>
      <c r="AO563" s="90"/>
      <c r="AP563" s="108">
        <f>0.5/2</f>
        <v>0.25</v>
      </c>
      <c r="AQ563" s="26"/>
      <c r="AR563" s="90"/>
      <c r="AS563" s="108">
        <f>0.5/2</f>
        <v>0.25</v>
      </c>
      <c r="AT563" s="607">
        <f>0.5/2</f>
        <v>0.25</v>
      </c>
      <c r="AU563" s="108"/>
      <c r="AV563" s="36">
        <f>1.15/2</f>
        <v>0.57499999999999996</v>
      </c>
      <c r="AW563" s="26"/>
      <c r="AX563" s="90"/>
      <c r="AY563" s="109">
        <f>1.44/2</f>
        <v>0.72</v>
      </c>
      <c r="AZ563" s="109">
        <f>1.6/2</f>
        <v>0.8</v>
      </c>
      <c r="BA563" s="109">
        <v>0.84</v>
      </c>
      <c r="BB563" s="109"/>
      <c r="BC563" s="104"/>
      <c r="BD563" s="138"/>
      <c r="BE563" s="104">
        <v>1.1399999999999999</v>
      </c>
      <c r="BF563" s="109">
        <f>BF553</f>
        <v>0</v>
      </c>
      <c r="BG563" s="104">
        <v>1.24</v>
      </c>
      <c r="BH563" s="274">
        <v>1.4</v>
      </c>
      <c r="BI563" s="83"/>
      <c r="BJ563" s="138"/>
      <c r="BK563" s="26"/>
      <c r="BL563" s="274">
        <v>1.45</v>
      </c>
      <c r="BM563" s="26"/>
      <c r="BN563" s="26"/>
      <c r="BO563" s="138"/>
      <c r="BP563" s="138"/>
      <c r="BQ563" s="26"/>
      <c r="BR563" s="26"/>
      <c r="BS563" s="26">
        <v>1.87</v>
      </c>
      <c r="BT563" s="26">
        <v>1.89</v>
      </c>
      <c r="BU563" s="26"/>
      <c r="BV563" s="138"/>
      <c r="BW563" s="26">
        <v>2.15</v>
      </c>
      <c r="BX563" s="36">
        <v>2.2000000000000002</v>
      </c>
      <c r="BY563" s="36">
        <v>2.2000000000000002</v>
      </c>
      <c r="BZ563" s="26"/>
      <c r="CA563" s="26"/>
      <c r="CB563" s="138"/>
      <c r="CC563" s="26"/>
      <c r="CD563" s="26"/>
      <c r="CE563" s="26">
        <v>0.88</v>
      </c>
      <c r="CF563" s="26"/>
      <c r="CG563" s="26"/>
      <c r="CH563" s="138"/>
      <c r="CI563" s="26"/>
      <c r="CJ563" s="26"/>
      <c r="CK563" s="83"/>
      <c r="CL563" s="26"/>
      <c r="CM563" s="26"/>
      <c r="CN563" s="138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>
        <v>1.05</v>
      </c>
      <c r="DL563" s="138"/>
      <c r="DM563" s="90">
        <v>0.95</v>
      </c>
      <c r="DN563" s="90">
        <v>0.6</v>
      </c>
      <c r="DO563" s="90">
        <v>0.72</v>
      </c>
      <c r="DP563" s="90"/>
      <c r="DQ563" s="90"/>
      <c r="DR563" s="90"/>
      <c r="DS563" s="90">
        <v>-0.85</v>
      </c>
      <c r="DT563" s="90">
        <v>-0.95</v>
      </c>
      <c r="DU563" s="90">
        <v>-0.7</v>
      </c>
      <c r="DV563" s="90">
        <v>-0.61</v>
      </c>
      <c r="DW563" s="90"/>
      <c r="DX563" s="90"/>
      <c r="DY563" s="90">
        <v>-0.73</v>
      </c>
      <c r="DZ563" s="90">
        <v>-0.73</v>
      </c>
      <c r="EA563" s="90">
        <v>-0.61</v>
      </c>
      <c r="EB563" s="90">
        <v>-0.53</v>
      </c>
      <c r="EC563" s="90"/>
      <c r="ED563" s="90"/>
      <c r="EE563" s="90">
        <v>0.77</v>
      </c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</row>
    <row r="564" spans="1:151" s="1782" customFormat="1">
      <c r="A564" s="202" t="s">
        <v>4595</v>
      </c>
      <c r="B564" s="90"/>
      <c r="C564" s="26"/>
      <c r="D564" s="26"/>
      <c r="E564" s="26"/>
      <c r="F564" s="26"/>
      <c r="G564" s="26"/>
      <c r="H564" s="90"/>
      <c r="I564" s="26"/>
      <c r="J564" s="26"/>
      <c r="K564" s="26"/>
      <c r="L564" s="26"/>
      <c r="M564" s="26"/>
      <c r="N564" s="90"/>
      <c r="O564" s="26"/>
      <c r="P564" s="26"/>
      <c r="Q564" s="26"/>
      <c r="R564" s="26"/>
      <c r="S564" s="26"/>
      <c r="T564" s="90"/>
      <c r="U564" s="26"/>
      <c r="V564" s="26"/>
      <c r="W564" s="26"/>
      <c r="X564" s="26"/>
      <c r="Y564" s="26"/>
      <c r="Z564" s="90"/>
      <c r="AA564" s="26"/>
      <c r="AB564" s="26"/>
      <c r="AC564" s="26"/>
      <c r="AD564" s="26"/>
      <c r="AE564" s="26"/>
      <c r="AF564" s="90"/>
      <c r="AG564" s="26"/>
      <c r="AH564" s="26"/>
      <c r="AI564" s="26"/>
      <c r="AJ564" s="26"/>
      <c r="AK564" s="26"/>
      <c r="AL564" s="90"/>
      <c r="AM564" s="36">
        <f>1.1/4</f>
        <v>0.27500000000000002</v>
      </c>
      <c r="AN564" s="26">
        <f>0.7/2</f>
        <v>0.35</v>
      </c>
      <c r="AO564" s="90"/>
      <c r="AP564" s="108">
        <f>0.5/2</f>
        <v>0.25</v>
      </c>
      <c r="AQ564" s="26"/>
      <c r="AR564" s="90"/>
      <c r="AS564" s="108">
        <f>0.5/2</f>
        <v>0.25</v>
      </c>
      <c r="AT564" s="607">
        <f>0.6/2</f>
        <v>0.3</v>
      </c>
      <c r="AU564" s="108"/>
      <c r="AV564" s="36">
        <f>1.25/2</f>
        <v>0.625</v>
      </c>
      <c r="AW564" s="26"/>
      <c r="AX564" s="90"/>
      <c r="AY564" s="109">
        <f>1.51/2</f>
        <v>0.755</v>
      </c>
      <c r="AZ564" s="109">
        <f>1.64/2</f>
        <v>0.82</v>
      </c>
      <c r="BA564" s="109">
        <v>0.87</v>
      </c>
      <c r="BB564" s="109"/>
      <c r="BC564" s="104"/>
      <c r="BD564" s="138"/>
      <c r="BE564" s="104">
        <v>1.19</v>
      </c>
      <c r="BF564" s="104">
        <f>BF554</f>
        <v>0</v>
      </c>
      <c r="BG564" s="104">
        <v>1.26</v>
      </c>
      <c r="BH564" s="83">
        <v>1.45</v>
      </c>
      <c r="BI564" s="83"/>
      <c r="BJ564" s="138"/>
      <c r="BK564" s="26"/>
      <c r="BL564" s="83">
        <v>1.53</v>
      </c>
      <c r="BM564" s="26"/>
      <c r="BN564" s="26"/>
      <c r="BO564" s="138"/>
      <c r="BP564" s="138"/>
      <c r="BQ564" s="26"/>
      <c r="BR564" s="26"/>
      <c r="BS564" s="26">
        <v>1.91</v>
      </c>
      <c r="BT564" s="26">
        <v>1.91</v>
      </c>
      <c r="BU564" s="26"/>
      <c r="BV564" s="138"/>
      <c r="BW564" s="26">
        <v>2.25</v>
      </c>
      <c r="BX564" s="36">
        <v>2.2999999999999998</v>
      </c>
      <c r="BY564" s="36">
        <v>2.2999999999999998</v>
      </c>
      <c r="BZ564" s="26"/>
      <c r="CA564" s="26"/>
      <c r="CB564" s="138"/>
      <c r="CC564" s="26"/>
      <c r="CD564" s="26"/>
      <c r="CE564" s="26">
        <v>0.93</v>
      </c>
      <c r="CF564" s="26"/>
      <c r="CG564" s="26"/>
      <c r="CH564" s="138"/>
      <c r="CI564" s="26"/>
      <c r="CJ564" s="26"/>
      <c r="CK564" s="83"/>
      <c r="CL564" s="26"/>
      <c r="CM564" s="26"/>
      <c r="CN564" s="138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108">
        <v>1.2</v>
      </c>
      <c r="DL564" s="138"/>
      <c r="DM564" s="108">
        <v>1.1000000000000001</v>
      </c>
      <c r="DN564" s="90">
        <v>0.72</v>
      </c>
      <c r="DO564" s="90">
        <v>0.76</v>
      </c>
      <c r="DP564" s="90"/>
      <c r="DQ564" s="90"/>
      <c r="DR564" s="90"/>
      <c r="DS564" s="90">
        <v>-0.6</v>
      </c>
      <c r="DT564" s="90">
        <v>-0.7</v>
      </c>
      <c r="DU564" s="90">
        <v>-0.55000000000000004</v>
      </c>
      <c r="DV564" s="90">
        <v>-0.54</v>
      </c>
      <c r="DW564" s="90"/>
      <c r="DX564" s="90"/>
      <c r="DY564" s="90">
        <v>-0.56000000000000005</v>
      </c>
      <c r="DZ564" s="90">
        <v>-0.56000000000000005</v>
      </c>
      <c r="EA564" s="90">
        <v>-0.54</v>
      </c>
      <c r="EB564" s="90">
        <v>-0.49</v>
      </c>
      <c r="EC564" s="90"/>
      <c r="ED564" s="90"/>
      <c r="EE564" s="90">
        <v>0.95</v>
      </c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</row>
    <row r="565" spans="1:151" s="1782" customFormat="1">
      <c r="A565" s="203" t="s">
        <v>4597</v>
      </c>
      <c r="B565" s="52"/>
      <c r="C565" s="30"/>
      <c r="D565" s="30"/>
      <c r="E565" s="30"/>
      <c r="F565" s="30"/>
      <c r="G565" s="30"/>
      <c r="H565" s="52"/>
      <c r="I565" s="30"/>
      <c r="J565" s="30"/>
      <c r="K565" s="30"/>
      <c r="L565" s="30"/>
      <c r="M565" s="30"/>
      <c r="N565" s="52"/>
      <c r="O565" s="30"/>
      <c r="P565" s="30"/>
      <c r="Q565" s="30"/>
      <c r="R565" s="30"/>
      <c r="S565" s="30"/>
      <c r="T565" s="52"/>
      <c r="U565" s="30"/>
      <c r="V565" s="30"/>
      <c r="W565" s="30"/>
      <c r="X565" s="30"/>
      <c r="Y565" s="30"/>
      <c r="Z565" s="52"/>
      <c r="AA565" s="30"/>
      <c r="AB565" s="30"/>
      <c r="AC565" s="30"/>
      <c r="AD565" s="30"/>
      <c r="AE565" s="30"/>
      <c r="AF565" s="52"/>
      <c r="AG565" s="30"/>
      <c r="AH565" s="30"/>
      <c r="AI565" s="30"/>
      <c r="AJ565" s="30"/>
      <c r="AK565" s="30"/>
      <c r="AL565" s="52"/>
      <c r="AM565" s="30"/>
      <c r="AN565" s="30"/>
      <c r="AO565" s="52"/>
      <c r="AP565" s="30"/>
      <c r="AQ565" s="529">
        <f>Model!AQ92</f>
        <v>0</v>
      </c>
      <c r="AR565" s="52"/>
      <c r="AS565" s="30"/>
      <c r="AT565" s="30"/>
      <c r="AU565" s="52"/>
      <c r="AV565" s="30"/>
      <c r="AW565" s="529">
        <f>Model!AW92</f>
        <v>0</v>
      </c>
      <c r="AX565" s="52"/>
      <c r="AY565" s="272"/>
      <c r="AZ565" s="272"/>
      <c r="BA565" s="742"/>
      <c r="BB565" s="742"/>
      <c r="BC565" s="700">
        <f>Model!BC92</f>
        <v>0</v>
      </c>
      <c r="BD565" s="57"/>
      <c r="BE565" s="700">
        <f>Model!$BI92</f>
        <v>0</v>
      </c>
      <c r="BF565" s="700">
        <f>Model!$BI92</f>
        <v>0</v>
      </c>
      <c r="BG565" s="700">
        <f>Model!$BI92</f>
        <v>0</v>
      </c>
      <c r="BH565" s="837">
        <f>Model!BO92</f>
        <v>0</v>
      </c>
      <c r="BI565" s="272"/>
      <c r="BJ565" s="57"/>
      <c r="BK565" s="30"/>
      <c r="BL565" s="837">
        <f>Model!BO92</f>
        <v>0</v>
      </c>
      <c r="BM565" s="30"/>
      <c r="BN565" s="30"/>
      <c r="BO565" s="57"/>
      <c r="BP565" s="57"/>
      <c r="BQ565" s="30"/>
      <c r="BR565" s="30"/>
      <c r="BS565" s="837">
        <f>Model!$BU92</f>
        <v>0</v>
      </c>
      <c r="BT565" s="837">
        <f>Model!$BU92</f>
        <v>0</v>
      </c>
      <c r="BU565" s="30"/>
      <c r="BV565" s="57"/>
      <c r="BW565" s="896">
        <f>Model!$CA92</f>
        <v>0</v>
      </c>
      <c r="BX565" s="896">
        <f>Model!$CA92</f>
        <v>0</v>
      </c>
      <c r="BY565" s="896">
        <f>Model!$CA92</f>
        <v>0</v>
      </c>
      <c r="BZ565" s="30"/>
      <c r="CA565" s="30"/>
      <c r="CB565" s="57"/>
      <c r="CC565" s="30"/>
      <c r="CD565" s="30"/>
      <c r="CE565" s="896">
        <f>Model!CG92</f>
        <v>0</v>
      </c>
      <c r="CF565" s="30"/>
      <c r="CG565" s="30"/>
      <c r="CH565" s="57"/>
      <c r="CI565" s="30"/>
      <c r="CJ565" s="30"/>
      <c r="CK565" s="272"/>
      <c r="CL565" s="30"/>
      <c r="CM565" s="30"/>
      <c r="CN565" s="57"/>
      <c r="CO565" s="52"/>
      <c r="CP565" s="52"/>
      <c r="CQ565" s="52"/>
      <c r="CR565" s="52"/>
      <c r="CS565" s="52"/>
      <c r="CT565" s="52"/>
      <c r="CU565" s="52"/>
      <c r="CV565" s="52"/>
      <c r="CW565" s="52"/>
      <c r="CX565" s="52"/>
      <c r="CY565" s="52"/>
      <c r="CZ565" s="52"/>
      <c r="DA565" s="52"/>
      <c r="DB565" s="52"/>
      <c r="DC565" s="52"/>
      <c r="DD565" s="52"/>
      <c r="DE565" s="52"/>
      <c r="DF565" s="52"/>
      <c r="DG565" s="52"/>
      <c r="DH565" s="52"/>
      <c r="DI565" s="52"/>
      <c r="DJ565" s="52"/>
      <c r="DK565" s="52"/>
      <c r="DL565" s="57"/>
      <c r="DM565" s="52"/>
      <c r="DN565" s="52"/>
      <c r="DO565" s="52"/>
      <c r="DP565" s="52"/>
      <c r="DQ565" s="52"/>
      <c r="DR565" s="52"/>
      <c r="DS565" s="529">
        <f>+DT565</f>
        <v>-0.49830000000000002</v>
      </c>
      <c r="DT565" s="529">
        <f>+Model!DW107</f>
        <v>-0.49830000000000002</v>
      </c>
      <c r="DU565" s="529">
        <f>+Model!DW107</f>
        <v>-0.49830000000000002</v>
      </c>
      <c r="DV565" s="529">
        <f>+Model!DX107</f>
        <v>0</v>
      </c>
      <c r="DW565" s="52"/>
      <c r="DX565" s="52"/>
      <c r="DY565" s="529">
        <f>+Model!$EC$107</f>
        <v>-0.48422999999999999</v>
      </c>
      <c r="DZ565" s="529">
        <f>+Model!$EC$107</f>
        <v>-0.48422999999999999</v>
      </c>
      <c r="EA565" s="529">
        <f>+Model!$EC$107</f>
        <v>-0.48422999999999999</v>
      </c>
      <c r="EB565" s="529">
        <f>+Model!$EC$107</f>
        <v>-0.48422999999999999</v>
      </c>
      <c r="EC565" s="52"/>
      <c r="ED565" s="52"/>
      <c r="EE565" s="529">
        <f>+Model!$EI$107</f>
        <v>0.92676999999999998</v>
      </c>
      <c r="EF565" s="52"/>
      <c r="EG565" s="52"/>
      <c r="EH565" s="52"/>
      <c r="EI565" s="52"/>
      <c r="EJ565" s="52"/>
      <c r="EK565" s="52"/>
      <c r="EL565" s="52"/>
      <c r="EM565" s="52"/>
      <c r="EN565" s="52"/>
      <c r="EO565" s="52"/>
      <c r="EP565" s="52"/>
      <c r="EQ565" s="52"/>
      <c r="ER565" s="52"/>
      <c r="ES565" s="52"/>
      <c r="ET565" s="52"/>
      <c r="EU565" s="52"/>
    </row>
    <row r="566" spans="1:151">
      <c r="A566" s="202"/>
      <c r="B566" s="90"/>
      <c r="C566" s="26"/>
      <c r="D566" s="26"/>
      <c r="E566" s="26"/>
      <c r="F566" s="26"/>
      <c r="G566" s="26"/>
      <c r="H566" s="90"/>
      <c r="I566" s="26"/>
      <c r="J566" s="26"/>
      <c r="K566" s="26"/>
      <c r="L566" s="26"/>
      <c r="M566" s="26"/>
      <c r="N566" s="90"/>
      <c r="O566" s="26"/>
      <c r="P566" s="26"/>
      <c r="Q566" s="26"/>
      <c r="R566" s="26"/>
      <c r="S566" s="26"/>
      <c r="T566" s="90"/>
      <c r="U566" s="26"/>
      <c r="V566" s="26"/>
      <c r="W566" s="26"/>
      <c r="X566" s="26"/>
      <c r="Y566" s="26"/>
      <c r="Z566" s="90"/>
      <c r="AA566" s="26"/>
      <c r="AB566" s="26"/>
      <c r="AC566" s="26"/>
      <c r="AD566" s="26"/>
      <c r="AE566" s="26"/>
      <c r="AF566" s="90"/>
      <c r="AG566" s="26"/>
      <c r="AH566" s="26"/>
      <c r="AI566" s="26"/>
      <c r="AJ566" s="26"/>
      <c r="AK566" s="26"/>
      <c r="AL566" s="90"/>
      <c r="AM566" s="26"/>
      <c r="AN566" s="26"/>
      <c r="AO566" s="90"/>
      <c r="AP566" s="26"/>
      <c r="AQ566" s="26"/>
      <c r="AR566" s="90"/>
      <c r="AS566" s="26"/>
      <c r="AT566" s="26"/>
      <c r="AU566" s="90"/>
      <c r="AV566" s="26"/>
      <c r="AW566" s="26"/>
      <c r="AX566" s="90"/>
      <c r="AY566" s="83"/>
      <c r="AZ566" s="83"/>
      <c r="BA566" s="83"/>
      <c r="BB566" s="104"/>
      <c r="BC566" s="104"/>
      <c r="BD566" s="138"/>
      <c r="BE566" s="104"/>
      <c r="BF566" s="104"/>
      <c r="BG566" s="104"/>
      <c r="BH566" s="83"/>
      <c r="BI566" s="83"/>
      <c r="BJ566" s="138"/>
      <c r="BK566" s="26"/>
      <c r="BL566" s="83"/>
      <c r="BM566" s="26"/>
      <c r="BN566" s="26"/>
      <c r="BO566" s="138"/>
      <c r="BP566" s="138"/>
      <c r="BQ566" s="26"/>
      <c r="BR566" s="26"/>
      <c r="BS566" s="26"/>
      <c r="BT566" s="26"/>
      <c r="BU566" s="26"/>
      <c r="BV566" s="138"/>
      <c r="BW566" s="26"/>
      <c r="BX566" s="26"/>
      <c r="BY566" s="26"/>
      <c r="BZ566" s="26"/>
      <c r="CA566" s="26"/>
      <c r="CB566" s="138"/>
      <c r="CC566" s="26"/>
      <c r="CD566" s="26"/>
      <c r="CE566" s="26"/>
      <c r="CF566" s="26"/>
      <c r="CG566" s="26"/>
      <c r="CH566" s="138"/>
      <c r="CI566" s="26"/>
      <c r="CJ566" s="26"/>
      <c r="CK566" s="83"/>
      <c r="CL566" s="26"/>
      <c r="CM566" s="26"/>
      <c r="CN566" s="138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138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</row>
    <row r="567" spans="1:151" hidden="1" outlineLevel="1">
      <c r="A567" s="202" t="s">
        <v>2077</v>
      </c>
      <c r="B567" s="90"/>
      <c r="C567" s="26"/>
      <c r="D567" s="26"/>
      <c r="E567" s="26"/>
      <c r="F567" s="26"/>
      <c r="G567" s="26"/>
      <c r="H567" s="90"/>
      <c r="I567" s="26"/>
      <c r="J567" s="26"/>
      <c r="K567" s="26"/>
      <c r="L567" s="26"/>
      <c r="M567" s="26"/>
      <c r="N567" s="90"/>
      <c r="O567" s="26"/>
      <c r="P567" s="26"/>
      <c r="Q567" s="26"/>
      <c r="R567" s="26"/>
      <c r="S567" s="26"/>
      <c r="T567" s="90"/>
      <c r="U567" s="26"/>
      <c r="V567" s="26"/>
      <c r="W567" s="26"/>
      <c r="X567" s="26"/>
      <c r="Y567" s="26"/>
      <c r="Z567" s="90"/>
      <c r="AA567" s="26"/>
      <c r="AB567" s="26"/>
      <c r="AC567" s="26"/>
      <c r="AD567" s="26"/>
      <c r="AE567" s="26"/>
      <c r="AF567" s="90"/>
      <c r="AG567" s="26"/>
      <c r="AH567" s="26"/>
      <c r="AI567" s="26"/>
      <c r="AJ567" s="26"/>
      <c r="AK567" s="26"/>
      <c r="AL567" s="90"/>
      <c r="AM567" s="26"/>
      <c r="AN567" s="26"/>
      <c r="AO567" s="90"/>
      <c r="AP567" s="26"/>
      <c r="AQ567" s="26"/>
      <c r="AR567" s="90"/>
      <c r="AS567" s="26"/>
      <c r="AT567" s="26"/>
      <c r="AU567" s="90"/>
      <c r="AV567" s="26"/>
      <c r="AW567" s="26"/>
      <c r="AX567" s="90"/>
      <c r="AY567" s="83"/>
      <c r="AZ567" s="83"/>
      <c r="BA567" s="83"/>
      <c r="BB567" s="104"/>
      <c r="BC567" s="104"/>
      <c r="BD567" s="138"/>
      <c r="BE567" s="104"/>
      <c r="BF567" s="104"/>
      <c r="BG567" s="745">
        <v>2007</v>
      </c>
      <c r="BH567" s="745"/>
      <c r="BI567" s="83"/>
      <c r="BJ567" s="138"/>
      <c r="BK567" s="26"/>
      <c r="BL567" s="745"/>
      <c r="BM567" s="26"/>
      <c r="BN567" s="743">
        <v>2008</v>
      </c>
      <c r="BO567" s="138"/>
      <c r="BP567" s="138"/>
      <c r="BQ567" s="26"/>
      <c r="BR567" s="26"/>
      <c r="BS567" s="26"/>
      <c r="BT567" s="26">
        <v>2009</v>
      </c>
      <c r="BU567" s="26"/>
      <c r="BV567" s="138"/>
      <c r="BW567" s="26"/>
      <c r="BX567" s="26"/>
      <c r="BY567" s="26"/>
      <c r="BZ567" s="26"/>
      <c r="CA567" s="26"/>
      <c r="CB567" s="138"/>
      <c r="CC567" s="26"/>
      <c r="CD567" s="26"/>
      <c r="CE567" s="26"/>
      <c r="CF567" s="26"/>
      <c r="CG567" s="26"/>
      <c r="CH567" s="138"/>
      <c r="CI567" s="26"/>
      <c r="CJ567" s="26"/>
      <c r="CK567" s="83"/>
      <c r="CL567" s="26"/>
      <c r="CM567" s="26"/>
      <c r="CN567" s="138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138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</row>
    <row r="568" spans="1:151" hidden="1" outlineLevel="1">
      <c r="A568" s="202" t="s">
        <v>4596</v>
      </c>
      <c r="B568" s="90"/>
      <c r="C568" s="26"/>
      <c r="D568" s="26"/>
      <c r="E568" s="26"/>
      <c r="F568" s="26"/>
      <c r="G568" s="26"/>
      <c r="H568" s="90"/>
      <c r="I568" s="26"/>
      <c r="J568" s="26"/>
      <c r="K568" s="26"/>
      <c r="L568" s="26"/>
      <c r="M568" s="26"/>
      <c r="N568" s="90"/>
      <c r="O568" s="26"/>
      <c r="P568" s="26"/>
      <c r="Q568" s="26"/>
      <c r="R568" s="26"/>
      <c r="S568" s="26"/>
      <c r="T568" s="90"/>
      <c r="U568" s="26"/>
      <c r="V568" s="26"/>
      <c r="W568" s="26"/>
      <c r="X568" s="26"/>
      <c r="Y568" s="26"/>
      <c r="Z568" s="90"/>
      <c r="AA568" s="26"/>
      <c r="AB568" s="26"/>
      <c r="AC568" s="26"/>
      <c r="AD568" s="26"/>
      <c r="AE568" s="26"/>
      <c r="AF568" s="90"/>
      <c r="AG568" s="26"/>
      <c r="AH568" s="26"/>
      <c r="AI568" s="26"/>
      <c r="AJ568" s="26"/>
      <c r="AK568" s="26"/>
      <c r="AL568" s="90"/>
      <c r="AM568" s="26"/>
      <c r="AN568" s="26"/>
      <c r="AO568" s="90"/>
      <c r="AP568" s="26"/>
      <c r="AQ568" s="26"/>
      <c r="AR568" s="90"/>
      <c r="AS568" s="26"/>
      <c r="AT568" s="26"/>
      <c r="AU568" s="90"/>
      <c r="AV568" s="26"/>
      <c r="AW568" s="26"/>
      <c r="AX568" s="90"/>
      <c r="AY568" s="83"/>
      <c r="AZ568" s="83"/>
      <c r="BA568" s="83"/>
      <c r="BB568" s="104"/>
      <c r="BC568" s="104"/>
      <c r="BD568" s="138"/>
      <c r="BE568" s="104"/>
      <c r="BF568" s="104"/>
      <c r="BG568" s="62">
        <f>BG528*1.1</f>
        <v>1662.1000000000001</v>
      </c>
      <c r="BH568" s="62"/>
      <c r="BI568" s="83"/>
      <c r="BJ568" s="138"/>
      <c r="BK568" s="26"/>
      <c r="BL568" s="62"/>
      <c r="BM568" s="26"/>
      <c r="BN568" s="26">
        <v>2075</v>
      </c>
      <c r="BO568" s="138"/>
      <c r="BP568" s="138"/>
      <c r="BQ568" s="26"/>
      <c r="BR568" s="26"/>
      <c r="BS568" s="26"/>
      <c r="BT568" s="26">
        <v>2425</v>
      </c>
      <c r="BU568" s="26"/>
      <c r="BV568" s="138"/>
      <c r="BW568" s="26"/>
      <c r="BX568" s="26"/>
      <c r="BY568" s="26"/>
      <c r="BZ568" s="26"/>
      <c r="CA568" s="26"/>
      <c r="CB568" s="138"/>
      <c r="CC568" s="26"/>
      <c r="CD568" s="26"/>
      <c r="CE568" s="26"/>
      <c r="CF568" s="26"/>
      <c r="CG568" s="26"/>
      <c r="CH568" s="138"/>
      <c r="CI568" s="26"/>
      <c r="CJ568" s="26"/>
      <c r="CK568" s="83"/>
      <c r="CL568" s="26"/>
      <c r="CM568" s="26"/>
      <c r="CN568" s="138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138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</row>
    <row r="569" spans="1:151" hidden="1" outlineLevel="1">
      <c r="A569" s="202" t="s">
        <v>4595</v>
      </c>
      <c r="B569" s="90"/>
      <c r="C569" s="26"/>
      <c r="D569" s="26"/>
      <c r="E569" s="26"/>
      <c r="F569" s="26"/>
      <c r="G569" s="26"/>
      <c r="H569" s="90"/>
      <c r="I569" s="26"/>
      <c r="J569" s="26"/>
      <c r="K569" s="26"/>
      <c r="L569" s="26"/>
      <c r="M569" s="26"/>
      <c r="N569" s="90"/>
      <c r="O569" s="26"/>
      <c r="P569" s="26"/>
      <c r="Q569" s="26"/>
      <c r="R569" s="26"/>
      <c r="S569" s="26"/>
      <c r="T569" s="90"/>
      <c r="U569" s="26"/>
      <c r="V569" s="26"/>
      <c r="W569" s="26"/>
      <c r="X569" s="26"/>
      <c r="Y569" s="26"/>
      <c r="Z569" s="90"/>
      <c r="AA569" s="26"/>
      <c r="AB569" s="26"/>
      <c r="AC569" s="26"/>
      <c r="AD569" s="26"/>
      <c r="AE569" s="26"/>
      <c r="AF569" s="90"/>
      <c r="AG569" s="26"/>
      <c r="AH569" s="26"/>
      <c r="AI569" s="26"/>
      <c r="AJ569" s="26"/>
      <c r="AK569" s="26"/>
      <c r="AL569" s="90"/>
      <c r="AM569" s="26"/>
      <c r="AN569" s="26"/>
      <c r="AO569" s="90"/>
      <c r="AP569" s="26"/>
      <c r="AQ569" s="26"/>
      <c r="AR569" s="90"/>
      <c r="AS569" s="26"/>
      <c r="AT569" s="26"/>
      <c r="AU569" s="90"/>
      <c r="AV569" s="26"/>
      <c r="AW569" s="26"/>
      <c r="AX569" s="90"/>
      <c r="AY569" s="83"/>
      <c r="AZ569" s="83"/>
      <c r="BA569" s="83"/>
      <c r="BB569" s="104"/>
      <c r="BC569" s="104"/>
      <c r="BD569" s="138"/>
      <c r="BE569" s="104"/>
      <c r="BF569" s="104"/>
      <c r="BG569" s="62">
        <f>BG529*1.12</f>
        <v>1703.5200000000002</v>
      </c>
      <c r="BH569" s="62"/>
      <c r="BI569" s="83"/>
      <c r="BJ569" s="138"/>
      <c r="BK569" s="26"/>
      <c r="BL569" s="62"/>
      <c r="BM569" s="26"/>
      <c r="BN569" s="26">
        <v>2125</v>
      </c>
      <c r="BO569" s="138"/>
      <c r="BP569" s="138"/>
      <c r="BQ569" s="26"/>
      <c r="BR569" s="26"/>
      <c r="BS569" s="26"/>
      <c r="BT569" s="26">
        <v>2475</v>
      </c>
      <c r="BU569" s="26"/>
      <c r="BV569" s="138"/>
      <c r="BW569" s="26"/>
      <c r="BX569" s="26"/>
      <c r="BY569" s="26"/>
      <c r="BZ569" s="26"/>
      <c r="CA569" s="26"/>
      <c r="CB569" s="138"/>
      <c r="CC569" s="26"/>
      <c r="CD569" s="26"/>
      <c r="CE569" s="26"/>
      <c r="CF569" s="26"/>
      <c r="CG569" s="26"/>
      <c r="CH569" s="138"/>
      <c r="CI569" s="26"/>
      <c r="CJ569" s="26"/>
      <c r="CK569" s="83"/>
      <c r="CL569" s="26"/>
      <c r="CM569" s="26"/>
      <c r="CN569" s="138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138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</row>
    <row r="570" spans="1:151" hidden="1" outlineLevel="1">
      <c r="A570" s="203" t="s">
        <v>4597</v>
      </c>
      <c r="B570" s="90"/>
      <c r="C570" s="26"/>
      <c r="D570" s="26"/>
      <c r="E570" s="26"/>
      <c r="F570" s="26"/>
      <c r="G570" s="26"/>
      <c r="H570" s="90"/>
      <c r="I570" s="26"/>
      <c r="J570" s="26"/>
      <c r="K570" s="26"/>
      <c r="L570" s="26"/>
      <c r="M570" s="26"/>
      <c r="N570" s="90"/>
      <c r="O570" s="26"/>
      <c r="P570" s="26"/>
      <c r="Q570" s="26"/>
      <c r="R570" s="26"/>
      <c r="S570" s="26"/>
      <c r="T570" s="90"/>
      <c r="U570" s="26"/>
      <c r="V570" s="26"/>
      <c r="W570" s="26"/>
      <c r="X570" s="26"/>
      <c r="Y570" s="26"/>
      <c r="Z570" s="90"/>
      <c r="AA570" s="26"/>
      <c r="AB570" s="26"/>
      <c r="AC570" s="26"/>
      <c r="AD570" s="26"/>
      <c r="AE570" s="26"/>
      <c r="AF570" s="90"/>
      <c r="AG570" s="26"/>
      <c r="AH570" s="26"/>
      <c r="AI570" s="26"/>
      <c r="AJ570" s="26"/>
      <c r="AK570" s="26"/>
      <c r="AL570" s="90"/>
      <c r="AM570" s="26"/>
      <c r="AN570" s="26"/>
      <c r="AO570" s="90"/>
      <c r="AP570" s="26"/>
      <c r="AQ570" s="26"/>
      <c r="AR570" s="90"/>
      <c r="AS570" s="26"/>
      <c r="AT570" s="26"/>
      <c r="AU570" s="90"/>
      <c r="AV570" s="26"/>
      <c r="AW570" s="26"/>
      <c r="AX570" s="90"/>
      <c r="AY570" s="83"/>
      <c r="AZ570" s="83"/>
      <c r="BA570" s="83"/>
      <c r="BB570" s="104"/>
      <c r="BC570" s="104"/>
      <c r="BD570" s="138"/>
      <c r="BE570" s="104"/>
      <c r="BF570" s="104"/>
      <c r="BG570" s="742">
        <f>Model!BO31</f>
        <v>1839.8000000000002</v>
      </c>
      <c r="BH570" s="742"/>
      <c r="BI570" s="83"/>
      <c r="BJ570" s="138"/>
      <c r="BK570" s="26"/>
      <c r="BL570" s="742"/>
      <c r="BM570" s="26"/>
      <c r="BN570" s="80">
        <f>Model!$BU31</f>
        <v>2172</v>
      </c>
      <c r="BO570" s="138"/>
      <c r="BP570" s="138"/>
      <c r="BQ570" s="80">
        <f>Model!$CA31</f>
        <v>2315.2000000000003</v>
      </c>
      <c r="BR570" s="80">
        <f>Model!$CA31</f>
        <v>2315.2000000000003</v>
      </c>
      <c r="BS570" s="80">
        <f>Model!$CA31</f>
        <v>2315.2000000000003</v>
      </c>
      <c r="BT570" s="80">
        <f>Model!$CA31</f>
        <v>2315.2000000000003</v>
      </c>
      <c r="BU570" s="26"/>
      <c r="BV570" s="138"/>
      <c r="BW570" s="26"/>
      <c r="BX570" s="26"/>
      <c r="BY570" s="26"/>
      <c r="BZ570" s="26"/>
      <c r="CA570" s="26"/>
      <c r="CB570" s="138"/>
      <c r="CC570" s="26"/>
      <c r="CD570" s="26"/>
      <c r="CE570" s="26"/>
      <c r="CF570" s="26"/>
      <c r="CG570" s="26"/>
      <c r="CH570" s="138"/>
      <c r="CI570" s="26"/>
      <c r="CJ570" s="26"/>
      <c r="CK570" s="83"/>
      <c r="CL570" s="26"/>
      <c r="CM570" s="26"/>
      <c r="CN570" s="138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138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</row>
    <row r="571" spans="1:151" hidden="1" outlineLevel="1">
      <c r="A571" s="203"/>
      <c r="B571" s="90"/>
      <c r="C571" s="26"/>
      <c r="D571" s="26"/>
      <c r="E571" s="26"/>
      <c r="F571" s="26"/>
      <c r="G571" s="26"/>
      <c r="H571" s="90"/>
      <c r="I571" s="26"/>
      <c r="J571" s="26"/>
      <c r="K571" s="26"/>
      <c r="L571" s="26"/>
      <c r="M571" s="26"/>
      <c r="N571" s="90"/>
      <c r="O571" s="26"/>
      <c r="P571" s="26"/>
      <c r="Q571" s="26"/>
      <c r="R571" s="26"/>
      <c r="S571" s="26"/>
      <c r="T571" s="90"/>
      <c r="U571" s="26"/>
      <c r="V571" s="26"/>
      <c r="W571" s="26"/>
      <c r="X571" s="26"/>
      <c r="Y571" s="26"/>
      <c r="Z571" s="90"/>
      <c r="AA571" s="26"/>
      <c r="AB571" s="26"/>
      <c r="AC571" s="26"/>
      <c r="AD571" s="26"/>
      <c r="AE571" s="26"/>
      <c r="AF571" s="90"/>
      <c r="AG571" s="26"/>
      <c r="AH571" s="26"/>
      <c r="AI571" s="26"/>
      <c r="AJ571" s="26"/>
      <c r="AK571" s="26"/>
      <c r="AL571" s="90"/>
      <c r="AM571" s="26"/>
      <c r="AN571" s="26"/>
      <c r="AO571" s="90"/>
      <c r="AP571" s="26"/>
      <c r="AQ571" s="26"/>
      <c r="AR571" s="90"/>
      <c r="AS571" s="26"/>
      <c r="AT571" s="26"/>
      <c r="AU571" s="90"/>
      <c r="AV571" s="26"/>
      <c r="AW571" s="26"/>
      <c r="AX571" s="90"/>
      <c r="AY571" s="83"/>
      <c r="AZ571" s="83"/>
      <c r="BA571" s="83"/>
      <c r="BB571" s="104"/>
      <c r="BC571" s="104"/>
      <c r="BD571" s="138"/>
      <c r="BE571" s="104"/>
      <c r="BF571" s="104"/>
      <c r="BG571" s="104"/>
      <c r="BH571" s="83"/>
      <c r="BI571" s="83"/>
      <c r="BJ571" s="138"/>
      <c r="BK571" s="26"/>
      <c r="BL571" s="83"/>
      <c r="BM571" s="26"/>
      <c r="BN571" s="26"/>
      <c r="BO571" s="138"/>
      <c r="BP571" s="138"/>
      <c r="BQ571" s="26"/>
      <c r="BR571" s="26"/>
      <c r="BS571" s="26"/>
      <c r="BT571" s="26"/>
      <c r="BU571" s="26"/>
      <c r="BV571" s="138"/>
      <c r="BW571" s="26"/>
      <c r="BX571" s="26"/>
      <c r="BY571" s="26"/>
      <c r="BZ571" s="26"/>
      <c r="CA571" s="26"/>
      <c r="CB571" s="138"/>
      <c r="CC571" s="26"/>
      <c r="CD571" s="26"/>
      <c r="CE571" s="26"/>
      <c r="CF571" s="26"/>
      <c r="CG571" s="26"/>
      <c r="CH571" s="138"/>
      <c r="CI571" s="26"/>
      <c r="CJ571" s="26"/>
      <c r="CK571" s="83"/>
      <c r="CL571" s="26"/>
      <c r="CM571" s="26"/>
      <c r="CN571" s="138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138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</row>
    <row r="572" spans="1:151" hidden="1" outlineLevel="1">
      <c r="A572" s="202" t="s">
        <v>6021</v>
      </c>
      <c r="B572" s="90"/>
      <c r="C572" s="26"/>
      <c r="D572" s="26"/>
      <c r="E572" s="26"/>
      <c r="F572" s="26"/>
      <c r="G572" s="26"/>
      <c r="H572" s="90"/>
      <c r="I572" s="26"/>
      <c r="J572" s="26"/>
      <c r="K572" s="26"/>
      <c r="L572" s="26"/>
      <c r="M572" s="26"/>
      <c r="N572" s="90"/>
      <c r="O572" s="26"/>
      <c r="P572" s="26"/>
      <c r="Q572" s="26"/>
      <c r="R572" s="26"/>
      <c r="S572" s="26"/>
      <c r="T572" s="90"/>
      <c r="U572" s="26"/>
      <c r="V572" s="26"/>
      <c r="W572" s="26"/>
      <c r="X572" s="26"/>
      <c r="Y572" s="26"/>
      <c r="Z572" s="90"/>
      <c r="AA572" s="26"/>
      <c r="AB572" s="26"/>
      <c r="AC572" s="26"/>
      <c r="AD572" s="26"/>
      <c r="AE572" s="26"/>
      <c r="AF572" s="90"/>
      <c r="AG572" s="26"/>
      <c r="AH572" s="26"/>
      <c r="AI572" s="26"/>
      <c r="AJ572" s="26"/>
      <c r="AK572" s="26"/>
      <c r="AL572" s="90"/>
      <c r="AM572" s="26"/>
      <c r="AN572" s="26"/>
      <c r="AO572" s="90"/>
      <c r="AP572" s="26"/>
      <c r="AQ572" s="26"/>
      <c r="AR572" s="90"/>
      <c r="AS572" s="26"/>
      <c r="AT572" s="26"/>
      <c r="AU572" s="90"/>
      <c r="AV572" s="26"/>
      <c r="AW572" s="26"/>
      <c r="AX572" s="90"/>
      <c r="AY572" s="83"/>
      <c r="AZ572" s="83"/>
      <c r="BA572" s="83"/>
      <c r="BB572" s="104"/>
      <c r="BC572" s="104"/>
      <c r="BD572" s="138"/>
      <c r="BE572" s="104"/>
      <c r="BF572" s="104"/>
      <c r="BG572" s="104"/>
      <c r="BH572" s="83">
        <v>2007</v>
      </c>
      <c r="BI572" s="83"/>
      <c r="BJ572" s="138"/>
      <c r="BK572" s="26"/>
      <c r="BL572" s="83">
        <v>2007</v>
      </c>
      <c r="BM572" s="26"/>
      <c r="BN572" s="26"/>
      <c r="BO572" s="138"/>
      <c r="BP572" s="138"/>
      <c r="BQ572" s="26"/>
      <c r="BR572" s="26"/>
      <c r="BS572" s="743">
        <v>2008</v>
      </c>
      <c r="BT572" s="743">
        <v>2008</v>
      </c>
      <c r="BU572" s="26"/>
      <c r="BV572" s="138"/>
      <c r="BW572" s="743">
        <v>2009</v>
      </c>
      <c r="BX572" s="743">
        <v>2009</v>
      </c>
      <c r="BY572" s="743">
        <v>2009</v>
      </c>
      <c r="BZ572" s="26"/>
      <c r="CA572" s="26"/>
      <c r="CB572" s="138"/>
      <c r="CC572" s="26"/>
      <c r="CD572" s="26"/>
      <c r="CE572" s="26"/>
      <c r="CF572" s="26"/>
      <c r="CG572" s="26"/>
      <c r="CH572" s="138"/>
      <c r="CI572" s="26"/>
      <c r="CJ572" s="26"/>
      <c r="CK572" s="83"/>
      <c r="CL572" s="26"/>
      <c r="CM572" s="26"/>
      <c r="CN572" s="138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138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</row>
    <row r="573" spans="1:151" hidden="1" outlineLevel="1">
      <c r="A573" s="202" t="s">
        <v>4596</v>
      </c>
      <c r="B573" s="90"/>
      <c r="C573" s="26"/>
      <c r="D573" s="26"/>
      <c r="E573" s="26"/>
      <c r="F573" s="26"/>
      <c r="G573" s="26"/>
      <c r="H573" s="90"/>
      <c r="I573" s="26"/>
      <c r="J573" s="26"/>
      <c r="K573" s="26"/>
      <c r="L573" s="26"/>
      <c r="M573" s="26"/>
      <c r="N573" s="90"/>
      <c r="O573" s="26"/>
      <c r="P573" s="26"/>
      <c r="Q573" s="26"/>
      <c r="R573" s="26"/>
      <c r="S573" s="26"/>
      <c r="T573" s="90"/>
      <c r="U573" s="26"/>
      <c r="V573" s="26"/>
      <c r="W573" s="26"/>
      <c r="X573" s="26"/>
      <c r="Y573" s="26"/>
      <c r="Z573" s="90"/>
      <c r="AA573" s="26"/>
      <c r="AB573" s="26"/>
      <c r="AC573" s="26"/>
      <c r="AD573" s="26"/>
      <c r="AE573" s="26"/>
      <c r="AF573" s="90"/>
      <c r="AG573" s="26"/>
      <c r="AH573" s="26"/>
      <c r="AI573" s="26"/>
      <c r="AJ573" s="26"/>
      <c r="AK573" s="26"/>
      <c r="AL573" s="90"/>
      <c r="AM573" s="26"/>
      <c r="AN573" s="26"/>
      <c r="AO573" s="90"/>
      <c r="AP573" s="26"/>
      <c r="AQ573" s="26"/>
      <c r="AR573" s="90"/>
      <c r="AS573" s="108"/>
      <c r="AT573" s="26"/>
      <c r="AU573" s="90"/>
      <c r="AV573" s="36"/>
      <c r="AW573" s="26"/>
      <c r="AX573" s="90"/>
      <c r="AY573" s="274">
        <f>1.29/2</f>
        <v>0.64500000000000002</v>
      </c>
      <c r="AZ573" s="109">
        <f>1.48/2</f>
        <v>0.74</v>
      </c>
      <c r="BA573" s="109">
        <v>0.88</v>
      </c>
      <c r="BB573" s="498">
        <v>1.05</v>
      </c>
      <c r="BC573" s="104"/>
      <c r="BD573" s="138"/>
      <c r="BE573" s="104">
        <v>1.1399999999999999</v>
      </c>
      <c r="BF573" s="109">
        <v>1.2</v>
      </c>
      <c r="BG573" s="104">
        <v>1.32</v>
      </c>
      <c r="BH573" s="83">
        <v>1.1200000000000001</v>
      </c>
      <c r="BI573" s="83"/>
      <c r="BJ573" s="138"/>
      <c r="BK573" s="26"/>
      <c r="BL573" s="83">
        <v>1.07</v>
      </c>
      <c r="BM573" s="26"/>
      <c r="BN573" s="26"/>
      <c r="BO573" s="138"/>
      <c r="BP573" s="138"/>
      <c r="BQ573" s="26"/>
      <c r="BR573" s="26"/>
      <c r="BS573" s="26">
        <v>1.48</v>
      </c>
      <c r="BT573" s="36">
        <v>1.5</v>
      </c>
      <c r="BU573" s="26"/>
      <c r="BV573" s="138"/>
      <c r="BW573" s="26">
        <v>1.75</v>
      </c>
      <c r="BX573" s="26">
        <v>1.78</v>
      </c>
      <c r="BY573" s="26">
        <v>1.72</v>
      </c>
      <c r="BZ573" s="26"/>
      <c r="CA573" s="26"/>
      <c r="CB573" s="138"/>
      <c r="CC573" s="26"/>
      <c r="CD573" s="26"/>
      <c r="CE573" s="26">
        <v>0.11</v>
      </c>
      <c r="CF573" s="26"/>
      <c r="CG573" s="26"/>
      <c r="CH573" s="138"/>
      <c r="CI573" s="26"/>
      <c r="CJ573" s="26"/>
      <c r="CK573" s="83"/>
      <c r="CL573" s="26"/>
      <c r="CM573" s="26"/>
      <c r="CN573" s="138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138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>
        <v>-2.65</v>
      </c>
      <c r="DZ573" s="90"/>
      <c r="EA573" s="90">
        <v>-2.98</v>
      </c>
      <c r="EB573" s="90"/>
      <c r="EC573" s="90"/>
      <c r="ED573" s="90"/>
      <c r="EE573" s="90">
        <v>-0.92</v>
      </c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</row>
    <row r="574" spans="1:151" hidden="1" outlineLevel="1">
      <c r="A574" s="202" t="s">
        <v>4595</v>
      </c>
      <c r="B574" s="90"/>
      <c r="C574" s="26"/>
      <c r="D574" s="26"/>
      <c r="E574" s="26"/>
      <c r="F574" s="26"/>
      <c r="G574" s="26"/>
      <c r="H574" s="90"/>
      <c r="I574" s="26"/>
      <c r="J574" s="26"/>
      <c r="K574" s="26"/>
      <c r="L574" s="26"/>
      <c r="M574" s="26"/>
      <c r="N574" s="90"/>
      <c r="O574" s="26"/>
      <c r="P574" s="26"/>
      <c r="Q574" s="26"/>
      <c r="R574" s="26"/>
      <c r="S574" s="26"/>
      <c r="T574" s="90"/>
      <c r="U574" s="26"/>
      <c r="V574" s="26"/>
      <c r="W574" s="26"/>
      <c r="X574" s="26"/>
      <c r="Y574" s="26"/>
      <c r="Z574" s="90"/>
      <c r="AA574" s="26"/>
      <c r="AB574" s="26"/>
      <c r="AC574" s="26"/>
      <c r="AD574" s="26"/>
      <c r="AE574" s="26"/>
      <c r="AF574" s="90"/>
      <c r="AG574" s="26"/>
      <c r="AH574" s="26"/>
      <c r="AI574" s="26"/>
      <c r="AJ574" s="26"/>
      <c r="AK574" s="26"/>
      <c r="AL574" s="90"/>
      <c r="AM574" s="26"/>
      <c r="AN574" s="26"/>
      <c r="AO574" s="90"/>
      <c r="AP574" s="26"/>
      <c r="AQ574" s="26"/>
      <c r="AR574" s="90"/>
      <c r="AS574" s="108"/>
      <c r="AT574" s="26"/>
      <c r="AU574" s="90"/>
      <c r="AV574" s="36"/>
      <c r="AW574" s="26"/>
      <c r="AX574" s="90"/>
      <c r="AY574" s="274">
        <f>1.36/2</f>
        <v>0.68</v>
      </c>
      <c r="AZ574" s="109">
        <f>1.52/2</f>
        <v>0.76</v>
      </c>
      <c r="BA574" s="109">
        <v>0.91</v>
      </c>
      <c r="BB574" s="498">
        <v>1.1000000000000001</v>
      </c>
      <c r="BC574" s="104"/>
      <c r="BD574" s="138"/>
      <c r="BE574" s="104">
        <v>1.19</v>
      </c>
      <c r="BF574" s="104">
        <v>1.25</v>
      </c>
      <c r="BG574" s="104">
        <v>1.34</v>
      </c>
      <c r="BH574" s="83">
        <v>1.1599999999999999</v>
      </c>
      <c r="BI574" s="83"/>
      <c r="BJ574" s="138"/>
      <c r="BK574" s="26"/>
      <c r="BL574" s="83">
        <v>1.1499999999999999</v>
      </c>
      <c r="BM574" s="26"/>
      <c r="BN574" s="26"/>
      <c r="BO574" s="138"/>
      <c r="BP574" s="138"/>
      <c r="BQ574" s="26"/>
      <c r="BR574" s="26"/>
      <c r="BS574" s="26">
        <v>1.52</v>
      </c>
      <c r="BT574" s="26">
        <v>1.52</v>
      </c>
      <c r="BU574" s="26"/>
      <c r="BV574" s="138"/>
      <c r="BW574" s="26">
        <v>1.85</v>
      </c>
      <c r="BX574" s="26">
        <v>1.88</v>
      </c>
      <c r="BY574" s="26">
        <v>1.78</v>
      </c>
      <c r="BZ574" s="26"/>
      <c r="CA574" s="26"/>
      <c r="CB574" s="138"/>
      <c r="CC574" s="26"/>
      <c r="CD574" s="26"/>
      <c r="CE574" s="26">
        <v>0.16</v>
      </c>
      <c r="CF574" s="26"/>
      <c r="CG574" s="26"/>
      <c r="CH574" s="138"/>
      <c r="CI574" s="26"/>
      <c r="CJ574" s="26"/>
      <c r="CK574" s="83"/>
      <c r="CL574" s="26"/>
      <c r="CM574" s="26"/>
      <c r="CN574" s="138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138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108">
        <v>-2.4</v>
      </c>
      <c r="DZ574" s="90"/>
      <c r="EA574" s="108">
        <v>-2.93</v>
      </c>
      <c r="EB574" s="90"/>
      <c r="EC574" s="90"/>
      <c r="ED574" s="90"/>
      <c r="EE574" s="108">
        <v>-0.74</v>
      </c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</row>
    <row r="575" spans="1:151" hidden="1" outlineLevel="1">
      <c r="A575" s="203" t="s">
        <v>4597</v>
      </c>
      <c r="B575" s="52"/>
      <c r="C575" s="30"/>
      <c r="D575" s="30"/>
      <c r="E575" s="30"/>
      <c r="F575" s="30"/>
      <c r="G575" s="30"/>
      <c r="H575" s="52"/>
      <c r="I575" s="30"/>
      <c r="J575" s="30"/>
      <c r="K575" s="30"/>
      <c r="L575" s="30"/>
      <c r="M575" s="30"/>
      <c r="N575" s="52"/>
      <c r="O575" s="30"/>
      <c r="P575" s="30"/>
      <c r="Q575" s="30"/>
      <c r="R575" s="30"/>
      <c r="S575" s="30"/>
      <c r="T575" s="52"/>
      <c r="U575" s="30"/>
      <c r="V575" s="30"/>
      <c r="W575" s="30"/>
      <c r="X575" s="30"/>
      <c r="Y575" s="30"/>
      <c r="Z575" s="52"/>
      <c r="AA575" s="30"/>
      <c r="AB575" s="30"/>
      <c r="AC575" s="30"/>
      <c r="AD575" s="30"/>
      <c r="AE575" s="30"/>
      <c r="AF575" s="52"/>
      <c r="AG575" s="30"/>
      <c r="AH575" s="30"/>
      <c r="AI575" s="30"/>
      <c r="AJ575" s="30"/>
      <c r="AK575" s="30"/>
      <c r="AL575" s="52"/>
      <c r="AM575" s="30"/>
      <c r="AN575" s="30"/>
      <c r="AO575" s="52"/>
      <c r="AP575" s="30"/>
      <c r="AQ575" s="529">
        <f>Model!AQ150</f>
        <v>0.1385937323521492</v>
      </c>
      <c r="AR575" s="52"/>
      <c r="AS575" s="30"/>
      <c r="AT575" s="30"/>
      <c r="AU575" s="52"/>
      <c r="AV575" s="30"/>
      <c r="AW575" s="529">
        <f>Model!AW150</f>
        <v>0.52016394009615086</v>
      </c>
      <c r="AX575" s="52"/>
      <c r="AY575" s="272"/>
      <c r="AZ575" s="272"/>
      <c r="BA575" s="272"/>
      <c r="BB575" s="742"/>
      <c r="BC575" s="700">
        <f>Model!BC150</f>
        <v>0.89556112512501163</v>
      </c>
      <c r="BD575" s="57"/>
      <c r="BE575" s="700">
        <f>Model!$BI150</f>
        <v>1.3370741482965931</v>
      </c>
      <c r="BF575" s="700">
        <f>Model!$BI150</f>
        <v>1.3370741482965931</v>
      </c>
      <c r="BG575" s="700">
        <f>Model!$BI150</f>
        <v>1.3370741482965931</v>
      </c>
      <c r="BH575" s="700">
        <f>Model!$BO150</f>
        <v>1.1913378184988401</v>
      </c>
      <c r="BI575" s="272"/>
      <c r="BJ575" s="57"/>
      <c r="BK575" s="30"/>
      <c r="BL575" s="700">
        <f>Model!$BO150</f>
        <v>1.1913378184988401</v>
      </c>
      <c r="BM575" s="30"/>
      <c r="BN575" s="30"/>
      <c r="BO575" s="57"/>
      <c r="BP575" s="57"/>
      <c r="BQ575" s="30"/>
      <c r="BR575" s="30"/>
      <c r="BS575" s="700">
        <f>Model!$BU150</f>
        <v>1.4688114667909236</v>
      </c>
      <c r="BT575" s="700">
        <f>Model!$BU150</f>
        <v>1.4688114667909236</v>
      </c>
      <c r="BU575" s="30"/>
      <c r="BV575" s="57"/>
      <c r="BW575" s="896">
        <f>Model!$BU107</f>
        <v>1.8824000000000001</v>
      </c>
      <c r="BX575" s="896">
        <f>Model!$BU107</f>
        <v>1.8824000000000001</v>
      </c>
      <c r="BY575" s="896">
        <f>Model!$BU107</f>
        <v>1.8824000000000001</v>
      </c>
      <c r="BZ575" s="30"/>
      <c r="CA575" s="30"/>
      <c r="CB575" s="57"/>
      <c r="CC575" s="30"/>
      <c r="CD575" s="30"/>
      <c r="CE575" s="896">
        <f>Model!CG150</f>
        <v>0.24986537425955788</v>
      </c>
      <c r="CF575" s="30"/>
      <c r="CG575" s="30"/>
      <c r="CH575" s="57"/>
      <c r="CI575" s="30"/>
      <c r="CJ575" s="30"/>
      <c r="CK575" s="272"/>
      <c r="CL575" s="30"/>
      <c r="CM575" s="30"/>
      <c r="CN575" s="57"/>
      <c r="CO575" s="52"/>
      <c r="CP575" s="52"/>
      <c r="CQ575" s="52"/>
      <c r="CR575" s="52"/>
      <c r="CS575" s="52"/>
      <c r="CT575" s="52"/>
      <c r="CU575" s="52"/>
      <c r="CV575" s="52"/>
      <c r="CW575" s="52"/>
      <c r="CX575" s="52"/>
      <c r="CY575" s="52"/>
      <c r="CZ575" s="52"/>
      <c r="DA575" s="52"/>
      <c r="DB575" s="52"/>
      <c r="DC575" s="52"/>
      <c r="DD575" s="52"/>
      <c r="DE575" s="52"/>
      <c r="DF575" s="52"/>
      <c r="DG575" s="52"/>
      <c r="DH575" s="52"/>
      <c r="DI575" s="52"/>
      <c r="DJ575" s="52"/>
      <c r="DK575" s="52"/>
      <c r="DL575" s="57"/>
      <c r="DM575" s="52"/>
      <c r="DN575" s="52"/>
      <c r="DO575" s="52"/>
      <c r="DP575" s="52"/>
      <c r="DQ575" s="52"/>
      <c r="DR575" s="52"/>
      <c r="DS575" s="52"/>
      <c r="DT575" s="52"/>
      <c r="DU575" s="52"/>
      <c r="DV575" s="52"/>
      <c r="DW575" s="52"/>
      <c r="DX575" s="52"/>
      <c r="DY575" s="529">
        <f>Model!EC150</f>
        <v>-2.582393804805831</v>
      </c>
      <c r="DZ575" s="52"/>
      <c r="EA575" s="529">
        <f>Model!EC150</f>
        <v>-2.582393804805831</v>
      </c>
      <c r="EB575" s="52"/>
      <c r="EC575" s="52"/>
      <c r="ED575" s="52"/>
      <c r="EE575" s="529">
        <f>Model!EI150</f>
        <v>-0.75795862342552989</v>
      </c>
      <c r="EF575" s="52"/>
      <c r="EG575" s="52"/>
      <c r="EH575" s="52"/>
      <c r="EI575" s="52"/>
      <c r="EJ575" s="52"/>
      <c r="EK575" s="52"/>
      <c r="EL575" s="52"/>
      <c r="EM575" s="52"/>
      <c r="EN575" s="52"/>
      <c r="EO575" s="52"/>
      <c r="EP575" s="52"/>
      <c r="EQ575" s="52"/>
      <c r="ER575" s="52"/>
      <c r="ES575" s="52"/>
      <c r="ET575" s="52"/>
      <c r="EU575" s="52"/>
    </row>
    <row r="576" spans="1:151" hidden="1" outlineLevel="1">
      <c r="A576" s="202"/>
      <c r="B576" s="90"/>
      <c r="C576" s="26"/>
      <c r="D576" s="26"/>
      <c r="E576" s="26"/>
      <c r="F576" s="26"/>
      <c r="G576" s="26"/>
      <c r="H576" s="90"/>
      <c r="I576" s="26"/>
      <c r="J576" s="26"/>
      <c r="K576" s="26"/>
      <c r="L576" s="26"/>
      <c r="M576" s="26"/>
      <c r="N576" s="90"/>
      <c r="O576" s="26"/>
      <c r="P576" s="26"/>
      <c r="Q576" s="26"/>
      <c r="R576" s="26"/>
      <c r="S576" s="26"/>
      <c r="T576" s="90"/>
      <c r="U576" s="26"/>
      <c r="V576" s="26"/>
      <c r="W576" s="26"/>
      <c r="X576" s="26"/>
      <c r="Y576" s="26"/>
      <c r="Z576" s="90"/>
      <c r="AA576" s="26"/>
      <c r="AB576" s="26"/>
      <c r="AC576" s="26"/>
      <c r="AD576" s="26"/>
      <c r="AE576" s="26"/>
      <c r="AF576" s="90"/>
      <c r="AG576" s="26"/>
      <c r="AH576" s="26"/>
      <c r="AI576" s="26"/>
      <c r="AJ576" s="26"/>
      <c r="AK576" s="26"/>
      <c r="AL576" s="90"/>
      <c r="AM576" s="26"/>
      <c r="AN576" s="26"/>
      <c r="AO576" s="90"/>
      <c r="AP576" s="26"/>
      <c r="AQ576" s="26"/>
      <c r="AR576" s="90"/>
      <c r="AS576" s="26"/>
      <c r="AT576" s="26"/>
      <c r="AU576" s="90"/>
      <c r="AV576" s="26"/>
      <c r="AW576" s="26"/>
      <c r="AX576" s="90"/>
      <c r="AY576" s="83"/>
      <c r="AZ576" s="83"/>
      <c r="BA576" s="83"/>
      <c r="BB576" s="104"/>
      <c r="BC576" s="104"/>
      <c r="BD576" s="138"/>
      <c r="BE576" s="104"/>
      <c r="BF576" s="104"/>
      <c r="BG576" s="104"/>
      <c r="BH576" s="83"/>
      <c r="BI576" s="83"/>
      <c r="BJ576" s="138"/>
      <c r="BK576" s="26"/>
      <c r="BL576" s="83"/>
      <c r="BM576" s="26"/>
      <c r="BN576" s="26"/>
      <c r="BO576" s="138"/>
      <c r="BP576" s="138"/>
      <c r="BQ576" s="26"/>
      <c r="BR576" s="26"/>
      <c r="BS576" s="26"/>
      <c r="BT576" s="26"/>
      <c r="BU576" s="26"/>
      <c r="BV576" s="138"/>
      <c r="BW576" s="26"/>
      <c r="BX576" s="26"/>
      <c r="BY576" s="26"/>
      <c r="BZ576" s="26"/>
      <c r="CA576" s="26"/>
      <c r="CB576" s="138"/>
      <c r="CC576" s="26"/>
      <c r="CD576" s="26"/>
      <c r="CE576" s="26"/>
      <c r="CF576" s="26"/>
      <c r="CG576" s="26"/>
      <c r="CH576" s="138"/>
      <c r="CI576" s="26"/>
      <c r="CJ576" s="26"/>
      <c r="CK576" s="83"/>
      <c r="CL576" s="26"/>
      <c r="CM576" s="26"/>
      <c r="CN576" s="138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138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</row>
    <row r="577" spans="1:151" hidden="1" outlineLevel="1">
      <c r="A577" s="202" t="s">
        <v>5649</v>
      </c>
      <c r="B577" s="90"/>
      <c r="C577" s="26"/>
      <c r="D577" s="26"/>
      <c r="E577" s="26"/>
      <c r="F577" s="26"/>
      <c r="G577" s="26"/>
      <c r="H577" s="90"/>
      <c r="I577" s="26"/>
      <c r="J577" s="26"/>
      <c r="K577" s="26"/>
      <c r="L577" s="26"/>
      <c r="M577" s="26"/>
      <c r="N577" s="90"/>
      <c r="O577" s="26"/>
      <c r="P577" s="26"/>
      <c r="Q577" s="26"/>
      <c r="R577" s="26"/>
      <c r="S577" s="26"/>
      <c r="T577" s="90"/>
      <c r="U577" s="26"/>
      <c r="V577" s="26"/>
      <c r="W577" s="26"/>
      <c r="X577" s="26"/>
      <c r="Y577" s="26"/>
      <c r="Z577" s="90"/>
      <c r="AA577" s="26"/>
      <c r="AB577" s="26"/>
      <c r="AC577" s="26"/>
      <c r="AD577" s="26"/>
      <c r="AE577" s="26"/>
      <c r="AF577" s="90"/>
      <c r="AG577" s="26"/>
      <c r="AH577" s="26"/>
      <c r="AI577" s="26"/>
      <c r="AJ577" s="26"/>
      <c r="AK577" s="26"/>
      <c r="AL577" s="90"/>
      <c r="AM577" s="26"/>
      <c r="AN577" s="26"/>
      <c r="AO577" s="90"/>
      <c r="AP577" s="26"/>
      <c r="AQ577" s="26"/>
      <c r="AR577" s="90"/>
      <c r="AS577" s="26"/>
      <c r="AT577" s="26"/>
      <c r="AU577" s="90"/>
      <c r="AV577" s="26"/>
      <c r="AW577" s="26"/>
      <c r="AX577" s="90"/>
      <c r="AY577" s="83"/>
      <c r="AZ577" s="83"/>
      <c r="BA577" s="83"/>
      <c r="BB577" s="104"/>
      <c r="BC577" s="104"/>
      <c r="BD577" s="138"/>
      <c r="BE577" s="104"/>
      <c r="BF577" s="104"/>
      <c r="BG577" s="104"/>
      <c r="BH577" s="83">
        <v>2007</v>
      </c>
      <c r="BI577" s="83"/>
      <c r="BJ577" s="138"/>
      <c r="BK577" s="26"/>
      <c r="BL577" s="83">
        <v>2007</v>
      </c>
      <c r="BM577" s="26"/>
      <c r="BN577" s="26"/>
      <c r="BO577" s="138"/>
      <c r="BP577" s="138"/>
      <c r="BQ577" s="26"/>
      <c r="BR577" s="26"/>
      <c r="BS577" s="743">
        <v>2008</v>
      </c>
      <c r="BT577" s="743">
        <v>2008</v>
      </c>
      <c r="BU577" s="26"/>
      <c r="BV577" s="138"/>
      <c r="BW577" s="743">
        <v>2009</v>
      </c>
      <c r="BX577" s="743">
        <v>2009</v>
      </c>
      <c r="BY577" s="743">
        <v>2009</v>
      </c>
      <c r="BZ577" s="26"/>
      <c r="CA577" s="26"/>
      <c r="CB577" s="138"/>
      <c r="CC577" s="26"/>
      <c r="CD577" s="26"/>
      <c r="CE577" s="26"/>
      <c r="CF577" s="26"/>
      <c r="CG577" s="26"/>
      <c r="CH577" s="138"/>
      <c r="CI577" s="26"/>
      <c r="CJ577" s="26"/>
      <c r="CK577" s="83"/>
      <c r="CL577" s="26"/>
      <c r="CM577" s="26"/>
      <c r="CN577" s="138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138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</row>
    <row r="578" spans="1:151" hidden="1" outlineLevel="1">
      <c r="A578" s="202" t="s">
        <v>4596</v>
      </c>
      <c r="B578" s="90"/>
      <c r="C578" s="26"/>
      <c r="D578" s="26"/>
      <c r="E578" s="26"/>
      <c r="F578" s="26"/>
      <c r="G578" s="26"/>
      <c r="H578" s="90"/>
      <c r="I578" s="26"/>
      <c r="J578" s="26"/>
      <c r="K578" s="26"/>
      <c r="L578" s="26"/>
      <c r="M578" s="26"/>
      <c r="N578" s="90"/>
      <c r="O578" s="26"/>
      <c r="P578" s="26"/>
      <c r="Q578" s="26"/>
      <c r="R578" s="26"/>
      <c r="S578" s="26"/>
      <c r="T578" s="90"/>
      <c r="U578" s="26"/>
      <c r="V578" s="26"/>
      <c r="W578" s="26"/>
      <c r="X578" s="26"/>
      <c r="Y578" s="26"/>
      <c r="Z578" s="90"/>
      <c r="AA578" s="26"/>
      <c r="AB578" s="26"/>
      <c r="AC578" s="26"/>
      <c r="AD578" s="26"/>
      <c r="AE578" s="26"/>
      <c r="AF578" s="90"/>
      <c r="AG578" s="26"/>
      <c r="AH578" s="26"/>
      <c r="AI578" s="26"/>
      <c r="AJ578" s="26"/>
      <c r="AK578" s="26"/>
      <c r="AL578" s="90"/>
      <c r="AM578" s="36">
        <f>1.1/4</f>
        <v>0.27500000000000002</v>
      </c>
      <c r="AN578" s="26">
        <f>0.5/2</f>
        <v>0.25</v>
      </c>
      <c r="AO578" s="90"/>
      <c r="AP578" s="108">
        <f>0.5/2</f>
        <v>0.25</v>
      </c>
      <c r="AQ578" s="26"/>
      <c r="AR578" s="90"/>
      <c r="AS578" s="108">
        <f>0.5/2</f>
        <v>0.25</v>
      </c>
      <c r="AT578" s="607">
        <f>0.5/2</f>
        <v>0.25</v>
      </c>
      <c r="AU578" s="108"/>
      <c r="AV578" s="36">
        <f>1.15/2</f>
        <v>0.57499999999999996</v>
      </c>
      <c r="AW578" s="26"/>
      <c r="AX578" s="90"/>
      <c r="AY578" s="109">
        <f>1.44/2</f>
        <v>0.72</v>
      </c>
      <c r="AZ578" s="109">
        <f>1.6/2</f>
        <v>0.8</v>
      </c>
      <c r="BA578" s="109">
        <v>0.84</v>
      </c>
      <c r="BB578" s="109"/>
      <c r="BC578" s="104"/>
      <c r="BD578" s="138"/>
      <c r="BE578" s="104">
        <v>1.1399999999999999</v>
      </c>
      <c r="BF578" s="109">
        <f>BF573</f>
        <v>1.2</v>
      </c>
      <c r="BG578" s="104">
        <v>1.24</v>
      </c>
      <c r="BH578" s="274">
        <v>1.4</v>
      </c>
      <c r="BI578" s="83"/>
      <c r="BJ578" s="138"/>
      <c r="BK578" s="26"/>
      <c r="BL578" s="274">
        <v>1.45</v>
      </c>
      <c r="BM578" s="26"/>
      <c r="BN578" s="26"/>
      <c r="BO578" s="138"/>
      <c r="BP578" s="138"/>
      <c r="BQ578" s="26"/>
      <c r="BR578" s="26"/>
      <c r="BS578" s="26">
        <v>1.87</v>
      </c>
      <c r="BT578" s="26">
        <v>1.89</v>
      </c>
      <c r="BU578" s="26"/>
      <c r="BV578" s="138"/>
      <c r="BW578" s="26">
        <v>2.15</v>
      </c>
      <c r="BX578" s="36">
        <v>2.2000000000000002</v>
      </c>
      <c r="BY578" s="36">
        <v>2.2000000000000002</v>
      </c>
      <c r="BZ578" s="26"/>
      <c r="CA578" s="26"/>
      <c r="CB578" s="138"/>
      <c r="CC578" s="26"/>
      <c r="CD578" s="26"/>
      <c r="CE578" s="26">
        <v>0.88</v>
      </c>
      <c r="CF578" s="26"/>
      <c r="CG578" s="26"/>
      <c r="CH578" s="138"/>
      <c r="CI578" s="26"/>
      <c r="CJ578" s="26"/>
      <c r="CK578" s="83"/>
      <c r="CL578" s="26"/>
      <c r="CM578" s="26"/>
      <c r="CN578" s="138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138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</row>
    <row r="579" spans="1:151" hidden="1" outlineLevel="1">
      <c r="A579" s="202" t="s">
        <v>4595</v>
      </c>
      <c r="B579" s="90"/>
      <c r="C579" s="26"/>
      <c r="D579" s="26"/>
      <c r="E579" s="26"/>
      <c r="F579" s="26"/>
      <c r="G579" s="26"/>
      <c r="H579" s="90"/>
      <c r="I579" s="26"/>
      <c r="J579" s="26"/>
      <c r="K579" s="26"/>
      <c r="L579" s="26"/>
      <c r="M579" s="26"/>
      <c r="N579" s="90"/>
      <c r="O579" s="26"/>
      <c r="P579" s="26"/>
      <c r="Q579" s="26"/>
      <c r="R579" s="26"/>
      <c r="S579" s="26"/>
      <c r="T579" s="90"/>
      <c r="U579" s="26"/>
      <c r="V579" s="26"/>
      <c r="W579" s="26"/>
      <c r="X579" s="26"/>
      <c r="Y579" s="26"/>
      <c r="Z579" s="90"/>
      <c r="AA579" s="26"/>
      <c r="AB579" s="26"/>
      <c r="AC579" s="26"/>
      <c r="AD579" s="26"/>
      <c r="AE579" s="26"/>
      <c r="AF579" s="90"/>
      <c r="AG579" s="26"/>
      <c r="AH579" s="26"/>
      <c r="AI579" s="26"/>
      <c r="AJ579" s="26"/>
      <c r="AK579" s="26"/>
      <c r="AL579" s="90"/>
      <c r="AM579" s="36">
        <f>1.1/4</f>
        <v>0.27500000000000002</v>
      </c>
      <c r="AN579" s="26">
        <f>0.7/2</f>
        <v>0.35</v>
      </c>
      <c r="AO579" s="90"/>
      <c r="AP579" s="108">
        <f>0.5/2</f>
        <v>0.25</v>
      </c>
      <c r="AQ579" s="26"/>
      <c r="AR579" s="90"/>
      <c r="AS579" s="108">
        <f>0.5/2</f>
        <v>0.25</v>
      </c>
      <c r="AT579" s="607">
        <f>0.6/2</f>
        <v>0.3</v>
      </c>
      <c r="AU579" s="108"/>
      <c r="AV579" s="36">
        <f>1.25/2</f>
        <v>0.625</v>
      </c>
      <c r="AW579" s="26"/>
      <c r="AX579" s="90"/>
      <c r="AY579" s="109">
        <f>1.51/2</f>
        <v>0.755</v>
      </c>
      <c r="AZ579" s="109">
        <f>1.64/2</f>
        <v>0.82</v>
      </c>
      <c r="BA579" s="109">
        <v>0.87</v>
      </c>
      <c r="BB579" s="109"/>
      <c r="BC579" s="104"/>
      <c r="BD579" s="138"/>
      <c r="BE579" s="104">
        <v>1.19</v>
      </c>
      <c r="BF579" s="104">
        <f>BF574</f>
        <v>1.25</v>
      </c>
      <c r="BG579" s="104">
        <v>1.26</v>
      </c>
      <c r="BH579" s="83">
        <v>1.45</v>
      </c>
      <c r="BI579" s="83"/>
      <c r="BJ579" s="138"/>
      <c r="BK579" s="26"/>
      <c r="BL579" s="83">
        <v>1.53</v>
      </c>
      <c r="BM579" s="26"/>
      <c r="BN579" s="26"/>
      <c r="BO579" s="138"/>
      <c r="BP579" s="138"/>
      <c r="BQ579" s="26"/>
      <c r="BR579" s="26"/>
      <c r="BS579" s="26">
        <v>1.91</v>
      </c>
      <c r="BT579" s="26">
        <v>1.91</v>
      </c>
      <c r="BU579" s="26"/>
      <c r="BV579" s="138"/>
      <c r="BW579" s="26">
        <v>2.25</v>
      </c>
      <c r="BX579" s="36">
        <v>2.2999999999999998</v>
      </c>
      <c r="BY579" s="36">
        <v>2.2999999999999998</v>
      </c>
      <c r="BZ579" s="26"/>
      <c r="CA579" s="26"/>
      <c r="CB579" s="138"/>
      <c r="CC579" s="26"/>
      <c r="CD579" s="26"/>
      <c r="CE579" s="26">
        <v>0.93</v>
      </c>
      <c r="CF579" s="26"/>
      <c r="CG579" s="26"/>
      <c r="CH579" s="138"/>
      <c r="CI579" s="26"/>
      <c r="CJ579" s="26"/>
      <c r="CK579" s="83"/>
      <c r="CL579" s="26"/>
      <c r="CM579" s="26"/>
      <c r="CN579" s="138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138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</row>
    <row r="580" spans="1:151" hidden="1" outlineLevel="1">
      <c r="A580" s="203" t="s">
        <v>4597</v>
      </c>
      <c r="B580" s="52"/>
      <c r="C580" s="30"/>
      <c r="D580" s="30"/>
      <c r="E580" s="30"/>
      <c r="F580" s="30"/>
      <c r="G580" s="30"/>
      <c r="H580" s="52"/>
      <c r="I580" s="30"/>
      <c r="J580" s="30"/>
      <c r="K580" s="30"/>
      <c r="L580" s="30"/>
      <c r="M580" s="30"/>
      <c r="N580" s="52"/>
      <c r="O580" s="30"/>
      <c r="P580" s="30"/>
      <c r="Q580" s="30"/>
      <c r="R580" s="30"/>
      <c r="S580" s="30"/>
      <c r="T580" s="52"/>
      <c r="U580" s="30"/>
      <c r="V580" s="30"/>
      <c r="W580" s="30"/>
      <c r="X580" s="30"/>
      <c r="Y580" s="30"/>
      <c r="Z580" s="52"/>
      <c r="AA580" s="30"/>
      <c r="AB580" s="30"/>
      <c r="AC580" s="30"/>
      <c r="AD580" s="30"/>
      <c r="AE580" s="30"/>
      <c r="AF580" s="52"/>
      <c r="AG580" s="30"/>
      <c r="AH580" s="30"/>
      <c r="AI580" s="30"/>
      <c r="AJ580" s="30"/>
      <c r="AK580" s="30"/>
      <c r="AL580" s="52"/>
      <c r="AM580" s="30"/>
      <c r="AN580" s="30"/>
      <c r="AO580" s="52"/>
      <c r="AP580" s="30"/>
      <c r="AQ580" s="529">
        <f>Model!AQ107</f>
        <v>0.20372000000000001</v>
      </c>
      <c r="AR580" s="52"/>
      <c r="AS580" s="30"/>
      <c r="AT580" s="30"/>
      <c r="AU580" s="52"/>
      <c r="AV580" s="30"/>
      <c r="AW580" s="529">
        <f>Model!AW107</f>
        <v>0.41524</v>
      </c>
      <c r="AX580" s="52"/>
      <c r="AY580" s="272"/>
      <c r="AZ580" s="272"/>
      <c r="BA580" s="742"/>
      <c r="BB580" s="742"/>
      <c r="BC580" s="700">
        <f>Model!BC107</f>
        <v>0.89731000000000005</v>
      </c>
      <c r="BD580" s="57"/>
      <c r="BE580" s="700">
        <f>Model!$BI107</f>
        <v>1.3022</v>
      </c>
      <c r="BF580" s="700">
        <f>Model!$BI107</f>
        <v>1.3022</v>
      </c>
      <c r="BG580" s="700">
        <f>Model!$BI107</f>
        <v>1.3022</v>
      </c>
      <c r="BH580" s="837">
        <f>Model!BO107</f>
        <v>1.54077</v>
      </c>
      <c r="BI580" s="272"/>
      <c r="BJ580" s="57"/>
      <c r="BK580" s="30"/>
      <c r="BL580" s="837">
        <f>Model!BO107</f>
        <v>1.54077</v>
      </c>
      <c r="BM580" s="30"/>
      <c r="BN580" s="30"/>
      <c r="BO580" s="57"/>
      <c r="BP580" s="57"/>
      <c r="BQ580" s="30"/>
      <c r="BR580" s="30"/>
      <c r="BS580" s="837">
        <f>Model!$BU107</f>
        <v>1.8824000000000001</v>
      </c>
      <c r="BT580" s="837">
        <f>Model!$BU107</f>
        <v>1.8824000000000001</v>
      </c>
      <c r="BU580" s="30"/>
      <c r="BV580" s="57"/>
      <c r="BW580" s="896">
        <f>Model!$CA107</f>
        <v>1.9396199999999999</v>
      </c>
      <c r="BX580" s="896">
        <f>Model!$CA107</f>
        <v>1.9396199999999999</v>
      </c>
      <c r="BY580" s="896">
        <f>Model!$CA107</f>
        <v>1.9396199999999999</v>
      </c>
      <c r="BZ580" s="30"/>
      <c r="CA580" s="30"/>
      <c r="CB580" s="57"/>
      <c r="CC580" s="30"/>
      <c r="CD580" s="30"/>
      <c r="CE580" s="896">
        <f>Model!CG107</f>
        <v>0.99773999999999996</v>
      </c>
      <c r="CF580" s="30"/>
      <c r="CG580" s="30"/>
      <c r="CH580" s="57"/>
      <c r="CI580" s="30"/>
      <c r="CJ580" s="30"/>
      <c r="CK580" s="272"/>
      <c r="CL580" s="30"/>
      <c r="CM580" s="30"/>
      <c r="CN580" s="57"/>
      <c r="CO580" s="52"/>
      <c r="CP580" s="52"/>
      <c r="CQ580" s="52"/>
      <c r="CR580" s="52"/>
      <c r="CS580" s="52"/>
      <c r="CT580" s="52"/>
      <c r="CU580" s="52"/>
      <c r="CV580" s="52"/>
      <c r="CW580" s="52"/>
      <c r="CX580" s="52"/>
      <c r="CY580" s="52"/>
      <c r="CZ580" s="52"/>
      <c r="DA580" s="52"/>
      <c r="DB580" s="52"/>
      <c r="DC580" s="52"/>
      <c r="DD580" s="52"/>
      <c r="DE580" s="52"/>
      <c r="DF580" s="52"/>
      <c r="DG580" s="52"/>
      <c r="DH580" s="52"/>
      <c r="DI580" s="52"/>
      <c r="DJ580" s="52"/>
      <c r="DK580" s="52"/>
      <c r="DL580" s="57"/>
      <c r="DM580" s="52"/>
      <c r="DN580" s="52"/>
      <c r="DO580" s="52"/>
      <c r="DP580" s="52"/>
      <c r="DQ580" s="52"/>
      <c r="DR580" s="52"/>
      <c r="DS580" s="52"/>
      <c r="DT580" s="52"/>
      <c r="DU580" s="52"/>
      <c r="DV580" s="52"/>
      <c r="DW580" s="52"/>
      <c r="DX580" s="52"/>
      <c r="DY580" s="52"/>
      <c r="DZ580" s="52"/>
      <c r="EA580" s="52"/>
      <c r="EB580" s="52"/>
      <c r="EC580" s="52"/>
      <c r="ED580" s="52"/>
      <c r="EE580" s="52"/>
      <c r="EF580" s="52"/>
      <c r="EG580" s="52"/>
      <c r="EH580" s="52"/>
      <c r="EI580" s="52"/>
      <c r="EJ580" s="52"/>
      <c r="EK580" s="52"/>
      <c r="EL580" s="52"/>
      <c r="EM580" s="52"/>
      <c r="EN580" s="52"/>
      <c r="EO580" s="52"/>
      <c r="EP580" s="52"/>
      <c r="EQ580" s="52"/>
      <c r="ER580" s="52"/>
      <c r="ES580" s="52"/>
      <c r="ET580" s="52"/>
      <c r="EU580" s="52"/>
    </row>
    <row r="581" spans="1:151" ht="11.25" hidden="1" customHeight="1" outlineLevel="1">
      <c r="A581" s="202"/>
      <c r="B581" s="90"/>
      <c r="C581" s="26"/>
      <c r="D581" s="26"/>
      <c r="E581" s="26"/>
      <c r="F581" s="26"/>
      <c r="G581" s="26"/>
      <c r="H581" s="90"/>
      <c r="I581" s="26"/>
      <c r="J581" s="26"/>
      <c r="K581" s="26"/>
      <c r="L581" s="26"/>
      <c r="M581" s="26"/>
      <c r="N581" s="90"/>
      <c r="O581" s="26"/>
      <c r="P581" s="26"/>
      <c r="Q581" s="26"/>
      <c r="R581" s="26"/>
      <c r="S581" s="26"/>
      <c r="T581" s="90"/>
      <c r="U581" s="26"/>
      <c r="V581" s="26"/>
      <c r="W581" s="26"/>
      <c r="X581" s="26"/>
      <c r="Y581" s="26"/>
      <c r="Z581" s="90"/>
      <c r="AA581" s="26"/>
      <c r="AB581" s="26"/>
      <c r="AC581" s="26"/>
      <c r="AD581" s="26"/>
      <c r="AE581" s="26"/>
      <c r="AF581" s="90"/>
      <c r="AG581" s="26"/>
      <c r="AH581" s="26"/>
      <c r="AI581" s="26"/>
      <c r="AJ581" s="26"/>
      <c r="AK581" s="26"/>
      <c r="AL581" s="90"/>
      <c r="AM581" s="26"/>
      <c r="AN581" s="26"/>
      <c r="AO581" s="90"/>
      <c r="AP581" s="26"/>
      <c r="AQ581" s="26"/>
      <c r="AR581" s="90"/>
      <c r="AS581" s="38"/>
      <c r="AT581" s="38"/>
      <c r="AU581" s="38"/>
      <c r="AV581" s="38"/>
      <c r="AW581" s="26"/>
      <c r="AX581" s="90"/>
      <c r="AY581" s="38"/>
      <c r="AZ581" s="787"/>
      <c r="BA581" s="787"/>
      <c r="BB581" s="787"/>
      <c r="BC581" s="286"/>
      <c r="BD581" s="138"/>
      <c r="BE581" s="787"/>
      <c r="BF581" s="787"/>
      <c r="BG581" s="38"/>
      <c r="BH581" s="38"/>
      <c r="BI581" s="83"/>
      <c r="BJ581" s="138"/>
      <c r="BK581" s="38"/>
      <c r="BL581" s="38"/>
      <c r="BM581" s="38"/>
      <c r="BN581" s="38"/>
      <c r="BO581" s="138"/>
      <c r="BP581" s="138"/>
      <c r="BQ581" s="38"/>
      <c r="BR581" s="26"/>
      <c r="BS581" s="26"/>
      <c r="BT581" s="26"/>
      <c r="BU581" s="26"/>
      <c r="BV581" s="138"/>
      <c r="BW581" s="26"/>
      <c r="BX581" s="26"/>
      <c r="BY581" s="26"/>
      <c r="BZ581" s="26"/>
      <c r="CA581" s="26"/>
      <c r="CB581" s="138"/>
      <c r="CC581" s="26"/>
      <c r="CD581" s="26"/>
      <c r="CE581" s="26"/>
      <c r="CF581" s="26"/>
      <c r="CG581" s="26"/>
      <c r="CH581" s="138"/>
      <c r="CI581" s="26"/>
      <c r="CJ581" s="26"/>
      <c r="CK581" s="83"/>
      <c r="CL581" s="26"/>
      <c r="CM581" s="26"/>
      <c r="CN581" s="138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138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</row>
    <row r="582" spans="1:151" hidden="1" outlineLevel="1">
      <c r="A582" s="901" t="s">
        <v>6809</v>
      </c>
      <c r="B582" s="902"/>
      <c r="C582" s="902"/>
      <c r="D582" s="902"/>
      <c r="E582" s="902"/>
      <c r="F582" s="902"/>
      <c r="G582" s="902"/>
      <c r="H582" s="902"/>
      <c r="I582" s="902"/>
      <c r="J582" s="902"/>
      <c r="K582" s="902"/>
      <c r="L582" s="902"/>
      <c r="M582" s="902"/>
      <c r="N582" s="902"/>
      <c r="O582" s="902"/>
      <c r="P582" s="902"/>
      <c r="Q582" s="902"/>
      <c r="R582" s="902"/>
      <c r="S582" s="902"/>
      <c r="T582" s="902"/>
      <c r="U582" s="902"/>
      <c r="V582" s="902"/>
      <c r="W582" s="902"/>
      <c r="X582" s="902"/>
      <c r="Y582" s="902"/>
      <c r="Z582" s="902"/>
      <c r="AA582" s="902"/>
      <c r="AB582" s="902"/>
      <c r="AC582" s="902"/>
      <c r="AD582" s="902"/>
      <c r="AE582" s="902"/>
      <c r="AF582" s="902"/>
      <c r="AG582" s="902"/>
      <c r="AH582" s="902"/>
      <c r="AI582" s="902"/>
      <c r="AJ582" s="902"/>
      <c r="AK582" s="902"/>
      <c r="AL582" s="902"/>
      <c r="AM582" s="902"/>
      <c r="AN582" s="902"/>
      <c r="AO582" s="902"/>
      <c r="AP582" s="902"/>
      <c r="AQ582" s="902"/>
      <c r="AR582" s="902"/>
      <c r="AS582" s="687"/>
      <c r="AT582" s="687"/>
      <c r="AU582" s="687"/>
      <c r="AV582" s="687"/>
      <c r="AW582" s="902"/>
      <c r="AX582" s="902"/>
      <c r="AY582" s="687"/>
      <c r="AZ582" s="903"/>
      <c r="BA582" s="903"/>
      <c r="BB582" s="903"/>
      <c r="BC582" s="904"/>
      <c r="BD582" s="905"/>
      <c r="BE582" s="903"/>
      <c r="BF582" s="903"/>
      <c r="BG582" s="687"/>
      <c r="BH582" s="687"/>
      <c r="BI582" s="906"/>
      <c r="BJ582" s="905"/>
      <c r="BK582" s="687"/>
      <c r="BL582" s="687"/>
      <c r="BM582" s="687"/>
      <c r="BN582" s="687"/>
      <c r="BO582" s="905"/>
      <c r="BP582" s="905"/>
      <c r="BQ582" s="687"/>
      <c r="BR582" s="902"/>
      <c r="BS582" s="902"/>
      <c r="BT582" s="902"/>
      <c r="BU582" s="902"/>
      <c r="BV582" s="905"/>
      <c r="BW582" s="902"/>
      <c r="BX582" s="902"/>
      <c r="BY582" s="26"/>
      <c r="BZ582" s="26"/>
      <c r="CA582" s="26"/>
      <c r="CB582" s="138"/>
      <c r="CC582" s="26"/>
      <c r="CD582" s="26"/>
      <c r="CE582" s="26"/>
      <c r="CF582" s="26"/>
      <c r="CG582" s="26"/>
      <c r="CH582" s="138"/>
      <c r="CI582" s="26"/>
      <c r="CJ582" s="26"/>
      <c r="CK582" s="83"/>
      <c r="CL582" s="26"/>
      <c r="CM582" s="26"/>
      <c r="CN582" s="138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138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</row>
    <row r="583" spans="1:151" hidden="1" outlineLevel="1">
      <c r="A583" s="907" t="s">
        <v>4596</v>
      </c>
      <c r="B583" s="902"/>
      <c r="C583" s="902"/>
      <c r="D583" s="902"/>
      <c r="E583" s="902"/>
      <c r="F583" s="902"/>
      <c r="G583" s="902"/>
      <c r="H583" s="902"/>
      <c r="I583" s="902"/>
      <c r="J583" s="902"/>
      <c r="K583" s="902"/>
      <c r="L583" s="902"/>
      <c r="M583" s="902"/>
      <c r="N583" s="902"/>
      <c r="O583" s="902"/>
      <c r="P583" s="902"/>
      <c r="Q583" s="902"/>
      <c r="R583" s="902"/>
      <c r="S583" s="902"/>
      <c r="T583" s="902"/>
      <c r="U583" s="902"/>
      <c r="V583" s="902"/>
      <c r="W583" s="902"/>
      <c r="X583" s="902"/>
      <c r="Y583" s="902"/>
      <c r="Z583" s="902"/>
      <c r="AA583" s="902"/>
      <c r="AB583" s="902"/>
      <c r="AC583" s="902"/>
      <c r="AD583" s="902"/>
      <c r="AE583" s="902"/>
      <c r="AF583" s="902"/>
      <c r="AG583" s="902"/>
      <c r="AH583" s="902"/>
      <c r="AI583" s="902"/>
      <c r="AJ583" s="902"/>
      <c r="AK583" s="902"/>
      <c r="AL583" s="902"/>
      <c r="AM583" s="902"/>
      <c r="AN583" s="902"/>
      <c r="AO583" s="902"/>
      <c r="AP583" s="902"/>
      <c r="AQ583" s="902"/>
      <c r="AR583" s="902"/>
      <c r="AS583" s="687"/>
      <c r="AT583" s="687"/>
      <c r="AU583" s="687"/>
      <c r="AV583" s="687"/>
      <c r="AW583" s="902"/>
      <c r="AX583" s="902"/>
      <c r="AY583" s="687"/>
      <c r="AZ583" s="903"/>
      <c r="BA583" s="903"/>
      <c r="BB583" s="903"/>
      <c r="BC583" s="904"/>
      <c r="BD583" s="905"/>
      <c r="BE583" s="903"/>
      <c r="BF583" s="903"/>
      <c r="BG583" s="687"/>
      <c r="BH583" s="687"/>
      <c r="BI583" s="906"/>
      <c r="BJ583" s="905"/>
      <c r="BK583" s="687"/>
      <c r="BL583" s="687"/>
      <c r="BM583" s="687"/>
      <c r="BN583" s="687"/>
      <c r="BO583" s="905"/>
      <c r="BP583" s="905"/>
      <c r="BQ583" s="687"/>
      <c r="BR583" s="902"/>
      <c r="BS583" s="902"/>
      <c r="BT583" s="902"/>
      <c r="BU583" s="902"/>
      <c r="BV583" s="905"/>
      <c r="BW583" s="911">
        <v>2.2000000000000002</v>
      </c>
      <c r="BX583" s="911">
        <v>2.2000000000000002</v>
      </c>
      <c r="BY583" s="26"/>
      <c r="BZ583" s="26"/>
      <c r="CA583" s="26"/>
      <c r="CB583" s="138"/>
      <c r="CC583" s="26"/>
      <c r="CD583" s="26"/>
      <c r="CE583" s="26"/>
      <c r="CF583" s="26"/>
      <c r="CG583" s="26"/>
      <c r="CH583" s="138"/>
      <c r="CI583" s="26"/>
      <c r="CJ583" s="26"/>
      <c r="CK583" s="83"/>
      <c r="CL583" s="26"/>
      <c r="CM583" s="26"/>
      <c r="CN583" s="138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138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</row>
    <row r="584" spans="1:151" hidden="1" outlineLevel="1">
      <c r="A584" s="907" t="s">
        <v>4595</v>
      </c>
      <c r="B584" s="902"/>
      <c r="C584" s="902"/>
      <c r="D584" s="902"/>
      <c r="E584" s="902"/>
      <c r="F584" s="902"/>
      <c r="G584" s="902"/>
      <c r="H584" s="902"/>
      <c r="I584" s="902"/>
      <c r="J584" s="902"/>
      <c r="K584" s="902"/>
      <c r="L584" s="902"/>
      <c r="M584" s="902"/>
      <c r="N584" s="902"/>
      <c r="O584" s="902"/>
      <c r="P584" s="902"/>
      <c r="Q584" s="902"/>
      <c r="R584" s="902"/>
      <c r="S584" s="902"/>
      <c r="T584" s="902"/>
      <c r="U584" s="902"/>
      <c r="V584" s="902"/>
      <c r="W584" s="902"/>
      <c r="X584" s="902"/>
      <c r="Y584" s="902"/>
      <c r="Z584" s="902"/>
      <c r="AA584" s="902"/>
      <c r="AB584" s="902"/>
      <c r="AC584" s="902"/>
      <c r="AD584" s="902"/>
      <c r="AE584" s="902"/>
      <c r="AF584" s="902"/>
      <c r="AG584" s="902"/>
      <c r="AH584" s="902"/>
      <c r="AI584" s="902"/>
      <c r="AJ584" s="902"/>
      <c r="AK584" s="902"/>
      <c r="AL584" s="902"/>
      <c r="AM584" s="902"/>
      <c r="AN584" s="902"/>
      <c r="AO584" s="902"/>
      <c r="AP584" s="902"/>
      <c r="AQ584" s="902"/>
      <c r="AR584" s="902"/>
      <c r="AS584" s="687"/>
      <c r="AT584" s="687"/>
      <c r="AU584" s="687"/>
      <c r="AV584" s="687"/>
      <c r="AW584" s="902"/>
      <c r="AX584" s="902"/>
      <c r="AY584" s="687"/>
      <c r="AZ584" s="903"/>
      <c r="BA584" s="903"/>
      <c r="BB584" s="903"/>
      <c r="BC584" s="904"/>
      <c r="BD584" s="905"/>
      <c r="BE584" s="903"/>
      <c r="BF584" s="903"/>
      <c r="BG584" s="687"/>
      <c r="BH584" s="687"/>
      <c r="BI584" s="906"/>
      <c r="BJ584" s="905"/>
      <c r="BK584" s="687"/>
      <c r="BL584" s="687"/>
      <c r="BM584" s="687"/>
      <c r="BN584" s="687"/>
      <c r="BO584" s="905"/>
      <c r="BP584" s="905"/>
      <c r="BQ584" s="687"/>
      <c r="BR584" s="902"/>
      <c r="BS584" s="902"/>
      <c r="BT584" s="902"/>
      <c r="BU584" s="902"/>
      <c r="BV584" s="905"/>
      <c r="BW584" s="911">
        <v>2.2999999999999998</v>
      </c>
      <c r="BX584" s="911">
        <v>2.2999999999999998</v>
      </c>
      <c r="BY584" s="26"/>
      <c r="BZ584" s="26"/>
      <c r="CA584" s="26"/>
      <c r="CB584" s="138"/>
      <c r="CC584" s="26"/>
      <c r="CD584" s="26"/>
      <c r="CE584" s="26"/>
      <c r="CF584" s="26"/>
      <c r="CG584" s="26"/>
      <c r="CH584" s="138"/>
      <c r="CI584" s="26"/>
      <c r="CJ584" s="26"/>
      <c r="CK584" s="83"/>
      <c r="CL584" s="26"/>
      <c r="CM584" s="26"/>
      <c r="CN584" s="138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138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</row>
    <row r="585" spans="1:151" hidden="1" outlineLevel="1">
      <c r="A585" s="908" t="s">
        <v>4597</v>
      </c>
      <c r="B585" s="902"/>
      <c r="C585" s="902"/>
      <c r="D585" s="902"/>
      <c r="E585" s="902"/>
      <c r="F585" s="902"/>
      <c r="G585" s="902"/>
      <c r="H585" s="902"/>
      <c r="I585" s="902"/>
      <c r="J585" s="902"/>
      <c r="K585" s="902"/>
      <c r="L585" s="902"/>
      <c r="M585" s="902"/>
      <c r="N585" s="902"/>
      <c r="O585" s="902"/>
      <c r="P585" s="902"/>
      <c r="Q585" s="902"/>
      <c r="R585" s="902"/>
      <c r="S585" s="902"/>
      <c r="T585" s="902"/>
      <c r="U585" s="902"/>
      <c r="V585" s="902"/>
      <c r="W585" s="902"/>
      <c r="X585" s="902"/>
      <c r="Y585" s="902"/>
      <c r="Z585" s="902"/>
      <c r="AA585" s="902"/>
      <c r="AB585" s="902"/>
      <c r="AC585" s="902"/>
      <c r="AD585" s="902"/>
      <c r="AE585" s="902"/>
      <c r="AF585" s="902"/>
      <c r="AG585" s="902"/>
      <c r="AH585" s="902"/>
      <c r="AI585" s="902"/>
      <c r="AJ585" s="902"/>
      <c r="AK585" s="902"/>
      <c r="AL585" s="902"/>
      <c r="AM585" s="902"/>
      <c r="AN585" s="902"/>
      <c r="AO585" s="902"/>
      <c r="AP585" s="902"/>
      <c r="AQ585" s="902"/>
      <c r="AR585" s="902"/>
      <c r="AS585" s="687"/>
      <c r="AT585" s="687"/>
      <c r="AU585" s="687"/>
      <c r="AV585" s="687"/>
      <c r="AW585" s="902"/>
      <c r="AX585" s="902"/>
      <c r="AY585" s="687"/>
      <c r="AZ585" s="903"/>
      <c r="BA585" s="903"/>
      <c r="BB585" s="903"/>
      <c r="BC585" s="904"/>
      <c r="BD585" s="905"/>
      <c r="BE585" s="903"/>
      <c r="BF585" s="903"/>
      <c r="BG585" s="687"/>
      <c r="BH585" s="687"/>
      <c r="BI585" s="906"/>
      <c r="BJ585" s="905"/>
      <c r="BK585" s="687"/>
      <c r="BL585" s="687"/>
      <c r="BM585" s="687"/>
      <c r="BN585" s="687"/>
      <c r="BO585" s="905"/>
      <c r="BP585" s="905"/>
      <c r="BQ585" s="687"/>
      <c r="BR585" s="902"/>
      <c r="BS585" s="902"/>
      <c r="BT585" s="902"/>
      <c r="BU585" s="902"/>
      <c r="BV585" s="905"/>
      <c r="BW585" s="910">
        <f>Model!$CA107</f>
        <v>1.9396199999999999</v>
      </c>
      <c r="BX585" s="910">
        <f>Model!$CA107</f>
        <v>1.9396199999999999</v>
      </c>
      <c r="BY585" s="26"/>
      <c r="BZ585" s="26"/>
      <c r="CA585" s="26"/>
      <c r="CB585" s="138"/>
      <c r="CC585" s="26"/>
      <c r="CD585" s="26"/>
      <c r="CE585" s="26"/>
      <c r="CF585" s="26"/>
      <c r="CG585" s="26"/>
      <c r="CH585" s="138"/>
      <c r="CI585" s="26"/>
      <c r="CJ585" s="26"/>
      <c r="CK585" s="83"/>
      <c r="CL585" s="26"/>
      <c r="CM585" s="26"/>
      <c r="CN585" s="138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138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</row>
    <row r="586" spans="1:151" hidden="1" outlineLevel="1">
      <c r="A586" s="202"/>
      <c r="B586" s="90"/>
      <c r="C586" s="26"/>
      <c r="D586" s="26"/>
      <c r="E586" s="26"/>
      <c r="F586" s="26"/>
      <c r="G586" s="26"/>
      <c r="H586" s="90"/>
      <c r="I586" s="26"/>
      <c r="J586" s="26"/>
      <c r="K586" s="26"/>
      <c r="L586" s="26"/>
      <c r="M586" s="26"/>
      <c r="N586" s="90"/>
      <c r="O586" s="26"/>
      <c r="P586" s="26"/>
      <c r="Q586" s="26"/>
      <c r="R586" s="26"/>
      <c r="S586" s="26"/>
      <c r="T586" s="90"/>
      <c r="U586" s="26"/>
      <c r="V586" s="26"/>
      <c r="W586" s="26"/>
      <c r="X586" s="26"/>
      <c r="Y586" s="26"/>
      <c r="Z586" s="90"/>
      <c r="AA586" s="26"/>
      <c r="AB586" s="26"/>
      <c r="AC586" s="26"/>
      <c r="AD586" s="26"/>
      <c r="AE586" s="26"/>
      <c r="AF586" s="90"/>
      <c r="AG586" s="26"/>
      <c r="AH586" s="26"/>
      <c r="AI586" s="26"/>
      <c r="AJ586" s="26"/>
      <c r="AK586" s="26"/>
      <c r="AL586" s="90"/>
      <c r="AM586" s="26"/>
      <c r="AN586" s="26"/>
      <c r="AO586" s="90"/>
      <c r="AP586" s="26"/>
      <c r="AQ586" s="26"/>
      <c r="AR586" s="90"/>
      <c r="AS586" s="26"/>
      <c r="AT586" s="26"/>
      <c r="AU586" s="90"/>
      <c r="AV586" s="26"/>
      <c r="AW586" s="108"/>
      <c r="AX586" s="90"/>
      <c r="AY586" s="83"/>
      <c r="AZ586" s="83"/>
      <c r="BA586" s="83"/>
      <c r="BB586" s="104"/>
      <c r="BC586" s="104"/>
      <c r="BD586" s="138"/>
      <c r="BE586" s="104"/>
      <c r="BF586" s="104"/>
      <c r="BG586" s="104"/>
      <c r="BH586" s="83"/>
      <c r="BI586" s="83"/>
      <c r="BJ586" s="138"/>
      <c r="BK586" s="26"/>
      <c r="BL586" s="83"/>
      <c r="BM586" s="26"/>
      <c r="BN586" s="26"/>
      <c r="BO586" s="138"/>
      <c r="BP586" s="138"/>
      <c r="BQ586" s="26"/>
      <c r="BR586" s="26"/>
      <c r="BS586" s="26"/>
      <c r="BT586" s="26"/>
      <c r="BU586" s="26"/>
      <c r="BV586" s="138"/>
      <c r="BW586" s="26"/>
      <c r="BX586" s="26"/>
      <c r="BY586" s="26"/>
      <c r="BZ586" s="26"/>
      <c r="CA586" s="26"/>
      <c r="CB586" s="138"/>
      <c r="CC586" s="26"/>
      <c r="CD586" s="26"/>
      <c r="CE586" s="26"/>
      <c r="CF586" s="26"/>
      <c r="CG586" s="26"/>
      <c r="CH586" s="138"/>
      <c r="CI586" s="26"/>
      <c r="CJ586" s="26"/>
      <c r="CK586" s="83"/>
      <c r="CL586" s="26"/>
      <c r="CM586" s="26"/>
      <c r="CN586" s="138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138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</row>
    <row r="587" spans="1:151" hidden="1" outlineLevel="1">
      <c r="A587" s="202" t="s">
        <v>2078</v>
      </c>
      <c r="B587" s="90"/>
      <c r="C587" s="26"/>
      <c r="D587" s="26"/>
      <c r="E587" s="26"/>
      <c r="F587" s="26"/>
      <c r="G587" s="26"/>
      <c r="H587" s="90"/>
      <c r="I587" s="26"/>
      <c r="J587" s="26"/>
      <c r="K587" s="26"/>
      <c r="L587" s="26"/>
      <c r="M587" s="26"/>
      <c r="N587" s="90"/>
      <c r="O587" s="26"/>
      <c r="P587" s="26"/>
      <c r="Q587" s="26"/>
      <c r="R587" s="26"/>
      <c r="S587" s="26"/>
      <c r="T587" s="90"/>
      <c r="U587" s="26"/>
      <c r="V587" s="26"/>
      <c r="W587" s="26"/>
      <c r="X587" s="26"/>
      <c r="Y587" s="26"/>
      <c r="Z587" s="90"/>
      <c r="AA587" s="26"/>
      <c r="AB587" s="26"/>
      <c r="AC587" s="26"/>
      <c r="AD587" s="26"/>
      <c r="AE587" s="26"/>
      <c r="AF587" s="90"/>
      <c r="AG587" s="26"/>
      <c r="AH587" s="26"/>
      <c r="AI587" s="26"/>
      <c r="AJ587" s="26"/>
      <c r="AK587" s="26"/>
      <c r="AL587" s="90"/>
      <c r="AM587" s="26"/>
      <c r="AN587" s="26"/>
      <c r="AO587" s="90"/>
      <c r="AP587" s="26"/>
      <c r="AQ587" s="26"/>
      <c r="AR587" s="90"/>
      <c r="AS587" s="26"/>
      <c r="AT587" s="26"/>
      <c r="AU587" s="90"/>
      <c r="AV587" s="26"/>
      <c r="AW587" s="26"/>
      <c r="AX587" s="90"/>
      <c r="AY587" s="83"/>
      <c r="AZ587" s="83"/>
      <c r="BA587" s="83"/>
      <c r="BB587" s="104"/>
      <c r="BC587" s="104"/>
      <c r="BD587" s="138"/>
      <c r="BE587" s="104"/>
      <c r="BF587" s="104"/>
      <c r="BG587" s="745">
        <v>2007</v>
      </c>
      <c r="BH587" s="83"/>
      <c r="BI587" s="83"/>
      <c r="BJ587" s="138"/>
      <c r="BK587" s="26"/>
      <c r="BL587" s="83"/>
      <c r="BM587" s="26"/>
      <c r="BN587" s="26"/>
      <c r="BO587" s="138"/>
      <c r="BP587" s="138"/>
      <c r="BQ587" s="26"/>
      <c r="BR587" s="26"/>
      <c r="BS587" s="26"/>
      <c r="BT587" s="743">
        <v>2009</v>
      </c>
      <c r="BU587" s="26"/>
      <c r="BV587" s="138"/>
      <c r="BW587" s="26"/>
      <c r="BX587" s="26"/>
      <c r="BY587" s="26"/>
      <c r="BZ587" s="26"/>
      <c r="CA587" s="26"/>
      <c r="CB587" s="138"/>
      <c r="CC587" s="26"/>
      <c r="CD587" s="26"/>
      <c r="CE587" s="26"/>
      <c r="CF587" s="26"/>
      <c r="CG587" s="26"/>
      <c r="CH587" s="138"/>
      <c r="CI587" s="26"/>
      <c r="CJ587" s="26"/>
      <c r="CK587" s="83"/>
      <c r="CL587" s="26"/>
      <c r="CM587" s="26"/>
      <c r="CN587" s="138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138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</row>
    <row r="588" spans="1:151" hidden="1" outlineLevel="1">
      <c r="A588" s="202" t="s">
        <v>4596</v>
      </c>
      <c r="B588" s="90"/>
      <c r="C588" s="26"/>
      <c r="D588" s="26"/>
      <c r="E588" s="26"/>
      <c r="F588" s="26"/>
      <c r="G588" s="26"/>
      <c r="H588" s="90"/>
      <c r="I588" s="26"/>
      <c r="J588" s="26"/>
      <c r="K588" s="26"/>
      <c r="L588" s="26"/>
      <c r="M588" s="26"/>
      <c r="N588" s="90"/>
      <c r="O588" s="26"/>
      <c r="P588" s="26"/>
      <c r="Q588" s="26"/>
      <c r="R588" s="26"/>
      <c r="S588" s="26"/>
      <c r="T588" s="90"/>
      <c r="U588" s="26"/>
      <c r="V588" s="26"/>
      <c r="W588" s="26"/>
      <c r="X588" s="26"/>
      <c r="Y588" s="26"/>
      <c r="Z588" s="90"/>
      <c r="AA588" s="26"/>
      <c r="AB588" s="26"/>
      <c r="AC588" s="26"/>
      <c r="AD588" s="26"/>
      <c r="AE588" s="26"/>
      <c r="AF588" s="90"/>
      <c r="AG588" s="26"/>
      <c r="AH588" s="26"/>
      <c r="AI588" s="26"/>
      <c r="AJ588" s="26"/>
      <c r="AK588" s="26"/>
      <c r="AL588" s="90"/>
      <c r="AM588" s="36"/>
      <c r="AN588" s="26"/>
      <c r="AO588" s="90"/>
      <c r="AP588" s="108"/>
      <c r="AQ588" s="26"/>
      <c r="AR588" s="90"/>
      <c r="AS588" s="108"/>
      <c r="AT588" s="607"/>
      <c r="AU588" s="108"/>
      <c r="AV588" s="36"/>
      <c r="AW588" s="26"/>
      <c r="AX588" s="90"/>
      <c r="AY588" s="109"/>
      <c r="AZ588" s="109"/>
      <c r="BA588" s="109"/>
      <c r="BB588" s="109"/>
      <c r="BC588" s="104"/>
      <c r="BD588" s="138"/>
      <c r="BE588" s="104"/>
      <c r="BF588" s="109"/>
      <c r="BG588" s="104">
        <v>1.41</v>
      </c>
      <c r="BH588" s="83"/>
      <c r="BI588" s="83"/>
      <c r="BJ588" s="138"/>
      <c r="BK588" s="26"/>
      <c r="BL588" s="83"/>
      <c r="BM588" s="26"/>
      <c r="BN588" s="26"/>
      <c r="BO588" s="138"/>
      <c r="BP588" s="138"/>
      <c r="BQ588" s="26"/>
      <c r="BR588" s="26"/>
      <c r="BS588" s="26"/>
      <c r="BT588" s="36">
        <v>2.2000000000000002</v>
      </c>
      <c r="BU588" s="26"/>
      <c r="BV588" s="138"/>
      <c r="BW588" s="26"/>
      <c r="BX588" s="26"/>
      <c r="BY588" s="26"/>
      <c r="BZ588" s="26"/>
      <c r="CA588" s="26"/>
      <c r="CB588" s="138"/>
      <c r="CC588" s="26"/>
      <c r="CD588" s="26"/>
      <c r="CE588" s="26"/>
      <c r="CF588" s="26"/>
      <c r="CG588" s="26"/>
      <c r="CH588" s="138"/>
      <c r="CI588" s="26"/>
      <c r="CJ588" s="26"/>
      <c r="CK588" s="83"/>
      <c r="CL588" s="26"/>
      <c r="CM588" s="26"/>
      <c r="CN588" s="138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138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</row>
    <row r="589" spans="1:151" hidden="1" outlineLevel="1">
      <c r="A589" s="202" t="s">
        <v>4595</v>
      </c>
      <c r="B589" s="90"/>
      <c r="C589" s="26"/>
      <c r="D589" s="26"/>
      <c r="E589" s="26"/>
      <c r="F589" s="26"/>
      <c r="G589" s="26"/>
      <c r="H589" s="90"/>
      <c r="I589" s="26"/>
      <c r="J589" s="26"/>
      <c r="K589" s="26"/>
      <c r="L589" s="26"/>
      <c r="M589" s="26"/>
      <c r="N589" s="90"/>
      <c r="O589" s="26"/>
      <c r="P589" s="26"/>
      <c r="Q589" s="26"/>
      <c r="R589" s="26"/>
      <c r="S589" s="26"/>
      <c r="T589" s="90"/>
      <c r="U589" s="26"/>
      <c r="V589" s="26"/>
      <c r="W589" s="26"/>
      <c r="X589" s="26"/>
      <c r="Y589" s="26"/>
      <c r="Z589" s="90"/>
      <c r="AA589" s="26"/>
      <c r="AB589" s="26"/>
      <c r="AC589" s="26"/>
      <c r="AD589" s="26"/>
      <c r="AE589" s="26"/>
      <c r="AF589" s="90"/>
      <c r="AG589" s="26"/>
      <c r="AH589" s="26"/>
      <c r="AI589" s="26"/>
      <c r="AJ589" s="26"/>
      <c r="AK589" s="26"/>
      <c r="AL589" s="90"/>
      <c r="AM589" s="36"/>
      <c r="AN589" s="26"/>
      <c r="AO589" s="90"/>
      <c r="AP589" s="108"/>
      <c r="AQ589" s="26"/>
      <c r="AR589" s="90"/>
      <c r="AS589" s="108"/>
      <c r="AT589" s="607"/>
      <c r="AU589" s="108"/>
      <c r="AV589" s="36"/>
      <c r="AW589" s="26"/>
      <c r="AX589" s="90"/>
      <c r="AY589" s="109"/>
      <c r="AZ589" s="109"/>
      <c r="BA589" s="109"/>
      <c r="BB589" s="109"/>
      <c r="BC589" s="104"/>
      <c r="BD589" s="138"/>
      <c r="BE589" s="104"/>
      <c r="BF589" s="104"/>
      <c r="BG589" s="104">
        <v>1.45</v>
      </c>
      <c r="BH589" s="83"/>
      <c r="BI589" s="83"/>
      <c r="BJ589" s="138"/>
      <c r="BK589" s="26"/>
      <c r="BL589" s="83"/>
      <c r="BM589" s="26"/>
      <c r="BN589" s="26"/>
      <c r="BO589" s="138"/>
      <c r="BP589" s="138"/>
      <c r="BQ589" s="26"/>
      <c r="BR589" s="26"/>
      <c r="BS589" s="26"/>
      <c r="BT589" s="26">
        <v>2.2599999999999998</v>
      </c>
      <c r="BU589" s="26"/>
      <c r="BV589" s="138"/>
      <c r="BW589" s="26"/>
      <c r="BX589" s="26"/>
      <c r="BY589" s="26"/>
      <c r="BZ589" s="26"/>
      <c r="CA589" s="26"/>
      <c r="CB589" s="138"/>
      <c r="CC589" s="26"/>
      <c r="CD589" s="26"/>
      <c r="CE589" s="26"/>
      <c r="CF589" s="26"/>
      <c r="CG589" s="26"/>
      <c r="CH589" s="138"/>
      <c r="CI589" s="26"/>
      <c r="CJ589" s="26"/>
      <c r="CK589" s="83"/>
      <c r="CL589" s="26"/>
      <c r="CM589" s="26"/>
      <c r="CN589" s="138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138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</row>
    <row r="590" spans="1:151" hidden="1" outlineLevel="1">
      <c r="A590" s="203" t="s">
        <v>4597</v>
      </c>
      <c r="B590" s="52"/>
      <c r="C590" s="30"/>
      <c r="D590" s="30"/>
      <c r="E590" s="30"/>
      <c r="F590" s="30"/>
      <c r="G590" s="30"/>
      <c r="H590" s="52"/>
      <c r="I590" s="30"/>
      <c r="J590" s="30"/>
      <c r="K590" s="30"/>
      <c r="L590" s="30"/>
      <c r="M590" s="30"/>
      <c r="N590" s="52"/>
      <c r="O590" s="30"/>
      <c r="P590" s="30"/>
      <c r="Q590" s="30"/>
      <c r="R590" s="30"/>
      <c r="S590" s="30"/>
      <c r="T590" s="52"/>
      <c r="U590" s="30"/>
      <c r="V590" s="30"/>
      <c r="W590" s="30"/>
      <c r="X590" s="30"/>
      <c r="Y590" s="30"/>
      <c r="Z590" s="52"/>
      <c r="AA590" s="30"/>
      <c r="AB590" s="30"/>
      <c r="AC590" s="30"/>
      <c r="AD590" s="30"/>
      <c r="AE590" s="30"/>
      <c r="AF590" s="52"/>
      <c r="AG590" s="30"/>
      <c r="AH590" s="30"/>
      <c r="AI590" s="30"/>
      <c r="AJ590" s="30"/>
      <c r="AK590" s="30"/>
      <c r="AL590" s="52"/>
      <c r="AM590" s="30"/>
      <c r="AN590" s="30"/>
      <c r="AO590" s="52"/>
      <c r="AP590" s="30"/>
      <c r="AQ590" s="529"/>
      <c r="AR590" s="52"/>
      <c r="AS590" s="30"/>
      <c r="AT590" s="30"/>
      <c r="AU590" s="52"/>
      <c r="AV590" s="30"/>
      <c r="AW590" s="529"/>
      <c r="AX590" s="52"/>
      <c r="AY590" s="272"/>
      <c r="AZ590" s="272"/>
      <c r="BA590" s="742"/>
      <c r="BB590" s="742"/>
      <c r="BC590" s="700"/>
      <c r="BD590" s="57"/>
      <c r="BE590" s="700"/>
      <c r="BF590" s="700"/>
      <c r="BG590" s="700">
        <f>Model!BO107</f>
        <v>1.54077</v>
      </c>
      <c r="BH590" s="272"/>
      <c r="BI590" s="272"/>
      <c r="BJ590" s="57"/>
      <c r="BK590" s="30"/>
      <c r="BL590" s="272"/>
      <c r="BM590" s="30"/>
      <c r="BN590" s="30"/>
      <c r="BO590" s="57"/>
      <c r="BP590" s="57"/>
      <c r="BQ590" s="30"/>
      <c r="BR590" s="30"/>
      <c r="BS590" s="30"/>
      <c r="BT590" s="896">
        <f>Model!$CA107</f>
        <v>1.9396199999999999</v>
      </c>
      <c r="BU590" s="30"/>
      <c r="BV590" s="57"/>
      <c r="BW590" s="30"/>
      <c r="BX590" s="30"/>
      <c r="BY590" s="30"/>
      <c r="BZ590" s="30"/>
      <c r="CA590" s="30"/>
      <c r="CB590" s="57"/>
      <c r="CC590" s="30"/>
      <c r="CD590" s="30"/>
      <c r="CE590" s="30"/>
      <c r="CF590" s="30"/>
      <c r="CG590" s="30"/>
      <c r="CH590" s="57"/>
      <c r="CI590" s="30"/>
      <c r="CJ590" s="30"/>
      <c r="CK590" s="272"/>
      <c r="CL590" s="30"/>
      <c r="CM590" s="30"/>
      <c r="CN590" s="57"/>
      <c r="CO590" s="52"/>
      <c r="CP590" s="52"/>
      <c r="CQ590" s="52"/>
      <c r="CR590" s="52"/>
      <c r="CS590" s="52"/>
      <c r="CT590" s="52"/>
      <c r="CU590" s="52"/>
      <c r="CV590" s="52"/>
      <c r="CW590" s="52"/>
      <c r="CX590" s="52"/>
      <c r="CY590" s="52"/>
      <c r="CZ590" s="52"/>
      <c r="DA590" s="52"/>
      <c r="DB590" s="52"/>
      <c r="DC590" s="52"/>
      <c r="DD590" s="52"/>
      <c r="DE590" s="52"/>
      <c r="DF590" s="52"/>
      <c r="DG590" s="52"/>
      <c r="DH590" s="52"/>
      <c r="DI590" s="52"/>
      <c r="DJ590" s="52"/>
      <c r="DK590" s="52"/>
      <c r="DL590" s="57"/>
      <c r="DM590" s="52"/>
      <c r="DN590" s="52"/>
      <c r="DO590" s="52"/>
      <c r="DP590" s="52"/>
      <c r="DQ590" s="52"/>
      <c r="DR590" s="52"/>
      <c r="DS590" s="52"/>
      <c r="DT590" s="52"/>
      <c r="DU590" s="52"/>
      <c r="DV590" s="52"/>
      <c r="DW590" s="52"/>
      <c r="DX590" s="52"/>
      <c r="DY590" s="52"/>
      <c r="DZ590" s="52"/>
      <c r="EA590" s="52"/>
      <c r="EB590" s="52"/>
      <c r="EC590" s="52"/>
      <c r="ED590" s="52"/>
      <c r="EE590" s="52"/>
      <c r="EF590" s="52"/>
      <c r="EG590" s="52"/>
      <c r="EH590" s="52"/>
      <c r="EI590" s="52"/>
      <c r="EJ590" s="52"/>
      <c r="EK590" s="52"/>
      <c r="EL590" s="52"/>
      <c r="EM590" s="52"/>
      <c r="EN590" s="52"/>
      <c r="EO590" s="52"/>
      <c r="EP590" s="52"/>
      <c r="EQ590" s="52"/>
      <c r="ER590" s="52"/>
      <c r="ES590" s="52"/>
      <c r="ET590" s="52"/>
      <c r="EU590" s="52"/>
    </row>
    <row r="591" spans="1:151" hidden="1" outlineLevel="1">
      <c r="A591" s="202"/>
      <c r="B591" s="90"/>
      <c r="C591" s="26"/>
      <c r="D591" s="26"/>
      <c r="E591" s="26"/>
      <c r="F591" s="26"/>
      <c r="G591" s="26"/>
      <c r="H591" s="90"/>
      <c r="I591" s="26"/>
      <c r="J591" s="26"/>
      <c r="K591" s="26"/>
      <c r="L591" s="26"/>
      <c r="M591" s="26"/>
      <c r="N591" s="90"/>
      <c r="O591" s="26"/>
      <c r="P591" s="26"/>
      <c r="Q591" s="26"/>
      <c r="R591" s="26"/>
      <c r="S591" s="26"/>
      <c r="T591" s="90"/>
      <c r="U591" s="26"/>
      <c r="V591" s="26"/>
      <c r="W591" s="26"/>
      <c r="X591" s="26"/>
      <c r="Y591" s="26"/>
      <c r="Z591" s="90"/>
      <c r="AA591" s="26"/>
      <c r="AB591" s="26"/>
      <c r="AC591" s="26"/>
      <c r="AD591" s="26"/>
      <c r="AE591" s="26"/>
      <c r="AF591" s="90"/>
      <c r="AG591" s="26"/>
      <c r="AH591" s="26"/>
      <c r="AI591" s="26"/>
      <c r="AJ591" s="26"/>
      <c r="AK591" s="26"/>
      <c r="AL591" s="90"/>
      <c r="AM591" s="26"/>
      <c r="AN591" s="26"/>
      <c r="AO591" s="90"/>
      <c r="AP591" s="26"/>
      <c r="AQ591" s="26"/>
      <c r="AR591" s="90"/>
      <c r="AS591" s="26"/>
      <c r="AT591" s="26"/>
      <c r="AU591" s="90"/>
      <c r="AV591" s="26"/>
      <c r="AW591" s="108"/>
      <c r="AX591" s="90"/>
      <c r="AY591" s="83"/>
      <c r="AZ591" s="83"/>
      <c r="BA591" s="83"/>
      <c r="BB591" s="104"/>
      <c r="BC591" s="104"/>
      <c r="BD591" s="138"/>
      <c r="BE591" s="104"/>
      <c r="BF591" s="104"/>
      <c r="BG591" s="104"/>
      <c r="BH591" s="83"/>
      <c r="BI591" s="83"/>
      <c r="BJ591" s="138"/>
      <c r="BK591" s="26"/>
      <c r="BL591" s="83"/>
      <c r="BM591" s="26"/>
      <c r="BN591" s="26"/>
      <c r="BO591" s="138"/>
      <c r="BP591" s="138"/>
      <c r="BQ591" s="26"/>
      <c r="BR591" s="26"/>
      <c r="BS591" s="26"/>
      <c r="BT591" s="26"/>
      <c r="BU591" s="26"/>
      <c r="BV591" s="138"/>
      <c r="BW591" s="26"/>
      <c r="BX591" s="26"/>
      <c r="BY591" s="26"/>
      <c r="BZ591" s="26"/>
      <c r="CA591" s="26"/>
      <c r="CB591" s="138"/>
      <c r="CC591" s="26"/>
      <c r="CD591" s="26"/>
      <c r="CE591" s="26"/>
      <c r="CF591" s="26"/>
      <c r="CG591" s="26"/>
      <c r="CH591" s="138"/>
      <c r="CI591" s="26"/>
      <c r="CJ591" s="26"/>
      <c r="CK591" s="83"/>
      <c r="CL591" s="26"/>
      <c r="CM591" s="26"/>
      <c r="CN591" s="138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138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</row>
    <row r="592" spans="1:151" hidden="1" outlineLevel="1">
      <c r="A592" s="202" t="s">
        <v>3348</v>
      </c>
      <c r="B592" s="90"/>
      <c r="C592" s="26"/>
      <c r="D592" s="26"/>
      <c r="E592" s="26"/>
      <c r="F592" s="26"/>
      <c r="G592" s="26"/>
      <c r="H592" s="90"/>
      <c r="I592" s="26"/>
      <c r="J592" s="26"/>
      <c r="K592" s="26"/>
      <c r="L592" s="26"/>
      <c r="M592" s="26"/>
      <c r="N592" s="90"/>
      <c r="O592" s="26"/>
      <c r="P592" s="26"/>
      <c r="Q592" s="26"/>
      <c r="R592" s="26"/>
      <c r="S592" s="26"/>
      <c r="T592" s="90"/>
      <c r="U592" s="26"/>
      <c r="V592" s="26"/>
      <c r="W592" s="26"/>
      <c r="X592" s="26"/>
      <c r="Y592" s="26"/>
      <c r="Z592" s="90"/>
      <c r="AA592" s="26"/>
      <c r="AB592" s="26"/>
      <c r="AC592" s="26"/>
      <c r="AD592" s="26"/>
      <c r="AE592" s="26"/>
      <c r="AF592" s="90"/>
      <c r="AG592" s="26"/>
      <c r="AH592" s="26"/>
      <c r="AI592" s="26"/>
      <c r="AJ592" s="26"/>
      <c r="AK592" s="26"/>
      <c r="AL592" s="90"/>
      <c r="AM592" s="26"/>
      <c r="AN592" s="26"/>
      <c r="AO592" s="90"/>
      <c r="AP592" s="26"/>
      <c r="AQ592" s="26"/>
      <c r="AR592" s="90"/>
      <c r="AS592" s="26"/>
      <c r="AT592" s="26"/>
      <c r="AU592" s="26"/>
      <c r="AV592" s="26"/>
      <c r="AW592" s="26"/>
      <c r="AX592" s="90"/>
      <c r="AY592" s="83"/>
      <c r="AZ592" s="83"/>
      <c r="BA592" s="83"/>
      <c r="BB592" s="104"/>
      <c r="BC592" s="104"/>
      <c r="BD592" s="138"/>
      <c r="BE592" s="104"/>
      <c r="BF592" s="104"/>
      <c r="BG592" s="104"/>
      <c r="BH592" s="83"/>
      <c r="BI592" s="83"/>
      <c r="BJ592" s="138"/>
      <c r="BK592" s="26"/>
      <c r="BL592" s="83"/>
      <c r="BM592" s="26"/>
      <c r="BN592" s="26"/>
      <c r="BO592" s="138"/>
      <c r="BP592" s="138"/>
      <c r="BQ592" s="26"/>
      <c r="BR592" s="26"/>
      <c r="BS592" s="26"/>
      <c r="BT592" s="26"/>
      <c r="BU592" s="26"/>
      <c r="BV592" s="138"/>
      <c r="BW592" s="26"/>
      <c r="BX592" s="26"/>
      <c r="BY592" s="26"/>
      <c r="BZ592" s="26"/>
      <c r="CA592" s="26"/>
      <c r="CB592" s="138"/>
      <c r="CC592" s="26"/>
      <c r="CD592" s="26"/>
      <c r="CE592" s="26"/>
      <c r="CF592" s="26"/>
      <c r="CG592" s="26"/>
      <c r="CH592" s="138"/>
      <c r="CI592" s="26"/>
      <c r="CJ592" s="26"/>
      <c r="CK592" s="83"/>
      <c r="CL592" s="26"/>
      <c r="CM592" s="26"/>
      <c r="CN592" s="138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138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</row>
    <row r="593" spans="1:160" hidden="1" outlineLevel="1">
      <c r="A593" s="202" t="s">
        <v>4596</v>
      </c>
      <c r="B593" s="90"/>
      <c r="C593" s="26"/>
      <c r="D593" s="26"/>
      <c r="E593" s="26"/>
      <c r="F593" s="26"/>
      <c r="G593" s="26"/>
      <c r="H593" s="90"/>
      <c r="I593" s="26"/>
      <c r="J593" s="26"/>
      <c r="K593" s="26"/>
      <c r="L593" s="26"/>
      <c r="M593" s="26"/>
      <c r="N593" s="90"/>
      <c r="O593" s="26"/>
      <c r="P593" s="26"/>
      <c r="Q593" s="26"/>
      <c r="R593" s="26"/>
      <c r="S593" s="26"/>
      <c r="T593" s="90"/>
      <c r="U593" s="26"/>
      <c r="V593" s="26"/>
      <c r="W593" s="26"/>
      <c r="X593" s="26"/>
      <c r="Y593" s="26"/>
      <c r="Z593" s="90"/>
      <c r="AA593" s="26"/>
      <c r="AB593" s="26"/>
      <c r="AC593" s="26"/>
      <c r="AD593" s="26"/>
      <c r="AE593" s="26"/>
      <c r="AF593" s="90"/>
      <c r="AG593" s="26"/>
      <c r="AH593" s="26"/>
      <c r="AI593" s="26"/>
      <c r="AJ593" s="26"/>
      <c r="AK593" s="26"/>
      <c r="AL593" s="90"/>
      <c r="AM593" s="26"/>
      <c r="AN593" s="26"/>
      <c r="AO593" s="90"/>
      <c r="AP593" s="26"/>
      <c r="AQ593" s="26"/>
      <c r="AR593" s="90"/>
      <c r="AS593" s="26"/>
      <c r="AT593" s="26"/>
      <c r="AU593" s="26"/>
      <c r="AV593" s="26"/>
      <c r="AW593" s="26"/>
      <c r="AX593" s="90"/>
      <c r="AY593" s="83"/>
      <c r="AZ593" s="83"/>
      <c r="BA593" s="83"/>
      <c r="BB593" s="104"/>
      <c r="BC593" s="104"/>
      <c r="BD593" s="138"/>
      <c r="BE593" s="104"/>
      <c r="BF593" s="104"/>
      <c r="BG593" s="104"/>
      <c r="BH593" s="83"/>
      <c r="BI593" s="83"/>
      <c r="BJ593" s="138"/>
      <c r="BK593" s="26"/>
      <c r="BL593" s="83"/>
      <c r="BM593" s="26"/>
      <c r="BN593" s="26"/>
      <c r="BO593" s="138"/>
      <c r="BP593" s="138"/>
      <c r="BQ593" s="26"/>
      <c r="BR593" s="26"/>
      <c r="BS593" s="26"/>
      <c r="BT593" s="26"/>
      <c r="BU593" s="26"/>
      <c r="BV593" s="138"/>
      <c r="BW593" s="26"/>
      <c r="BX593" s="26"/>
      <c r="BY593" s="26"/>
      <c r="BZ593" s="26"/>
      <c r="CA593" s="26"/>
      <c r="CB593" s="138"/>
      <c r="CC593" s="26"/>
      <c r="CD593" s="26"/>
      <c r="CE593" s="26"/>
      <c r="CF593" s="26"/>
      <c r="CG593" s="26"/>
      <c r="CH593" s="138"/>
      <c r="CI593" s="26"/>
      <c r="CJ593" s="26"/>
      <c r="CK593" s="83"/>
      <c r="CL593" s="26"/>
      <c r="CM593" s="26"/>
      <c r="CN593" s="138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138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</row>
    <row r="594" spans="1:160" hidden="1" outlineLevel="1">
      <c r="A594" s="202" t="s">
        <v>4595</v>
      </c>
      <c r="B594" s="90"/>
      <c r="C594" s="26"/>
      <c r="D594" s="26"/>
      <c r="E594" s="26"/>
      <c r="F594" s="26"/>
      <c r="G594" s="26"/>
      <c r="H594" s="90"/>
      <c r="I594" s="26"/>
      <c r="J594" s="26"/>
      <c r="K594" s="26"/>
      <c r="L594" s="26"/>
      <c r="M594" s="26"/>
      <c r="N594" s="90"/>
      <c r="O594" s="26"/>
      <c r="P594" s="26"/>
      <c r="Q594" s="26"/>
      <c r="R594" s="26"/>
      <c r="S594" s="26"/>
      <c r="T594" s="90"/>
      <c r="U594" s="26"/>
      <c r="V594" s="26"/>
      <c r="W594" s="26"/>
      <c r="X594" s="26"/>
      <c r="Y594" s="26"/>
      <c r="Z594" s="90"/>
      <c r="AA594" s="26"/>
      <c r="AB594" s="26"/>
      <c r="AC594" s="26"/>
      <c r="AD594" s="26"/>
      <c r="AE594" s="26"/>
      <c r="AF594" s="90"/>
      <c r="AG594" s="26"/>
      <c r="AH594" s="26"/>
      <c r="AI594" s="26"/>
      <c r="AJ594" s="26"/>
      <c r="AK594" s="26"/>
      <c r="AL594" s="90"/>
      <c r="AM594" s="26"/>
      <c r="AN594" s="26"/>
      <c r="AO594" s="90"/>
      <c r="AP594" s="26"/>
      <c r="AQ594" s="26"/>
      <c r="AR594" s="90"/>
      <c r="AS594" s="26"/>
      <c r="AT594" s="26"/>
      <c r="AU594" s="26"/>
      <c r="AV594" s="26"/>
      <c r="AW594" s="26"/>
      <c r="AX594" s="90"/>
      <c r="AY594" s="83"/>
      <c r="AZ594" s="83"/>
      <c r="BA594" s="83"/>
      <c r="BB594" s="104"/>
      <c r="BC594" s="104"/>
      <c r="BD594" s="138"/>
      <c r="BE594" s="104"/>
      <c r="BF594" s="104"/>
      <c r="BG594" s="104"/>
      <c r="BH594" s="83"/>
      <c r="BI594" s="83"/>
      <c r="BJ594" s="138"/>
      <c r="BK594" s="26"/>
      <c r="BL594" s="83"/>
      <c r="BM594" s="26"/>
      <c r="BN594" s="26"/>
      <c r="BO594" s="138"/>
      <c r="BP594" s="138"/>
      <c r="BQ594" s="26"/>
      <c r="BR594" s="26"/>
      <c r="BS594" s="26"/>
      <c r="BT594" s="26"/>
      <c r="BU594" s="26"/>
      <c r="BV594" s="138"/>
      <c r="BW594" s="26"/>
      <c r="BX594" s="26"/>
      <c r="BY594" s="26"/>
      <c r="BZ594" s="26"/>
      <c r="CA594" s="26"/>
      <c r="CB594" s="138"/>
      <c r="CC594" s="26"/>
      <c r="CD594" s="26"/>
      <c r="CE594" s="26"/>
      <c r="CF594" s="26"/>
      <c r="CG594" s="26"/>
      <c r="CH594" s="138"/>
      <c r="CI594" s="26"/>
      <c r="CJ594" s="26"/>
      <c r="CK594" s="83"/>
      <c r="CL594" s="26"/>
      <c r="CM594" s="26"/>
      <c r="CN594" s="138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138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</row>
    <row r="595" spans="1:160" hidden="1" outlineLevel="1">
      <c r="A595" s="203" t="s">
        <v>4597</v>
      </c>
      <c r="B595" s="90"/>
      <c r="C595" s="26"/>
      <c r="D595" s="26"/>
      <c r="E595" s="26"/>
      <c r="F595" s="26"/>
      <c r="G595" s="26"/>
      <c r="H595" s="90"/>
      <c r="I595" s="26"/>
      <c r="J595" s="26"/>
      <c r="K595" s="26"/>
      <c r="L595" s="26"/>
      <c r="M595" s="26"/>
      <c r="N595" s="90"/>
      <c r="O595" s="26"/>
      <c r="P595" s="26"/>
      <c r="Q595" s="26"/>
      <c r="R595" s="26"/>
      <c r="S595" s="26"/>
      <c r="T595" s="90"/>
      <c r="U595" s="26"/>
      <c r="V595" s="26"/>
      <c r="W595" s="26"/>
      <c r="X595" s="26"/>
      <c r="Y595" s="26"/>
      <c r="Z595" s="90"/>
      <c r="AA595" s="26"/>
      <c r="AB595" s="26"/>
      <c r="AC595" s="26"/>
      <c r="AD595" s="26"/>
      <c r="AE595" s="26"/>
      <c r="AF595" s="90"/>
      <c r="AG595" s="26"/>
      <c r="AH595" s="26"/>
      <c r="AI595" s="26"/>
      <c r="AJ595" s="26"/>
      <c r="AK595" s="26"/>
      <c r="AL595" s="90"/>
      <c r="AM595" s="26"/>
      <c r="AN595" s="26"/>
      <c r="AO595" s="90"/>
      <c r="AP595" s="26"/>
      <c r="AQ595" s="26"/>
      <c r="AR595" s="90"/>
      <c r="AS595" s="26"/>
      <c r="AT595" s="26"/>
      <c r="AU595" s="26"/>
      <c r="AV595" s="26"/>
      <c r="AW595" s="26"/>
      <c r="AX595" s="90"/>
      <c r="AY595" s="83"/>
      <c r="AZ595" s="83"/>
      <c r="BA595" s="83"/>
      <c r="BB595" s="104"/>
      <c r="BC595" s="104"/>
      <c r="BD595" s="138"/>
      <c r="BE595" s="363">
        <f>CF!$BI39</f>
        <v>415.30000000000007</v>
      </c>
      <c r="BF595" s="104"/>
      <c r="BG595" s="104"/>
      <c r="BH595" s="83"/>
      <c r="BI595" s="83"/>
      <c r="BJ595" s="138"/>
      <c r="BK595" s="26"/>
      <c r="BL595" s="83"/>
      <c r="BM595" s="26"/>
      <c r="BN595" s="26"/>
      <c r="BO595" s="138"/>
      <c r="BP595" s="138"/>
      <c r="BQ595" s="26"/>
      <c r="BR595" s="26"/>
      <c r="BS595" s="26"/>
      <c r="BT595" s="26"/>
      <c r="BU595" s="26"/>
      <c r="BV595" s="138"/>
      <c r="BW595" s="26"/>
      <c r="BX595" s="26"/>
      <c r="BY595" s="26"/>
      <c r="BZ595" s="26"/>
      <c r="CA595" s="26"/>
      <c r="CB595" s="138"/>
      <c r="CC595" s="26"/>
      <c r="CD595" s="26"/>
      <c r="CE595" s="26"/>
      <c r="CF595" s="26"/>
      <c r="CG595" s="26"/>
      <c r="CH595" s="138"/>
      <c r="CI595" s="26"/>
      <c r="CJ595" s="26"/>
      <c r="CK595" s="83"/>
      <c r="CL595" s="26"/>
      <c r="CM595" s="26"/>
      <c r="CN595" s="138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138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</row>
    <row r="596" spans="1:160" hidden="1" outlineLevel="1">
      <c r="A596" s="202"/>
      <c r="B596" s="90"/>
      <c r="C596" s="26"/>
      <c r="D596" s="26"/>
      <c r="E596" s="26"/>
      <c r="F596" s="26"/>
      <c r="G596" s="26"/>
      <c r="H596" s="90"/>
      <c r="I596" s="26"/>
      <c r="J596" s="26"/>
      <c r="K596" s="26"/>
      <c r="L596" s="26"/>
      <c r="M596" s="26"/>
      <c r="N596" s="90"/>
      <c r="O596" s="26"/>
      <c r="P596" s="26"/>
      <c r="Q596" s="26"/>
      <c r="R596" s="26"/>
      <c r="S596" s="26"/>
      <c r="T596" s="90"/>
      <c r="U596" s="26"/>
      <c r="V596" s="26"/>
      <c r="W596" s="26"/>
      <c r="X596" s="26"/>
      <c r="Y596" s="26"/>
      <c r="Z596" s="90"/>
      <c r="AA596" s="26"/>
      <c r="AB596" s="26"/>
      <c r="AC596" s="26"/>
      <c r="AD596" s="26"/>
      <c r="AE596" s="26"/>
      <c r="AF596" s="90"/>
      <c r="AG596" s="26"/>
      <c r="AH596" s="26"/>
      <c r="AI596" s="26"/>
      <c r="AJ596" s="26"/>
      <c r="AK596" s="26"/>
      <c r="AL596" s="90"/>
      <c r="AM596" s="26"/>
      <c r="AN596" s="26"/>
      <c r="AO596" s="90"/>
      <c r="AP596" s="26"/>
      <c r="AQ596" s="26"/>
      <c r="AR596" s="90"/>
      <c r="AS596" s="26"/>
      <c r="AT596" s="26"/>
      <c r="AU596" s="26"/>
      <c r="AV596" s="26"/>
      <c r="AW596" s="26"/>
      <c r="AX596" s="90"/>
      <c r="AY596" s="83"/>
      <c r="AZ596" s="83"/>
      <c r="BA596" s="83"/>
      <c r="BB596" s="104"/>
      <c r="BC596" s="104"/>
      <c r="BD596" s="138"/>
      <c r="BE596" s="104"/>
      <c r="BF596" s="104"/>
      <c r="BG596" s="104"/>
      <c r="BH596" s="83"/>
      <c r="BI596" s="83"/>
      <c r="BJ596" s="138"/>
      <c r="BK596" s="26"/>
      <c r="BL596" s="83"/>
      <c r="BM596" s="26"/>
      <c r="BN596" s="26"/>
      <c r="BO596" s="138"/>
      <c r="BP596" s="138"/>
      <c r="BQ596" s="26"/>
      <c r="BR596" s="26"/>
      <c r="BS596" s="26"/>
      <c r="BT596" s="26"/>
      <c r="BU596" s="26"/>
      <c r="BV596" s="138"/>
      <c r="BW596" s="26"/>
      <c r="BX596" s="26"/>
      <c r="BY596" s="26"/>
      <c r="BZ596" s="26"/>
      <c r="CA596" s="26"/>
      <c r="CB596" s="138"/>
      <c r="CC596" s="26"/>
      <c r="CD596" s="26"/>
      <c r="CE596" s="26"/>
      <c r="CF596" s="26"/>
      <c r="CG596" s="26"/>
      <c r="CH596" s="138"/>
      <c r="CI596" s="26"/>
      <c r="CJ596" s="26"/>
      <c r="CK596" s="83"/>
      <c r="CL596" s="26"/>
      <c r="CM596" s="26"/>
      <c r="CN596" s="138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138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</row>
    <row r="597" spans="1:160" hidden="1" outlineLevel="1">
      <c r="A597" s="202"/>
      <c r="B597" s="90"/>
      <c r="C597" s="26"/>
      <c r="D597" s="26"/>
      <c r="E597" s="26"/>
      <c r="F597" s="26"/>
      <c r="G597" s="26"/>
      <c r="H597" s="90"/>
      <c r="I597" s="26"/>
      <c r="J597" s="26"/>
      <c r="K597" s="26"/>
      <c r="L597" s="26"/>
      <c r="M597" s="26"/>
      <c r="N597" s="90"/>
      <c r="O597" s="26"/>
      <c r="P597" s="26"/>
      <c r="Q597" s="26"/>
      <c r="R597" s="26"/>
      <c r="S597" s="26"/>
      <c r="T597" s="90"/>
      <c r="U597" s="26"/>
      <c r="V597" s="26"/>
      <c r="W597" s="26"/>
      <c r="X597" s="26"/>
      <c r="Y597" s="26"/>
      <c r="Z597" s="90"/>
      <c r="AA597" s="26"/>
      <c r="AB597" s="26"/>
      <c r="AC597" s="26"/>
      <c r="AD597" s="26"/>
      <c r="AE597" s="26"/>
      <c r="AF597" s="90"/>
      <c r="AG597" s="26"/>
      <c r="AH597" s="26"/>
      <c r="AI597" s="26"/>
      <c r="AJ597" s="26"/>
      <c r="AK597" s="26"/>
      <c r="AL597" s="90"/>
      <c r="AM597" s="26"/>
      <c r="AN597" s="26"/>
      <c r="AO597" s="90"/>
      <c r="AP597" s="26"/>
      <c r="AQ597" s="26"/>
      <c r="AR597" s="90"/>
      <c r="AS597" s="26"/>
      <c r="AT597" s="26"/>
      <c r="AU597" s="26"/>
      <c r="AV597" s="26"/>
      <c r="AW597" s="26"/>
      <c r="AX597" s="90"/>
      <c r="AY597" s="83"/>
      <c r="AZ597" s="83"/>
      <c r="BA597" s="83"/>
      <c r="BB597" s="104"/>
      <c r="BC597" s="104"/>
      <c r="BD597" s="138"/>
      <c r="BE597" s="104"/>
      <c r="BF597" s="104"/>
      <c r="BG597" s="104"/>
      <c r="BH597" s="83"/>
      <c r="BI597" s="83"/>
      <c r="BJ597" s="138"/>
      <c r="BK597" s="26"/>
      <c r="BL597" s="26"/>
      <c r="BM597" s="26"/>
      <c r="BN597" s="26"/>
      <c r="BO597" s="138"/>
      <c r="BP597" s="138"/>
      <c r="BQ597" s="26"/>
      <c r="BR597" s="26"/>
      <c r="BS597" s="26"/>
      <c r="BT597" s="26"/>
      <c r="BU597" s="26"/>
      <c r="BV597" s="138"/>
      <c r="BW597" s="26"/>
      <c r="BX597" s="26"/>
      <c r="BY597" s="26"/>
      <c r="BZ597" s="26"/>
      <c r="CA597" s="26"/>
      <c r="CB597" s="138"/>
      <c r="CC597" s="26"/>
      <c r="CD597" s="26"/>
      <c r="CE597" s="26"/>
      <c r="CF597" s="26"/>
      <c r="CG597" s="26"/>
      <c r="CH597" s="138"/>
      <c r="CI597" s="26"/>
      <c r="CJ597" s="26"/>
      <c r="CK597" s="83"/>
      <c r="CL597" s="26"/>
      <c r="CM597" s="26"/>
      <c r="CN597" s="138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138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</row>
    <row r="598" spans="1:160" hidden="1" outlineLevel="1">
      <c r="A598" s="202" t="s">
        <v>5184</v>
      </c>
      <c r="B598" s="90"/>
      <c r="C598" s="26"/>
      <c r="D598" s="26"/>
      <c r="E598" s="26"/>
      <c r="F598" s="26"/>
      <c r="G598" s="26"/>
      <c r="H598" s="90"/>
      <c r="I598" s="26"/>
      <c r="J598" s="26"/>
      <c r="K598" s="26"/>
      <c r="L598" s="26"/>
      <c r="M598" s="26"/>
      <c r="N598" s="90"/>
      <c r="O598" s="26"/>
      <c r="P598" s="26"/>
      <c r="Q598" s="26"/>
      <c r="R598" s="26"/>
      <c r="S598" s="26"/>
      <c r="T598" s="90"/>
      <c r="U598" s="26"/>
      <c r="V598" s="26"/>
      <c r="W598" s="26"/>
      <c r="X598" s="26"/>
      <c r="Y598" s="26"/>
      <c r="Z598" s="90"/>
      <c r="AA598" s="26"/>
      <c r="AB598" s="26"/>
      <c r="AC598" s="26"/>
      <c r="AD598" s="26"/>
      <c r="AE598" s="26"/>
      <c r="AF598" s="90"/>
      <c r="AG598" s="26"/>
      <c r="AH598" s="26"/>
      <c r="AI598" s="26"/>
      <c r="AJ598" s="26"/>
      <c r="AK598" s="26"/>
      <c r="AL598" s="90"/>
      <c r="AM598" s="26"/>
      <c r="AN598" s="26"/>
      <c r="AO598" s="90"/>
      <c r="AP598" s="26"/>
      <c r="AQ598" s="26"/>
      <c r="AR598" s="90"/>
      <c r="AS598" s="26"/>
      <c r="AT598" s="26"/>
      <c r="AU598" s="26"/>
      <c r="AV598" s="26"/>
      <c r="AW598" s="26"/>
      <c r="AX598" s="90"/>
      <c r="AY598" s="83"/>
      <c r="AZ598" s="83"/>
      <c r="BA598" s="83"/>
      <c r="BB598" s="104"/>
      <c r="BC598" s="104"/>
      <c r="BD598" s="138"/>
      <c r="BE598" s="286"/>
      <c r="BF598" s="286">
        <v>0.2</v>
      </c>
      <c r="BG598" s="286">
        <v>0.2</v>
      </c>
      <c r="BH598" s="838">
        <v>0.23</v>
      </c>
      <c r="BI598" s="83"/>
      <c r="BJ598" s="138"/>
      <c r="BK598" s="26"/>
      <c r="BL598" s="838">
        <v>0.24</v>
      </c>
      <c r="BM598" s="58">
        <v>0.24</v>
      </c>
      <c r="BN598" s="26"/>
      <c r="BO598" s="138"/>
      <c r="BP598" s="138"/>
      <c r="BQ598" s="26" t="s">
        <v>5256</v>
      </c>
      <c r="BR598" s="26" t="s">
        <v>5256</v>
      </c>
      <c r="BS598" s="26" t="s">
        <v>5256</v>
      </c>
      <c r="BT598" s="58">
        <v>0.26</v>
      </c>
      <c r="BU598" s="26"/>
      <c r="BV598" s="138"/>
      <c r="BW598" s="58">
        <v>0.26</v>
      </c>
      <c r="BX598" s="26"/>
      <c r="BY598" s="26"/>
      <c r="BZ598" s="26"/>
      <c r="CA598" s="26"/>
      <c r="CB598" s="138"/>
      <c r="CC598" s="26"/>
      <c r="CD598" s="26"/>
      <c r="CE598" s="26"/>
      <c r="CF598" s="26"/>
      <c r="CG598" s="26"/>
      <c r="CH598" s="138"/>
      <c r="CI598" s="26"/>
      <c r="CJ598" s="26"/>
      <c r="CK598" s="83"/>
      <c r="CL598" s="26"/>
      <c r="CM598" s="26"/>
      <c r="CN598" s="138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138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262">
        <v>-3.88</v>
      </c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</row>
    <row r="599" spans="1:160" hidden="1" outlineLevel="1">
      <c r="A599" s="203" t="s">
        <v>4597</v>
      </c>
      <c r="B599" s="90"/>
      <c r="C599" s="26"/>
      <c r="D599" s="26"/>
      <c r="E599" s="26"/>
      <c r="F599" s="26"/>
      <c r="G599" s="26"/>
      <c r="H599" s="90"/>
      <c r="I599" s="26"/>
      <c r="J599" s="26"/>
      <c r="K599" s="26"/>
      <c r="L599" s="26"/>
      <c r="M599" s="26"/>
      <c r="N599" s="90"/>
      <c r="O599" s="26"/>
      <c r="P599" s="26"/>
      <c r="Q599" s="26"/>
      <c r="R599" s="26"/>
      <c r="S599" s="26"/>
      <c r="T599" s="90"/>
      <c r="U599" s="26"/>
      <c r="V599" s="26"/>
      <c r="W599" s="26"/>
      <c r="X599" s="26"/>
      <c r="Y599" s="26"/>
      <c r="Z599" s="90"/>
      <c r="AA599" s="26"/>
      <c r="AB599" s="26"/>
      <c r="AC599" s="26"/>
      <c r="AD599" s="26"/>
      <c r="AE599" s="26"/>
      <c r="AF599" s="90"/>
      <c r="AG599" s="26"/>
      <c r="AH599" s="26"/>
      <c r="AI599" s="26"/>
      <c r="AJ599" s="26"/>
      <c r="AK599" s="26"/>
      <c r="AL599" s="90"/>
      <c r="AM599" s="26"/>
      <c r="AN599" s="26"/>
      <c r="AO599" s="90"/>
      <c r="AP599" s="26"/>
      <c r="AQ599" s="26"/>
      <c r="AR599" s="90"/>
      <c r="AS599" s="26"/>
      <c r="AT599" s="26"/>
      <c r="AU599" s="26"/>
      <c r="AV599" s="26"/>
      <c r="AW599" s="26"/>
      <c r="AX599" s="90"/>
      <c r="AY599" s="83"/>
      <c r="AZ599" s="83"/>
      <c r="BA599" s="83"/>
      <c r="BB599" s="104"/>
      <c r="BC599" s="104"/>
      <c r="BD599" s="138"/>
      <c r="BE599" s="740">
        <f>Model!$BI141</f>
        <v>0.14832780188920094</v>
      </c>
      <c r="BF599" s="104"/>
      <c r="BG599" s="104"/>
      <c r="BH599" s="83"/>
      <c r="BI599" s="83"/>
      <c r="BJ599" s="138"/>
      <c r="BK599" s="26"/>
      <c r="BL599" s="26"/>
      <c r="BM599" s="26"/>
      <c r="BN599" s="26"/>
      <c r="BO599" s="138"/>
      <c r="BP599" s="138"/>
      <c r="BQ599" s="26"/>
      <c r="BR599" s="26"/>
      <c r="BS599" s="26"/>
      <c r="BT599" s="26"/>
      <c r="BU599" s="26"/>
      <c r="BV599" s="138"/>
      <c r="BW599" s="26"/>
      <c r="BX599" s="26"/>
      <c r="BY599" s="26"/>
      <c r="BZ599" s="26"/>
      <c r="CA599" s="26"/>
      <c r="CB599" s="138"/>
      <c r="CC599" s="26"/>
      <c r="CD599" s="26"/>
      <c r="CE599" s="26"/>
      <c r="CF599" s="26"/>
      <c r="CG599" s="26"/>
      <c r="CH599" s="138"/>
      <c r="CI599" s="26"/>
      <c r="CJ599" s="26"/>
      <c r="CK599" s="83"/>
      <c r="CL599" s="26"/>
      <c r="CM599" s="26"/>
      <c r="CN599" s="138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138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</row>
    <row r="600" spans="1:160" hidden="1" outlineLevel="1">
      <c r="A600" s="202"/>
      <c r="B600" s="90"/>
      <c r="C600" s="26"/>
      <c r="D600" s="26"/>
      <c r="E600" s="26"/>
      <c r="F600" s="26"/>
      <c r="G600" s="26"/>
      <c r="H600" s="90"/>
      <c r="I600" s="26"/>
      <c r="J600" s="26"/>
      <c r="K600" s="26"/>
      <c r="L600" s="26"/>
      <c r="M600" s="26"/>
      <c r="N600" s="90"/>
      <c r="O600" s="26"/>
      <c r="P600" s="26"/>
      <c r="Q600" s="26"/>
      <c r="R600" s="26"/>
      <c r="S600" s="26"/>
      <c r="T600" s="90"/>
      <c r="U600" s="26"/>
      <c r="V600" s="26"/>
      <c r="W600" s="26"/>
      <c r="X600" s="26"/>
      <c r="Y600" s="26"/>
      <c r="Z600" s="90"/>
      <c r="AA600" s="26"/>
      <c r="AB600" s="26"/>
      <c r="AC600" s="26"/>
      <c r="AD600" s="26"/>
      <c r="AE600" s="26"/>
      <c r="AF600" s="90"/>
      <c r="AG600" s="26"/>
      <c r="AH600" s="26"/>
      <c r="AI600" s="26"/>
      <c r="AJ600" s="26"/>
      <c r="AK600" s="26"/>
      <c r="AL600" s="90"/>
      <c r="AM600" s="26"/>
      <c r="AN600" s="26"/>
      <c r="AO600" s="90"/>
      <c r="AP600" s="26"/>
      <c r="AQ600" s="26"/>
      <c r="AR600" s="90"/>
      <c r="AS600" s="26"/>
      <c r="AT600" s="26"/>
      <c r="AU600" s="26"/>
      <c r="AV600" s="26"/>
      <c r="AW600" s="26"/>
      <c r="AX600" s="90"/>
      <c r="AY600" s="83"/>
      <c r="AZ600" s="83"/>
      <c r="BA600" s="83"/>
      <c r="BB600" s="104"/>
      <c r="BC600" s="104"/>
      <c r="BD600" s="138"/>
      <c r="BE600" s="104"/>
      <c r="BF600" s="104"/>
      <c r="BG600" s="104"/>
      <c r="BH600" s="83"/>
      <c r="BI600" s="83"/>
      <c r="BJ600" s="138"/>
      <c r="BK600" s="26"/>
      <c r="BL600" s="26"/>
      <c r="BM600" s="26"/>
      <c r="BN600" s="26"/>
      <c r="BO600" s="138"/>
      <c r="BP600" s="138"/>
      <c r="BQ600" s="26"/>
      <c r="BR600" s="26"/>
      <c r="BS600" s="26"/>
      <c r="BT600" s="26"/>
      <c r="BU600" s="26"/>
      <c r="BV600" s="138"/>
      <c r="BW600" s="26"/>
      <c r="BX600" s="26"/>
      <c r="BY600" s="26"/>
      <c r="BZ600" s="26"/>
      <c r="CA600" s="26"/>
      <c r="CB600" s="138"/>
      <c r="CC600" s="26"/>
      <c r="CD600" s="26"/>
      <c r="CE600" s="26"/>
      <c r="CF600" s="26"/>
      <c r="CG600" s="26"/>
      <c r="CH600" s="138"/>
      <c r="CI600" s="26"/>
      <c r="CJ600" s="26"/>
      <c r="CK600" s="83"/>
      <c r="CL600" s="26"/>
      <c r="CM600" s="26"/>
      <c r="CN600" s="138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138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</row>
    <row r="601" spans="1:160" ht="13.5" customHeight="1" collapsed="1">
      <c r="A601" s="202" t="s">
        <v>5181</v>
      </c>
      <c r="B601" s="90"/>
      <c r="C601" s="26"/>
      <c r="D601" s="26"/>
      <c r="E601" s="26"/>
      <c r="F601" s="26"/>
      <c r="G601" s="26"/>
      <c r="H601" s="90"/>
      <c r="I601" s="26"/>
      <c r="J601" s="26"/>
      <c r="K601" s="26"/>
      <c r="L601" s="26"/>
      <c r="M601" s="26"/>
      <c r="N601" s="90"/>
      <c r="O601" s="26"/>
      <c r="P601" s="26"/>
      <c r="Q601" s="26"/>
      <c r="R601" s="26"/>
      <c r="S601" s="26"/>
      <c r="T601" s="90"/>
      <c r="U601" s="26"/>
      <c r="V601" s="26"/>
      <c r="W601" s="26"/>
      <c r="X601" s="26"/>
      <c r="Y601" s="26"/>
      <c r="Z601" s="90"/>
      <c r="AA601" s="26"/>
      <c r="AB601" s="26"/>
      <c r="AC601" s="26"/>
      <c r="AD601" s="26"/>
      <c r="AE601" s="26"/>
      <c r="AF601" s="90"/>
      <c r="AG601" s="26"/>
      <c r="AH601" s="26"/>
      <c r="AI601" s="26"/>
      <c r="AJ601" s="26"/>
      <c r="AK601" s="26"/>
      <c r="AL601" s="90"/>
      <c r="AM601" s="26"/>
      <c r="AN601" s="26"/>
      <c r="AO601" s="90"/>
      <c r="AP601" s="26"/>
      <c r="AQ601" s="26"/>
      <c r="AR601" s="90"/>
      <c r="AS601" s="26"/>
      <c r="AT601" s="26"/>
      <c r="AU601" s="26"/>
      <c r="AV601" s="26"/>
      <c r="AW601" s="26"/>
      <c r="AX601" s="90"/>
      <c r="AY601" s="83"/>
      <c r="AZ601" s="83"/>
      <c r="BA601" s="83"/>
      <c r="BB601" s="104"/>
      <c r="BC601" s="104"/>
      <c r="BD601" s="138"/>
      <c r="BE601" s="104"/>
      <c r="BF601" s="104"/>
      <c r="BG601" s="104"/>
      <c r="BH601" s="83"/>
      <c r="BI601" s="83"/>
      <c r="BJ601" s="138"/>
      <c r="BK601" s="26"/>
      <c r="BL601" s="26"/>
      <c r="BM601" s="26"/>
      <c r="BN601" s="26"/>
      <c r="BO601" s="138"/>
      <c r="BP601" s="138"/>
      <c r="BQ601" s="26"/>
      <c r="BR601" s="26"/>
      <c r="BS601" s="26"/>
      <c r="BT601" s="26"/>
      <c r="BU601" s="26"/>
      <c r="BV601" s="138"/>
      <c r="BW601" s="26"/>
      <c r="BX601" s="26"/>
      <c r="BY601" s="26"/>
      <c r="BZ601" s="26"/>
      <c r="CA601" s="26"/>
      <c r="CB601" s="138"/>
      <c r="CC601" s="26"/>
      <c r="CD601" s="26"/>
      <c r="CE601" s="26"/>
      <c r="CF601" s="26"/>
      <c r="CG601" s="26"/>
      <c r="CH601" s="138"/>
      <c r="CI601" s="26"/>
      <c r="CJ601" s="26"/>
      <c r="CK601" s="83"/>
      <c r="CL601" s="26"/>
      <c r="CM601" s="26"/>
      <c r="CN601" s="138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138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</row>
    <row r="602" spans="1:160">
      <c r="A602" s="202" t="s">
        <v>4596</v>
      </c>
      <c r="B602" s="90"/>
      <c r="C602" s="26"/>
      <c r="D602" s="26"/>
      <c r="E602" s="26"/>
      <c r="F602" s="26"/>
      <c r="G602" s="26"/>
      <c r="H602" s="90"/>
      <c r="I602" s="26"/>
      <c r="J602" s="26"/>
      <c r="K602" s="26"/>
      <c r="L602" s="26"/>
      <c r="M602" s="26"/>
      <c r="N602" s="90"/>
      <c r="O602" s="26"/>
      <c r="P602" s="26"/>
      <c r="Q602" s="26"/>
      <c r="R602" s="26"/>
      <c r="S602" s="26"/>
      <c r="T602" s="90"/>
      <c r="U602" s="26"/>
      <c r="V602" s="26"/>
      <c r="W602" s="26"/>
      <c r="X602" s="26"/>
      <c r="Y602" s="26"/>
      <c r="Z602" s="90"/>
      <c r="AA602" s="26"/>
      <c r="AB602" s="26"/>
      <c r="AC602" s="26"/>
      <c r="AD602" s="26"/>
      <c r="AE602" s="26"/>
      <c r="AF602" s="90"/>
      <c r="AG602" s="26"/>
      <c r="AH602" s="26"/>
      <c r="AI602" s="26"/>
      <c r="AJ602" s="26"/>
      <c r="AK602" s="26"/>
      <c r="AL602" s="90"/>
      <c r="AM602" s="26"/>
      <c r="AN602" s="26"/>
      <c r="AO602" s="90"/>
      <c r="AP602" s="26"/>
      <c r="AQ602" s="26"/>
      <c r="AR602" s="90"/>
      <c r="AS602" s="26"/>
      <c r="AT602" s="26"/>
      <c r="AU602" s="26"/>
      <c r="AV602" s="26"/>
      <c r="AW602" s="26"/>
      <c r="AX602" s="90"/>
      <c r="AY602" s="83"/>
      <c r="AZ602" s="83"/>
      <c r="BA602" s="83"/>
      <c r="BB602" s="286"/>
      <c r="BC602" s="104"/>
      <c r="BD602" s="138"/>
      <c r="BE602" s="286">
        <v>0.24</v>
      </c>
      <c r="BF602" s="104"/>
      <c r="BG602" s="104"/>
      <c r="BH602" s="83"/>
      <c r="BI602" s="83"/>
      <c r="BJ602" s="138"/>
      <c r="BK602" s="26"/>
      <c r="BL602" s="26"/>
      <c r="BM602" s="26"/>
      <c r="BN602" s="26"/>
      <c r="BO602" s="138"/>
      <c r="BP602" s="138"/>
      <c r="BQ602" s="897">
        <v>0.27</v>
      </c>
      <c r="BR602" s="897">
        <v>0.27</v>
      </c>
      <c r="BS602" s="26"/>
      <c r="BT602" s="26"/>
      <c r="BU602" s="26"/>
      <c r="BV602" s="138"/>
      <c r="BW602" s="26"/>
      <c r="BX602" s="26"/>
      <c r="BY602" s="26"/>
      <c r="BZ602" s="26"/>
      <c r="CA602" s="26"/>
      <c r="CB602" s="138"/>
      <c r="CC602" s="26"/>
      <c r="CD602" s="26"/>
      <c r="CE602" s="26"/>
      <c r="CF602" s="26"/>
      <c r="CG602" s="26"/>
      <c r="CH602" s="138"/>
      <c r="CI602" s="26"/>
      <c r="CJ602" s="26"/>
      <c r="CK602" s="83"/>
      <c r="CL602" s="26"/>
      <c r="CM602" s="26"/>
      <c r="CN602" s="138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262">
        <v>0.14000000000000001</v>
      </c>
      <c r="DF602" s="90"/>
      <c r="DG602" s="262">
        <v>0.14000000000000001</v>
      </c>
      <c r="DH602" s="262">
        <v>0.15</v>
      </c>
      <c r="DI602" s="353">
        <v>0.15</v>
      </c>
      <c r="DJ602" s="90"/>
      <c r="DK602" s="262">
        <v>0.13</v>
      </c>
      <c r="DL602" s="138"/>
      <c r="DM602" s="262">
        <v>0.12</v>
      </c>
      <c r="DN602" s="262">
        <v>0.09</v>
      </c>
      <c r="DO602" s="262">
        <v>0.1</v>
      </c>
      <c r="DP602" s="90"/>
      <c r="DQ602" s="90"/>
      <c r="DR602" s="90"/>
      <c r="DS602" s="262">
        <f>(2000-Model!DQ81)/2000</f>
        <v>-0.11170000000000005</v>
      </c>
      <c r="DT602" s="262">
        <f>(2000-Model!DQ81*0.98)/2000</f>
        <v>-8.9466000000000129E-2</v>
      </c>
      <c r="DU602" s="262">
        <f>(2012-Model!DQ81*0.98)/2012</f>
        <v>-8.2968190854870894E-2</v>
      </c>
      <c r="DV602" s="90"/>
      <c r="DW602" s="90"/>
      <c r="DX602" s="90"/>
      <c r="DY602" s="353">
        <f>(2000-Model!DW81)/2000</f>
        <v>-7.825E-2</v>
      </c>
      <c r="DZ602" s="353">
        <f>(2000-Model!DW81)/2000</f>
        <v>-7.825E-2</v>
      </c>
      <c r="EA602" s="353">
        <f>(2030-Model!DW81)/2000</f>
        <v>-6.3250000000000001E-2</v>
      </c>
      <c r="EB602" s="353">
        <f>(2040-Model!DW81)/2000</f>
        <v>-5.8250000000000003E-2</v>
      </c>
      <c r="EC602" s="90"/>
      <c r="ED602" s="90"/>
      <c r="EE602" s="353">
        <f>(2455-(Model!$EC$81*1.02))/2455</f>
        <v>9.8993075356415577E-2</v>
      </c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</row>
    <row r="603" spans="1:160">
      <c r="A603" s="202" t="s">
        <v>4595</v>
      </c>
      <c r="B603" s="90"/>
      <c r="C603" s="26"/>
      <c r="D603" s="26"/>
      <c r="E603" s="26"/>
      <c r="F603" s="26"/>
      <c r="G603" s="26"/>
      <c r="H603" s="90"/>
      <c r="I603" s="26"/>
      <c r="J603" s="26"/>
      <c r="K603" s="26"/>
      <c r="L603" s="26"/>
      <c r="M603" s="26"/>
      <c r="N603" s="90"/>
      <c r="O603" s="26"/>
      <c r="P603" s="26"/>
      <c r="Q603" s="26"/>
      <c r="R603" s="26"/>
      <c r="S603" s="26"/>
      <c r="T603" s="90"/>
      <c r="U603" s="26"/>
      <c r="V603" s="26"/>
      <c r="W603" s="26"/>
      <c r="X603" s="26"/>
      <c r="Y603" s="26"/>
      <c r="Z603" s="90"/>
      <c r="AA603" s="26"/>
      <c r="AB603" s="26"/>
      <c r="AC603" s="26"/>
      <c r="AD603" s="26"/>
      <c r="AE603" s="26"/>
      <c r="AF603" s="90"/>
      <c r="AG603" s="26"/>
      <c r="AH603" s="26"/>
      <c r="AI603" s="26"/>
      <c r="AJ603" s="26"/>
      <c r="AK603" s="26"/>
      <c r="AL603" s="90"/>
      <c r="AM603" s="26"/>
      <c r="AN603" s="26"/>
      <c r="AO603" s="90"/>
      <c r="AP603" s="26"/>
      <c r="AQ603" s="26"/>
      <c r="AR603" s="90"/>
      <c r="AS603" s="26"/>
      <c r="AT603" s="26"/>
      <c r="AU603" s="26"/>
      <c r="AV603" s="26"/>
      <c r="AW603" s="26"/>
      <c r="AX603" s="90"/>
      <c r="AY603" s="83"/>
      <c r="AZ603" s="83"/>
      <c r="BA603" s="83"/>
      <c r="BB603" s="286"/>
      <c r="BC603" s="104"/>
      <c r="BD603" s="138"/>
      <c r="BE603" s="286">
        <v>0.24</v>
      </c>
      <c r="BF603" s="104"/>
      <c r="BG603" s="104"/>
      <c r="BH603" s="83"/>
      <c r="BI603" s="83"/>
      <c r="BJ603" s="138"/>
      <c r="BK603" s="26"/>
      <c r="BL603" s="26"/>
      <c r="BM603" s="26"/>
      <c r="BN603" s="26"/>
      <c r="BO603" s="138"/>
      <c r="BP603" s="138"/>
      <c r="BQ603" s="897">
        <v>0.27500000000000002</v>
      </c>
      <c r="BR603" s="897">
        <v>0.27500000000000002</v>
      </c>
      <c r="BS603" s="26"/>
      <c r="BT603" s="26"/>
      <c r="BU603" s="26"/>
      <c r="BV603" s="138"/>
      <c r="BW603" s="26"/>
      <c r="BX603" s="26"/>
      <c r="BY603" s="26"/>
      <c r="BZ603" s="26"/>
      <c r="CA603" s="26"/>
      <c r="CB603" s="138"/>
      <c r="CC603" s="26"/>
      <c r="CD603" s="26"/>
      <c r="CE603" s="26"/>
      <c r="CF603" s="26"/>
      <c r="CG603" s="26"/>
      <c r="CH603" s="138"/>
      <c r="CI603" s="26"/>
      <c r="CJ603" s="26"/>
      <c r="CK603" s="83"/>
      <c r="CL603" s="26"/>
      <c r="CM603" s="26"/>
      <c r="CN603" s="138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262">
        <v>0.16</v>
      </c>
      <c r="DF603" s="90"/>
      <c r="DG603" s="262">
        <v>0.16</v>
      </c>
      <c r="DH603" s="262">
        <v>0.16</v>
      </c>
      <c r="DI603" s="353">
        <v>0.155</v>
      </c>
      <c r="DJ603" s="90"/>
      <c r="DK603" s="262">
        <v>0.15</v>
      </c>
      <c r="DL603" s="138"/>
      <c r="DM603" s="262">
        <v>0.14000000000000001</v>
      </c>
      <c r="DN603" s="262">
        <v>0.1</v>
      </c>
      <c r="DO603" s="262">
        <v>0.1</v>
      </c>
      <c r="DP603" s="90"/>
      <c r="DQ603" s="90"/>
      <c r="DR603" s="90"/>
      <c r="DS603" s="262">
        <f>(2000-0.99*Model!DQ81)/2000</f>
        <v>-0.10058300000000009</v>
      </c>
      <c r="DT603" s="262">
        <f>(2050-Model!DQ81*0.98)/2050</f>
        <v>-6.2893658536585489E-2</v>
      </c>
      <c r="DU603" s="262">
        <f>(2032-Model!DQ81*0.98)/2050</f>
        <v>-7.1674146341463532E-2</v>
      </c>
      <c r="DV603" s="90"/>
      <c r="DW603" s="90"/>
      <c r="DX603" s="90"/>
      <c r="DY603" s="353">
        <f>(2050-Model!DW81)/2050</f>
        <v>-5.195121951219512E-2</v>
      </c>
      <c r="DZ603" s="353">
        <f>(2050-Model!DW81)/2050</f>
        <v>-5.195121951219512E-2</v>
      </c>
      <c r="EA603" s="353">
        <f>(2050-Model!DW81)/2050</f>
        <v>-5.195121951219512E-2</v>
      </c>
      <c r="EB603" s="353">
        <f>(2050-Model!DW81)/2050</f>
        <v>-5.195121951219512E-2</v>
      </c>
      <c r="EC603" s="90"/>
      <c r="ED603" s="90"/>
      <c r="EE603" s="353">
        <f>(2505-(Model!$EC$81*1.01))/2505</f>
        <v>0.12563433133732532</v>
      </c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</row>
    <row r="604" spans="1:160">
      <c r="A604" s="203" t="s">
        <v>4597</v>
      </c>
      <c r="B604" s="90"/>
      <c r="C604" s="26"/>
      <c r="D604" s="26"/>
      <c r="E604" s="26"/>
      <c r="F604" s="26"/>
      <c r="G604" s="26"/>
      <c r="H604" s="90"/>
      <c r="I604" s="26"/>
      <c r="J604" s="26"/>
      <c r="K604" s="26"/>
      <c r="L604" s="26"/>
      <c r="M604" s="26"/>
      <c r="N604" s="90"/>
      <c r="O604" s="26"/>
      <c r="P604" s="26"/>
      <c r="Q604" s="26"/>
      <c r="R604" s="26"/>
      <c r="S604" s="26"/>
      <c r="T604" s="90"/>
      <c r="U604" s="26"/>
      <c r="V604" s="26"/>
      <c r="W604" s="26"/>
      <c r="X604" s="26"/>
      <c r="Y604" s="26"/>
      <c r="Z604" s="90"/>
      <c r="AA604" s="26"/>
      <c r="AB604" s="26"/>
      <c r="AC604" s="26"/>
      <c r="AD604" s="26"/>
      <c r="AE604" s="26"/>
      <c r="AF604" s="90"/>
      <c r="AG604" s="26"/>
      <c r="AH604" s="26"/>
      <c r="AI604" s="26"/>
      <c r="AJ604" s="26"/>
      <c r="AK604" s="26"/>
      <c r="AL604" s="90"/>
      <c r="AM604" s="26"/>
      <c r="AN604" s="26"/>
      <c r="AO604" s="90"/>
      <c r="AP604" s="26"/>
      <c r="AQ604" s="26"/>
      <c r="AR604" s="90"/>
      <c r="AS604" s="26"/>
      <c r="AT604" s="26"/>
      <c r="AU604" s="26"/>
      <c r="AV604" s="26"/>
      <c r="AW604" s="26"/>
      <c r="AX604" s="90"/>
      <c r="AY604" s="83"/>
      <c r="AZ604" s="83"/>
      <c r="BA604" s="83"/>
      <c r="BB604" s="740"/>
      <c r="BC604" s="742"/>
      <c r="BD604" s="138"/>
      <c r="BE604" s="701"/>
      <c r="BF604" s="83"/>
      <c r="BG604" s="83"/>
      <c r="BH604" s="83"/>
      <c r="BI604" s="83"/>
      <c r="BJ604" s="138"/>
      <c r="BK604" s="26"/>
      <c r="BL604" s="26"/>
      <c r="BM604" s="26"/>
      <c r="BN604" s="26"/>
      <c r="BO604" s="138"/>
      <c r="BP604" s="138"/>
      <c r="BQ604" s="899">
        <f>Model!$BU86</f>
        <v>0.26901473296500916</v>
      </c>
      <c r="BR604" s="899">
        <f>Model!$BU86</f>
        <v>0.26901473296500916</v>
      </c>
      <c r="BS604" s="26"/>
      <c r="BT604" s="26"/>
      <c r="BU604" s="26"/>
      <c r="BV604" s="138"/>
      <c r="BW604" s="26"/>
      <c r="BX604" s="26"/>
      <c r="BY604" s="26"/>
      <c r="BZ604" s="26"/>
      <c r="CA604" s="26"/>
      <c r="CB604" s="138"/>
      <c r="CC604" s="26"/>
      <c r="CD604" s="26"/>
      <c r="CE604" s="26"/>
      <c r="CF604" s="26"/>
      <c r="CG604" s="26"/>
      <c r="CH604" s="138"/>
      <c r="CI604" s="26"/>
      <c r="CJ604" s="26"/>
      <c r="CK604" s="83"/>
      <c r="CL604" s="26"/>
      <c r="CM604" s="26"/>
      <c r="CN604" s="138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353">
        <v>0.14982101019179775</v>
      </c>
      <c r="DI604" s="353">
        <v>0.15</v>
      </c>
      <c r="DJ604" s="90"/>
      <c r="DK604" s="90"/>
      <c r="DL604" s="138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</row>
    <row r="610" spans="180:180"/>
    <row r="650" spans="183:183"/>
    <row r="661" spans="178:178"/>
    <row r="690" spans="162:162"/>
  </sheetData>
  <customSheetViews>
    <customSheetView guid="{7ADDAC9C-E12E-468B-A7D0-D44A9895D58E}" scale="90" showGridLines="0" hiddenRows="1" hiddenColumns="1" showRuler="0"/>
    <customSheetView guid="{5A095E4E-6841-4715-B354-198715F5FF0A}" scale="90" showGridLines="0" hiddenRows="1" hiddenColumns="1" showRuler="0"/>
  </customSheetViews>
  <mergeCells count="3">
    <mergeCell ref="AY5:BC5"/>
    <mergeCell ref="BE5:BI5"/>
    <mergeCell ref="CI5:CL5"/>
  </mergeCells>
  <phoneticPr fontId="3" type="noConversion"/>
  <pageMargins left="0" right="0" top="0" bottom="0" header="0" footer="0"/>
  <pageSetup paperSize="5" orientation="landscape" r:id="rId1"/>
  <headerFooter alignWithMargins="0">
    <oddFooter>&amp;L&amp;"Arial,Bold"&amp;8Keith Weiss - 212.761.4149&amp;R&amp;"Arial,Bold"&amp;8Morgan Stanley Equity Research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2"/>
    <pageSetUpPr autoPageBreaks="0" fitToPage="1"/>
  </sheetPr>
  <dimension ref="A1:FS347"/>
  <sheetViews>
    <sheetView showGridLines="0" zoomScale="90" zoomScaleNormal="90" workbookViewId="0">
      <pane xSplit="2" ySplit="7" topLeftCell="C247" activePane="bottomRight" state="frozen"/>
      <selection activeCell="DY42" sqref="DY42"/>
      <selection pane="topRight" activeCell="CS13" sqref="CS13"/>
      <selection pane="bottomLeft" activeCell="CS13" sqref="CS13"/>
      <selection pane="bottomRight" activeCell="A247" sqref="A1:FT1048576"/>
    </sheetView>
  </sheetViews>
  <sheetFormatPr defaultRowHeight="12.75" outlineLevelRow="2" outlineLevelCol="1"/>
  <cols>
    <col min="1" max="1" width="32.42578125" customWidth="1"/>
    <col min="2" max="2" width="10" hidden="1" customWidth="1"/>
    <col min="3" max="3" width="9.85546875" hidden="1" customWidth="1"/>
    <col min="4" max="7" width="7.7109375" hidden="1" customWidth="1"/>
    <col min="8" max="8" width="1.7109375" hidden="1" customWidth="1"/>
    <col min="9" max="13" width="7.7109375" hidden="1" customWidth="1"/>
    <col min="14" max="14" width="1.7109375" hidden="1" customWidth="1"/>
    <col min="15" max="18" width="7.7109375" hidden="1" customWidth="1"/>
    <col min="19" max="19" width="7.5703125" hidden="1" customWidth="1"/>
    <col min="20" max="20" width="1.42578125" hidden="1" customWidth="1"/>
    <col min="21" max="24" width="7.7109375" hidden="1" customWidth="1"/>
    <col min="25" max="25" width="7.5703125" hidden="1" customWidth="1"/>
    <col min="26" max="26" width="1.42578125" hidden="1" customWidth="1"/>
    <col min="27" max="30" width="7.7109375" hidden="1" customWidth="1"/>
    <col min="31" max="31" width="7.5703125" hidden="1" customWidth="1"/>
    <col min="32" max="32" width="1.42578125" hidden="1" customWidth="1"/>
    <col min="33" max="36" width="7.7109375" hidden="1" customWidth="1"/>
    <col min="37" max="37" width="7.5703125" hidden="1" customWidth="1"/>
    <col min="38" max="38" width="1.42578125" hidden="1" customWidth="1"/>
    <col min="39" max="40" width="7.7109375" hidden="1" customWidth="1"/>
    <col min="41" max="41" width="7.85546875" hidden="1" customWidth="1"/>
    <col min="42" max="42" width="7.5703125" hidden="1" customWidth="1"/>
    <col min="43" max="43" width="8.140625" hidden="1" customWidth="1"/>
    <col min="44" max="44" width="1.42578125" hidden="1" customWidth="1"/>
    <col min="45" max="45" width="8.7109375" hidden="1" customWidth="1"/>
    <col min="46" max="46" width="7.5703125" hidden="1" customWidth="1"/>
    <col min="47" max="48" width="7.7109375" hidden="1" customWidth="1"/>
    <col min="49" max="49" width="8" hidden="1" customWidth="1"/>
    <col min="50" max="50" width="1.42578125" hidden="1" customWidth="1"/>
    <col min="51" max="55" width="7" hidden="1" customWidth="1"/>
    <col min="56" max="56" width="1.7109375" hidden="1" customWidth="1"/>
    <col min="57" max="61" width="7.28515625" hidden="1" customWidth="1"/>
    <col min="62" max="62" width="1.7109375" hidden="1" customWidth="1"/>
    <col min="63" max="66" width="7.28515625" hidden="1" customWidth="1"/>
    <col min="67" max="67" width="7.42578125" hidden="1" customWidth="1"/>
    <col min="68" max="68" width="1.7109375" hidden="1" customWidth="1"/>
    <col min="69" max="73" width="7.28515625" hidden="1" customWidth="1"/>
    <col min="74" max="74" width="1.7109375" hidden="1" customWidth="1"/>
    <col min="75" max="79" width="7.28515625" hidden="1" customWidth="1"/>
    <col min="80" max="80" width="1.7109375" hidden="1" customWidth="1"/>
    <col min="81" max="85" width="7.28515625" hidden="1" customWidth="1"/>
    <col min="86" max="86" width="1.7109375" hidden="1" customWidth="1"/>
    <col min="87" max="87" width="7.28515625" hidden="1" customWidth="1"/>
    <col min="88" max="88" width="7.7109375" hidden="1" customWidth="1"/>
    <col min="89" max="91" width="7.28515625" hidden="1" customWidth="1"/>
    <col min="92" max="92" width="1.7109375" hidden="1" customWidth="1"/>
    <col min="93" max="97" width="7.28515625" hidden="1" customWidth="1"/>
    <col min="98" max="98" width="1.7109375" hidden="1" customWidth="1"/>
    <col min="99" max="101" width="7.28515625" hidden="1" customWidth="1" outlineLevel="1"/>
    <col min="102" max="102" width="6.85546875" hidden="1" customWidth="1" outlineLevel="1"/>
    <col min="103" max="103" width="7.28515625" hidden="1" customWidth="1" collapsed="1"/>
    <col min="104" max="104" width="1.7109375" hidden="1" customWidth="1"/>
    <col min="105" max="106" width="7.28515625" hidden="1" customWidth="1" outlineLevel="1"/>
    <col min="107" max="107" width="7.140625" hidden="1" customWidth="1" outlineLevel="1"/>
    <col min="108" max="108" width="7.28515625" hidden="1" customWidth="1" outlineLevel="1"/>
    <col min="109" max="109" width="8.42578125" hidden="1" customWidth="1" collapsed="1"/>
    <col min="110" max="110" width="1.7109375" customWidth="1"/>
    <col min="111" max="114" width="7.28515625" hidden="1" customWidth="1" outlineLevel="1"/>
    <col min="115" max="115" width="7.28515625" customWidth="1" collapsed="1"/>
    <col min="116" max="116" width="1.7109375" customWidth="1"/>
    <col min="117" max="117" width="7.28515625" hidden="1" customWidth="1" outlineLevel="1"/>
    <col min="118" max="118" width="8" hidden="1" customWidth="1" outlineLevel="1"/>
    <col min="119" max="120" width="7.28515625" hidden="1" customWidth="1" outlineLevel="1"/>
    <col min="121" max="121" width="7.28515625" customWidth="1" collapsed="1"/>
    <col min="122" max="122" width="1.7109375" style="1792" customWidth="1"/>
    <col min="123" max="126" width="7.28515625" hidden="1" customWidth="1" outlineLevel="1"/>
    <col min="127" max="127" width="7.28515625" customWidth="1" collapsed="1"/>
    <col min="128" max="128" width="1.7109375" style="1792" customWidth="1"/>
    <col min="129" max="129" width="8.5703125" style="1787" customWidth="1" outlineLevel="1"/>
    <col min="130" max="132" width="7.28515625" style="1787" customWidth="1" outlineLevel="1"/>
    <col min="133" max="133" width="7.28515625" style="1787" customWidth="1"/>
    <col min="134" max="134" width="1.7109375" style="2008" customWidth="1"/>
    <col min="135" max="135" width="8.5703125" style="2008" customWidth="1" outlineLevel="1"/>
    <col min="136" max="136" width="8.140625" style="2008" customWidth="1" outlineLevel="1"/>
    <col min="137" max="138" width="7.28515625" style="2008" customWidth="1" outlineLevel="1"/>
    <col min="139" max="139" width="7.28515625" style="2008" customWidth="1"/>
    <col min="140" max="140" width="1.7109375" style="2117" customWidth="1"/>
    <col min="141" max="141" width="7.28515625" style="2117" hidden="1" customWidth="1" outlineLevel="1"/>
    <col min="142" max="142" width="8.140625" style="2117" hidden="1" customWidth="1" outlineLevel="1"/>
    <col min="143" max="144" width="7.28515625" style="2117" hidden="1" customWidth="1" outlineLevel="1"/>
    <col min="145" max="145" width="7.28515625" style="2117" customWidth="1" collapsed="1"/>
    <col min="146" max="146" width="1.7109375" style="2291" customWidth="1"/>
    <col min="147" max="147" width="7.28515625" style="2291" hidden="1" customWidth="1" outlineLevel="1"/>
    <col min="148" max="148" width="8.140625" style="2291" hidden="1" customWidth="1" outlineLevel="1"/>
    <col min="149" max="150" width="7.28515625" style="2291" hidden="1" customWidth="1" outlineLevel="1"/>
    <col min="151" max="151" width="7.28515625" style="2291" customWidth="1" collapsed="1"/>
    <col min="152" max="152" width="8.85546875" customWidth="1"/>
    <col min="153" max="153" width="37.85546875" hidden="1" customWidth="1" outlineLevel="1"/>
    <col min="154" max="154" width="11.7109375" hidden="1" customWidth="1" outlineLevel="1"/>
    <col min="155" max="155" width="11.5703125" hidden="1" customWidth="1" outlineLevel="1"/>
    <col min="156" max="156" width="10.42578125" hidden="1" customWidth="1" outlineLevel="1"/>
    <col min="157" max="157" width="16.140625" hidden="1" customWidth="1" outlineLevel="1"/>
    <col min="158" max="158" width="9.5703125" hidden="1" customWidth="1" outlineLevel="1"/>
    <col min="159" max="159" width="9.140625" collapsed="1"/>
  </cols>
  <sheetData>
    <row r="1" spans="1:165" ht="20.100000000000001" customHeight="1">
      <c r="A1" s="760" t="s">
        <v>5257</v>
      </c>
      <c r="B1" s="761"/>
      <c r="C1" s="762"/>
      <c r="D1" s="763"/>
      <c r="E1" s="762"/>
      <c r="F1" s="762"/>
      <c r="G1" s="764"/>
      <c r="H1" s="764"/>
      <c r="I1" s="762"/>
      <c r="J1" s="764"/>
      <c r="K1" s="762"/>
      <c r="L1" s="762"/>
      <c r="M1" s="764"/>
      <c r="N1" s="764"/>
      <c r="O1" s="762"/>
      <c r="P1" s="764"/>
      <c r="Q1" s="762"/>
      <c r="R1" s="762"/>
      <c r="S1" s="764"/>
      <c r="T1" s="765"/>
      <c r="U1" s="762"/>
      <c r="V1" s="764"/>
      <c r="W1" s="762"/>
      <c r="X1" s="762"/>
      <c r="Y1" s="764"/>
      <c r="Z1" s="764"/>
      <c r="AA1" s="762"/>
      <c r="AB1" s="764"/>
      <c r="AC1" s="762"/>
      <c r="AD1" s="762"/>
      <c r="AE1" s="764"/>
      <c r="AF1" s="764"/>
      <c r="AG1" s="762"/>
      <c r="AH1" s="764"/>
      <c r="AI1" s="762"/>
      <c r="AJ1" s="762"/>
      <c r="AK1" s="764"/>
      <c r="AL1" s="764"/>
      <c r="AM1" s="764"/>
      <c r="AN1" s="764"/>
      <c r="AO1" s="764"/>
      <c r="AP1" s="764"/>
      <c r="AQ1" s="764"/>
      <c r="AR1" s="764"/>
      <c r="AS1" s="764"/>
      <c r="AT1" s="1457"/>
      <c r="AU1" s="1457"/>
      <c r="AV1" s="1457"/>
      <c r="AW1" s="766"/>
      <c r="AX1" s="764"/>
      <c r="AY1" s="764"/>
      <c r="AZ1" s="764"/>
      <c r="BA1" s="764"/>
      <c r="BB1" s="764"/>
      <c r="BC1" s="766"/>
      <c r="BD1" s="764"/>
      <c r="BE1" s="764"/>
      <c r="BF1" s="1635"/>
      <c r="BG1" s="764"/>
      <c r="BH1" s="764"/>
      <c r="BI1" s="764"/>
      <c r="BJ1" s="764"/>
      <c r="BK1" s="762"/>
      <c r="BL1" s="764"/>
      <c r="BM1" s="764"/>
      <c r="BN1" s="764"/>
      <c r="BO1" s="764"/>
      <c r="BP1" s="3"/>
      <c r="BQ1" s="889"/>
      <c r="BR1" s="889"/>
      <c r="BS1" s="889"/>
      <c r="BT1" s="889"/>
      <c r="BU1" s="889"/>
      <c r="BV1" s="3"/>
      <c r="BW1" s="889"/>
      <c r="BX1" s="889"/>
      <c r="BY1" s="1193"/>
      <c r="BZ1" s="1407"/>
      <c r="CA1" s="889"/>
      <c r="CB1" s="3"/>
      <c r="CC1" s="1434"/>
      <c r="CD1" s="1733"/>
      <c r="CE1" s="1456"/>
      <c r="CF1" s="1733"/>
      <c r="CG1" s="1360"/>
      <c r="CH1" s="3"/>
      <c r="CJ1" s="1733"/>
      <c r="CK1" s="1456"/>
      <c r="CL1" s="1733"/>
      <c r="CM1" s="1433"/>
      <c r="CN1" s="1444"/>
      <c r="CP1" s="1733"/>
      <c r="CQ1" s="1456"/>
      <c r="CR1" s="1733"/>
      <c r="CS1" s="1433"/>
      <c r="CT1" s="1444"/>
      <c r="CV1" s="1733"/>
      <c r="CW1" s="1456"/>
      <c r="CX1" s="1733"/>
      <c r="CY1" s="1433"/>
      <c r="CZ1" s="1444"/>
      <c r="DB1" s="1733"/>
      <c r="DC1" s="1456"/>
      <c r="DD1" s="1433"/>
      <c r="DE1" s="1734"/>
      <c r="DF1" s="1444"/>
      <c r="DG1" s="1734"/>
      <c r="DH1" s="1444"/>
      <c r="DI1" s="1444"/>
      <c r="DJ1" s="1734"/>
      <c r="DK1" s="1652"/>
      <c r="DL1" s="1444"/>
      <c r="DM1" s="1433"/>
      <c r="DN1" s="1433"/>
      <c r="DO1" s="1433"/>
      <c r="DP1" s="2187"/>
      <c r="DQ1" s="1988"/>
      <c r="DR1" s="1988"/>
      <c r="DS1" s="2057"/>
      <c r="DT1" s="2057"/>
      <c r="DU1" s="2057"/>
      <c r="DV1" s="2057"/>
      <c r="DW1" s="1988"/>
      <c r="DX1" s="1988"/>
      <c r="DY1" s="2275"/>
      <c r="DZ1" s="2275"/>
      <c r="EA1" s="2275"/>
      <c r="EB1" s="2275"/>
      <c r="EC1" s="2275"/>
      <c r="ED1" s="2275"/>
      <c r="EE1" s="2275"/>
      <c r="EF1" s="2275"/>
      <c r="EG1" s="2275"/>
      <c r="EH1" s="2275"/>
      <c r="EI1" s="2275"/>
      <c r="EJ1" s="2275"/>
      <c r="EK1" s="2275"/>
      <c r="EL1" s="2275"/>
      <c r="EM1" s="2275"/>
      <c r="EN1" s="2275"/>
      <c r="EO1" s="2275"/>
      <c r="EP1" s="2275"/>
      <c r="EQ1" s="2275"/>
      <c r="ER1" s="2275"/>
      <c r="ES1" s="2275"/>
      <c r="ET1" s="2275"/>
      <c r="EU1" s="2275"/>
      <c r="EV1" s="310"/>
      <c r="FF1" s="2244"/>
      <c r="FG1" s="2244"/>
      <c r="FH1" s="2244"/>
      <c r="FI1" s="2244"/>
    </row>
    <row r="2" spans="1:165" ht="20.100000000000001" customHeight="1">
      <c r="A2" s="171" t="s">
        <v>6060</v>
      </c>
      <c r="B2" s="1349"/>
      <c r="C2" s="10"/>
      <c r="D2" s="10"/>
      <c r="E2" s="10"/>
      <c r="F2" s="10"/>
      <c r="G2" s="10"/>
      <c r="H2" s="4"/>
      <c r="I2" s="10"/>
      <c r="J2" s="10"/>
      <c r="K2" s="10"/>
      <c r="L2" s="10"/>
      <c r="M2" s="10"/>
      <c r="N2" s="4"/>
      <c r="O2" s="10"/>
      <c r="P2" s="10"/>
      <c r="Q2" s="10"/>
      <c r="R2" s="10"/>
      <c r="S2" s="10"/>
      <c r="T2" s="4"/>
      <c r="U2" s="10"/>
      <c r="V2" s="10"/>
      <c r="W2" s="10"/>
      <c r="X2" s="10"/>
      <c r="Y2" s="10"/>
      <c r="Z2" s="4"/>
      <c r="AA2" s="10"/>
      <c r="AB2" s="10"/>
      <c r="AC2" s="10"/>
      <c r="AD2" s="10"/>
      <c r="AE2" s="1350"/>
      <c r="AF2" s="4"/>
      <c r="AG2" s="173"/>
      <c r="AH2" s="173"/>
      <c r="AI2" s="173"/>
      <c r="AJ2" s="173"/>
      <c r="AK2" s="1433">
        <f>AK32-AK82</f>
        <v>-1.8901766827090105E-2</v>
      </c>
      <c r="AL2" s="4"/>
      <c r="AM2" s="173"/>
      <c r="AN2" s="173"/>
      <c r="AO2" s="173"/>
      <c r="AP2" s="173"/>
      <c r="AQ2" s="1433">
        <f>AQ32-AQ82</f>
        <v>-0.10330766255815826</v>
      </c>
      <c r="AR2" s="4"/>
      <c r="AS2" s="173"/>
      <c r="AT2" s="173"/>
      <c r="AU2" s="173"/>
      <c r="AV2" s="173"/>
      <c r="AW2" s="1433">
        <f>AW32-AW82</f>
        <v>6.5575108171676888E-2</v>
      </c>
      <c r="AX2" s="4"/>
      <c r="AY2" s="173"/>
      <c r="AZ2" s="173"/>
      <c r="BA2" s="173"/>
      <c r="BB2" s="173"/>
      <c r="BC2" s="1433">
        <f>BC32-BC82</f>
        <v>0.14752763059086527</v>
      </c>
      <c r="BD2" s="4"/>
      <c r="BE2" s="173"/>
      <c r="BF2" s="173"/>
      <c r="BG2" s="173"/>
      <c r="BH2" s="173"/>
      <c r="BI2" s="1433">
        <f>BI32-BI82</f>
        <v>6.3242623087960137E-2</v>
      </c>
      <c r="BJ2" s="4"/>
      <c r="BK2" s="173"/>
      <c r="BL2" s="173"/>
      <c r="BM2" s="1433"/>
      <c r="BN2" s="1433"/>
      <c r="BO2" s="1433"/>
      <c r="BP2" s="4"/>
      <c r="BQ2" s="173"/>
      <c r="BR2" s="173"/>
      <c r="BS2" s="173"/>
      <c r="BT2" s="173"/>
      <c r="BU2" s="1433"/>
      <c r="BV2" s="173"/>
      <c r="BW2" s="173"/>
      <c r="BX2" s="173"/>
      <c r="BY2" s="173"/>
      <c r="BZ2" s="173"/>
      <c r="CA2" s="1433"/>
      <c r="CB2" s="173"/>
      <c r="CC2" s="173"/>
      <c r="CD2" s="173"/>
      <c r="CE2" s="173"/>
      <c r="CF2" s="1444"/>
      <c r="CG2" s="1433"/>
      <c r="CH2" s="4"/>
      <c r="CJ2" s="1456"/>
      <c r="CK2" s="1456"/>
      <c r="CL2" s="1444"/>
      <c r="CM2" s="1433"/>
      <c r="CN2" s="173"/>
      <c r="CP2" s="1456"/>
      <c r="CQ2" s="1456"/>
      <c r="CR2" s="1444"/>
      <c r="CS2" s="1433"/>
      <c r="CT2" s="173"/>
      <c r="CV2" s="1456"/>
      <c r="CW2" s="1456"/>
      <c r="CX2" s="1754"/>
      <c r="CY2" s="1433"/>
      <c r="CZ2" s="173"/>
      <c r="DB2" s="1456"/>
      <c r="DC2" s="1753"/>
      <c r="DD2" s="1733"/>
      <c r="DE2" s="1734"/>
      <c r="DF2" s="173"/>
      <c r="DG2" s="173"/>
      <c r="DH2" s="173"/>
      <c r="DI2" s="173"/>
      <c r="DJ2" s="1433"/>
      <c r="DK2" s="1652"/>
      <c r="DL2" s="173"/>
      <c r="DM2" s="173"/>
      <c r="DN2" s="173"/>
      <c r="DO2" s="173"/>
      <c r="DP2" s="173"/>
      <c r="DQ2" s="1988"/>
      <c r="DR2" s="1988"/>
      <c r="DS2" s="2057"/>
      <c r="DT2" s="2057"/>
      <c r="DU2" s="2057"/>
      <c r="DV2" s="2057"/>
      <c r="DW2" s="1988"/>
      <c r="DX2" s="1988"/>
      <c r="DY2" s="1652"/>
      <c r="DZ2" s="1652"/>
      <c r="EA2" s="1652"/>
      <c r="EB2" s="1652"/>
      <c r="EC2" s="1652"/>
      <c r="ED2" s="1652"/>
      <c r="EE2" s="1652"/>
      <c r="EF2" s="1652"/>
      <c r="EG2" s="1652"/>
      <c r="EH2" s="1652"/>
      <c r="EI2" s="2242"/>
      <c r="EJ2" s="1652"/>
      <c r="EK2" s="1733"/>
      <c r="EL2" s="1733"/>
      <c r="EM2" s="1733"/>
      <c r="EN2" s="1733"/>
      <c r="EO2" s="1733"/>
      <c r="EP2" s="1652"/>
      <c r="EQ2" s="1733"/>
      <c r="ER2" s="1733"/>
      <c r="ES2" s="1733"/>
      <c r="ET2" s="1733"/>
      <c r="EU2" s="1733"/>
      <c r="EV2" s="310"/>
      <c r="FF2" s="1803"/>
      <c r="FG2" s="1803"/>
      <c r="FH2" s="1803"/>
      <c r="FI2" s="1803"/>
    </row>
    <row r="3" spans="1:165" ht="15" hidden="1" customHeight="1" outlineLevel="1">
      <c r="DR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</row>
    <row r="4" spans="1:165" ht="14.25" customHeight="1" collapsed="1">
      <c r="A4" s="1351" t="s">
        <v>651</v>
      </c>
      <c r="B4" s="233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760"/>
      <c r="DH4" s="12"/>
      <c r="DI4" s="12"/>
      <c r="DJ4" s="12"/>
      <c r="DK4" s="89"/>
      <c r="DL4" s="12"/>
      <c r="DM4" s="12"/>
      <c r="DN4" s="12"/>
      <c r="DO4" s="12"/>
      <c r="DP4" s="1760"/>
      <c r="DQ4" s="12"/>
      <c r="DR4" s="12"/>
      <c r="DS4" s="12"/>
      <c r="DT4" s="2058"/>
      <c r="DU4" s="1760"/>
      <c r="DV4" s="1760"/>
      <c r="DW4" s="12"/>
      <c r="DX4" s="1818"/>
      <c r="DY4" s="1818"/>
      <c r="DZ4" s="2243"/>
      <c r="EA4" s="1818"/>
      <c r="EB4" s="1818"/>
      <c r="EC4" s="12"/>
      <c r="ED4" s="1818"/>
      <c r="EE4" s="1818"/>
      <c r="EF4" s="1818"/>
      <c r="EG4" s="1818"/>
      <c r="EH4" s="1818"/>
      <c r="EI4" s="12"/>
      <c r="EJ4" s="1818"/>
      <c r="EK4" s="1818"/>
      <c r="EL4" s="1818"/>
      <c r="EM4" s="1818"/>
      <c r="EN4" s="1818"/>
      <c r="EO4" s="12"/>
      <c r="EP4" s="1818"/>
      <c r="EQ4" s="1818"/>
      <c r="ER4" s="1818"/>
      <c r="ES4" s="1818"/>
      <c r="ET4" s="1818"/>
      <c r="EU4" s="12"/>
      <c r="EV4" s="1634"/>
    </row>
    <row r="5" spans="1:165" ht="11.25" hidden="1" customHeight="1" outlineLevel="1">
      <c r="A5" s="234"/>
      <c r="B5" s="107"/>
      <c r="C5" s="107" t="s">
        <v>5261</v>
      </c>
      <c r="D5" s="107" t="s">
        <v>5263</v>
      </c>
      <c r="E5" s="107" t="s">
        <v>5264</v>
      </c>
      <c r="F5" s="107" t="s">
        <v>1631</v>
      </c>
      <c r="G5" s="107" t="s">
        <v>1636</v>
      </c>
      <c r="H5" s="235"/>
      <c r="I5" s="107" t="s">
        <v>1632</v>
      </c>
      <c r="J5" s="107" t="s">
        <v>1633</v>
      </c>
      <c r="K5" s="107" t="s">
        <v>1634</v>
      </c>
      <c r="L5" s="107" t="s">
        <v>1635</v>
      </c>
      <c r="M5" s="107" t="s">
        <v>1641</v>
      </c>
      <c r="N5" s="235"/>
      <c r="O5" s="107" t="s">
        <v>1637</v>
      </c>
      <c r="P5" s="107" t="s">
        <v>1638</v>
      </c>
      <c r="Q5" s="107" t="s">
        <v>1639</v>
      </c>
      <c r="R5" s="107" t="s">
        <v>1640</v>
      </c>
      <c r="S5" s="107" t="s">
        <v>3787</v>
      </c>
      <c r="T5" s="235"/>
      <c r="U5" s="107" t="s">
        <v>1642</v>
      </c>
      <c r="V5" s="107" t="s">
        <v>1643</v>
      </c>
      <c r="W5" s="107" t="s">
        <v>1644</v>
      </c>
      <c r="X5" s="107" t="s">
        <v>3786</v>
      </c>
      <c r="Y5" s="107" t="s">
        <v>5623</v>
      </c>
      <c r="Z5" s="235"/>
      <c r="AA5" s="107" t="s">
        <v>5619</v>
      </c>
      <c r="AB5" s="107" t="s">
        <v>5620</v>
      </c>
      <c r="AC5" s="107" t="s">
        <v>5621</v>
      </c>
      <c r="AD5" s="107" t="s">
        <v>5622</v>
      </c>
      <c r="AE5" s="107" t="s">
        <v>5628</v>
      </c>
      <c r="AF5" s="235"/>
      <c r="AG5" s="107" t="s">
        <v>5624</v>
      </c>
      <c r="AH5" s="107" t="s">
        <v>5625</v>
      </c>
      <c r="AI5" s="107" t="s">
        <v>5626</v>
      </c>
      <c r="AJ5" s="107" t="s">
        <v>5627</v>
      </c>
      <c r="AK5" s="107" t="s">
        <v>4247</v>
      </c>
      <c r="AL5" s="235"/>
      <c r="AM5" s="107" t="s">
        <v>6438</v>
      </c>
      <c r="AN5" s="107" t="s">
        <v>6439</v>
      </c>
      <c r="AO5" s="107" t="s">
        <v>4245</v>
      </c>
      <c r="AP5" s="107" t="s">
        <v>4246</v>
      </c>
      <c r="AQ5" s="107" t="s">
        <v>2504</v>
      </c>
      <c r="AR5" s="235"/>
      <c r="AS5" s="107" t="s">
        <v>4248</v>
      </c>
      <c r="AT5" s="107" t="s">
        <v>4249</v>
      </c>
      <c r="AU5" s="107" t="s">
        <v>4250</v>
      </c>
      <c r="AV5" s="107" t="s">
        <v>2503</v>
      </c>
      <c r="AW5" s="107" t="s">
        <v>2509</v>
      </c>
      <c r="AX5" s="235"/>
      <c r="AY5" s="107" t="s">
        <v>2505</v>
      </c>
      <c r="AZ5" s="107" t="s">
        <v>2506</v>
      </c>
      <c r="BA5" s="107" t="s">
        <v>2507</v>
      </c>
      <c r="BB5" s="107" t="s">
        <v>2508</v>
      </c>
      <c r="BC5" s="107" t="s">
        <v>5977</v>
      </c>
      <c r="BD5" s="235"/>
      <c r="BE5" s="107" t="s">
        <v>6067</v>
      </c>
      <c r="BF5" s="107" t="s">
        <v>4567</v>
      </c>
      <c r="BG5" s="107" t="s">
        <v>4568</v>
      </c>
      <c r="BH5" s="107" t="s">
        <v>4569</v>
      </c>
      <c r="BI5" s="107" t="s">
        <v>1630</v>
      </c>
      <c r="BJ5" s="235"/>
      <c r="BK5" s="107" t="s">
        <v>3827</v>
      </c>
      <c r="BL5" s="107" t="s">
        <v>4730</v>
      </c>
      <c r="BM5" s="107" t="s">
        <v>4731</v>
      </c>
      <c r="BN5" s="107" t="s">
        <v>1629</v>
      </c>
      <c r="BO5" s="107" t="s">
        <v>2498</v>
      </c>
      <c r="BP5" s="235"/>
      <c r="BQ5" s="107" t="s">
        <v>2497</v>
      </c>
      <c r="BR5" s="107" t="s">
        <v>2499</v>
      </c>
      <c r="BS5" s="107" t="s">
        <v>2500</v>
      </c>
      <c r="BT5" s="107" t="s">
        <v>5262</v>
      </c>
      <c r="BU5" s="107" t="s">
        <v>2501</v>
      </c>
      <c r="BV5" s="235"/>
      <c r="BW5" s="107" t="s">
        <v>5175</v>
      </c>
      <c r="BX5" s="107" t="s">
        <v>5176</v>
      </c>
      <c r="BY5" s="107" t="s">
        <v>5177</v>
      </c>
      <c r="BZ5" s="107" t="s">
        <v>5178</v>
      </c>
      <c r="CA5" s="107" t="s">
        <v>2079</v>
      </c>
      <c r="CB5" s="235"/>
      <c r="CC5" s="107" t="s">
        <v>2515</v>
      </c>
      <c r="CD5" s="107" t="s">
        <v>2516</v>
      </c>
      <c r="CE5" s="107" t="s">
        <v>2517</v>
      </c>
      <c r="CF5" s="107" t="s">
        <v>2518</v>
      </c>
      <c r="CG5" s="107" t="s">
        <v>2519</v>
      </c>
      <c r="CH5" s="235"/>
      <c r="CI5" s="107" t="s">
        <v>1835</v>
      </c>
      <c r="CJ5" s="107" t="s">
        <v>1836</v>
      </c>
      <c r="CK5" s="107" t="s">
        <v>1837</v>
      </c>
      <c r="CL5" s="107" t="s">
        <v>1838</v>
      </c>
      <c r="CM5" s="107" t="s">
        <v>1839</v>
      </c>
      <c r="CN5" s="107"/>
      <c r="CO5" s="107" t="s">
        <v>1791</v>
      </c>
      <c r="CP5" s="107" t="s">
        <v>1792</v>
      </c>
      <c r="CQ5" s="107" t="s">
        <v>1793</v>
      </c>
      <c r="CR5" s="107" t="s">
        <v>1794</v>
      </c>
      <c r="CS5" s="107" t="s">
        <v>1795</v>
      </c>
      <c r="CT5" s="107"/>
      <c r="CU5" s="107" t="s">
        <v>3488</v>
      </c>
      <c r="CV5" s="107" t="s">
        <v>3489</v>
      </c>
      <c r="CW5" s="107" t="s">
        <v>3490</v>
      </c>
      <c r="CX5" s="107" t="s">
        <v>3491</v>
      </c>
      <c r="CY5" s="107" t="s">
        <v>3492</v>
      </c>
      <c r="CZ5" s="107"/>
      <c r="DA5" s="107" t="s">
        <v>2357</v>
      </c>
      <c r="DB5" s="107" t="s">
        <v>2358</v>
      </c>
      <c r="DC5" s="107" t="s">
        <v>2359</v>
      </c>
      <c r="DD5" s="107" t="s">
        <v>2360</v>
      </c>
      <c r="DE5" s="107" t="s">
        <v>2361</v>
      </c>
      <c r="DF5" s="107"/>
      <c r="DG5" s="107" t="s">
        <v>5631</v>
      </c>
      <c r="DH5" s="107" t="s">
        <v>5632</v>
      </c>
      <c r="DI5" s="107" t="s">
        <v>5633</v>
      </c>
      <c r="DJ5" s="107" t="s">
        <v>6778</v>
      </c>
      <c r="DK5" s="107" t="s">
        <v>6779</v>
      </c>
      <c r="DL5" s="107"/>
      <c r="DM5" s="107" t="s">
        <v>6447</v>
      </c>
      <c r="DN5" s="107" t="s">
        <v>6448</v>
      </c>
      <c r="DO5" s="107" t="s">
        <v>6449</v>
      </c>
      <c r="DP5" s="107" t="s">
        <v>6450</v>
      </c>
      <c r="DQ5" s="107" t="s">
        <v>6451</v>
      </c>
      <c r="DR5" s="107"/>
      <c r="DS5" s="107" t="s">
        <v>6976</v>
      </c>
      <c r="DT5" s="107" t="s">
        <v>6977</v>
      </c>
      <c r="DU5" s="107" t="s">
        <v>6978</v>
      </c>
      <c r="DV5" s="107" t="s">
        <v>6979</v>
      </c>
      <c r="DW5" s="107" t="s">
        <v>6980</v>
      </c>
      <c r="DX5" s="107"/>
      <c r="DY5" s="107" t="s">
        <v>6991</v>
      </c>
      <c r="DZ5" s="107" t="s">
        <v>6992</v>
      </c>
      <c r="EA5" s="107" t="s">
        <v>6993</v>
      </c>
      <c r="EB5" s="107" t="s">
        <v>6994</v>
      </c>
      <c r="EC5" s="107" t="s">
        <v>6990</v>
      </c>
      <c r="ED5" s="107"/>
      <c r="EE5" s="107" t="s">
        <v>7087</v>
      </c>
      <c r="EF5" s="107" t="s">
        <v>7088</v>
      </c>
      <c r="EG5" s="107" t="s">
        <v>7089</v>
      </c>
      <c r="EH5" s="107" t="s">
        <v>7090</v>
      </c>
      <c r="EI5" s="107" t="s">
        <v>7091</v>
      </c>
      <c r="EJ5" s="107"/>
      <c r="EK5" s="107" t="s">
        <v>7191</v>
      </c>
      <c r="EL5" s="107" t="s">
        <v>7192</v>
      </c>
      <c r="EM5" s="107" t="s">
        <v>7193</v>
      </c>
      <c r="EN5" s="107" t="s">
        <v>7194</v>
      </c>
      <c r="EO5" s="107" t="s">
        <v>7195</v>
      </c>
      <c r="EP5" s="107"/>
      <c r="EQ5" s="107" t="s">
        <v>7240</v>
      </c>
      <c r="ER5" s="107" t="s">
        <v>7241</v>
      </c>
      <c r="ES5" s="107" t="s">
        <v>7242</v>
      </c>
      <c r="ET5" s="107" t="s">
        <v>7243</v>
      </c>
      <c r="EU5" s="107" t="s">
        <v>7244</v>
      </c>
      <c r="EV5" s="107"/>
    </row>
    <row r="6" spans="1:165" ht="11.25" customHeight="1" collapsed="1">
      <c r="A6" s="236"/>
      <c r="B6" s="1243"/>
      <c r="C6" s="1244">
        <v>1997</v>
      </c>
      <c r="D6" s="841"/>
      <c r="E6" s="1245"/>
      <c r="F6" s="841"/>
      <c r="G6" s="841"/>
      <c r="H6" s="18"/>
      <c r="I6" s="1244">
        <v>1998</v>
      </c>
      <c r="J6" s="841"/>
      <c r="K6" s="1245"/>
      <c r="L6" s="841"/>
      <c r="M6" s="1245"/>
      <c r="N6" s="18"/>
      <c r="O6" s="1244">
        <v>1999</v>
      </c>
      <c r="P6" s="841"/>
      <c r="Q6" s="1245"/>
      <c r="R6" s="841"/>
      <c r="S6" s="841"/>
      <c r="T6" s="18"/>
      <c r="U6" s="1244">
        <v>2000</v>
      </c>
      <c r="V6" s="841"/>
      <c r="W6" s="1245"/>
      <c r="X6" s="841"/>
      <c r="Y6" s="841"/>
      <c r="Z6" s="18"/>
      <c r="AA6" s="1244">
        <v>2001</v>
      </c>
      <c r="AB6" s="841"/>
      <c r="AC6" s="1245"/>
      <c r="AD6" s="841"/>
      <c r="AE6" s="841"/>
      <c r="AF6" s="18"/>
      <c r="AG6" s="1244">
        <v>2002</v>
      </c>
      <c r="AH6" s="841"/>
      <c r="AI6" s="1245"/>
      <c r="AJ6" s="841"/>
      <c r="AK6" s="841"/>
      <c r="AL6" s="18"/>
      <c r="AM6" s="1246">
        <v>2003</v>
      </c>
      <c r="AN6" s="841"/>
      <c r="AO6" s="1245"/>
      <c r="AP6" s="841"/>
      <c r="AQ6" s="841"/>
      <c r="AR6" s="18"/>
      <c r="AS6" s="1245" t="s">
        <v>5148</v>
      </c>
      <c r="AT6" s="841"/>
      <c r="AU6" s="1245"/>
      <c r="AV6" s="841"/>
      <c r="AW6" s="841"/>
      <c r="AX6" s="18"/>
      <c r="AY6" s="1245" t="s">
        <v>5150</v>
      </c>
      <c r="AZ6" s="841"/>
      <c r="BA6" s="1245"/>
      <c r="BB6" s="841"/>
      <c r="BC6" s="841"/>
      <c r="BD6" s="18"/>
      <c r="BE6" s="1245" t="s">
        <v>6811</v>
      </c>
      <c r="BF6" s="841"/>
      <c r="BG6" s="1245"/>
      <c r="BH6" s="841"/>
      <c r="BI6" s="841"/>
      <c r="BJ6" s="18"/>
      <c r="BK6" s="1245" t="s">
        <v>2520</v>
      </c>
      <c r="BL6" s="841"/>
      <c r="BM6" s="1245"/>
      <c r="BN6" s="841"/>
      <c r="BO6" s="841"/>
      <c r="BP6" s="18"/>
      <c r="BQ6" s="1245" t="s">
        <v>1840</v>
      </c>
      <c r="BR6" s="841"/>
      <c r="BS6" s="1245"/>
      <c r="BT6" s="841"/>
      <c r="BU6" s="841"/>
      <c r="BV6" s="18"/>
      <c r="BW6" s="1245" t="s">
        <v>6433</v>
      </c>
      <c r="BX6" s="841"/>
      <c r="BY6" s="841"/>
      <c r="BZ6" s="841"/>
      <c r="CA6" s="841"/>
      <c r="CB6" s="18"/>
      <c r="CC6" s="1245" t="s">
        <v>3497</v>
      </c>
      <c r="CD6" s="841"/>
      <c r="CE6" s="1245"/>
      <c r="CF6" s="841"/>
      <c r="CG6" s="841"/>
      <c r="CH6" s="18"/>
      <c r="CI6" s="2308" t="s">
        <v>1790</v>
      </c>
      <c r="CJ6" s="2308"/>
      <c r="CK6" s="2308"/>
      <c r="CL6" s="2308"/>
      <c r="CM6" s="841"/>
      <c r="CN6" s="18"/>
      <c r="CO6" s="2308" t="s">
        <v>643</v>
      </c>
      <c r="CP6" s="2308"/>
      <c r="CQ6" s="2308"/>
      <c r="CR6" s="2308"/>
      <c r="CS6" s="841"/>
      <c r="CT6" s="18"/>
      <c r="CU6" s="1245" t="s">
        <v>3544</v>
      </c>
      <c r="CV6" s="841"/>
      <c r="CW6" s="1245"/>
      <c r="CX6" s="841"/>
      <c r="CY6" s="1653"/>
      <c r="CZ6" s="18"/>
      <c r="DA6" s="2308" t="s">
        <v>6975</v>
      </c>
      <c r="DB6" s="2309"/>
      <c r="DC6" s="2309"/>
      <c r="DD6" s="2309"/>
      <c r="DE6" s="841"/>
      <c r="DF6" s="18"/>
      <c r="DG6" s="2308" t="s">
        <v>6996</v>
      </c>
      <c r="DH6" s="2309"/>
      <c r="DI6" s="2309"/>
      <c r="DJ6" s="2309"/>
      <c r="DK6" s="841"/>
      <c r="DL6" s="18"/>
      <c r="DM6" s="2308" t="s">
        <v>7098</v>
      </c>
      <c r="DN6" s="2309"/>
      <c r="DO6" s="2309"/>
      <c r="DP6" s="2309"/>
      <c r="DQ6" s="841"/>
      <c r="DR6" s="18"/>
      <c r="DS6" s="2308" t="s">
        <v>7167</v>
      </c>
      <c r="DT6" s="2309"/>
      <c r="DU6" s="2309"/>
      <c r="DV6" s="2309"/>
      <c r="DW6" s="841"/>
      <c r="DX6" s="18"/>
      <c r="DY6" s="2308" t="s">
        <v>7233</v>
      </c>
      <c r="DZ6" s="2309"/>
      <c r="EA6" s="2309"/>
      <c r="EB6" s="2309"/>
      <c r="EC6" s="841"/>
      <c r="ED6" s="18"/>
      <c r="EE6" s="2308" t="s">
        <v>7092</v>
      </c>
      <c r="EF6" s="2309"/>
      <c r="EG6" s="2309"/>
      <c r="EH6" s="2309"/>
      <c r="EI6" s="841"/>
      <c r="EJ6" s="18"/>
      <c r="EK6" s="2308" t="s">
        <v>7170</v>
      </c>
      <c r="EL6" s="2309"/>
      <c r="EM6" s="2309"/>
      <c r="EN6" s="2309"/>
      <c r="EO6" s="841"/>
      <c r="EP6" s="18"/>
      <c r="EQ6" s="2308" t="s">
        <v>7235</v>
      </c>
      <c r="ER6" s="2309"/>
      <c r="ES6" s="2309"/>
      <c r="ET6" s="2309"/>
      <c r="EU6" s="841"/>
      <c r="EV6" s="19"/>
    </row>
    <row r="7" spans="1:165">
      <c r="A7" s="1247"/>
      <c r="B7" s="1248"/>
      <c r="C7" s="842" t="s">
        <v>5260</v>
      </c>
      <c r="D7" s="842" t="s">
        <v>5259</v>
      </c>
      <c r="E7" s="842" t="s">
        <v>5258</v>
      </c>
      <c r="F7" s="842" t="s">
        <v>1045</v>
      </c>
      <c r="G7" s="842" t="s">
        <v>5141</v>
      </c>
      <c r="H7" s="842"/>
      <c r="I7" s="842" t="s">
        <v>1046</v>
      </c>
      <c r="J7" s="842" t="s">
        <v>1047</v>
      </c>
      <c r="K7" s="842" t="s">
        <v>1048</v>
      </c>
      <c r="L7" s="842" t="s">
        <v>1049</v>
      </c>
      <c r="M7" s="842" t="s">
        <v>5142</v>
      </c>
      <c r="N7" s="842"/>
      <c r="O7" s="842" t="s">
        <v>1050</v>
      </c>
      <c r="P7" s="842" t="s">
        <v>1051</v>
      </c>
      <c r="Q7" s="842" t="s">
        <v>1052</v>
      </c>
      <c r="R7" s="842" t="s">
        <v>1053</v>
      </c>
      <c r="S7" s="842" t="s">
        <v>5143</v>
      </c>
      <c r="T7" s="842"/>
      <c r="U7" s="842" t="s">
        <v>1054</v>
      </c>
      <c r="V7" s="842" t="s">
        <v>1055</v>
      </c>
      <c r="W7" s="842" t="s">
        <v>1056</v>
      </c>
      <c r="X7" s="842" t="s">
        <v>1057</v>
      </c>
      <c r="Y7" s="842" t="s">
        <v>5144</v>
      </c>
      <c r="Z7" s="842"/>
      <c r="AA7" s="842" t="s">
        <v>1058</v>
      </c>
      <c r="AB7" s="842" t="s">
        <v>2760</v>
      </c>
      <c r="AC7" s="842" t="s">
        <v>2761</v>
      </c>
      <c r="AD7" s="842" t="s">
        <v>2762</v>
      </c>
      <c r="AE7" s="842" t="s">
        <v>5145</v>
      </c>
      <c r="AF7" s="842"/>
      <c r="AG7" s="842" t="s">
        <v>5275</v>
      </c>
      <c r="AH7" s="842" t="s">
        <v>649</v>
      </c>
      <c r="AI7" s="842" t="s">
        <v>650</v>
      </c>
      <c r="AJ7" s="842" t="s">
        <v>6293</v>
      </c>
      <c r="AK7" s="842" t="s">
        <v>5146</v>
      </c>
      <c r="AL7" s="842"/>
      <c r="AM7" s="842" t="s">
        <v>6294</v>
      </c>
      <c r="AN7" s="842" t="s">
        <v>6295</v>
      </c>
      <c r="AO7" s="842" t="s">
        <v>6296</v>
      </c>
      <c r="AP7" s="842" t="s">
        <v>6297</v>
      </c>
      <c r="AQ7" s="842" t="s">
        <v>5147</v>
      </c>
      <c r="AR7" s="842"/>
      <c r="AS7" s="842" t="s">
        <v>6026</v>
      </c>
      <c r="AT7" s="842" t="s">
        <v>6027</v>
      </c>
      <c r="AU7" s="842" t="s">
        <v>6028</v>
      </c>
      <c r="AV7" s="842" t="s">
        <v>1041</v>
      </c>
      <c r="AW7" s="842" t="s">
        <v>5149</v>
      </c>
      <c r="AX7" s="842"/>
      <c r="AY7" s="842" t="s">
        <v>1042</v>
      </c>
      <c r="AZ7" s="842" t="s">
        <v>1040</v>
      </c>
      <c r="BA7" s="842" t="s">
        <v>1039</v>
      </c>
      <c r="BB7" s="842" t="s">
        <v>1043</v>
      </c>
      <c r="BC7" s="842" t="s">
        <v>5151</v>
      </c>
      <c r="BD7" s="842"/>
      <c r="BE7" s="842" t="s">
        <v>1044</v>
      </c>
      <c r="BF7" s="842" t="s">
        <v>6684</v>
      </c>
      <c r="BG7" s="842" t="s">
        <v>3818</v>
      </c>
      <c r="BH7" s="842" t="s">
        <v>6810</v>
      </c>
      <c r="BI7" s="842" t="s">
        <v>3338</v>
      </c>
      <c r="BJ7" s="842"/>
      <c r="BK7" s="842" t="s">
        <v>3498</v>
      </c>
      <c r="BL7" s="842" t="s">
        <v>339</v>
      </c>
      <c r="BM7" s="842" t="s">
        <v>6435</v>
      </c>
      <c r="BN7" s="842" t="s">
        <v>2384</v>
      </c>
      <c r="BO7" s="1249" t="s">
        <v>3339</v>
      </c>
      <c r="BP7" s="842"/>
      <c r="BQ7" s="842" t="s">
        <v>340</v>
      </c>
      <c r="BR7" s="842" t="s">
        <v>2383</v>
      </c>
      <c r="BS7" s="842" t="s">
        <v>2542</v>
      </c>
      <c r="BT7" s="842" t="s">
        <v>3349</v>
      </c>
      <c r="BU7" s="1249" t="s">
        <v>3340</v>
      </c>
      <c r="BV7" s="842"/>
      <c r="BW7" s="842" t="s">
        <v>3807</v>
      </c>
      <c r="BX7" s="842" t="s">
        <v>6071</v>
      </c>
      <c r="BY7" s="842" t="s">
        <v>2743</v>
      </c>
      <c r="BZ7" s="842" t="s">
        <v>6434</v>
      </c>
      <c r="CA7" s="1249" t="s">
        <v>470</v>
      </c>
      <c r="CB7" s="842"/>
      <c r="CC7" s="842" t="s">
        <v>5232</v>
      </c>
      <c r="CD7" s="842" t="s">
        <v>5618</v>
      </c>
      <c r="CE7" s="842" t="s">
        <v>84</v>
      </c>
      <c r="CF7" s="842" t="s">
        <v>3496</v>
      </c>
      <c r="CG7" s="1249" t="s">
        <v>471</v>
      </c>
      <c r="CH7" s="842"/>
      <c r="CI7" s="842" t="s">
        <v>4729</v>
      </c>
      <c r="CJ7" s="842" t="s">
        <v>1942</v>
      </c>
      <c r="CK7" s="842" t="s">
        <v>1943</v>
      </c>
      <c r="CL7" s="842" t="s">
        <v>1858</v>
      </c>
      <c r="CM7" s="1249" t="s">
        <v>3788</v>
      </c>
      <c r="CN7" s="842"/>
      <c r="CO7" s="842" t="s">
        <v>1859</v>
      </c>
      <c r="CP7" s="842" t="s">
        <v>5179</v>
      </c>
      <c r="CQ7" s="842" t="s">
        <v>1931</v>
      </c>
      <c r="CR7" s="842" t="s">
        <v>1059</v>
      </c>
      <c r="CS7" s="1249" t="s">
        <v>1940</v>
      </c>
      <c r="CT7" s="842"/>
      <c r="CU7" s="842" t="s">
        <v>2702</v>
      </c>
      <c r="CV7" s="842" t="s">
        <v>1480</v>
      </c>
      <c r="CW7" s="842" t="s">
        <v>2663</v>
      </c>
      <c r="CX7" s="842" t="s">
        <v>3543</v>
      </c>
      <c r="CY7" s="1249" t="s">
        <v>1941</v>
      </c>
      <c r="CZ7" s="842"/>
      <c r="DA7" s="842" t="s">
        <v>3957</v>
      </c>
      <c r="DB7" s="842" t="s">
        <v>1965</v>
      </c>
      <c r="DC7" s="842" t="s">
        <v>127</v>
      </c>
      <c r="DD7" s="842" t="s">
        <v>6974</v>
      </c>
      <c r="DE7" s="1249" t="s">
        <v>3782</v>
      </c>
      <c r="DF7" s="842"/>
      <c r="DG7" s="842" t="s">
        <v>6981</v>
      </c>
      <c r="DH7" s="842" t="s">
        <v>6984</v>
      </c>
      <c r="DI7" s="842" t="s">
        <v>6987</v>
      </c>
      <c r="DJ7" s="842" t="s">
        <v>6995</v>
      </c>
      <c r="DK7" s="1249" t="s">
        <v>3783</v>
      </c>
      <c r="DL7" s="842"/>
      <c r="DM7" s="842" t="s">
        <v>7001</v>
      </c>
      <c r="DN7" s="842" t="s">
        <v>7051</v>
      </c>
      <c r="DO7" s="842" t="s">
        <v>7082</v>
      </c>
      <c r="DP7" s="842" t="s">
        <v>7097</v>
      </c>
      <c r="DQ7" s="1249" t="s">
        <v>373</v>
      </c>
      <c r="DR7" s="842"/>
      <c r="DS7" s="842" t="s">
        <v>7105</v>
      </c>
      <c r="DT7" s="842" t="s">
        <v>7108</v>
      </c>
      <c r="DU7" s="842" t="s">
        <v>7110</v>
      </c>
      <c r="DV7" s="842" t="s">
        <v>7166</v>
      </c>
      <c r="DW7" s="1249" t="s">
        <v>7130</v>
      </c>
      <c r="DX7" s="842"/>
      <c r="DY7" s="842" t="s">
        <v>7206</v>
      </c>
      <c r="DZ7" s="842" t="s">
        <v>7227</v>
      </c>
      <c r="EA7" s="842" t="s">
        <v>7228</v>
      </c>
      <c r="EB7" s="842" t="s">
        <v>7234</v>
      </c>
      <c r="EC7" s="1249" t="s">
        <v>7131</v>
      </c>
      <c r="ED7" s="842"/>
      <c r="EE7" s="842" t="s">
        <v>7093</v>
      </c>
      <c r="EF7" s="842" t="s">
        <v>7094</v>
      </c>
      <c r="EG7" s="842" t="s">
        <v>7095</v>
      </c>
      <c r="EH7" s="842" t="s">
        <v>7096</v>
      </c>
      <c r="EI7" s="1249" t="s">
        <v>367</v>
      </c>
      <c r="EJ7" s="842"/>
      <c r="EK7" s="842" t="s">
        <v>7171</v>
      </c>
      <c r="EL7" s="842" t="s">
        <v>7172</v>
      </c>
      <c r="EM7" s="842" t="s">
        <v>7173</v>
      </c>
      <c r="EN7" s="842" t="s">
        <v>7174</v>
      </c>
      <c r="EO7" s="1249" t="s">
        <v>368</v>
      </c>
      <c r="EP7" s="842"/>
      <c r="EQ7" s="842" t="s">
        <v>7236</v>
      </c>
      <c r="ER7" s="842" t="s">
        <v>7237</v>
      </c>
      <c r="ES7" s="842" t="s">
        <v>7238</v>
      </c>
      <c r="ET7" s="842" t="s">
        <v>7239</v>
      </c>
      <c r="EU7" s="1249" t="s">
        <v>369</v>
      </c>
      <c r="EV7" s="21"/>
    </row>
    <row r="8" spans="1:165" ht="5.25" customHeight="1">
      <c r="A8" s="22"/>
      <c r="B8" s="224"/>
      <c r="C8" s="23"/>
      <c r="D8" s="24"/>
      <c r="E8" s="24"/>
      <c r="F8" s="24"/>
      <c r="G8" s="24"/>
      <c r="H8" s="24"/>
      <c r="I8" s="23"/>
      <c r="J8" s="24"/>
      <c r="K8" s="24"/>
      <c r="L8" s="24"/>
      <c r="M8" s="24"/>
      <c r="N8" s="24"/>
      <c r="O8" s="23"/>
      <c r="P8" s="24"/>
      <c r="Q8" s="24"/>
      <c r="R8" s="24"/>
      <c r="S8" s="24"/>
      <c r="T8" s="24"/>
      <c r="U8" s="23"/>
      <c r="V8" s="24"/>
      <c r="W8" s="24"/>
      <c r="X8" s="24"/>
      <c r="Y8" s="24"/>
      <c r="Z8" s="24"/>
      <c r="AA8" s="23"/>
      <c r="AB8" s="24"/>
      <c r="AC8" s="24"/>
      <c r="AD8" s="24"/>
      <c r="AE8" s="24"/>
      <c r="AF8" s="24"/>
      <c r="AG8" s="23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1250"/>
      <c r="BP8" s="24"/>
      <c r="BQ8" s="24"/>
      <c r="BR8" s="24"/>
      <c r="BS8" s="24"/>
      <c r="BT8" s="24"/>
      <c r="BU8" s="1250"/>
      <c r="BV8" s="24"/>
      <c r="BW8" s="24"/>
      <c r="BX8" s="24"/>
      <c r="BY8" s="24"/>
      <c r="BZ8" s="24"/>
      <c r="CA8" s="1250"/>
      <c r="CB8" s="24"/>
      <c r="CC8" s="24"/>
      <c r="CD8" s="24"/>
      <c r="CE8" s="24"/>
      <c r="CF8" s="24"/>
      <c r="CG8" s="1250"/>
      <c r="CH8" s="24"/>
      <c r="CI8" s="24"/>
      <c r="CJ8" s="24"/>
      <c r="CK8" s="24"/>
      <c r="CL8" s="24"/>
      <c r="CM8" s="1250"/>
      <c r="CN8" s="24"/>
      <c r="CO8" s="24"/>
      <c r="CP8" s="24"/>
      <c r="CQ8" s="24"/>
      <c r="CR8" s="24"/>
      <c r="CS8" s="1250"/>
      <c r="CT8" s="24"/>
      <c r="CU8" s="24"/>
      <c r="CV8" s="24"/>
      <c r="CW8" s="24"/>
      <c r="CX8" s="24"/>
      <c r="CY8" s="1250"/>
      <c r="CZ8" s="24"/>
      <c r="DA8" s="24"/>
      <c r="DB8" s="24"/>
      <c r="DC8" s="24"/>
      <c r="DD8" s="24"/>
      <c r="DE8" s="1250"/>
      <c r="DF8" s="24"/>
      <c r="DG8" s="24"/>
      <c r="DH8" s="24"/>
      <c r="DI8" s="24"/>
      <c r="DJ8" s="24"/>
      <c r="DK8" s="1250"/>
      <c r="DL8" s="24"/>
      <c r="DM8" s="24"/>
      <c r="DN8" s="24"/>
      <c r="DO8" s="24"/>
      <c r="DP8" s="24"/>
      <c r="DQ8" s="1250"/>
      <c r="DR8" s="24"/>
      <c r="DS8" s="24"/>
      <c r="DT8" s="24"/>
      <c r="DU8" s="24"/>
      <c r="DV8" s="24"/>
      <c r="DW8" s="1250"/>
      <c r="DX8" s="24"/>
      <c r="DY8" s="24"/>
      <c r="DZ8" s="24"/>
      <c r="EA8" s="24"/>
      <c r="EB8" s="24"/>
      <c r="EC8" s="1250"/>
      <c r="ED8" s="24"/>
      <c r="EE8" s="24"/>
      <c r="EF8" s="24"/>
      <c r="EG8" s="24"/>
      <c r="EH8" s="24"/>
      <c r="EI8" s="1250"/>
      <c r="EJ8" s="24"/>
      <c r="EK8" s="24"/>
      <c r="EL8" s="24"/>
      <c r="EM8" s="24"/>
      <c r="EN8" s="24"/>
      <c r="EO8" s="1250"/>
      <c r="EP8" s="24"/>
      <c r="EQ8" s="24"/>
      <c r="ER8" s="24"/>
      <c r="ES8" s="24"/>
      <c r="ET8" s="24"/>
      <c r="EU8" s="1250"/>
      <c r="EV8" s="24"/>
    </row>
    <row r="9" spans="1:165" ht="12.75" hidden="1" customHeight="1" outlineLevel="1">
      <c r="A9" s="2231" t="s">
        <v>7197</v>
      </c>
      <c r="B9" s="519"/>
      <c r="C9" s="23"/>
      <c r="D9" s="24"/>
      <c r="E9" s="24"/>
      <c r="F9" s="24"/>
      <c r="G9" s="24"/>
      <c r="H9" s="24"/>
      <c r="I9" s="23"/>
      <c r="J9" s="24"/>
      <c r="K9" s="24"/>
      <c r="L9" s="24"/>
      <c r="M9" s="24"/>
      <c r="N9" s="24"/>
      <c r="O9" s="23"/>
      <c r="P9" s="24"/>
      <c r="Q9" s="24"/>
      <c r="R9" s="24"/>
      <c r="S9" s="147"/>
      <c r="T9" s="24"/>
      <c r="U9" s="23"/>
      <c r="V9" s="24"/>
      <c r="W9" s="24"/>
      <c r="X9" s="24"/>
      <c r="Y9" s="147"/>
      <c r="Z9" s="24"/>
      <c r="AA9" s="23"/>
      <c r="AB9" s="147"/>
      <c r="AC9" s="147"/>
      <c r="AD9" s="24"/>
      <c r="AE9" s="147"/>
      <c r="AF9" s="24"/>
      <c r="AG9" s="23"/>
      <c r="AH9" s="24"/>
      <c r="AI9" s="24"/>
      <c r="AJ9" s="24"/>
      <c r="AK9" s="147"/>
      <c r="AL9" s="24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24"/>
      <c r="BA9" s="24"/>
      <c r="BB9" s="24"/>
      <c r="BC9" s="24"/>
      <c r="BD9" s="147"/>
      <c r="BE9" s="147"/>
      <c r="BF9" s="24"/>
      <c r="BG9" s="24"/>
      <c r="BH9" s="24"/>
      <c r="BI9" s="24"/>
      <c r="BJ9" s="24"/>
      <c r="BK9" s="24"/>
      <c r="BL9" s="24"/>
      <c r="BM9" s="24"/>
      <c r="BN9" s="24"/>
      <c r="BO9" s="1250"/>
      <c r="BP9" s="24"/>
      <c r="BQ9" s="890"/>
      <c r="BR9" s="890"/>
      <c r="BS9" s="890"/>
      <c r="BT9" s="890"/>
      <c r="BU9" s="1293"/>
      <c r="BV9" s="24"/>
      <c r="BW9" s="890"/>
      <c r="BX9" s="890"/>
      <c r="BY9" s="890"/>
      <c r="BZ9" s="890"/>
      <c r="CA9" s="1293"/>
      <c r="CB9" s="24"/>
      <c r="CC9" s="890"/>
      <c r="CD9" s="890"/>
      <c r="CE9" s="890"/>
      <c r="CF9" s="890"/>
      <c r="CG9" s="1293"/>
      <c r="CH9" s="24"/>
      <c r="CI9" s="1588"/>
      <c r="CJ9" s="1589"/>
      <c r="CK9" s="1589"/>
      <c r="CL9" s="1589"/>
      <c r="CM9" s="1590"/>
      <c r="CN9" s="24"/>
      <c r="CO9" s="890"/>
      <c r="CP9" s="890"/>
      <c r="CQ9" s="890"/>
      <c r="CR9" s="890"/>
      <c r="CS9" s="1293"/>
      <c r="CT9" s="24"/>
      <c r="CU9" s="890"/>
      <c r="CV9" s="890"/>
      <c r="CW9" s="890"/>
      <c r="CX9" s="890"/>
      <c r="CY9" s="1293"/>
      <c r="CZ9" s="24"/>
      <c r="DA9" s="890"/>
      <c r="DB9" s="1742"/>
      <c r="DC9" s="890"/>
      <c r="DD9" s="890"/>
      <c r="DE9" s="1293"/>
      <c r="DF9" s="24"/>
      <c r="DG9" s="890"/>
      <c r="DH9" s="890"/>
      <c r="DI9" s="890"/>
      <c r="DJ9" s="890"/>
      <c r="DK9" s="1293"/>
      <c r="DL9" s="24"/>
      <c r="DM9" s="890"/>
      <c r="DN9" s="890"/>
      <c r="DO9" s="890"/>
      <c r="DP9" s="890"/>
      <c r="DQ9" s="1293"/>
      <c r="DR9" s="24"/>
      <c r="DS9" s="890"/>
      <c r="DT9" s="890"/>
      <c r="DU9" s="890"/>
      <c r="DV9" s="890"/>
      <c r="DW9" s="1293"/>
      <c r="DX9" s="24"/>
      <c r="DY9" s="890"/>
      <c r="DZ9" s="890"/>
      <c r="EA9" s="890"/>
      <c r="EB9" s="890"/>
      <c r="EC9" s="1293"/>
      <c r="ED9" s="24"/>
      <c r="EE9" s="890"/>
      <c r="EF9" s="890"/>
      <c r="EG9" s="890"/>
      <c r="EH9" s="890"/>
      <c r="EI9" s="1293"/>
      <c r="EJ9" s="24"/>
      <c r="EK9" s="890"/>
      <c r="EL9" s="890"/>
      <c r="EM9" s="890"/>
      <c r="EN9" s="890"/>
      <c r="EO9" s="1293"/>
      <c r="EP9" s="24"/>
      <c r="EQ9" s="890"/>
      <c r="ER9" s="890"/>
      <c r="ES9" s="890"/>
      <c r="ET9" s="890"/>
      <c r="EU9" s="1293"/>
      <c r="EV9" s="24"/>
    </row>
    <row r="10" spans="1:165" ht="10.5" hidden="1" customHeight="1" outlineLevel="1">
      <c r="A10" s="29" t="s">
        <v>7215</v>
      </c>
      <c r="B10" s="593" t="s">
        <v>5160</v>
      </c>
      <c r="C10" s="530"/>
      <c r="D10" s="194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4"/>
      <c r="Z10" s="194"/>
      <c r="AA10" s="194"/>
      <c r="AB10" s="194"/>
      <c r="AC10" s="194"/>
      <c r="AD10" s="194"/>
      <c r="AE10" s="194"/>
      <c r="AF10" s="194"/>
      <c r="AG10" s="194">
        <v>236.78299999999999</v>
      </c>
      <c r="AH10" s="194">
        <v>220.23</v>
      </c>
      <c r="AI10" s="194">
        <v>204.541</v>
      </c>
      <c r="AJ10" s="194">
        <v>240.25800000000001</v>
      </c>
      <c r="AK10" s="194">
        <f>SUM(AG10:AJ10)</f>
        <v>901.81200000000001</v>
      </c>
      <c r="AL10" s="194"/>
      <c r="AM10" s="194">
        <v>213.66399999999999</v>
      </c>
      <c r="AN10" s="194">
        <v>193.33500000000001</v>
      </c>
      <c r="AO10" s="194">
        <v>168.27099999999999</v>
      </c>
      <c r="AP10" s="194">
        <v>173.67400000000001</v>
      </c>
      <c r="AQ10" s="194">
        <f>SUM(AM10:AP10)</f>
        <v>748.94399999999996</v>
      </c>
      <c r="AR10" s="194"/>
      <c r="AS10" s="194">
        <v>186.881</v>
      </c>
      <c r="AT10" s="194">
        <v>183.434</v>
      </c>
      <c r="AU10" s="194">
        <v>204.303</v>
      </c>
      <c r="AV10" s="194">
        <v>262.11900000000003</v>
      </c>
      <c r="AW10" s="194">
        <f>SUM(AS10:AV10)</f>
        <v>836.73699999999997</v>
      </c>
      <c r="AX10" s="194"/>
      <c r="AY10" s="64">
        <v>261.8</v>
      </c>
      <c r="AZ10" s="876">
        <v>240.2</v>
      </c>
      <c r="BA10" s="876">
        <v>256.60000000000002</v>
      </c>
      <c r="BB10" s="876">
        <v>306.7</v>
      </c>
      <c r="BC10" s="64">
        <f>SUM(AY10:BB10)</f>
        <v>1065.3</v>
      </c>
      <c r="BD10" s="194"/>
      <c r="BE10" s="64">
        <v>299.39999999999998</v>
      </c>
      <c r="BF10" s="876">
        <v>312.89999999999998</v>
      </c>
      <c r="BG10" s="876">
        <v>308.7</v>
      </c>
      <c r="BH10" s="876">
        <v>340.8</v>
      </c>
      <c r="BI10" s="64">
        <f>SUM(BE10:BH10)</f>
        <v>1261.8</v>
      </c>
      <c r="BJ10" s="194"/>
      <c r="BK10" s="64">
        <v>349.4</v>
      </c>
      <c r="BL10" s="876">
        <v>345.5</v>
      </c>
      <c r="BM10" s="876">
        <v>346.3</v>
      </c>
      <c r="BN10" s="876">
        <v>374.7</v>
      </c>
      <c r="BO10" s="1251">
        <f>SUM(BK10:BN10)</f>
        <v>1415.9</v>
      </c>
      <c r="BP10" s="64"/>
      <c r="BQ10" s="876">
        <v>383.2</v>
      </c>
      <c r="BR10" s="876">
        <v>393.6</v>
      </c>
      <c r="BS10" s="876">
        <v>395.8</v>
      </c>
      <c r="BT10" s="876">
        <v>446</v>
      </c>
      <c r="BU10" s="1251">
        <f>SUM(BQ10:BT10)</f>
        <v>1618.6</v>
      </c>
      <c r="BV10" s="64"/>
      <c r="BW10" s="876">
        <v>432.2</v>
      </c>
      <c r="BX10" s="876">
        <v>440.2</v>
      </c>
      <c r="BY10" s="876">
        <v>421</v>
      </c>
      <c r="BZ10" s="876">
        <v>310</v>
      </c>
      <c r="CA10" s="1251">
        <f>SUM(BW10:BZ10)</f>
        <v>1603.4</v>
      </c>
      <c r="CB10" s="64"/>
      <c r="CC10" s="876">
        <v>243.6</v>
      </c>
      <c r="CD10" s="876">
        <v>231</v>
      </c>
      <c r="CE10" s="876">
        <v>236.1</v>
      </c>
      <c r="CF10" s="876">
        <v>270</v>
      </c>
      <c r="CG10" s="1251">
        <f>SUM(CC10:CF10)</f>
        <v>980.7</v>
      </c>
      <c r="CH10" s="64"/>
      <c r="CI10" s="876">
        <v>279.8</v>
      </c>
      <c r="CJ10" s="876">
        <v>280.7</v>
      </c>
      <c r="CK10" s="876">
        <v>282</v>
      </c>
      <c r="CL10" s="876">
        <v>329.6</v>
      </c>
      <c r="CM10" s="1251">
        <f>SUM(CI10:CL10)</f>
        <v>1172.0999999999999</v>
      </c>
      <c r="CN10" s="64"/>
      <c r="CO10" s="876">
        <v>323</v>
      </c>
      <c r="CP10" s="876">
        <v>333</v>
      </c>
      <c r="CQ10" s="876">
        <v>331.4</v>
      </c>
      <c r="CR10" s="876">
        <v>370.2</v>
      </c>
      <c r="CS10" s="1251">
        <f>SUM(CO10:CR10)</f>
        <v>1357.6</v>
      </c>
      <c r="CT10" s="64"/>
      <c r="CU10" s="876">
        <v>355.3</v>
      </c>
      <c r="CV10" s="876">
        <v>334</v>
      </c>
      <c r="CW10" s="876">
        <v>310</v>
      </c>
      <c r="CX10" s="876">
        <v>365</v>
      </c>
      <c r="CY10" s="1251">
        <f>SUM(CU10:CX10)</f>
        <v>1364.3</v>
      </c>
      <c r="CZ10" s="64"/>
      <c r="DA10" s="876">
        <v>323.5</v>
      </c>
      <c r="DB10" s="876">
        <v>313.2</v>
      </c>
      <c r="DC10" s="876">
        <v>297.5</v>
      </c>
      <c r="DD10" s="876">
        <f>320.7</f>
        <v>320.7</v>
      </c>
      <c r="DE10" s="1251">
        <f>SUM(DA10:DD10)</f>
        <v>1254.9000000000001</v>
      </c>
      <c r="DF10" s="64"/>
      <c r="DG10" s="876">
        <v>316.2</v>
      </c>
      <c r="DH10" s="876">
        <v>350.4</v>
      </c>
      <c r="DI10" s="876">
        <v>320.5</v>
      </c>
      <c r="DJ10" s="876">
        <v>354.3</v>
      </c>
      <c r="DK10" s="1251">
        <f>SUM(DG10:DJ10)</f>
        <v>1341.3999999999999</v>
      </c>
      <c r="DL10" s="64"/>
      <c r="DM10" s="876">
        <v>326.7</v>
      </c>
      <c r="DN10" s="876">
        <v>290.5</v>
      </c>
      <c r="DO10" s="876">
        <v>280.89999999999998</v>
      </c>
      <c r="DP10" s="876">
        <v>328.8</v>
      </c>
      <c r="DQ10" s="1251">
        <f>SUM(DM10:DP10)</f>
        <v>1226.9000000000001</v>
      </c>
      <c r="DR10" s="64"/>
      <c r="DS10" s="876">
        <v>185.9</v>
      </c>
      <c r="DT10" s="876">
        <v>228.7</v>
      </c>
      <c r="DU10" s="876">
        <v>170.1</v>
      </c>
      <c r="DV10" s="876">
        <v>156.30000000000001</v>
      </c>
      <c r="DW10" s="1251">
        <f>SUM(DS10:DV10)</f>
        <v>741</v>
      </c>
      <c r="DX10" s="64"/>
      <c r="DY10" s="64"/>
      <c r="DZ10" s="64"/>
      <c r="EA10" s="64"/>
      <c r="EB10" s="64"/>
      <c r="EC10" s="1251"/>
      <c r="ED10" s="64"/>
      <c r="EE10" s="876"/>
      <c r="EF10" s="876"/>
      <c r="EG10" s="876"/>
      <c r="EH10" s="876"/>
      <c r="EI10" s="1251"/>
      <c r="EJ10" s="64"/>
      <c r="EK10" s="876"/>
      <c r="EL10" s="876"/>
      <c r="EM10" s="876"/>
      <c r="EN10" s="876"/>
      <c r="EO10" s="1251"/>
      <c r="EP10" s="64"/>
      <c r="EQ10" s="876"/>
      <c r="ER10" s="876"/>
      <c r="ES10" s="876"/>
      <c r="ET10" s="876"/>
      <c r="EU10" s="1251"/>
      <c r="EV10" s="18"/>
    </row>
    <row r="11" spans="1:165" ht="12.75" hidden="1" customHeight="1" outlineLevel="1">
      <c r="A11" s="25" t="s">
        <v>4583</v>
      </c>
      <c r="B11" s="520"/>
      <c r="C11" s="226"/>
      <c r="D11" s="104"/>
      <c r="E11" s="104"/>
      <c r="F11" s="104"/>
      <c r="G11" s="159"/>
      <c r="H11" s="90"/>
      <c r="I11" s="104"/>
      <c r="J11" s="159"/>
      <c r="K11" s="159"/>
      <c r="L11" s="159"/>
      <c r="M11" s="159"/>
      <c r="N11" s="90"/>
      <c r="O11" s="159"/>
      <c r="P11" s="159"/>
      <c r="Q11" s="159"/>
      <c r="R11" s="159"/>
      <c r="S11" s="159"/>
      <c r="T11" s="90"/>
      <c r="U11" s="159"/>
      <c r="V11" s="159"/>
      <c r="W11" s="159"/>
      <c r="X11" s="159"/>
      <c r="Y11" s="159"/>
      <c r="Z11" s="90"/>
      <c r="AA11" s="159"/>
      <c r="AB11" s="159"/>
      <c r="AC11" s="159"/>
      <c r="AD11" s="159"/>
      <c r="AE11" s="159"/>
      <c r="AF11" s="90"/>
      <c r="AG11" s="116" t="str">
        <f>IF(AA10&lt;&gt;"",AG10/AA10-1,"-")</f>
        <v>-</v>
      </c>
      <c r="AH11" s="116" t="str">
        <f>IF(AB10&lt;&gt;"",AH10/AB10-1,"-")</f>
        <v>-</v>
      </c>
      <c r="AI11" s="116" t="str">
        <f>IF(AC10&lt;&gt;"",AI10/AC10-1,"-")</f>
        <v>-</v>
      </c>
      <c r="AJ11" s="116" t="str">
        <f>IF(AD10&lt;&gt;"",AJ10/AD10-1,"-")</f>
        <v>-</v>
      </c>
      <c r="AK11" s="116" t="str">
        <f>IF(AE10&lt;&gt;"",AK10/AE10-1,"-")</f>
        <v>-</v>
      </c>
      <c r="AL11" s="90"/>
      <c r="AM11" s="116">
        <f>IF(AG10&lt;&gt;"",AM10/AG10-1,"-")</f>
        <v>-9.7637921641334002E-2</v>
      </c>
      <c r="AN11" s="116">
        <f>IF(AH10&lt;&gt;"",AN10/AH10-1,"-")</f>
        <v>-0.12212232665849332</v>
      </c>
      <c r="AO11" s="116">
        <f>IF(AI10&lt;&gt;"",AO10/AI10-1,"-")</f>
        <v>-0.17732386171965531</v>
      </c>
      <c r="AP11" s="116">
        <f>IF(AJ10&lt;&gt;"",AP10/AJ10-1,"-")</f>
        <v>-0.2771354127646114</v>
      </c>
      <c r="AQ11" s="116">
        <f>IF(AK10&lt;&gt;"",AQ10/AK10-1,"-")</f>
        <v>-0.16951204907452999</v>
      </c>
      <c r="AR11" s="90"/>
      <c r="AS11" s="116">
        <f>IF(AM10&lt;&gt;"",AS10/AM10-1,"-")</f>
        <v>-0.12535101842144669</v>
      </c>
      <c r="AT11" s="116">
        <f>IF(AN10&lt;&gt;"",AT10/AN10-1,"-")</f>
        <v>-5.1211627485969968E-2</v>
      </c>
      <c r="AU11" s="116">
        <f>IF(AO10&lt;&gt;"",AU10/AO10-1,"-")</f>
        <v>0.21413077713925754</v>
      </c>
      <c r="AV11" s="116">
        <f>IF(AP10&lt;&gt;"",AV10/AP10-1,"-")</f>
        <v>0.50925872611905065</v>
      </c>
      <c r="AW11" s="116">
        <f>IF(AQ10&lt;&gt;"",AW10/AQ10-1,"-")</f>
        <v>0.1172223824478198</v>
      </c>
      <c r="AX11" s="90"/>
      <c r="AY11" s="116">
        <f>IF(AS10&lt;&gt;"",AY10/AS10-1,"-")</f>
        <v>0.40089147639406897</v>
      </c>
      <c r="AZ11" s="116">
        <f>IF(AT10&lt;&gt;"",AZ10/AT10-1,"-")</f>
        <v>0.30946280406031601</v>
      </c>
      <c r="BA11" s="116">
        <f>IF(AU10&lt;&gt;"",BA10/AU10-1,"-")</f>
        <v>0.25597764105275012</v>
      </c>
      <c r="BB11" s="116">
        <f>IF(AV10&lt;&gt;"",BB10/AV10-1,"-")</f>
        <v>0.17007923881900955</v>
      </c>
      <c r="BC11" s="159">
        <f>IF(AW10&lt;&gt;"",BC10/AW10-1,"-")</f>
        <v>0.27315990568123549</v>
      </c>
      <c r="BD11" s="90"/>
      <c r="BE11" s="116">
        <f>IF(AY10&lt;&gt;"",BE10/AY10-1,"-")</f>
        <v>0.1436210847975552</v>
      </c>
      <c r="BF11" s="116">
        <f>IF(AZ10&lt;&gt;"",BF10/AZ10-1,"-")</f>
        <v>0.30266444629475431</v>
      </c>
      <c r="BG11" s="116">
        <f>IF(BA10&lt;&gt;"",BG10/BA10-1,"-")</f>
        <v>0.20303975058456736</v>
      </c>
      <c r="BH11" s="116">
        <f>IF(BB10&lt;&gt;"",BH10/BB10-1,"-")</f>
        <v>0.11118356700358656</v>
      </c>
      <c r="BI11" s="159">
        <f>BI10/BC10-1</f>
        <v>0.1844550830751901</v>
      </c>
      <c r="BJ11" s="90"/>
      <c r="BK11" s="116">
        <f>IF(BE10&lt;&gt;"",BK10/BE10-1,"-")</f>
        <v>0.1670006680026721</v>
      </c>
      <c r="BL11" s="116">
        <f>IF(BF10&lt;&gt;"",BL10/BF10-1,"-")</f>
        <v>0.1041866410993928</v>
      </c>
      <c r="BM11" s="116">
        <f>IF(BG10&lt;&gt;"",BM10/BG10-1,"-")</f>
        <v>0.12180110139293832</v>
      </c>
      <c r="BN11" s="116">
        <f>IF(BH10&lt;&gt;"",BN10/BH10-1,"-")</f>
        <v>9.9471830985915499E-2</v>
      </c>
      <c r="BO11" s="1171">
        <f>BO10/BI10-1</f>
        <v>0.12212711998731973</v>
      </c>
      <c r="BP11" s="353"/>
      <c r="BQ11" s="244">
        <f>IF(BK10&lt;&gt;"",BQ10/BK10-1,"-")</f>
        <v>9.6737263880938729E-2</v>
      </c>
      <c r="BR11" s="244">
        <f>IF(BL10&lt;&gt;"",BR10/BL10-1,"-")</f>
        <v>0.13921852387843714</v>
      </c>
      <c r="BS11" s="244">
        <f>IF(BM10&lt;&gt;"",BS10/BM10-1,"-")</f>
        <v>0.14293964770430256</v>
      </c>
      <c r="BT11" s="244">
        <f>IF(BN10&lt;&gt;"",BT10/BN10-1,"-")</f>
        <v>0.19028556178275968</v>
      </c>
      <c r="BU11" s="1171">
        <f>BU10/BO10-1</f>
        <v>0.14315982767144564</v>
      </c>
      <c r="BV11" s="353"/>
      <c r="BW11" s="244">
        <f>IF(BQ10&lt;&gt;"",BW10/BQ10-1,"-")</f>
        <v>0.12787056367432159</v>
      </c>
      <c r="BX11" s="244">
        <f>IF(BR10&lt;&gt;"",BX10/BR10-1,"-")</f>
        <v>0.11839430894308944</v>
      </c>
      <c r="BY11" s="244">
        <f>IF(BS10&lt;&gt;"",BY10/BS10-1,"-")</f>
        <v>6.3668519454269878E-2</v>
      </c>
      <c r="BZ11" s="244">
        <f>IF(BT10&lt;&gt;"",BZ10/BT10-1,"-")</f>
        <v>-0.30493273542600896</v>
      </c>
      <c r="CA11" s="1171">
        <f>CA10/BU10-1</f>
        <v>-9.3908315828492572E-3</v>
      </c>
      <c r="CB11" s="353"/>
      <c r="CC11" s="244">
        <f>IF(BW10&lt;&gt;"",CC10/BW10-1,"-")</f>
        <v>-0.43637204997686252</v>
      </c>
      <c r="CD11" s="244">
        <f>IF(BX10&lt;&gt;"",CD10/BX10-1,"-")</f>
        <v>-0.47523852794184462</v>
      </c>
      <c r="CE11" s="244">
        <f>IF(BY10&lt;&gt;"",CE10/BY10-1,"-")</f>
        <v>-0.43919239904988128</v>
      </c>
      <c r="CF11" s="244">
        <f>IF(BZ10&lt;&gt;"",CF10/BZ10-1,"-")</f>
        <v>-0.12903225806451613</v>
      </c>
      <c r="CG11" s="1171">
        <f>CG10/CA10-1</f>
        <v>-0.38836223026069605</v>
      </c>
      <c r="CH11" s="353"/>
      <c r="CI11" s="244">
        <f>IF(CC10&lt;&gt;"",CI10/CC10-1,"-")</f>
        <v>0.14860426929392445</v>
      </c>
      <c r="CJ11" s="244">
        <f>IF(CD10&lt;&gt;"",CJ10/CD10-1,"-")</f>
        <v>0.21515151515151509</v>
      </c>
      <c r="CK11" s="244">
        <f>IF(CE10&lt;&gt;"",CK10/CE10-1,"-")</f>
        <v>0.19440914866581949</v>
      </c>
      <c r="CL11" s="244">
        <f>IF(CF10&lt;&gt;"",CL10/CF10-1,"-")</f>
        <v>0.2207407407407409</v>
      </c>
      <c r="CM11" s="1171">
        <f>CM10/CG10-1</f>
        <v>0.19516671765065752</v>
      </c>
      <c r="CN11" s="90"/>
      <c r="CO11" s="244">
        <f>IF(CI10&lt;&gt;"",CO10/CI10-1,"-")</f>
        <v>0.15439599714081487</v>
      </c>
      <c r="CP11" s="244">
        <f>IF(CJ10&lt;&gt;"",CP10/CJ10-1,"-")</f>
        <v>0.18631991449946561</v>
      </c>
      <c r="CQ11" s="244">
        <f>IF(CK10&lt;&gt;"",CQ10/CK10-1,"-")</f>
        <v>0.17517730496453887</v>
      </c>
      <c r="CR11" s="244">
        <f>IF(CL10&lt;&gt;"",CR10/CL10-1,"-")</f>
        <v>0.1231796116504853</v>
      </c>
      <c r="CS11" s="1171">
        <f>CS10/CM10-1</f>
        <v>0.15826294684753872</v>
      </c>
      <c r="CT11" s="353"/>
      <c r="CU11" s="244">
        <f>IF(CO10&lt;&gt;"",CU10/CO10-1,"-")</f>
        <v>0.10000000000000009</v>
      </c>
      <c r="CV11" s="244">
        <f>IF(CP10&lt;&gt;"",CV10/CP10-1,"-")</f>
        <v>3.0030030030030463E-3</v>
      </c>
      <c r="CW11" s="244">
        <f>IF(CQ10&lt;&gt;"",CW10/CQ10-1,"-")</f>
        <v>-6.4574532287266062E-2</v>
      </c>
      <c r="CX11" s="244">
        <f>IF(CR10&lt;&gt;"",CX10/CR10-1,"-")</f>
        <v>-1.40464613722312E-2</v>
      </c>
      <c r="CY11" s="1171">
        <f>CY10/CS10-1</f>
        <v>4.9351797289334254E-3</v>
      </c>
      <c r="CZ11" s="353"/>
      <c r="DA11" s="244">
        <f>IF(CU10&lt;&gt;"",DA10/CU10-1,"-")</f>
        <v>-8.9501829439909919E-2</v>
      </c>
      <c r="DB11" s="244">
        <f>IF(CV10&lt;&gt;"",DB10/CV10-1,"-")</f>
        <v>-6.2275449101796387E-2</v>
      </c>
      <c r="DC11" s="244">
        <f>IF(CW10&lt;&gt;"",DC10/CW10-1,"-")</f>
        <v>-4.0322580645161255E-2</v>
      </c>
      <c r="DD11" s="244">
        <f>IF(CX10&lt;&gt;"",DD10/CX10-1,"-")</f>
        <v>-0.12136986301369868</v>
      </c>
      <c r="DE11" s="1171">
        <f>DE10/CY10-1</f>
        <v>-8.0187642014219684E-2</v>
      </c>
      <c r="DF11" s="353"/>
      <c r="DG11" s="244">
        <f>IF(DA10&lt;&gt;"",DG10/DA10-1,"-")</f>
        <v>-2.256568778979906E-2</v>
      </c>
      <c r="DH11" s="244">
        <f>IF(DB10&lt;&gt;"",DH10/DB10-1,"-")</f>
        <v>0.11877394636015315</v>
      </c>
      <c r="DI11" s="244">
        <f>IF(DC10&lt;&gt;"",DI10/DC10-1,"-")</f>
        <v>7.7310924369747847E-2</v>
      </c>
      <c r="DJ11" s="244">
        <f>IF(DD10&lt;&gt;"",DJ10/DD10-1,"-")</f>
        <v>0.10477081384471476</v>
      </c>
      <c r="DK11" s="1171">
        <f>DK10/DE10-1</f>
        <v>6.8929795202804733E-2</v>
      </c>
      <c r="DL11" s="353"/>
      <c r="DM11" s="244">
        <f>IF(DG10&lt;&gt;"",DM10/DG10-1,"-")</f>
        <v>3.3206831119544589E-2</v>
      </c>
      <c r="DN11" s="244">
        <f>IF(DH10&lt;&gt;"",DN10/DH10-1,"-")</f>
        <v>-0.17094748858447484</v>
      </c>
      <c r="DO11" s="244">
        <f>IF(DI10&lt;&gt;"",DO10/DI10-1,"-")</f>
        <v>-0.12355694227769121</v>
      </c>
      <c r="DP11" s="244">
        <f>IF(DJ10&lt;&gt;"",DP10/DJ10-1,"-")</f>
        <v>-7.197290431837422E-2</v>
      </c>
      <c r="DQ11" s="1171">
        <f>DQ10/DK10-1</f>
        <v>-8.5358580587445831E-2</v>
      </c>
      <c r="DR11" s="353"/>
      <c r="DS11" s="244">
        <f>IF(DM10&lt;&gt;"",DS10/DM10-1,"-")</f>
        <v>-0.4309764309764309</v>
      </c>
      <c r="DT11" s="244">
        <f>IF(DN10&lt;&gt;"",DT10/DN10-1,"-")</f>
        <v>-0.212736660929432</v>
      </c>
      <c r="DU11" s="244">
        <f>IF(DO10&lt;&gt;"",DU10/DO10-1,"-")</f>
        <v>-0.39444642221431114</v>
      </c>
      <c r="DV11" s="244">
        <f>IF(DP10&lt;&gt;"",DV10/DP10-1,"-")</f>
        <v>-0.52463503649635035</v>
      </c>
      <c r="DW11" s="1171">
        <f>DW10/DQ10-1</f>
        <v>-0.39603879696796807</v>
      </c>
      <c r="DX11" s="353"/>
      <c r="DY11" s="2270"/>
      <c r="DZ11" s="2270"/>
      <c r="EA11" s="2270"/>
      <c r="EB11" s="2270"/>
      <c r="EC11" s="1171"/>
      <c r="ED11" s="353"/>
      <c r="EE11" s="2270"/>
      <c r="EF11" s="2270"/>
      <c r="EG11" s="2270"/>
      <c r="EH11" s="2270"/>
      <c r="EI11" s="1171"/>
      <c r="EJ11" s="353"/>
      <c r="EK11" s="2270"/>
      <c r="EL11" s="2270"/>
      <c r="EM11" s="2270"/>
      <c r="EN11" s="2270"/>
      <c r="EO11" s="1171"/>
      <c r="EP11" s="353"/>
      <c r="EQ11" s="2270"/>
      <c r="ER11" s="2270"/>
      <c r="ES11" s="2270"/>
      <c r="ET11" s="2270"/>
      <c r="EU11" s="1171"/>
      <c r="EV11" s="90"/>
    </row>
    <row r="12" spans="1:165" ht="12.75" hidden="1" customHeight="1" outlineLevel="1">
      <c r="A12" s="25" t="s">
        <v>4584</v>
      </c>
      <c r="B12" s="520"/>
      <c r="C12" s="226"/>
      <c r="D12" s="104"/>
      <c r="E12" s="159"/>
      <c r="F12" s="159"/>
      <c r="G12" s="104"/>
      <c r="H12" s="90"/>
      <c r="I12" s="159"/>
      <c r="J12" s="159"/>
      <c r="K12" s="159"/>
      <c r="L12" s="159"/>
      <c r="M12" s="104"/>
      <c r="N12" s="90"/>
      <c r="O12" s="421"/>
      <c r="P12" s="421"/>
      <c r="Q12" s="421"/>
      <c r="R12" s="421"/>
      <c r="S12" s="422"/>
      <c r="T12" s="90"/>
      <c r="U12" s="159"/>
      <c r="V12" s="159"/>
      <c r="W12" s="159"/>
      <c r="X12" s="159"/>
      <c r="Y12" s="104"/>
      <c r="Z12" s="90"/>
      <c r="AA12" s="159"/>
      <c r="AB12" s="159"/>
      <c r="AC12" s="159"/>
      <c r="AD12" s="159"/>
      <c r="AE12" s="104"/>
      <c r="AF12" s="90"/>
      <c r="AG12" s="116" t="str">
        <f>IF(AD10&lt;&gt;"",AG10/AD10-1,"-")</f>
        <v>-</v>
      </c>
      <c r="AH12" s="116">
        <f>IF(AG10&lt;&gt;"",AH10/AG10-1,"-")</f>
        <v>-6.9907890346857626E-2</v>
      </c>
      <c r="AI12" s="116">
        <f>IF(AH10&lt;&gt;"",AI10/AH10-1,"-")</f>
        <v>-7.1239159060981661E-2</v>
      </c>
      <c r="AJ12" s="116">
        <f>IF(AI10&lt;&gt;"",AJ10/AI10-1,"-")</f>
        <v>0.1746202472853855</v>
      </c>
      <c r="AK12" s="116" t="s">
        <v>6442</v>
      </c>
      <c r="AL12" s="90"/>
      <c r="AM12" s="116">
        <f>IF(AJ10&lt;&gt;"",AM10/AJ10-1,"-")</f>
        <v>-0.11068934229037131</v>
      </c>
      <c r="AN12" s="116">
        <f>IF(AM10&lt;&gt;"",AN10/AM10-1,"-")</f>
        <v>-9.5144713194548314E-2</v>
      </c>
      <c r="AO12" s="116">
        <f>IF(AN10&lt;&gt;"",AO10/AN10-1,"-")</f>
        <v>-0.12964026172188181</v>
      </c>
      <c r="AP12" s="116">
        <f>IF(AO10&lt;&gt;"",AP10/AO10-1,"-")</f>
        <v>3.2108919540503322E-2</v>
      </c>
      <c r="AQ12" s="116" t="s">
        <v>6442</v>
      </c>
      <c r="AR12" s="90"/>
      <c r="AS12" s="116">
        <f>IF(AP10&lt;&gt;"",AS10/AP10-1,"-")</f>
        <v>7.6044773541232402E-2</v>
      </c>
      <c r="AT12" s="116">
        <f>IF(AS10&lt;&gt;"",AT10/AS10-1,"-")</f>
        <v>-1.8444892739229779E-2</v>
      </c>
      <c r="AU12" s="116">
        <f>IF(AT10&lt;&gt;"",AU10/AT10-1,"-")</f>
        <v>0.11376843987483243</v>
      </c>
      <c r="AV12" s="116">
        <f>IF(AU10&lt;&gt;"",AV10/AU10-1,"-")</f>
        <v>0.28299143918591518</v>
      </c>
      <c r="AW12" s="116" t="s">
        <v>6442</v>
      </c>
      <c r="AX12" s="90"/>
      <c r="AY12" s="116">
        <f>IF(AV10&lt;&gt;"",AY10/AV10-1,"-")</f>
        <v>-1.2170044903270227E-3</v>
      </c>
      <c r="AZ12" s="116">
        <f>IF(AY10&lt;&gt;"",AZ10/AY10-1,"-")</f>
        <v>-8.2505729564553154E-2</v>
      </c>
      <c r="BA12" s="116">
        <f>IF(AZ10&lt;&gt;"",BA10/AZ10-1,"-")</f>
        <v>6.8276436303081001E-2</v>
      </c>
      <c r="BB12" s="116">
        <f>IF(BA10&lt;&gt;"",BB10/BA10-1,"-")</f>
        <v>0.19524551831644565</v>
      </c>
      <c r="BC12" s="116" t="s">
        <v>6442</v>
      </c>
      <c r="BD12" s="90"/>
      <c r="BE12" s="116">
        <f>IF(BB10&lt;&gt;"",BE10/BB10-1,"-")</f>
        <v>-2.3801760678187178E-2</v>
      </c>
      <c r="BF12" s="116">
        <f>IF(BE10&lt;&gt;"",BF10/BE10-1,"-")</f>
        <v>4.5090180360721543E-2</v>
      </c>
      <c r="BG12" s="116">
        <f>IF(BF10&lt;&gt;"",BG10/BF10-1,"-")</f>
        <v>-1.3422818791946289E-2</v>
      </c>
      <c r="BH12" s="116">
        <f>IF(BG10&lt;&gt;"",BH10/BG10-1,"-")</f>
        <v>0.10398445092322661</v>
      </c>
      <c r="BI12" s="116" t="s">
        <v>6442</v>
      </c>
      <c r="BJ12" s="90"/>
      <c r="BK12" s="116">
        <f>IF(BH10&lt;&gt;"",BK10/BH10-1,"-")</f>
        <v>2.5234741784037507E-2</v>
      </c>
      <c r="BL12" s="116">
        <f>IF(BK10&lt;&gt;"",BL10/BK10-1,"-")</f>
        <v>-1.116199198626211E-2</v>
      </c>
      <c r="BM12" s="116">
        <f>IF(BL10&lt;&gt;"",BM10/BL10-1,"-")</f>
        <v>2.3154848046309517E-3</v>
      </c>
      <c r="BN12" s="116">
        <f>IF(BM10&lt;&gt;"",BN10/BM10-1,"-")</f>
        <v>8.2009818076811847E-2</v>
      </c>
      <c r="BO12" s="1173" t="s">
        <v>6442</v>
      </c>
      <c r="BP12" s="353"/>
      <c r="BQ12" s="244">
        <f>IF(BN10&lt;&gt;"",BQ10/BN10-1,"-")</f>
        <v>2.2684814518281193E-2</v>
      </c>
      <c r="BR12" s="244">
        <f>IF(BQ10&lt;&gt;"",BR10/BQ10-1,"-")</f>
        <v>2.7139874739039671E-2</v>
      </c>
      <c r="BS12" s="244">
        <f>IF(BR10&lt;&gt;"",BS10/BR10-1,"-")</f>
        <v>5.5894308943089666E-3</v>
      </c>
      <c r="BT12" s="244">
        <f>IF(BS10&lt;&gt;"",BT10/BS10-1,"-")</f>
        <v>0.12683173319858509</v>
      </c>
      <c r="BU12" s="1173" t="s">
        <v>6442</v>
      </c>
      <c r="BV12" s="353"/>
      <c r="BW12" s="244">
        <f>IF(BT10&lt;&gt;"",BW10/BT10-1,"-")</f>
        <v>-3.0941704035874484E-2</v>
      </c>
      <c r="BX12" s="244">
        <f>IF(BW10&lt;&gt;"",BX10/BW10-1,"-")</f>
        <v>1.8509949097639922E-2</v>
      </c>
      <c r="BY12" s="244">
        <f>IF(BX10&lt;&gt;"",BY10/BX10-1,"-")</f>
        <v>-4.3616537937301247E-2</v>
      </c>
      <c r="BZ12" s="244">
        <f>IF(BY10&lt;&gt;"",BZ10/BY10-1,"-")</f>
        <v>-0.26365795724465557</v>
      </c>
      <c r="CA12" s="1173" t="s">
        <v>6442</v>
      </c>
      <c r="CB12" s="353"/>
      <c r="CC12" s="244">
        <f>IF(BZ10&lt;&gt;"",CC10/BZ10-1,"-")</f>
        <v>-0.21419354838709681</v>
      </c>
      <c r="CD12" s="244">
        <f>IF(CC10&lt;&gt;"",CD10/CC10-1,"-")</f>
        <v>-5.1724137931034475E-2</v>
      </c>
      <c r="CE12" s="244">
        <f>IF(CD10&lt;&gt;"",CE10/CD10-1,"-")</f>
        <v>2.2077922077922141E-2</v>
      </c>
      <c r="CF12" s="244">
        <f>IF(CE10&lt;&gt;"",CF10/CE10-1,"-")</f>
        <v>0.14358322744599739</v>
      </c>
      <c r="CG12" s="1173" t="s">
        <v>6442</v>
      </c>
      <c r="CH12" s="353"/>
      <c r="CI12" s="244">
        <f>IF(CF10&lt;&gt;"",CI10/CF10-1,"-")</f>
        <v>3.6296296296296271E-2</v>
      </c>
      <c r="CJ12" s="244">
        <f>IF(CI10&lt;&gt;"",CJ10/CI10-1,"-")</f>
        <v>3.2165832737669486E-3</v>
      </c>
      <c r="CK12" s="244">
        <f>IF(CJ10&lt;&gt;"",CK10/CJ10-1,"-")</f>
        <v>4.6312789454934222E-3</v>
      </c>
      <c r="CL12" s="244">
        <f>IF(CK10&lt;&gt;"",CL10/CK10-1,"-")</f>
        <v>0.16879432624113488</v>
      </c>
      <c r="CM12" s="1173" t="s">
        <v>6442</v>
      </c>
      <c r="CN12" s="90"/>
      <c r="CO12" s="244">
        <f>IF(CL10&lt;&gt;"",CO10/CL10-1,"-")</f>
        <v>-2.0024271844660269E-2</v>
      </c>
      <c r="CP12" s="244">
        <f>IF(CO10&lt;&gt;"",CP10/CO10-1,"-")</f>
        <v>3.0959752321981338E-2</v>
      </c>
      <c r="CQ12" s="244">
        <f>IF(CP10&lt;&gt;"",CQ10/CP10-1,"-")</f>
        <v>-4.8048048048048297E-3</v>
      </c>
      <c r="CR12" s="244">
        <f>IF(CQ10&lt;&gt;"",CR10/CQ10-1,"-")</f>
        <v>0.11707905853952938</v>
      </c>
      <c r="CS12" s="1173" t="s">
        <v>6442</v>
      </c>
      <c r="CT12" s="353"/>
      <c r="CU12" s="244">
        <f>IF(CR10&lt;&gt;"",CU10/CR10-1,"-")</f>
        <v>-4.0248514316585604E-2</v>
      </c>
      <c r="CV12" s="244">
        <f>IF(CU10&lt;&gt;"",CV10/CU10-1,"-")</f>
        <v>-5.9949338587109491E-2</v>
      </c>
      <c r="CW12" s="244">
        <f>IF(CV10&lt;&gt;"",CW10/CV10-1,"-")</f>
        <v>-7.1856287425149712E-2</v>
      </c>
      <c r="CX12" s="244">
        <f>IF(CW10&lt;&gt;"",CX10/CW10-1,"-")</f>
        <v>0.17741935483870974</v>
      </c>
      <c r="CY12" s="1173" t="s">
        <v>6442</v>
      </c>
      <c r="CZ12" s="353"/>
      <c r="DA12" s="244">
        <f>IF(CX10&lt;&gt;"",DA10/CX10-1,"-")</f>
        <v>-0.11369863013698633</v>
      </c>
      <c r="DB12" s="244">
        <f>IF(DA10&lt;&gt;"",DB10/DA10-1,"-")</f>
        <v>-3.1839258114374047E-2</v>
      </c>
      <c r="DC12" s="244">
        <f>IF(DB10&lt;&gt;"",DC10/DB10-1,"-")</f>
        <v>-5.0127713920817385E-2</v>
      </c>
      <c r="DD12" s="244">
        <f>IF(DC10&lt;&gt;"",DD10/DC10-1,"-")</f>
        <v>7.7983193277310958E-2</v>
      </c>
      <c r="DE12" s="1173" t="s">
        <v>6442</v>
      </c>
      <c r="DF12" s="353"/>
      <c r="DG12" s="244">
        <f>IF(DD10&lt;&gt;"",DG10/DD10-1,"-")</f>
        <v>-1.4031805425631427E-2</v>
      </c>
      <c r="DH12" s="244">
        <f>IF(DG10&lt;&gt;"",DH10/DG10-1,"-")</f>
        <v>0.10815939278937381</v>
      </c>
      <c r="DI12" s="244">
        <f>IF(DH10&lt;&gt;"",DI10/DH10-1,"-")</f>
        <v>-8.5331050228310446E-2</v>
      </c>
      <c r="DJ12" s="244">
        <f>IF(DI10&lt;&gt;"",DJ10/DI10-1,"-")</f>
        <v>0.10546021840873632</v>
      </c>
      <c r="DK12" s="1173" t="s">
        <v>6442</v>
      </c>
      <c r="DL12" s="353"/>
      <c r="DM12" s="244">
        <f>IF(DJ10&lt;&gt;"",DM10/DJ10-1,"-")</f>
        <v>-7.790008467400511E-2</v>
      </c>
      <c r="DN12" s="244">
        <f>IF(DM10&lt;&gt;"",DN10/DM10-1,"-")</f>
        <v>-0.11080501989592895</v>
      </c>
      <c r="DO12" s="244">
        <f>IF(DN10&lt;&gt;"",DO10/DN10-1,"-")</f>
        <v>-3.3046471600688521E-2</v>
      </c>
      <c r="DP12" s="244">
        <f>IF(DO10&lt;&gt;"",DP10/DO10-1,"-")</f>
        <v>0.17052331790672848</v>
      </c>
      <c r="DQ12" s="1173" t="s">
        <v>6442</v>
      </c>
      <c r="DR12" s="353"/>
      <c r="DS12" s="244">
        <f>IF(DP10&lt;&gt;"",DS10/DP10-1,"-")</f>
        <v>-0.43461070559610704</v>
      </c>
      <c r="DT12" s="244">
        <f>IF(DS10&lt;&gt;"",DT10/DS10-1,"-")</f>
        <v>0.230231307154384</v>
      </c>
      <c r="DU12" s="244">
        <f>IF(DT10&lt;&gt;"",DU10/DT10-1,"-")</f>
        <v>-0.25623087013554879</v>
      </c>
      <c r="DV12" s="244">
        <f>IF(DU10&lt;&gt;"",DV10/DU10-1,"-")</f>
        <v>-8.1128747795414347E-2</v>
      </c>
      <c r="DW12" s="1173" t="s">
        <v>6442</v>
      </c>
      <c r="DX12" s="353"/>
      <c r="DY12" s="244"/>
      <c r="DZ12" s="244"/>
      <c r="EA12" s="244"/>
      <c r="EB12" s="244"/>
      <c r="EC12" s="1173"/>
      <c r="ED12" s="353"/>
      <c r="EE12" s="244"/>
      <c r="EF12" s="244"/>
      <c r="EG12" s="244"/>
      <c r="EH12" s="244"/>
      <c r="EI12" s="1173"/>
      <c r="EJ12" s="353"/>
      <c r="EK12" s="244"/>
      <c r="EL12" s="244"/>
      <c r="EM12" s="244"/>
      <c r="EN12" s="244"/>
      <c r="EO12" s="1173"/>
      <c r="EP12" s="353"/>
      <c r="EQ12" s="244"/>
      <c r="ER12" s="244"/>
      <c r="ES12" s="244"/>
      <c r="ET12" s="244"/>
      <c r="EU12" s="1173"/>
      <c r="EV12" s="90"/>
    </row>
    <row r="13" spans="1:165" ht="12.75" hidden="1" customHeight="1" outlineLevel="1">
      <c r="A13" s="25" t="s">
        <v>5588</v>
      </c>
      <c r="B13" s="520"/>
      <c r="C13" s="1718"/>
      <c r="D13" s="1719"/>
      <c r="E13" s="1720"/>
      <c r="F13" s="1720"/>
      <c r="G13" s="1719"/>
      <c r="H13" s="1721"/>
      <c r="I13" s="1720"/>
      <c r="J13" s="1720"/>
      <c r="K13" s="1720"/>
      <c r="L13" s="1720"/>
      <c r="M13" s="1719"/>
      <c r="N13" s="1721"/>
      <c r="O13" s="1722"/>
      <c r="P13" s="1722"/>
      <c r="Q13" s="1722"/>
      <c r="R13" s="1722"/>
      <c r="S13" s="1723"/>
      <c r="T13" s="1721"/>
      <c r="U13" s="1720"/>
      <c r="V13" s="1720"/>
      <c r="W13" s="1720"/>
      <c r="X13" s="1720"/>
      <c r="Y13" s="1719"/>
      <c r="Z13" s="1721"/>
      <c r="AA13" s="1720"/>
      <c r="AB13" s="1720"/>
      <c r="AC13" s="1720"/>
      <c r="AD13" s="1720"/>
      <c r="AE13" s="1719"/>
      <c r="AF13" s="1721"/>
      <c r="AG13" s="1724"/>
      <c r="AH13" s="1724"/>
      <c r="AI13" s="1724"/>
      <c r="AJ13" s="1724"/>
      <c r="AK13" s="1724"/>
      <c r="AL13" s="1721"/>
      <c r="AM13" s="1724"/>
      <c r="AN13" s="1724"/>
      <c r="AO13" s="1724"/>
      <c r="AP13" s="1724"/>
      <c r="AQ13" s="1724"/>
      <c r="AR13" s="1721"/>
      <c r="AS13" s="1724"/>
      <c r="AT13" s="1724"/>
      <c r="AU13" s="1724"/>
      <c r="AV13" s="1724"/>
      <c r="AW13" s="1724"/>
      <c r="AX13" s="1721"/>
      <c r="AY13" s="1724"/>
      <c r="AZ13" s="1724"/>
      <c r="BA13" s="1724"/>
      <c r="BB13" s="1724"/>
      <c r="BC13" s="1724"/>
      <c r="BD13" s="1721"/>
      <c r="BE13" s="1724"/>
      <c r="BF13" s="1724"/>
      <c r="BG13" s="1724"/>
      <c r="BH13" s="1724"/>
      <c r="BI13" s="1724"/>
      <c r="BJ13" s="1721"/>
      <c r="BK13" s="1724"/>
      <c r="BL13" s="1724"/>
      <c r="BM13" s="1724"/>
      <c r="BN13" s="1724"/>
      <c r="BO13" s="1725"/>
      <c r="BP13" s="1726"/>
      <c r="BQ13" s="1727"/>
      <c r="BR13" s="1727"/>
      <c r="BS13" s="1727"/>
      <c r="BT13" s="1727"/>
      <c r="BU13" s="1725"/>
      <c r="BV13" s="1726"/>
      <c r="BW13" s="1727"/>
      <c r="BX13" s="1727"/>
      <c r="BY13" s="1727"/>
      <c r="BZ13" s="1727"/>
      <c r="CA13" s="1725"/>
      <c r="CB13" s="1726"/>
      <c r="CC13" s="1727"/>
      <c r="CD13" s="1727"/>
      <c r="CE13" s="1727"/>
      <c r="CF13" s="1727"/>
      <c r="CG13" s="1725"/>
      <c r="CH13" s="1726"/>
      <c r="CI13" s="1727"/>
      <c r="CJ13" s="1727"/>
      <c r="CK13" s="1727"/>
      <c r="CL13" s="1727"/>
      <c r="CM13" s="1725"/>
      <c r="CN13" s="1721"/>
      <c r="CO13" s="1727"/>
      <c r="CP13" s="1727"/>
      <c r="CQ13" s="1727"/>
      <c r="CR13" s="1727"/>
      <c r="CS13" s="1725"/>
      <c r="CT13" s="1726"/>
      <c r="CU13" s="1728">
        <f>AVERAGE(CO12,CI12,BW12,BQ12,BK12)</f>
        <v>6.6499753436160434E-3</v>
      </c>
      <c r="CV13" s="1728">
        <f>AVERAGE(CP12,CJ12,BX12,BR12,BL12)</f>
        <v>1.3732833489233154E-2</v>
      </c>
      <c r="CW13" s="1728">
        <f>AVERAGE(CQ12,CK12,CE12,BS12,BM12)</f>
        <v>5.96186238351013E-3</v>
      </c>
      <c r="CX13" s="1728">
        <f>AVERAGE(CR12,CL12,CF12,BT12,BN12)</f>
        <v>0.12765963270041172</v>
      </c>
      <c r="CY13" s="1729"/>
      <c r="CZ13" s="1730"/>
      <c r="DA13" s="1728">
        <f>AVERAGE(CU12,CO12,CI12,BW12,BQ12)</f>
        <v>-6.4466758765085782E-3</v>
      </c>
      <c r="DB13" s="1728">
        <f>AVERAGE(CV12,CP12,CJ12,BX12,BR12)</f>
        <v>3.9753641690636774E-3</v>
      </c>
      <c r="DC13" s="1728">
        <f>AVERAGE(CW12,CQ12,CK12,CE12,BS12)</f>
        <v>-8.8724920624460024E-3</v>
      </c>
      <c r="DD13" s="1728">
        <f>AVERAGE(CX12,CR12,CL12,CF12,BT12)</f>
        <v>0.1467415400527913</v>
      </c>
      <c r="DE13" s="1729"/>
      <c r="DF13" s="1730"/>
      <c r="DG13" s="1728">
        <f>AVERAGE(DA12,CU12,CO12,CC12,BW12)</f>
        <v>-8.3821333744240695E-2</v>
      </c>
      <c r="DH13" s="1728">
        <f>AVERAGE(DB12,CV12,CP12,CD12,BX12)</f>
        <v>-1.8808606642579349E-2</v>
      </c>
      <c r="DI13" s="1728">
        <f>AVERAGE(DC12,CW12,CQ12,CK12,BY12)</f>
        <v>-3.3154813028515952E-2</v>
      </c>
      <c r="DJ13" s="1728">
        <f>AVERAGE(DD12,CX12,CR12,CL12,BZ12)</f>
        <v>5.5523595130405876E-2</v>
      </c>
      <c r="DK13" s="1725"/>
      <c r="DL13" s="1730"/>
      <c r="DM13" s="1728">
        <f>AVERAGE(DG12,DA12,CU12,CI12,CC12)</f>
        <v>-6.9175240394000775E-2</v>
      </c>
      <c r="DN13" s="1728">
        <f>AVERAGE(DH12,DB12,CV12,CJ12,CD12)</f>
        <v>-6.4273517138754514E-3</v>
      </c>
      <c r="DO13" s="1728">
        <f>AVERAGE(DI12,DC12,CW12,CQ12,CE12)</f>
        <v>-3.8008386860232043E-2</v>
      </c>
      <c r="DP13" s="1728">
        <f>AVERAGE(DJ12,DD12,CX12,CR12,CF12)</f>
        <v>0.12430501050205675</v>
      </c>
      <c r="DQ13" s="1725"/>
      <c r="DR13" s="1730"/>
      <c r="DS13" s="1728">
        <f>AVERAGE(DM12,DG12,DA12,CO12,CI12)</f>
        <v>-3.7871699156997375E-2</v>
      </c>
      <c r="DT13" s="1728">
        <f>AVERAGE(DN12,DH12,DB12,CP12,CJ12)</f>
        <v>-6.1709925036179669E-5</v>
      </c>
      <c r="DU13" s="1728">
        <f>AVERAGE(DO12,DI12,DC12,CW12,CK12)</f>
        <v>-4.7146048845894531E-2</v>
      </c>
      <c r="DV13" s="1728">
        <f>AVERAGE(DP12,DJ12,DD12,CX12,CL12)</f>
        <v>0.14003608213452406</v>
      </c>
      <c r="DW13" s="1725"/>
      <c r="DX13" s="2271"/>
      <c r="DY13" s="2272"/>
      <c r="DZ13" s="2272"/>
      <c r="EA13" s="2272"/>
      <c r="EB13" s="2272"/>
      <c r="EC13" s="2273"/>
      <c r="ED13" s="2271"/>
      <c r="EE13" s="2272"/>
      <c r="EF13" s="2272"/>
      <c r="EG13" s="2272"/>
      <c r="EH13" s="2272"/>
      <c r="EI13" s="2273"/>
      <c r="EJ13" s="2271"/>
      <c r="EK13" s="2272"/>
      <c r="EL13" s="2272"/>
      <c r="EM13" s="2272"/>
      <c r="EN13" s="2272"/>
      <c r="EO13" s="2273"/>
      <c r="EP13" s="2271"/>
      <c r="EQ13" s="2272"/>
      <c r="ER13" s="2272"/>
      <c r="ES13" s="2272"/>
      <c r="ET13" s="2272"/>
      <c r="EU13" s="2273"/>
      <c r="EV13" s="90"/>
    </row>
    <row r="14" spans="1:165" ht="12.75" hidden="1" customHeight="1" outlineLevel="1">
      <c r="A14" s="194" t="s">
        <v>7196</v>
      </c>
      <c r="B14" s="593" t="s">
        <v>4752</v>
      </c>
      <c r="C14" s="18"/>
      <c r="D14" s="18"/>
      <c r="E14" s="18"/>
      <c r="F14" s="18"/>
      <c r="G14" s="194"/>
      <c r="H14" s="18"/>
      <c r="I14" s="18"/>
      <c r="J14" s="18"/>
      <c r="K14" s="18"/>
      <c r="L14" s="18"/>
      <c r="M14" s="194"/>
      <c r="N14" s="18"/>
      <c r="O14" s="626"/>
      <c r="P14" s="626"/>
      <c r="Q14" s="626"/>
      <c r="R14" s="626"/>
      <c r="S14" s="627"/>
      <c r="T14" s="194"/>
      <c r="U14" s="18"/>
      <c r="V14" s="18"/>
      <c r="W14" s="18"/>
      <c r="X14" s="18"/>
      <c r="Y14" s="194"/>
      <c r="Z14" s="194"/>
      <c r="AA14" s="18"/>
      <c r="AB14" s="18"/>
      <c r="AC14" s="18"/>
      <c r="AD14" s="18"/>
      <c r="AE14" s="194"/>
      <c r="AF14" s="194"/>
      <c r="AG14" s="18">
        <v>8.9570000000000007</v>
      </c>
      <c r="AH14" s="18">
        <v>11.13</v>
      </c>
      <c r="AI14" s="18">
        <v>11.816000000000001</v>
      </c>
      <c r="AJ14" s="18">
        <v>13.776</v>
      </c>
      <c r="AK14" s="194">
        <f>SUM(AG14:AJ14)</f>
        <v>45.679000000000002</v>
      </c>
      <c r="AL14" s="194"/>
      <c r="AM14" s="18">
        <v>15.663</v>
      </c>
      <c r="AN14" s="18">
        <v>18.065999999999999</v>
      </c>
      <c r="AO14" s="194">
        <v>20.43</v>
      </c>
      <c r="AP14" s="194">
        <v>21.841999999999999</v>
      </c>
      <c r="AQ14" s="194">
        <f>SUM(AM14:AP14)</f>
        <v>76.001000000000005</v>
      </c>
      <c r="AR14" s="194"/>
      <c r="AS14" s="194">
        <v>23.885000000000002</v>
      </c>
      <c r="AT14" s="194">
        <v>28.271000000000001</v>
      </c>
      <c r="AU14" s="194">
        <v>29.559000000000001</v>
      </c>
      <c r="AV14" s="194">
        <v>33.191000000000003</v>
      </c>
      <c r="AW14" s="194">
        <f>SUM(AS14:AV14)</f>
        <v>114.90600000000001</v>
      </c>
      <c r="AX14" s="194"/>
      <c r="AY14" s="64">
        <v>37.299999999999997</v>
      </c>
      <c r="AZ14" s="876">
        <v>40.6</v>
      </c>
      <c r="BA14" s="876">
        <v>44.8</v>
      </c>
      <c r="BB14" s="876">
        <v>50.9</v>
      </c>
      <c r="BC14" s="64">
        <f>SUM(AY14:BB14)</f>
        <v>173.6</v>
      </c>
      <c r="BD14" s="194"/>
      <c r="BE14" s="64">
        <v>59.7</v>
      </c>
      <c r="BF14" s="876">
        <v>63.9</v>
      </c>
      <c r="BG14" s="876">
        <v>72.8</v>
      </c>
      <c r="BH14" s="876">
        <v>79</v>
      </c>
      <c r="BI14" s="64">
        <f>SUM(BE14:BH14)</f>
        <v>275.39999999999998</v>
      </c>
      <c r="BJ14" s="194"/>
      <c r="BK14" s="64">
        <v>86.6</v>
      </c>
      <c r="BL14" s="876">
        <v>104.1</v>
      </c>
      <c r="BM14" s="876">
        <v>110.5</v>
      </c>
      <c r="BN14" s="876">
        <v>122.7</v>
      </c>
      <c r="BO14" s="1251">
        <f>SUM(BK14:BN14)</f>
        <v>423.9</v>
      </c>
      <c r="BP14" s="64"/>
      <c r="BQ14" s="876">
        <v>125.4</v>
      </c>
      <c r="BR14" s="876">
        <v>132.30000000000001</v>
      </c>
      <c r="BS14" s="876">
        <v>142.6</v>
      </c>
      <c r="BT14" s="876">
        <v>153.1</v>
      </c>
      <c r="BU14" s="1251">
        <f>SUM(BQ14:BT14)</f>
        <v>553.40000000000009</v>
      </c>
      <c r="BV14" s="64"/>
      <c r="BW14" s="876">
        <v>166.6</v>
      </c>
      <c r="BX14" s="876">
        <v>179.3</v>
      </c>
      <c r="BY14" s="876">
        <v>186.1</v>
      </c>
      <c r="BZ14" s="64">
        <v>179.8</v>
      </c>
      <c r="CA14" s="1251">
        <f>SUM(BW14:BZ14)</f>
        <v>711.8</v>
      </c>
      <c r="CB14" s="64"/>
      <c r="CC14" s="876">
        <v>182.2</v>
      </c>
      <c r="CD14" s="876">
        <v>183.9</v>
      </c>
      <c r="CE14" s="876">
        <v>180.8</v>
      </c>
      <c r="CF14" s="876">
        <v>186.1</v>
      </c>
      <c r="CG14" s="1251">
        <f>SUM(CC14:CF14)</f>
        <v>733.00000000000011</v>
      </c>
      <c r="CH14" s="64"/>
      <c r="CI14" s="876">
        <v>194.8</v>
      </c>
      <c r="CJ14" s="876">
        <f>192.1</f>
        <v>192.1</v>
      </c>
      <c r="CK14" s="876">
        <v>194.7</v>
      </c>
      <c r="CL14" s="876">
        <v>198.1</v>
      </c>
      <c r="CM14" s="1251">
        <f>SUM(CI14:CL14)</f>
        <v>779.69999999999993</v>
      </c>
      <c r="CN14" s="64"/>
      <c r="CO14" s="876">
        <v>205.3</v>
      </c>
      <c r="CP14" s="876">
        <v>213.3</v>
      </c>
      <c r="CQ14" s="876">
        <v>217.2</v>
      </c>
      <c r="CR14" s="876">
        <v>222.2</v>
      </c>
      <c r="CS14" s="1251">
        <f>SUM(CO14:CR14)</f>
        <v>858</v>
      </c>
      <c r="CT14" s="64"/>
      <c r="CU14" s="876">
        <v>233.3</v>
      </c>
      <c r="CV14" s="876">
        <v>235</v>
      </c>
      <c r="CW14" s="876">
        <v>238</v>
      </c>
      <c r="CX14" s="876">
        <v>242</v>
      </c>
      <c r="CY14" s="1251">
        <f>SUM(CU14:CX14)</f>
        <v>948.3</v>
      </c>
      <c r="CZ14" s="64"/>
      <c r="DA14" s="876">
        <v>246.9</v>
      </c>
      <c r="DB14" s="876">
        <v>248.5</v>
      </c>
      <c r="DC14" s="876">
        <v>257.7</v>
      </c>
      <c r="DD14" s="876">
        <v>265.89999999999998</v>
      </c>
      <c r="DE14" s="1251">
        <f>SUM(DA14:DD14)</f>
        <v>1018.9999999999999</v>
      </c>
      <c r="DF14" s="64"/>
      <c r="DG14" s="876">
        <v>276.3</v>
      </c>
      <c r="DH14" s="876">
        <v>286.7</v>
      </c>
      <c r="DI14" s="876">
        <v>297.5</v>
      </c>
      <c r="DJ14" s="876">
        <v>310.3</v>
      </c>
      <c r="DK14" s="1251">
        <f>SUM(DG14:DJ14)</f>
        <v>1170.8</v>
      </c>
      <c r="DL14" s="64"/>
      <c r="DM14" s="876">
        <v>319.8</v>
      </c>
      <c r="DN14" s="876">
        <v>319</v>
      </c>
      <c r="DO14" s="876">
        <v>318.89999999999998</v>
      </c>
      <c r="DP14" s="876">
        <v>319.5</v>
      </c>
      <c r="DQ14" s="1251">
        <f>SUM(DM14:DP14)</f>
        <v>1277.1999999999998</v>
      </c>
      <c r="DR14" s="64"/>
      <c r="DS14" s="876">
        <v>326</v>
      </c>
      <c r="DT14" s="876">
        <v>322</v>
      </c>
      <c r="DU14" s="876">
        <v>319.5</v>
      </c>
      <c r="DV14" s="876">
        <v>322.5</v>
      </c>
      <c r="DW14" s="1251">
        <f>SUM(DS14:DV14)</f>
        <v>1290</v>
      </c>
      <c r="DX14" s="64"/>
      <c r="DY14" s="876"/>
      <c r="DZ14" s="876"/>
      <c r="EA14" s="876"/>
      <c r="EB14" s="876"/>
      <c r="EC14" s="1251"/>
      <c r="ED14" s="64"/>
      <c r="EE14" s="876"/>
      <c r="EF14" s="876"/>
      <c r="EG14" s="876"/>
      <c r="EH14" s="876"/>
      <c r="EI14" s="1251"/>
      <c r="EJ14" s="64"/>
      <c r="EK14" s="876"/>
      <c r="EL14" s="876"/>
      <c r="EM14" s="876"/>
      <c r="EN14" s="876"/>
      <c r="EO14" s="1251"/>
      <c r="EP14" s="64"/>
      <c r="EQ14" s="876"/>
      <c r="ER14" s="876"/>
      <c r="ES14" s="876"/>
      <c r="ET14" s="876"/>
      <c r="EU14" s="1251"/>
      <c r="EV14" s="194"/>
    </row>
    <row r="15" spans="1:165" ht="12.75" hidden="1" customHeight="1" outlineLevel="1">
      <c r="A15" s="25" t="s">
        <v>4583</v>
      </c>
      <c r="B15" s="520"/>
      <c r="C15" s="104"/>
      <c r="D15" s="104"/>
      <c r="E15" s="104"/>
      <c r="F15" s="104"/>
      <c r="G15" s="104"/>
      <c r="H15" s="90"/>
      <c r="I15" s="104"/>
      <c r="J15" s="104"/>
      <c r="K15" s="104"/>
      <c r="L15" s="104"/>
      <c r="M15" s="104"/>
      <c r="N15" s="90"/>
      <c r="O15" s="104"/>
      <c r="P15" s="104"/>
      <c r="Q15" s="104"/>
      <c r="R15" s="104"/>
      <c r="S15" s="159"/>
      <c r="T15" s="90"/>
      <c r="U15" s="104"/>
      <c r="V15" s="104"/>
      <c r="W15" s="104"/>
      <c r="X15" s="104"/>
      <c r="Y15" s="159"/>
      <c r="Z15" s="90"/>
      <c r="AA15" s="104"/>
      <c r="AB15" s="104"/>
      <c r="AC15" s="104"/>
      <c r="AD15" s="104"/>
      <c r="AE15" s="159"/>
      <c r="AF15" s="90"/>
      <c r="AG15" s="116" t="str">
        <f>IF(AA14&lt;&gt;"",AG14/AA14-1,"-")</f>
        <v>-</v>
      </c>
      <c r="AH15" s="116" t="str">
        <f>IF(AB14&lt;&gt;"",AH14/AB14-1,"-")</f>
        <v>-</v>
      </c>
      <c r="AI15" s="116" t="str">
        <f>IF(AC14&lt;&gt;"",AI14/AC14-1,"-")</f>
        <v>-</v>
      </c>
      <c r="AJ15" s="116" t="str">
        <f>IF(AD14&lt;&gt;"",AJ14/AD14-1,"-")</f>
        <v>-</v>
      </c>
      <c r="AK15" s="116" t="str">
        <f>IF(AE14&lt;&gt;"",AK14/AE14-1,"-")</f>
        <v>-</v>
      </c>
      <c r="AL15" s="90"/>
      <c r="AM15" s="116">
        <f>IF(AG14&lt;&gt;"",AM14/AG14-1,"-")</f>
        <v>0.74868817684492561</v>
      </c>
      <c r="AN15" s="116">
        <f>IF(AH14&lt;&gt;"",AN14/AH14-1,"-")</f>
        <v>0.62318059299191364</v>
      </c>
      <c r="AO15" s="116">
        <f>IF(AI14&lt;&gt;"",AO14/AI14-1,"-")</f>
        <v>0.72901150981719698</v>
      </c>
      <c r="AP15" s="116">
        <f>IF(AJ14&lt;&gt;"",AP14/AJ14-1,"-")</f>
        <v>0.58551103368176527</v>
      </c>
      <c r="AQ15" s="116">
        <f>IF(AK14&lt;&gt;"",AQ14/AK14-1,"-")</f>
        <v>0.66380612535300698</v>
      </c>
      <c r="AR15" s="90"/>
      <c r="AS15" s="116">
        <f>IF(AM14&lt;&gt;"",AS14/AM14-1,"-")</f>
        <v>0.52493136691566122</v>
      </c>
      <c r="AT15" s="116">
        <f>IF(AN14&lt;&gt;"",AT14/AN14-1,"-")</f>
        <v>0.56487324255507598</v>
      </c>
      <c r="AU15" s="116">
        <f>IF(AO14&lt;&gt;"",AU14/AO14-1,"-")</f>
        <v>0.44684287812041124</v>
      </c>
      <c r="AV15" s="116">
        <f>IF(AP14&lt;&gt;"",AV14/AP14-1,"-")</f>
        <v>0.51959527515795267</v>
      </c>
      <c r="AW15" s="116">
        <f>IF(AQ14&lt;&gt;"",AW14/AQ14-1,"-")</f>
        <v>0.51190115919527379</v>
      </c>
      <c r="AX15" s="90"/>
      <c r="AY15" s="116">
        <f>IF(AS14&lt;&gt;"",AY14/AS14-1,"-")</f>
        <v>0.56164957086037237</v>
      </c>
      <c r="AZ15" s="116">
        <f>IF(AT14&lt;&gt;"",AZ14/AT14-1,"-")</f>
        <v>0.43610059778571686</v>
      </c>
      <c r="BA15" s="116">
        <f>IF(AU14&lt;&gt;"",BA14/AU14-1,"-")</f>
        <v>0.51561284211238534</v>
      </c>
      <c r="BB15" s="116">
        <f>IF(AV14&lt;&gt;"",BB14/AV14-1,"-")</f>
        <v>0.53354825103190606</v>
      </c>
      <c r="BC15" s="159">
        <f>IF(AW14&lt;&gt;"",BC14/AW14-1,"-")</f>
        <v>0.51080013228203902</v>
      </c>
      <c r="BD15" s="90"/>
      <c r="BE15" s="116">
        <f>IF(AY14&lt;&gt;"",BE14/AY14-1,"-")</f>
        <v>0.60053619302949079</v>
      </c>
      <c r="BF15" s="116">
        <f>IF(AZ14&lt;&gt;"",BF14/AZ14-1,"-")</f>
        <v>0.57389162561576357</v>
      </c>
      <c r="BG15" s="116">
        <f>IF(BA14&lt;&gt;"",BG14/BA14-1,"-")</f>
        <v>0.625</v>
      </c>
      <c r="BH15" s="116">
        <f>IF(BB14&lt;&gt;"",BH14/BB14-1,"-")</f>
        <v>0.55206286836935181</v>
      </c>
      <c r="BI15" s="159">
        <f>BI14/BC14-1</f>
        <v>0.58640552995391704</v>
      </c>
      <c r="BJ15" s="116"/>
      <c r="BK15" s="116">
        <f>IF(BE14&lt;&gt;"",BK14/BE14-1,"-")</f>
        <v>0.45058626465661633</v>
      </c>
      <c r="BL15" s="116">
        <f>IF(BF14&lt;&gt;"",BL14/BF14-1,"-")</f>
        <v>0.62910798122065725</v>
      </c>
      <c r="BM15" s="116">
        <f>IF(BG14&lt;&gt;"",BM14/BG14-1,"-")</f>
        <v>0.51785714285714302</v>
      </c>
      <c r="BN15" s="116">
        <f>IF(BH14&lt;&gt;"",BN14/BH14-1,"-")</f>
        <v>0.55316455696202538</v>
      </c>
      <c r="BO15" s="1171">
        <f>BO14/BI14-1</f>
        <v>0.53921568627450989</v>
      </c>
      <c r="BP15" s="353"/>
      <c r="BQ15" s="244">
        <f>IF(BK14&lt;&gt;"",BQ14/BK14-1,"-")</f>
        <v>0.44803695150115486</v>
      </c>
      <c r="BR15" s="244">
        <f>IF(BL14&lt;&gt;"",BR14/BL14-1,"-")</f>
        <v>0.27089337175792516</v>
      </c>
      <c r="BS15" s="244">
        <f>IF(BM14&lt;&gt;"",BS14/BM14-1,"-")</f>
        <v>0.29049773755656094</v>
      </c>
      <c r="BT15" s="244">
        <f>IF(BN14&lt;&gt;"",BT14/BN14-1,"-")</f>
        <v>0.247758761206194</v>
      </c>
      <c r="BU15" s="1171">
        <f>BU14/BO14-1</f>
        <v>0.30549657938192998</v>
      </c>
      <c r="BV15" s="353"/>
      <c r="BW15" s="244">
        <f>IF(BQ14&lt;&gt;"",BW14/BQ14-1,"-")</f>
        <v>0.32854864433811781</v>
      </c>
      <c r="BX15" s="244">
        <f>IF(BR14&lt;&gt;"",BX14/BR14-1,"-")</f>
        <v>0.35525321239606944</v>
      </c>
      <c r="BY15" s="244">
        <f>IF(BS14&lt;&gt;"",BY14/BS14-1,"-")</f>
        <v>0.30504908835904621</v>
      </c>
      <c r="BZ15" s="244">
        <f>IF(BT14&lt;&gt;"",BZ14/BT14-1,"-")</f>
        <v>0.17439581972566964</v>
      </c>
      <c r="CA15" s="1171">
        <f>CA14/BU14-1</f>
        <v>0.28623057462956236</v>
      </c>
      <c r="CB15" s="353"/>
      <c r="CC15" s="244">
        <f>IF(BW14&lt;&gt;"",CC14/BW14-1,"-")</f>
        <v>9.3637454981992718E-2</v>
      </c>
      <c r="CD15" s="244">
        <f>IF(BX14&lt;&gt;"",CD14/BX14-1,"-")</f>
        <v>2.5655326268823275E-2</v>
      </c>
      <c r="CE15" s="244">
        <f>IF(BY14&lt;&gt;"",CE14/BY14-1,"-")</f>
        <v>-2.8479312197743023E-2</v>
      </c>
      <c r="CF15" s="244">
        <f>IF(BZ14&lt;&gt;"",CF14/BZ14-1,"-")</f>
        <v>3.5038932146829627E-2</v>
      </c>
      <c r="CG15" s="1171">
        <f>CG14/CA14-1</f>
        <v>2.9783647091879972E-2</v>
      </c>
      <c r="CH15" s="353"/>
      <c r="CI15" s="244">
        <f>IF(CC14&lt;&gt;"",CI14/CC14-1,"-")</f>
        <v>6.9154774972557842E-2</v>
      </c>
      <c r="CJ15" s="244">
        <f>IF(CD14&lt;&gt;"",CJ14/CD14-1,"-")</f>
        <v>4.4589450788471874E-2</v>
      </c>
      <c r="CK15" s="244">
        <f>IF(CE14&lt;&gt;"",CK14/CE14-1,"-")</f>
        <v>7.6880530973451267E-2</v>
      </c>
      <c r="CL15" s="244">
        <f>IF(CF14&lt;&gt;"",CL14/CF14-1,"-")</f>
        <v>6.4481461579795729E-2</v>
      </c>
      <c r="CM15" s="1171">
        <f>CM14/CG14-1</f>
        <v>6.3710777626193371E-2</v>
      </c>
      <c r="CN15" s="90"/>
      <c r="CO15" s="244">
        <f>IF(CI14&lt;&gt;"",CO14/CI14-1,"-")</f>
        <v>5.3901437371663308E-2</v>
      </c>
      <c r="CP15" s="244">
        <f>IF(CJ14&lt;&gt;"",CP14/CJ14-1,"-")</f>
        <v>0.11035918792295685</v>
      </c>
      <c r="CQ15" s="244">
        <f>IF(CK14&lt;&gt;"",CQ14/CK14-1,"-")</f>
        <v>0.11556240369799697</v>
      </c>
      <c r="CR15" s="244">
        <f>IF(CL14&lt;&gt;"",CR14/CL14-1,"-")</f>
        <v>0.12165572942958103</v>
      </c>
      <c r="CS15" s="1171">
        <f>CS14/CM14-1</f>
        <v>0.10042323970757994</v>
      </c>
      <c r="CT15" s="353"/>
      <c r="CU15" s="244">
        <f>IF(CO14&lt;&gt;"",CU14/CO14-1,"-")</f>
        <v>0.1363857769118364</v>
      </c>
      <c r="CV15" s="244">
        <f>IF(CP14&lt;&gt;"",CV14/CP14-1,"-")</f>
        <v>0.1017346460384434</v>
      </c>
      <c r="CW15" s="244">
        <f>IF(CQ14&lt;&gt;"",CW14/CQ14-1,"-")</f>
        <v>9.5764272559852648E-2</v>
      </c>
      <c r="CX15" s="244">
        <f>IF(CR14&lt;&gt;"",CX14/CR14-1,"-")</f>
        <v>8.9108910891089188E-2</v>
      </c>
      <c r="CY15" s="1171">
        <f>CY14/CS14-1</f>
        <v>0.10524475524475529</v>
      </c>
      <c r="CZ15" s="353"/>
      <c r="DA15" s="244">
        <f>IF(CU14&lt;&gt;"",DA14/CU14-1,"-")</f>
        <v>5.8294042006000746E-2</v>
      </c>
      <c r="DB15" s="244">
        <f>IF(CV14&lt;&gt;"",DB14/CV14-1,"-")</f>
        <v>5.7446808510638325E-2</v>
      </c>
      <c r="DC15" s="244">
        <f>IF(CW14&lt;&gt;"",DC14/CW14-1,"-")</f>
        <v>8.2773109243697407E-2</v>
      </c>
      <c r="DD15" s="244">
        <f>IF(CX14&lt;&gt;"",DD14/CX14-1,"-")</f>
        <v>9.8760330578512301E-2</v>
      </c>
      <c r="DE15" s="1171">
        <f>DE14/CY14-1</f>
        <v>7.4554465886322863E-2</v>
      </c>
      <c r="DF15" s="353"/>
      <c r="DG15" s="244">
        <f>IF(DA14&lt;&gt;"",DG14/DA14-1,"-")</f>
        <v>0.11907654921020661</v>
      </c>
      <c r="DH15" s="244">
        <f>IF(DB14&lt;&gt;"",DH14/DB14-1,"-")</f>
        <v>0.15372233400402413</v>
      </c>
      <c r="DI15" s="244">
        <f>IF(DC14&lt;&gt;"",DI14/DC14-1,"-")</f>
        <v>0.15444315095071803</v>
      </c>
      <c r="DJ15" s="244">
        <f>IF(DD14&lt;&gt;"",DJ14/DD14-1,"-")</f>
        <v>0.16698006769462226</v>
      </c>
      <c r="DK15" s="1171">
        <f>DK14/DE14-1</f>
        <v>0.14896957801766453</v>
      </c>
      <c r="DL15" s="353"/>
      <c r="DM15" s="244">
        <f>IF(DG14&lt;&gt;"",DM14/DG14-1,"-")</f>
        <v>0.1574375678610207</v>
      </c>
      <c r="DN15" s="244">
        <f>IF(DH14&lt;&gt;"",DN14/DH14-1,"-")</f>
        <v>0.11266131845134297</v>
      </c>
      <c r="DO15" s="244">
        <f>IF(DI14&lt;&gt;"",DO14/DI14-1,"-")</f>
        <v>7.193277310924362E-2</v>
      </c>
      <c r="DP15" s="244">
        <f>IF(DJ14&lt;&gt;"",DP14/DJ14-1,"-")</f>
        <v>2.9648727038349865E-2</v>
      </c>
      <c r="DQ15" s="1171">
        <f>DQ14/DK14-1</f>
        <v>9.0878032114793283E-2</v>
      </c>
      <c r="DR15" s="353"/>
      <c r="DS15" s="244">
        <f>IF(DM14&lt;&gt;"",DS14/DM14-1,"-")</f>
        <v>1.9387116948092586E-2</v>
      </c>
      <c r="DT15" s="244">
        <f>IF(DN14&lt;&gt;"",DT14/DN14-1,"-")</f>
        <v>9.4043887147334804E-3</v>
      </c>
      <c r="DU15" s="244">
        <f>IF(DO14&lt;&gt;"",DU14/DO14-1,"-")</f>
        <v>1.8814675446849893E-3</v>
      </c>
      <c r="DV15" s="244">
        <f>IF(DP14&lt;&gt;"",DV14/DP14-1,"-")</f>
        <v>9.3896713615022609E-3</v>
      </c>
      <c r="DW15" s="1171">
        <f>DW14/DQ14-1</f>
        <v>1.0021922956467311E-2</v>
      </c>
      <c r="DX15" s="353"/>
      <c r="DY15" s="244"/>
      <c r="DZ15" s="244"/>
      <c r="EA15" s="244"/>
      <c r="EB15" s="244"/>
      <c r="EC15" s="1171"/>
      <c r="ED15" s="353"/>
      <c r="EE15" s="244"/>
      <c r="EF15" s="244"/>
      <c r="EG15" s="244"/>
      <c r="EH15" s="244"/>
      <c r="EI15" s="1171"/>
      <c r="EJ15" s="353"/>
      <c r="EK15" s="244"/>
      <c r="EL15" s="244"/>
      <c r="EM15" s="244"/>
      <c r="EN15" s="244"/>
      <c r="EO15" s="1171"/>
      <c r="EP15" s="353"/>
      <c r="EQ15" s="244"/>
      <c r="ER15" s="244"/>
      <c r="ES15" s="244"/>
      <c r="ET15" s="244"/>
      <c r="EU15" s="1171"/>
      <c r="EV15" s="90"/>
    </row>
    <row r="16" spans="1:165" ht="12.75" hidden="1" customHeight="1" outlineLevel="1">
      <c r="A16" s="25" t="s">
        <v>4584</v>
      </c>
      <c r="B16" s="520"/>
      <c r="C16" s="104"/>
      <c r="D16" s="104"/>
      <c r="E16" s="104"/>
      <c r="F16" s="104"/>
      <c r="G16" s="104"/>
      <c r="H16" s="90"/>
      <c r="I16" s="104"/>
      <c r="J16" s="104"/>
      <c r="K16" s="104"/>
      <c r="L16" s="104"/>
      <c r="M16" s="104"/>
      <c r="N16" s="90"/>
      <c r="O16" s="104"/>
      <c r="P16" s="104"/>
      <c r="Q16" s="104"/>
      <c r="R16" s="104"/>
      <c r="S16" s="208"/>
      <c r="T16" s="90"/>
      <c r="U16" s="104"/>
      <c r="V16" s="104"/>
      <c r="W16" s="104"/>
      <c r="X16" s="104"/>
      <c r="Y16" s="62"/>
      <c r="Z16" s="90"/>
      <c r="AA16" s="104"/>
      <c r="AB16" s="104"/>
      <c r="AC16" s="104"/>
      <c r="AD16" s="104"/>
      <c r="AE16" s="104"/>
      <c r="AF16" s="90"/>
      <c r="AG16" s="116" t="str">
        <f>IF(AD14&lt;&gt;"",AG14/AD14-1,"-")</f>
        <v>-</v>
      </c>
      <c r="AH16" s="116">
        <f>IF(AG14&lt;&gt;"",AH14/AG14-1,"-")</f>
        <v>0.24260355029585789</v>
      </c>
      <c r="AI16" s="116">
        <f>IF(AH14&lt;&gt;"",AI14/AH14-1,"-")</f>
        <v>6.163522012578615E-2</v>
      </c>
      <c r="AJ16" s="116">
        <f>IF(AI14&lt;&gt;"",AJ14/AI14-1,"-")</f>
        <v>0.16587677725118466</v>
      </c>
      <c r="AK16" s="116" t="s">
        <v>6442</v>
      </c>
      <c r="AL16" s="90"/>
      <c r="AM16" s="116">
        <f>IF(AJ14&lt;&gt;"",AM14/AJ14-1,"-")</f>
        <v>0.13697735191637639</v>
      </c>
      <c r="AN16" s="116">
        <f>IF(AM14&lt;&gt;"",AN14/AM14-1,"-")</f>
        <v>0.15341888527102077</v>
      </c>
      <c r="AO16" s="116">
        <f>IF(AN14&lt;&gt;"",AO14/AN14-1,"-")</f>
        <v>0.13085353703088676</v>
      </c>
      <c r="AP16" s="116">
        <f>IF(AO14&lt;&gt;"",AP14/AO14-1,"-")</f>
        <v>6.9114047968673376E-2</v>
      </c>
      <c r="AQ16" s="116" t="s">
        <v>6442</v>
      </c>
      <c r="AR16" s="90"/>
      <c r="AS16" s="116">
        <f>IF(AP14&lt;&gt;"",AS14/AP14-1,"-")</f>
        <v>9.353539053200266E-2</v>
      </c>
      <c r="AT16" s="116">
        <f>IF(AS14&lt;&gt;"",AT14/AS14-1,"-")</f>
        <v>0.18362989323843415</v>
      </c>
      <c r="AU16" s="116">
        <f>IF(AT14&lt;&gt;"",AU14/AT14-1,"-")</f>
        <v>4.5559053446995179E-2</v>
      </c>
      <c r="AV16" s="116">
        <f>IF(AU14&lt;&gt;"",AV14/AU14-1,"-")</f>
        <v>0.12287289827125414</v>
      </c>
      <c r="AW16" s="116" t="s">
        <v>6442</v>
      </c>
      <c r="AX16" s="90"/>
      <c r="AY16" s="116">
        <f>IF(AV14&lt;&gt;"",AY14/AV14-1,"-")</f>
        <v>0.12379862010786047</v>
      </c>
      <c r="AZ16" s="116">
        <f>IF(AY14&lt;&gt;"",AZ14/AY14-1,"-")</f>
        <v>8.8471849865951802E-2</v>
      </c>
      <c r="BA16" s="116">
        <f>IF(AZ14&lt;&gt;"",BA14/AZ14-1,"-")</f>
        <v>0.10344827586206895</v>
      </c>
      <c r="BB16" s="116">
        <f>IF(BA14&lt;&gt;"",BB14/BA14-1,"-")</f>
        <v>0.13616071428571441</v>
      </c>
      <c r="BC16" s="116" t="s">
        <v>6442</v>
      </c>
      <c r="BD16" s="90"/>
      <c r="BE16" s="116">
        <f>IF(BB14&lt;&gt;"",BE14/BB14-1,"-")</f>
        <v>0.17288801571709245</v>
      </c>
      <c r="BF16" s="116">
        <f>IF(BE14&lt;&gt;"",BF14/BE14-1,"-")</f>
        <v>7.035175879396971E-2</v>
      </c>
      <c r="BG16" s="116">
        <f>IF(BF14&lt;&gt;"",BG14/BF14-1,"-")</f>
        <v>0.13928012519561817</v>
      </c>
      <c r="BH16" s="116">
        <f>IF(BG14&lt;&gt;"",BH14/BG14-1,"-")</f>
        <v>8.5164835164835306E-2</v>
      </c>
      <c r="BI16" s="116" t="s">
        <v>6442</v>
      </c>
      <c r="BJ16" s="90"/>
      <c r="BK16" s="116">
        <f>IF(BH14&lt;&gt;"",BK14/BH14-1,"-")</f>
        <v>9.6202531645569467E-2</v>
      </c>
      <c r="BL16" s="116">
        <f>IF(BK14&lt;&gt;"",BL14/BK14-1,"-")</f>
        <v>0.2020785219399539</v>
      </c>
      <c r="BM16" s="116">
        <f>IF(BL14&lt;&gt;"",BM14/BL14-1,"-")</f>
        <v>6.1479346781940558E-2</v>
      </c>
      <c r="BN16" s="116">
        <f>IF(BM14&lt;&gt;"",BN14/BM14-1,"-")</f>
        <v>0.11040723981900458</v>
      </c>
      <c r="BO16" s="1173" t="s">
        <v>6442</v>
      </c>
      <c r="BP16" s="353"/>
      <c r="BQ16" s="244">
        <f>IF(BN14&lt;&gt;"",BQ14/BN14-1,"-")</f>
        <v>2.2004889975550057E-2</v>
      </c>
      <c r="BR16" s="244">
        <f>IF(BQ14&lt;&gt;"",BR14/BQ14-1,"-")</f>
        <v>5.5023923444976086E-2</v>
      </c>
      <c r="BS16" s="244">
        <f>IF(BR14&lt;&gt;"",BS14/BR14-1,"-")</f>
        <v>7.7853363567649048E-2</v>
      </c>
      <c r="BT16" s="244">
        <f>IF(BS14&lt;&gt;"",BT14/BS14-1,"-")</f>
        <v>7.3632538569424977E-2</v>
      </c>
      <c r="BU16" s="1173" t="s">
        <v>6442</v>
      </c>
      <c r="BV16" s="353"/>
      <c r="BW16" s="244">
        <f>IF(BT14&lt;&gt;"",BW14/BT14-1,"-")</f>
        <v>8.8177661659046391E-2</v>
      </c>
      <c r="BX16" s="244">
        <f>IF(BW14&lt;&gt;"",BX14/BW14-1,"-")</f>
        <v>7.623049219687883E-2</v>
      </c>
      <c r="BY16" s="244">
        <f>IF(BX14&lt;&gt;"",BY14/BX14-1,"-")</f>
        <v>3.7925264919129953E-2</v>
      </c>
      <c r="BZ16" s="244">
        <f>IF(BY14&lt;&gt;"",BZ14/BY14-1,"-")</f>
        <v>-3.3852767329392686E-2</v>
      </c>
      <c r="CA16" s="1173" t="s">
        <v>6442</v>
      </c>
      <c r="CB16" s="353"/>
      <c r="CC16" s="244">
        <f>IF(BZ14&lt;&gt;"",CC14/BZ14-1,"-")</f>
        <v>1.3348164627363657E-2</v>
      </c>
      <c r="CD16" s="244">
        <f>IF(CC14&lt;&gt;"",CD14/CC14-1,"-")</f>
        <v>9.3304061470911304E-3</v>
      </c>
      <c r="CE16" s="244">
        <f>IF(CD14&lt;&gt;"",CE14/CD14-1,"-")</f>
        <v>-1.6856987493202746E-2</v>
      </c>
      <c r="CF16" s="244">
        <f>IF(CE14&lt;&gt;"",CF14/CE14-1,"-")</f>
        <v>2.9314159292035402E-2</v>
      </c>
      <c r="CG16" s="1173" t="s">
        <v>6442</v>
      </c>
      <c r="CH16" s="353"/>
      <c r="CI16" s="244">
        <f>IF(CF14&lt;&gt;"",CI14/CF14-1,"-")</f>
        <v>4.6749059645352142E-2</v>
      </c>
      <c r="CJ16" s="244">
        <f>IF(CI14&lt;&gt;"",CJ14/CI14-1,"-")</f>
        <v>-1.3860369609856371E-2</v>
      </c>
      <c r="CK16" s="244">
        <f>IF(CJ14&lt;&gt;"",CK14/CJ14-1,"-")</f>
        <v>1.3534617386777636E-2</v>
      </c>
      <c r="CL16" s="244">
        <f>IF(CK14&lt;&gt;"",CL14/CK14-1,"-")</f>
        <v>1.7462763225475131E-2</v>
      </c>
      <c r="CM16" s="1173" t="s">
        <v>6442</v>
      </c>
      <c r="CN16" s="90"/>
      <c r="CO16" s="244">
        <f>IF(CL14&lt;&gt;"",CO14/CL14-1,"-")</f>
        <v>3.634528016153471E-2</v>
      </c>
      <c r="CP16" s="244">
        <f>IF(CO14&lt;&gt;"",CP14/CO14-1,"-")</f>
        <v>3.8967364831953288E-2</v>
      </c>
      <c r="CQ16" s="244">
        <f>IF(CP14&lt;&gt;"",CQ14/CP14-1,"-")</f>
        <v>1.8284106891701679E-2</v>
      </c>
      <c r="CR16" s="244">
        <f>IF(CQ14&lt;&gt;"",CR14/CQ14-1,"-")</f>
        <v>2.3020257826887658E-2</v>
      </c>
      <c r="CS16" s="1173" t="s">
        <v>6442</v>
      </c>
      <c r="CT16" s="353"/>
      <c r="CU16" s="244">
        <f>IF(CR14&lt;&gt;"",CU14/CR14-1,"-")</f>
        <v>4.9954995499549959E-2</v>
      </c>
      <c r="CV16" s="244">
        <f>IF(CU14&lt;&gt;"",CV14/CU14-1,"-")</f>
        <v>7.2867552507500655E-3</v>
      </c>
      <c r="CW16" s="244">
        <f>IF(CV14&lt;&gt;"",CW14/CV14-1,"-")</f>
        <v>1.2765957446808418E-2</v>
      </c>
      <c r="CX16" s="244">
        <f>IF(CW14&lt;&gt;"",CX14/CW14-1,"-")</f>
        <v>1.6806722689075571E-2</v>
      </c>
      <c r="CY16" s="1173" t="s">
        <v>6442</v>
      </c>
      <c r="CZ16" s="353"/>
      <c r="DA16" s="244">
        <f>IF(CX14&lt;&gt;"",DA14/CX14-1,"-")</f>
        <v>2.0247933884297575E-2</v>
      </c>
      <c r="DB16" s="244">
        <f>IF(DA14&lt;&gt;"",DB14/DA14-1,"-")</f>
        <v>6.4803564196029839E-3</v>
      </c>
      <c r="DC16" s="244">
        <f>IF(DB14&lt;&gt;"",DC14/DB14-1,"-")</f>
        <v>3.7022132796780571E-2</v>
      </c>
      <c r="DD16" s="244">
        <f>IF(DC14&lt;&gt;"",DD14/DC14-1,"-")</f>
        <v>3.1819945673263517E-2</v>
      </c>
      <c r="DE16" s="1173" t="s">
        <v>6442</v>
      </c>
      <c r="DF16" s="353"/>
      <c r="DG16" s="244">
        <f>IF(DD14&lt;&gt;"",DG14/DD14-1,"-")</f>
        <v>3.9112448288830537E-2</v>
      </c>
      <c r="DH16" s="244">
        <f>IF(DG14&lt;&gt;"",DH14/DG14-1,"-")</f>
        <v>3.7640246109301501E-2</v>
      </c>
      <c r="DI16" s="244">
        <f>IF(DH14&lt;&gt;"",DI14/DH14-1,"-")</f>
        <v>3.7670038367631609E-2</v>
      </c>
      <c r="DJ16" s="244">
        <f>IF(DI14&lt;&gt;"",DJ14/DI14-1,"-")</f>
        <v>4.3025210084033594E-2</v>
      </c>
      <c r="DK16" s="1173" t="s">
        <v>6442</v>
      </c>
      <c r="DL16" s="353"/>
      <c r="DM16" s="244">
        <f>IF(DJ14&lt;&gt;"",DM14/DJ14-1,"-")</f>
        <v>3.0615533354817925E-2</v>
      </c>
      <c r="DN16" s="244">
        <f>IF(DM14&lt;&gt;"",DN14/DM14-1,"-")</f>
        <v>-2.5015634771732298E-3</v>
      </c>
      <c r="DO16" s="244">
        <f>IF(DN14&lt;&gt;"",DO14/DN14-1,"-")</f>
        <v>-3.1347962382455297E-4</v>
      </c>
      <c r="DP16" s="244">
        <f>IF(DO14&lt;&gt;"",DP14/DO14-1,"-")</f>
        <v>1.8814675446849893E-3</v>
      </c>
      <c r="DQ16" s="1173" t="s">
        <v>6442</v>
      </c>
      <c r="DR16" s="353"/>
      <c r="DS16" s="244">
        <f>IF(DP14&lt;&gt;"",DS14/DP14-1,"-")</f>
        <v>2.0344287949921824E-2</v>
      </c>
      <c r="DT16" s="244">
        <f>IF(DS14&lt;&gt;"",DT14/DS14-1,"-")</f>
        <v>-1.2269938650306789E-2</v>
      </c>
      <c r="DU16" s="244">
        <f>IF(DT14&lt;&gt;"",DU14/DT14-1,"-")</f>
        <v>-7.76397515527949E-3</v>
      </c>
      <c r="DV16" s="244">
        <f>IF(DU14&lt;&gt;"",DV14/DU14-1,"-")</f>
        <v>9.3896713615022609E-3</v>
      </c>
      <c r="DW16" s="1173" t="s">
        <v>6442</v>
      </c>
      <c r="DX16" s="353"/>
      <c r="DY16" s="244"/>
      <c r="DZ16" s="244"/>
      <c r="EA16" s="244"/>
      <c r="EB16" s="244"/>
      <c r="EC16" s="1173"/>
      <c r="ED16" s="353"/>
      <c r="EE16" s="244"/>
      <c r="EF16" s="244"/>
      <c r="EG16" s="244"/>
      <c r="EH16" s="244"/>
      <c r="EI16" s="1173"/>
      <c r="EJ16" s="353"/>
      <c r="EK16" s="244"/>
      <c r="EL16" s="244"/>
      <c r="EM16" s="244"/>
      <c r="EN16" s="244"/>
      <c r="EO16" s="1173"/>
      <c r="EP16" s="353"/>
      <c r="EQ16" s="244"/>
      <c r="ER16" s="244"/>
      <c r="ES16" s="244"/>
      <c r="ET16" s="244"/>
      <c r="EU16" s="1173"/>
      <c r="EV16" s="90"/>
    </row>
    <row r="17" spans="1:162" s="2230" customFormat="1" collapsed="1">
      <c r="A17" s="194"/>
      <c r="B17" s="520"/>
      <c r="C17" s="104"/>
      <c r="D17" s="104"/>
      <c r="E17" s="104"/>
      <c r="F17" s="104"/>
      <c r="G17" s="104"/>
      <c r="H17" s="90"/>
      <c r="I17" s="104"/>
      <c r="J17" s="104"/>
      <c r="K17" s="104"/>
      <c r="L17" s="104"/>
      <c r="M17" s="104"/>
      <c r="N17" s="90"/>
      <c r="O17" s="104"/>
      <c r="P17" s="104"/>
      <c r="Q17" s="104"/>
      <c r="R17" s="104"/>
      <c r="S17" s="208"/>
      <c r="T17" s="90"/>
      <c r="U17" s="104"/>
      <c r="V17" s="104"/>
      <c r="W17" s="104"/>
      <c r="X17" s="104"/>
      <c r="Y17" s="62"/>
      <c r="Z17" s="90"/>
      <c r="AA17" s="104"/>
      <c r="AB17" s="104"/>
      <c r="AC17" s="104"/>
      <c r="AD17" s="104"/>
      <c r="AE17" s="104"/>
      <c r="AF17" s="90"/>
      <c r="AG17" s="116"/>
      <c r="AH17" s="116"/>
      <c r="AI17" s="116"/>
      <c r="AJ17" s="116"/>
      <c r="AK17" s="116"/>
      <c r="AL17" s="90"/>
      <c r="AM17" s="116"/>
      <c r="AN17" s="116"/>
      <c r="AO17" s="116"/>
      <c r="AP17" s="116"/>
      <c r="AQ17" s="116"/>
      <c r="AR17" s="90"/>
      <c r="AS17" s="116"/>
      <c r="AT17" s="116"/>
      <c r="AU17" s="116"/>
      <c r="AV17" s="116"/>
      <c r="AW17" s="116"/>
      <c r="AX17" s="90"/>
      <c r="AY17" s="116"/>
      <c r="AZ17" s="116"/>
      <c r="BA17" s="116"/>
      <c r="BB17" s="116"/>
      <c r="BC17" s="116"/>
      <c r="BD17" s="90"/>
      <c r="BE17" s="116"/>
      <c r="BF17" s="116"/>
      <c r="BG17" s="116"/>
      <c r="BH17" s="116"/>
      <c r="BI17" s="116"/>
      <c r="BJ17" s="90"/>
      <c r="BK17" s="116"/>
      <c r="BL17" s="116"/>
      <c r="BM17" s="116"/>
      <c r="BN17" s="116"/>
      <c r="BO17" s="1173"/>
      <c r="BP17" s="353"/>
      <c r="BQ17" s="244"/>
      <c r="BR17" s="244"/>
      <c r="BS17" s="244"/>
      <c r="BT17" s="244"/>
      <c r="BU17" s="1173"/>
      <c r="BV17" s="353"/>
      <c r="BW17" s="244"/>
      <c r="BX17" s="244"/>
      <c r="BY17" s="244"/>
      <c r="BZ17" s="244"/>
      <c r="CA17" s="1173"/>
      <c r="CB17" s="353"/>
      <c r="CC17" s="244"/>
      <c r="CD17" s="244"/>
      <c r="CE17" s="244"/>
      <c r="CF17" s="244"/>
      <c r="CG17" s="1173"/>
      <c r="CH17" s="353"/>
      <c r="CI17" s="244"/>
      <c r="CJ17" s="244"/>
      <c r="CK17" s="244"/>
      <c r="CL17" s="244"/>
      <c r="CM17" s="1173"/>
      <c r="CN17" s="90"/>
      <c r="CO17" s="244"/>
      <c r="CP17" s="244"/>
      <c r="CQ17" s="244"/>
      <c r="CR17" s="244"/>
      <c r="CS17" s="1173"/>
      <c r="CT17" s="353"/>
      <c r="CU17" s="244"/>
      <c r="CV17" s="244"/>
      <c r="CW17" s="244"/>
      <c r="CX17" s="244"/>
      <c r="CY17" s="1173"/>
      <c r="CZ17" s="353"/>
      <c r="DA17" s="244"/>
      <c r="DB17" s="244"/>
      <c r="DC17" s="244"/>
      <c r="DD17" s="244"/>
      <c r="DE17" s="1173"/>
      <c r="DF17" s="353"/>
      <c r="DG17" s="244"/>
      <c r="DH17" s="244"/>
      <c r="DI17" s="244"/>
      <c r="DJ17" s="244"/>
      <c r="DK17" s="1173"/>
      <c r="DL17" s="353"/>
      <c r="DM17" s="244"/>
      <c r="DN17" s="244"/>
      <c r="DO17" s="244"/>
      <c r="DP17" s="244"/>
      <c r="DQ17" s="1173"/>
      <c r="DR17" s="353"/>
      <c r="DS17" s="244"/>
      <c r="DT17" s="244"/>
      <c r="DU17" s="244"/>
      <c r="DV17" s="244"/>
      <c r="DW17" s="1173"/>
      <c r="DX17" s="353"/>
      <c r="DY17" s="876"/>
      <c r="DZ17" s="876"/>
      <c r="EA17" s="876"/>
      <c r="EB17" s="876"/>
      <c r="EC17" s="1251"/>
      <c r="ED17" s="64"/>
      <c r="EE17" s="876"/>
      <c r="EF17" s="876"/>
      <c r="EG17" s="876"/>
      <c r="EH17" s="876"/>
      <c r="EI17" s="1251"/>
      <c r="EJ17" s="64"/>
      <c r="EK17" s="876"/>
      <c r="EL17" s="876"/>
      <c r="EM17" s="876"/>
      <c r="EN17" s="876"/>
      <c r="EO17" s="1251"/>
      <c r="EP17" s="64"/>
      <c r="EQ17" s="876"/>
      <c r="ER17" s="876"/>
      <c r="ES17" s="876"/>
      <c r="ET17" s="876"/>
      <c r="EU17" s="1251"/>
      <c r="EV17" s="90"/>
      <c r="EW17"/>
      <c r="EX17"/>
      <c r="EY17"/>
      <c r="EZ17"/>
      <c r="FA17"/>
      <c r="FB17"/>
    </row>
    <row r="18" spans="1:162" s="2230" customFormat="1">
      <c r="A18" s="2239" t="s">
        <v>7200</v>
      </c>
      <c r="B18" s="520"/>
      <c r="C18" s="104"/>
      <c r="D18" s="104"/>
      <c r="E18" s="104"/>
      <c r="F18" s="104"/>
      <c r="G18" s="104"/>
      <c r="H18" s="90"/>
      <c r="I18" s="104"/>
      <c r="J18" s="104"/>
      <c r="K18" s="104"/>
      <c r="L18" s="104"/>
      <c r="M18" s="104"/>
      <c r="N18" s="90"/>
      <c r="O18" s="104"/>
      <c r="P18" s="104"/>
      <c r="Q18" s="104"/>
      <c r="R18" s="104"/>
      <c r="S18" s="208"/>
      <c r="T18" s="90"/>
      <c r="U18" s="104"/>
      <c r="V18" s="104"/>
      <c r="W18" s="104"/>
      <c r="X18" s="104"/>
      <c r="Y18" s="62"/>
      <c r="Z18" s="90"/>
      <c r="AA18" s="104"/>
      <c r="AB18" s="104"/>
      <c r="AC18" s="104"/>
      <c r="AD18" s="104"/>
      <c r="AE18" s="104"/>
      <c r="AF18" s="90"/>
      <c r="AG18" s="116"/>
      <c r="AH18" s="116"/>
      <c r="AI18" s="116"/>
      <c r="AJ18" s="116"/>
      <c r="AK18" s="116"/>
      <c r="AL18" s="90"/>
      <c r="AM18" s="116"/>
      <c r="AN18" s="116"/>
      <c r="AO18" s="116"/>
      <c r="AP18" s="116"/>
      <c r="AQ18" s="116"/>
      <c r="AR18" s="90"/>
      <c r="AS18" s="116"/>
      <c r="AT18" s="116"/>
      <c r="AU18" s="116"/>
      <c r="AV18" s="116"/>
      <c r="AW18" s="116"/>
      <c r="AX18" s="90"/>
      <c r="AY18" s="116"/>
      <c r="AZ18" s="116"/>
      <c r="BA18" s="116"/>
      <c r="BB18" s="116"/>
      <c r="BC18" s="116"/>
      <c r="BD18" s="90"/>
      <c r="BE18" s="116"/>
      <c r="BF18" s="116"/>
      <c r="BG18" s="116"/>
      <c r="BH18" s="116"/>
      <c r="BI18" s="116"/>
      <c r="BJ18" s="90"/>
      <c r="BK18" s="116"/>
      <c r="BL18" s="116"/>
      <c r="BM18" s="116"/>
      <c r="BN18" s="116"/>
      <c r="BO18" s="1173"/>
      <c r="BP18" s="353"/>
      <c r="BQ18" s="244"/>
      <c r="BR18" s="244"/>
      <c r="BS18" s="244"/>
      <c r="BT18" s="244"/>
      <c r="BU18" s="1173"/>
      <c r="BV18" s="353"/>
      <c r="BW18" s="244"/>
      <c r="BX18" s="244"/>
      <c r="BY18" s="244"/>
      <c r="BZ18" s="244"/>
      <c r="CA18" s="1173"/>
      <c r="CB18" s="353"/>
      <c r="CC18" s="244"/>
      <c r="CD18" s="244"/>
      <c r="CE18" s="244"/>
      <c r="CF18" s="244"/>
      <c r="CG18" s="1173"/>
      <c r="CH18" s="353"/>
      <c r="CI18" s="244"/>
      <c r="CJ18" s="244"/>
      <c r="CK18" s="244"/>
      <c r="CL18" s="244"/>
      <c r="CM18" s="1173"/>
      <c r="CN18" s="90"/>
      <c r="CO18" s="244"/>
      <c r="CP18" s="244"/>
      <c r="CQ18" s="244"/>
      <c r="CR18" s="244"/>
      <c r="CS18" s="1173"/>
      <c r="CT18" s="353"/>
      <c r="CU18" s="244"/>
      <c r="CV18" s="244"/>
      <c r="CW18" s="244"/>
      <c r="CX18" s="244"/>
      <c r="CY18" s="1173"/>
      <c r="CZ18" s="353"/>
      <c r="DA18" s="244"/>
      <c r="DB18" s="244"/>
      <c r="DC18" s="244"/>
      <c r="DD18" s="244"/>
      <c r="DE18" s="1173"/>
      <c r="DF18" s="353"/>
      <c r="DG18" s="244"/>
      <c r="DH18" s="244"/>
      <c r="DI18" s="244"/>
      <c r="DJ18" s="244"/>
      <c r="DK18" s="1173"/>
      <c r="DL18" s="353"/>
      <c r="DM18" s="244"/>
      <c r="DN18" s="244"/>
      <c r="DO18" s="244"/>
      <c r="DP18" s="244"/>
      <c r="DQ18" s="1173"/>
      <c r="DR18" s="353"/>
      <c r="DS18" s="876">
        <v>284.39999999999998</v>
      </c>
      <c r="DT18" s="876">
        <v>278</v>
      </c>
      <c r="DU18" s="876">
        <v>273</v>
      </c>
      <c r="DV18" s="876">
        <v>268</v>
      </c>
      <c r="DW18" s="1251">
        <f>SUM(DS18:DV18)</f>
        <v>1103.4000000000001</v>
      </c>
      <c r="DX18" s="353"/>
      <c r="DY18" s="876">
        <v>263.60000000000002</v>
      </c>
      <c r="DZ18" s="64">
        <v>261.8</v>
      </c>
      <c r="EA18" s="64">
        <v>244.4</v>
      </c>
      <c r="EB18" s="876">
        <v>293.7</v>
      </c>
      <c r="EC18" s="1251">
        <f>SUM(DY18:EB18)</f>
        <v>1063.5</v>
      </c>
      <c r="ED18" s="64"/>
      <c r="EE18" s="64">
        <f>Metrics!EE346</f>
        <v>198.47589387926962</v>
      </c>
      <c r="EF18" s="64">
        <f>Metrics!EF346</f>
        <v>184.29904431646463</v>
      </c>
      <c r="EG18" s="64">
        <f>Metrics!EG346</f>
        <v>170.12219475365964</v>
      </c>
      <c r="EH18" s="64">
        <f>Metrics!EH346</f>
        <v>155.94534519085471</v>
      </c>
      <c r="EI18" s="1251">
        <f>SUM(EE18:EH18)</f>
        <v>708.84247814024855</v>
      </c>
      <c r="EJ18" s="64"/>
      <c r="EK18" s="64">
        <f>Metrics!EK346</f>
        <v>111.46215261568223</v>
      </c>
      <c r="EL18" s="64">
        <f>Metrics!EL346</f>
        <v>78.023506830977567</v>
      </c>
      <c r="EM18" s="64">
        <f>Metrics!EM346</f>
        <v>54.337799400145087</v>
      </c>
      <c r="EN18" s="64">
        <f>Metrics!EN346</f>
        <v>34.831922692400695</v>
      </c>
      <c r="EO18" s="1251">
        <f>SUM(EK18:EN18)</f>
        <v>278.65538153920556</v>
      </c>
      <c r="EP18" s="64"/>
      <c r="EQ18" s="64">
        <f>Metrics!EQ346</f>
        <v>10.860592176957695</v>
      </c>
      <c r="ER18" s="64">
        <f>Metrics!ER346</f>
        <v>7.6024145238703866</v>
      </c>
      <c r="ES18" s="64">
        <f>Metrics!ES346</f>
        <v>5.2945386862668755</v>
      </c>
      <c r="ET18" s="64">
        <f>Metrics!ET346</f>
        <v>3.3939350552992771</v>
      </c>
      <c r="EU18" s="1251">
        <f>SUM(EQ18:ET18)</f>
        <v>27.151480442394234</v>
      </c>
      <c r="EV18" s="90"/>
      <c r="EW18"/>
      <c r="EX18"/>
      <c r="EY18"/>
      <c r="EZ18"/>
      <c r="FA18"/>
      <c r="FB18"/>
    </row>
    <row r="19" spans="1:162" s="2230" customFormat="1">
      <c r="A19" s="622" t="s">
        <v>4583</v>
      </c>
      <c r="B19" s="520"/>
      <c r="C19" s="104"/>
      <c r="D19" s="104"/>
      <c r="E19" s="104"/>
      <c r="F19" s="104"/>
      <c r="G19" s="104"/>
      <c r="H19" s="90"/>
      <c r="I19" s="104"/>
      <c r="J19" s="104"/>
      <c r="K19" s="104"/>
      <c r="L19" s="104"/>
      <c r="M19" s="104"/>
      <c r="N19" s="90"/>
      <c r="O19" s="104"/>
      <c r="P19" s="104"/>
      <c r="Q19" s="104"/>
      <c r="R19" s="104"/>
      <c r="S19" s="208"/>
      <c r="T19" s="90"/>
      <c r="U19" s="104"/>
      <c r="V19" s="104"/>
      <c r="W19" s="104"/>
      <c r="X19" s="104"/>
      <c r="Y19" s="62"/>
      <c r="Z19" s="90"/>
      <c r="AA19" s="104"/>
      <c r="AB19" s="104"/>
      <c r="AC19" s="104"/>
      <c r="AD19" s="104"/>
      <c r="AE19" s="104"/>
      <c r="AF19" s="90"/>
      <c r="AG19" s="116"/>
      <c r="AH19" s="116"/>
      <c r="AI19" s="116"/>
      <c r="AJ19" s="116"/>
      <c r="AK19" s="116"/>
      <c r="AL19" s="90"/>
      <c r="AM19" s="116"/>
      <c r="AN19" s="116"/>
      <c r="AO19" s="116"/>
      <c r="AP19" s="116"/>
      <c r="AQ19" s="116"/>
      <c r="AR19" s="90"/>
      <c r="AS19" s="116"/>
      <c r="AT19" s="116"/>
      <c r="AU19" s="116"/>
      <c r="AV19" s="116"/>
      <c r="AW19" s="116"/>
      <c r="AX19" s="90"/>
      <c r="AY19" s="116"/>
      <c r="AZ19" s="116"/>
      <c r="BA19" s="116"/>
      <c r="BB19" s="116"/>
      <c r="BC19" s="116"/>
      <c r="BD19" s="90"/>
      <c r="BE19" s="116"/>
      <c r="BF19" s="116"/>
      <c r="BG19" s="116"/>
      <c r="BH19" s="116"/>
      <c r="BI19" s="116"/>
      <c r="BJ19" s="90"/>
      <c r="BK19" s="116"/>
      <c r="BL19" s="116"/>
      <c r="BM19" s="116"/>
      <c r="BN19" s="116"/>
      <c r="BO19" s="1173"/>
      <c r="BP19" s="353"/>
      <c r="BQ19" s="244"/>
      <c r="BR19" s="244"/>
      <c r="BS19" s="244"/>
      <c r="BT19" s="244"/>
      <c r="BU19" s="1173"/>
      <c r="BV19" s="353"/>
      <c r="BW19" s="244"/>
      <c r="BX19" s="244"/>
      <c r="BY19" s="244"/>
      <c r="BZ19" s="244"/>
      <c r="CA19" s="1173"/>
      <c r="CB19" s="353"/>
      <c r="CC19" s="244"/>
      <c r="CD19" s="244"/>
      <c r="CE19" s="244"/>
      <c r="CF19" s="244"/>
      <c r="CG19" s="1173"/>
      <c r="CH19" s="353"/>
      <c r="CI19" s="244"/>
      <c r="CJ19" s="244"/>
      <c r="CK19" s="244"/>
      <c r="CL19" s="244"/>
      <c r="CM19" s="1173"/>
      <c r="CN19" s="90"/>
      <c r="CO19" s="244"/>
      <c r="CP19" s="244"/>
      <c r="CQ19" s="244"/>
      <c r="CR19" s="244"/>
      <c r="CS19" s="1173"/>
      <c r="CT19" s="353"/>
      <c r="CU19" s="244"/>
      <c r="CV19" s="244"/>
      <c r="CW19" s="244"/>
      <c r="CX19" s="244"/>
      <c r="CY19" s="1173"/>
      <c r="CZ19" s="353"/>
      <c r="DA19" s="244"/>
      <c r="DB19" s="244"/>
      <c r="DC19" s="244"/>
      <c r="DD19" s="244"/>
      <c r="DE19" s="1173"/>
      <c r="DF19" s="353"/>
      <c r="DG19" s="244"/>
      <c r="DH19" s="244"/>
      <c r="DI19" s="244"/>
      <c r="DJ19" s="244"/>
      <c r="DK19" s="1173"/>
      <c r="DL19" s="353"/>
      <c r="DM19" s="244"/>
      <c r="DN19" s="244"/>
      <c r="DO19" s="244"/>
      <c r="DP19" s="244"/>
      <c r="DQ19" s="1173"/>
      <c r="DR19" s="353"/>
      <c r="DS19" s="244" t="str">
        <f>IF(DM18&lt;&gt;"",DS18/DM18-1,"-")</f>
        <v>-</v>
      </c>
      <c r="DT19" s="244" t="str">
        <f>IF(DN18&lt;&gt;"",DT18/DN18-1,"-")</f>
        <v>-</v>
      </c>
      <c r="DU19" s="244" t="str">
        <f>IF(DO18&lt;&gt;"",DU18/DO18-1,"-")</f>
        <v>-</v>
      </c>
      <c r="DV19" s="244" t="str">
        <f>IF(DP18&lt;&gt;"",DV18/DP18-1,"-")</f>
        <v>-</v>
      </c>
      <c r="DW19" s="1173"/>
      <c r="DX19" s="353"/>
      <c r="DY19" s="244">
        <f>IF(DS18&lt;&gt;"",DY18/DS18-1,"-")</f>
        <v>-7.3136427566807161E-2</v>
      </c>
      <c r="DZ19" s="244">
        <f>IF(DT18&lt;&gt;"",DZ18/DT18-1,"-")</f>
        <v>-5.8273381294963955E-2</v>
      </c>
      <c r="EA19" s="244">
        <f>IF(DU18&lt;&gt;"",EA18/DU18-1,"-")</f>
        <v>-0.10476190476190472</v>
      </c>
      <c r="EB19" s="244">
        <f>IF(DV18&lt;&gt;"",EB18/DV18-1,"-")</f>
        <v>9.5895522388059762E-2</v>
      </c>
      <c r="EC19" s="1171">
        <f>EC18/DW18-1</f>
        <v>-3.6160957041870612E-2</v>
      </c>
      <c r="ED19" s="353"/>
      <c r="EE19" s="244">
        <f>IF(DY18&lt;&gt;"",EE18/DY18-1,"-")</f>
        <v>-0.24705654825770262</v>
      </c>
      <c r="EF19" s="244">
        <f>IF(DZ18&lt;&gt;"",EF18/DZ18-1,"-")</f>
        <v>-0.29603115234352706</v>
      </c>
      <c r="EG19" s="244">
        <f>IF(EA18&lt;&gt;"",EG18/EA18-1,"-")</f>
        <v>-0.30391900673625349</v>
      </c>
      <c r="EH19" s="244">
        <f>IF(EB18&lt;&gt;"",EH18/EB18-1,"-")</f>
        <v>-0.469031851580338</v>
      </c>
      <c r="EI19" s="1171">
        <f>EI18/EC18-1</f>
        <v>-0.33348144979760364</v>
      </c>
      <c r="EJ19" s="353"/>
      <c r="EK19" s="244">
        <f>IF(EE18&lt;&gt;"",EK18/EE18-1,"-")</f>
        <v>-0.43840962024595664</v>
      </c>
      <c r="EL19" s="244">
        <f>IF(EF18&lt;&gt;"",EL18/EF18-1,"-")</f>
        <v>-0.57664725218541335</v>
      </c>
      <c r="EM19" s="244">
        <f>IF(EG18&lt;&gt;"",EM18/EG18-1,"-")</f>
        <v>-0.68059547151488786</v>
      </c>
      <c r="EN19" s="244">
        <f>IF(EH18&lt;&gt;"",EN18/EH18-1,"-")</f>
        <v>-0.77664018987055095</v>
      </c>
      <c r="EO19" s="1171">
        <f>EO18/EI18-1</f>
        <v>-0.60688673417216965</v>
      </c>
      <c r="EP19" s="353"/>
      <c r="EQ19" s="244">
        <f>IF(EK18&lt;&gt;"",EQ18/EK18-1,"-")</f>
        <v>-0.90256251182942204</v>
      </c>
      <c r="ER19" s="244">
        <f>IF(EL18&lt;&gt;"",ER18/EL18-1,"-")</f>
        <v>-0.90256251182942204</v>
      </c>
      <c r="ES19" s="244">
        <f>IF(EM18&lt;&gt;"",ES18/EM18-1,"-")</f>
        <v>-0.90256251182942204</v>
      </c>
      <c r="ET19" s="244">
        <f>IF(EN18&lt;&gt;"",ET18/EN18-1,"-")</f>
        <v>-0.90256251182942204</v>
      </c>
      <c r="EU19" s="1171">
        <f>EU18/EO18-1</f>
        <v>-0.90256251182942204</v>
      </c>
      <c r="EV19" s="90"/>
      <c r="EW19"/>
      <c r="EX19"/>
      <c r="EY19"/>
      <c r="EZ19"/>
      <c r="FA19"/>
      <c r="FB19"/>
    </row>
    <row r="20" spans="1:162" s="2230" customFormat="1">
      <c r="A20" s="622" t="s">
        <v>4584</v>
      </c>
      <c r="B20" s="520"/>
      <c r="C20" s="104"/>
      <c r="D20" s="104"/>
      <c r="E20" s="104"/>
      <c r="F20" s="104"/>
      <c r="G20" s="104"/>
      <c r="H20" s="90"/>
      <c r="I20" s="104"/>
      <c r="J20" s="104"/>
      <c r="K20" s="104"/>
      <c r="L20" s="104"/>
      <c r="M20" s="104"/>
      <c r="N20" s="90"/>
      <c r="O20" s="104"/>
      <c r="P20" s="104"/>
      <c r="Q20" s="104"/>
      <c r="R20" s="104"/>
      <c r="S20" s="208"/>
      <c r="T20" s="90"/>
      <c r="U20" s="104"/>
      <c r="V20" s="104"/>
      <c r="W20" s="104"/>
      <c r="X20" s="104"/>
      <c r="Y20" s="62"/>
      <c r="Z20" s="90"/>
      <c r="AA20" s="104"/>
      <c r="AB20" s="104"/>
      <c r="AC20" s="104"/>
      <c r="AD20" s="104"/>
      <c r="AE20" s="104"/>
      <c r="AF20" s="90"/>
      <c r="AG20" s="116"/>
      <c r="AH20" s="116"/>
      <c r="AI20" s="116"/>
      <c r="AJ20" s="116"/>
      <c r="AK20" s="116"/>
      <c r="AL20" s="90"/>
      <c r="AM20" s="116"/>
      <c r="AN20" s="116"/>
      <c r="AO20" s="116"/>
      <c r="AP20" s="116"/>
      <c r="AQ20" s="116"/>
      <c r="AR20" s="90"/>
      <c r="AS20" s="116"/>
      <c r="AT20" s="116"/>
      <c r="AU20" s="116"/>
      <c r="AV20" s="116"/>
      <c r="AW20" s="116"/>
      <c r="AX20" s="90"/>
      <c r="AY20" s="116"/>
      <c r="AZ20" s="116"/>
      <c r="BA20" s="116"/>
      <c r="BB20" s="116"/>
      <c r="BC20" s="116"/>
      <c r="BD20" s="90"/>
      <c r="BE20" s="116"/>
      <c r="BF20" s="116"/>
      <c r="BG20" s="116"/>
      <c r="BH20" s="116"/>
      <c r="BI20" s="116"/>
      <c r="BJ20" s="90"/>
      <c r="BK20" s="116"/>
      <c r="BL20" s="116"/>
      <c r="BM20" s="116"/>
      <c r="BN20" s="116"/>
      <c r="BO20" s="1173"/>
      <c r="BP20" s="353"/>
      <c r="BQ20" s="244"/>
      <c r="BR20" s="244"/>
      <c r="BS20" s="244"/>
      <c r="BT20" s="244"/>
      <c r="BU20" s="1173"/>
      <c r="BV20" s="353"/>
      <c r="BW20" s="244"/>
      <c r="BX20" s="244"/>
      <c r="BY20" s="244"/>
      <c r="BZ20" s="244"/>
      <c r="CA20" s="1173"/>
      <c r="CB20" s="353"/>
      <c r="CC20" s="244"/>
      <c r="CD20" s="244"/>
      <c r="CE20" s="244"/>
      <c r="CF20" s="244"/>
      <c r="CG20" s="1173"/>
      <c r="CH20" s="353"/>
      <c r="CI20" s="244"/>
      <c r="CJ20" s="244"/>
      <c r="CK20" s="244"/>
      <c r="CL20" s="244"/>
      <c r="CM20" s="1173"/>
      <c r="CN20" s="90"/>
      <c r="CO20" s="244"/>
      <c r="CP20" s="244"/>
      <c r="CQ20" s="244"/>
      <c r="CR20" s="244"/>
      <c r="CS20" s="1173"/>
      <c r="CT20" s="353"/>
      <c r="CU20" s="244"/>
      <c r="CV20" s="244"/>
      <c r="CW20" s="244"/>
      <c r="CX20" s="244"/>
      <c r="CY20" s="1173"/>
      <c r="CZ20" s="353"/>
      <c r="DA20" s="244"/>
      <c r="DB20" s="244"/>
      <c r="DC20" s="244"/>
      <c r="DD20" s="244"/>
      <c r="DE20" s="1173"/>
      <c r="DF20" s="353"/>
      <c r="DG20" s="244"/>
      <c r="DH20" s="244"/>
      <c r="DI20" s="244"/>
      <c r="DJ20" s="244"/>
      <c r="DK20" s="1173"/>
      <c r="DL20" s="353"/>
      <c r="DM20" s="244"/>
      <c r="DN20" s="244"/>
      <c r="DO20" s="244"/>
      <c r="DP20" s="244"/>
      <c r="DQ20" s="1173"/>
      <c r="DR20" s="353"/>
      <c r="DS20" s="244" t="str">
        <f>IF(DP18&lt;&gt;"",DS18/DP18-1,"-")</f>
        <v>-</v>
      </c>
      <c r="DT20" s="244">
        <f>IF(DS18&lt;&gt;"",DT18/DS18-1,"-")</f>
        <v>-2.2503516174402161E-2</v>
      </c>
      <c r="DU20" s="244">
        <f>IF(DT18&lt;&gt;"",DU18/DT18-1,"-")</f>
        <v>-1.7985611510791366E-2</v>
      </c>
      <c r="DV20" s="244">
        <f>IF(DU18&lt;&gt;"",DV18/DU18-1,"-")</f>
        <v>-1.8315018315018361E-2</v>
      </c>
      <c r="DW20" s="1173"/>
      <c r="DX20" s="353"/>
      <c r="DY20" s="244">
        <f>IF(DV18&lt;&gt;"",DY18/DV18-1,"-")</f>
        <v>-1.6417910447761086E-2</v>
      </c>
      <c r="DZ20" s="244">
        <f>IF(DY18&lt;&gt;"",DZ18/DY18-1,"-")</f>
        <v>-6.8285280728376252E-3</v>
      </c>
      <c r="EA20" s="244">
        <f>IF(DZ18&lt;&gt;"",EA18/DZ18-1,"-")</f>
        <v>-6.6462948815889988E-2</v>
      </c>
      <c r="EB20" s="244">
        <f>IF(EA18&lt;&gt;"",EB18/EA18-1,"-")</f>
        <v>0.20171849427168564</v>
      </c>
      <c r="EC20" s="1173" t="s">
        <v>6442</v>
      </c>
      <c r="ED20" s="353"/>
      <c r="EE20" s="244">
        <f>IF(EB18&lt;&gt;"",EE18/EB18-1,"-")</f>
        <v>-0.32422235655679388</v>
      </c>
      <c r="EF20" s="244">
        <f>IF(EE18&lt;&gt;"",EF18/EE18-1,"-")</f>
        <v>-7.1428571428571508E-2</v>
      </c>
      <c r="EG20" s="244">
        <f>IF(EF18&lt;&gt;"",EG18/EF18-1,"-")</f>
        <v>-7.6923076923076983E-2</v>
      </c>
      <c r="EH20" s="244">
        <f>IF(EG18&lt;&gt;"",EH18/EG18-1,"-")</f>
        <v>-8.3333333333333148E-2</v>
      </c>
      <c r="EI20" s="1173" t="s">
        <v>6442</v>
      </c>
      <c r="EJ20" s="353"/>
      <c r="EK20" s="244">
        <f>IF(EH18&lt;&gt;"",EK18/EH18-1,"-")</f>
        <v>-0.28524860758576309</v>
      </c>
      <c r="EL20" s="244">
        <f>IF(EK18&lt;&gt;"",EL18/EK18-1,"-")</f>
        <v>-0.29999999999999993</v>
      </c>
      <c r="EM20" s="244">
        <f>IF(EL18&lt;&gt;"",EM18/EL18-1,"-")</f>
        <v>-0.3035714285714286</v>
      </c>
      <c r="EN20" s="244">
        <f>IF(EM18&lt;&gt;"",EN18/EM18-1,"-")</f>
        <v>-0.35897435897435903</v>
      </c>
      <c r="EO20" s="1173" t="s">
        <v>6442</v>
      </c>
      <c r="EP20" s="353"/>
      <c r="EQ20" s="244">
        <f>IF(EN18&lt;&gt;"",EQ18/EN18-1,"-")</f>
        <v>-0.6882000378541504</v>
      </c>
      <c r="ER20" s="244">
        <f>IF(EQ18&lt;&gt;"",ER18/EQ18-1,"-")</f>
        <v>-0.30000000000000004</v>
      </c>
      <c r="ES20" s="244">
        <f>IF(ER18&lt;&gt;"",ES18/ER18-1,"-")</f>
        <v>-0.30357142857142871</v>
      </c>
      <c r="ET20" s="244">
        <f>IF(ES18&lt;&gt;"",ET18/ES18-1,"-")</f>
        <v>-0.35897435897435936</v>
      </c>
      <c r="EU20" s="1173" t="s">
        <v>6442</v>
      </c>
      <c r="EV20" s="90"/>
      <c r="EW20"/>
      <c r="EX20"/>
      <c r="EY20"/>
      <c r="EZ20"/>
      <c r="FA20"/>
      <c r="FB20"/>
    </row>
    <row r="21" spans="1:162" s="2230" customFormat="1">
      <c r="A21" s="2239" t="s">
        <v>7199</v>
      </c>
      <c r="B21" s="520"/>
      <c r="C21" s="104"/>
      <c r="D21" s="104"/>
      <c r="E21" s="104"/>
      <c r="F21" s="104"/>
      <c r="G21" s="104"/>
      <c r="H21" s="90"/>
      <c r="I21" s="104"/>
      <c r="J21" s="104"/>
      <c r="K21" s="104"/>
      <c r="L21" s="104"/>
      <c r="M21" s="104"/>
      <c r="N21" s="90"/>
      <c r="O21" s="104"/>
      <c r="P21" s="104"/>
      <c r="Q21" s="104"/>
      <c r="R21" s="104"/>
      <c r="S21" s="208"/>
      <c r="T21" s="90"/>
      <c r="U21" s="104"/>
      <c r="V21" s="104"/>
      <c r="W21" s="104"/>
      <c r="X21" s="104"/>
      <c r="Y21" s="62"/>
      <c r="Z21" s="90"/>
      <c r="AA21" s="104"/>
      <c r="AB21" s="104"/>
      <c r="AC21" s="104"/>
      <c r="AD21" s="104"/>
      <c r="AE21" s="104"/>
      <c r="AF21" s="90"/>
      <c r="AG21" s="116"/>
      <c r="AH21" s="116"/>
      <c r="AI21" s="116"/>
      <c r="AJ21" s="116"/>
      <c r="AK21" s="116"/>
      <c r="AL21" s="90"/>
      <c r="AM21" s="116"/>
      <c r="AN21" s="116"/>
      <c r="AO21" s="116"/>
      <c r="AP21" s="116"/>
      <c r="AQ21" s="116"/>
      <c r="AR21" s="90"/>
      <c r="AS21" s="116"/>
      <c r="AT21" s="116"/>
      <c r="AU21" s="116"/>
      <c r="AV21" s="116"/>
      <c r="AW21" s="116"/>
      <c r="AX21" s="90"/>
      <c r="AY21" s="116"/>
      <c r="AZ21" s="116"/>
      <c r="BA21" s="116"/>
      <c r="BB21" s="116"/>
      <c r="BC21" s="116"/>
      <c r="BD21" s="90"/>
      <c r="BE21" s="116"/>
      <c r="BF21" s="116"/>
      <c r="BG21" s="116"/>
      <c r="BH21" s="116"/>
      <c r="BI21" s="116"/>
      <c r="BJ21" s="90"/>
      <c r="BK21" s="116"/>
      <c r="BL21" s="116"/>
      <c r="BM21" s="116"/>
      <c r="BN21" s="116"/>
      <c r="BO21" s="1173"/>
      <c r="BP21" s="353"/>
      <c r="BQ21" s="244"/>
      <c r="BR21" s="244"/>
      <c r="BS21" s="244"/>
      <c r="BT21" s="244"/>
      <c r="BU21" s="1173"/>
      <c r="BV21" s="353"/>
      <c r="BW21" s="244"/>
      <c r="BX21" s="244"/>
      <c r="BY21" s="244"/>
      <c r="BZ21" s="244"/>
      <c r="CA21" s="1173"/>
      <c r="CB21" s="353"/>
      <c r="CC21" s="244"/>
      <c r="CD21" s="244"/>
      <c r="CE21" s="244"/>
      <c r="CF21" s="244"/>
      <c r="CG21" s="1173"/>
      <c r="CH21" s="353"/>
      <c r="CI21" s="244"/>
      <c r="CJ21" s="244"/>
      <c r="CK21" s="244"/>
      <c r="CL21" s="244"/>
      <c r="CM21" s="1173"/>
      <c r="CN21" s="90"/>
      <c r="CO21" s="244"/>
      <c r="CP21" s="244"/>
      <c r="CQ21" s="244"/>
      <c r="CR21" s="244"/>
      <c r="CS21" s="1173"/>
      <c r="CT21" s="353"/>
      <c r="CU21" s="244"/>
      <c r="CV21" s="244"/>
      <c r="CW21" s="244"/>
      <c r="CX21" s="244"/>
      <c r="CY21" s="1173"/>
      <c r="CZ21" s="353"/>
      <c r="DA21" s="244"/>
      <c r="DB21" s="244"/>
      <c r="DC21" s="244"/>
      <c r="DD21" s="244"/>
      <c r="DE21" s="1173"/>
      <c r="DF21" s="353"/>
      <c r="DG21" s="244"/>
      <c r="DH21" s="244"/>
      <c r="DI21" s="244"/>
      <c r="DJ21" s="244"/>
      <c r="DK21" s="1173"/>
      <c r="DL21" s="353"/>
      <c r="DM21" s="244"/>
      <c r="DN21" s="244"/>
      <c r="DO21" s="244"/>
      <c r="DP21" s="244"/>
      <c r="DQ21" s="1173"/>
      <c r="DR21" s="353"/>
      <c r="DS21" s="876">
        <v>85.5</v>
      </c>
      <c r="DT21" s="876">
        <v>102</v>
      </c>
      <c r="DU21" s="876">
        <v>112</v>
      </c>
      <c r="DV21" s="876">
        <v>143</v>
      </c>
      <c r="DW21" s="1251">
        <f>SUM(DS21:DV21)</f>
        <v>442.5</v>
      </c>
      <c r="DX21" s="353"/>
      <c r="DY21" s="876">
        <v>173.4</v>
      </c>
      <c r="DZ21" s="64">
        <v>196.1</v>
      </c>
      <c r="EA21" s="64">
        <v>231.1</v>
      </c>
      <c r="EB21" s="876">
        <v>219.8</v>
      </c>
      <c r="EC21" s="1251">
        <f>SUM(DY21:EB21)</f>
        <v>820.40000000000009</v>
      </c>
      <c r="ED21" s="64"/>
      <c r="EE21" s="64">
        <f>Metrics!EE351</f>
        <v>325.96510020531127</v>
      </c>
      <c r="EF21" s="64">
        <f>Metrics!EF351</f>
        <v>374.85986523610791</v>
      </c>
      <c r="EG21" s="64">
        <f>Metrics!EG351</f>
        <v>423.7546302669046</v>
      </c>
      <c r="EH21" s="64">
        <f>Metrics!EH351</f>
        <v>505.24590531823242</v>
      </c>
      <c r="EI21" s="1251">
        <f>SUM(EE21:EH21)</f>
        <v>1629.8255010265561</v>
      </c>
      <c r="EJ21" s="64"/>
      <c r="EK21" s="64">
        <f>Metrics!EK351</f>
        <v>519.53769376362004</v>
      </c>
      <c r="EL21" s="64">
        <f>Metrics!EL351</f>
        <v>597.46834782816313</v>
      </c>
      <c r="EM21" s="64">
        <f>Metrics!EM351</f>
        <v>675.39900189270611</v>
      </c>
      <c r="EN21" s="64">
        <f>Metrics!EN351</f>
        <v>805.28342533361092</v>
      </c>
      <c r="EO21" s="1251">
        <f>SUM(EK21:EN21)</f>
        <v>2597.6884688181003</v>
      </c>
      <c r="EP21" s="64"/>
      <c r="EQ21" s="64">
        <f>Metrics!EQ351</f>
        <v>690.96806603295863</v>
      </c>
      <c r="ER21" s="64">
        <f>Metrics!ER351</f>
        <v>794.61327593790236</v>
      </c>
      <c r="ES21" s="64">
        <f>Metrics!ES351</f>
        <v>898.25848584284608</v>
      </c>
      <c r="ET21" s="64">
        <f>Metrics!ET351</f>
        <v>1071.0005023510853</v>
      </c>
      <c r="EU21" s="1251">
        <f>SUM(EQ21:ET21)</f>
        <v>3454.8403301647927</v>
      </c>
      <c r="EV21" s="90"/>
      <c r="EW21"/>
      <c r="EX21"/>
      <c r="EY21"/>
      <c r="EZ21"/>
      <c r="FA21"/>
      <c r="FB21"/>
    </row>
    <row r="22" spans="1:162" s="2230" customFormat="1">
      <c r="A22" s="622" t="s">
        <v>4583</v>
      </c>
      <c r="B22" s="520"/>
      <c r="C22" s="104"/>
      <c r="D22" s="104"/>
      <c r="E22" s="104"/>
      <c r="F22" s="104"/>
      <c r="G22" s="104"/>
      <c r="H22" s="90"/>
      <c r="I22" s="104"/>
      <c r="J22" s="104"/>
      <c r="K22" s="104"/>
      <c r="L22" s="104"/>
      <c r="M22" s="104"/>
      <c r="N22" s="90"/>
      <c r="O22" s="104"/>
      <c r="P22" s="104"/>
      <c r="Q22" s="104"/>
      <c r="R22" s="104"/>
      <c r="S22" s="208"/>
      <c r="T22" s="90"/>
      <c r="U22" s="104"/>
      <c r="V22" s="104"/>
      <c r="W22" s="104"/>
      <c r="X22" s="104"/>
      <c r="Y22" s="62"/>
      <c r="Z22" s="90"/>
      <c r="AA22" s="104"/>
      <c r="AB22" s="104"/>
      <c r="AC22" s="104"/>
      <c r="AD22" s="104"/>
      <c r="AE22" s="104"/>
      <c r="AF22" s="90"/>
      <c r="AG22" s="116"/>
      <c r="AH22" s="116"/>
      <c r="AI22" s="116"/>
      <c r="AJ22" s="116"/>
      <c r="AK22" s="116"/>
      <c r="AL22" s="90"/>
      <c r="AM22" s="116"/>
      <c r="AN22" s="116"/>
      <c r="AO22" s="116"/>
      <c r="AP22" s="116"/>
      <c r="AQ22" s="116"/>
      <c r="AR22" s="90"/>
      <c r="AS22" s="116"/>
      <c r="AT22" s="116"/>
      <c r="AU22" s="116"/>
      <c r="AV22" s="116"/>
      <c r="AW22" s="116"/>
      <c r="AX22" s="90"/>
      <c r="AY22" s="116"/>
      <c r="AZ22" s="116"/>
      <c r="BA22" s="116"/>
      <c r="BB22" s="116"/>
      <c r="BC22" s="116"/>
      <c r="BD22" s="90"/>
      <c r="BE22" s="116"/>
      <c r="BF22" s="116"/>
      <c r="BG22" s="116"/>
      <c r="BH22" s="116"/>
      <c r="BI22" s="116"/>
      <c r="BJ22" s="90"/>
      <c r="BK22" s="116"/>
      <c r="BL22" s="116"/>
      <c r="BM22" s="116"/>
      <c r="BN22" s="116"/>
      <c r="BO22" s="1173"/>
      <c r="BP22" s="353"/>
      <c r="BQ22" s="244"/>
      <c r="BR22" s="244"/>
      <c r="BS22" s="244"/>
      <c r="BT22" s="244"/>
      <c r="BU22" s="1173"/>
      <c r="BV22" s="353"/>
      <c r="BW22" s="244"/>
      <c r="BX22" s="244"/>
      <c r="BY22" s="244"/>
      <c r="BZ22" s="244"/>
      <c r="CA22" s="1173"/>
      <c r="CB22" s="353"/>
      <c r="CC22" s="244"/>
      <c r="CD22" s="244"/>
      <c r="CE22" s="244"/>
      <c r="CF22" s="244"/>
      <c r="CG22" s="1173"/>
      <c r="CH22" s="353"/>
      <c r="CI22" s="244"/>
      <c r="CJ22" s="244"/>
      <c r="CK22" s="244"/>
      <c r="CL22" s="244"/>
      <c r="CM22" s="1173"/>
      <c r="CN22" s="90"/>
      <c r="CO22" s="244"/>
      <c r="CP22" s="244"/>
      <c r="CQ22" s="244"/>
      <c r="CR22" s="244"/>
      <c r="CS22" s="1173"/>
      <c r="CT22" s="353"/>
      <c r="CU22" s="244"/>
      <c r="CV22" s="244"/>
      <c r="CW22" s="244"/>
      <c r="CX22" s="244"/>
      <c r="CY22" s="1173"/>
      <c r="CZ22" s="353"/>
      <c r="DA22" s="244"/>
      <c r="DB22" s="244"/>
      <c r="DC22" s="244"/>
      <c r="DD22" s="244"/>
      <c r="DE22" s="1173"/>
      <c r="DF22" s="353"/>
      <c r="DG22" s="244"/>
      <c r="DH22" s="244"/>
      <c r="DI22" s="244"/>
      <c r="DJ22" s="244"/>
      <c r="DK22" s="1173"/>
      <c r="DL22" s="353"/>
      <c r="DM22" s="244"/>
      <c r="DN22" s="244"/>
      <c r="DO22" s="244"/>
      <c r="DP22" s="244"/>
      <c r="DQ22" s="1173"/>
      <c r="DR22" s="353"/>
      <c r="DS22" s="244" t="str">
        <f>IF(DM21&lt;&gt;"",DS21/DM21-1,"-")</f>
        <v>-</v>
      </c>
      <c r="DT22" s="244" t="str">
        <f>IF(DN21&lt;&gt;"",DT21/DN21-1,"-")</f>
        <v>-</v>
      </c>
      <c r="DU22" s="244" t="str">
        <f>IF(DO21&lt;&gt;"",DU21/DO21-1,"-")</f>
        <v>-</v>
      </c>
      <c r="DV22" s="244" t="str">
        <f>IF(DP21&lt;&gt;"",DV21/DP21-1,"-")</f>
        <v>-</v>
      </c>
      <c r="DW22" s="1173"/>
      <c r="DX22" s="353"/>
      <c r="DY22" s="244">
        <f>IF(DS21&lt;&gt;"",DY21/DS21-1,"-")</f>
        <v>1.0280701754385966</v>
      </c>
      <c r="DZ22" s="244">
        <f>IF(DT21&lt;&gt;"",DZ21/DT21-1,"-")</f>
        <v>0.92254901960784319</v>
      </c>
      <c r="EA22" s="244">
        <f>IF(DU21&lt;&gt;"",EA21/DU21-1,"-")</f>
        <v>1.063392857142857</v>
      </c>
      <c r="EB22" s="244">
        <f>IF(DV21&lt;&gt;"",EB21/DV21-1,"-")</f>
        <v>0.53706293706293717</v>
      </c>
      <c r="EC22" s="1171">
        <f>EC21/DW21-1</f>
        <v>0.8540112994350284</v>
      </c>
      <c r="ED22" s="353"/>
      <c r="EE22" s="244">
        <f>IF(DY21&lt;&gt;"",EE21/DY21-1,"-")</f>
        <v>0.87984486854274091</v>
      </c>
      <c r="EF22" s="244">
        <f>IF(DZ21&lt;&gt;"",EF21/DZ21-1,"-")</f>
        <v>0.911575039449811</v>
      </c>
      <c r="EG22" s="244">
        <f>IF(EA21&lt;&gt;"",EG21/EA21-1,"-")</f>
        <v>0.83364184451278489</v>
      </c>
      <c r="EH22" s="244">
        <f>IF(EB21&lt;&gt;"",EH21/EB21-1,"-")</f>
        <v>1.2986619896188918</v>
      </c>
      <c r="EI22" s="1171">
        <f>EI21/EC21-1</f>
        <v>0.98662299003724518</v>
      </c>
      <c r="EJ22" s="353"/>
      <c r="EK22" s="244">
        <f>IF(EE21&lt;&gt;"",EK21/EE21-1,"-")</f>
        <v>0.59384453561557904</v>
      </c>
      <c r="EL22" s="244">
        <f>IF(EF21&lt;&gt;"",EL21/EF21-1,"-")</f>
        <v>0.59384453561557948</v>
      </c>
      <c r="EM22" s="244">
        <f>IF(EG21&lt;&gt;"",EM21/EG21-1,"-")</f>
        <v>0.59384453561557948</v>
      </c>
      <c r="EN22" s="244">
        <f>IF(EH21&lt;&gt;"",EN21/EH21-1,"-")</f>
        <v>0.59384453561557904</v>
      </c>
      <c r="EO22" s="1171">
        <f>EO21/EI21-1</f>
        <v>0.59384453561557926</v>
      </c>
      <c r="EP22" s="353"/>
      <c r="EQ22" s="244">
        <f>IF(EK21&lt;&gt;"",EQ21/EK21-1,"-")</f>
        <v>0.32996715027059453</v>
      </c>
      <c r="ER22" s="244">
        <f>IF(EL21&lt;&gt;"",ER21/EL21-1,"-")</f>
        <v>0.32996715027059431</v>
      </c>
      <c r="ES22" s="244">
        <f>IF(EM21&lt;&gt;"",ES21/EM21-1,"-")</f>
        <v>0.32996715027059431</v>
      </c>
      <c r="ET22" s="244">
        <f>IF(EN21&lt;&gt;"",ET21/EN21-1,"-")</f>
        <v>0.32996715027059409</v>
      </c>
      <c r="EU22" s="1171">
        <f>EU21/EO21-1</f>
        <v>0.32996715027059431</v>
      </c>
      <c r="EV22" s="90"/>
      <c r="EW22"/>
      <c r="EX22"/>
      <c r="EY22"/>
      <c r="EZ22"/>
      <c r="FA22"/>
      <c r="FB22"/>
    </row>
    <row r="23" spans="1:162" s="2230" customFormat="1">
      <c r="A23" s="622" t="s">
        <v>4584</v>
      </c>
      <c r="B23" s="520"/>
      <c r="C23" s="104"/>
      <c r="D23" s="104"/>
      <c r="E23" s="104"/>
      <c r="F23" s="104"/>
      <c r="G23" s="104"/>
      <c r="H23" s="90"/>
      <c r="I23" s="104"/>
      <c r="J23" s="104"/>
      <c r="K23" s="104"/>
      <c r="L23" s="104"/>
      <c r="M23" s="104"/>
      <c r="N23" s="90"/>
      <c r="O23" s="104"/>
      <c r="P23" s="104"/>
      <c r="Q23" s="104"/>
      <c r="R23" s="104"/>
      <c r="S23" s="208"/>
      <c r="T23" s="90"/>
      <c r="U23" s="104"/>
      <c r="V23" s="104"/>
      <c r="W23" s="104"/>
      <c r="X23" s="104"/>
      <c r="Y23" s="62"/>
      <c r="Z23" s="90"/>
      <c r="AA23" s="104"/>
      <c r="AB23" s="104"/>
      <c r="AC23" s="104"/>
      <c r="AD23" s="104"/>
      <c r="AE23" s="104"/>
      <c r="AF23" s="90"/>
      <c r="AG23" s="116"/>
      <c r="AH23" s="116"/>
      <c r="AI23" s="116"/>
      <c r="AJ23" s="116"/>
      <c r="AK23" s="116"/>
      <c r="AL23" s="90"/>
      <c r="AM23" s="116"/>
      <c r="AN23" s="116"/>
      <c r="AO23" s="116"/>
      <c r="AP23" s="116"/>
      <c r="AQ23" s="116"/>
      <c r="AR23" s="90"/>
      <c r="AS23" s="116"/>
      <c r="AT23" s="116"/>
      <c r="AU23" s="116"/>
      <c r="AV23" s="116"/>
      <c r="AW23" s="116"/>
      <c r="AX23" s="90"/>
      <c r="AY23" s="116"/>
      <c r="AZ23" s="116"/>
      <c r="BA23" s="116"/>
      <c r="BB23" s="116"/>
      <c r="BC23" s="116"/>
      <c r="BD23" s="90"/>
      <c r="BE23" s="116"/>
      <c r="BF23" s="116"/>
      <c r="BG23" s="116"/>
      <c r="BH23" s="116"/>
      <c r="BI23" s="116"/>
      <c r="BJ23" s="90"/>
      <c r="BK23" s="116"/>
      <c r="BL23" s="116"/>
      <c r="BM23" s="116"/>
      <c r="BN23" s="116"/>
      <c r="BO23" s="1173"/>
      <c r="BP23" s="353"/>
      <c r="BQ23" s="244"/>
      <c r="BR23" s="244"/>
      <c r="BS23" s="244"/>
      <c r="BT23" s="244"/>
      <c r="BU23" s="1173"/>
      <c r="BV23" s="353"/>
      <c r="BW23" s="244"/>
      <c r="BX23" s="244"/>
      <c r="BY23" s="244"/>
      <c r="BZ23" s="244"/>
      <c r="CA23" s="1173"/>
      <c r="CB23" s="353"/>
      <c r="CC23" s="244"/>
      <c r="CD23" s="244"/>
      <c r="CE23" s="244"/>
      <c r="CF23" s="244"/>
      <c r="CG23" s="1173"/>
      <c r="CH23" s="353"/>
      <c r="CI23" s="244"/>
      <c r="CJ23" s="244"/>
      <c r="CK23" s="244"/>
      <c r="CL23" s="244"/>
      <c r="CM23" s="1173"/>
      <c r="CN23" s="90"/>
      <c r="CO23" s="244"/>
      <c r="CP23" s="244"/>
      <c r="CQ23" s="244"/>
      <c r="CR23" s="244"/>
      <c r="CS23" s="1173"/>
      <c r="CT23" s="353"/>
      <c r="CU23" s="244"/>
      <c r="CV23" s="244"/>
      <c r="CW23" s="244"/>
      <c r="CX23" s="244"/>
      <c r="CY23" s="1173"/>
      <c r="CZ23" s="353"/>
      <c r="DA23" s="244"/>
      <c r="DB23" s="244"/>
      <c r="DC23" s="244"/>
      <c r="DD23" s="244"/>
      <c r="DE23" s="1173"/>
      <c r="DF23" s="353"/>
      <c r="DG23" s="244"/>
      <c r="DH23" s="244"/>
      <c r="DI23" s="244"/>
      <c r="DJ23" s="244"/>
      <c r="DK23" s="1173"/>
      <c r="DL23" s="353"/>
      <c r="DM23" s="244"/>
      <c r="DN23" s="244"/>
      <c r="DO23" s="244"/>
      <c r="DP23" s="244"/>
      <c r="DQ23" s="1173"/>
      <c r="DR23" s="353"/>
      <c r="DS23" s="244" t="str">
        <f>IF(DP21&lt;&gt;"",DS21/DP21-1,"-")</f>
        <v>-</v>
      </c>
      <c r="DT23" s="244">
        <f>IF(DS21&lt;&gt;"",DT21/DS21-1,"-")</f>
        <v>0.19298245614035081</v>
      </c>
      <c r="DU23" s="244">
        <f>IF(DT21&lt;&gt;"",DU21/DT21-1,"-")</f>
        <v>9.8039215686274606E-2</v>
      </c>
      <c r="DV23" s="244">
        <f>IF(DU21&lt;&gt;"",DV21/DU21-1,"-")</f>
        <v>0.27678571428571419</v>
      </c>
      <c r="DW23" s="1173"/>
      <c r="DX23" s="353"/>
      <c r="DY23" s="244">
        <f>IF(DV21&lt;&gt;"",DY21/DV21-1,"-")</f>
        <v>0.21258741258741254</v>
      </c>
      <c r="DZ23" s="244">
        <f>IF(DY21&lt;&gt;"",DZ21/DY21-1,"-")</f>
        <v>0.13091118800461343</v>
      </c>
      <c r="EA23" s="244">
        <f>IF(DZ21&lt;&gt;"",EA21/DZ21-1,"-")</f>
        <v>0.17848036715961246</v>
      </c>
      <c r="EB23" s="244">
        <f>IF(EA21&lt;&gt;"",EB21/EA21-1,"-")</f>
        <v>-4.8896581566421404E-2</v>
      </c>
      <c r="EC23" s="1251"/>
      <c r="ED23" s="64"/>
      <c r="EE23" s="244">
        <f>IF(EB21&lt;&gt;"",EE21/EB21-1,"-")</f>
        <v>0.4830077352379949</v>
      </c>
      <c r="EF23" s="244">
        <f>IF(EE21&lt;&gt;"",EF21/EE21-1,"-")</f>
        <v>0.14999999999999991</v>
      </c>
      <c r="EG23" s="244">
        <f>IF(EF21&lt;&gt;"",EG21/EF21-1,"-")</f>
        <v>0.13043478260869557</v>
      </c>
      <c r="EH23" s="244">
        <f>IF(EG21&lt;&gt;"",EH21/EG21-1,"-")</f>
        <v>0.19230769230769229</v>
      </c>
      <c r="EI23" s="1251"/>
      <c r="EJ23" s="64"/>
      <c r="EK23" s="244">
        <f>IF(EH21&lt;&gt;"",EK21/EH21-1,"-")</f>
        <v>2.8286797171341416E-2</v>
      </c>
      <c r="EL23" s="244">
        <f>IF(EK21&lt;&gt;"",EL21/EK21-1,"-")</f>
        <v>0.15000000000000013</v>
      </c>
      <c r="EM23" s="244">
        <f>IF(EL21&lt;&gt;"",EM21/EL21-1,"-")</f>
        <v>0.13043478260869557</v>
      </c>
      <c r="EN23" s="244">
        <f>IF(EM21&lt;&gt;"",EN21/EM21-1,"-")</f>
        <v>0.19230769230769207</v>
      </c>
      <c r="EO23" s="1251"/>
      <c r="EP23" s="64"/>
      <c r="EQ23" s="244">
        <f>IF(EN21&lt;&gt;"",EQ21/EN21-1,"-")</f>
        <v>-0.14195667724477745</v>
      </c>
      <c r="ER23" s="244">
        <f>IF(EQ21&lt;&gt;"",ER21/EQ21-1,"-")</f>
        <v>0.14999999999999991</v>
      </c>
      <c r="ES23" s="244">
        <f>IF(ER21&lt;&gt;"",ES21/ER21-1,"-")</f>
        <v>0.13043478260869557</v>
      </c>
      <c r="ET23" s="244">
        <f>IF(ES21&lt;&gt;"",ET21/ES21-1,"-")</f>
        <v>0.19230769230769185</v>
      </c>
      <c r="EU23" s="1251"/>
      <c r="EV23" s="90"/>
      <c r="EW23"/>
      <c r="EX23"/>
      <c r="EY23"/>
      <c r="EZ23"/>
      <c r="FA23"/>
      <c r="FB23"/>
    </row>
    <row r="24" spans="1:162" s="2230" customFormat="1">
      <c r="A24" s="194" t="s">
        <v>7213</v>
      </c>
      <c r="B24" s="520"/>
      <c r="C24" s="104"/>
      <c r="D24" s="104"/>
      <c r="E24" s="104"/>
      <c r="F24" s="104"/>
      <c r="G24" s="104"/>
      <c r="H24" s="90"/>
      <c r="I24" s="104"/>
      <c r="J24" s="104"/>
      <c r="K24" s="104"/>
      <c r="L24" s="104"/>
      <c r="M24" s="104"/>
      <c r="N24" s="90"/>
      <c r="O24" s="104"/>
      <c r="P24" s="104"/>
      <c r="Q24" s="104"/>
      <c r="R24" s="104"/>
      <c r="S24" s="208"/>
      <c r="T24" s="90"/>
      <c r="U24" s="104"/>
      <c r="V24" s="104"/>
      <c r="W24" s="104"/>
      <c r="X24" s="104"/>
      <c r="Y24" s="62"/>
      <c r="Z24" s="90"/>
      <c r="AA24" s="104"/>
      <c r="AB24" s="104"/>
      <c r="AC24" s="104"/>
      <c r="AD24" s="104"/>
      <c r="AE24" s="104"/>
      <c r="AF24" s="90"/>
      <c r="AG24" s="116"/>
      <c r="AH24" s="116"/>
      <c r="AI24" s="116"/>
      <c r="AJ24" s="116"/>
      <c r="AK24" s="116"/>
      <c r="AL24" s="90"/>
      <c r="AM24" s="116"/>
      <c r="AN24" s="116"/>
      <c r="AO24" s="116"/>
      <c r="AP24" s="116"/>
      <c r="AQ24" s="116"/>
      <c r="AR24" s="90"/>
      <c r="AS24" s="116"/>
      <c r="AT24" s="116"/>
      <c r="AU24" s="116"/>
      <c r="AV24" s="116"/>
      <c r="AW24" s="116"/>
      <c r="AX24" s="90"/>
      <c r="AY24" s="116"/>
      <c r="AZ24" s="116"/>
      <c r="BA24" s="116"/>
      <c r="BB24" s="116"/>
      <c r="BC24" s="116"/>
      <c r="BD24" s="90"/>
      <c r="BE24" s="116"/>
      <c r="BF24" s="116"/>
      <c r="BG24" s="116"/>
      <c r="BH24" s="116"/>
      <c r="BI24" s="116"/>
      <c r="BJ24" s="90"/>
      <c r="BK24" s="116"/>
      <c r="BL24" s="116"/>
      <c r="BM24" s="116"/>
      <c r="BN24" s="116"/>
      <c r="BO24" s="1173"/>
      <c r="BP24" s="353"/>
      <c r="BQ24" s="244"/>
      <c r="BR24" s="244"/>
      <c r="BS24" s="244"/>
      <c r="BT24" s="244"/>
      <c r="BU24" s="1173"/>
      <c r="BV24" s="353"/>
      <c r="BW24" s="244"/>
      <c r="BX24" s="244"/>
      <c r="BY24" s="244"/>
      <c r="BZ24" s="244"/>
      <c r="CA24" s="1173"/>
      <c r="CB24" s="353"/>
      <c r="CC24" s="244"/>
      <c r="CD24" s="244"/>
      <c r="CE24" s="244"/>
      <c r="CF24" s="244"/>
      <c r="CG24" s="1173"/>
      <c r="CH24" s="353"/>
      <c r="CI24" s="244"/>
      <c r="CJ24" s="244"/>
      <c r="CK24" s="244"/>
      <c r="CL24" s="244"/>
      <c r="CM24" s="1173"/>
      <c r="CN24" s="90"/>
      <c r="CO24" s="244"/>
      <c r="CP24" s="244"/>
      <c r="CQ24" s="244"/>
      <c r="CR24" s="244"/>
      <c r="CS24" s="1173"/>
      <c r="CT24" s="353"/>
      <c r="CU24" s="244"/>
      <c r="CV24" s="244"/>
      <c r="CW24" s="244"/>
      <c r="CX24" s="244"/>
      <c r="CY24" s="1173"/>
      <c r="CZ24" s="353"/>
      <c r="DA24" s="244"/>
      <c r="DB24" s="244"/>
      <c r="DC24" s="244"/>
      <c r="DD24" s="244"/>
      <c r="DE24" s="1173"/>
      <c r="DF24" s="353"/>
      <c r="DG24" s="244"/>
      <c r="DH24" s="244"/>
      <c r="DI24" s="244"/>
      <c r="DJ24" s="244"/>
      <c r="DK24" s="1173"/>
      <c r="DL24" s="353"/>
      <c r="DM24" s="244"/>
      <c r="DN24" s="244"/>
      <c r="DO24" s="244"/>
      <c r="DP24" s="244"/>
      <c r="DQ24" s="1173"/>
      <c r="DR24" s="353"/>
      <c r="DS24" s="876">
        <f>SUM(DS18,DS21)</f>
        <v>369.9</v>
      </c>
      <c r="DT24" s="876">
        <f t="shared" ref="DT24:DV24" si="0">SUM(DT18,DT21)</f>
        <v>380</v>
      </c>
      <c r="DU24" s="876">
        <f t="shared" si="0"/>
        <v>385</v>
      </c>
      <c r="DV24" s="876">
        <f t="shared" si="0"/>
        <v>411</v>
      </c>
      <c r="DW24" s="1251">
        <f>SUM(DS24:DV24)</f>
        <v>1545.9</v>
      </c>
      <c r="DX24" s="353"/>
      <c r="DY24" s="876">
        <f>SUM(DY18,DY21)</f>
        <v>437</v>
      </c>
      <c r="DZ24" s="876">
        <f t="shared" ref="DZ24:EB24" si="1">SUM(DZ18,DZ21)</f>
        <v>457.9</v>
      </c>
      <c r="EA24" s="876">
        <f t="shared" si="1"/>
        <v>475.5</v>
      </c>
      <c r="EB24" s="876">
        <f t="shared" si="1"/>
        <v>513.5</v>
      </c>
      <c r="EC24" s="1251">
        <f>SUM(DY24:EB24)</f>
        <v>1883.9</v>
      </c>
      <c r="ED24" s="64"/>
      <c r="EE24" s="876">
        <f>SUM(EE18,EE21)</f>
        <v>524.44099408458089</v>
      </c>
      <c r="EF24" s="876">
        <f t="shared" ref="EF24:EH24" si="2">SUM(EF18,EF21)</f>
        <v>559.1589095525726</v>
      </c>
      <c r="EG24" s="876">
        <f t="shared" si="2"/>
        <v>593.87682502056418</v>
      </c>
      <c r="EH24" s="876">
        <f t="shared" si="2"/>
        <v>661.19125050908713</v>
      </c>
      <c r="EI24" s="1251">
        <f>SUM(EE24:EH24)</f>
        <v>2338.6679791668048</v>
      </c>
      <c r="EJ24" s="64"/>
      <c r="EK24" s="876">
        <f>SUM(EK18,EK21)</f>
        <v>630.99984637930231</v>
      </c>
      <c r="EL24" s="876">
        <f t="shared" ref="EL24:EN24" si="3">SUM(EL18,EL21)</f>
        <v>675.4918546591407</v>
      </c>
      <c r="EM24" s="876">
        <f t="shared" si="3"/>
        <v>729.73680129285117</v>
      </c>
      <c r="EN24" s="876">
        <f t="shared" si="3"/>
        <v>840.11534802601159</v>
      </c>
      <c r="EO24" s="1251">
        <f>SUM(EK24:EN24)</f>
        <v>2876.3438503573057</v>
      </c>
      <c r="EP24" s="64"/>
      <c r="EQ24" s="876">
        <f>SUM(EQ18,EQ21)</f>
        <v>701.82865820991628</v>
      </c>
      <c r="ER24" s="876">
        <f t="shared" ref="ER24:ET24" si="4">SUM(ER18,ER21)</f>
        <v>802.21569046177274</v>
      </c>
      <c r="ES24" s="876">
        <f t="shared" si="4"/>
        <v>903.55302452911292</v>
      </c>
      <c r="ET24" s="876">
        <f t="shared" si="4"/>
        <v>1074.3944374063847</v>
      </c>
      <c r="EU24" s="1251">
        <f>SUM(EQ24:ET24)</f>
        <v>3481.9918106071864</v>
      </c>
      <c r="EV24" s="90"/>
      <c r="EW24"/>
      <c r="EX24"/>
      <c r="EY24"/>
      <c r="EZ24"/>
      <c r="FA24"/>
      <c r="FB24"/>
      <c r="FD24" s="1803"/>
      <c r="FE24" s="1803"/>
      <c r="FF24" s="1803"/>
    </row>
    <row r="25" spans="1:162" s="2230" customFormat="1">
      <c r="A25" s="25" t="s">
        <v>4583</v>
      </c>
      <c r="B25" s="520"/>
      <c r="C25" s="104"/>
      <c r="D25" s="104"/>
      <c r="E25" s="104"/>
      <c r="F25" s="104"/>
      <c r="G25" s="104"/>
      <c r="H25" s="90"/>
      <c r="I25" s="104"/>
      <c r="J25" s="104"/>
      <c r="K25" s="104"/>
      <c r="L25" s="104"/>
      <c r="M25" s="104"/>
      <c r="N25" s="90"/>
      <c r="O25" s="104"/>
      <c r="P25" s="104"/>
      <c r="Q25" s="104"/>
      <c r="R25" s="104"/>
      <c r="S25" s="208"/>
      <c r="T25" s="90"/>
      <c r="U25" s="104"/>
      <c r="V25" s="104"/>
      <c r="W25" s="104"/>
      <c r="X25" s="104"/>
      <c r="Y25" s="62"/>
      <c r="Z25" s="90"/>
      <c r="AA25" s="104"/>
      <c r="AB25" s="104"/>
      <c r="AC25" s="104"/>
      <c r="AD25" s="104"/>
      <c r="AE25" s="104"/>
      <c r="AF25" s="90"/>
      <c r="AG25" s="116"/>
      <c r="AH25" s="116"/>
      <c r="AI25" s="116"/>
      <c r="AJ25" s="116"/>
      <c r="AK25" s="116"/>
      <c r="AL25" s="90"/>
      <c r="AM25" s="116"/>
      <c r="AN25" s="116"/>
      <c r="AO25" s="116"/>
      <c r="AP25" s="116"/>
      <c r="AQ25" s="116"/>
      <c r="AR25" s="90"/>
      <c r="AS25" s="116"/>
      <c r="AT25" s="116"/>
      <c r="AU25" s="116"/>
      <c r="AV25" s="116"/>
      <c r="AW25" s="116"/>
      <c r="AX25" s="90"/>
      <c r="AY25" s="116"/>
      <c r="AZ25" s="116"/>
      <c r="BA25" s="116"/>
      <c r="BB25" s="116"/>
      <c r="BC25" s="116"/>
      <c r="BD25" s="90"/>
      <c r="BE25" s="116"/>
      <c r="BF25" s="116"/>
      <c r="BG25" s="116"/>
      <c r="BH25" s="116"/>
      <c r="BI25" s="116"/>
      <c r="BJ25" s="90"/>
      <c r="BK25" s="116"/>
      <c r="BL25" s="116"/>
      <c r="BM25" s="116"/>
      <c r="BN25" s="116"/>
      <c r="BO25" s="1173"/>
      <c r="BP25" s="353"/>
      <c r="BQ25" s="244"/>
      <c r="BR25" s="244"/>
      <c r="BS25" s="244"/>
      <c r="BT25" s="244"/>
      <c r="BU25" s="1173"/>
      <c r="BV25" s="353"/>
      <c r="BW25" s="244"/>
      <c r="BX25" s="244"/>
      <c r="BY25" s="244"/>
      <c r="BZ25" s="244"/>
      <c r="CA25" s="1173"/>
      <c r="CB25" s="353"/>
      <c r="CC25" s="244"/>
      <c r="CD25" s="244"/>
      <c r="CE25" s="244"/>
      <c r="CF25" s="244"/>
      <c r="CG25" s="1173"/>
      <c r="CH25" s="353"/>
      <c r="CI25" s="244"/>
      <c r="CJ25" s="244"/>
      <c r="CK25" s="244"/>
      <c r="CL25" s="244"/>
      <c r="CM25" s="1173"/>
      <c r="CN25" s="90"/>
      <c r="CO25" s="244"/>
      <c r="CP25" s="244"/>
      <c r="CQ25" s="244"/>
      <c r="CR25" s="244"/>
      <c r="CS25" s="1173"/>
      <c r="CT25" s="353"/>
      <c r="CU25" s="244"/>
      <c r="CV25" s="244"/>
      <c r="CW25" s="244"/>
      <c r="CX25" s="244"/>
      <c r="CY25" s="1173"/>
      <c r="CZ25" s="353"/>
      <c r="DA25" s="244"/>
      <c r="DB25" s="244"/>
      <c r="DC25" s="244"/>
      <c r="DD25" s="244"/>
      <c r="DE25" s="1173"/>
      <c r="DF25" s="353"/>
      <c r="DG25" s="244"/>
      <c r="DH25" s="244"/>
      <c r="DI25" s="244"/>
      <c r="DJ25" s="244"/>
      <c r="DK25" s="1173"/>
      <c r="DL25" s="353"/>
      <c r="DM25" s="244"/>
      <c r="DN25" s="244"/>
      <c r="DO25" s="244"/>
      <c r="DP25" s="244"/>
      <c r="DQ25" s="1173"/>
      <c r="DR25" s="353"/>
      <c r="DS25" s="244" t="str">
        <f>IF(DM24&lt;&gt;"",DS24/DM24-1,"-")</f>
        <v>-</v>
      </c>
      <c r="DT25" s="244" t="str">
        <f>IF(DN24&lt;&gt;"",DT24/DN24-1,"-")</f>
        <v>-</v>
      </c>
      <c r="DU25" s="244" t="str">
        <f>IF(DO24&lt;&gt;"",DU24/DO24-1,"-")</f>
        <v>-</v>
      </c>
      <c r="DV25" s="244" t="str">
        <f>IF(DP24&lt;&gt;"",DV24/DP24-1,"-")</f>
        <v>-</v>
      </c>
      <c r="DW25" s="1171"/>
      <c r="DX25" s="353"/>
      <c r="DY25" s="244">
        <f>IF(DS24&lt;&gt;"",DY24/DS24-1,"-")</f>
        <v>0.18140037848067059</v>
      </c>
      <c r="DZ25" s="244">
        <f>IF(DT24&lt;&gt;"",DZ24/DT24-1,"-")</f>
        <v>0.20499999999999985</v>
      </c>
      <c r="EA25" s="244">
        <f>IF(DU24&lt;&gt;"",EA24/DU24-1,"-")</f>
        <v>0.23506493506493498</v>
      </c>
      <c r="EB25" s="244">
        <f>IF(DV24&lt;&gt;"",EB24/DV24-1,"-")</f>
        <v>0.24939172749391725</v>
      </c>
      <c r="EC25" s="1171">
        <f>EC24/DW24-1</f>
        <v>0.218642861763374</v>
      </c>
      <c r="ED25" s="64"/>
      <c r="EE25" s="244">
        <f>IF(DY24&lt;&gt;"",EE24/DY24-1,"-")</f>
        <v>0.20009380797386922</v>
      </c>
      <c r="EF25" s="244">
        <f>IF(DZ24&lt;&gt;"",EF24/DZ24-1,"-")</f>
        <v>0.22113760548716455</v>
      </c>
      <c r="EG25" s="244">
        <f>IF(EA24&lt;&gt;"",EG24/EA24-1,"-")</f>
        <v>0.24895231339761126</v>
      </c>
      <c r="EH25" s="244">
        <f>IF(EB24&lt;&gt;"",EH24/EB24-1,"-")</f>
        <v>0.28761684617154271</v>
      </c>
      <c r="EI25" s="1171">
        <f>EI24/EC24-1</f>
        <v>0.24139709069844728</v>
      </c>
      <c r="EJ25" s="64"/>
      <c r="EK25" s="244">
        <f>IF(EE24&lt;&gt;"",EK24/EE24-1,"-")</f>
        <v>0.20318558903031869</v>
      </c>
      <c r="EL25" s="244">
        <f>IF(EF24&lt;&gt;"",EL24/EF24-1,"-")</f>
        <v>0.20804988191935503</v>
      </c>
      <c r="EM25" s="244">
        <f>IF(EG24&lt;&gt;"",EM24/EG24-1,"-")</f>
        <v>0.22876793730346789</v>
      </c>
      <c r="EN25" s="244">
        <f>IF(EH24&lt;&gt;"",EN24/EH24-1,"-")</f>
        <v>0.27060868905806168</v>
      </c>
      <c r="EO25" s="1171">
        <f>EO24/EI24-1</f>
        <v>0.22990688544940796</v>
      </c>
      <c r="EP25" s="64"/>
      <c r="EQ25" s="244">
        <f>IF(EK24&lt;&gt;"",EQ24/EK24-1,"-")</f>
        <v>0.11224854052981481</v>
      </c>
      <c r="ER25" s="244">
        <f>IF(EL24&lt;&gt;"",ER24/EL24-1,"-")</f>
        <v>0.18760231515534409</v>
      </c>
      <c r="ES25" s="244">
        <f>IF(EM24&lt;&gt;"",ES24/EM24-1,"-")</f>
        <v>0.23819029399136404</v>
      </c>
      <c r="ET25" s="244">
        <f>IF(EN24&lt;&gt;"",ET24/EN24-1,"-")</f>
        <v>0.27886538429615659</v>
      </c>
      <c r="EU25" s="1171">
        <f>EU24/EO24-1</f>
        <v>0.21056173801148481</v>
      </c>
      <c r="EV25" s="90"/>
      <c r="EW25"/>
      <c r="EX25"/>
      <c r="EY25"/>
      <c r="EZ25"/>
      <c r="FA25"/>
      <c r="FB25"/>
    </row>
    <row r="26" spans="1:162" s="2230" customFormat="1">
      <c r="A26" s="25" t="s">
        <v>4584</v>
      </c>
      <c r="B26" s="520"/>
      <c r="C26" s="104"/>
      <c r="D26" s="104"/>
      <c r="E26" s="104"/>
      <c r="F26" s="104"/>
      <c r="G26" s="104"/>
      <c r="H26" s="90"/>
      <c r="I26" s="104"/>
      <c r="J26" s="104"/>
      <c r="K26" s="104"/>
      <c r="L26" s="104"/>
      <c r="M26" s="104"/>
      <c r="N26" s="90"/>
      <c r="O26" s="104"/>
      <c r="P26" s="104"/>
      <c r="Q26" s="104"/>
      <c r="R26" s="104"/>
      <c r="S26" s="208"/>
      <c r="T26" s="90"/>
      <c r="U26" s="104"/>
      <c r="V26" s="104"/>
      <c r="W26" s="104"/>
      <c r="X26" s="104"/>
      <c r="Y26" s="62"/>
      <c r="Z26" s="90"/>
      <c r="AA26" s="104"/>
      <c r="AB26" s="104"/>
      <c r="AC26" s="104"/>
      <c r="AD26" s="104"/>
      <c r="AE26" s="104"/>
      <c r="AF26" s="90"/>
      <c r="AG26" s="116"/>
      <c r="AH26" s="116"/>
      <c r="AI26" s="116"/>
      <c r="AJ26" s="116"/>
      <c r="AK26" s="116"/>
      <c r="AL26" s="90"/>
      <c r="AM26" s="116"/>
      <c r="AN26" s="116"/>
      <c r="AO26" s="116"/>
      <c r="AP26" s="116"/>
      <c r="AQ26" s="116"/>
      <c r="AR26" s="90"/>
      <c r="AS26" s="116"/>
      <c r="AT26" s="116"/>
      <c r="AU26" s="116"/>
      <c r="AV26" s="116"/>
      <c r="AW26" s="116"/>
      <c r="AX26" s="90"/>
      <c r="AY26" s="116"/>
      <c r="AZ26" s="116"/>
      <c r="BA26" s="116"/>
      <c r="BB26" s="116"/>
      <c r="BC26" s="116"/>
      <c r="BD26" s="90"/>
      <c r="BE26" s="116"/>
      <c r="BF26" s="116"/>
      <c r="BG26" s="116"/>
      <c r="BH26" s="116"/>
      <c r="BI26" s="116"/>
      <c r="BJ26" s="90"/>
      <c r="BK26" s="116"/>
      <c r="BL26" s="116"/>
      <c r="BM26" s="116"/>
      <c r="BN26" s="116"/>
      <c r="BO26" s="1173"/>
      <c r="BP26" s="353"/>
      <c r="BQ26" s="244"/>
      <c r="BR26" s="244"/>
      <c r="BS26" s="244"/>
      <c r="BT26" s="244"/>
      <c r="BU26" s="1173"/>
      <c r="BV26" s="353"/>
      <c r="BW26" s="244"/>
      <c r="BX26" s="244"/>
      <c r="BY26" s="244"/>
      <c r="BZ26" s="244"/>
      <c r="CA26" s="1173"/>
      <c r="CB26" s="353"/>
      <c r="CC26" s="244"/>
      <c r="CD26" s="244"/>
      <c r="CE26" s="244"/>
      <c r="CF26" s="244"/>
      <c r="CG26" s="1173"/>
      <c r="CH26" s="353"/>
      <c r="CI26" s="244"/>
      <c r="CJ26" s="244"/>
      <c r="CK26" s="244"/>
      <c r="CL26" s="244"/>
      <c r="CM26" s="1173"/>
      <c r="CN26" s="90"/>
      <c r="CO26" s="244"/>
      <c r="CP26" s="244"/>
      <c r="CQ26" s="244"/>
      <c r="CR26" s="244"/>
      <c r="CS26" s="1173"/>
      <c r="CT26" s="353"/>
      <c r="CU26" s="244"/>
      <c r="CV26" s="244"/>
      <c r="CW26" s="244"/>
      <c r="CX26" s="244"/>
      <c r="CY26" s="1173"/>
      <c r="CZ26" s="353"/>
      <c r="DA26" s="244"/>
      <c r="DB26" s="244"/>
      <c r="DC26" s="244"/>
      <c r="DD26" s="244"/>
      <c r="DE26" s="1173"/>
      <c r="DF26" s="353"/>
      <c r="DG26" s="244"/>
      <c r="DH26" s="244"/>
      <c r="DI26" s="244"/>
      <c r="DJ26" s="244"/>
      <c r="DK26" s="1173"/>
      <c r="DL26" s="353"/>
      <c r="DM26" s="244"/>
      <c r="DN26" s="244"/>
      <c r="DO26" s="244"/>
      <c r="DP26" s="244"/>
      <c r="DQ26" s="1173"/>
      <c r="DR26" s="353"/>
      <c r="DS26" s="244" t="str">
        <f>IF(DP24&lt;&gt;"",DS24/DP24-1,"-")</f>
        <v>-</v>
      </c>
      <c r="DT26" s="244">
        <f>IF(DS24&lt;&gt;"",DT24/DS24-1,"-")</f>
        <v>2.730467693971339E-2</v>
      </c>
      <c r="DU26" s="244">
        <f>IF(DT24&lt;&gt;"",DU24/DT24-1,"-")</f>
        <v>1.3157894736842035E-2</v>
      </c>
      <c r="DV26" s="244">
        <f>IF(DU24&lt;&gt;"",DV24/DU24-1,"-")</f>
        <v>6.7532467532467555E-2</v>
      </c>
      <c r="DW26" s="1173"/>
      <c r="DX26" s="353"/>
      <c r="DY26" s="244">
        <f>IF(DV24&lt;&gt;"",DY24/DV24-1,"-")</f>
        <v>6.3260340632603329E-2</v>
      </c>
      <c r="DZ26" s="244">
        <f>IF(DY24&lt;&gt;"",DZ24/DY24-1,"-")</f>
        <v>4.7826086956521685E-2</v>
      </c>
      <c r="EA26" s="244">
        <f>IF(DZ24&lt;&gt;"",EA24/DZ24-1,"-")</f>
        <v>3.8436339812186082E-2</v>
      </c>
      <c r="EB26" s="244">
        <f>IF(EA24&lt;&gt;"",EB24/EA24-1,"-")</f>
        <v>7.9915878023133491E-2</v>
      </c>
      <c r="EC26" s="1251"/>
      <c r="ED26" s="64"/>
      <c r="EE26" s="244">
        <f>IF(EB24&lt;&gt;"",EE24/EB24-1,"-")</f>
        <v>2.1306707078054377E-2</v>
      </c>
      <c r="EF26" s="244">
        <f>IF(EE24&lt;&gt;"",EF24/EE24-1,"-")</f>
        <v>6.6199850621121437E-2</v>
      </c>
      <c r="EG26" s="244">
        <f>IF(EF24&lt;&gt;"",EG24/EF24-1,"-")</f>
        <v>6.2089532823097038E-2</v>
      </c>
      <c r="EH26" s="244">
        <f>IF(EG24&lt;&gt;"",EH24/EG24-1,"-")</f>
        <v>0.11334745296079207</v>
      </c>
      <c r="EI26" s="1251"/>
      <c r="EJ26" s="64"/>
      <c r="EK26" s="244">
        <f>IF(EH24&lt;&gt;"",EK24/EH24-1,"-")</f>
        <v>-4.5662134982183744E-2</v>
      </c>
      <c r="EL26" s="244">
        <f>IF(EK24&lt;&gt;"",EL24/EK24-1,"-")</f>
        <v>7.0510331397281689E-2</v>
      </c>
      <c r="EM26" s="244">
        <f>IF(EL24&lt;&gt;"",EM24/EL24-1,"-")</f>
        <v>8.0304368231180145E-2</v>
      </c>
      <c r="EN26" s="244">
        <f>IF(EM24&lt;&gt;"",EN24/EM24-1,"-")</f>
        <v>0.15125802417749301</v>
      </c>
      <c r="EO26" s="1251"/>
      <c r="EP26" s="64"/>
      <c r="EQ26" s="244">
        <f>IF(EN24&lt;&gt;"",EQ24/EN24-1,"-")</f>
        <v>-0.16460440836014067</v>
      </c>
      <c r="ER26" s="244">
        <f>IF(EQ24&lt;&gt;"",ER24/EQ24-1,"-")</f>
        <v>0.14303638228154369</v>
      </c>
      <c r="ES26" s="244">
        <f>IF(ER24&lt;&gt;"",ES24/ER24-1,"-")</f>
        <v>0.12632180506094093</v>
      </c>
      <c r="ET26" s="244">
        <f>IF(ES24&lt;&gt;"",ET24/ES24-1,"-")</f>
        <v>0.18907735156584282</v>
      </c>
      <c r="EU26" s="1251"/>
      <c r="EV26" s="90"/>
      <c r="EW26"/>
      <c r="EX26"/>
      <c r="EY26"/>
      <c r="EZ26"/>
      <c r="FA26"/>
      <c r="FB26"/>
    </row>
    <row r="27" spans="1:162" s="2230" customFormat="1" ht="12.75" hidden="1" customHeight="1">
      <c r="A27" s="28" t="s">
        <v>7214</v>
      </c>
      <c r="B27" s="520"/>
      <c r="C27" s="104"/>
      <c r="D27" s="104"/>
      <c r="E27" s="104"/>
      <c r="F27" s="104"/>
      <c r="G27" s="104"/>
      <c r="H27" s="90"/>
      <c r="I27" s="104"/>
      <c r="J27" s="104"/>
      <c r="K27" s="104"/>
      <c r="L27" s="104"/>
      <c r="M27" s="104"/>
      <c r="N27" s="90"/>
      <c r="O27" s="104"/>
      <c r="P27" s="104"/>
      <c r="Q27" s="104"/>
      <c r="R27" s="104"/>
      <c r="S27" s="208"/>
      <c r="T27" s="90"/>
      <c r="U27" s="104"/>
      <c r="V27" s="104"/>
      <c r="W27" s="104"/>
      <c r="X27" s="104"/>
      <c r="Y27" s="62"/>
      <c r="Z27" s="90"/>
      <c r="AA27" s="104"/>
      <c r="AB27" s="104"/>
      <c r="AC27" s="104"/>
      <c r="AD27" s="104"/>
      <c r="AE27" s="104"/>
      <c r="AF27" s="90"/>
      <c r="AG27" s="116"/>
      <c r="AH27" s="116"/>
      <c r="AI27" s="116"/>
      <c r="AJ27" s="116"/>
      <c r="AK27" s="116"/>
      <c r="AL27" s="90"/>
      <c r="AM27" s="116"/>
      <c r="AN27" s="116"/>
      <c r="AO27" s="116"/>
      <c r="AP27" s="116"/>
      <c r="AQ27" s="116"/>
      <c r="AR27" s="90"/>
      <c r="AS27" s="116"/>
      <c r="AT27" s="116"/>
      <c r="AU27" s="116"/>
      <c r="AV27" s="116"/>
      <c r="AW27" s="116"/>
      <c r="AX27" s="90"/>
      <c r="AY27" s="116"/>
      <c r="AZ27" s="116"/>
      <c r="BA27" s="116"/>
      <c r="BB27" s="116"/>
      <c r="BC27" s="116"/>
      <c r="BD27" s="90"/>
      <c r="BE27" s="116"/>
      <c r="BF27" s="116"/>
      <c r="BG27" s="116"/>
      <c r="BH27" s="116"/>
      <c r="BI27" s="116"/>
      <c r="BJ27" s="90"/>
      <c r="BK27" s="116"/>
      <c r="BL27" s="116"/>
      <c r="BM27" s="116"/>
      <c r="BN27" s="116"/>
      <c r="BO27" s="1173"/>
      <c r="BP27" s="353"/>
      <c r="BQ27" s="244"/>
      <c r="BR27" s="244"/>
      <c r="BS27" s="244"/>
      <c r="BT27" s="244"/>
      <c r="BU27" s="1173"/>
      <c r="BV27" s="353"/>
      <c r="BW27" s="244"/>
      <c r="BX27" s="244"/>
      <c r="BY27" s="244"/>
      <c r="BZ27" s="244"/>
      <c r="CA27" s="1173"/>
      <c r="CB27" s="353"/>
      <c r="CC27" s="244"/>
      <c r="CD27" s="244"/>
      <c r="CE27" s="244"/>
      <c r="CF27" s="244"/>
      <c r="CG27" s="1173"/>
      <c r="CH27" s="353"/>
      <c r="CI27" s="244"/>
      <c r="CJ27" s="244"/>
      <c r="CK27" s="244"/>
      <c r="CL27" s="244"/>
      <c r="CM27" s="1173"/>
      <c r="CN27" s="90"/>
      <c r="CO27" s="244"/>
      <c r="CP27" s="244"/>
      <c r="CQ27" s="244"/>
      <c r="CR27" s="244"/>
      <c r="CS27" s="1173"/>
      <c r="CT27" s="353"/>
      <c r="CU27" s="244"/>
      <c r="CV27" s="244"/>
      <c r="CW27" s="244"/>
      <c r="CX27" s="244"/>
      <c r="CY27" s="1173"/>
      <c r="CZ27" s="353"/>
      <c r="DA27" s="244"/>
      <c r="DB27" s="244"/>
      <c r="DC27" s="244"/>
      <c r="DD27" s="244"/>
      <c r="DE27" s="1173"/>
      <c r="DF27" s="353"/>
      <c r="DG27" s="244"/>
      <c r="DH27" s="244"/>
      <c r="DI27" s="244"/>
      <c r="DJ27" s="244"/>
      <c r="DK27" s="1173"/>
      <c r="DL27" s="353"/>
      <c r="DM27" s="244"/>
      <c r="DN27" s="244"/>
      <c r="DO27" s="244"/>
      <c r="DP27" s="244"/>
      <c r="DQ27" s="1173"/>
      <c r="DR27" s="353"/>
      <c r="DS27" s="284">
        <f>DS24/DS31</f>
        <v>0.72260207071693694</v>
      </c>
      <c r="DT27" s="284">
        <f t="shared" ref="DT27:DW27" si="5">DT24/DT31</f>
        <v>0.69003086980207007</v>
      </c>
      <c r="DU27" s="284">
        <f t="shared" si="5"/>
        <v>0.78635620915032678</v>
      </c>
      <c r="DV27" s="284">
        <f t="shared" si="5"/>
        <v>0.85839598997493727</v>
      </c>
      <c r="DW27" s="1167">
        <f t="shared" si="5"/>
        <v>0.76115214180206803</v>
      </c>
      <c r="DX27" s="262"/>
      <c r="DY27" s="284">
        <f>DY24/DY31</f>
        <v>0.89973234506897259</v>
      </c>
      <c r="DZ27" s="284">
        <f t="shared" ref="DZ27:EB27" si="6">DZ24/DZ31</f>
        <v>0.91251494619370266</v>
      </c>
      <c r="EA27" s="284">
        <f t="shared" si="6"/>
        <v>0.92276343877353006</v>
      </c>
      <c r="EB27" s="284">
        <f t="shared" si="6"/>
        <v>0.92723004694835687</v>
      </c>
      <c r="EC27" s="1251"/>
      <c r="ED27" s="64"/>
      <c r="EE27" s="284">
        <f>EE24/EE31</f>
        <v>0.94218258593418647</v>
      </c>
      <c r="EF27" s="284">
        <f t="shared" ref="EF27:EH27" si="7">EF24/EF31</f>
        <v>0.94045881938230924</v>
      </c>
      <c r="EG27" s="284">
        <f t="shared" si="7"/>
        <v>0.93418851076494003</v>
      </c>
      <c r="EH27" s="284">
        <f t="shared" si="7"/>
        <v>0.92774904017950344</v>
      </c>
      <c r="EI27" s="1251"/>
      <c r="EJ27" s="64"/>
      <c r="EK27" s="284">
        <f>EK24/EK31</f>
        <v>0.91366636343926466</v>
      </c>
      <c r="EL27" s="284">
        <f t="shared" ref="EL27:EN27" si="8">EL24/EL31</f>
        <v>0.92176710506060633</v>
      </c>
      <c r="EM27" s="284">
        <f t="shared" si="8"/>
        <v>0.92715894050548242</v>
      </c>
      <c r="EN27" s="284">
        <f t="shared" si="8"/>
        <v>0.93851597429413292</v>
      </c>
      <c r="EO27" s="1251"/>
      <c r="EP27" s="64"/>
      <c r="EQ27" s="284">
        <f>EQ24/EQ31</f>
        <v>0.913715476402437</v>
      </c>
      <c r="ER27" s="284">
        <f t="shared" ref="ER27:ET27" si="9">ER24/ER31</f>
        <v>0.92640796512109036</v>
      </c>
      <c r="ES27" s="284">
        <f t="shared" si="9"/>
        <v>0.93411785752326959</v>
      </c>
      <c r="ET27" s="284">
        <f t="shared" si="9"/>
        <v>0.94612636142147954</v>
      </c>
      <c r="EU27" s="1251"/>
      <c r="EV27" s="90"/>
      <c r="EW27"/>
      <c r="EX27"/>
      <c r="EY27"/>
      <c r="EZ27"/>
      <c r="FA27"/>
      <c r="FB27"/>
    </row>
    <row r="28" spans="1:162" s="2230" customFormat="1">
      <c r="A28" s="194" t="s">
        <v>7198</v>
      </c>
      <c r="B28" s="520"/>
      <c r="C28" s="104"/>
      <c r="D28" s="104"/>
      <c r="E28" s="104"/>
      <c r="F28" s="104"/>
      <c r="G28" s="104"/>
      <c r="H28" s="90"/>
      <c r="I28" s="104"/>
      <c r="J28" s="104"/>
      <c r="K28" s="104"/>
      <c r="L28" s="104"/>
      <c r="M28" s="104"/>
      <c r="N28" s="90"/>
      <c r="O28" s="104"/>
      <c r="P28" s="104"/>
      <c r="Q28" s="104"/>
      <c r="R28" s="104"/>
      <c r="S28" s="208"/>
      <c r="T28" s="90"/>
      <c r="U28" s="104"/>
      <c r="V28" s="104"/>
      <c r="W28" s="104"/>
      <c r="X28" s="104"/>
      <c r="Y28" s="62"/>
      <c r="Z28" s="90"/>
      <c r="AA28" s="104"/>
      <c r="AB28" s="104"/>
      <c r="AC28" s="104"/>
      <c r="AD28" s="104"/>
      <c r="AE28" s="104"/>
      <c r="AF28" s="90"/>
      <c r="AG28" s="116"/>
      <c r="AH28" s="116"/>
      <c r="AI28" s="116"/>
      <c r="AJ28" s="116"/>
      <c r="AK28" s="116"/>
      <c r="AL28" s="90"/>
      <c r="AM28" s="116"/>
      <c r="AN28" s="116"/>
      <c r="AO28" s="116"/>
      <c r="AP28" s="116"/>
      <c r="AQ28" s="116"/>
      <c r="AR28" s="90"/>
      <c r="AS28" s="116"/>
      <c r="AT28" s="116"/>
      <c r="AU28" s="116"/>
      <c r="AV28" s="116"/>
      <c r="AW28" s="116"/>
      <c r="AX28" s="90"/>
      <c r="AY28" s="116"/>
      <c r="AZ28" s="116"/>
      <c r="BA28" s="116"/>
      <c r="BB28" s="116"/>
      <c r="BC28" s="116"/>
      <c r="BD28" s="90"/>
      <c r="BE28" s="116"/>
      <c r="BF28" s="116"/>
      <c r="BG28" s="116"/>
      <c r="BH28" s="116"/>
      <c r="BI28" s="116"/>
      <c r="BJ28" s="90"/>
      <c r="BK28" s="116"/>
      <c r="BL28" s="116"/>
      <c r="BM28" s="116"/>
      <c r="BN28" s="116"/>
      <c r="BO28" s="1173"/>
      <c r="BP28" s="353"/>
      <c r="BQ28" s="244"/>
      <c r="BR28" s="244"/>
      <c r="BS28" s="244"/>
      <c r="BT28" s="244"/>
      <c r="BU28" s="1173"/>
      <c r="BV28" s="353"/>
      <c r="BW28" s="244"/>
      <c r="BX28" s="244"/>
      <c r="BY28" s="244"/>
      <c r="BZ28" s="244"/>
      <c r="CA28" s="1173"/>
      <c r="CB28" s="353"/>
      <c r="CC28" s="244"/>
      <c r="CD28" s="244"/>
      <c r="CE28" s="244"/>
      <c r="CF28" s="244"/>
      <c r="CG28" s="1173"/>
      <c r="CH28" s="353"/>
      <c r="CI28" s="244"/>
      <c r="CJ28" s="244"/>
      <c r="CK28" s="244"/>
      <c r="CL28" s="244"/>
      <c r="CM28" s="1173"/>
      <c r="CN28" s="90"/>
      <c r="CO28" s="244"/>
      <c r="CP28" s="244"/>
      <c r="CQ28" s="244"/>
      <c r="CR28" s="244"/>
      <c r="CS28" s="1173"/>
      <c r="CT28" s="353"/>
      <c r="CU28" s="244"/>
      <c r="CV28" s="244"/>
      <c r="CW28" s="244"/>
      <c r="CX28" s="244"/>
      <c r="CY28" s="1173"/>
      <c r="CZ28" s="353"/>
      <c r="DA28" s="244"/>
      <c r="DB28" s="244"/>
      <c r="DC28" s="244"/>
      <c r="DD28" s="244"/>
      <c r="DE28" s="1173"/>
      <c r="DF28" s="353"/>
      <c r="DG28" s="244"/>
      <c r="DH28" s="244"/>
      <c r="DI28" s="244"/>
      <c r="DJ28" s="244"/>
      <c r="DK28" s="1173"/>
      <c r="DL28" s="353"/>
      <c r="DM28" s="244"/>
      <c r="DN28" s="244"/>
      <c r="DO28" s="1558"/>
      <c r="DP28" s="244"/>
      <c r="DQ28" s="1173"/>
      <c r="DR28" s="353"/>
      <c r="DS28" s="876">
        <v>142</v>
      </c>
      <c r="DT28" s="876">
        <v>171</v>
      </c>
      <c r="DU28" s="876">
        <v>104</v>
      </c>
      <c r="DV28" s="876">
        <v>67</v>
      </c>
      <c r="DW28" s="1251">
        <f>SUM(DS28:DV28)</f>
        <v>484</v>
      </c>
      <c r="DX28" s="353"/>
      <c r="DY28" s="876">
        <v>48.7</v>
      </c>
      <c r="DZ28" s="64">
        <v>43.9</v>
      </c>
      <c r="EA28" s="64">
        <v>39.799999999999997</v>
      </c>
      <c r="EB28" s="876">
        <v>40.299999999999997</v>
      </c>
      <c r="EC28" s="1251">
        <f>SUM(DY28:EB28)</f>
        <v>172.7</v>
      </c>
      <c r="ED28" s="64"/>
      <c r="EE28" s="64">
        <f>Metrics!EE361</f>
        <v>32.182532940800002</v>
      </c>
      <c r="EF28" s="64">
        <f>Metrics!EF361</f>
        <v>35.400786234880002</v>
      </c>
      <c r="EG28" s="64">
        <f>Metrics!EG361</f>
        <v>41.837292823040002</v>
      </c>
      <c r="EH28" s="64">
        <f>Metrics!EH361</f>
        <v>51.492052705280003</v>
      </c>
      <c r="EI28" s="1251">
        <f>SUM(EE28:EH28)</f>
        <v>160.91266470400001</v>
      </c>
      <c r="EJ28" s="64"/>
      <c r="EK28" s="64">
        <f>Metrics!EK361</f>
        <v>59.624074593408004</v>
      </c>
      <c r="EL28" s="64">
        <f>Metrics!EL361</f>
        <v>57.330840955200003</v>
      </c>
      <c r="EM28" s="64">
        <f>Metrics!EM361</f>
        <v>57.330840955200003</v>
      </c>
      <c r="EN28" s="64">
        <f>Metrics!EN361</f>
        <v>55.037607316992023</v>
      </c>
      <c r="EO28" s="1251">
        <f>SUM(EK28:EN28)</f>
        <v>229.32336382080001</v>
      </c>
      <c r="EP28" s="64"/>
      <c r="EQ28" s="64">
        <f>Metrics!EQ361</f>
        <v>66.27550149329825</v>
      </c>
      <c r="ER28" s="64">
        <f>Metrics!ER361</f>
        <v>63.726443743556004</v>
      </c>
      <c r="ES28" s="64">
        <f>Metrics!ES361</f>
        <v>63.726443743556004</v>
      </c>
      <c r="ET28" s="64">
        <f>Metrics!ET361</f>
        <v>61.177385993813743</v>
      </c>
      <c r="EU28" s="1251">
        <f>SUM(EQ28:ET28)</f>
        <v>254.90577497422402</v>
      </c>
      <c r="EV28" s="90"/>
      <c r="EW28"/>
      <c r="EX28"/>
      <c r="EY28"/>
      <c r="EZ28"/>
      <c r="FA28"/>
      <c r="FB28"/>
    </row>
    <row r="29" spans="1:162" s="2230" customFormat="1">
      <c r="A29" s="25" t="s">
        <v>4583</v>
      </c>
      <c r="B29" s="520"/>
      <c r="C29" s="104"/>
      <c r="D29" s="104"/>
      <c r="E29" s="104"/>
      <c r="F29" s="104"/>
      <c r="G29" s="104"/>
      <c r="H29" s="90"/>
      <c r="I29" s="104"/>
      <c r="J29" s="104"/>
      <c r="K29" s="104"/>
      <c r="L29" s="104"/>
      <c r="M29" s="104"/>
      <c r="N29" s="90"/>
      <c r="O29" s="104"/>
      <c r="P29" s="104"/>
      <c r="Q29" s="104"/>
      <c r="R29" s="104"/>
      <c r="S29" s="208"/>
      <c r="T29" s="90"/>
      <c r="U29" s="104"/>
      <c r="V29" s="104"/>
      <c r="W29" s="104"/>
      <c r="X29" s="104"/>
      <c r="Y29" s="62"/>
      <c r="Z29" s="90"/>
      <c r="AA29" s="104"/>
      <c r="AB29" s="104"/>
      <c r="AC29" s="104"/>
      <c r="AD29" s="104"/>
      <c r="AE29" s="104"/>
      <c r="AF29" s="90"/>
      <c r="AG29" s="116"/>
      <c r="AH29" s="116"/>
      <c r="AI29" s="116"/>
      <c r="AJ29" s="116"/>
      <c r="AK29" s="116"/>
      <c r="AL29" s="90"/>
      <c r="AM29" s="116"/>
      <c r="AN29" s="116"/>
      <c r="AO29" s="116"/>
      <c r="AP29" s="116"/>
      <c r="AQ29" s="116"/>
      <c r="AR29" s="90"/>
      <c r="AS29" s="116"/>
      <c r="AT29" s="116"/>
      <c r="AU29" s="116"/>
      <c r="AV29" s="116"/>
      <c r="AW29" s="116"/>
      <c r="AX29" s="90"/>
      <c r="AY29" s="116"/>
      <c r="AZ29" s="116"/>
      <c r="BA29" s="116"/>
      <c r="BB29" s="116"/>
      <c r="BC29" s="116"/>
      <c r="BD29" s="90"/>
      <c r="BE29" s="116"/>
      <c r="BF29" s="116"/>
      <c r="BG29" s="116"/>
      <c r="BH29" s="116"/>
      <c r="BI29" s="116"/>
      <c r="BJ29" s="90"/>
      <c r="BK29" s="116"/>
      <c r="BL29" s="116"/>
      <c r="BM29" s="116"/>
      <c r="BN29" s="116"/>
      <c r="BO29" s="1173"/>
      <c r="BP29" s="353"/>
      <c r="BQ29" s="244"/>
      <c r="BR29" s="244"/>
      <c r="BS29" s="244"/>
      <c r="BT29" s="244"/>
      <c r="BU29" s="1173"/>
      <c r="BV29" s="353"/>
      <c r="BW29" s="244"/>
      <c r="BX29" s="244"/>
      <c r="BY29" s="244"/>
      <c r="BZ29" s="244"/>
      <c r="CA29" s="1173"/>
      <c r="CB29" s="353"/>
      <c r="CC29" s="244"/>
      <c r="CD29" s="244"/>
      <c r="CE29" s="244"/>
      <c r="CF29" s="244"/>
      <c r="CG29" s="1173"/>
      <c r="CH29" s="353"/>
      <c r="CI29" s="244"/>
      <c r="CJ29" s="244"/>
      <c r="CK29" s="244"/>
      <c r="CL29" s="244"/>
      <c r="CM29" s="1173"/>
      <c r="CN29" s="90"/>
      <c r="CO29" s="244"/>
      <c r="CP29" s="244"/>
      <c r="CQ29" s="244"/>
      <c r="CR29" s="244"/>
      <c r="CS29" s="1173"/>
      <c r="CT29" s="353"/>
      <c r="CU29" s="244"/>
      <c r="CV29" s="244"/>
      <c r="CW29" s="244"/>
      <c r="CX29" s="244"/>
      <c r="CY29" s="1173"/>
      <c r="CZ29" s="353"/>
      <c r="DA29" s="244"/>
      <c r="DB29" s="244"/>
      <c r="DC29" s="244"/>
      <c r="DD29" s="244"/>
      <c r="DE29" s="1173"/>
      <c r="DF29" s="353"/>
      <c r="DG29" s="244"/>
      <c r="DH29" s="244"/>
      <c r="DI29" s="244"/>
      <c r="DJ29" s="244"/>
      <c r="DK29" s="1173"/>
      <c r="DL29" s="353"/>
      <c r="DM29" s="244"/>
      <c r="DN29" s="244"/>
      <c r="DO29" s="1558"/>
      <c r="DP29" s="244"/>
      <c r="DQ29" s="1173"/>
      <c r="DR29" s="353"/>
      <c r="DS29" s="244" t="str">
        <f>IF(DM28&lt;&gt;"",DS28/DM28-1,"-")</f>
        <v>-</v>
      </c>
      <c r="DT29" s="244" t="str">
        <f>IF(DN28&lt;&gt;"",DT28/DN28-1,"-")</f>
        <v>-</v>
      </c>
      <c r="DU29" s="244" t="str">
        <f>IF(DO28&lt;&gt;"",DU28/DO28-1,"-")</f>
        <v>-</v>
      </c>
      <c r="DV29" s="244" t="str">
        <f>IF(DP28&lt;&gt;"",DV28/DP28-1,"-")</f>
        <v>-</v>
      </c>
      <c r="DW29" s="1173"/>
      <c r="DX29" s="353"/>
      <c r="DY29" s="244">
        <f>IF(DS28&lt;&gt;"",DY28/DS28-1,"-")</f>
        <v>-0.65704225352112666</v>
      </c>
      <c r="DZ29" s="244">
        <f>IF(DT28&lt;&gt;"",DZ28/DT28-1,"-")</f>
        <v>-0.74327485380116953</v>
      </c>
      <c r="EA29" s="244">
        <f>IF(DU28&lt;&gt;"",EA28/DU28-1,"-")</f>
        <v>-0.61730769230769234</v>
      </c>
      <c r="EB29" s="244">
        <f>IF(DV28&lt;&gt;"",EB28/DV28-1,"-")</f>
        <v>-0.39850746268656723</v>
      </c>
      <c r="EC29" s="1171">
        <f>EC28/DW28-1</f>
        <v>-0.64318181818181819</v>
      </c>
      <c r="ED29" s="64"/>
      <c r="EE29" s="244">
        <f>IF(DY28&lt;&gt;"",EE28/DY28-1,"-")</f>
        <v>-0.33916770142094455</v>
      </c>
      <c r="EF29" s="244">
        <f>IF(DZ28&lt;&gt;"",EF28/DZ28-1,"-")</f>
        <v>-0.19360395820318899</v>
      </c>
      <c r="EG29" s="244">
        <f>IF(EA28&lt;&gt;"",EG28/EA28-1,"-")</f>
        <v>5.1188261885427355E-2</v>
      </c>
      <c r="EH29" s="244">
        <f>IF(EB28&lt;&gt;"",EH28/EB28-1,"-")</f>
        <v>0.27771842941141456</v>
      </c>
      <c r="EI29" s="1171">
        <f>EI28/EC28-1</f>
        <v>-6.825324433121005E-2</v>
      </c>
      <c r="EJ29" s="64"/>
      <c r="EK29" s="244">
        <f>IF(EE28&lt;&gt;"",EK28/EE28-1,"-")</f>
        <v>0.85268433355096418</v>
      </c>
      <c r="EL29" s="244">
        <f>IF(EF28&lt;&gt;"",EL28/EF28-1,"-")</f>
        <v>0.61947931254454902</v>
      </c>
      <c r="EM29" s="244">
        <f>IF(EG28&lt;&gt;"",EM28/EG28-1,"-")</f>
        <v>0.37032864907615703</v>
      </c>
      <c r="EN29" s="244">
        <f>IF(EH28&lt;&gt;"",EN28/EH28-1,"-")</f>
        <v>6.8856346279402736E-2</v>
      </c>
      <c r="EO29" s="1171">
        <f>EO28/EI28-1</f>
        <v>0.42514179503920313</v>
      </c>
      <c r="EP29" s="64"/>
      <c r="EQ29" s="244">
        <f>IF(EK28&lt;&gt;"",EQ28/EK28-1,"-")</f>
        <v>0.11155606095772641</v>
      </c>
      <c r="ER29" s="244">
        <f>IF(EL28&lt;&gt;"",ER28/EL28-1,"-")</f>
        <v>0.11155606095772619</v>
      </c>
      <c r="ES29" s="244">
        <f>IF(EM28&lt;&gt;"",ES28/EM28-1,"-")</f>
        <v>0.11155606095772619</v>
      </c>
      <c r="ET29" s="244">
        <f>IF(EN28&lt;&gt;"",ET28/EN28-1,"-")</f>
        <v>0.11155606095772552</v>
      </c>
      <c r="EU29" s="1171">
        <f>EU28/EO28-1</f>
        <v>0.11155606095772619</v>
      </c>
      <c r="EV29" s="90"/>
      <c r="EW29"/>
      <c r="EX29"/>
      <c r="EY29"/>
      <c r="EZ29"/>
      <c r="FA29"/>
      <c r="FB29"/>
    </row>
    <row r="30" spans="1:162" s="2230" customFormat="1" ht="13.5" thickBot="1">
      <c r="A30" s="25" t="s">
        <v>4584</v>
      </c>
      <c r="B30" s="520"/>
      <c r="C30" s="104"/>
      <c r="D30" s="104"/>
      <c r="E30" s="104"/>
      <c r="F30" s="104"/>
      <c r="G30" s="104"/>
      <c r="H30" s="90"/>
      <c r="I30" s="104"/>
      <c r="J30" s="104"/>
      <c r="K30" s="104"/>
      <c r="L30" s="104"/>
      <c r="M30" s="104"/>
      <c r="N30" s="90"/>
      <c r="O30" s="104"/>
      <c r="P30" s="104"/>
      <c r="Q30" s="104"/>
      <c r="R30" s="104"/>
      <c r="S30" s="208"/>
      <c r="T30" s="90"/>
      <c r="U30" s="104"/>
      <c r="V30" s="104"/>
      <c r="W30" s="104"/>
      <c r="X30" s="104"/>
      <c r="Y30" s="62"/>
      <c r="Z30" s="90"/>
      <c r="AA30" s="104"/>
      <c r="AB30" s="104"/>
      <c r="AC30" s="104"/>
      <c r="AD30" s="104"/>
      <c r="AE30" s="104"/>
      <c r="AF30" s="90"/>
      <c r="AG30" s="116"/>
      <c r="AH30" s="116"/>
      <c r="AI30" s="116"/>
      <c r="AJ30" s="116"/>
      <c r="AK30" s="116"/>
      <c r="AL30" s="90"/>
      <c r="AM30" s="116"/>
      <c r="AN30" s="116"/>
      <c r="AO30" s="116"/>
      <c r="AP30" s="116"/>
      <c r="AQ30" s="116"/>
      <c r="AR30" s="90"/>
      <c r="AS30" s="116"/>
      <c r="AT30" s="116"/>
      <c r="AU30" s="116"/>
      <c r="AV30" s="116"/>
      <c r="AW30" s="116"/>
      <c r="AX30" s="90"/>
      <c r="AY30" s="116"/>
      <c r="AZ30" s="116"/>
      <c r="BA30" s="116"/>
      <c r="BB30" s="116"/>
      <c r="BC30" s="116"/>
      <c r="BD30" s="90"/>
      <c r="BE30" s="116"/>
      <c r="BF30" s="116"/>
      <c r="BG30" s="116"/>
      <c r="BH30" s="116"/>
      <c r="BI30" s="116"/>
      <c r="BJ30" s="90"/>
      <c r="BK30" s="116"/>
      <c r="BL30" s="116"/>
      <c r="BM30" s="116"/>
      <c r="BN30" s="116"/>
      <c r="BO30" s="1173"/>
      <c r="BP30" s="353"/>
      <c r="BQ30" s="244"/>
      <c r="BR30" s="244"/>
      <c r="BS30" s="244"/>
      <c r="BT30" s="244"/>
      <c r="BU30" s="1173"/>
      <c r="BV30" s="353"/>
      <c r="BW30" s="244"/>
      <c r="BX30" s="244"/>
      <c r="BY30" s="244"/>
      <c r="BZ30" s="244"/>
      <c r="CA30" s="1173"/>
      <c r="CB30" s="353"/>
      <c r="CC30" s="244"/>
      <c r="CD30" s="244"/>
      <c r="CE30" s="244"/>
      <c r="CF30" s="244"/>
      <c r="CG30" s="1173"/>
      <c r="CH30" s="353"/>
      <c r="CI30" s="244"/>
      <c r="CJ30" s="244"/>
      <c r="CK30" s="244"/>
      <c r="CL30" s="244"/>
      <c r="CM30" s="1173"/>
      <c r="CN30" s="90"/>
      <c r="CO30" s="244"/>
      <c r="CP30" s="244"/>
      <c r="CQ30" s="244"/>
      <c r="CR30" s="244"/>
      <c r="CS30" s="1173"/>
      <c r="CT30" s="353"/>
      <c r="CU30" s="244"/>
      <c r="CV30" s="244"/>
      <c r="CW30" s="244"/>
      <c r="CX30" s="244"/>
      <c r="CY30" s="1173"/>
      <c r="CZ30" s="353"/>
      <c r="DA30" s="244"/>
      <c r="DB30" s="244"/>
      <c r="DC30" s="244"/>
      <c r="DD30" s="244"/>
      <c r="DE30" s="1173"/>
      <c r="DF30" s="353"/>
      <c r="DG30" s="244"/>
      <c r="DH30" s="244"/>
      <c r="DI30" s="244"/>
      <c r="DJ30" s="244"/>
      <c r="DK30" s="1173"/>
      <c r="DL30" s="353"/>
      <c r="DM30" s="244"/>
      <c r="DN30" s="244"/>
      <c r="DO30" s="244"/>
      <c r="DP30" s="244"/>
      <c r="DQ30" s="1173"/>
      <c r="DR30" s="353"/>
      <c r="DS30" s="244" t="str">
        <f>IF(DP28&lt;&gt;"",DS28/DP28-1,"-")</f>
        <v>-</v>
      </c>
      <c r="DT30" s="244">
        <f>IF(DS28&lt;&gt;"",DT28/DS28-1,"-")</f>
        <v>0.20422535211267601</v>
      </c>
      <c r="DU30" s="244">
        <f>IF(DT28&lt;&gt;"",DU28/DT28-1,"-")</f>
        <v>-0.39181286549707606</v>
      </c>
      <c r="DV30" s="244">
        <f>IF(DU28&lt;&gt;"",DV28/DU28-1,"-")</f>
        <v>-0.35576923076923073</v>
      </c>
      <c r="DW30" s="1173"/>
      <c r="DX30" s="353"/>
      <c r="DY30" s="244">
        <f>IF(DV28&lt;&gt;"",DY28/DV28-1,"-")</f>
        <v>-0.27313432835820894</v>
      </c>
      <c r="DZ30" s="244">
        <f>IF(DY28&lt;&gt;"",DZ28/DY28-1,"-")</f>
        <v>-9.8562628336755775E-2</v>
      </c>
      <c r="EA30" s="244">
        <f>IF(DZ28&lt;&gt;"",EA28/DZ28-1,"-")</f>
        <v>-9.339407744874717E-2</v>
      </c>
      <c r="EB30" s="244">
        <f>IF(EA28&lt;&gt;"",EB28/EA28-1,"-")</f>
        <v>1.2562814070351758E-2</v>
      </c>
      <c r="EC30" s="1171"/>
      <c r="ED30" s="245"/>
      <c r="EE30" s="244">
        <f>IF(EB28&lt;&gt;"",EE28/EB28-1,"-")</f>
        <v>-0.20142598161786596</v>
      </c>
      <c r="EF30" s="244">
        <f>IF(EE28&lt;&gt;"",EF28/EE28-1,"-")</f>
        <v>0.10000000000000009</v>
      </c>
      <c r="EG30" s="244">
        <f>IF(EF28&lt;&gt;"",EG28/EF28-1,"-")</f>
        <v>0.18181818181818188</v>
      </c>
      <c r="EH30" s="244">
        <f>IF(EG28&lt;&gt;"",EH28/EG28-1,"-")</f>
        <v>0.23076923076923084</v>
      </c>
      <c r="EI30" s="1171"/>
      <c r="EJ30" s="245"/>
      <c r="EK30" s="244">
        <f>IF(EH28&lt;&gt;"",EK28/EH28-1,"-")</f>
        <v>0.15792770846935267</v>
      </c>
      <c r="EL30" s="244">
        <f>IF(EK28&lt;&gt;"",EL28/EK28-1,"-")</f>
        <v>-3.8461538461538436E-2</v>
      </c>
      <c r="EM30" s="244">
        <f>IF(EL28&lt;&gt;"",EM28/EL28-1,"-")</f>
        <v>0</v>
      </c>
      <c r="EN30" s="244">
        <f>IF(EM28&lt;&gt;"",EN28/EM28-1,"-")</f>
        <v>-3.9999999999999591E-2</v>
      </c>
      <c r="EO30" s="1171"/>
      <c r="EP30" s="245"/>
      <c r="EQ30" s="244">
        <f>IF(EN28&lt;&gt;"",EQ28/EN28-1,"-")</f>
        <v>0.20418573270420315</v>
      </c>
      <c r="ER30" s="244">
        <f>IF(EQ28&lt;&gt;"",ER28/EQ28-1,"-")</f>
        <v>-3.8461538461538547E-2</v>
      </c>
      <c r="ES30" s="244">
        <f>IF(ER28&lt;&gt;"",ES28/ER28-1,"-")</f>
        <v>0</v>
      </c>
      <c r="ET30" s="244">
        <f>IF(ES28&lt;&gt;"",ET28/ES28-1,"-")</f>
        <v>-4.0000000000000369E-2</v>
      </c>
      <c r="EU30" s="1171"/>
      <c r="EV30" s="90"/>
      <c r="EW30"/>
      <c r="EX30"/>
      <c r="EY30"/>
      <c r="EZ30"/>
      <c r="FA30"/>
      <c r="FB30"/>
    </row>
    <row r="31" spans="1:162">
      <c r="A31" s="1235" t="s">
        <v>654</v>
      </c>
      <c r="B31" s="1236" t="s">
        <v>4753</v>
      </c>
      <c r="C31" s="1237">
        <v>136.30000000000001</v>
      </c>
      <c r="D31" s="1237">
        <v>128.69999999999999</v>
      </c>
      <c r="E31" s="1237">
        <v>116.6</v>
      </c>
      <c r="F31" s="1237">
        <v>115</v>
      </c>
      <c r="G31" s="1237">
        <v>496.7</v>
      </c>
      <c r="H31" s="1237"/>
      <c r="I31" s="1237">
        <v>146</v>
      </c>
      <c r="J31" s="1237">
        <v>188.9</v>
      </c>
      <c r="K31" s="1237">
        <v>200.6</v>
      </c>
      <c r="L31" s="1237">
        <v>219.1</v>
      </c>
      <c r="M31" s="1237">
        <v>754.6</v>
      </c>
      <c r="N31" s="1237"/>
      <c r="O31" s="1237">
        <v>227.88200000000001</v>
      </c>
      <c r="P31" s="1237">
        <v>232.346</v>
      </c>
      <c r="Q31" s="1237">
        <v>210.30500000000001</v>
      </c>
      <c r="R31" s="1237">
        <v>223.29900000000001</v>
      </c>
      <c r="S31" s="1237">
        <f>SUM(O31:R31)</f>
        <v>893.83199999999999</v>
      </c>
      <c r="T31" s="1237"/>
      <c r="U31" s="1237">
        <v>202.661</v>
      </c>
      <c r="V31" s="1237">
        <v>210.58199999999999</v>
      </c>
      <c r="W31" s="1237">
        <v>208.131</v>
      </c>
      <c r="X31" s="1237">
        <v>226.67699999999999</v>
      </c>
      <c r="Y31" s="1237">
        <f>SUM(U31:X31)</f>
        <v>848.05100000000004</v>
      </c>
      <c r="Z31" s="1237"/>
      <c r="AA31" s="1237">
        <v>231.25899999999999</v>
      </c>
      <c r="AB31" s="1237">
        <v>232.84100000000001</v>
      </c>
      <c r="AC31" s="1237">
        <v>229.17699999999999</v>
      </c>
      <c r="AD31" s="1237">
        <v>243.047</v>
      </c>
      <c r="AE31" s="1237">
        <v>936.32399999999996</v>
      </c>
      <c r="AF31" s="1237"/>
      <c r="AG31" s="1237">
        <f>AG10+AG14</f>
        <v>245.73999999999998</v>
      </c>
      <c r="AH31" s="1237">
        <f>AH10+AH14</f>
        <v>231.35999999999999</v>
      </c>
      <c r="AI31" s="1237">
        <f>AI10+AI14</f>
        <v>216.357</v>
      </c>
      <c r="AJ31" s="1237">
        <f>AJ10+AJ14</f>
        <v>254.03400000000002</v>
      </c>
      <c r="AK31" s="1237">
        <f>AK10+AK14</f>
        <v>947.49099999999999</v>
      </c>
      <c r="AL31" s="1237"/>
      <c r="AM31" s="1237">
        <f>AM10+AM14</f>
        <v>229.327</v>
      </c>
      <c r="AN31" s="1237">
        <f>AN10+AN14</f>
        <v>211.40100000000001</v>
      </c>
      <c r="AO31" s="1237">
        <f>AO10+AO14</f>
        <v>188.70099999999999</v>
      </c>
      <c r="AP31" s="1237">
        <f>AP10+AP14</f>
        <v>195.51600000000002</v>
      </c>
      <c r="AQ31" s="1237">
        <f>AQ10+AQ14</f>
        <v>824.94499999999994</v>
      </c>
      <c r="AR31" s="1237"/>
      <c r="AS31" s="1237">
        <f>AS10+AS14</f>
        <v>210.76599999999999</v>
      </c>
      <c r="AT31" s="1237">
        <f>AT10+AT14</f>
        <v>211.70499999999998</v>
      </c>
      <c r="AU31" s="1237">
        <f>AU10+AU14</f>
        <v>233.86199999999999</v>
      </c>
      <c r="AV31" s="1237">
        <f>AV10+AV14</f>
        <v>295.31000000000006</v>
      </c>
      <c r="AW31" s="1237">
        <f>AW10+AW14</f>
        <v>951.64300000000003</v>
      </c>
      <c r="AX31" s="1237"/>
      <c r="AY31" s="1238">
        <f>AY10+AY14</f>
        <v>299.10000000000002</v>
      </c>
      <c r="AZ31" s="1238">
        <f>AZ10+AZ14</f>
        <v>280.8</v>
      </c>
      <c r="BA31" s="1238">
        <f>BA10+BA14</f>
        <v>301.40000000000003</v>
      </c>
      <c r="BB31" s="1238">
        <f>BB10+BB14</f>
        <v>357.59999999999997</v>
      </c>
      <c r="BC31" s="1238">
        <f>SUM(AY31:BB31)</f>
        <v>1238.9000000000001</v>
      </c>
      <c r="BD31" s="1237"/>
      <c r="BE31" s="1238">
        <f>BE10+BE14</f>
        <v>359.09999999999997</v>
      </c>
      <c r="BF31" s="1238">
        <f>BF10+BF14</f>
        <v>376.79999999999995</v>
      </c>
      <c r="BG31" s="1238">
        <f>BG10+BG14</f>
        <v>381.5</v>
      </c>
      <c r="BH31" s="1238">
        <f>BH10+BH14</f>
        <v>419.8</v>
      </c>
      <c r="BI31" s="1238">
        <f>SUM(BE31:BH31)</f>
        <v>1537.1999999999998</v>
      </c>
      <c r="BJ31" s="1237"/>
      <c r="BK31" s="1238">
        <f>BK10+BK14</f>
        <v>436</v>
      </c>
      <c r="BL31" s="1238">
        <f>BL10+BL14</f>
        <v>449.6</v>
      </c>
      <c r="BM31" s="1238">
        <f>BM10+BM14</f>
        <v>456.8</v>
      </c>
      <c r="BN31" s="1238">
        <f>BN10+BN14</f>
        <v>497.4</v>
      </c>
      <c r="BO31" s="1252">
        <f>SUM(BK31:BN31)</f>
        <v>1839.8000000000002</v>
      </c>
      <c r="BP31" s="1238"/>
      <c r="BQ31" s="1238">
        <f>BQ10+BQ14</f>
        <v>508.6</v>
      </c>
      <c r="BR31" s="1238">
        <f>BR10+BR14</f>
        <v>525.90000000000009</v>
      </c>
      <c r="BS31" s="1238">
        <f>BS10+BS14</f>
        <v>538.4</v>
      </c>
      <c r="BT31" s="1238">
        <f>BT10+BT14</f>
        <v>599.1</v>
      </c>
      <c r="BU31" s="1252">
        <f>SUM(BQ31:BT31)</f>
        <v>2172</v>
      </c>
      <c r="BV31" s="1238"/>
      <c r="BW31" s="1238">
        <f>BW10+BW14</f>
        <v>598.79999999999995</v>
      </c>
      <c r="BX31" s="1238">
        <f>BX10+BX14</f>
        <v>619.5</v>
      </c>
      <c r="BY31" s="1238">
        <f>BY10+BY14</f>
        <v>607.1</v>
      </c>
      <c r="BZ31" s="1238">
        <f>BZ10+BZ14</f>
        <v>489.8</v>
      </c>
      <c r="CA31" s="1252">
        <f>SUM(BW31:BZ31)</f>
        <v>2315.2000000000003</v>
      </c>
      <c r="CB31" s="1238"/>
      <c r="CC31" s="1238">
        <f>CC10+CC14</f>
        <v>425.79999999999995</v>
      </c>
      <c r="CD31" s="1238">
        <f>CD10+CD14</f>
        <v>414.9</v>
      </c>
      <c r="CE31" s="1238">
        <f>CE10+CE14</f>
        <v>416.9</v>
      </c>
      <c r="CF31" s="1238">
        <f>CF10+CF14</f>
        <v>456.1</v>
      </c>
      <c r="CG31" s="1252">
        <f>SUM(CC31:CF31)</f>
        <v>1713.6999999999998</v>
      </c>
      <c r="CH31" s="1238"/>
      <c r="CI31" s="1238">
        <f>CI10+CI14</f>
        <v>474.6</v>
      </c>
      <c r="CJ31" s="1237">
        <f>CJ10+CJ14</f>
        <v>472.79999999999995</v>
      </c>
      <c r="CK31" s="1237">
        <f>CK10+CK14</f>
        <v>476.7</v>
      </c>
      <c r="CL31" s="1237">
        <f>CL10+CL14</f>
        <v>527.70000000000005</v>
      </c>
      <c r="CM31" s="1252">
        <f>SUM(CI31:CL31)</f>
        <v>1951.8</v>
      </c>
      <c r="CN31" s="1238"/>
      <c r="CO31" s="1238">
        <f>CO10+CO14</f>
        <v>528.29999999999995</v>
      </c>
      <c r="CP31" s="1238">
        <f>CP10+CP14</f>
        <v>546.29999999999995</v>
      </c>
      <c r="CQ31" s="1238">
        <f>CQ10+CQ14</f>
        <v>548.59999999999991</v>
      </c>
      <c r="CR31" s="1238">
        <f>CR10+CR14</f>
        <v>592.4</v>
      </c>
      <c r="CS31" s="1252">
        <f>SUM(CO31:CR31)</f>
        <v>2215.6</v>
      </c>
      <c r="CT31" s="1238"/>
      <c r="CU31" s="1237">
        <f>CU10+CU14</f>
        <v>588.6</v>
      </c>
      <c r="CV31" s="1238">
        <f>CV10+CV14</f>
        <v>569</v>
      </c>
      <c r="CW31" s="1238">
        <f>CW10+CW14</f>
        <v>548</v>
      </c>
      <c r="CX31" s="1238">
        <f>CX10+CX14</f>
        <v>607</v>
      </c>
      <c r="CY31" s="1252">
        <f>SUM(CU31:CX31)</f>
        <v>2312.6</v>
      </c>
      <c r="CZ31" s="1238"/>
      <c r="DA31" s="1238">
        <f>DA10+DA14</f>
        <v>570.4</v>
      </c>
      <c r="DB31" s="1238">
        <f>DB10+DB14</f>
        <v>561.70000000000005</v>
      </c>
      <c r="DC31" s="1238">
        <f>DC10+DC14</f>
        <v>555.20000000000005</v>
      </c>
      <c r="DD31" s="1238">
        <f>DD10+DD14</f>
        <v>586.59999999999991</v>
      </c>
      <c r="DE31" s="1252">
        <f>SUM(DA31:DD31)</f>
        <v>2273.8999999999996</v>
      </c>
      <c r="DF31" s="1238"/>
      <c r="DG31" s="1238">
        <f>DG10+DG14</f>
        <v>592.5</v>
      </c>
      <c r="DH31" s="1238">
        <f>DH10+DH14</f>
        <v>637.09999999999991</v>
      </c>
      <c r="DI31" s="1238">
        <f>DI10+DI14</f>
        <v>618</v>
      </c>
      <c r="DJ31" s="1238">
        <f>DJ10+DJ14</f>
        <v>664.6</v>
      </c>
      <c r="DK31" s="1252">
        <f>SUM(DG31:DJ31)</f>
        <v>2512.1999999999998</v>
      </c>
      <c r="DL31" s="1238"/>
      <c r="DM31" s="1238">
        <f>DM10+DM14</f>
        <v>646.5</v>
      </c>
      <c r="DN31" s="1238">
        <f>DN10+DN14</f>
        <v>609.5</v>
      </c>
      <c r="DO31" s="1238">
        <f>DO10+DO14</f>
        <v>599.79999999999995</v>
      </c>
      <c r="DP31" s="1238">
        <f>DP10+DP14</f>
        <v>648.29999999999995</v>
      </c>
      <c r="DQ31" s="1252">
        <f>SUM(DM31:DP31)</f>
        <v>2504.1</v>
      </c>
      <c r="DR31" s="1238"/>
      <c r="DS31" s="1238">
        <f>DS10+DS14</f>
        <v>511.9</v>
      </c>
      <c r="DT31" s="1238">
        <f>DT10+DT14</f>
        <v>550.70000000000005</v>
      </c>
      <c r="DU31" s="1238">
        <f>DU10+DU14</f>
        <v>489.6</v>
      </c>
      <c r="DV31" s="1238">
        <f>DV10+DV14</f>
        <v>478.8</v>
      </c>
      <c r="DW31" s="1252">
        <f>SUM(DS31:DV31)</f>
        <v>2030.9999999999998</v>
      </c>
      <c r="DX31" s="1238"/>
      <c r="DY31" s="1237">
        <f>DY28+DY24</f>
        <v>485.7</v>
      </c>
      <c r="DZ31" s="1237">
        <f>DZ28+DZ24</f>
        <v>501.79999999999995</v>
      </c>
      <c r="EA31" s="1237">
        <f>EA28+EA24</f>
        <v>515.29999999999995</v>
      </c>
      <c r="EB31" s="1237">
        <f>EB28+EB24</f>
        <v>553.79999999999995</v>
      </c>
      <c r="EC31" s="1252">
        <f>SUM(DY31:EB31)</f>
        <v>2056.6</v>
      </c>
      <c r="ED31" s="1238"/>
      <c r="EE31" s="1237">
        <f>EE28+EE24</f>
        <v>556.62352702538089</v>
      </c>
      <c r="EF31" s="1237">
        <f>EF28+EF24</f>
        <v>594.5596957874526</v>
      </c>
      <c r="EG31" s="1237">
        <f>EG28+EG24</f>
        <v>635.71411784360419</v>
      </c>
      <c r="EH31" s="1237">
        <f>EH28+EH24</f>
        <v>712.68330321436713</v>
      </c>
      <c r="EI31" s="1252">
        <f>SUM(EE31:EH31)</f>
        <v>2499.580643870805</v>
      </c>
      <c r="EJ31" s="1238"/>
      <c r="EK31" s="1237">
        <f>EK28+EK24</f>
        <v>690.62392097271027</v>
      </c>
      <c r="EL31" s="1237">
        <f>EL28+EL24</f>
        <v>732.82269561434066</v>
      </c>
      <c r="EM31" s="1237">
        <f>EM28+EM24</f>
        <v>787.06764224805113</v>
      </c>
      <c r="EN31" s="1237">
        <f>EN28+EN24</f>
        <v>895.15295534300367</v>
      </c>
      <c r="EO31" s="1252">
        <f>SUM(EK31:EN31)</f>
        <v>3105.6672141781055</v>
      </c>
      <c r="EP31" s="1238"/>
      <c r="EQ31" s="1237">
        <f>EQ28+EQ24</f>
        <v>768.10415970321458</v>
      </c>
      <c r="ER31" s="1237">
        <f>ER28+ER24</f>
        <v>865.94213420532878</v>
      </c>
      <c r="ES31" s="1237">
        <f>ES28+ES24</f>
        <v>967.27946827266896</v>
      </c>
      <c r="ET31" s="1237">
        <f>ET28+ET24</f>
        <v>1135.5718234001984</v>
      </c>
      <c r="EU31" s="1252">
        <f>SUM(EQ31:ET31)</f>
        <v>3736.8975855814106</v>
      </c>
      <c r="EV31" s="194"/>
    </row>
    <row r="32" spans="1:162">
      <c r="A32" s="54" t="s">
        <v>4583</v>
      </c>
      <c r="B32" s="1209"/>
      <c r="C32" s="226"/>
      <c r="D32" s="226"/>
      <c r="E32" s="226"/>
      <c r="F32" s="226"/>
      <c r="G32" s="226"/>
      <c r="H32" s="113"/>
      <c r="I32" s="291">
        <f>I31/C31-1</f>
        <v>7.1166544387380792E-2</v>
      </c>
      <c r="J32" s="291">
        <f>J31/D31-1</f>
        <v>0.46775446775446783</v>
      </c>
      <c r="K32" s="291">
        <f>K31/E31-1</f>
        <v>0.72041166380789035</v>
      </c>
      <c r="L32" s="291">
        <f>L31/F31-1</f>
        <v>0.90521739130434775</v>
      </c>
      <c r="M32" s="331"/>
      <c r="N32" s="113"/>
      <c r="O32" s="291">
        <f>O31/I31-1</f>
        <v>0.56083561643835611</v>
      </c>
      <c r="P32" s="291">
        <f>P31/J31-1</f>
        <v>0.22999470619375328</v>
      </c>
      <c r="Q32" s="291">
        <f>Q31/K31-1</f>
        <v>4.8379860418743759E-2</v>
      </c>
      <c r="R32" s="291">
        <f>R31/L31-1</f>
        <v>1.9164764947512625E-2</v>
      </c>
      <c r="S32" s="779" t="s">
        <v>6442</v>
      </c>
      <c r="T32" s="113"/>
      <c r="U32" s="291">
        <f>IF(O31&lt;&gt;"",U31/O31-1,"-")</f>
        <v>-0.11067570058188014</v>
      </c>
      <c r="V32" s="291">
        <f>IF(P31&lt;&gt;"",V31/P31-1,"-")</f>
        <v>-9.3670646363612886E-2</v>
      </c>
      <c r="W32" s="291">
        <f>IF(Q31&lt;&gt;"",W31/Q31-1,"-")</f>
        <v>-1.0337367157224109E-2</v>
      </c>
      <c r="X32" s="291">
        <f>IF(R31&lt;&gt;"",X31/R31-1,"-")</f>
        <v>1.5127698735775796E-2</v>
      </c>
      <c r="Y32" s="291">
        <f>IF(S31&lt;&gt;"",Y31/S31-1,"-")</f>
        <v>-5.1218797268390404E-2</v>
      </c>
      <c r="Z32" s="113"/>
      <c r="AA32" s="291">
        <f>IF(U31&lt;&gt;"",AA31/U31-1,"-")</f>
        <v>0.14111249821129856</v>
      </c>
      <c r="AB32" s="291">
        <f>IF(V31&lt;&gt;"",AB31/V31-1,"-")</f>
        <v>0.10570229174383372</v>
      </c>
      <c r="AC32" s="291">
        <f>IF(W31&lt;&gt;"",AC31/W31-1,"-")</f>
        <v>0.10111900677938412</v>
      </c>
      <c r="AD32" s="291">
        <f>IF(X31&lt;&gt;"",AD31/X31-1,"-")</f>
        <v>7.2217295976212847E-2</v>
      </c>
      <c r="AE32" s="291">
        <f>IF(Y31&lt;&gt;"",AE31/Y31-1,"-")</f>
        <v>0.1040892587827853</v>
      </c>
      <c r="AF32" s="113"/>
      <c r="AG32" s="291">
        <f>IF(AA31&lt;&gt;"",AG31/AA31-1,"-")</f>
        <v>6.2618103511647094E-2</v>
      </c>
      <c r="AH32" s="291">
        <f>IF(AB31&lt;&gt;"",AH31/AB31-1,"-")</f>
        <v>-6.3605636464368898E-3</v>
      </c>
      <c r="AI32" s="291">
        <f>IF(AC31&lt;&gt;"",AI31/AC31-1,"-")</f>
        <v>-5.593929582811541E-2</v>
      </c>
      <c r="AJ32" s="291">
        <f>IF(AD31&lt;&gt;"",AJ31/AD31-1,"-")</f>
        <v>4.520524836759976E-2</v>
      </c>
      <c r="AK32" s="291">
        <f>IF(AE31&lt;&gt;"",AK31/AE31-1,"-")</f>
        <v>1.1926427176917498E-2</v>
      </c>
      <c r="AL32" s="113"/>
      <c r="AM32" s="291">
        <f>IF(AG31&lt;&gt;"",AM31/AG31-1,"-")</f>
        <v>-6.679010336127611E-2</v>
      </c>
      <c r="AN32" s="291">
        <f>IF(AH31&lt;&gt;"",AN31/AH31-1,"-")</f>
        <v>-8.6268153526970814E-2</v>
      </c>
      <c r="AO32" s="291">
        <f>IF(AI31&lt;&gt;"",AO31/AI31-1,"-")</f>
        <v>-0.12782576944586954</v>
      </c>
      <c r="AP32" s="291">
        <f>IF(AJ31&lt;&gt;"",AP31/AJ31-1,"-")</f>
        <v>-0.23035499185148445</v>
      </c>
      <c r="AQ32" s="291">
        <f>IF(AK31&lt;&gt;"",AQ31/AK31-1,"-")</f>
        <v>-0.12933737629170095</v>
      </c>
      <c r="AR32" s="113"/>
      <c r="AS32" s="291">
        <f>IF(AM31&lt;&gt;"",AS31/AM31-1,"-")</f>
        <v>-8.0936828197290311E-2</v>
      </c>
      <c r="AT32" s="291">
        <f>IF(AN31&lt;&gt;"",AT31/AN31-1,"-")</f>
        <v>1.4380253641184115E-3</v>
      </c>
      <c r="AU32" s="291">
        <f>IF(AO31&lt;&gt;"",AU31/AO31-1,"-")</f>
        <v>0.23932570574612755</v>
      </c>
      <c r="AV32" s="291">
        <f>IF(AP31&lt;&gt;"",AV31/AP31-1,"-")</f>
        <v>0.51041346999734061</v>
      </c>
      <c r="AW32" s="291">
        <f>IF(AQ31&lt;&gt;"",AW31/AQ31-1,"-")</f>
        <v>0.15358357223814934</v>
      </c>
      <c r="AX32" s="113"/>
      <c r="AY32" s="331">
        <f>IF(AS31&lt;&gt;"",AY31/AS31-1,"-")</f>
        <v>0.41910934401184274</v>
      </c>
      <c r="AZ32" s="331">
        <f>IF(AT31&lt;&gt;"",AZ31/AT31-1,"-")</f>
        <v>0.32637396377034089</v>
      </c>
      <c r="BA32" s="331">
        <f>IF(AU31&lt;&gt;"",BA31/AU31-1,"-")</f>
        <v>0.28879424617937088</v>
      </c>
      <c r="BB32" s="816">
        <f>IF(AV31&lt;&gt;"",BB31/AV31-1,"-")</f>
        <v>0.21093088618739597</v>
      </c>
      <c r="BC32" s="331">
        <f>IF(AW31&lt;&gt;"",BC31/AW31-1,"-")</f>
        <v>0.30185374137150167</v>
      </c>
      <c r="BD32" s="113"/>
      <c r="BE32" s="331">
        <f>IF(AY31&lt;&gt;"",BE31/AY31-1,"-")</f>
        <v>0.20060180541624861</v>
      </c>
      <c r="BF32" s="331">
        <f>BF31/AZ31-1</f>
        <v>0.34188034188034155</v>
      </c>
      <c r="BG32" s="331">
        <f>BG31/BA31-1</f>
        <v>0.26575978765759767</v>
      </c>
      <c r="BH32" s="816">
        <f>BH31/BB31-1</f>
        <v>0.1739373601789711</v>
      </c>
      <c r="BI32" s="331">
        <f>BI31/BC31-1</f>
        <v>0.24077810961336654</v>
      </c>
      <c r="BJ32" s="113"/>
      <c r="BK32" s="331">
        <f>BK31/BE31-1</f>
        <v>0.2141464773043722</v>
      </c>
      <c r="BL32" s="331">
        <f>BL31/BF31-1</f>
        <v>0.19320594479830167</v>
      </c>
      <c r="BM32" s="331">
        <f>BM31/BG31-1</f>
        <v>0.19737876802096999</v>
      </c>
      <c r="BN32" s="1210">
        <f>BN31/BH31-1</f>
        <v>0.18484992853739857</v>
      </c>
      <c r="BO32" s="1171">
        <f>BO31/BI31-1</f>
        <v>0.19685141816289375</v>
      </c>
      <c r="BP32" s="1701"/>
      <c r="BQ32" s="816">
        <f>BQ31/BK31-1</f>
        <v>0.16651376146788999</v>
      </c>
      <c r="BR32" s="816">
        <f>BR31/BL31-1</f>
        <v>0.16970640569395035</v>
      </c>
      <c r="BS32" s="816">
        <f>BS31/BM31-1</f>
        <v>0.17863397548161108</v>
      </c>
      <c r="BT32" s="816">
        <f>BT31/BN31-1</f>
        <v>0.20446320868516299</v>
      </c>
      <c r="BU32" s="1171">
        <f>BU31/BO31-1</f>
        <v>0.1805631046852918</v>
      </c>
      <c r="BV32" s="1701"/>
      <c r="BW32" s="816">
        <f>BW31/BQ31-1</f>
        <v>0.17734958710184801</v>
      </c>
      <c r="BX32" s="816">
        <f>BX31/BR31-1</f>
        <v>0.17798060467769528</v>
      </c>
      <c r="BY32" s="816">
        <f>BY31/BS31-1</f>
        <v>0.1276002971768202</v>
      </c>
      <c r="BZ32" s="816">
        <f>BZ31/BT31-1</f>
        <v>-0.18244032715740277</v>
      </c>
      <c r="CA32" s="1171">
        <f>CA31/BU31-1</f>
        <v>6.5930018416206382E-2</v>
      </c>
      <c r="CB32" s="1701"/>
      <c r="CC32" s="816">
        <f>CC31/BW31-1</f>
        <v>-0.28891115564462255</v>
      </c>
      <c r="CD32" s="816">
        <f>CD31/BX31-1</f>
        <v>-0.33026634382566589</v>
      </c>
      <c r="CE32" s="816">
        <f>CE31/BY31-1</f>
        <v>-0.31329270301433043</v>
      </c>
      <c r="CF32" s="816">
        <f>CF31/BZ31-1</f>
        <v>-6.8803593303389143E-2</v>
      </c>
      <c r="CG32" s="1171">
        <f>CG31/CA31-1</f>
        <v>-0.25980476848652401</v>
      </c>
      <c r="CH32" s="1701"/>
      <c r="CI32" s="816">
        <f>CI31/CC31-1</f>
        <v>0.11460779708783475</v>
      </c>
      <c r="CJ32" s="816">
        <f>CJ31/CD31-1</f>
        <v>0.13955169920462751</v>
      </c>
      <c r="CK32" s="816">
        <f>CK31/CE31-1</f>
        <v>0.14343967378268174</v>
      </c>
      <c r="CL32" s="816">
        <f>CL31/CF31-1</f>
        <v>0.15698311773733842</v>
      </c>
      <c r="CM32" s="1171">
        <f>CM31/CG31-1</f>
        <v>0.13893913753865905</v>
      </c>
      <c r="CN32" s="113"/>
      <c r="CO32" s="816">
        <f>CO31/CI31-1</f>
        <v>0.11314791403286972</v>
      </c>
      <c r="CP32" s="816">
        <f>CP31/CJ31-1</f>
        <v>0.15545685279187826</v>
      </c>
      <c r="CQ32" s="816">
        <f>CQ31/CK31-1</f>
        <v>0.15082861338367937</v>
      </c>
      <c r="CR32" s="816">
        <f>CR31/CL31-1</f>
        <v>0.12260754216410819</v>
      </c>
      <c r="CS32" s="1171">
        <f>CS31/CM31-1</f>
        <v>0.13515729070601501</v>
      </c>
      <c r="CT32" s="1701"/>
      <c r="CU32" s="816">
        <f>CU31/CO31-1</f>
        <v>0.1141396933560479</v>
      </c>
      <c r="CV32" s="816">
        <f>CV31/CP31-1</f>
        <v>4.1552260662639728E-2</v>
      </c>
      <c r="CW32" s="816">
        <f>CW31/CQ31-1</f>
        <v>-1.0936930368208309E-3</v>
      </c>
      <c r="CX32" s="816">
        <f>CX31/CR31-1</f>
        <v>2.4645509790681919E-2</v>
      </c>
      <c r="CY32" s="1171">
        <f>CY31/CS31-1</f>
        <v>4.3780465788048284E-2</v>
      </c>
      <c r="CZ32" s="1701"/>
      <c r="DA32" s="816">
        <f>DA31/CU31-1</f>
        <v>-3.0920829085966828E-2</v>
      </c>
      <c r="DB32" s="816">
        <f>DB31/CV31-1</f>
        <v>-1.2829525483303961E-2</v>
      </c>
      <c r="DC32" s="816">
        <f>DC31/CW31-1</f>
        <v>1.3138686131386912E-2</v>
      </c>
      <c r="DD32" s="816">
        <f>DD31/CX31-1</f>
        <v>-3.3607907742998488E-2</v>
      </c>
      <c r="DE32" s="1171">
        <f>DE31/CY31-1</f>
        <v>-1.673441148490884E-2</v>
      </c>
      <c r="DF32" s="1701"/>
      <c r="DG32" s="816">
        <f>DG31/DA31-1</f>
        <v>3.8744740532959288E-2</v>
      </c>
      <c r="DH32" s="816">
        <f>DH31/DB31-1</f>
        <v>0.13423535695210931</v>
      </c>
      <c r="DI32" s="816">
        <f>DI31/DC31-1</f>
        <v>0.11311239193083567</v>
      </c>
      <c r="DJ32" s="816">
        <f>DJ31/DD31-1</f>
        <v>0.13296965564268692</v>
      </c>
      <c r="DK32" s="1171">
        <f>DK31/DE31-1</f>
        <v>0.10479792427107615</v>
      </c>
      <c r="DL32" s="1701"/>
      <c r="DM32" s="816">
        <f>DM31/DG31-1</f>
        <v>9.1139240506329156E-2</v>
      </c>
      <c r="DN32" s="816">
        <f>DN31/DH31-1</f>
        <v>-4.3321299638989008E-2</v>
      </c>
      <c r="DO32" s="816">
        <f>DO31/DI31-1</f>
        <v>-2.9449838187702304E-2</v>
      </c>
      <c r="DP32" s="816">
        <f>DP31/DJ31-1</f>
        <v>-2.4526030695155132E-2</v>
      </c>
      <c r="DQ32" s="1171">
        <f>DQ31/DK31-1</f>
        <v>-3.224265583950281E-3</v>
      </c>
      <c r="DR32" s="1701"/>
      <c r="DS32" s="816">
        <f>DS31/DM31-1</f>
        <v>-0.20819798917246712</v>
      </c>
      <c r="DT32" s="816">
        <f>DT31/DN31-1</f>
        <v>-9.6472518457752177E-2</v>
      </c>
      <c r="DU32" s="816">
        <f>DU31/DO31-1</f>
        <v>-0.1837279093031009</v>
      </c>
      <c r="DV32" s="816">
        <f>DV31/DP31-1</f>
        <v>-0.26145303100416462</v>
      </c>
      <c r="DW32" s="1171">
        <f>DW31/DQ31-1</f>
        <v>-0.18893015454654372</v>
      </c>
      <c r="DX32" s="1701"/>
      <c r="DY32" s="816">
        <f>DY31/DS31-1</f>
        <v>-5.1181871459269335E-2</v>
      </c>
      <c r="DZ32" s="816">
        <f>DZ31/DT31-1</f>
        <v>-8.8796077719266564E-2</v>
      </c>
      <c r="EA32" s="816">
        <f>EA31/DU31-1</f>
        <v>5.2491830065359402E-2</v>
      </c>
      <c r="EB32" s="816">
        <f>EB31/DV31-1</f>
        <v>0.15664160401002492</v>
      </c>
      <c r="EC32" s="1171">
        <f>EC31/DW31-1</f>
        <v>1.2604628261940087E-2</v>
      </c>
      <c r="ED32" s="1701"/>
      <c r="EE32" s="816">
        <f>EE31/DY31-1</f>
        <v>0.14602332103228521</v>
      </c>
      <c r="EF32" s="816">
        <f>EF31/DZ31-1</f>
        <v>0.18485391747200608</v>
      </c>
      <c r="EG32" s="816">
        <f>EG31/EA31-1</f>
        <v>0.23367769812459582</v>
      </c>
      <c r="EH32" s="816">
        <f>EH31/EB31-1</f>
        <v>0.28689653884862265</v>
      </c>
      <c r="EI32" s="1171">
        <f>EI31/EC31-1</f>
        <v>0.21539465324847096</v>
      </c>
      <c r="EJ32" s="1701"/>
      <c r="EK32" s="816">
        <f>EK31/EE31-1</f>
        <v>0.24073792687749473</v>
      </c>
      <c r="EL32" s="816">
        <f>EL31/EF31-1</f>
        <v>0.23254687595964341</v>
      </c>
      <c r="EM32" s="816">
        <f>EM31/EG31-1</f>
        <v>0.23808425856240345</v>
      </c>
      <c r="EN32" s="816">
        <f>EN31/EH31-1</f>
        <v>0.2560318886462698</v>
      </c>
      <c r="EO32" s="1171">
        <f>EO31/EI31-1</f>
        <v>0.24247530152446917</v>
      </c>
      <c r="EP32" s="1701"/>
      <c r="EQ32" s="816">
        <f>EQ31/EK31-1</f>
        <v>0.11218875625011249</v>
      </c>
      <c r="ER32" s="816">
        <f>ER31/EL31-1</f>
        <v>0.18165299654016764</v>
      </c>
      <c r="ES32" s="816">
        <f>ES31/EM31-1</f>
        <v>0.22896612228891833</v>
      </c>
      <c r="ET32" s="816">
        <f>ET31/EN31-1</f>
        <v>0.26857853355918526</v>
      </c>
      <c r="EU32" s="1171">
        <f>EU31/EO31-1</f>
        <v>0.20325113023107866</v>
      </c>
      <c r="EV32" s="90"/>
    </row>
    <row r="33" spans="1:175" ht="13.5" thickBot="1">
      <c r="A33" s="55" t="s">
        <v>4584</v>
      </c>
      <c r="B33" s="1231"/>
      <c r="C33" s="407"/>
      <c r="D33" s="407"/>
      <c r="E33" s="1239"/>
      <c r="F33" s="1239"/>
      <c r="G33" s="407"/>
      <c r="H33" s="406"/>
      <c r="I33" s="1241">
        <f>IF(F31&lt;&gt;"",I31/F31-1,"-")</f>
        <v>0.26956521739130435</v>
      </c>
      <c r="J33" s="1241">
        <f>IF(I31&lt;&gt;"",J31/I31-1,"-")</f>
        <v>0.29383561643835621</v>
      </c>
      <c r="K33" s="1241">
        <f>IF(J31&lt;&gt;"",K31/J31-1,"-")</f>
        <v>6.1937533086289021E-2</v>
      </c>
      <c r="L33" s="1241">
        <f>IF(K31&lt;&gt;"",L31/K31-1,"-")</f>
        <v>9.2223330009970184E-2</v>
      </c>
      <c r="M33" s="407"/>
      <c r="N33" s="406"/>
      <c r="O33" s="1241">
        <f>IF(L31&lt;&gt;"",O31/L31-1,"-")</f>
        <v>4.008215426745787E-2</v>
      </c>
      <c r="P33" s="1241">
        <f>IF(O31&lt;&gt;"",P31/O31-1,"-")</f>
        <v>1.9589085579378773E-2</v>
      </c>
      <c r="Q33" s="1241">
        <f>IF(P31&lt;&gt;"",Q31/P31-1,"-")</f>
        <v>-9.4862833877062624E-2</v>
      </c>
      <c r="R33" s="1241">
        <f>IF(Q31&lt;&gt;"",R31/Q31-1,"-")</f>
        <v>6.1786453008725317E-2</v>
      </c>
      <c r="S33" s="1240" t="s">
        <v>6442</v>
      </c>
      <c r="T33" s="406"/>
      <c r="U33" s="1241">
        <f>IF(R31&lt;&gt;"",U31/R31-1,"-")</f>
        <v>-9.242316356096536E-2</v>
      </c>
      <c r="V33" s="1241">
        <f>IF(U31&lt;&gt;"",V31/U31-1,"-")</f>
        <v>3.9084974415402929E-2</v>
      </c>
      <c r="W33" s="1241">
        <f>IF(V31&lt;&gt;"",W31/V31-1,"-")</f>
        <v>-1.1639171439154272E-2</v>
      </c>
      <c r="X33" s="1241">
        <f>IF(W31&lt;&gt;"",X31/W31-1,"-")</f>
        <v>8.9107341049627253E-2</v>
      </c>
      <c r="Y33" s="1241" t="s">
        <v>6442</v>
      </c>
      <c r="Z33" s="406"/>
      <c r="AA33" s="1241">
        <f>IF(X31&lt;&gt;"",AA31/X31-1,"-")</f>
        <v>2.0213784371594823E-2</v>
      </c>
      <c r="AB33" s="1241">
        <f>IF(AA31&lt;&gt;"",AB31/AA31-1,"-")</f>
        <v>6.8408148439629279E-3</v>
      </c>
      <c r="AC33" s="1241">
        <f>IF(AB31&lt;&gt;"",AC31/AB31-1,"-")</f>
        <v>-1.5736060229942339E-2</v>
      </c>
      <c r="AD33" s="1241">
        <f>IF(AC31&lt;&gt;"",AD31/AC31-1,"-")</f>
        <v>6.052090742090166E-2</v>
      </c>
      <c r="AE33" s="1241" t="s">
        <v>6442</v>
      </c>
      <c r="AF33" s="406"/>
      <c r="AG33" s="1241">
        <f>IF(AD31&lt;&gt;"",AG31/AD31-1,"-")</f>
        <v>1.1080161450254478E-2</v>
      </c>
      <c r="AH33" s="1241">
        <f>IF(AG31&lt;&gt;"",AH31/AG31-1,"-")</f>
        <v>-5.8517131928054078E-2</v>
      </c>
      <c r="AI33" s="1241">
        <f>IF(AH31&lt;&gt;"",AI31/AH31-1,"-")</f>
        <v>-6.4846991701244749E-2</v>
      </c>
      <c r="AJ33" s="1241">
        <f>IF(AI31&lt;&gt;"",AJ31/AI31-1,"-")</f>
        <v>0.17414273631081967</v>
      </c>
      <c r="AK33" s="1241" t="s">
        <v>6442</v>
      </c>
      <c r="AL33" s="406"/>
      <c r="AM33" s="1241">
        <f>IF(AJ31&lt;&gt;"",AM31/AJ31-1,"-")</f>
        <v>-9.725863467094964E-2</v>
      </c>
      <c r="AN33" s="1241">
        <f>IF(AM31&lt;&gt;"",AN31/AM31-1,"-")</f>
        <v>-7.8167856379754652E-2</v>
      </c>
      <c r="AO33" s="1241">
        <f>IF(AN31&lt;&gt;"",AO31/AN31-1,"-")</f>
        <v>-0.10737886764963278</v>
      </c>
      <c r="AP33" s="1241">
        <f>IF(AO31&lt;&gt;"",AP31/AO31-1,"-")</f>
        <v>3.611533590177074E-2</v>
      </c>
      <c r="AQ33" s="1241" t="s">
        <v>6442</v>
      </c>
      <c r="AR33" s="406"/>
      <c r="AS33" s="1241">
        <f>IF(AP31&lt;&gt;"",AS31/AP31-1,"-")</f>
        <v>7.7998731561611079E-2</v>
      </c>
      <c r="AT33" s="1241">
        <f>IF(AS31&lt;&gt;"",AT31/AS31-1,"-")</f>
        <v>4.4551777800974079E-3</v>
      </c>
      <c r="AU33" s="1241">
        <f>IF(AT31&lt;&gt;"",AU31/AT31-1,"-")</f>
        <v>0.10465978602300385</v>
      </c>
      <c r="AV33" s="1241">
        <f>IF(AU31&lt;&gt;"",AV31/AU31-1,"-")</f>
        <v>0.26275324764177199</v>
      </c>
      <c r="AW33" s="1241" t="s">
        <v>6442</v>
      </c>
      <c r="AX33" s="406"/>
      <c r="AY33" s="1241">
        <f>IF(AV31&lt;&gt;"",AY31/AV31-1,"-")</f>
        <v>1.2833971081236628E-2</v>
      </c>
      <c r="AZ33" s="1241">
        <f>IF(AY31&lt;&gt;"",AZ31/AY31-1,"-")</f>
        <v>-6.1183550651955909E-2</v>
      </c>
      <c r="BA33" s="1242">
        <f>IF(AZ31&lt;&gt;"",BA31/AZ31-1,"-")</f>
        <v>7.3361823361823397E-2</v>
      </c>
      <c r="BB33" s="1242">
        <f>IF(BA31&lt;&gt;"",BB31/BA31-1,"-")</f>
        <v>0.18646317186463146</v>
      </c>
      <c r="BC33" s="1241" t="s">
        <v>6442</v>
      </c>
      <c r="BD33" s="406"/>
      <c r="BE33" s="1241">
        <f>IF(BB31&lt;&gt;"",BE31/BB31-1,"-")</f>
        <v>4.1946308724831738E-3</v>
      </c>
      <c r="BF33" s="1241">
        <f>IF(BE31&lt;&gt;"",BF31/BE31-1,"-")</f>
        <v>4.9289891395154495E-2</v>
      </c>
      <c r="BG33" s="1242">
        <f>IF(BF31&lt;&gt;"",BG31/BF31-1,"-")</f>
        <v>1.247346072186839E-2</v>
      </c>
      <c r="BH33" s="1242">
        <f>IF(BG31&lt;&gt;"",BH31/BG31-1,"-")</f>
        <v>0.10039318479685466</v>
      </c>
      <c r="BI33" s="1241" t="s">
        <v>6442</v>
      </c>
      <c r="BJ33" s="406"/>
      <c r="BK33" s="1241">
        <f>IF(BH31&lt;&gt;"",BK31/BH31-1,"-")</f>
        <v>3.8589804668889949E-2</v>
      </c>
      <c r="BL33" s="1241">
        <f>IF(BK31&lt;&gt;"",BL31/BK31-1,"-")</f>
        <v>3.1192660550458662E-2</v>
      </c>
      <c r="BM33" s="1242">
        <f>IF(BL31&lt;&gt;"",BM31/BL31-1,"-")</f>
        <v>1.6014234875444844E-2</v>
      </c>
      <c r="BN33" s="1242">
        <f>IF(BM31&lt;&gt;"",BN31/BM31-1,"-")</f>
        <v>8.8879159369527061E-2</v>
      </c>
      <c r="BO33" s="1702" t="s">
        <v>6442</v>
      </c>
      <c r="BP33" s="1703"/>
      <c r="BQ33" s="1365">
        <f>IF(BN31&lt;&gt;"",BQ31/BN31-1,"-")</f>
        <v>2.2517088862082923E-2</v>
      </c>
      <c r="BR33" s="1365">
        <f>IF(BQ31&lt;&gt;"",BR31/BQ31-1,"-")</f>
        <v>3.4014942980731488E-2</v>
      </c>
      <c r="BS33" s="1365">
        <f>IF(BR31&lt;&gt;"",BS31/BR31-1,"-")</f>
        <v>2.3768777334093771E-2</v>
      </c>
      <c r="BT33" s="1365">
        <f>IF(BS31&lt;&gt;"",BT31/BS31-1,"-")</f>
        <v>0.11274145616641906</v>
      </c>
      <c r="BU33" s="1702" t="s">
        <v>6442</v>
      </c>
      <c r="BV33" s="1703"/>
      <c r="BW33" s="1365">
        <f>IF(BT31&lt;&gt;"",BW31/BT31-1,"-")</f>
        <v>-5.0075112669012434E-4</v>
      </c>
      <c r="BX33" s="1365">
        <f>IF(BW31&lt;&gt;"",BX31/BW31-1,"-")</f>
        <v>3.4569138276553169E-2</v>
      </c>
      <c r="BY33" s="1365">
        <f>IF(BX31&lt;&gt;"",BY31/BX31-1,"-")</f>
        <v>-2.001614205004032E-2</v>
      </c>
      <c r="BZ33" s="1365">
        <f>IF(BY31&lt;&gt;"",BZ31/BY31-1,"-")</f>
        <v>-0.19321363860978424</v>
      </c>
      <c r="CA33" s="1702" t="s">
        <v>6442</v>
      </c>
      <c r="CB33" s="1703"/>
      <c r="CC33" s="1365">
        <f>IF(BZ31&lt;&gt;"",CC31/BZ31-1,"-")</f>
        <v>-0.13066557778685184</v>
      </c>
      <c r="CD33" s="1365">
        <f>IF(CC31&lt;&gt;"",CD31/CC31-1,"-")</f>
        <v>-2.5598872710192566E-2</v>
      </c>
      <c r="CE33" s="1365">
        <f>IF(CD31&lt;&gt;"",CE31/CD31-1,"-")</f>
        <v>4.8204386599179916E-3</v>
      </c>
      <c r="CF33" s="1365">
        <f>IF(CE31&lt;&gt;"",CF31/CE31-1,"-")</f>
        <v>9.4027344686975489E-2</v>
      </c>
      <c r="CG33" s="1702" t="s">
        <v>6442</v>
      </c>
      <c r="CH33" s="1703"/>
      <c r="CI33" s="1365">
        <f>IF(CF31&lt;&gt;"",CI31/CF31-1,"-")</f>
        <v>4.05612804209603E-2</v>
      </c>
      <c r="CJ33" s="1365">
        <f>IF(CI31&lt;&gt;"",CJ31/CI31-1,"-")</f>
        <v>-3.7926675094818174E-3</v>
      </c>
      <c r="CK33" s="1365">
        <f>IF(CJ31&lt;&gt;"",CK31/CJ31-1,"-")</f>
        <v>8.2487309644669882E-3</v>
      </c>
      <c r="CL33" s="1365">
        <f>IF(CK31&lt;&gt;"",CL31/CK31-1,"-")</f>
        <v>0.10698552548772833</v>
      </c>
      <c r="CM33" s="1702" t="s">
        <v>6442</v>
      </c>
      <c r="CN33" s="406"/>
      <c r="CO33" s="1365">
        <f>IF(CL31&lt;&gt;"",CO31/CL31-1,"-")</f>
        <v>1.1370096645819672E-3</v>
      </c>
      <c r="CP33" s="1365">
        <f>IF(CO31&lt;&gt;"",CP31/CO31-1,"-")</f>
        <v>3.4071550255536653E-2</v>
      </c>
      <c r="CQ33" s="1365">
        <f>IF(CP31&lt;&gt;"",CQ31/CP31-1,"-")</f>
        <v>4.2101409481969387E-3</v>
      </c>
      <c r="CR33" s="1365">
        <f>IF(CQ31&lt;&gt;"",CR31/CQ31-1,"-")</f>
        <v>7.9839591687933087E-2</v>
      </c>
      <c r="CS33" s="1702" t="s">
        <v>6442</v>
      </c>
      <c r="CT33" s="1703"/>
      <c r="CU33" s="1365">
        <f>IF(CR31&lt;&gt;"",CU31/CR31-1,"-")</f>
        <v>-6.4145847400404188E-3</v>
      </c>
      <c r="CV33" s="1365">
        <f>IF(CU31&lt;&gt;"",CV31/CU31-1,"-")</f>
        <v>-3.3299354400271874E-2</v>
      </c>
      <c r="CW33" s="1365">
        <f>IF(CV31&lt;&gt;"",CW31/CV31-1,"-")</f>
        <v>-3.690685413005268E-2</v>
      </c>
      <c r="CX33" s="1365">
        <f>IF(CW31&lt;&gt;"",CX31/CW31-1,"-")</f>
        <v>0.10766423357664223</v>
      </c>
      <c r="CY33" s="1702" t="s">
        <v>6442</v>
      </c>
      <c r="CZ33" s="1703"/>
      <c r="DA33" s="1365">
        <f>IF(CX31&lt;&gt;"",DA31/CX31-1,"-")</f>
        <v>-6.0296540362438256E-2</v>
      </c>
      <c r="DB33" s="1365">
        <f>IF(DA31&lt;&gt;"",DB31/DA31-1,"-")</f>
        <v>-1.5252454417952199E-2</v>
      </c>
      <c r="DC33" s="1365">
        <f>IF(DB31&lt;&gt;"",DC31/DB31-1,"-")</f>
        <v>-1.1572013530354308E-2</v>
      </c>
      <c r="DD33" s="1365">
        <f>IF(DC31&lt;&gt;"",DD31/DC31-1,"-")</f>
        <v>5.6556195965417722E-2</v>
      </c>
      <c r="DE33" s="1702" t="s">
        <v>6442</v>
      </c>
      <c r="DF33" s="1703"/>
      <c r="DG33" s="1365">
        <f>IF(DD31&lt;&gt;"",DG31/DD31-1,"-")</f>
        <v>1.0057961131946902E-2</v>
      </c>
      <c r="DH33" s="1365">
        <f>IF(DG31&lt;&gt;"",DH31/DG31-1,"-")</f>
        <v>7.527426160337547E-2</v>
      </c>
      <c r="DI33" s="1365">
        <f>IF(DH31&lt;&gt;"",DI31/DH31-1,"-")</f>
        <v>-2.9979595040025009E-2</v>
      </c>
      <c r="DJ33" s="1365">
        <f>IF(DI31&lt;&gt;"",DJ31/DI31-1,"-")</f>
        <v>7.5404530744336506E-2</v>
      </c>
      <c r="DK33" s="1702" t="s">
        <v>6442</v>
      </c>
      <c r="DL33" s="1703"/>
      <c r="DM33" s="1365">
        <f>IF(DJ31&lt;&gt;"",DM31/DJ31-1,"-")</f>
        <v>-2.7234426722840821E-2</v>
      </c>
      <c r="DN33" s="1365">
        <f>IF(DM31&lt;&gt;"",DN31/DM31-1,"-")</f>
        <v>-5.7231245166279976E-2</v>
      </c>
      <c r="DO33" s="1365">
        <f>IF(DN31&lt;&gt;"",DO31/DN31-1,"-")</f>
        <v>-1.5914684167350313E-2</v>
      </c>
      <c r="DP33" s="1365">
        <f>IF(DO31&lt;&gt;"",DP31/DO31-1,"-")</f>
        <v>8.0860286762254097E-2</v>
      </c>
      <c r="DQ33" s="1702" t="s">
        <v>6442</v>
      </c>
      <c r="DR33" s="1703"/>
      <c r="DS33" s="1365">
        <f>IF(DP31&lt;&gt;"",DS31/DP31-1,"-")</f>
        <v>-0.21039642140984105</v>
      </c>
      <c r="DT33" s="1365">
        <f>IF(DS31&lt;&gt;"",DT31/DS31-1,"-")</f>
        <v>7.5796053916780792E-2</v>
      </c>
      <c r="DU33" s="1365">
        <f>IF(DT31&lt;&gt;"",DU31/DT31-1,"-")</f>
        <v>-0.11094970038133289</v>
      </c>
      <c r="DV33" s="1365">
        <f>IF(DU31&lt;&gt;"",DV31/DU31-1,"-")</f>
        <v>-2.2058823529411797E-2</v>
      </c>
      <c r="DW33" s="1702" t="s">
        <v>6442</v>
      </c>
      <c r="DX33" s="1703"/>
      <c r="DY33" s="1365">
        <f>IF(DV31&lt;&gt;"",DY31/DV31-1,"-")</f>
        <v>1.4411027568922208E-2</v>
      </c>
      <c r="DZ33" s="1365">
        <f>IF(DY31&lt;&gt;"",DZ31/DY31-1,"-")</f>
        <v>3.3148033765698859E-2</v>
      </c>
      <c r="EA33" s="1365">
        <f>IF(DZ31&lt;&gt;"",EA31/DZ31-1,"-")</f>
        <v>2.6903148664806809E-2</v>
      </c>
      <c r="EB33" s="1365">
        <f>IF(EA31&lt;&gt;"",EB31/EA31-1,"-")</f>
        <v>7.471375897535415E-2</v>
      </c>
      <c r="EC33" s="1702" t="s">
        <v>6442</v>
      </c>
      <c r="ED33" s="1703"/>
      <c r="EE33" s="1365">
        <f>IF(EB31&lt;&gt;"",EE31/EB31-1,"-")</f>
        <v>5.0984597785859176E-3</v>
      </c>
      <c r="EF33" s="1365">
        <f>IF(EE31&lt;&gt;"",EF31/EE31-1,"-")</f>
        <v>6.8154087853246503E-2</v>
      </c>
      <c r="EG33" s="1365">
        <f>IF(EF31&lt;&gt;"",EG31/EF31-1,"-")</f>
        <v>6.9218317938025464E-2</v>
      </c>
      <c r="EH33" s="1365">
        <f>IF(EG31&lt;&gt;"",EH31/EG31-1,"-")</f>
        <v>0.12107515502699373</v>
      </c>
      <c r="EI33" s="1702" t="s">
        <v>6442</v>
      </c>
      <c r="EJ33" s="1703"/>
      <c r="EK33" s="1365">
        <f>IF(EH31&lt;&gt;"",EK31/EH31-1,"-")</f>
        <v>-3.0952573383105642E-2</v>
      </c>
      <c r="EL33" s="1365">
        <f>IF(EK31&lt;&gt;"",EL31/EK31-1,"-")</f>
        <v>6.11023935895465E-2</v>
      </c>
      <c r="EM33" s="1365">
        <f>IF(EL31&lt;&gt;"",EM31/EL31-1,"-")</f>
        <v>7.402192502817595E-2</v>
      </c>
      <c r="EN33" s="1365">
        <f>IF(EM31&lt;&gt;"",EN31/EM31-1,"-")</f>
        <v>0.13732658705957634</v>
      </c>
      <c r="EO33" s="1702" t="s">
        <v>6442</v>
      </c>
      <c r="EP33" s="1703"/>
      <c r="EQ33" s="1365">
        <f>IF(EN31&lt;&gt;"",EQ31/EN31-1,"-")</f>
        <v>-0.14192970584687026</v>
      </c>
      <c r="ER33" s="1365">
        <f>IF(EQ31&lt;&gt;"",ER31/EQ31-1,"-")</f>
        <v>0.12737592065627856</v>
      </c>
      <c r="ES33" s="1365">
        <f>IF(ER31&lt;&gt;"",ES31/ER31-1,"-")</f>
        <v>0.11702552637692931</v>
      </c>
      <c r="ET33" s="1365">
        <f>IF(ES31&lt;&gt;"",ET31/ES31-1,"-")</f>
        <v>0.17398524485178979</v>
      </c>
      <c r="EU33" s="1702" t="s">
        <v>6442</v>
      </c>
      <c r="EV33" s="90"/>
    </row>
    <row r="34" spans="1:175" ht="6" customHeight="1">
      <c r="A34" s="25"/>
      <c r="B34" s="520"/>
      <c r="C34" s="104"/>
      <c r="D34" s="104"/>
      <c r="E34" s="159"/>
      <c r="F34" s="159"/>
      <c r="G34" s="104"/>
      <c r="H34" s="90"/>
      <c r="I34" s="159"/>
      <c r="J34" s="159"/>
      <c r="K34" s="159"/>
      <c r="L34" s="159"/>
      <c r="M34" s="104"/>
      <c r="N34" s="90"/>
      <c r="O34" s="339"/>
      <c r="P34" s="339"/>
      <c r="Q34" s="339"/>
      <c r="R34" s="339"/>
      <c r="S34" s="62"/>
      <c r="T34" s="90"/>
      <c r="U34" s="159"/>
      <c r="V34" s="159"/>
      <c r="W34" s="159"/>
      <c r="X34" s="159"/>
      <c r="Y34" s="104"/>
      <c r="Z34" s="90"/>
      <c r="AA34" s="159"/>
      <c r="AB34" s="159"/>
      <c r="AC34" s="159"/>
      <c r="AD34" s="159"/>
      <c r="AE34" s="104"/>
      <c r="AF34" s="90"/>
      <c r="AG34" s="159"/>
      <c r="AH34" s="159"/>
      <c r="AI34" s="159"/>
      <c r="AJ34" s="159"/>
      <c r="AK34" s="104"/>
      <c r="AL34" s="90"/>
      <c r="AM34" s="159"/>
      <c r="AN34" s="159"/>
      <c r="AO34" s="159"/>
      <c r="AP34" s="159"/>
      <c r="AQ34" s="104"/>
      <c r="AR34" s="90"/>
      <c r="AS34" s="159"/>
      <c r="AT34" s="159"/>
      <c r="AU34" s="159"/>
      <c r="AV34" s="159"/>
      <c r="AW34" s="104"/>
      <c r="AX34" s="90"/>
      <c r="AY34" s="159"/>
      <c r="AZ34" s="159"/>
      <c r="BA34" s="159"/>
      <c r="BB34" s="159"/>
      <c r="BC34" s="104"/>
      <c r="BD34" s="90"/>
      <c r="BE34" s="159"/>
      <c r="BF34" s="159"/>
      <c r="BG34" s="159"/>
      <c r="BH34" s="159"/>
      <c r="BI34" s="104"/>
      <c r="BJ34" s="90"/>
      <c r="BK34" s="159"/>
      <c r="BL34" s="159"/>
      <c r="BM34" s="159"/>
      <c r="BN34" s="159"/>
      <c r="BO34" s="1253"/>
      <c r="BP34" s="90"/>
      <c r="BQ34" s="159"/>
      <c r="BR34" s="159"/>
      <c r="BS34" s="159"/>
      <c r="BT34" s="159"/>
      <c r="BU34" s="1253"/>
      <c r="BV34" s="90"/>
      <c r="BW34" s="159"/>
      <c r="BX34" s="159"/>
      <c r="BY34" s="159"/>
      <c r="BZ34" s="159"/>
      <c r="CA34" s="1253"/>
      <c r="CB34" s="90"/>
      <c r="CC34" s="159"/>
      <c r="CD34" s="159"/>
      <c r="CE34" s="159"/>
      <c r="CF34" s="159"/>
      <c r="CG34" s="1253"/>
      <c r="CH34" s="90"/>
      <c r="CI34" s="159"/>
      <c r="CJ34" s="159"/>
      <c r="CK34" s="159"/>
      <c r="CL34" s="159"/>
      <c r="CM34" s="1253"/>
      <c r="CN34" s="90"/>
      <c r="CO34" s="159"/>
      <c r="CP34" s="159"/>
      <c r="CQ34" s="159"/>
      <c r="CR34" s="159"/>
      <c r="CS34" s="1253"/>
      <c r="CT34" s="90"/>
      <c r="CU34" s="159"/>
      <c r="CV34" s="159"/>
      <c r="CW34" s="159"/>
      <c r="CX34" s="159"/>
      <c r="CY34" s="1253"/>
      <c r="CZ34" s="90"/>
      <c r="DA34" s="159"/>
      <c r="DB34" s="159"/>
      <c r="DC34" s="159"/>
      <c r="DD34" s="159"/>
      <c r="DE34" s="1253"/>
      <c r="DF34" s="90"/>
      <c r="DG34" s="159"/>
      <c r="DH34" s="159"/>
      <c r="DI34" s="159"/>
      <c r="DJ34" s="159"/>
      <c r="DK34" s="1253"/>
      <c r="DL34" s="90"/>
      <c r="DM34" s="159"/>
      <c r="DN34" s="159"/>
      <c r="DO34" s="159"/>
      <c r="DP34" s="159"/>
      <c r="DQ34" s="1253"/>
      <c r="DR34" s="90"/>
      <c r="DS34" s="159"/>
      <c r="DT34" s="159"/>
      <c r="DU34" s="159"/>
      <c r="DV34" s="159"/>
      <c r="DW34" s="1253"/>
      <c r="DX34" s="90"/>
      <c r="DY34" s="159"/>
      <c r="DZ34" s="159"/>
      <c r="EA34" s="159"/>
      <c r="EB34" s="159"/>
      <c r="EC34" s="1253"/>
      <c r="ED34" s="90"/>
      <c r="EE34" s="159"/>
      <c r="EF34" s="159"/>
      <c r="EG34" s="159"/>
      <c r="EH34" s="159"/>
      <c r="EI34" s="1253"/>
      <c r="EJ34" s="90"/>
      <c r="EK34" s="159"/>
      <c r="EL34" s="159"/>
      <c r="EM34" s="159"/>
      <c r="EN34" s="159"/>
      <c r="EO34" s="1253"/>
      <c r="EP34" s="90"/>
      <c r="EQ34" s="159"/>
      <c r="ER34" s="159"/>
      <c r="ES34" s="159"/>
      <c r="ET34" s="159"/>
      <c r="EU34" s="1253"/>
      <c r="EV34" s="90"/>
    </row>
    <row r="35" spans="1:175" ht="12.75" hidden="1" customHeight="1" outlineLevel="1">
      <c r="A35" s="2231" t="s">
        <v>7197</v>
      </c>
      <c r="B35" s="520"/>
      <c r="C35" s="104"/>
      <c r="D35" s="104"/>
      <c r="E35" s="159"/>
      <c r="F35" s="159"/>
      <c r="G35" s="104"/>
      <c r="H35" s="90"/>
      <c r="I35" s="159"/>
      <c r="J35" s="159"/>
      <c r="K35" s="159"/>
      <c r="L35" s="159"/>
      <c r="M35" s="104"/>
      <c r="N35" s="90"/>
      <c r="O35" s="320"/>
      <c r="P35" s="320"/>
      <c r="Q35" s="320"/>
      <c r="R35" s="320"/>
      <c r="S35" s="208"/>
      <c r="T35" s="168"/>
      <c r="U35" s="340"/>
      <c r="V35" s="320"/>
      <c r="W35" s="320"/>
      <c r="X35" s="320"/>
      <c r="Y35" s="208"/>
      <c r="Z35" s="168"/>
      <c r="AA35" s="320"/>
      <c r="AB35" s="320"/>
      <c r="AC35" s="320"/>
      <c r="AD35" s="320"/>
      <c r="AE35" s="208"/>
      <c r="AF35" s="168"/>
      <c r="AG35" s="320"/>
      <c r="AH35" s="320"/>
      <c r="AI35" s="320"/>
      <c r="AJ35" s="320"/>
      <c r="AK35" s="208"/>
      <c r="AL35" s="168"/>
      <c r="AM35" s="320"/>
      <c r="AN35" s="320"/>
      <c r="AO35" s="320"/>
      <c r="AP35" s="320"/>
      <c r="AQ35" s="208"/>
      <c r="AR35" s="168"/>
      <c r="AS35" s="116"/>
      <c r="AT35" s="116"/>
      <c r="AU35" s="116"/>
      <c r="AV35" s="116"/>
      <c r="AW35" s="116"/>
      <c r="AX35" s="168"/>
      <c r="AY35" s="116"/>
      <c r="AZ35" s="116"/>
      <c r="BA35" s="116"/>
      <c r="BB35" s="116"/>
      <c r="BC35" s="116"/>
      <c r="BD35" s="168"/>
      <c r="BE35" s="116"/>
      <c r="BF35" s="116"/>
      <c r="BG35" s="116"/>
      <c r="BH35" s="116"/>
      <c r="BI35" s="116"/>
      <c r="BJ35" s="90"/>
      <c r="BK35" s="116"/>
      <c r="BL35" s="116"/>
      <c r="BM35" s="116"/>
      <c r="BN35" s="116"/>
      <c r="BO35" s="1132"/>
      <c r="BP35" s="90"/>
      <c r="BQ35" s="159"/>
      <c r="BR35" s="159"/>
      <c r="BS35" s="159"/>
      <c r="BT35" s="159"/>
      <c r="BU35" s="1132"/>
      <c r="BV35" s="90"/>
      <c r="BW35" s="159"/>
      <c r="BX35" s="159"/>
      <c r="BY35" s="159"/>
      <c r="BZ35" s="159"/>
      <c r="CA35" s="1132">
        <f>(CA10/AQ10)^(1/5)-1</f>
        <v>0.16444372981545063</v>
      </c>
      <c r="CB35" s="90"/>
      <c r="CC35" s="159"/>
      <c r="CD35" s="159"/>
      <c r="CE35" s="159"/>
      <c r="CF35" s="159"/>
      <c r="CG35" s="1253"/>
      <c r="CH35" s="90"/>
      <c r="CI35" s="159"/>
      <c r="CJ35" s="159"/>
      <c r="CK35" s="159"/>
      <c r="CL35" s="159"/>
      <c r="CM35" s="1253"/>
      <c r="CN35" s="90"/>
      <c r="CO35" s="159"/>
      <c r="CP35" s="159"/>
      <c r="CQ35" s="159"/>
      <c r="CR35" s="159"/>
      <c r="CS35" s="1253"/>
      <c r="CT35" s="90"/>
      <c r="CU35" s="159"/>
      <c r="CV35" s="159"/>
      <c r="CW35" s="1468"/>
      <c r="CX35" s="159"/>
      <c r="CY35" s="1253"/>
      <c r="CZ35" s="90"/>
      <c r="DA35" s="159"/>
      <c r="DB35" s="159"/>
      <c r="DC35" s="159"/>
      <c r="DD35" s="159"/>
      <c r="DE35" s="1253"/>
      <c r="DF35" s="90"/>
      <c r="DG35" s="159"/>
      <c r="DH35" s="159"/>
      <c r="DI35" s="159"/>
      <c r="DJ35" s="159"/>
      <c r="DK35" s="1253"/>
      <c r="DL35" s="90"/>
      <c r="DM35" s="159"/>
      <c r="DN35" s="159"/>
      <c r="DO35" s="159"/>
      <c r="DP35" s="159"/>
      <c r="DQ35" s="1166"/>
      <c r="DR35" s="90"/>
      <c r="DS35" s="159"/>
      <c r="DT35" s="159"/>
      <c r="DU35" s="159"/>
      <c r="DV35" s="159"/>
      <c r="DW35" s="1166"/>
      <c r="DX35" s="90"/>
      <c r="DY35" s="159"/>
      <c r="DZ35" s="159"/>
      <c r="EA35" s="159"/>
      <c r="EB35" s="159"/>
      <c r="EC35" s="1166"/>
      <c r="ED35" s="90"/>
      <c r="EE35" s="159"/>
      <c r="EF35" s="159"/>
      <c r="EG35" s="159"/>
      <c r="EH35" s="159"/>
      <c r="EI35" s="1166"/>
      <c r="EJ35" s="90"/>
      <c r="EK35" s="159"/>
      <c r="EL35" s="159"/>
      <c r="EM35" s="159"/>
      <c r="EN35" s="159"/>
      <c r="EO35" s="1166"/>
      <c r="EP35" s="90"/>
      <c r="EQ35" s="159"/>
      <c r="ER35" s="159"/>
      <c r="ES35" s="159"/>
      <c r="ET35" s="159"/>
      <c r="EU35" s="1166"/>
      <c r="EV35" s="90"/>
    </row>
    <row r="36" spans="1:175" ht="10.5" hidden="1" customHeight="1" outlineLevel="1">
      <c r="A36" s="25" t="s">
        <v>7207</v>
      </c>
      <c r="B36" s="593" t="s">
        <v>1875</v>
      </c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424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>
        <v>36.89</v>
      </c>
      <c r="AH36" s="168">
        <v>35.219000000000001</v>
      </c>
      <c r="AI36" s="168">
        <v>36.356000000000002</v>
      </c>
      <c r="AJ36" s="168">
        <v>40.848999999999997</v>
      </c>
      <c r="AK36" s="168">
        <f>SUM(AG36:AJ36)</f>
        <v>149.31399999999999</v>
      </c>
      <c r="AL36" s="168"/>
      <c r="AM36" s="168">
        <v>39.844999999999999</v>
      </c>
      <c r="AN36" s="168">
        <v>33.216999999999999</v>
      </c>
      <c r="AO36" s="168">
        <v>30.812000000000001</v>
      </c>
      <c r="AP36" s="168">
        <v>31.812999999999999</v>
      </c>
      <c r="AQ36" s="168">
        <f>SUM(AM36:AP36)</f>
        <v>135.68699999999998</v>
      </c>
      <c r="AR36" s="168"/>
      <c r="AS36" s="168">
        <v>35.046999999999997</v>
      </c>
      <c r="AT36" s="168">
        <v>32.454999999999998</v>
      </c>
      <c r="AU36" s="168">
        <v>32.69</v>
      </c>
      <c r="AV36" s="168">
        <v>32.534999999999997</v>
      </c>
      <c r="AW36" s="168">
        <f>SUM(AS36:AV36)</f>
        <v>132.72699999999998</v>
      </c>
      <c r="AX36" s="168"/>
      <c r="AY36" s="61">
        <f>37.7-0.1</f>
        <v>37.6</v>
      </c>
      <c r="AZ36" s="61">
        <v>36.1</v>
      </c>
      <c r="BA36" s="61">
        <v>39.200000000000003</v>
      </c>
      <c r="BB36" s="61">
        <f>39.7-0.1</f>
        <v>39.6</v>
      </c>
      <c r="BC36" s="61">
        <f>SUM(AY36:BB36)</f>
        <v>152.5</v>
      </c>
      <c r="BD36" s="168"/>
      <c r="BE36" s="61">
        <v>38.700000000000003</v>
      </c>
      <c r="BF36" s="61">
        <v>39.799999999999997</v>
      </c>
      <c r="BG36" s="61">
        <f>40.9-0.1</f>
        <v>40.799999999999997</v>
      </c>
      <c r="BH36" s="61">
        <v>38.200000000000003</v>
      </c>
      <c r="BI36" s="61">
        <f>SUM(BE36:BH36)</f>
        <v>157.5</v>
      </c>
      <c r="BJ36" s="168"/>
      <c r="BK36" s="61">
        <f>47.5-0.9-1.5</f>
        <v>45.1</v>
      </c>
      <c r="BL36" s="61">
        <f>53.6-1.3-1.7</f>
        <v>50.6</v>
      </c>
      <c r="BM36" s="61">
        <f>54.5-1.9-1.7</f>
        <v>50.9</v>
      </c>
      <c r="BN36" s="61">
        <f>52.3-1.3-2.1</f>
        <v>48.9</v>
      </c>
      <c r="BO36" s="1125">
        <f>SUM(BK36:BN36)</f>
        <v>195.5</v>
      </c>
      <c r="BP36" s="61"/>
      <c r="BQ36" s="61">
        <f>50.5-1.1-0.6-2.1</f>
        <v>46.699999999999996</v>
      </c>
      <c r="BR36" s="61">
        <v>46.4</v>
      </c>
      <c r="BS36" s="61">
        <f>49.7-2.1-3.1</f>
        <v>44.5</v>
      </c>
      <c r="BT36" s="61">
        <f>48.6-1.2-0.1-3.4</f>
        <v>43.9</v>
      </c>
      <c r="BU36" s="1125">
        <f>SUM(BQ36:BT36)</f>
        <v>181.5</v>
      </c>
      <c r="BV36" s="61"/>
      <c r="BW36" s="61">
        <f>55.8-1-3.6</f>
        <v>51.199999999999996</v>
      </c>
      <c r="BX36" s="61">
        <f>57.4-1.1-5.3</f>
        <v>51</v>
      </c>
      <c r="BY36" s="61">
        <f>50.3-1-6.4</f>
        <v>42.9</v>
      </c>
      <c r="BZ36" s="61">
        <f>46-0.5-7.9</f>
        <v>37.6</v>
      </c>
      <c r="CA36" s="1125">
        <f>SUM(BW36:BZ36)</f>
        <v>182.7</v>
      </c>
      <c r="CB36" s="168"/>
      <c r="CC36" s="61">
        <f>49.5-0.6-8.3</f>
        <v>40.599999999999994</v>
      </c>
      <c r="CD36" s="61">
        <f>47.1-0.7-8.3</f>
        <v>38.099999999999994</v>
      </c>
      <c r="CE36" s="61">
        <f>42-1.1-8.7</f>
        <v>32.200000000000003</v>
      </c>
      <c r="CF36" s="61">
        <f>41.3-0.7-7.6</f>
        <v>32.999999999999993</v>
      </c>
      <c r="CG36" s="1125">
        <f>SUM(CC36:CF36)</f>
        <v>143.89999999999998</v>
      </c>
      <c r="CH36" s="168"/>
      <c r="CI36" s="61">
        <f>41.2-0.8-7.7</f>
        <v>32.700000000000003</v>
      </c>
      <c r="CJ36" s="61">
        <f>40.5-0.7-7.7</f>
        <v>32.099999999999994</v>
      </c>
      <c r="CK36" s="61">
        <f>40.3-0.6-8.4</f>
        <v>31.299999999999997</v>
      </c>
      <c r="CL36" s="61">
        <f>40.2-0.8-8.1</f>
        <v>31.300000000000004</v>
      </c>
      <c r="CM36" s="1170">
        <f>SUM(CI36:CL36)</f>
        <v>127.4</v>
      </c>
      <c r="CN36" s="168"/>
      <c r="CO36" s="61">
        <f>42.6-0.9-8.1</f>
        <v>33.6</v>
      </c>
      <c r="CP36" s="61">
        <f>45.7-1-8.5</f>
        <v>36.200000000000003</v>
      </c>
      <c r="CQ36" s="61">
        <f>50.5-0.9-11.1</f>
        <v>38.5</v>
      </c>
      <c r="CR36" s="61">
        <f>48.3-10.3-1.1</f>
        <v>36.9</v>
      </c>
      <c r="CS36" s="1170">
        <f>SUM(CO36:CR36)</f>
        <v>145.20000000000002</v>
      </c>
      <c r="CT36" s="168"/>
      <c r="CU36" s="61">
        <f>47.1-1.3-9.8</f>
        <v>36</v>
      </c>
      <c r="CV36" s="61">
        <f>49.1-1.2-9.6</f>
        <v>38.299999999999997</v>
      </c>
      <c r="CW36" s="61">
        <f>49.6-1.3-9.9</f>
        <v>38.400000000000006</v>
      </c>
      <c r="CX36" s="61">
        <f>52.4-1.4-10.4</f>
        <v>40.6</v>
      </c>
      <c r="CY36" s="1170">
        <f>SUM(CU36:CX36)</f>
        <v>153.30000000000001</v>
      </c>
      <c r="CZ36" s="168"/>
      <c r="DA36" s="61">
        <f>44.4-0.9-9.8</f>
        <v>33.700000000000003</v>
      </c>
      <c r="DB36" s="61">
        <f>42.8-0.9-10</f>
        <v>31.9</v>
      </c>
      <c r="DC36" s="61">
        <f>43.4-0.9-9.7</f>
        <v>32.799999999999997</v>
      </c>
      <c r="DD36" s="61">
        <f>48.1-1.1-10.6</f>
        <v>36.4</v>
      </c>
      <c r="DE36" s="1170">
        <f>SUM(DA36:DD36)</f>
        <v>134.79999999999998</v>
      </c>
      <c r="DF36" s="168"/>
      <c r="DG36" s="61">
        <f>49.3-0.9-11.8</f>
        <v>36.599999999999994</v>
      </c>
      <c r="DH36" s="61">
        <f>53.4-1.1-13.4</f>
        <v>38.9</v>
      </c>
      <c r="DI36" s="61">
        <f>51.9-1.2-11.9</f>
        <v>38.799999999999997</v>
      </c>
      <c r="DJ36" s="61">
        <f>53.9-1.4-11.5</f>
        <v>41</v>
      </c>
      <c r="DK36" s="1170">
        <f>SUM(DG36:DJ36)</f>
        <v>155.30000000000001</v>
      </c>
      <c r="DL36" s="168"/>
      <c r="DM36" s="61">
        <f>53.1-1.5-12.4</f>
        <v>39.200000000000003</v>
      </c>
      <c r="DN36" s="61">
        <f>53-1.2-11.2</f>
        <v>40.599999999999994</v>
      </c>
      <c r="DO36" s="61">
        <f>53-1.7-11.1</f>
        <v>40.199999999999996</v>
      </c>
      <c r="DP36" s="61">
        <f>55.5-1.7-11.4</f>
        <v>42.4</v>
      </c>
      <c r="DQ36" s="1170">
        <f>SUM(DM36:DP36)</f>
        <v>162.4</v>
      </c>
      <c r="DR36" s="168"/>
      <c r="DS36" s="61">
        <f>52.8-1.8-10.6</f>
        <v>40.4</v>
      </c>
      <c r="DT36" s="61">
        <f>46.9-1.7-10.6</f>
        <v>34.599999999999994</v>
      </c>
      <c r="DU36" s="61">
        <f>46.4-1.8-10.2</f>
        <v>34.400000000000006</v>
      </c>
      <c r="DV36" s="61">
        <f>44.7-2-7.9</f>
        <v>34.800000000000004</v>
      </c>
      <c r="DW36" s="1170">
        <f>SUM(DS36:DV36)</f>
        <v>144.20000000000002</v>
      </c>
      <c r="DX36" s="168"/>
      <c r="DY36" s="61"/>
      <c r="DZ36" s="61"/>
      <c r="EA36" s="61"/>
      <c r="EB36" s="61"/>
      <c r="EC36" s="1170"/>
      <c r="ED36" s="168"/>
      <c r="EE36" s="61"/>
      <c r="EF36" s="61"/>
      <c r="EG36" s="61"/>
      <c r="EH36" s="61"/>
      <c r="EI36" s="1170"/>
      <c r="EJ36" s="168"/>
      <c r="EK36" s="61"/>
      <c r="EL36" s="61"/>
      <c r="EM36" s="61"/>
      <c r="EN36" s="61"/>
      <c r="EO36" s="1170"/>
      <c r="EP36" s="168"/>
      <c r="EQ36" s="61"/>
      <c r="ER36" s="61"/>
      <c r="ES36" s="61"/>
      <c r="ET36" s="61"/>
      <c r="EU36" s="1170"/>
      <c r="EV36" s="27"/>
    </row>
    <row r="37" spans="1:175" ht="12.75" hidden="1" customHeight="1" outlineLevel="1">
      <c r="A37" s="28" t="s">
        <v>7208</v>
      </c>
      <c r="B37" s="521"/>
      <c r="C37" s="72"/>
      <c r="D37" s="72"/>
      <c r="E37" s="72"/>
      <c r="F37" s="72"/>
      <c r="G37" s="72"/>
      <c r="H37" s="69"/>
      <c r="I37" s="72"/>
      <c r="J37" s="72"/>
      <c r="K37" s="72"/>
      <c r="L37" s="72"/>
      <c r="M37" s="72"/>
      <c r="N37" s="69"/>
      <c r="O37" s="283"/>
      <c r="P37" s="283"/>
      <c r="Q37" s="283"/>
      <c r="R37" s="283"/>
      <c r="S37" s="283"/>
      <c r="T37" s="69"/>
      <c r="U37" s="338"/>
      <c r="V37" s="72"/>
      <c r="W37" s="72"/>
      <c r="X37" s="72"/>
      <c r="Y37" s="72"/>
      <c r="Z37" s="69"/>
      <c r="AA37" s="72"/>
      <c r="AB37" s="72"/>
      <c r="AC37" s="72"/>
      <c r="AD37" s="72"/>
      <c r="AE37" s="72"/>
      <c r="AF37" s="69"/>
      <c r="AG37" s="72">
        <f>1-AG36/AG10</f>
        <v>0.84420334230075644</v>
      </c>
      <c r="AH37" s="72">
        <f>1-AH36/AH10</f>
        <v>0.84008082459247146</v>
      </c>
      <c r="AI37" s="72">
        <f>1-AI36/AI10</f>
        <v>0.82225568467935517</v>
      </c>
      <c r="AJ37" s="72">
        <f>1-AJ36/AJ10</f>
        <v>0.82997860633152698</v>
      </c>
      <c r="AK37" s="72">
        <f>1-AK36/AK10</f>
        <v>0.83442890535943193</v>
      </c>
      <c r="AL37" s="69"/>
      <c r="AM37" s="72">
        <f>1-AM36/AM10</f>
        <v>0.81351561329938593</v>
      </c>
      <c r="AN37" s="72">
        <f>1-AN36/AN10</f>
        <v>0.82818941216024</v>
      </c>
      <c r="AO37" s="72">
        <f>1-AO36/AO10</f>
        <v>0.81689061097871885</v>
      </c>
      <c r="AP37" s="72">
        <f>1-AP36/AP10</f>
        <v>0.81682347386482723</v>
      </c>
      <c r="AQ37" s="72">
        <f>1-AQ36/AQ10</f>
        <v>0.81882891110683842</v>
      </c>
      <c r="AR37" s="69"/>
      <c r="AS37" s="72">
        <f>1-AS36/AS10</f>
        <v>0.81246354632092088</v>
      </c>
      <c r="AT37" s="72">
        <f>1-AT36/AT10</f>
        <v>0.82306987799426501</v>
      </c>
      <c r="AU37" s="72">
        <f>1-AU36/AU10</f>
        <v>0.83999256007009193</v>
      </c>
      <c r="AV37" s="72">
        <f>1-AV36/AV10</f>
        <v>0.87587698716994955</v>
      </c>
      <c r="AW37" s="72">
        <f>1-AW36/AW10</f>
        <v>0.84137548596512413</v>
      </c>
      <c r="AX37" s="69"/>
      <c r="AY37" s="115">
        <f>1-AY36/AY10</f>
        <v>0.85637891520244458</v>
      </c>
      <c r="AZ37" s="115">
        <f>1-AZ36/AZ10</f>
        <v>0.84970857618651119</v>
      </c>
      <c r="BA37" s="115">
        <f>1-BA36/BA10</f>
        <v>0.84723304754481688</v>
      </c>
      <c r="BB37" s="115">
        <f>1-BB36/BB10</f>
        <v>0.87088359960873818</v>
      </c>
      <c r="BC37" s="72">
        <f>1-BC36/BC10</f>
        <v>0.85684783629024686</v>
      </c>
      <c r="BD37" s="69"/>
      <c r="BE37" s="115">
        <f>1-BE36/BE10</f>
        <v>0.8707414829659319</v>
      </c>
      <c r="BF37" s="115">
        <f>1-BF36/BF10</f>
        <v>0.8728028124001278</v>
      </c>
      <c r="BG37" s="115">
        <f>1-BG36/BG10</f>
        <v>0.86783284742468414</v>
      </c>
      <c r="BH37" s="115">
        <f>1-BH36/BH10</f>
        <v>0.88791079812206575</v>
      </c>
      <c r="BI37" s="72">
        <f>1-BI36/BI10</f>
        <v>0.87517831669044222</v>
      </c>
      <c r="BJ37" s="858"/>
      <c r="BK37" s="115">
        <f>1-BK36/BK10</f>
        <v>0.87092157985117347</v>
      </c>
      <c r="BL37" s="115">
        <f>1-BL36/BL10</f>
        <v>0.85354558610709119</v>
      </c>
      <c r="BM37" s="115">
        <f>1-BM36/BM10</f>
        <v>0.85301761478486859</v>
      </c>
      <c r="BN37" s="115">
        <f>1-BN36/BN10</f>
        <v>0.86949559647718178</v>
      </c>
      <c r="BO37" s="1161">
        <f>1-BO36/BO10</f>
        <v>0.86192527720884238</v>
      </c>
      <c r="BP37" s="69"/>
      <c r="BQ37" s="115">
        <f>1-BQ36/BQ10</f>
        <v>0.87813152400835071</v>
      </c>
      <c r="BR37" s="115">
        <f>1-BR36/BR10</f>
        <v>0.88211382113821135</v>
      </c>
      <c r="BS37" s="115">
        <f>1-BS36/BS10</f>
        <v>0.88756947953511878</v>
      </c>
      <c r="BT37" s="115">
        <f>1-BT36/BT10</f>
        <v>0.90156950672645741</v>
      </c>
      <c r="BU37" s="1161">
        <f>1-BU36/BU10</f>
        <v>0.8878660570863709</v>
      </c>
      <c r="BV37" s="69"/>
      <c r="BW37" s="115">
        <f>1-BW36/BW10</f>
        <v>0.8815363257751041</v>
      </c>
      <c r="BX37" s="231">
        <f>1-BX36/BX10</f>
        <v>0.88414357110404362</v>
      </c>
      <c r="BY37" s="231">
        <f>1-BY36/BY10</f>
        <v>0.89809976247030876</v>
      </c>
      <c r="BZ37" s="231">
        <f>1-BZ36/BZ10</f>
        <v>0.8787096774193548</v>
      </c>
      <c r="CA37" s="1161">
        <f>1-CA36/CA10</f>
        <v>0.88605463390295625</v>
      </c>
      <c r="CB37" s="69"/>
      <c r="CC37" s="115">
        <f>1-CC36/CC10</f>
        <v>0.83333333333333337</v>
      </c>
      <c r="CD37" s="115">
        <f>1-CD36/CD10</f>
        <v>0.83506493506493507</v>
      </c>
      <c r="CE37" s="115">
        <f>1-CE36/CE10</f>
        <v>0.8636171113934773</v>
      </c>
      <c r="CF37" s="115">
        <f>1-CF36/CF10</f>
        <v>0.87777777777777777</v>
      </c>
      <c r="CG37" s="1161">
        <f>1-CG36/CG10</f>
        <v>0.85326807382481906</v>
      </c>
      <c r="CH37" s="69"/>
      <c r="CI37" s="115">
        <f>1-CI36/CI10</f>
        <v>0.8831308077197999</v>
      </c>
      <c r="CJ37" s="115">
        <f>1-CJ36/CJ10</f>
        <v>0.88564303526897048</v>
      </c>
      <c r="CK37" s="115">
        <f>1-CK36/CK10</f>
        <v>0.88900709219858154</v>
      </c>
      <c r="CL37" s="115">
        <f>1-CL36/CL10</f>
        <v>0.90503640776699035</v>
      </c>
      <c r="CM37" s="1265">
        <f>1-CM36/CM10</f>
        <v>0.89130620254244519</v>
      </c>
      <c r="CN37" s="455"/>
      <c r="CO37" s="115">
        <f>1-CO36/CO10</f>
        <v>0.89597523219814246</v>
      </c>
      <c r="CP37" s="115">
        <f>1-CP36/CP10</f>
        <v>0.89129129129129125</v>
      </c>
      <c r="CQ37" s="115">
        <f>1-CQ36/CQ10</f>
        <v>0.88382619191309597</v>
      </c>
      <c r="CR37" s="115">
        <f>1-CR36/CR10</f>
        <v>0.90032414910858993</v>
      </c>
      <c r="CS37" s="1161">
        <f>1-CS36/CS10</f>
        <v>0.89304655274012967</v>
      </c>
      <c r="CT37" s="455"/>
      <c r="CU37" s="115">
        <f>1-CU36/CU10</f>
        <v>0.89867717421896987</v>
      </c>
      <c r="CV37" s="115">
        <f>1-CV36/CV10</f>
        <v>0.88532934131736529</v>
      </c>
      <c r="CW37" s="115">
        <f>1-CW36/CW10</f>
        <v>0.87612903225806449</v>
      </c>
      <c r="CX37" s="115">
        <f>1-CX36/CX10</f>
        <v>0.88876712328767127</v>
      </c>
      <c r="CY37" s="1161">
        <f>1-CY36/CY10</f>
        <v>0.88763468445356586</v>
      </c>
      <c r="CZ37" s="455"/>
      <c r="DA37" s="115">
        <f>1-DA36/DA10</f>
        <v>0.89582689335394128</v>
      </c>
      <c r="DB37" s="115">
        <f>1-DB36/DB10</f>
        <v>0.89814814814814814</v>
      </c>
      <c r="DC37" s="115">
        <f>1-DC36/DC10</f>
        <v>0.8897478991596639</v>
      </c>
      <c r="DD37" s="115">
        <f>1-DD36/DD10</f>
        <v>0.88649828500155903</v>
      </c>
      <c r="DE37" s="1161">
        <f>1-DE36/DE10</f>
        <v>0.89258108215794085</v>
      </c>
      <c r="DF37" s="455"/>
      <c r="DG37" s="115">
        <f>1-DG36/DG10</f>
        <v>0.88425047438330173</v>
      </c>
      <c r="DH37" s="115">
        <f>1-DH36/DH10</f>
        <v>0.88898401826484019</v>
      </c>
      <c r="DI37" s="115">
        <f>1-DI36/DI10</f>
        <v>0.8789391575663027</v>
      </c>
      <c r="DJ37" s="115">
        <f>1-DJ36/DJ10</f>
        <v>0.88427885972339826</v>
      </c>
      <c r="DK37" s="1161">
        <f>1-DK36/DK10</f>
        <v>0.88422543611152526</v>
      </c>
      <c r="DL37" s="455"/>
      <c r="DM37" s="115">
        <f>1-DM36/DM10</f>
        <v>0.88001224364860731</v>
      </c>
      <c r="DN37" s="115">
        <f>1-DN36/DN10</f>
        <v>0.8602409638554217</v>
      </c>
      <c r="DO37" s="115">
        <f>1-DO36/DO10</f>
        <v>0.85688857244571026</v>
      </c>
      <c r="DP37" s="115">
        <f>1-DP36/DP10</f>
        <v>0.87104622871046233</v>
      </c>
      <c r="DQ37" s="1161">
        <f>1-DQ36/DQ10</f>
        <v>0.86763387399136038</v>
      </c>
      <c r="DR37" s="455"/>
      <c r="DS37" s="115">
        <f>1-DS36/DS10</f>
        <v>0.78267885960193651</v>
      </c>
      <c r="DT37" s="115">
        <f>1-DT36/DT10</f>
        <v>0.84871010056843033</v>
      </c>
      <c r="DU37" s="115">
        <f>1-DU36/DU10</f>
        <v>0.79776601998824215</v>
      </c>
      <c r="DV37" s="115">
        <f>1-DV36/DV10</f>
        <v>0.77735124760076779</v>
      </c>
      <c r="DW37" s="1161">
        <f>1-DW36/DW10</f>
        <v>0.80539811066126854</v>
      </c>
      <c r="DX37" s="455"/>
      <c r="DY37" s="457"/>
      <c r="DZ37" s="2009"/>
      <c r="EA37" s="2009"/>
      <c r="EB37" s="2009"/>
      <c r="EC37" s="1161"/>
      <c r="ED37" s="455"/>
      <c r="EE37" s="2009"/>
      <c r="EF37" s="457"/>
      <c r="EG37" s="457"/>
      <c r="EH37" s="457"/>
      <c r="EI37" s="1161"/>
      <c r="EJ37" s="455"/>
      <c r="EK37" s="2009"/>
      <c r="EL37" s="457"/>
      <c r="EM37" s="457"/>
      <c r="EN37" s="457"/>
      <c r="EO37" s="1161"/>
      <c r="EP37" s="455"/>
      <c r="EQ37" s="2009"/>
      <c r="ER37" s="457"/>
      <c r="ES37" s="457"/>
      <c r="ET37" s="457"/>
      <c r="EU37" s="1161"/>
      <c r="EV37" s="69"/>
    </row>
    <row r="38" spans="1:175" ht="3.75" hidden="1" customHeight="1" outlineLevel="1">
      <c r="A38" s="28"/>
      <c r="B38" s="521"/>
      <c r="C38" s="72"/>
      <c r="D38" s="72"/>
      <c r="E38" s="72"/>
      <c r="F38" s="72"/>
      <c r="G38" s="72"/>
      <c r="H38" s="69"/>
      <c r="I38" s="72"/>
      <c r="J38" s="72"/>
      <c r="K38" s="72"/>
      <c r="L38" s="72"/>
      <c r="M38" s="72"/>
      <c r="N38" s="69"/>
      <c r="O38" s="283"/>
      <c r="P38" s="283"/>
      <c r="Q38" s="283"/>
      <c r="R38" s="283"/>
      <c r="S38" s="283"/>
      <c r="T38" s="69"/>
      <c r="U38" s="338"/>
      <c r="V38" s="72"/>
      <c r="W38" s="72"/>
      <c r="X38" s="72"/>
      <c r="Y38" s="72"/>
      <c r="Z38" s="69"/>
      <c r="AA38" s="72"/>
      <c r="AB38" s="72"/>
      <c r="AC38" s="72"/>
      <c r="AD38" s="72"/>
      <c r="AE38" s="72"/>
      <c r="AF38" s="69"/>
      <c r="AG38" s="72"/>
      <c r="AH38" s="72"/>
      <c r="AI38" s="72"/>
      <c r="AJ38" s="72"/>
      <c r="AK38" s="72"/>
      <c r="AL38" s="69"/>
      <c r="AM38" s="72"/>
      <c r="AN38" s="72"/>
      <c r="AO38" s="72"/>
      <c r="AP38" s="72"/>
      <c r="AQ38" s="72"/>
      <c r="AR38" s="69"/>
      <c r="AS38" s="72"/>
      <c r="AT38" s="72"/>
      <c r="AU38" s="72"/>
      <c r="AV38" s="72"/>
      <c r="AW38" s="72"/>
      <c r="AX38" s="69"/>
      <c r="AY38" s="177"/>
      <c r="AZ38" s="177"/>
      <c r="BA38" s="177"/>
      <c r="BB38" s="177"/>
      <c r="BC38" s="72"/>
      <c r="BD38" s="69"/>
      <c r="BE38" s="177"/>
      <c r="BF38" s="177"/>
      <c r="BG38" s="177"/>
      <c r="BH38" s="177"/>
      <c r="BI38" s="72"/>
      <c r="BJ38" s="69"/>
      <c r="BK38" s="177"/>
      <c r="BL38" s="177"/>
      <c r="BM38" s="177"/>
      <c r="BN38" s="177"/>
      <c r="BO38" s="1161"/>
      <c r="BP38" s="69"/>
      <c r="BQ38" s="177"/>
      <c r="BR38" s="177"/>
      <c r="BS38" s="177"/>
      <c r="BT38" s="177"/>
      <c r="BU38" s="1161"/>
      <c r="BV38" s="69"/>
      <c r="BW38" s="177"/>
      <c r="BX38" s="177"/>
      <c r="BY38" s="177"/>
      <c r="BZ38" s="177"/>
      <c r="CA38" s="1161"/>
      <c r="CB38" s="69"/>
      <c r="CC38" s="177"/>
      <c r="CD38" s="177"/>
      <c r="CE38" s="177"/>
      <c r="CF38" s="177"/>
      <c r="CG38" s="1161"/>
      <c r="CH38" s="69"/>
      <c r="CI38" s="457"/>
      <c r="CJ38" s="457"/>
      <c r="CK38" s="457"/>
      <c r="CL38" s="457"/>
      <c r="CM38" s="1265"/>
      <c r="CN38" s="455"/>
      <c r="CO38" s="457"/>
      <c r="CP38" s="457"/>
      <c r="CQ38" s="457"/>
      <c r="CR38" s="457"/>
      <c r="CS38" s="1161"/>
      <c r="CT38" s="455"/>
      <c r="CU38" s="457"/>
      <c r="CV38" s="457"/>
      <c r="CW38" s="457"/>
      <c r="CX38" s="457"/>
      <c r="CY38" s="1161"/>
      <c r="CZ38" s="455"/>
      <c r="DA38" s="457"/>
      <c r="DB38" s="457"/>
      <c r="DC38" s="457"/>
      <c r="DD38" s="457"/>
      <c r="DE38" s="1161"/>
      <c r="DF38" s="455"/>
      <c r="DG38" s="457"/>
      <c r="DH38" s="457"/>
      <c r="DI38" s="457"/>
      <c r="DJ38" s="457"/>
      <c r="DK38" s="1161"/>
      <c r="DL38" s="455"/>
      <c r="DM38" s="457"/>
      <c r="DN38" s="457"/>
      <c r="DO38" s="457"/>
      <c r="DP38" s="457"/>
      <c r="DQ38" s="1161"/>
      <c r="DR38" s="455"/>
      <c r="DS38" s="457"/>
      <c r="DT38" s="457"/>
      <c r="DU38" s="457"/>
      <c r="DV38" s="457"/>
      <c r="DW38" s="1161"/>
      <c r="DX38" s="455"/>
      <c r="DY38" s="457"/>
      <c r="DZ38" s="457"/>
      <c r="EA38" s="457"/>
      <c r="EB38" s="457"/>
      <c r="EC38" s="1161"/>
      <c r="ED38" s="455"/>
      <c r="EE38" s="457"/>
      <c r="EF38" s="457"/>
      <c r="EG38" s="457"/>
      <c r="EH38" s="457"/>
      <c r="EI38" s="1161"/>
      <c r="EJ38" s="455"/>
      <c r="EK38" s="457"/>
      <c r="EL38" s="457"/>
      <c r="EM38" s="457"/>
      <c r="EN38" s="457"/>
      <c r="EO38" s="1161"/>
      <c r="EP38" s="455"/>
      <c r="EQ38" s="457"/>
      <c r="ER38" s="457"/>
      <c r="ES38" s="457"/>
      <c r="ET38" s="457"/>
      <c r="EU38" s="1161"/>
      <c r="EV38" s="69"/>
    </row>
    <row r="39" spans="1:175" ht="10.5" hidden="1" customHeight="1" outlineLevel="1">
      <c r="A39" s="25" t="s">
        <v>7209</v>
      </c>
      <c r="B39" s="593" t="s">
        <v>4585</v>
      </c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424"/>
      <c r="V39" s="168"/>
      <c r="W39" s="168"/>
      <c r="X39" s="168"/>
      <c r="Y39" s="168"/>
      <c r="Z39" s="168"/>
      <c r="AA39" s="168"/>
      <c r="AB39" s="168"/>
      <c r="AC39" s="168"/>
      <c r="AD39" s="168"/>
      <c r="AE39" s="168"/>
      <c r="AF39" s="168"/>
      <c r="AG39" s="168">
        <v>1.4079999999999999</v>
      </c>
      <c r="AH39" s="168">
        <v>1.524</v>
      </c>
      <c r="AI39" s="168">
        <v>3.044</v>
      </c>
      <c r="AJ39" s="168">
        <v>2.3380000000000001</v>
      </c>
      <c r="AK39" s="168">
        <f>SUM(AG39:AJ39)</f>
        <v>8.3140000000000001</v>
      </c>
      <c r="AL39" s="168"/>
      <c r="AM39" s="168">
        <v>2.4260000000000002</v>
      </c>
      <c r="AN39" s="168">
        <v>2.3490000000000002</v>
      </c>
      <c r="AO39" s="168">
        <v>2.38</v>
      </c>
      <c r="AP39" s="168">
        <v>2.968</v>
      </c>
      <c r="AQ39" s="168">
        <f>SUM(AM39:AP39)</f>
        <v>10.123000000000001</v>
      </c>
      <c r="AR39" s="168"/>
      <c r="AS39" s="168">
        <v>3.1949999999999998</v>
      </c>
      <c r="AT39" s="168">
        <v>3.5910000000000002</v>
      </c>
      <c r="AU39" s="168">
        <v>3.919</v>
      </c>
      <c r="AV39" s="168">
        <v>4.6959999999999997</v>
      </c>
      <c r="AW39" s="168">
        <f>SUM(AS39:AV39)</f>
        <v>15.401</v>
      </c>
      <c r="AX39" s="168"/>
      <c r="AY39" s="61">
        <v>4.3</v>
      </c>
      <c r="AZ39" s="230">
        <v>4.0999999999999996</v>
      </c>
      <c r="BA39" s="230">
        <v>4.2</v>
      </c>
      <c r="BB39" s="230">
        <v>4.4000000000000004</v>
      </c>
      <c r="BC39" s="61">
        <f>SUM(AY39:BB39)</f>
        <v>17</v>
      </c>
      <c r="BD39" s="168"/>
      <c r="BE39" s="61">
        <v>4.8</v>
      </c>
      <c r="BF39" s="230">
        <v>4.7</v>
      </c>
      <c r="BG39" s="230">
        <v>1.6</v>
      </c>
      <c r="BH39" s="230">
        <v>2</v>
      </c>
      <c r="BI39" s="61">
        <f>SUM(BE39:BH39)</f>
        <v>13.1</v>
      </c>
      <c r="BJ39" s="168"/>
      <c r="BK39" s="61">
        <v>2.4279999999999999</v>
      </c>
      <c r="BL39" s="230">
        <v>2.2000000000000002</v>
      </c>
      <c r="BM39" s="230">
        <v>1.8</v>
      </c>
      <c r="BN39" s="230">
        <v>2.2999999999999998</v>
      </c>
      <c r="BO39" s="1125">
        <f>SUM(BK39:BN39)</f>
        <v>8.7279999999999998</v>
      </c>
      <c r="BP39" s="61"/>
      <c r="BQ39" s="230">
        <v>2.2000000000000002</v>
      </c>
      <c r="BR39" s="230">
        <f>2.3</f>
        <v>2.2999999999999998</v>
      </c>
      <c r="BS39" s="230">
        <f>1.9</f>
        <v>1.9</v>
      </c>
      <c r="BT39" s="230">
        <f>2.2</f>
        <v>2.2000000000000002</v>
      </c>
      <c r="BU39" s="1125">
        <f>SUM(BQ39:BT39)</f>
        <v>8.6000000000000014</v>
      </c>
      <c r="BV39" s="61"/>
      <c r="BW39" s="230">
        <v>2</v>
      </c>
      <c r="BX39" s="230">
        <v>2.1</v>
      </c>
      <c r="BY39" s="230">
        <v>2.4</v>
      </c>
      <c r="BZ39" s="230">
        <v>2.5</v>
      </c>
      <c r="CA39" s="1125">
        <f>SUM(BW39:BZ39)</f>
        <v>9</v>
      </c>
      <c r="CB39" s="168"/>
      <c r="CC39" s="230">
        <v>2.8</v>
      </c>
      <c r="CD39" s="230">
        <f>3</f>
        <v>3</v>
      </c>
      <c r="CE39" s="230">
        <v>3</v>
      </c>
      <c r="CF39" s="230">
        <f>3.1</f>
        <v>3.1</v>
      </c>
      <c r="CG39" s="1125">
        <f>SUM(CC39:CF39)</f>
        <v>11.9</v>
      </c>
      <c r="CH39" s="168"/>
      <c r="CI39" s="230">
        <f>10.1</f>
        <v>10.1</v>
      </c>
      <c r="CJ39" s="230">
        <f>7.9</f>
        <v>7.9</v>
      </c>
      <c r="CK39" s="230">
        <v>8.1999999999999993</v>
      </c>
      <c r="CL39" s="230">
        <f>8.2</f>
        <v>8.1999999999999993</v>
      </c>
      <c r="CM39" s="1170">
        <f>SUM(CI39:CL39)</f>
        <v>34.4</v>
      </c>
      <c r="CN39" s="168"/>
      <c r="CO39" s="230">
        <f>12</f>
        <v>12</v>
      </c>
      <c r="CP39" s="230">
        <v>11.7</v>
      </c>
      <c r="CQ39" s="230">
        <f>9.1</f>
        <v>9.1</v>
      </c>
      <c r="CR39" s="230">
        <f>9.2</f>
        <v>9.1999999999999993</v>
      </c>
      <c r="CS39" s="1170">
        <f>SUM(CO39:CR39)</f>
        <v>42</v>
      </c>
      <c r="CT39" s="168"/>
      <c r="CU39" s="230">
        <f>11.7</f>
        <v>11.7</v>
      </c>
      <c r="CV39" s="230">
        <f>10.7</f>
        <v>10.7</v>
      </c>
      <c r="CW39" s="230">
        <f>8.4</f>
        <v>8.4</v>
      </c>
      <c r="CX39" s="230">
        <f>9.6</f>
        <v>9.6</v>
      </c>
      <c r="CY39" s="1170">
        <f>SUM(CU39:CX39)</f>
        <v>40.4</v>
      </c>
      <c r="CZ39" s="168"/>
      <c r="DA39" s="230">
        <f>23.1-0.6-1</f>
        <v>21.5</v>
      </c>
      <c r="DB39" s="230">
        <f>25-0.5-1</f>
        <v>23.5</v>
      </c>
      <c r="DC39" s="230">
        <f>23.7-0.5-1.1</f>
        <v>22.099999999999998</v>
      </c>
      <c r="DD39" s="230">
        <f>23.8-0.6-1</f>
        <v>22.2</v>
      </c>
      <c r="DE39" s="1170">
        <f>SUM(DA39:DD39)</f>
        <v>89.3</v>
      </c>
      <c r="DF39" s="168"/>
      <c r="DG39" s="230">
        <f>29.4-0.8-1.2</f>
        <v>27.4</v>
      </c>
      <c r="DH39" s="230">
        <f>34.5-1-1.1</f>
        <v>32.4</v>
      </c>
      <c r="DI39" s="230">
        <f>34.1-1.1-1.2</f>
        <v>31.8</v>
      </c>
      <c r="DJ39" s="230">
        <f>35.6-1.4-1.1</f>
        <v>33.1</v>
      </c>
      <c r="DK39" s="1170">
        <f>SUM(DG39:DJ39)</f>
        <v>124.69999999999999</v>
      </c>
      <c r="DL39" s="168"/>
      <c r="DM39" s="230">
        <f>38.7-1.4-1.1</f>
        <v>36.200000000000003</v>
      </c>
      <c r="DN39" s="230">
        <f>40-1.2-0.8</f>
        <v>38</v>
      </c>
      <c r="DO39" s="230">
        <f>38-1.5-0.5</f>
        <v>36</v>
      </c>
      <c r="DP39" s="230">
        <f>39.4-1.6-0.5</f>
        <v>37.299999999999997</v>
      </c>
      <c r="DQ39" s="1170">
        <f>SUM(DM39:DP39)</f>
        <v>147.5</v>
      </c>
      <c r="DR39" s="168"/>
      <c r="DS39" s="230">
        <f>39.7-1.7-0.3</f>
        <v>37.700000000000003</v>
      </c>
      <c r="DT39" s="230">
        <f>38.2-1.7-0.1</f>
        <v>36.4</v>
      </c>
      <c r="DU39" s="230">
        <f>35.1-1.7-0.2</f>
        <v>33.199999999999996</v>
      </c>
      <c r="DV39" s="230">
        <f>38.2-1.8-0.1</f>
        <v>36.300000000000004</v>
      </c>
      <c r="DW39" s="1170">
        <f>SUM(DS39:DV39)</f>
        <v>143.6</v>
      </c>
      <c r="DX39" s="168"/>
      <c r="DY39" s="230"/>
      <c r="DZ39" s="230"/>
      <c r="EA39" s="230"/>
      <c r="EB39" s="230"/>
      <c r="EC39" s="1170"/>
      <c r="ED39" s="168"/>
      <c r="EE39" s="230"/>
      <c r="EF39" s="230"/>
      <c r="EG39" s="230"/>
      <c r="EH39" s="230"/>
      <c r="EI39" s="1170"/>
      <c r="EJ39" s="168"/>
      <c r="EK39" s="230"/>
      <c r="EL39" s="230"/>
      <c r="EM39" s="230"/>
      <c r="EN39" s="230"/>
      <c r="EO39" s="1170"/>
      <c r="EP39" s="168"/>
      <c r="EQ39" s="230"/>
      <c r="ER39" s="230"/>
      <c r="ES39" s="230"/>
      <c r="ET39" s="230"/>
      <c r="EU39" s="1170"/>
      <c r="EV39" s="27"/>
    </row>
    <row r="40" spans="1:175" ht="12.75" hidden="1" customHeight="1" outlineLevel="1">
      <c r="A40" s="28" t="s">
        <v>7210</v>
      </c>
      <c r="B40" s="521"/>
      <c r="C40" s="72"/>
      <c r="D40" s="72"/>
      <c r="E40" s="72"/>
      <c r="F40" s="72"/>
      <c r="G40" s="72"/>
      <c r="H40" s="69"/>
      <c r="I40" s="72"/>
      <c r="J40" s="72"/>
      <c r="K40" s="72"/>
      <c r="L40" s="72"/>
      <c r="M40" s="72"/>
      <c r="N40" s="69"/>
      <c r="O40" s="283"/>
      <c r="P40" s="283"/>
      <c r="Q40" s="283"/>
      <c r="R40" s="283"/>
      <c r="S40" s="283"/>
      <c r="T40" s="69"/>
      <c r="U40" s="425"/>
      <c r="V40" s="426"/>
      <c r="W40" s="426"/>
      <c r="X40" s="426"/>
      <c r="Y40" s="72"/>
      <c r="Z40" s="69"/>
      <c r="AA40" s="72"/>
      <c r="AB40" s="72"/>
      <c r="AC40" s="72"/>
      <c r="AD40" s="72"/>
      <c r="AE40" s="72"/>
      <c r="AF40" s="69"/>
      <c r="AG40" s="72">
        <f>1-AG39/AG14</f>
        <v>0.84280451043876303</v>
      </c>
      <c r="AH40" s="72">
        <f>1-AH39/AH14</f>
        <v>0.86307277628032342</v>
      </c>
      <c r="AI40" s="72">
        <f>1-AI39/AI14</f>
        <v>0.74238320920785372</v>
      </c>
      <c r="AJ40" s="72">
        <f>1-AJ39/AJ14</f>
        <v>0.83028455284552849</v>
      </c>
      <c r="AK40" s="72">
        <f>1-AK39/AK14</f>
        <v>0.81799076161912476</v>
      </c>
      <c r="AL40" s="69"/>
      <c r="AM40" s="72">
        <f>1-AM39/AM14</f>
        <v>0.845112685947775</v>
      </c>
      <c r="AN40" s="72">
        <f>1-AN39/AN14</f>
        <v>0.86997675190966461</v>
      </c>
      <c r="AO40" s="72">
        <f>1-AO39/AO14</f>
        <v>0.88350465002447387</v>
      </c>
      <c r="AP40" s="72">
        <f>1-AP39/AP14</f>
        <v>0.86411500778317007</v>
      </c>
      <c r="AQ40" s="72">
        <f>1-AQ39/AQ14</f>
        <v>0.86680438415284011</v>
      </c>
      <c r="AR40" s="69"/>
      <c r="AS40" s="72">
        <f>1-AS39/AS14</f>
        <v>0.8662340380992255</v>
      </c>
      <c r="AT40" s="72">
        <f>1-AT39/AT14</f>
        <v>0.87297937816136684</v>
      </c>
      <c r="AU40" s="72">
        <f>1-AU39/AU14</f>
        <v>0.86741770695896347</v>
      </c>
      <c r="AV40" s="72">
        <f>1-AV39/AV14</f>
        <v>0.85851586273387359</v>
      </c>
      <c r="AW40" s="72">
        <f>1-AW39/AW14</f>
        <v>0.86596870485440269</v>
      </c>
      <c r="AX40" s="69"/>
      <c r="AY40" s="115">
        <f>1-AY39/AY14</f>
        <v>0.88471849865951746</v>
      </c>
      <c r="AZ40" s="115">
        <f>1-AZ39/AZ14</f>
        <v>0.89901477832512322</v>
      </c>
      <c r="BA40" s="115">
        <f>1-BA39/BA14</f>
        <v>0.90625</v>
      </c>
      <c r="BB40" s="115">
        <f>1-BB39/BB14</f>
        <v>0.91355599214145378</v>
      </c>
      <c r="BC40" s="72">
        <f>1-BC39/BC14</f>
        <v>0.90207373271889402</v>
      </c>
      <c r="BD40" s="69"/>
      <c r="BE40" s="115">
        <f>1-BE39/BE14</f>
        <v>0.91959798994974873</v>
      </c>
      <c r="BF40" s="115">
        <f>1-BF39/BF14</f>
        <v>0.92644757433489833</v>
      </c>
      <c r="BG40" s="115">
        <f>1-BG39/BG14</f>
        <v>0.97802197802197799</v>
      </c>
      <c r="BH40" s="115">
        <f>1-BH39/BH14</f>
        <v>0.97468354430379744</v>
      </c>
      <c r="BI40" s="72">
        <f>1-BI39/BI14</f>
        <v>0.95243282498184456</v>
      </c>
      <c r="BJ40" s="858"/>
      <c r="BK40" s="115">
        <f>1-BK39/BK14</f>
        <v>0.97196304849884529</v>
      </c>
      <c r="BL40" s="115">
        <f>1-BL39/BL14</f>
        <v>0.97886647454370801</v>
      </c>
      <c r="BM40" s="115">
        <f>1-BM39/BM14</f>
        <v>0.98371040723981895</v>
      </c>
      <c r="BN40" s="115">
        <f>1-BN39/BN14</f>
        <v>0.98125509372453135</v>
      </c>
      <c r="BO40" s="1161">
        <f>1-BO39/BO14</f>
        <v>0.97941023826374141</v>
      </c>
      <c r="BP40" s="69"/>
      <c r="BQ40" s="115">
        <f>1-BQ39/BQ14</f>
        <v>0.98245614035087714</v>
      </c>
      <c r="BR40" s="115">
        <f>1-BR39/BR14</f>
        <v>0.98261526832955404</v>
      </c>
      <c r="BS40" s="115">
        <f>1-BS39/BS14</f>
        <v>0.98667601683029449</v>
      </c>
      <c r="BT40" s="115">
        <f>1-BT39/BT14</f>
        <v>0.9856303069888962</v>
      </c>
      <c r="BU40" s="1161">
        <f>1-BU39/BU14</f>
        <v>0.98445970365016267</v>
      </c>
      <c r="BV40" s="69"/>
      <c r="BW40" s="115">
        <f>1-BW39/BW14</f>
        <v>0.98799519807923164</v>
      </c>
      <c r="BX40" s="115">
        <f>1-BX39/BX14</f>
        <v>0.98828778583379806</v>
      </c>
      <c r="BY40" s="115">
        <f>1-BY39/BY14</f>
        <v>0.98710370768404088</v>
      </c>
      <c r="BZ40" s="115">
        <f>1-BZ39/BZ14</f>
        <v>0.98609566184649611</v>
      </c>
      <c r="CA40" s="1161">
        <f>1-CA39/CA14</f>
        <v>0.98735599887608883</v>
      </c>
      <c r="CB40" s="69"/>
      <c r="CC40" s="115">
        <f>1-CC39/CC14</f>
        <v>0.9846322722283205</v>
      </c>
      <c r="CD40" s="115">
        <f>1-CD39/CD14</f>
        <v>0.98368678629690054</v>
      </c>
      <c r="CE40" s="115">
        <f>1-CE39/CE14</f>
        <v>0.9834070796460177</v>
      </c>
      <c r="CF40" s="115">
        <f>1-CF39/CF14</f>
        <v>0.98334228909188603</v>
      </c>
      <c r="CG40" s="1161">
        <f>1-CG39/CG14</f>
        <v>0.98376534788540249</v>
      </c>
      <c r="CH40" s="69"/>
      <c r="CI40" s="115">
        <f>1-CI39/CI14</f>
        <v>0.94815195071868585</v>
      </c>
      <c r="CJ40" s="115">
        <f>1-CJ39/CJ14</f>
        <v>0.9588755856324831</v>
      </c>
      <c r="CK40" s="115">
        <f>1-CK39/CK14</f>
        <v>0.95788392398561895</v>
      </c>
      <c r="CL40" s="115">
        <f>1-CL39/CL14</f>
        <v>0.95860676426047453</v>
      </c>
      <c r="CM40" s="1161">
        <f>1-CM39/CM14</f>
        <v>0.95588046684622285</v>
      </c>
      <c r="CN40" s="69"/>
      <c r="CO40" s="115">
        <f>1-CO39/CO14</f>
        <v>0.94154895275207018</v>
      </c>
      <c r="CP40" s="115">
        <f>1-CP39/CP14</f>
        <v>0.94514767932489452</v>
      </c>
      <c r="CQ40" s="115">
        <f>1-CQ39/CQ14</f>
        <v>0.95810313075506448</v>
      </c>
      <c r="CR40" s="115">
        <f>1-CR39/CR14</f>
        <v>0.95859585958595861</v>
      </c>
      <c r="CS40" s="1161">
        <f>1-CS39/CS14</f>
        <v>0.95104895104895104</v>
      </c>
      <c r="CT40" s="69"/>
      <c r="CU40" s="115">
        <f>1-CU39/CU14</f>
        <v>0.94984997856836695</v>
      </c>
      <c r="CV40" s="115">
        <f>1-CV39/CV14</f>
        <v>0.95446808510638292</v>
      </c>
      <c r="CW40" s="115">
        <f>1-CW39/CW14</f>
        <v>0.96470588235294119</v>
      </c>
      <c r="CX40" s="115">
        <f>1-CX39/CX14</f>
        <v>0.96033057851239667</v>
      </c>
      <c r="CY40" s="1161">
        <f>1-CY39/CY14</f>
        <v>0.9573974480649583</v>
      </c>
      <c r="CZ40" s="69"/>
      <c r="DA40" s="115">
        <f>1-DA39/DA14</f>
        <v>0.91292021061158368</v>
      </c>
      <c r="DB40" s="115">
        <f>1-DB39/DB14</f>
        <v>0.90543259557344069</v>
      </c>
      <c r="DC40" s="115">
        <f>1-DC39/DC14</f>
        <v>0.91424136592937522</v>
      </c>
      <c r="DD40" s="115">
        <f>1-DD39/DD14</f>
        <v>0.91650996615268898</v>
      </c>
      <c r="DE40" s="1161">
        <f>1-DE39/DE14</f>
        <v>0.91236506378802751</v>
      </c>
      <c r="DF40" s="69"/>
      <c r="DG40" s="115">
        <f>1-DG39/DG14</f>
        <v>0.90083242851972489</v>
      </c>
      <c r="DH40" s="115">
        <f>1-DH39/DH14</f>
        <v>0.88698988489710495</v>
      </c>
      <c r="DI40" s="115">
        <f>1-DI39/DI14</f>
        <v>0.89310924369747902</v>
      </c>
      <c r="DJ40" s="115">
        <f>1-DJ39/DJ14</f>
        <v>0.89332903641637129</v>
      </c>
      <c r="DK40" s="1161">
        <f>1-DK39/DK14</f>
        <v>0.89349162965493678</v>
      </c>
      <c r="DL40" s="69"/>
      <c r="DM40" s="115">
        <f>1-DM39/DM14</f>
        <v>0.88680425265791119</v>
      </c>
      <c r="DN40" s="115">
        <f>1-DN39/DN14</f>
        <v>0.88087774294670851</v>
      </c>
      <c r="DO40" s="115">
        <f>1-DO39/DO14</f>
        <v>0.88711194731890874</v>
      </c>
      <c r="DP40" s="115">
        <f>1-DP39/DP14</f>
        <v>0.88325508607198744</v>
      </c>
      <c r="DQ40" s="1161">
        <f>1-DQ39/DQ14</f>
        <v>0.88451299718133414</v>
      </c>
      <c r="DR40" s="69"/>
      <c r="DS40" s="115">
        <f>1-DS39/DS14</f>
        <v>0.8843558282208589</v>
      </c>
      <c r="DT40" s="115">
        <f>1-DT39/DT14</f>
        <v>0.88695652173913042</v>
      </c>
      <c r="DU40" s="115">
        <f>1-DU39/DU14</f>
        <v>0.89608763693270732</v>
      </c>
      <c r="DV40" s="115">
        <f>1-DV39/DV14</f>
        <v>0.88744186046511631</v>
      </c>
      <c r="DW40" s="1161">
        <f>1-DW39/DW14</f>
        <v>0.88868217054263565</v>
      </c>
      <c r="DX40" s="69"/>
      <c r="DY40" s="177"/>
      <c r="DZ40" s="177"/>
      <c r="EA40" s="177"/>
      <c r="EB40" s="177"/>
      <c r="EC40" s="1161"/>
      <c r="ED40" s="69"/>
      <c r="EE40" s="2030"/>
      <c r="EF40" s="177"/>
      <c r="EG40" s="177"/>
      <c r="EH40" s="177"/>
      <c r="EI40" s="1161"/>
      <c r="EJ40" s="69"/>
      <c r="EK40" s="2030"/>
      <c r="EL40" s="177"/>
      <c r="EM40" s="177"/>
      <c r="EN40" s="177"/>
      <c r="EO40" s="1161"/>
      <c r="EP40" s="69"/>
      <c r="EQ40" s="2030"/>
      <c r="ER40" s="177"/>
      <c r="ES40" s="177"/>
      <c r="ET40" s="177"/>
      <c r="EU40" s="1161"/>
      <c r="EV40" s="69"/>
    </row>
    <row r="41" spans="1:175" ht="2.25" hidden="1" customHeight="1" outlineLevel="1">
      <c r="A41" s="28"/>
      <c r="B41" s="521"/>
      <c r="C41" s="72"/>
      <c r="D41" s="72"/>
      <c r="E41" s="72"/>
      <c r="F41" s="72"/>
      <c r="G41" s="72"/>
      <c r="H41" s="69"/>
      <c r="I41" s="72"/>
      <c r="J41" s="72"/>
      <c r="K41" s="72"/>
      <c r="L41" s="72"/>
      <c r="M41" s="72"/>
      <c r="N41" s="69"/>
      <c r="O41" s="283"/>
      <c r="P41" s="283"/>
      <c r="Q41" s="283"/>
      <c r="R41" s="283"/>
      <c r="S41" s="283"/>
      <c r="T41" s="69"/>
      <c r="U41" s="72"/>
      <c r="V41" s="72"/>
      <c r="W41" s="72"/>
      <c r="X41" s="72"/>
      <c r="Y41" s="72"/>
      <c r="Z41" s="69"/>
      <c r="AA41" s="72"/>
      <c r="AB41" s="72"/>
      <c r="AC41" s="72"/>
      <c r="AD41" s="72"/>
      <c r="AE41" s="72"/>
      <c r="AF41" s="69"/>
      <c r="AG41" s="72"/>
      <c r="AH41" s="72"/>
      <c r="AI41" s="72"/>
      <c r="AJ41" s="72"/>
      <c r="AK41" s="72"/>
      <c r="AL41" s="69"/>
      <c r="AM41" s="72"/>
      <c r="AN41" s="72"/>
      <c r="AO41" s="72"/>
      <c r="AP41" s="72"/>
      <c r="AQ41" s="72"/>
      <c r="AR41" s="69"/>
      <c r="AS41" s="72"/>
      <c r="AT41" s="72"/>
      <c r="AU41" s="72"/>
      <c r="AV41" s="72"/>
      <c r="AW41" s="72"/>
      <c r="AX41" s="69"/>
      <c r="AY41" s="177"/>
      <c r="AZ41" s="177"/>
      <c r="BA41" s="177"/>
      <c r="BB41" s="177"/>
      <c r="BC41" s="72"/>
      <c r="BD41" s="69"/>
      <c r="BE41" s="177"/>
      <c r="BF41" s="177"/>
      <c r="BG41" s="177"/>
      <c r="BH41" s="177"/>
      <c r="BI41" s="72"/>
      <c r="BJ41" s="69"/>
      <c r="BK41" s="177"/>
      <c r="BL41" s="177"/>
      <c r="BM41" s="177"/>
      <c r="BN41" s="177"/>
      <c r="BO41" s="1161"/>
      <c r="BP41" s="69"/>
      <c r="BQ41" s="177"/>
      <c r="BR41" s="177"/>
      <c r="BS41" s="177"/>
      <c r="BT41" s="177"/>
      <c r="BU41" s="1161"/>
      <c r="BV41" s="69"/>
      <c r="BW41" s="177"/>
      <c r="BX41" s="177"/>
      <c r="BY41" s="177"/>
      <c r="BZ41" s="177"/>
      <c r="CA41" s="1161"/>
      <c r="CB41" s="69"/>
      <c r="CC41" s="177"/>
      <c r="CD41" s="177"/>
      <c r="CE41" s="177"/>
      <c r="CF41" s="177"/>
      <c r="CG41" s="1161"/>
      <c r="CH41" s="69"/>
      <c r="CI41" s="177"/>
      <c r="CJ41" s="177"/>
      <c r="CK41" s="177"/>
      <c r="CL41" s="177"/>
      <c r="CM41" s="1161"/>
      <c r="CN41" s="69"/>
      <c r="CO41" s="177"/>
      <c r="CP41" s="177"/>
      <c r="CQ41" s="177"/>
      <c r="CR41" s="177"/>
      <c r="CS41" s="1161"/>
      <c r="CT41" s="69"/>
      <c r="CU41" s="177"/>
      <c r="CV41" s="177"/>
      <c r="CW41" s="177"/>
      <c r="CX41" s="177"/>
      <c r="CY41" s="1161"/>
      <c r="CZ41" s="69"/>
      <c r="DA41" s="177"/>
      <c r="DB41" s="177"/>
      <c r="DC41" s="177"/>
      <c r="DD41" s="177"/>
      <c r="DE41" s="1161"/>
      <c r="DF41" s="69"/>
      <c r="DG41" s="177"/>
      <c r="DH41" s="177"/>
      <c r="DI41" s="177"/>
      <c r="DJ41" s="177"/>
      <c r="DK41" s="1161"/>
      <c r="DL41" s="69"/>
      <c r="DM41" s="177"/>
      <c r="DN41" s="177"/>
      <c r="DO41" s="177"/>
      <c r="DP41" s="177"/>
      <c r="DQ41" s="1161"/>
      <c r="DR41" s="69"/>
      <c r="DS41" s="177"/>
      <c r="DT41" s="177"/>
      <c r="DU41" s="177"/>
      <c r="DV41" s="177"/>
      <c r="DW41" s="1161"/>
      <c r="DX41" s="69"/>
      <c r="DY41" s="177"/>
      <c r="DZ41" s="177"/>
      <c r="EA41" s="177"/>
      <c r="EB41" s="177"/>
      <c r="EC41" s="1161"/>
      <c r="ED41" s="69"/>
      <c r="EE41" s="177"/>
      <c r="EF41" s="177"/>
      <c r="EG41" s="177"/>
      <c r="EH41" s="177"/>
      <c r="EI41" s="1161"/>
      <c r="EJ41" s="69"/>
      <c r="EK41" s="177"/>
      <c r="EL41" s="177"/>
      <c r="EM41" s="177"/>
      <c r="EN41" s="177"/>
      <c r="EO41" s="1161"/>
      <c r="EP41" s="69"/>
      <c r="EQ41" s="177"/>
      <c r="ER41" s="177"/>
      <c r="ES41" s="177"/>
      <c r="ET41" s="177"/>
      <c r="EU41" s="1161"/>
      <c r="EV41" s="69"/>
    </row>
    <row r="42" spans="1:175" s="2230" customFormat="1" ht="12.75" customHeight="1" collapsed="1">
      <c r="A42" s="31" t="s">
        <v>655</v>
      </c>
      <c r="B42" s="386"/>
      <c r="C42" s="320"/>
      <c r="D42" s="320"/>
      <c r="E42" s="320"/>
      <c r="F42" s="320"/>
      <c r="G42" s="320"/>
      <c r="H42" s="168"/>
      <c r="I42" s="320"/>
      <c r="J42" s="320"/>
      <c r="K42" s="320"/>
      <c r="L42" s="320"/>
      <c r="M42" s="320"/>
      <c r="N42" s="168"/>
      <c r="O42" s="320"/>
      <c r="P42" s="320"/>
      <c r="Q42" s="320"/>
      <c r="R42" s="320"/>
      <c r="S42" s="320"/>
      <c r="T42" s="168"/>
      <c r="U42" s="320"/>
      <c r="V42" s="320"/>
      <c r="W42" s="320"/>
      <c r="X42" s="320"/>
      <c r="Y42" s="320"/>
      <c r="Z42" s="168"/>
      <c r="AA42" s="320"/>
      <c r="AB42" s="320"/>
      <c r="AC42" s="320"/>
      <c r="AD42" s="320"/>
      <c r="AE42" s="320"/>
      <c r="AF42" s="168"/>
      <c r="AG42" s="320"/>
      <c r="AH42" s="320"/>
      <c r="AI42" s="320"/>
      <c r="AJ42" s="320"/>
      <c r="AK42" s="320"/>
      <c r="AL42" s="168"/>
      <c r="AM42" s="320"/>
      <c r="AN42" s="320"/>
      <c r="AO42" s="320"/>
      <c r="AP42" s="320"/>
      <c r="AQ42" s="320"/>
      <c r="AR42" s="320"/>
      <c r="AS42" s="320"/>
      <c r="AT42" s="320"/>
      <c r="AU42" s="320"/>
      <c r="AV42" s="320"/>
      <c r="AW42" s="320"/>
      <c r="AX42" s="320"/>
      <c r="AY42" s="339"/>
      <c r="AZ42" s="339"/>
      <c r="BA42" s="339"/>
      <c r="BB42" s="339"/>
      <c r="BC42" s="61"/>
      <c r="BD42" s="320"/>
      <c r="BE42" s="339"/>
      <c r="BF42" s="339"/>
      <c r="BG42" s="339"/>
      <c r="BH42" s="339"/>
      <c r="BI42" s="61"/>
      <c r="BJ42" s="168"/>
      <c r="BK42" s="339"/>
      <c r="BL42" s="339"/>
      <c r="BM42" s="339"/>
      <c r="BN42" s="339"/>
      <c r="BO42" s="1125"/>
      <c r="BP42" s="61"/>
      <c r="BQ42" s="339"/>
      <c r="BR42" s="339"/>
      <c r="BS42" s="339"/>
      <c r="BT42" s="339"/>
      <c r="BU42" s="1125"/>
      <c r="BV42" s="61"/>
      <c r="BW42" s="339"/>
      <c r="BX42" s="339"/>
      <c r="BY42" s="339"/>
      <c r="BZ42" s="339"/>
      <c r="CA42" s="1125"/>
      <c r="CB42" s="168"/>
      <c r="CC42" s="339"/>
      <c r="CD42" s="339"/>
      <c r="CE42" s="339"/>
      <c r="CF42" s="339"/>
      <c r="CG42" s="1125"/>
      <c r="CH42" s="168"/>
      <c r="CI42" s="320"/>
      <c r="CJ42" s="320"/>
      <c r="CK42" s="320"/>
      <c r="CL42" s="320"/>
      <c r="CM42" s="1170"/>
      <c r="CN42" s="168"/>
      <c r="CO42" s="320"/>
      <c r="CP42" s="320"/>
      <c r="CQ42" s="320"/>
      <c r="CR42" s="320"/>
      <c r="CS42" s="1170"/>
      <c r="CT42" s="168"/>
      <c r="CU42" s="320"/>
      <c r="CV42" s="320"/>
      <c r="CW42" s="320"/>
      <c r="CX42" s="320"/>
      <c r="CY42" s="1170"/>
      <c r="CZ42" s="168"/>
      <c r="DA42" s="320"/>
      <c r="DB42" s="320"/>
      <c r="DC42" s="320"/>
      <c r="DD42" s="320"/>
      <c r="DE42" s="1170"/>
      <c r="DF42" s="168"/>
      <c r="DG42" s="320"/>
      <c r="DH42" s="320"/>
      <c r="DI42" s="320"/>
      <c r="DJ42" s="320"/>
      <c r="DK42" s="1170"/>
      <c r="DL42" s="168"/>
      <c r="DM42" s="320"/>
      <c r="DN42" s="320"/>
      <c r="DO42" s="320"/>
      <c r="DP42" s="320"/>
      <c r="DQ42" s="1170"/>
      <c r="DR42" s="168"/>
      <c r="DS42" s="320"/>
      <c r="DT42" s="320"/>
      <c r="DU42" s="320"/>
      <c r="DV42" s="320"/>
      <c r="DW42" s="1170"/>
      <c r="DX42" s="168"/>
      <c r="DY42" s="320"/>
      <c r="DZ42" s="320"/>
      <c r="EA42" s="320"/>
      <c r="EB42" s="320"/>
      <c r="EC42" s="1136"/>
      <c r="ED42" s="168"/>
      <c r="EE42" s="320"/>
      <c r="EF42" s="320"/>
      <c r="EG42" s="320"/>
      <c r="EH42" s="320"/>
      <c r="EI42" s="1136"/>
      <c r="EJ42" s="168"/>
      <c r="EK42" s="320"/>
      <c r="EL42" s="320"/>
      <c r="EM42" s="320"/>
      <c r="EN42" s="320"/>
      <c r="EO42" s="1136"/>
      <c r="EP42" s="168"/>
      <c r="EQ42" s="320"/>
      <c r="ER42" s="320"/>
      <c r="ES42" s="320"/>
      <c r="ET42" s="320"/>
      <c r="EU42" s="1136"/>
      <c r="EV42" s="194"/>
      <c r="EW42"/>
      <c r="EX42"/>
      <c r="EY42"/>
      <c r="EZ42"/>
      <c r="FA42"/>
      <c r="FB42"/>
    </row>
    <row r="43" spans="1:175" s="2230" customFormat="1" ht="12.75" customHeight="1">
      <c r="A43" s="25" t="s">
        <v>5543</v>
      </c>
      <c r="B43" s="386"/>
      <c r="C43" s="320"/>
      <c r="D43" s="320"/>
      <c r="E43" s="320"/>
      <c r="F43" s="320"/>
      <c r="G43" s="320"/>
      <c r="H43" s="168"/>
      <c r="I43" s="320"/>
      <c r="J43" s="320"/>
      <c r="K43" s="320"/>
      <c r="L43" s="320"/>
      <c r="M43" s="320"/>
      <c r="N43" s="168"/>
      <c r="O43" s="320"/>
      <c r="P43" s="320"/>
      <c r="Q43" s="320"/>
      <c r="R43" s="320"/>
      <c r="S43" s="320"/>
      <c r="T43" s="168"/>
      <c r="U43" s="320"/>
      <c r="V43" s="320"/>
      <c r="W43" s="320"/>
      <c r="X43" s="320"/>
      <c r="Y43" s="320"/>
      <c r="Z43" s="168"/>
      <c r="AA43" s="320"/>
      <c r="AB43" s="320"/>
      <c r="AC43" s="320"/>
      <c r="AD43" s="320"/>
      <c r="AE43" s="320"/>
      <c r="AF43" s="168"/>
      <c r="AG43" s="320"/>
      <c r="AH43" s="320"/>
      <c r="AI43" s="320"/>
      <c r="AJ43" s="320"/>
      <c r="AK43" s="320"/>
      <c r="AL43" s="168"/>
      <c r="AM43" s="320"/>
      <c r="AN43" s="320"/>
      <c r="AO43" s="320"/>
      <c r="AP43" s="320"/>
      <c r="AQ43" s="320"/>
      <c r="AR43" s="320"/>
      <c r="AS43" s="320"/>
      <c r="AT43" s="320"/>
      <c r="AU43" s="320"/>
      <c r="AV43" s="320"/>
      <c r="AW43" s="320"/>
      <c r="AX43" s="320"/>
      <c r="AY43" s="339"/>
      <c r="AZ43" s="339"/>
      <c r="BA43" s="339"/>
      <c r="BB43" s="339"/>
      <c r="BC43" s="61"/>
      <c r="BD43" s="320"/>
      <c r="BE43" s="339"/>
      <c r="BF43" s="339"/>
      <c r="BG43" s="339"/>
      <c r="BH43" s="339"/>
      <c r="BI43" s="61"/>
      <c r="BJ43" s="168"/>
      <c r="BK43" s="339"/>
      <c r="BL43" s="339"/>
      <c r="BM43" s="339"/>
      <c r="BN43" s="339"/>
      <c r="BO43" s="1125"/>
      <c r="BP43" s="61"/>
      <c r="BQ43" s="339"/>
      <c r="BR43" s="339"/>
      <c r="BS43" s="339"/>
      <c r="BT43" s="339"/>
      <c r="BU43" s="1125"/>
      <c r="BV43" s="61"/>
      <c r="BW43" s="339"/>
      <c r="BX43" s="339"/>
      <c r="BY43" s="339"/>
      <c r="BZ43" s="339"/>
      <c r="CA43" s="1125"/>
      <c r="CB43" s="168"/>
      <c r="CC43" s="339"/>
      <c r="CD43" s="339"/>
      <c r="CE43" s="339"/>
      <c r="CF43" s="339"/>
      <c r="CG43" s="1125"/>
      <c r="CH43" s="168"/>
      <c r="CI43" s="320"/>
      <c r="CJ43" s="320"/>
      <c r="CK43" s="320"/>
      <c r="CL43" s="320"/>
      <c r="CM43" s="1170"/>
      <c r="CN43" s="168"/>
      <c r="CO43" s="320"/>
      <c r="CP43" s="320"/>
      <c r="CQ43" s="320"/>
      <c r="CR43" s="320"/>
      <c r="CS43" s="1170"/>
      <c r="CT43" s="168"/>
      <c r="CU43" s="320"/>
      <c r="CV43" s="320"/>
      <c r="CW43" s="320"/>
      <c r="CX43" s="320"/>
      <c r="CY43" s="1170"/>
      <c r="CZ43" s="168"/>
      <c r="DA43" s="320"/>
      <c r="DB43" s="320"/>
      <c r="DC43" s="320"/>
      <c r="DD43" s="320"/>
      <c r="DE43" s="1170"/>
      <c r="DF43" s="168"/>
      <c r="DG43" s="320"/>
      <c r="DH43" s="320"/>
      <c r="DI43" s="320"/>
      <c r="DJ43" s="320"/>
      <c r="DK43" s="1170"/>
      <c r="DL43" s="168"/>
      <c r="DM43" s="320"/>
      <c r="DN43" s="320"/>
      <c r="DO43" s="320"/>
      <c r="DP43" s="320"/>
      <c r="DQ43" s="1170"/>
      <c r="DR43" s="168"/>
      <c r="DS43" s="61">
        <v>34.9</v>
      </c>
      <c r="DT43" s="61">
        <f>27.6-1.4</f>
        <v>26.200000000000003</v>
      </c>
      <c r="DU43" s="61">
        <f>24.3-1.3</f>
        <v>23</v>
      </c>
      <c r="DV43" s="320"/>
      <c r="DW43" s="1170"/>
      <c r="DX43" s="168"/>
      <c r="DY43" s="61">
        <f>18.6-1.1</f>
        <v>17.5</v>
      </c>
      <c r="DZ43" s="61">
        <f>17.8-1</f>
        <v>16.8</v>
      </c>
      <c r="EA43" s="61">
        <f>19.6-1</f>
        <v>18.600000000000001</v>
      </c>
      <c r="EB43" s="61">
        <f>16.6-0.9</f>
        <v>15.700000000000001</v>
      </c>
      <c r="EC43" s="1170">
        <f>SUM(DY43:EB43)</f>
        <v>68.599999999999994</v>
      </c>
      <c r="ED43" s="168"/>
      <c r="EE43" s="230">
        <f>EE28*(1-EE44)</f>
        <v>12.537612088599504</v>
      </c>
      <c r="EF43" s="230">
        <f t="shared" ref="EF43:EH43" si="10">EF28*(1-EF44)</f>
        <v>13.791373297459455</v>
      </c>
      <c r="EG43" s="230">
        <f t="shared" si="10"/>
        <v>16.298895715179356</v>
      </c>
      <c r="EH43" s="230">
        <f t="shared" si="10"/>
        <v>20.060179341759209</v>
      </c>
      <c r="EI43" s="1170">
        <f>SUM(EE43:EH43)</f>
        <v>62.688060442997525</v>
      </c>
      <c r="EJ43" s="168"/>
      <c r="EK43" s="230">
        <f>EK28*(1-EK44)</f>
        <v>23.228237496687488</v>
      </c>
      <c r="EL43" s="230">
        <f t="shared" ref="EL43" si="11">EL28*(1-EL44)</f>
        <v>22.908152156366892</v>
      </c>
      <c r="EM43" s="230">
        <f t="shared" ref="EM43" si="12">EM28*(1-EM44)</f>
        <v>23.481460565918891</v>
      </c>
      <c r="EN43" s="230">
        <f t="shared" ref="EN43" si="13">EN28*(1-EN44)</f>
        <v>23.092578216452065</v>
      </c>
      <c r="EO43" s="1170">
        <f>SUM(EK43:EN43)</f>
        <v>92.710428435425342</v>
      </c>
      <c r="EP43" s="168"/>
      <c r="EQ43" s="230">
        <f>EQ28*(1-EQ44)</f>
        <v>27.807753219607449</v>
      </c>
      <c r="ER43" s="230">
        <f t="shared" ref="ER43:ET43" si="14">ER28*(1-ER44)</f>
        <v>27.375488687058105</v>
      </c>
      <c r="ES43" s="230">
        <f t="shared" si="14"/>
        <v>28.012753124493667</v>
      </c>
      <c r="ET43" s="230">
        <f t="shared" si="14"/>
        <v>27.504016859452047</v>
      </c>
      <c r="EU43" s="1170">
        <f>SUM(EQ43:ET43)</f>
        <v>110.70001189061128</v>
      </c>
      <c r="EV43" s="194"/>
      <c r="EW43"/>
      <c r="EX43"/>
      <c r="EY43"/>
      <c r="EZ43"/>
      <c r="FA43"/>
      <c r="FB43"/>
    </row>
    <row r="44" spans="1:175" s="2230" customFormat="1" ht="12.75" customHeight="1">
      <c r="A44" s="28" t="s">
        <v>1874</v>
      </c>
      <c r="B44" s="386"/>
      <c r="C44" s="320"/>
      <c r="D44" s="320"/>
      <c r="E44" s="320"/>
      <c r="F44" s="320"/>
      <c r="G44" s="320"/>
      <c r="H44" s="168"/>
      <c r="I44" s="320"/>
      <c r="J44" s="320"/>
      <c r="K44" s="320"/>
      <c r="L44" s="320"/>
      <c r="M44" s="320"/>
      <c r="N44" s="168"/>
      <c r="O44" s="320"/>
      <c r="P44" s="320"/>
      <c r="Q44" s="320"/>
      <c r="R44" s="320"/>
      <c r="S44" s="320"/>
      <c r="T44" s="168"/>
      <c r="U44" s="320"/>
      <c r="V44" s="320"/>
      <c r="W44" s="320"/>
      <c r="X44" s="320"/>
      <c r="Y44" s="320"/>
      <c r="Z44" s="168"/>
      <c r="AA44" s="320"/>
      <c r="AB44" s="320"/>
      <c r="AC44" s="320"/>
      <c r="AD44" s="320"/>
      <c r="AE44" s="320"/>
      <c r="AF44" s="168"/>
      <c r="AG44" s="320"/>
      <c r="AH44" s="320"/>
      <c r="AI44" s="320"/>
      <c r="AJ44" s="320"/>
      <c r="AK44" s="320"/>
      <c r="AL44" s="168"/>
      <c r="AM44" s="320"/>
      <c r="AN44" s="320"/>
      <c r="AO44" s="320"/>
      <c r="AP44" s="320"/>
      <c r="AQ44" s="320"/>
      <c r="AR44" s="320"/>
      <c r="AS44" s="320"/>
      <c r="AT44" s="320"/>
      <c r="AU44" s="320"/>
      <c r="AV44" s="320"/>
      <c r="AW44" s="320"/>
      <c r="AX44" s="320"/>
      <c r="AY44" s="339"/>
      <c r="AZ44" s="339"/>
      <c r="BA44" s="339"/>
      <c r="BB44" s="339"/>
      <c r="BC44" s="61"/>
      <c r="BD44" s="320"/>
      <c r="BE44" s="339"/>
      <c r="BF44" s="339"/>
      <c r="BG44" s="339"/>
      <c r="BH44" s="339"/>
      <c r="BI44" s="61"/>
      <c r="BJ44" s="168"/>
      <c r="BK44" s="339"/>
      <c r="BL44" s="339"/>
      <c r="BM44" s="339"/>
      <c r="BN44" s="339"/>
      <c r="BO44" s="1125"/>
      <c r="BP44" s="61"/>
      <c r="BQ44" s="339"/>
      <c r="BR44" s="339"/>
      <c r="BS44" s="339"/>
      <c r="BT44" s="339"/>
      <c r="BU44" s="1125"/>
      <c r="BV44" s="61"/>
      <c r="BW44" s="339"/>
      <c r="BX44" s="339"/>
      <c r="BY44" s="339"/>
      <c r="BZ44" s="339"/>
      <c r="CA44" s="1125"/>
      <c r="CB44" s="168"/>
      <c r="CC44" s="339"/>
      <c r="CD44" s="339"/>
      <c r="CE44" s="339"/>
      <c r="CF44" s="339"/>
      <c r="CG44" s="1125"/>
      <c r="CH44" s="168"/>
      <c r="CI44" s="320"/>
      <c r="CJ44" s="320"/>
      <c r="CK44" s="320"/>
      <c r="CL44" s="320"/>
      <c r="CM44" s="1170"/>
      <c r="CN44" s="168"/>
      <c r="CO44" s="320"/>
      <c r="CP44" s="320"/>
      <c r="CQ44" s="320"/>
      <c r="CR44" s="320"/>
      <c r="CS44" s="1170"/>
      <c r="CT44" s="168"/>
      <c r="CU44" s="320"/>
      <c r="CV44" s="320"/>
      <c r="CW44" s="320"/>
      <c r="CX44" s="320"/>
      <c r="CY44" s="1170"/>
      <c r="CZ44" s="168"/>
      <c r="DA44" s="320"/>
      <c r="DB44" s="320"/>
      <c r="DC44" s="320"/>
      <c r="DD44" s="320"/>
      <c r="DE44" s="1170"/>
      <c r="DF44" s="168"/>
      <c r="DG44" s="320"/>
      <c r="DH44" s="320"/>
      <c r="DI44" s="320"/>
      <c r="DJ44" s="320"/>
      <c r="DK44" s="1170"/>
      <c r="DL44" s="168"/>
      <c r="DM44" s="320"/>
      <c r="DN44" s="320"/>
      <c r="DO44" s="320"/>
      <c r="DP44" s="320"/>
      <c r="DQ44" s="1170"/>
      <c r="DR44" s="168"/>
      <c r="DS44" s="115">
        <f>1-DS43/DS28</f>
        <v>0.75422535211267605</v>
      </c>
      <c r="DT44" s="115">
        <f>1-DT43/DT28</f>
        <v>0.84678362573099419</v>
      </c>
      <c r="DU44" s="115">
        <f>1-DU43/DU28</f>
        <v>0.77884615384615385</v>
      </c>
      <c r="DV44" s="320"/>
      <c r="DW44" s="1170"/>
      <c r="DX44" s="168"/>
      <c r="DY44" s="115">
        <f>1-DY43/DY28</f>
        <v>0.64065708418891165</v>
      </c>
      <c r="DZ44" s="115">
        <f>1-DZ43/DZ28</f>
        <v>0.61731207289293843</v>
      </c>
      <c r="EA44" s="115">
        <f>1-EA43/EA28</f>
        <v>0.53266331658291444</v>
      </c>
      <c r="EB44" s="115">
        <f>1-EB43/EB28</f>
        <v>0.61042183622828783</v>
      </c>
      <c r="EC44" s="1161">
        <f>1-EC43/EC28</f>
        <v>0.60277938621887661</v>
      </c>
      <c r="ED44" s="455"/>
      <c r="EE44" s="2245">
        <f>EB44</f>
        <v>0.61042183622828783</v>
      </c>
      <c r="EF44" s="2245">
        <f>EE44</f>
        <v>0.61042183622828783</v>
      </c>
      <c r="EG44" s="2245">
        <f>EF44</f>
        <v>0.61042183622828783</v>
      </c>
      <c r="EH44" s="2245">
        <f>EG44</f>
        <v>0.61042183622828783</v>
      </c>
      <c r="EI44" s="1161">
        <f>1-EI43/EI28</f>
        <v>0.61042183622828783</v>
      </c>
      <c r="EJ44" s="455"/>
      <c r="EK44" s="2245">
        <f>EH44</f>
        <v>0.61042183622828783</v>
      </c>
      <c r="EL44" s="2245">
        <f>EK44-0.01</f>
        <v>0.60042183622828782</v>
      </c>
      <c r="EM44" s="2245">
        <f>EL44-0.01</f>
        <v>0.59042183622828781</v>
      </c>
      <c r="EN44" s="2245">
        <f>EM44-0.01</f>
        <v>0.5804218362282878</v>
      </c>
      <c r="EO44" s="1161">
        <f>1-EO43/EO28</f>
        <v>0.59572183622828767</v>
      </c>
      <c r="EP44" s="455"/>
      <c r="EQ44" s="2245">
        <f>EN44</f>
        <v>0.5804218362282878</v>
      </c>
      <c r="ER44" s="2245">
        <f>EQ44-0.01</f>
        <v>0.57042183622828779</v>
      </c>
      <c r="ES44" s="2245">
        <f>ER44-0.01</f>
        <v>0.56042183622828778</v>
      </c>
      <c r="ET44" s="2245">
        <f>ES44-0.01</f>
        <v>0.55042183622828778</v>
      </c>
      <c r="EU44" s="1161">
        <f>1-EU43/EU28</f>
        <v>0.56572183622828776</v>
      </c>
      <c r="EV44" s="194"/>
      <c r="EW44"/>
      <c r="EX44"/>
      <c r="EY44"/>
      <c r="EZ44"/>
      <c r="FA44"/>
      <c r="FB44"/>
      <c r="FD44" s="2244"/>
      <c r="FE44" s="2244"/>
      <c r="FF44" s="2244"/>
      <c r="FG44" s="2244"/>
      <c r="FH44" s="2244"/>
      <c r="FI44" s="2244"/>
      <c r="FJ44" s="2244"/>
      <c r="FK44" s="2244"/>
      <c r="FL44" s="2244"/>
      <c r="FM44" s="2244"/>
      <c r="FN44" s="2244"/>
      <c r="FO44" s="2244"/>
      <c r="FP44" s="2244"/>
      <c r="FQ44" s="2244"/>
      <c r="FR44" s="2244"/>
      <c r="FS44" s="2244"/>
    </row>
    <row r="45" spans="1:175" s="2230" customFormat="1" ht="3" customHeight="1">
      <c r="A45" s="28"/>
      <c r="B45" s="386"/>
      <c r="C45" s="320"/>
      <c r="D45" s="320"/>
      <c r="E45" s="320"/>
      <c r="F45" s="320"/>
      <c r="G45" s="320"/>
      <c r="H45" s="168"/>
      <c r="I45" s="320"/>
      <c r="J45" s="320"/>
      <c r="K45" s="320"/>
      <c r="L45" s="320"/>
      <c r="M45" s="320"/>
      <c r="N45" s="168"/>
      <c r="O45" s="320"/>
      <c r="P45" s="320"/>
      <c r="Q45" s="320"/>
      <c r="R45" s="320"/>
      <c r="S45" s="320"/>
      <c r="T45" s="168"/>
      <c r="U45" s="320"/>
      <c r="V45" s="320"/>
      <c r="W45" s="320"/>
      <c r="X45" s="320"/>
      <c r="Y45" s="320"/>
      <c r="Z45" s="168"/>
      <c r="AA45" s="320"/>
      <c r="AB45" s="320"/>
      <c r="AC45" s="320"/>
      <c r="AD45" s="320"/>
      <c r="AE45" s="320"/>
      <c r="AF45" s="168"/>
      <c r="AG45" s="320"/>
      <c r="AH45" s="320"/>
      <c r="AI45" s="320"/>
      <c r="AJ45" s="320"/>
      <c r="AK45" s="320"/>
      <c r="AL45" s="168"/>
      <c r="AM45" s="320"/>
      <c r="AN45" s="320"/>
      <c r="AO45" s="320"/>
      <c r="AP45" s="320"/>
      <c r="AQ45" s="320"/>
      <c r="AR45" s="320"/>
      <c r="AS45" s="320"/>
      <c r="AT45" s="320"/>
      <c r="AU45" s="320"/>
      <c r="AV45" s="320"/>
      <c r="AW45" s="320"/>
      <c r="AX45" s="320"/>
      <c r="AY45" s="339"/>
      <c r="AZ45" s="339"/>
      <c r="BA45" s="339"/>
      <c r="BB45" s="339"/>
      <c r="BC45" s="61"/>
      <c r="BD45" s="320"/>
      <c r="BE45" s="339"/>
      <c r="BF45" s="339"/>
      <c r="BG45" s="339"/>
      <c r="BH45" s="339"/>
      <c r="BI45" s="61"/>
      <c r="BJ45" s="168"/>
      <c r="BK45" s="339"/>
      <c r="BL45" s="339"/>
      <c r="BM45" s="339"/>
      <c r="BN45" s="339"/>
      <c r="BO45" s="1125"/>
      <c r="BP45" s="61"/>
      <c r="BQ45" s="339"/>
      <c r="BR45" s="339"/>
      <c r="BS45" s="339"/>
      <c r="BT45" s="339"/>
      <c r="BU45" s="1125"/>
      <c r="BV45" s="61"/>
      <c r="BW45" s="339"/>
      <c r="BX45" s="339"/>
      <c r="BY45" s="339"/>
      <c r="BZ45" s="339"/>
      <c r="CA45" s="1125"/>
      <c r="CB45" s="168"/>
      <c r="CC45" s="339"/>
      <c r="CD45" s="339"/>
      <c r="CE45" s="339"/>
      <c r="CF45" s="339"/>
      <c r="CG45" s="1125"/>
      <c r="CH45" s="168"/>
      <c r="CI45" s="320"/>
      <c r="CJ45" s="320"/>
      <c r="CK45" s="320"/>
      <c r="CL45" s="320"/>
      <c r="CM45" s="1170"/>
      <c r="CN45" s="168"/>
      <c r="CO45" s="320"/>
      <c r="CP45" s="320"/>
      <c r="CQ45" s="320"/>
      <c r="CR45" s="320"/>
      <c r="CS45" s="1170"/>
      <c r="CT45" s="168"/>
      <c r="CU45" s="320"/>
      <c r="CV45" s="320"/>
      <c r="CW45" s="320"/>
      <c r="CX45" s="320"/>
      <c r="CY45" s="1170"/>
      <c r="CZ45" s="168"/>
      <c r="DA45" s="320"/>
      <c r="DB45" s="320"/>
      <c r="DC45" s="320"/>
      <c r="DD45" s="320"/>
      <c r="DE45" s="1170"/>
      <c r="DF45" s="168"/>
      <c r="DG45" s="320"/>
      <c r="DH45" s="320"/>
      <c r="DI45" s="320"/>
      <c r="DJ45" s="320"/>
      <c r="DK45" s="1170"/>
      <c r="DL45" s="168"/>
      <c r="DM45" s="320"/>
      <c r="DN45" s="320"/>
      <c r="DO45" s="320"/>
      <c r="DP45" s="320"/>
      <c r="DQ45" s="1170"/>
      <c r="DR45" s="168"/>
      <c r="DS45" s="457"/>
      <c r="DT45" s="457"/>
      <c r="DU45" s="457"/>
      <c r="DV45" s="320"/>
      <c r="DW45" s="1170"/>
      <c r="DX45" s="168"/>
      <c r="DY45" s="457"/>
      <c r="DZ45" s="457"/>
      <c r="EA45" s="457"/>
      <c r="EB45" s="457"/>
      <c r="EC45" s="1161"/>
      <c r="ED45" s="455"/>
      <c r="EE45" s="457"/>
      <c r="EF45" s="457"/>
      <c r="EG45" s="457"/>
      <c r="EH45" s="457"/>
      <c r="EI45" s="1161"/>
      <c r="EJ45" s="455"/>
      <c r="EK45" s="457"/>
      <c r="EL45" s="457"/>
      <c r="EM45" s="457"/>
      <c r="EN45" s="457"/>
      <c r="EO45" s="1161"/>
      <c r="EP45" s="455"/>
      <c r="EQ45" s="457"/>
      <c r="ER45" s="457"/>
      <c r="ES45" s="457"/>
      <c r="ET45" s="457"/>
      <c r="EU45" s="1161"/>
      <c r="EV45" s="194"/>
      <c r="EW45"/>
      <c r="EX45"/>
      <c r="EY45"/>
      <c r="EZ45"/>
      <c r="FA45"/>
      <c r="FB45"/>
    </row>
    <row r="46" spans="1:175" s="2230" customFormat="1" ht="12.75" customHeight="1">
      <c r="A46" s="25" t="s">
        <v>7211</v>
      </c>
      <c r="B46" s="386"/>
      <c r="C46" s="320"/>
      <c r="D46" s="320"/>
      <c r="E46" s="320"/>
      <c r="F46" s="320"/>
      <c r="G46" s="320"/>
      <c r="H46" s="168"/>
      <c r="I46" s="320"/>
      <c r="J46" s="320"/>
      <c r="K46" s="320"/>
      <c r="L46" s="320"/>
      <c r="M46" s="320"/>
      <c r="N46" s="168"/>
      <c r="O46" s="320"/>
      <c r="P46" s="320"/>
      <c r="Q46" s="320"/>
      <c r="R46" s="320"/>
      <c r="S46" s="320"/>
      <c r="T46" s="168"/>
      <c r="U46" s="320"/>
      <c r="V46" s="320"/>
      <c r="W46" s="320"/>
      <c r="X46" s="320"/>
      <c r="Y46" s="320"/>
      <c r="Z46" s="168"/>
      <c r="AA46" s="320"/>
      <c r="AB46" s="320"/>
      <c r="AC46" s="320"/>
      <c r="AD46" s="320"/>
      <c r="AE46" s="320"/>
      <c r="AF46" s="168"/>
      <c r="AG46" s="320"/>
      <c r="AH46" s="320"/>
      <c r="AI46" s="320"/>
      <c r="AJ46" s="320"/>
      <c r="AK46" s="320"/>
      <c r="AL46" s="168"/>
      <c r="AM46" s="320"/>
      <c r="AN46" s="320"/>
      <c r="AO46" s="320"/>
      <c r="AP46" s="320"/>
      <c r="AQ46" s="320"/>
      <c r="AR46" s="320"/>
      <c r="AS46" s="320"/>
      <c r="AT46" s="320"/>
      <c r="AU46" s="320"/>
      <c r="AV46" s="320"/>
      <c r="AW46" s="320"/>
      <c r="AX46" s="320"/>
      <c r="AY46" s="339"/>
      <c r="AZ46" s="339"/>
      <c r="BA46" s="339"/>
      <c r="BB46" s="339"/>
      <c r="BC46" s="61"/>
      <c r="BD46" s="320"/>
      <c r="BE46" s="339"/>
      <c r="BF46" s="339"/>
      <c r="BG46" s="339"/>
      <c r="BH46" s="339"/>
      <c r="BI46" s="61"/>
      <c r="BJ46" s="168"/>
      <c r="BK46" s="339"/>
      <c r="BL46" s="339"/>
      <c r="BM46" s="339"/>
      <c r="BN46" s="339"/>
      <c r="BO46" s="1125"/>
      <c r="BP46" s="61"/>
      <c r="BQ46" s="339"/>
      <c r="BR46" s="339"/>
      <c r="BS46" s="339"/>
      <c r="BT46" s="339"/>
      <c r="BU46" s="1125"/>
      <c r="BV46" s="61"/>
      <c r="BW46" s="339"/>
      <c r="BX46" s="339"/>
      <c r="BY46" s="339"/>
      <c r="BZ46" s="339"/>
      <c r="CA46" s="1125"/>
      <c r="CB46" s="168"/>
      <c r="CC46" s="339"/>
      <c r="CD46" s="339"/>
      <c r="CE46" s="339"/>
      <c r="CF46" s="339"/>
      <c r="CG46" s="1125"/>
      <c r="CH46" s="168"/>
      <c r="CI46" s="320"/>
      <c r="CJ46" s="320"/>
      <c r="CK46" s="320"/>
      <c r="CL46" s="320"/>
      <c r="CM46" s="1170"/>
      <c r="CN46" s="168"/>
      <c r="CO46" s="320"/>
      <c r="CP46" s="320"/>
      <c r="CQ46" s="320"/>
      <c r="CR46" s="320"/>
      <c r="CS46" s="1170"/>
      <c r="CT46" s="168"/>
      <c r="CU46" s="320"/>
      <c r="CV46" s="320"/>
      <c r="CW46" s="320"/>
      <c r="CX46" s="320"/>
      <c r="CY46" s="1170"/>
      <c r="CZ46" s="168"/>
      <c r="DA46" s="320"/>
      <c r="DB46" s="320"/>
      <c r="DC46" s="320"/>
      <c r="DD46" s="320"/>
      <c r="DE46" s="1170"/>
      <c r="DF46" s="168"/>
      <c r="DG46" s="320"/>
      <c r="DH46" s="320"/>
      <c r="DI46" s="320"/>
      <c r="DJ46" s="320"/>
      <c r="DK46" s="1170"/>
      <c r="DL46" s="168"/>
      <c r="DM46" s="320"/>
      <c r="DN46" s="320"/>
      <c r="DO46" s="320"/>
      <c r="DP46" s="320"/>
      <c r="DQ46" s="1170"/>
      <c r="DR46" s="168"/>
      <c r="DS46" s="230">
        <v>46.6</v>
      </c>
      <c r="DT46" s="230">
        <f>46.8-2</f>
        <v>44.8</v>
      </c>
      <c r="DU46" s="230">
        <f>46.8-2.2</f>
        <v>44.599999999999994</v>
      </c>
      <c r="DV46" s="320"/>
      <c r="DW46" s="1170"/>
      <c r="DX46" s="168"/>
      <c r="DY46" s="230">
        <v>52.1</v>
      </c>
      <c r="DZ46" s="230">
        <f>52.8-2.8</f>
        <v>50</v>
      </c>
      <c r="EA46" s="230">
        <f>53.9-2.9</f>
        <v>51</v>
      </c>
      <c r="EB46" s="230">
        <f>52.8-3.4</f>
        <v>49.4</v>
      </c>
      <c r="EC46" s="1170">
        <f>SUM(DY46:EB46)</f>
        <v>202.5</v>
      </c>
      <c r="ED46" s="168"/>
      <c r="EE46" s="230">
        <f>EE24*(1-EE47)</f>
        <v>46.112338992929658</v>
      </c>
      <c r="EF46" s="230">
        <f t="shared" ref="EF46:EH46" si="15">EF24*(1-EF47)</f>
        <v>47.104186288036082</v>
      </c>
      <c r="EG46" s="230">
        <f t="shared" si="15"/>
        <v>48.500951031407624</v>
      </c>
      <c r="EH46" s="230">
        <f t="shared" si="15"/>
        <v>52.716151126447791</v>
      </c>
      <c r="EI46" s="1170">
        <f>SUM(EE46:EH46)</f>
        <v>194.43362743882116</v>
      </c>
      <c r="EJ46" s="168"/>
      <c r="EK46" s="230">
        <f>EK24*(1-EK47)</f>
        <v>44.169989246551133</v>
      </c>
      <c r="EL46" s="230">
        <f t="shared" ref="EL46:EN46" si="16">EL24*(1-EL47)</f>
        <v>47.284429826139814</v>
      </c>
      <c r="EM46" s="230">
        <f t="shared" si="16"/>
        <v>51.081576090499546</v>
      </c>
      <c r="EN46" s="230">
        <f t="shared" si="16"/>
        <v>58.808074361820772</v>
      </c>
      <c r="EO46" s="1170">
        <f>SUM(EK46:EN46)</f>
        <v>201.34406952501126</v>
      </c>
      <c r="EP46" s="168"/>
      <c r="EQ46" s="230">
        <f>EQ24*(1-EQ47)</f>
        <v>49.128006074694106</v>
      </c>
      <c r="ER46" s="230">
        <f t="shared" ref="ER46:ET46" si="17">ER24*(1-ER47)</f>
        <v>56.155098332324052</v>
      </c>
      <c r="ES46" s="230">
        <f t="shared" si="17"/>
        <v>63.248711717037857</v>
      </c>
      <c r="ET46" s="230">
        <f t="shared" si="17"/>
        <v>75.207610618446878</v>
      </c>
      <c r="EU46" s="1170">
        <f>SUM(EQ46:ET46)</f>
        <v>243.73942674250287</v>
      </c>
      <c r="EV46" s="194"/>
      <c r="EW46"/>
      <c r="EX46"/>
      <c r="EY46"/>
      <c r="EZ46"/>
      <c r="FA46"/>
      <c r="FB46"/>
      <c r="FD46" s="2244"/>
      <c r="FE46" s="2244"/>
      <c r="FF46" s="2244"/>
      <c r="FG46" s="2244"/>
    </row>
    <row r="47" spans="1:175" s="2230" customFormat="1" ht="12.75" customHeight="1">
      <c r="A47" s="28" t="s">
        <v>7212</v>
      </c>
      <c r="B47" s="386"/>
      <c r="C47" s="320"/>
      <c r="D47" s="320"/>
      <c r="E47" s="320"/>
      <c r="F47" s="320"/>
      <c r="G47" s="320"/>
      <c r="H47" s="168"/>
      <c r="I47" s="320"/>
      <c r="J47" s="320"/>
      <c r="K47" s="320"/>
      <c r="L47" s="320"/>
      <c r="M47" s="320"/>
      <c r="N47" s="168"/>
      <c r="O47" s="320"/>
      <c r="P47" s="320"/>
      <c r="Q47" s="320"/>
      <c r="R47" s="320"/>
      <c r="S47" s="320"/>
      <c r="T47" s="168"/>
      <c r="U47" s="320"/>
      <c r="V47" s="320"/>
      <c r="W47" s="320"/>
      <c r="X47" s="320"/>
      <c r="Y47" s="320"/>
      <c r="Z47" s="168"/>
      <c r="AA47" s="320"/>
      <c r="AB47" s="320"/>
      <c r="AC47" s="320"/>
      <c r="AD47" s="320"/>
      <c r="AE47" s="320"/>
      <c r="AF47" s="168"/>
      <c r="AG47" s="320"/>
      <c r="AH47" s="320"/>
      <c r="AI47" s="320"/>
      <c r="AJ47" s="320"/>
      <c r="AK47" s="320"/>
      <c r="AL47" s="168"/>
      <c r="AM47" s="320"/>
      <c r="AN47" s="320"/>
      <c r="AO47" s="320"/>
      <c r="AP47" s="320"/>
      <c r="AQ47" s="320"/>
      <c r="AR47" s="320"/>
      <c r="AS47" s="320"/>
      <c r="AT47" s="320"/>
      <c r="AU47" s="320"/>
      <c r="AV47" s="320"/>
      <c r="AW47" s="320"/>
      <c r="AX47" s="320"/>
      <c r="AY47" s="339"/>
      <c r="AZ47" s="339"/>
      <c r="BA47" s="339"/>
      <c r="BB47" s="339"/>
      <c r="BC47" s="61"/>
      <c r="BD47" s="320"/>
      <c r="BE47" s="339"/>
      <c r="BF47" s="339"/>
      <c r="BG47" s="339"/>
      <c r="BH47" s="339"/>
      <c r="BI47" s="61"/>
      <c r="BJ47" s="168"/>
      <c r="BK47" s="339"/>
      <c r="BL47" s="339"/>
      <c r="BM47" s="339"/>
      <c r="BN47" s="339"/>
      <c r="BO47" s="1125"/>
      <c r="BP47" s="61"/>
      <c r="BQ47" s="339"/>
      <c r="BR47" s="339"/>
      <c r="BS47" s="339"/>
      <c r="BT47" s="339"/>
      <c r="BU47" s="1125"/>
      <c r="BV47" s="61"/>
      <c r="BW47" s="339"/>
      <c r="BX47" s="339"/>
      <c r="BY47" s="339"/>
      <c r="BZ47" s="339"/>
      <c r="CA47" s="1125"/>
      <c r="CB47" s="168"/>
      <c r="CC47" s="339"/>
      <c r="CD47" s="339"/>
      <c r="CE47" s="339"/>
      <c r="CF47" s="339"/>
      <c r="CG47" s="1125"/>
      <c r="CH47" s="168"/>
      <c r="CI47" s="320"/>
      <c r="CJ47" s="320"/>
      <c r="CK47" s="320"/>
      <c r="CL47" s="320"/>
      <c r="CM47" s="1170"/>
      <c r="CN47" s="168"/>
      <c r="CO47" s="320"/>
      <c r="CP47" s="320"/>
      <c r="CQ47" s="320"/>
      <c r="CR47" s="320"/>
      <c r="CS47" s="1170"/>
      <c r="CT47" s="168"/>
      <c r="CU47" s="320"/>
      <c r="CV47" s="320"/>
      <c r="CW47" s="320"/>
      <c r="CX47" s="320"/>
      <c r="CY47" s="1170"/>
      <c r="CZ47" s="168"/>
      <c r="DA47" s="320"/>
      <c r="DB47" s="320"/>
      <c r="DC47" s="320"/>
      <c r="DD47" s="320"/>
      <c r="DE47" s="1170"/>
      <c r="DF47" s="168"/>
      <c r="DG47" s="320"/>
      <c r="DH47" s="320"/>
      <c r="DI47" s="320"/>
      <c r="DJ47" s="320"/>
      <c r="DK47" s="1170"/>
      <c r="DL47" s="168"/>
      <c r="DM47" s="320"/>
      <c r="DN47" s="320"/>
      <c r="DO47" s="320"/>
      <c r="DP47" s="320"/>
      <c r="DQ47" s="1170"/>
      <c r="DR47" s="168"/>
      <c r="DS47" s="115">
        <f>1-DS46/DS24</f>
        <v>0.87402000540686675</v>
      </c>
      <c r="DT47" s="115">
        <f>1-DT46/DT24</f>
        <v>0.88210526315789473</v>
      </c>
      <c r="DU47" s="115">
        <f>1-DU46/DU24</f>
        <v>0.88415584415584414</v>
      </c>
      <c r="DV47" s="320"/>
      <c r="DW47" s="1170"/>
      <c r="DX47" s="168"/>
      <c r="DY47" s="115">
        <f>1-DY46/DY24</f>
        <v>0.88077803203661331</v>
      </c>
      <c r="DZ47" s="115">
        <f>1-DZ46/DZ24</f>
        <v>0.89080585280628954</v>
      </c>
      <c r="EA47" s="115">
        <f>1-EA46/EA24</f>
        <v>0.89274447949526814</v>
      </c>
      <c r="EB47" s="115">
        <f>1-EB46/EB24</f>
        <v>0.90379746835443042</v>
      </c>
      <c r="EC47" s="1161">
        <f>1-EC46/EC24</f>
        <v>0.89251021816444609</v>
      </c>
      <c r="ED47" s="69"/>
      <c r="EE47" s="2245">
        <v>0.91207335141025847</v>
      </c>
      <c r="EF47" s="2245">
        <v>0.91575885587564387</v>
      </c>
      <c r="EG47" s="2245">
        <v>0.91833163210278801</v>
      </c>
      <c r="EH47" s="2245">
        <v>0.92027094870680948</v>
      </c>
      <c r="EI47" s="1161">
        <f>1-EI46/EI24</f>
        <v>0.91686138042216159</v>
      </c>
      <c r="EJ47" s="69"/>
      <c r="EK47" s="2030">
        <v>0.93</v>
      </c>
      <c r="EL47" s="177">
        <f>EK47</f>
        <v>0.93</v>
      </c>
      <c r="EM47" s="177">
        <f>EL47</f>
        <v>0.93</v>
      </c>
      <c r="EN47" s="177">
        <f>EM47</f>
        <v>0.93</v>
      </c>
      <c r="EO47" s="1161">
        <f>1-EO46/EO24</f>
        <v>0.93</v>
      </c>
      <c r="EP47" s="69"/>
      <c r="EQ47" s="2030">
        <v>0.93</v>
      </c>
      <c r="ER47" s="177">
        <f>EQ47</f>
        <v>0.93</v>
      </c>
      <c r="ES47" s="177">
        <f>ER47</f>
        <v>0.93</v>
      </c>
      <c r="ET47" s="177">
        <f>ES47</f>
        <v>0.93</v>
      </c>
      <c r="EU47" s="1161">
        <f>1-EU46/EU24</f>
        <v>0.93</v>
      </c>
      <c r="EV47" s="194"/>
      <c r="EW47"/>
      <c r="EX47"/>
      <c r="EY47"/>
      <c r="EZ47"/>
      <c r="FA47"/>
      <c r="FB47"/>
    </row>
    <row r="48" spans="1:175" ht="12.75" customHeight="1">
      <c r="A48" s="168" t="s">
        <v>656</v>
      </c>
      <c r="B48" s="386" t="s">
        <v>2339</v>
      </c>
      <c r="C48" s="320">
        <v>17.3</v>
      </c>
      <c r="D48" s="320">
        <v>16.600000000000001</v>
      </c>
      <c r="E48" s="320">
        <v>15.2</v>
      </c>
      <c r="F48" s="320">
        <v>15.1</v>
      </c>
      <c r="G48" s="320">
        <v>64.2</v>
      </c>
      <c r="H48" s="168"/>
      <c r="I48" s="320">
        <v>27.3</v>
      </c>
      <c r="J48" s="320">
        <v>34.9</v>
      </c>
      <c r="K48" s="320">
        <v>34.9</v>
      </c>
      <c r="L48" s="320">
        <v>32.299999999999997</v>
      </c>
      <c r="M48" s="320">
        <v>129.4</v>
      </c>
      <c r="N48" s="168"/>
      <c r="O48" s="320">
        <v>34.680999999999997</v>
      </c>
      <c r="P48" s="320">
        <v>36.185000000000002</v>
      </c>
      <c r="Q48" s="320">
        <v>31.58</v>
      </c>
      <c r="R48" s="320">
        <v>34.276000000000003</v>
      </c>
      <c r="S48" s="320">
        <f>SUM(O48:R48)</f>
        <v>136.72200000000001</v>
      </c>
      <c r="T48" s="168"/>
      <c r="U48" s="320">
        <v>34.655999999999999</v>
      </c>
      <c r="V48" s="320">
        <v>41.816000000000003</v>
      </c>
      <c r="W48" s="320">
        <v>37.408000000000001</v>
      </c>
      <c r="X48" s="320">
        <v>38.927999999999997</v>
      </c>
      <c r="Y48" s="320">
        <f>SUM(U48:X48)</f>
        <v>152.80799999999999</v>
      </c>
      <c r="Z48" s="168"/>
      <c r="AA48" s="320">
        <v>36.725999999999999</v>
      </c>
      <c r="AB48" s="320">
        <v>39.209000000000003</v>
      </c>
      <c r="AC48" s="320">
        <v>37.956000000000003</v>
      </c>
      <c r="AD48" s="320">
        <v>36.307000000000002</v>
      </c>
      <c r="AE48" s="320">
        <v>150.19800000000001</v>
      </c>
      <c r="AF48" s="168"/>
      <c r="AG48" s="320">
        <f>AG36+AG39</f>
        <v>38.298000000000002</v>
      </c>
      <c r="AH48" s="320">
        <f>AH36+AH39</f>
        <v>36.743000000000002</v>
      </c>
      <c r="AI48" s="320">
        <f>AI36+AI39</f>
        <v>39.4</v>
      </c>
      <c r="AJ48" s="320">
        <f>AJ36+AJ39</f>
        <v>43.186999999999998</v>
      </c>
      <c r="AK48" s="320">
        <f>AK36+AK39</f>
        <v>157.62799999999999</v>
      </c>
      <c r="AL48" s="168"/>
      <c r="AM48" s="320">
        <f>AM36+AM39</f>
        <v>42.271000000000001</v>
      </c>
      <c r="AN48" s="320">
        <f>AN36+AN39</f>
        <v>35.566000000000003</v>
      </c>
      <c r="AO48" s="320">
        <f>AO36+AO39</f>
        <v>33.192</v>
      </c>
      <c r="AP48" s="320">
        <f>AP36+AP39</f>
        <v>34.780999999999999</v>
      </c>
      <c r="AQ48" s="320">
        <f>AQ36+AQ39</f>
        <v>145.80999999999997</v>
      </c>
      <c r="AR48" s="320"/>
      <c r="AS48" s="320">
        <f>AS36+AS39</f>
        <v>38.241999999999997</v>
      </c>
      <c r="AT48" s="320">
        <f>AT36+AT39</f>
        <v>36.045999999999999</v>
      </c>
      <c r="AU48" s="320">
        <f>AU36+AU39</f>
        <v>36.608999999999995</v>
      </c>
      <c r="AV48" s="320">
        <f>AV36+AV39</f>
        <v>37.230999999999995</v>
      </c>
      <c r="AW48" s="320">
        <f>AW36+AW39</f>
        <v>148.12799999999999</v>
      </c>
      <c r="AX48" s="320"/>
      <c r="AY48" s="339">
        <f>AY36+AY39</f>
        <v>41.9</v>
      </c>
      <c r="AZ48" s="339">
        <f>AZ36+AZ39</f>
        <v>40.200000000000003</v>
      </c>
      <c r="BA48" s="339">
        <f>BA36+BA39</f>
        <v>43.400000000000006</v>
      </c>
      <c r="BB48" s="339">
        <f>BB36+BB39</f>
        <v>44</v>
      </c>
      <c r="BC48" s="61">
        <f>BC36+BC39</f>
        <v>169.5</v>
      </c>
      <c r="BD48" s="320"/>
      <c r="BE48" s="339">
        <f>BE36+BE39</f>
        <v>43.5</v>
      </c>
      <c r="BF48" s="339">
        <f>BF36+BF39</f>
        <v>44.5</v>
      </c>
      <c r="BG48" s="339">
        <f>BG36+BG39</f>
        <v>42.4</v>
      </c>
      <c r="BH48" s="339">
        <f>BH36+BH39</f>
        <v>40.200000000000003</v>
      </c>
      <c r="BI48" s="61">
        <f>SUM(BE48:BH48)</f>
        <v>170.60000000000002</v>
      </c>
      <c r="BJ48" s="168"/>
      <c r="BK48" s="339">
        <f>BK36+BK39</f>
        <v>47.527999999999999</v>
      </c>
      <c r="BL48" s="339">
        <f>BL36+BL39</f>
        <v>52.800000000000004</v>
      </c>
      <c r="BM48" s="339">
        <f>BM36+BM39</f>
        <v>52.699999999999996</v>
      </c>
      <c r="BN48" s="339">
        <f>BN36+BN39</f>
        <v>51.199999999999996</v>
      </c>
      <c r="BO48" s="1125">
        <f>SUM(BK48:BN48)</f>
        <v>204.22799999999998</v>
      </c>
      <c r="BP48" s="61"/>
      <c r="BQ48" s="339">
        <f>BQ36+BQ39</f>
        <v>48.9</v>
      </c>
      <c r="BR48" s="339">
        <f>BR36+BR39</f>
        <v>48.699999999999996</v>
      </c>
      <c r="BS48" s="339">
        <f>BS36+BS39</f>
        <v>46.4</v>
      </c>
      <c r="BT48" s="339">
        <f>BT36+BT39</f>
        <v>46.1</v>
      </c>
      <c r="BU48" s="1125">
        <f>SUM(BQ48:BT48)</f>
        <v>190.1</v>
      </c>
      <c r="BV48" s="61"/>
      <c r="BW48" s="339">
        <f>BW36+BW39</f>
        <v>53.199999999999996</v>
      </c>
      <c r="BX48" s="339">
        <f>BX36+BX39</f>
        <v>53.1</v>
      </c>
      <c r="BY48" s="339">
        <f>BY36+BY39</f>
        <v>45.3</v>
      </c>
      <c r="BZ48" s="339">
        <f>BZ36+BZ39</f>
        <v>40.1</v>
      </c>
      <c r="CA48" s="1125">
        <f>SUM(BW48:BZ48)</f>
        <v>191.7</v>
      </c>
      <c r="CB48" s="168"/>
      <c r="CC48" s="339">
        <f>CC36+CC39</f>
        <v>43.399999999999991</v>
      </c>
      <c r="CD48" s="339">
        <f>CD36+CD39</f>
        <v>41.099999999999994</v>
      </c>
      <c r="CE48" s="339">
        <f>CE36+CE39</f>
        <v>35.200000000000003</v>
      </c>
      <c r="CF48" s="339">
        <f>CF36+CF39</f>
        <v>36.099999999999994</v>
      </c>
      <c r="CG48" s="1125">
        <f>SUM(CC48:CF48)</f>
        <v>155.79999999999998</v>
      </c>
      <c r="CH48" s="168"/>
      <c r="CI48" s="320">
        <f>CI36+CI39</f>
        <v>42.800000000000004</v>
      </c>
      <c r="CJ48" s="320">
        <f>CJ36+CJ39</f>
        <v>39.999999999999993</v>
      </c>
      <c r="CK48" s="320">
        <f>CK36+CK39</f>
        <v>39.5</v>
      </c>
      <c r="CL48" s="320">
        <f>CL36+CL39</f>
        <v>39.5</v>
      </c>
      <c r="CM48" s="1170">
        <f>SUM(CI48:CL48)</f>
        <v>161.80000000000001</v>
      </c>
      <c r="CN48" s="168"/>
      <c r="CO48" s="320">
        <f>CO36+CO39</f>
        <v>45.6</v>
      </c>
      <c r="CP48" s="320">
        <f>CP36+CP39</f>
        <v>47.900000000000006</v>
      </c>
      <c r="CQ48" s="320">
        <f>CQ36+CQ39</f>
        <v>47.6</v>
      </c>
      <c r="CR48" s="320">
        <f>CR36+CR39</f>
        <v>46.099999999999994</v>
      </c>
      <c r="CS48" s="1170">
        <f>SUM(CO48:CR48)</f>
        <v>187.2</v>
      </c>
      <c r="CT48" s="168"/>
      <c r="CU48" s="320">
        <f>CU36+CU39</f>
        <v>47.7</v>
      </c>
      <c r="CV48" s="320">
        <f>CV36+CV39</f>
        <v>49</v>
      </c>
      <c r="CW48" s="320">
        <f>CW36+CW39</f>
        <v>46.800000000000004</v>
      </c>
      <c r="CX48" s="320">
        <f>CX36+CX39</f>
        <v>50.2</v>
      </c>
      <c r="CY48" s="1170">
        <f>SUM(CU48:CX48)</f>
        <v>193.7</v>
      </c>
      <c r="CZ48" s="168"/>
      <c r="DA48" s="320">
        <f>DA36+DA39</f>
        <v>55.2</v>
      </c>
      <c r="DB48" s="320">
        <f>DB36+DB39</f>
        <v>55.4</v>
      </c>
      <c r="DC48" s="320">
        <f>DC36+DC39</f>
        <v>54.899999999999991</v>
      </c>
      <c r="DD48" s="320">
        <f>DD36+DD39</f>
        <v>58.599999999999994</v>
      </c>
      <c r="DE48" s="1170">
        <f>SUM(DA48:DD48)</f>
        <v>224.1</v>
      </c>
      <c r="DF48" s="168"/>
      <c r="DG48" s="320">
        <f>DG36+DG39</f>
        <v>63.999999999999993</v>
      </c>
      <c r="DH48" s="320">
        <f>DH36+DH39</f>
        <v>71.3</v>
      </c>
      <c r="DI48" s="320">
        <f>DI36+DI39</f>
        <v>70.599999999999994</v>
      </c>
      <c r="DJ48" s="320">
        <f>DJ36+DJ39</f>
        <v>74.099999999999994</v>
      </c>
      <c r="DK48" s="1170">
        <f>SUM(DG48:DJ48)</f>
        <v>280</v>
      </c>
      <c r="DL48" s="168"/>
      <c r="DM48" s="320">
        <f>DM36+DM39</f>
        <v>75.400000000000006</v>
      </c>
      <c r="DN48" s="320">
        <f>DN36+DN39</f>
        <v>78.599999999999994</v>
      </c>
      <c r="DO48" s="320">
        <f>DO36+DO39</f>
        <v>76.199999999999989</v>
      </c>
      <c r="DP48" s="320">
        <f>DP36+DP39</f>
        <v>79.699999999999989</v>
      </c>
      <c r="DQ48" s="1170">
        <f>SUM(DM48:DP48)</f>
        <v>309.89999999999998</v>
      </c>
      <c r="DR48" s="168"/>
      <c r="DS48" s="320">
        <f>DS36+DS39</f>
        <v>78.099999999999994</v>
      </c>
      <c r="DT48" s="320">
        <f>DT43+DT46</f>
        <v>71</v>
      </c>
      <c r="DU48" s="320">
        <f>DU43+DU46</f>
        <v>67.599999999999994</v>
      </c>
      <c r="DV48" s="320">
        <f>DV36+DV39</f>
        <v>71.100000000000009</v>
      </c>
      <c r="DW48" s="1170">
        <f>SUM(DS48:DV48)</f>
        <v>287.8</v>
      </c>
      <c r="DX48" s="168"/>
      <c r="DY48" s="320">
        <f>DY43+DY46</f>
        <v>69.599999999999994</v>
      </c>
      <c r="DZ48" s="320">
        <f>DZ43+DZ46</f>
        <v>66.8</v>
      </c>
      <c r="EA48" s="320">
        <f>EA43+EA46</f>
        <v>69.599999999999994</v>
      </c>
      <c r="EB48" s="320">
        <f>EB43+EB46</f>
        <v>65.099999999999994</v>
      </c>
      <c r="EC48" s="1170">
        <f>SUM(DY48:EB48)</f>
        <v>271.09999999999997</v>
      </c>
      <c r="ED48" s="168"/>
      <c r="EE48" s="320">
        <f>EE43+EE46</f>
        <v>58.64995108152916</v>
      </c>
      <c r="EF48" s="320">
        <f t="shared" ref="EF48:EH48" si="18">EF43+EF46</f>
        <v>60.895559585495533</v>
      </c>
      <c r="EG48" s="320">
        <f t="shared" si="18"/>
        <v>64.799846746586979</v>
      </c>
      <c r="EH48" s="320">
        <f t="shared" si="18"/>
        <v>72.776330468206993</v>
      </c>
      <c r="EI48" s="1170">
        <f>SUM(EE48:EH48)</f>
        <v>257.12168788181867</v>
      </c>
      <c r="EJ48" s="168"/>
      <c r="EK48" s="320">
        <f>EK43+EK46</f>
        <v>67.398226743238624</v>
      </c>
      <c r="EL48" s="320">
        <f t="shared" ref="EL48:EN48" si="19">EL43+EL46</f>
        <v>70.192581982506709</v>
      </c>
      <c r="EM48" s="320">
        <f t="shared" si="19"/>
        <v>74.563036656418433</v>
      </c>
      <c r="EN48" s="320">
        <f t="shared" si="19"/>
        <v>81.90065257827284</v>
      </c>
      <c r="EO48" s="1170">
        <f>SUM(EK48:EN48)</f>
        <v>294.05449796043661</v>
      </c>
      <c r="EP48" s="168"/>
      <c r="EQ48" s="320">
        <f>EQ43+EQ46</f>
        <v>76.935759294301562</v>
      </c>
      <c r="ER48" s="320">
        <f t="shared" ref="ER48:ET48" si="20">ER43+ER46</f>
        <v>83.530587019382153</v>
      </c>
      <c r="ES48" s="320">
        <f t="shared" si="20"/>
        <v>91.26146484153152</v>
      </c>
      <c r="ET48" s="320">
        <f t="shared" si="20"/>
        <v>102.71162747789893</v>
      </c>
      <c r="EU48" s="1170">
        <f>SUM(EQ48:ET48)</f>
        <v>354.43943863311415</v>
      </c>
      <c r="EV48" s="194"/>
    </row>
    <row r="49" spans="1:175" ht="3" customHeight="1">
      <c r="A49" s="52"/>
      <c r="B49" s="521"/>
      <c r="C49" s="72"/>
      <c r="D49" s="72"/>
      <c r="E49" s="72"/>
      <c r="F49" s="72"/>
      <c r="G49" s="72"/>
      <c r="H49" s="69"/>
      <c r="I49" s="72"/>
      <c r="J49" s="72"/>
      <c r="K49" s="72"/>
      <c r="L49" s="72"/>
      <c r="M49" s="72"/>
      <c r="N49" s="69"/>
      <c r="O49" s="72"/>
      <c r="P49" s="72"/>
      <c r="Q49" s="72"/>
      <c r="R49" s="72"/>
      <c r="S49" s="227"/>
      <c r="T49" s="69"/>
      <c r="U49" s="72"/>
      <c r="V49" s="72"/>
      <c r="W49" s="72"/>
      <c r="X49" s="72"/>
      <c r="Y49" s="227"/>
      <c r="Z49" s="69"/>
      <c r="AA49" s="72"/>
      <c r="AB49" s="72"/>
      <c r="AC49" s="72"/>
      <c r="AD49" s="72"/>
      <c r="AE49" s="227"/>
      <c r="AF49" s="69"/>
      <c r="AG49" s="72"/>
      <c r="AH49" s="72"/>
      <c r="AI49" s="72"/>
      <c r="AJ49" s="72"/>
      <c r="AK49" s="227"/>
      <c r="AL49" s="69"/>
      <c r="AM49" s="227"/>
      <c r="AN49" s="227"/>
      <c r="AO49" s="227"/>
      <c r="AP49" s="227"/>
      <c r="AQ49" s="227"/>
      <c r="AR49" s="227"/>
      <c r="AS49" s="227"/>
      <c r="AT49" s="227"/>
      <c r="AU49" s="227"/>
      <c r="AV49" s="227"/>
      <c r="AW49" s="227"/>
      <c r="AX49" s="227"/>
      <c r="AY49" s="882"/>
      <c r="AZ49" s="882"/>
      <c r="BA49" s="882"/>
      <c r="BB49" s="882"/>
      <c r="BC49" s="283"/>
      <c r="BD49" s="227"/>
      <c r="BE49" s="882"/>
      <c r="BF49" s="882"/>
      <c r="BG49" s="882"/>
      <c r="BH49" s="882"/>
      <c r="BI49" s="283"/>
      <c r="BJ49" s="69"/>
      <c r="BK49" s="882"/>
      <c r="BL49" s="882"/>
      <c r="BM49" s="882"/>
      <c r="BN49" s="882"/>
      <c r="BO49" s="1254"/>
      <c r="BP49" s="121"/>
      <c r="BQ49" s="882"/>
      <c r="BR49" s="882"/>
      <c r="BS49" s="882"/>
      <c r="BT49" s="882"/>
      <c r="BU49" s="1254"/>
      <c r="BV49" s="121"/>
      <c r="BW49" s="882"/>
      <c r="BX49" s="882"/>
      <c r="BY49" s="882"/>
      <c r="BZ49" s="882"/>
      <c r="CA49" s="1254"/>
      <c r="CB49" s="69"/>
      <c r="CC49" s="177"/>
      <c r="CD49" s="177"/>
      <c r="CE49" s="177"/>
      <c r="CF49" s="177"/>
      <c r="CG49" s="1161"/>
      <c r="CH49" s="69"/>
      <c r="CI49" s="177"/>
      <c r="CJ49" s="177"/>
      <c r="CK49" s="177"/>
      <c r="CL49" s="177"/>
      <c r="CM49" s="1161"/>
      <c r="CN49" s="69"/>
      <c r="CO49" s="177"/>
      <c r="CP49" s="177"/>
      <c r="CQ49" s="177"/>
      <c r="CR49" s="177"/>
      <c r="CS49" s="1161"/>
      <c r="CT49" s="69"/>
      <c r="CU49" s="177"/>
      <c r="CV49" s="177"/>
      <c r="CW49" s="177"/>
      <c r="CX49" s="177"/>
      <c r="CY49" s="1161"/>
      <c r="CZ49" s="69"/>
      <c r="DA49" s="177"/>
      <c r="DB49" s="177"/>
      <c r="DC49" s="177"/>
      <c r="DD49" s="177"/>
      <c r="DE49" s="1161"/>
      <c r="DF49" s="69"/>
      <c r="DG49" s="177"/>
      <c r="DH49" s="177"/>
      <c r="DI49" s="177"/>
      <c r="DJ49" s="177"/>
      <c r="DK49" s="1161"/>
      <c r="DL49" s="69"/>
      <c r="DM49" s="177"/>
      <c r="DN49" s="177"/>
      <c r="DO49" s="177"/>
      <c r="DP49" s="177"/>
      <c r="DQ49" s="1161"/>
      <c r="DR49" s="69"/>
      <c r="DS49" s="177"/>
      <c r="DT49" s="177"/>
      <c r="DU49" s="177"/>
      <c r="DV49" s="177"/>
      <c r="DW49" s="1161"/>
      <c r="DX49" s="69"/>
      <c r="DY49" s="177"/>
      <c r="DZ49" s="177"/>
      <c r="EA49" s="177"/>
      <c r="EB49" s="177"/>
      <c r="EC49" s="1161"/>
      <c r="ED49" s="69"/>
      <c r="EE49" s="177"/>
      <c r="EF49" s="177"/>
      <c r="EG49" s="177"/>
      <c r="EH49" s="177"/>
      <c r="EI49" s="1161"/>
      <c r="EJ49" s="69"/>
      <c r="EK49" s="177"/>
      <c r="EL49" s="177"/>
      <c r="EM49" s="177"/>
      <c r="EN49" s="177"/>
      <c r="EO49" s="1161"/>
      <c r="EP49" s="69"/>
      <c r="EQ49" s="177"/>
      <c r="ER49" s="177"/>
      <c r="ES49" s="177"/>
      <c r="ET49" s="177"/>
      <c r="EU49" s="1161"/>
      <c r="EV49" s="69"/>
    </row>
    <row r="50" spans="1:175" ht="12.75" customHeight="1">
      <c r="A50" s="1211" t="s">
        <v>657</v>
      </c>
      <c r="B50" s="1198" t="s">
        <v>2338</v>
      </c>
      <c r="C50" s="1212">
        <f>C31-C48</f>
        <v>119.00000000000001</v>
      </c>
      <c r="D50" s="1212">
        <f>D31-D48</f>
        <v>112.1</v>
      </c>
      <c r="E50" s="1212">
        <f>E31-E48</f>
        <v>101.39999999999999</v>
      </c>
      <c r="F50" s="1212">
        <f>F31-F48</f>
        <v>99.9</v>
      </c>
      <c r="G50" s="1212">
        <f>G31-G48</f>
        <v>432.5</v>
      </c>
      <c r="H50" s="1213"/>
      <c r="I50" s="1212">
        <f>I31-I48</f>
        <v>118.7</v>
      </c>
      <c r="J50" s="1212">
        <f>J31-J48</f>
        <v>154</v>
      </c>
      <c r="K50" s="1212">
        <f>K31-K48</f>
        <v>165.7</v>
      </c>
      <c r="L50" s="1212">
        <f>L31-L48</f>
        <v>186.8</v>
      </c>
      <c r="M50" s="1212">
        <f>M31-M48</f>
        <v>625.20000000000005</v>
      </c>
      <c r="N50" s="1213"/>
      <c r="O50" s="1212">
        <f>O31-O48</f>
        <v>193.20100000000002</v>
      </c>
      <c r="P50" s="1212">
        <f>P31-P48</f>
        <v>196.161</v>
      </c>
      <c r="Q50" s="1212">
        <f>Q31-Q48</f>
        <v>178.72500000000002</v>
      </c>
      <c r="R50" s="1212">
        <f>R31-R48</f>
        <v>189.023</v>
      </c>
      <c r="S50" s="1212">
        <f>S31-S48</f>
        <v>757.11</v>
      </c>
      <c r="T50" s="1213"/>
      <c r="U50" s="1212">
        <f>U31-U48</f>
        <v>168.005</v>
      </c>
      <c r="V50" s="1212">
        <f>V31-V48</f>
        <v>168.76599999999999</v>
      </c>
      <c r="W50" s="1212">
        <f>W31-W48</f>
        <v>170.72300000000001</v>
      </c>
      <c r="X50" s="1212">
        <f>X31-X48</f>
        <v>187.749</v>
      </c>
      <c r="Y50" s="1212">
        <f>Y31-Y48</f>
        <v>695.24300000000005</v>
      </c>
      <c r="Z50" s="1213"/>
      <c r="AA50" s="1212">
        <f>AA31-AA48</f>
        <v>194.53299999999999</v>
      </c>
      <c r="AB50" s="1212">
        <f>AB31-AB48</f>
        <v>193.63200000000001</v>
      </c>
      <c r="AC50" s="1212">
        <f>AC31-AC48</f>
        <v>191.221</v>
      </c>
      <c r="AD50" s="1212">
        <f>AD31-AD48</f>
        <v>206.74</v>
      </c>
      <c r="AE50" s="1212">
        <f>AE31-AE48</f>
        <v>786.12599999999998</v>
      </c>
      <c r="AF50" s="1213"/>
      <c r="AG50" s="1212">
        <f>AG31-AG48</f>
        <v>207.44199999999998</v>
      </c>
      <c r="AH50" s="1212">
        <f>AH31-AH48</f>
        <v>194.61699999999999</v>
      </c>
      <c r="AI50" s="1212">
        <f>AI31-AI48</f>
        <v>176.95699999999999</v>
      </c>
      <c r="AJ50" s="1212">
        <f>AJ31-AJ48</f>
        <v>210.84700000000004</v>
      </c>
      <c r="AK50" s="1212">
        <f>AK31-AK48</f>
        <v>789.86300000000006</v>
      </c>
      <c r="AL50" s="1213"/>
      <c r="AM50" s="1212">
        <f>AM31-AM48</f>
        <v>187.05599999999998</v>
      </c>
      <c r="AN50" s="1212">
        <f>AN31-AN48</f>
        <v>175.83500000000001</v>
      </c>
      <c r="AO50" s="1212">
        <f>AO31-AO48</f>
        <v>155.50899999999999</v>
      </c>
      <c r="AP50" s="1212">
        <f>AP31-AP48</f>
        <v>160.73500000000001</v>
      </c>
      <c r="AQ50" s="1212">
        <f>AQ31-AQ48</f>
        <v>679.13499999999999</v>
      </c>
      <c r="AR50" s="1212"/>
      <c r="AS50" s="1212">
        <f>AS31-AS48</f>
        <v>172.524</v>
      </c>
      <c r="AT50" s="1212">
        <f>AT31-AT48</f>
        <v>175.65899999999999</v>
      </c>
      <c r="AU50" s="1212">
        <f>AU31-AU48</f>
        <v>197.25299999999999</v>
      </c>
      <c r="AV50" s="1212">
        <f>AV31-AV48</f>
        <v>258.07900000000006</v>
      </c>
      <c r="AW50" s="1212">
        <f>AW31-AW48</f>
        <v>803.5150000000001</v>
      </c>
      <c r="AX50" s="1212"/>
      <c r="AY50" s="1214">
        <f>AY31-AY48</f>
        <v>257.20000000000005</v>
      </c>
      <c r="AZ50" s="1214">
        <f>AZ31-AZ48</f>
        <v>240.60000000000002</v>
      </c>
      <c r="BA50" s="1214">
        <f>BA31-BA48</f>
        <v>258</v>
      </c>
      <c r="BB50" s="1214">
        <f>BB31-BB48</f>
        <v>313.59999999999997</v>
      </c>
      <c r="BC50" s="940">
        <f>BC31-BC48</f>
        <v>1069.4000000000001</v>
      </c>
      <c r="BD50" s="1212"/>
      <c r="BE50" s="1214">
        <f>BE31-BE48</f>
        <v>315.59999999999997</v>
      </c>
      <c r="BF50" s="1214">
        <f>BF31-BF48</f>
        <v>332.29999999999995</v>
      </c>
      <c r="BG50" s="1214">
        <f>BG31-BG48</f>
        <v>339.1</v>
      </c>
      <c r="BH50" s="1214">
        <f>BH31-BH48</f>
        <v>379.6</v>
      </c>
      <c r="BI50" s="940">
        <f>SUM(BE50:BH50)</f>
        <v>1366.6</v>
      </c>
      <c r="BJ50" s="1213"/>
      <c r="BK50" s="1214">
        <f>BK31-BK48</f>
        <v>388.47199999999998</v>
      </c>
      <c r="BL50" s="1214">
        <f>BL31-BL48</f>
        <v>396.8</v>
      </c>
      <c r="BM50" s="1214">
        <f>BM31-BM48</f>
        <v>404.1</v>
      </c>
      <c r="BN50" s="1214">
        <f>BN31-BN48</f>
        <v>446.2</v>
      </c>
      <c r="BO50" s="1255">
        <f>SUM(BK50:BN50)</f>
        <v>1635.5719999999999</v>
      </c>
      <c r="BP50" s="940"/>
      <c r="BQ50" s="1214">
        <f>BQ31-BQ48</f>
        <v>459.70000000000005</v>
      </c>
      <c r="BR50" s="1214">
        <f>BR31-BR48</f>
        <v>477.2000000000001</v>
      </c>
      <c r="BS50" s="1214">
        <f>BS31-BS48</f>
        <v>492</v>
      </c>
      <c r="BT50" s="1214">
        <f>BT31-BT48</f>
        <v>553</v>
      </c>
      <c r="BU50" s="1255">
        <f>SUM(BQ50:BT50)</f>
        <v>1981.9</v>
      </c>
      <c r="BV50" s="940"/>
      <c r="BW50" s="1214">
        <f>BW31-BW48</f>
        <v>545.59999999999991</v>
      </c>
      <c r="BX50" s="1214">
        <f>BX31-BX48</f>
        <v>566.4</v>
      </c>
      <c r="BY50" s="1214">
        <f>BY31-BY48</f>
        <v>561.80000000000007</v>
      </c>
      <c r="BZ50" s="1214">
        <f>BZ31-BZ48</f>
        <v>449.7</v>
      </c>
      <c r="CA50" s="1255">
        <f>SUM(BW50:BZ50)</f>
        <v>2123.5</v>
      </c>
      <c r="CB50" s="1213"/>
      <c r="CC50" s="1214">
        <f>CC31-CC48</f>
        <v>382.4</v>
      </c>
      <c r="CD50" s="1214">
        <f>CD31-CD48</f>
        <v>373.79999999999995</v>
      </c>
      <c r="CE50" s="1214">
        <f>CE31-CE48</f>
        <v>381.7</v>
      </c>
      <c r="CF50" s="1214">
        <f>CF31-CF48</f>
        <v>420</v>
      </c>
      <c r="CG50" s="1255">
        <f>SUM(CC50:CF50)</f>
        <v>1557.8999999999999</v>
      </c>
      <c r="CH50" s="1213"/>
      <c r="CI50" s="1212">
        <f>CI31-CI48</f>
        <v>431.8</v>
      </c>
      <c r="CJ50" s="1212">
        <f>CJ31-CJ48</f>
        <v>432.79999999999995</v>
      </c>
      <c r="CK50" s="1212">
        <f>CK31-CK48</f>
        <v>437.2</v>
      </c>
      <c r="CL50" s="1212">
        <f>CL31-CL48</f>
        <v>488.20000000000005</v>
      </c>
      <c r="CM50" s="1255">
        <f>SUM(CI50:CL50)</f>
        <v>1790</v>
      </c>
      <c r="CN50" s="1213"/>
      <c r="CO50" s="1212">
        <f>CO31-CO48</f>
        <v>482.69999999999993</v>
      </c>
      <c r="CP50" s="1212">
        <f>CP31-CP48</f>
        <v>498.4</v>
      </c>
      <c r="CQ50" s="1212">
        <f>CQ31-CQ48</f>
        <v>500.99999999999989</v>
      </c>
      <c r="CR50" s="1212">
        <f>CR31-CR48</f>
        <v>546.29999999999995</v>
      </c>
      <c r="CS50" s="1302">
        <f>SUM(CO50:CR50)</f>
        <v>2028.3999999999999</v>
      </c>
      <c r="CT50" s="1213"/>
      <c r="CU50" s="1212">
        <f>CU31-CU48</f>
        <v>540.9</v>
      </c>
      <c r="CV50" s="1212">
        <f>CV31-CV48</f>
        <v>520</v>
      </c>
      <c r="CW50" s="1212">
        <f>CW31-CW48</f>
        <v>501.2</v>
      </c>
      <c r="CX50" s="1212">
        <f>CX31-CX48</f>
        <v>556.79999999999995</v>
      </c>
      <c r="CY50" s="1302">
        <f>SUM(CU50:CX50)</f>
        <v>2118.9</v>
      </c>
      <c r="CZ50" s="1213"/>
      <c r="DA50" s="1212">
        <f>DA31-DA48</f>
        <v>515.19999999999993</v>
      </c>
      <c r="DB50" s="1212">
        <f>DB31-DB48</f>
        <v>506.30000000000007</v>
      </c>
      <c r="DC50" s="1212">
        <f>DC31-DC48</f>
        <v>500.30000000000007</v>
      </c>
      <c r="DD50" s="1212">
        <f>DD31-DD48</f>
        <v>527.99999999999989</v>
      </c>
      <c r="DE50" s="1302">
        <f>SUM(DA50:DD50)</f>
        <v>2049.8000000000002</v>
      </c>
      <c r="DF50" s="1213"/>
      <c r="DG50" s="1212">
        <f>DG31-DG48</f>
        <v>528.5</v>
      </c>
      <c r="DH50" s="1212">
        <f>DH31-DH48</f>
        <v>565.79999999999995</v>
      </c>
      <c r="DI50" s="1212">
        <f>DI31-DI48</f>
        <v>547.4</v>
      </c>
      <c r="DJ50" s="1212">
        <f>DJ31-DJ48</f>
        <v>590.5</v>
      </c>
      <c r="DK50" s="1302">
        <f>SUM(DG50:DJ50)</f>
        <v>2232.1999999999998</v>
      </c>
      <c r="DL50" s="1213"/>
      <c r="DM50" s="1212">
        <f>DM31-DM48</f>
        <v>571.1</v>
      </c>
      <c r="DN50" s="1212">
        <f>DN31-DN48</f>
        <v>530.9</v>
      </c>
      <c r="DO50" s="1212">
        <f>DO31-DO48</f>
        <v>523.59999999999991</v>
      </c>
      <c r="DP50" s="1212">
        <f>DP31-DP48</f>
        <v>568.59999999999991</v>
      </c>
      <c r="DQ50" s="1302">
        <f>SUM(DM50:DP50)</f>
        <v>2194.1999999999998</v>
      </c>
      <c r="DR50" s="1213"/>
      <c r="DS50" s="1212">
        <f>DS31-DS48</f>
        <v>433.79999999999995</v>
      </c>
      <c r="DT50" s="1212">
        <f>DT31-DT48</f>
        <v>479.70000000000005</v>
      </c>
      <c r="DU50" s="1212">
        <f>DU31-DU48</f>
        <v>422</v>
      </c>
      <c r="DV50" s="1212">
        <f>DV31-DV48</f>
        <v>407.7</v>
      </c>
      <c r="DW50" s="1302">
        <f>SUM(DS50:DV50)</f>
        <v>1743.2</v>
      </c>
      <c r="DX50" s="1213"/>
      <c r="DY50" s="1212">
        <f>DY31-DY48</f>
        <v>416.1</v>
      </c>
      <c r="DZ50" s="1212">
        <f>DZ31-DZ48</f>
        <v>434.99999999999994</v>
      </c>
      <c r="EA50" s="1212">
        <f>EA31-EA48</f>
        <v>445.69999999999993</v>
      </c>
      <c r="EB50" s="1212">
        <f>EB31-EB48</f>
        <v>488.69999999999993</v>
      </c>
      <c r="EC50" s="1302">
        <f>SUM(DY50:EB50)</f>
        <v>1785.4999999999995</v>
      </c>
      <c r="ED50" s="1213"/>
      <c r="EE50" s="1212">
        <f>EE31-EE48</f>
        <v>497.97357594385176</v>
      </c>
      <c r="EF50" s="1212">
        <f>EF31-EF48</f>
        <v>533.66413620195704</v>
      </c>
      <c r="EG50" s="1212">
        <f>EG31-EG48</f>
        <v>570.91427109701726</v>
      </c>
      <c r="EH50" s="1212">
        <f>EH31-EH48</f>
        <v>639.90697274616014</v>
      </c>
      <c r="EI50" s="1302">
        <f>SUM(EE50:EH50)</f>
        <v>2242.4589559889864</v>
      </c>
      <c r="EJ50" s="1213"/>
      <c r="EK50" s="1212">
        <f>EK31-EK48</f>
        <v>623.22569422947163</v>
      </c>
      <c r="EL50" s="1212">
        <f>EL31-EL48</f>
        <v>662.63011363183398</v>
      </c>
      <c r="EM50" s="1212">
        <f>EM31-EM48</f>
        <v>712.50460559163275</v>
      </c>
      <c r="EN50" s="1212">
        <f>EN31-EN48</f>
        <v>813.25230276473087</v>
      </c>
      <c r="EO50" s="1302">
        <f>SUM(EK50:EN50)</f>
        <v>2811.612716217669</v>
      </c>
      <c r="EP50" s="1213"/>
      <c r="EQ50" s="1212">
        <f>EQ31-EQ48</f>
        <v>691.16840040891304</v>
      </c>
      <c r="ER50" s="1212">
        <f>ER31-ER48</f>
        <v>782.41154718594657</v>
      </c>
      <c r="ES50" s="1212">
        <f>ES31-ES48</f>
        <v>876.01800343113746</v>
      </c>
      <c r="ET50" s="1212">
        <f>ET31-ET48</f>
        <v>1032.8601959222995</v>
      </c>
      <c r="EU50" s="1302">
        <f>SUM(EQ50:ET50)</f>
        <v>3382.4581469482964</v>
      </c>
      <c r="EV50" s="194"/>
    </row>
    <row r="51" spans="1:175" ht="12.75" customHeight="1">
      <c r="A51" s="1215" t="s">
        <v>658</v>
      </c>
      <c r="B51" s="1216"/>
      <c r="C51" s="1217">
        <f>C50/C31</f>
        <v>0.87307410124724871</v>
      </c>
      <c r="D51" s="1217">
        <f>D50/D31</f>
        <v>0.87101787101787109</v>
      </c>
      <c r="E51" s="1217">
        <f>E50/E31</f>
        <v>0.869639794168096</v>
      </c>
      <c r="F51" s="1217">
        <f>F50/F31</f>
        <v>0.86869565217391309</v>
      </c>
      <c r="G51" s="1217">
        <f>G50/G31</f>
        <v>0.87074692973625933</v>
      </c>
      <c r="H51" s="1218"/>
      <c r="I51" s="1217">
        <f>I50/I31</f>
        <v>0.81301369863013706</v>
      </c>
      <c r="J51" s="1217">
        <f>J50/J31</f>
        <v>0.81524616199047117</v>
      </c>
      <c r="K51" s="1217">
        <f>K50/K31</f>
        <v>0.82602193419740777</v>
      </c>
      <c r="L51" s="1217">
        <f>L50/L31</f>
        <v>0.85257873117298044</v>
      </c>
      <c r="M51" s="1217">
        <f>M50/M31</f>
        <v>0.82851842035515511</v>
      </c>
      <c r="N51" s="1218"/>
      <c r="O51" s="1217">
        <f>O50/O31</f>
        <v>0.84781158669837908</v>
      </c>
      <c r="P51" s="1217">
        <f>P50/P31</f>
        <v>0.84426243619429642</v>
      </c>
      <c r="Q51" s="1217">
        <f>Q50/Q31</f>
        <v>0.84983714129478627</v>
      </c>
      <c r="R51" s="1217">
        <f>R50/R31</f>
        <v>0.84650177564610674</v>
      </c>
      <c r="S51" s="1217">
        <f>S50/S31</f>
        <v>0.84703836962650703</v>
      </c>
      <c r="T51" s="1218"/>
      <c r="U51" s="1217">
        <f>U50/U31</f>
        <v>0.82899521861630998</v>
      </c>
      <c r="V51" s="1217">
        <f>V50/V31</f>
        <v>0.8014265226847499</v>
      </c>
      <c r="W51" s="1217">
        <f>W50/W31</f>
        <v>0.820267043352504</v>
      </c>
      <c r="X51" s="1217">
        <f>X50/X31</f>
        <v>0.82826665254966314</v>
      </c>
      <c r="Y51" s="1217">
        <f>Y50/Y31</f>
        <v>0.81981272352724066</v>
      </c>
      <c r="Z51" s="1218"/>
      <c r="AA51" s="1217">
        <f>AA50/AA31</f>
        <v>0.8411910455376872</v>
      </c>
      <c r="AB51" s="1217">
        <f>AB50/AB31</f>
        <v>0.8316061174793099</v>
      </c>
      <c r="AC51" s="1217">
        <f>AC50/AC31</f>
        <v>0.83438128608019135</v>
      </c>
      <c r="AD51" s="1217">
        <f>AD50/AD31</f>
        <v>0.85061737030286333</v>
      </c>
      <c r="AE51" s="1217">
        <f>AE50/AE31</f>
        <v>0.8395875786586694</v>
      </c>
      <c r="AF51" s="1218"/>
      <c r="AG51" s="1217">
        <f>AG50/AG31</f>
        <v>0.84415235614877515</v>
      </c>
      <c r="AH51" s="1217">
        <f>AH50/AH31</f>
        <v>0.84118689488243437</v>
      </c>
      <c r="AI51" s="1217">
        <f>AI50/AI31</f>
        <v>0.8178935740465989</v>
      </c>
      <c r="AJ51" s="1217">
        <f>AJ50/AJ31</f>
        <v>0.82999519749324902</v>
      </c>
      <c r="AK51" s="1217">
        <f>AK50/AK31</f>
        <v>0.83363641448836989</v>
      </c>
      <c r="AL51" s="1218"/>
      <c r="AM51" s="1217">
        <f>AM50/AM31</f>
        <v>0.81567368866291357</v>
      </c>
      <c r="AN51" s="1217">
        <f>AN50/AN31</f>
        <v>0.83176049309132882</v>
      </c>
      <c r="AO51" s="1217">
        <f>AO50/AO31</f>
        <v>0.82410268096088513</v>
      </c>
      <c r="AP51" s="1217">
        <f>AP50/AP31</f>
        <v>0.82210663065938339</v>
      </c>
      <c r="AQ51" s="1217">
        <f>AQ50/AQ31</f>
        <v>0.82324882264878274</v>
      </c>
      <c r="AR51" s="1217"/>
      <c r="AS51" s="1217">
        <f>AS50/AS31</f>
        <v>0.81855707277264833</v>
      </c>
      <c r="AT51" s="1217">
        <f>AT50/AT31</f>
        <v>0.82973477244278593</v>
      </c>
      <c r="AU51" s="1217">
        <f>AU50/AU31</f>
        <v>0.84345896297816658</v>
      </c>
      <c r="AV51" s="1217">
        <f>AV50/AV31</f>
        <v>0.87392570519115509</v>
      </c>
      <c r="AW51" s="1217">
        <f>AW50/AW31</f>
        <v>0.8443449907160564</v>
      </c>
      <c r="AX51" s="1217"/>
      <c r="AY51" s="1219">
        <f>AY50/AY31</f>
        <v>0.85991307255098637</v>
      </c>
      <c r="AZ51" s="1219">
        <f>AZ50/AZ31</f>
        <v>0.8568376068376069</v>
      </c>
      <c r="BA51" s="1219">
        <f>BA50/BA31</f>
        <v>0.85600530856005297</v>
      </c>
      <c r="BB51" s="1219">
        <f>BB50/BB31</f>
        <v>0.87695749440715887</v>
      </c>
      <c r="BC51" s="1219">
        <f>BC50/BC31</f>
        <v>0.86318508354185164</v>
      </c>
      <c r="BD51" s="1217"/>
      <c r="BE51" s="1219">
        <f>BE50/BE31</f>
        <v>0.87886382623224724</v>
      </c>
      <c r="BF51" s="1219">
        <f>BF50/BF31</f>
        <v>0.881900212314225</v>
      </c>
      <c r="BG51" s="1219">
        <f>BG50/BG31</f>
        <v>0.88885976408912193</v>
      </c>
      <c r="BH51" s="1219">
        <f>BH50/BH31</f>
        <v>0.90424011434016205</v>
      </c>
      <c r="BI51" s="1219">
        <f>BI50/BI31</f>
        <v>0.88901899557637265</v>
      </c>
      <c r="BJ51" s="1220"/>
      <c r="BK51" s="1219">
        <f>BK50/BK31</f>
        <v>0.89099082568807331</v>
      </c>
      <c r="BL51" s="1219">
        <f>BL50/BL31</f>
        <v>0.88256227758007111</v>
      </c>
      <c r="BM51" s="1219">
        <f>BM50/BM31</f>
        <v>0.88463222416812615</v>
      </c>
      <c r="BN51" s="1219">
        <f>BN50/BN31</f>
        <v>0.89706473663047848</v>
      </c>
      <c r="BO51" s="1256">
        <f>BO50/BO31</f>
        <v>0.88899445591912152</v>
      </c>
      <c r="BP51" s="1220"/>
      <c r="BQ51" s="1219">
        <f>BQ50/BQ31</f>
        <v>0.90385371608336618</v>
      </c>
      <c r="BR51" s="1219">
        <f>BR50/BR31</f>
        <v>0.90739684350637007</v>
      </c>
      <c r="BS51" s="1219">
        <f>BS50/BS31</f>
        <v>0.91381872213967319</v>
      </c>
      <c r="BT51" s="1219">
        <f>BT50/BT31</f>
        <v>0.92305124353196455</v>
      </c>
      <c r="BU51" s="1256">
        <f>BU50/BU31</f>
        <v>0.91247697974217312</v>
      </c>
      <c r="BV51" s="1220"/>
      <c r="BW51" s="1219">
        <f>BW50/BW31</f>
        <v>0.91115564462257836</v>
      </c>
      <c r="BX51" s="1219">
        <f>BX50/BX31</f>
        <v>0.91428571428571426</v>
      </c>
      <c r="BY51" s="1219">
        <f>BY50/BY31</f>
        <v>0.92538296820952071</v>
      </c>
      <c r="BZ51" s="1219">
        <f>BZ50/BZ31</f>
        <v>0.9181298489179256</v>
      </c>
      <c r="CA51" s="1256">
        <f>CA50/CA31</f>
        <v>0.91719937802349683</v>
      </c>
      <c r="CB51" s="1220"/>
      <c r="CC51" s="1219">
        <f>CC50/CC31</f>
        <v>0.89807421324565528</v>
      </c>
      <c r="CD51" s="1219">
        <f>CD50/CD31</f>
        <v>0.90093998553868393</v>
      </c>
      <c r="CE51" s="1219">
        <f>CE50/CE31</f>
        <v>0.91556728232189977</v>
      </c>
      <c r="CF51" s="1219">
        <f>CF50/CF31</f>
        <v>0.92085069063801794</v>
      </c>
      <c r="CG51" s="1256">
        <f>CG50/CG31</f>
        <v>0.90908560424811813</v>
      </c>
      <c r="CH51" s="1220"/>
      <c r="CI51" s="1219">
        <f>CI50/CI31</f>
        <v>0.90981879477454697</v>
      </c>
      <c r="CJ51" s="1219">
        <f>CJ50/CJ31</f>
        <v>0.91539763113367179</v>
      </c>
      <c r="CK51" s="1219">
        <f>CK50/CK31</f>
        <v>0.91713866163205371</v>
      </c>
      <c r="CL51" s="1219">
        <f>CL50/CL31</f>
        <v>0.92514686374834187</v>
      </c>
      <c r="CM51" s="1256">
        <f>CM50/CM31</f>
        <v>0.91710216210677331</v>
      </c>
      <c r="CN51" s="1220"/>
      <c r="CO51" s="1219">
        <f>CO50/CO31</f>
        <v>0.91368540601930714</v>
      </c>
      <c r="CP51" s="1219">
        <f>CP50/CP31</f>
        <v>0.91231923851363728</v>
      </c>
      <c r="CQ51" s="1219">
        <f>CQ50/CQ31</f>
        <v>0.91323368574553399</v>
      </c>
      <c r="CR51" s="1219">
        <f>CR50/CR31</f>
        <v>0.92218095881161377</v>
      </c>
      <c r="CS51" s="1256">
        <f>CS50/CS31</f>
        <v>0.91550821447914787</v>
      </c>
      <c r="CT51" s="1220"/>
      <c r="CU51" s="1219">
        <f>CU50/CU31</f>
        <v>0.91896024464831794</v>
      </c>
      <c r="CV51" s="1219">
        <f>CV50/CV31</f>
        <v>0.91388400702987693</v>
      </c>
      <c r="CW51" s="1219">
        <f>CW50/CW31</f>
        <v>0.91459854014598541</v>
      </c>
      <c r="CX51" s="1219">
        <f>CX50/CX31</f>
        <v>0.91729818780889616</v>
      </c>
      <c r="CY51" s="1256">
        <f>CY50/CY31</f>
        <v>0.91624145982876426</v>
      </c>
      <c r="CZ51" s="1220"/>
      <c r="DA51" s="1219">
        <f>DA50/DA31</f>
        <v>0.90322580645161277</v>
      </c>
      <c r="DB51" s="1219">
        <f>DB50/DB31</f>
        <v>0.90137083852590361</v>
      </c>
      <c r="DC51" s="1219">
        <f>DC50/DC31</f>
        <v>0.9011167146974064</v>
      </c>
      <c r="DD51" s="1219">
        <f>DD50/DD31</f>
        <v>0.90010228435049433</v>
      </c>
      <c r="DE51" s="1256">
        <f>DE50/DE31</f>
        <v>0.90144685342363362</v>
      </c>
      <c r="DF51" s="1220"/>
      <c r="DG51" s="1219">
        <f>DG50/DG31</f>
        <v>0.89198312236286925</v>
      </c>
      <c r="DH51" s="1219">
        <f>DH50/DH31</f>
        <v>0.88808664259927805</v>
      </c>
      <c r="DI51" s="1219">
        <f>DI50/DI31</f>
        <v>0.88576051779935272</v>
      </c>
      <c r="DJ51" s="1219">
        <f>DJ50/DJ31</f>
        <v>0.88850436352693352</v>
      </c>
      <c r="DK51" s="1256">
        <f>DK50/DK31</f>
        <v>0.88854390573998887</v>
      </c>
      <c r="DL51" s="1220"/>
      <c r="DM51" s="1219">
        <f>DM50/DM31</f>
        <v>0.88337200309358088</v>
      </c>
      <c r="DN51" s="1219">
        <f>DN50/DN31</f>
        <v>0.87104183757178011</v>
      </c>
      <c r="DO51" s="1219">
        <f>DO50/DO31</f>
        <v>0.87295765255085023</v>
      </c>
      <c r="DP51" s="1219">
        <f>DP50/DP31</f>
        <v>0.87706308807650768</v>
      </c>
      <c r="DQ51" s="1256">
        <f>DQ50/DQ31</f>
        <v>0.87624296154306935</v>
      </c>
      <c r="DR51" s="1220"/>
      <c r="DS51" s="1219">
        <f>DS50/DS31</f>
        <v>0.84743113889431521</v>
      </c>
      <c r="DT51" s="1219">
        <f>DT50/DT31</f>
        <v>0.87107317958961328</v>
      </c>
      <c r="DU51" s="1219">
        <f>DU50/DU31</f>
        <v>0.86192810457516333</v>
      </c>
      <c r="DV51" s="1219">
        <f>DV50/DV31</f>
        <v>0.85150375939849621</v>
      </c>
      <c r="DW51" s="1256">
        <f>DW50/DW31</f>
        <v>0.85829640571147225</v>
      </c>
      <c r="DX51" s="1220"/>
      <c r="DY51" s="1219">
        <f>DY50/DY31</f>
        <v>0.85670166769610878</v>
      </c>
      <c r="DZ51" s="1219">
        <f>DZ50/DZ31</f>
        <v>0.86687923475488238</v>
      </c>
      <c r="EA51" s="1219">
        <f>EA50/EA31</f>
        <v>0.86493304870948962</v>
      </c>
      <c r="EB51" s="1219">
        <f>EB50/EB31</f>
        <v>0.88244853737811479</v>
      </c>
      <c r="EC51" s="1256">
        <f>EC50/EC31</f>
        <v>0.86818049207429715</v>
      </c>
      <c r="ED51" s="1220"/>
      <c r="EE51" s="1066">
        <f>EE50/EE31</f>
        <v>0.89463264085340244</v>
      </c>
      <c r="EF51" s="1066">
        <f>EF50/EF31</f>
        <v>0.89757872923955317</v>
      </c>
      <c r="EG51" s="1066">
        <f>EG50/EG31</f>
        <v>0.89806762988622391</v>
      </c>
      <c r="EH51" s="1066">
        <f>EH50/EH31</f>
        <v>0.89788405293070728</v>
      </c>
      <c r="EI51" s="2019">
        <f>EI50/EI31</f>
        <v>0.89713406986395738</v>
      </c>
      <c r="EJ51" s="1220"/>
      <c r="EK51" s="1066">
        <f>EK50/EK31</f>
        <v>0.90240965495618586</v>
      </c>
      <c r="EL51" s="1066">
        <f>EL50/EL31</f>
        <v>0.90421614613932944</v>
      </c>
      <c r="EM51" s="1066">
        <f>EM50/EM31</f>
        <v>0.90526476676966583</v>
      </c>
      <c r="EN51" s="1066">
        <f>EN50/EN31</f>
        <v>0.9085065271924504</v>
      </c>
      <c r="EO51" s="2019">
        <f>EO50/EO31</f>
        <v>0.90531680386810021</v>
      </c>
      <c r="EP51" s="1220"/>
      <c r="EQ51" s="1066">
        <f>EQ50/EQ31</f>
        <v>0.89983681467884702</v>
      </c>
      <c r="ER51" s="1066">
        <f>ER50/ER31</f>
        <v>0.90353791123001781</v>
      </c>
      <c r="ES51" s="1066">
        <f>ES50/ES31</f>
        <v>0.90565139875810374</v>
      </c>
      <c r="ET51" s="1066">
        <f>ET50/ET31</f>
        <v>0.90955074319266438</v>
      </c>
      <c r="EU51" s="2019">
        <f>EU50/EU31</f>
        <v>0.90515141758214168</v>
      </c>
      <c r="EV51" s="69"/>
    </row>
    <row r="52" spans="1:175" ht="4.5" customHeight="1">
      <c r="A52" s="228"/>
      <c r="B52" s="521"/>
      <c r="C52" s="72"/>
      <c r="D52" s="72"/>
      <c r="E52" s="72"/>
      <c r="F52" s="72"/>
      <c r="G52" s="72"/>
      <c r="H52" s="69"/>
      <c r="I52" s="72"/>
      <c r="J52" s="72"/>
      <c r="K52" s="72"/>
      <c r="L52" s="72"/>
      <c r="M52" s="72"/>
      <c r="N52" s="69"/>
      <c r="O52" s="72"/>
      <c r="P52" s="72"/>
      <c r="Q52" s="72"/>
      <c r="R52" s="72"/>
      <c r="S52" s="231"/>
      <c r="T52" s="69"/>
      <c r="U52" s="72"/>
      <c r="V52" s="72"/>
      <c r="W52" s="72"/>
      <c r="X52" s="72"/>
      <c r="Y52" s="231"/>
      <c r="Z52" s="69"/>
      <c r="AA52" s="72"/>
      <c r="AB52" s="72"/>
      <c r="AC52" s="72"/>
      <c r="AD52" s="72"/>
      <c r="AE52" s="231"/>
      <c r="AF52" s="69"/>
      <c r="AG52" s="72"/>
      <c r="AH52" s="72"/>
      <c r="AI52" s="72"/>
      <c r="AJ52" s="72"/>
      <c r="AK52" s="231"/>
      <c r="AL52" s="69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177"/>
      <c r="AZ52" s="177"/>
      <c r="BA52" s="177"/>
      <c r="BB52" s="177"/>
      <c r="BC52" s="72"/>
      <c r="BD52" s="231"/>
      <c r="BE52" s="177"/>
      <c r="BF52" s="177"/>
      <c r="BG52" s="177"/>
      <c r="BH52" s="177"/>
      <c r="BI52" s="72"/>
      <c r="BJ52" s="69"/>
      <c r="BK52" s="177"/>
      <c r="BL52" s="177"/>
      <c r="BM52" s="177"/>
      <c r="BN52" s="177"/>
      <c r="BO52" s="1161"/>
      <c r="BP52" s="69"/>
      <c r="BQ52" s="177"/>
      <c r="BR52" s="177"/>
      <c r="BS52" s="177"/>
      <c r="BT52" s="177"/>
      <c r="BU52" s="1161"/>
      <c r="BV52" s="69"/>
      <c r="BW52" s="177"/>
      <c r="BX52" s="177"/>
      <c r="BY52" s="177"/>
      <c r="BZ52" s="177"/>
      <c r="CA52" s="1161"/>
      <c r="CB52" s="69"/>
      <c r="CC52" s="177"/>
      <c r="CD52" s="177"/>
      <c r="CE52" s="177"/>
      <c r="CF52" s="177"/>
      <c r="CG52" s="1161"/>
      <c r="CH52" s="69"/>
      <c r="CI52" s="177"/>
      <c r="CJ52" s="177"/>
      <c r="CK52" s="177"/>
      <c r="CL52" s="177"/>
      <c r="CM52" s="1161"/>
      <c r="CN52" s="69"/>
      <c r="CO52" s="177"/>
      <c r="CP52" s="177"/>
      <c r="CQ52" s="177"/>
      <c r="CR52" s="177"/>
      <c r="CS52" s="1161"/>
      <c r="CT52" s="69"/>
      <c r="CU52" s="177"/>
      <c r="CV52" s="177"/>
      <c r="CW52" s="177"/>
      <c r="CX52" s="177"/>
      <c r="CY52" s="1161"/>
      <c r="CZ52" s="69"/>
      <c r="DA52" s="177"/>
      <c r="DB52" s="177"/>
      <c r="DC52" s="177"/>
      <c r="DD52" s="177"/>
      <c r="DE52" s="1161"/>
      <c r="DF52" s="69"/>
      <c r="DG52" s="177"/>
      <c r="DH52" s="177"/>
      <c r="DI52" s="177"/>
      <c r="DJ52" s="177"/>
      <c r="DK52" s="1161"/>
      <c r="DL52" s="69"/>
      <c r="DM52" s="177"/>
      <c r="DN52" s="177"/>
      <c r="DO52" s="177"/>
      <c r="DP52" s="177"/>
      <c r="DQ52" s="1161"/>
      <c r="DR52" s="69"/>
      <c r="DS52" s="177"/>
      <c r="DT52" s="177"/>
      <c r="DU52" s="177"/>
      <c r="DV52" s="177"/>
      <c r="DW52" s="1161"/>
      <c r="DX52" s="69"/>
      <c r="DY52" s="177"/>
      <c r="DZ52" s="177"/>
      <c r="EA52" s="177"/>
      <c r="EB52" s="177"/>
      <c r="EC52" s="1161"/>
      <c r="ED52" s="69"/>
      <c r="EE52" s="177"/>
      <c r="EF52" s="177"/>
      <c r="EG52" s="177"/>
      <c r="EH52" s="177"/>
      <c r="EI52" s="1161"/>
      <c r="EJ52" s="69"/>
      <c r="EK52" s="177"/>
      <c r="EL52" s="177"/>
      <c r="EM52" s="177"/>
      <c r="EN52" s="177"/>
      <c r="EO52" s="1161"/>
      <c r="EP52" s="69"/>
      <c r="EQ52" s="177"/>
      <c r="ER52" s="177"/>
      <c r="ES52" s="177"/>
      <c r="ET52" s="177"/>
      <c r="EU52" s="1161"/>
      <c r="EV52" s="69"/>
    </row>
    <row r="53" spans="1:175" ht="12.75" customHeight="1">
      <c r="A53" s="29" t="s">
        <v>6050</v>
      </c>
      <c r="B53" s="521"/>
      <c r="C53" s="72"/>
      <c r="D53" s="72"/>
      <c r="E53" s="72"/>
      <c r="F53" s="72"/>
      <c r="G53" s="72"/>
      <c r="H53" s="69"/>
      <c r="I53" s="72"/>
      <c r="J53" s="72"/>
      <c r="K53" s="72"/>
      <c r="L53" s="72"/>
      <c r="M53" s="72"/>
      <c r="N53" s="69"/>
      <c r="O53" s="72"/>
      <c r="P53" s="72"/>
      <c r="Q53" s="72"/>
      <c r="R53" s="72"/>
      <c r="S53" s="72"/>
      <c r="T53" s="69"/>
      <c r="U53" s="72"/>
      <c r="V53" s="72"/>
      <c r="W53" s="72"/>
      <c r="X53" s="72"/>
      <c r="Y53" s="72"/>
      <c r="Z53" s="69"/>
      <c r="AA53" s="72"/>
      <c r="AB53" s="72"/>
      <c r="AC53" s="72"/>
      <c r="AD53" s="72"/>
      <c r="AE53" s="72"/>
      <c r="AF53" s="69"/>
      <c r="AG53" s="72"/>
      <c r="AH53" s="72"/>
      <c r="AI53" s="72"/>
      <c r="AJ53" s="72"/>
      <c r="AK53" s="72"/>
      <c r="AL53" s="69"/>
      <c r="AM53" s="72"/>
      <c r="AN53" s="72"/>
      <c r="AO53" s="72"/>
      <c r="AP53" s="72"/>
      <c r="AQ53" s="72"/>
      <c r="AR53" s="69"/>
      <c r="AS53" s="72"/>
      <c r="AT53" s="72"/>
      <c r="AU53" s="72"/>
      <c r="AV53" s="72"/>
      <c r="AW53" s="72"/>
      <c r="AX53" s="69"/>
      <c r="AY53" s="177"/>
      <c r="AZ53" s="177"/>
      <c r="BA53" s="177"/>
      <c r="BB53" s="177"/>
      <c r="BC53" s="72"/>
      <c r="BD53" s="69"/>
      <c r="BE53" s="177"/>
      <c r="BF53" s="177"/>
      <c r="BG53" s="177"/>
      <c r="BH53" s="177"/>
      <c r="BI53" s="72"/>
      <c r="BJ53" s="69"/>
      <c r="BK53" s="177"/>
      <c r="BL53" s="177"/>
      <c r="BM53" s="177"/>
      <c r="BN53" s="177"/>
      <c r="BO53" s="1161"/>
      <c r="BP53" s="69"/>
      <c r="BQ53" s="177"/>
      <c r="BR53" s="177"/>
      <c r="BS53" s="177"/>
      <c r="BT53" s="177"/>
      <c r="BU53" s="1161"/>
      <c r="BV53" s="69"/>
      <c r="BW53" s="177"/>
      <c r="BX53" s="177"/>
      <c r="BY53" s="177"/>
      <c r="BZ53" s="177"/>
      <c r="CA53" s="1161"/>
      <c r="CB53" s="69"/>
      <c r="CC53" s="177"/>
      <c r="CD53" s="177"/>
      <c r="CE53" s="177"/>
      <c r="CF53" s="177"/>
      <c r="CG53" s="1161"/>
      <c r="CH53" s="69"/>
      <c r="CI53" s="177"/>
      <c r="CJ53" s="177"/>
      <c r="CK53" s="177"/>
      <c r="CL53" s="177"/>
      <c r="CM53" s="1161"/>
      <c r="CN53" s="69"/>
      <c r="CO53" s="177"/>
      <c r="CP53" s="177"/>
      <c r="CQ53" s="177"/>
      <c r="CR53" s="177"/>
      <c r="CS53" s="1161"/>
      <c r="CT53" s="69"/>
      <c r="CU53" s="177"/>
      <c r="CV53" s="177"/>
      <c r="CW53" s="177"/>
      <c r="CX53" s="177"/>
      <c r="CY53" s="1161"/>
      <c r="CZ53" s="69"/>
      <c r="DA53" s="177"/>
      <c r="DB53" s="177"/>
      <c r="DC53" s="177"/>
      <c r="DD53" s="177"/>
      <c r="DE53" s="1161"/>
      <c r="DF53" s="69"/>
      <c r="DG53" s="177"/>
      <c r="DH53" s="177"/>
      <c r="DI53" s="177"/>
      <c r="DJ53" s="177"/>
      <c r="DK53" s="1161"/>
      <c r="DL53" s="69"/>
      <c r="DM53" s="177"/>
      <c r="DN53" s="177"/>
      <c r="DO53" s="177"/>
      <c r="DP53" s="177"/>
      <c r="DQ53" s="1161"/>
      <c r="DR53" s="69"/>
      <c r="DS53" s="177"/>
      <c r="DT53" s="177"/>
      <c r="DU53" s="177"/>
      <c r="DV53" s="177"/>
      <c r="DW53" s="1161"/>
      <c r="DX53" s="69"/>
      <c r="DY53" s="177"/>
      <c r="DZ53" s="177"/>
      <c r="EA53" s="177"/>
      <c r="EB53" s="177"/>
      <c r="EC53" s="1161"/>
      <c r="ED53" s="69"/>
      <c r="EE53" s="177"/>
      <c r="EF53" s="177"/>
      <c r="EG53" s="177"/>
      <c r="EH53" s="177"/>
      <c r="EI53" s="1161"/>
      <c r="EJ53" s="69"/>
      <c r="EK53" s="177"/>
      <c r="EL53" s="177"/>
      <c r="EM53" s="177"/>
      <c r="EN53" s="177"/>
      <c r="EO53" s="1161"/>
      <c r="EP53" s="69"/>
      <c r="EQ53" s="177"/>
      <c r="ER53" s="177"/>
      <c r="ES53" s="177"/>
      <c r="ET53" s="177"/>
      <c r="EU53" s="1161"/>
      <c r="EV53" s="69"/>
    </row>
    <row r="54" spans="1:175">
      <c r="A54" s="625" t="s">
        <v>1926</v>
      </c>
      <c r="B54" s="593" t="s">
        <v>2340</v>
      </c>
      <c r="C54" s="168">
        <v>49.3</v>
      </c>
      <c r="D54" s="168">
        <v>50.6</v>
      </c>
      <c r="E54" s="168">
        <v>50.2</v>
      </c>
      <c r="F54" s="168">
        <v>49.8</v>
      </c>
      <c r="G54" s="168">
        <v>199.9</v>
      </c>
      <c r="H54" s="168"/>
      <c r="I54" s="168">
        <v>59.1</v>
      </c>
      <c r="J54" s="168">
        <v>64.8</v>
      </c>
      <c r="K54" s="168">
        <v>67.599999999999994</v>
      </c>
      <c r="L54" s="168">
        <v>73.900000000000006</v>
      </c>
      <c r="M54" s="168">
        <v>265.5</v>
      </c>
      <c r="N54" s="168"/>
      <c r="O54" s="168">
        <v>78.128</v>
      </c>
      <c r="P54" s="168">
        <v>80.287000000000006</v>
      </c>
      <c r="Q54" s="168">
        <v>76.948999999999998</v>
      </c>
      <c r="R54" s="168">
        <v>80.004000000000005</v>
      </c>
      <c r="S54" s="168">
        <f>SUM(O54:R54)</f>
        <v>315.36800000000005</v>
      </c>
      <c r="T54" s="168"/>
      <c r="U54" s="320">
        <v>94.2</v>
      </c>
      <c r="V54" s="320">
        <v>95.418999999999997</v>
      </c>
      <c r="W54" s="320">
        <v>86.748999999999995</v>
      </c>
      <c r="X54" s="208">
        <v>85.956000000000003</v>
      </c>
      <c r="Y54" s="168">
        <f>SUM(U54:X54)</f>
        <v>362.32400000000001</v>
      </c>
      <c r="Z54" s="168"/>
      <c r="AA54" s="168">
        <v>77.501999999999995</v>
      </c>
      <c r="AB54" s="168">
        <v>76.965000000000003</v>
      </c>
      <c r="AC54" s="168">
        <v>81.233999999999995</v>
      </c>
      <c r="AD54" s="168">
        <v>82.105000000000004</v>
      </c>
      <c r="AE54" s="168">
        <v>317.80599999999998</v>
      </c>
      <c r="AF54" s="168"/>
      <c r="AG54" s="168">
        <v>92.971000000000004</v>
      </c>
      <c r="AH54" s="168">
        <v>92.268000000000001</v>
      </c>
      <c r="AI54" s="168">
        <v>87.646000000000001</v>
      </c>
      <c r="AJ54" s="168">
        <v>95.045000000000002</v>
      </c>
      <c r="AK54" s="168">
        <f>SUM(AG54:AJ54)</f>
        <v>367.93</v>
      </c>
      <c r="AL54" s="168"/>
      <c r="AM54" s="168">
        <v>93.653999999999996</v>
      </c>
      <c r="AN54" s="168">
        <v>88.245999999999995</v>
      </c>
      <c r="AO54" s="168">
        <v>88.5</v>
      </c>
      <c r="AP54" s="168">
        <v>87.266999999999996</v>
      </c>
      <c r="AQ54" s="168">
        <f>SUM(AM54:AP54)</f>
        <v>357.66699999999997</v>
      </c>
      <c r="AR54" s="168"/>
      <c r="AS54" s="168">
        <v>92.353999999999999</v>
      </c>
      <c r="AT54" s="168">
        <v>89.864000000000004</v>
      </c>
      <c r="AU54" s="168">
        <v>95.364000000000004</v>
      </c>
      <c r="AV54" s="168">
        <v>115.652</v>
      </c>
      <c r="AW54" s="168">
        <f>SUM(AS54:AV54)</f>
        <v>393.23399999999998</v>
      </c>
      <c r="AX54" s="168"/>
      <c r="AY54" s="61">
        <f>109.9-0.6</f>
        <v>109.30000000000001</v>
      </c>
      <c r="AZ54" s="230">
        <f>105.7-0.7</f>
        <v>105</v>
      </c>
      <c r="BA54" s="230">
        <f>114-0.8</f>
        <v>113.2</v>
      </c>
      <c r="BB54" s="230">
        <f>135.1-0.7</f>
        <v>134.4</v>
      </c>
      <c r="BC54" s="61">
        <f>SUM(AY54:BB54)</f>
        <v>461.9</v>
      </c>
      <c r="BD54" s="168"/>
      <c r="BE54" s="61">
        <f>128-0.6</f>
        <v>127.4</v>
      </c>
      <c r="BF54" s="230">
        <f>134.6-0.6</f>
        <v>134</v>
      </c>
      <c r="BG54" s="230">
        <f>136.9-0.5</f>
        <v>136.4</v>
      </c>
      <c r="BH54" s="230">
        <v>156</v>
      </c>
      <c r="BI54" s="61">
        <f>SUM(BE54:BH54)</f>
        <v>553.79999999999995</v>
      </c>
      <c r="BJ54" s="168"/>
      <c r="BK54" s="61">
        <f>170.4-9.1</f>
        <v>161.30000000000001</v>
      </c>
      <c r="BL54" s="230">
        <f>167.5-9.6</f>
        <v>157.9</v>
      </c>
      <c r="BM54" s="230">
        <f>177.1-15.3</f>
        <v>161.79999999999998</v>
      </c>
      <c r="BN54" s="230">
        <f>181.1-7.8</f>
        <v>173.29999999999998</v>
      </c>
      <c r="BO54" s="1125">
        <f>SUM(BK54:BN54)</f>
        <v>654.29999999999995</v>
      </c>
      <c r="BP54" s="61"/>
      <c r="BQ54" s="230">
        <f>192.5-4.8-6.3</f>
        <v>181.39999999999998</v>
      </c>
      <c r="BR54" s="230">
        <v>189.8</v>
      </c>
      <c r="BS54" s="230">
        <f>208.9-16.2</f>
        <v>192.70000000000002</v>
      </c>
      <c r="BT54" s="230">
        <f>242.5-11.8-0.6</f>
        <v>230.1</v>
      </c>
      <c r="BU54" s="1125">
        <f>SUM(BQ54:BT54)</f>
        <v>794</v>
      </c>
      <c r="BV54" s="61"/>
      <c r="BW54" s="230">
        <f>223.9-10.5</f>
        <v>213.4</v>
      </c>
      <c r="BX54" s="230">
        <f>228.8-10</f>
        <v>218.8</v>
      </c>
      <c r="BY54" s="230">
        <f>225.5-10.1</f>
        <v>215.4</v>
      </c>
      <c r="BZ54" s="230">
        <f>218-8.6</f>
        <v>209.4</v>
      </c>
      <c r="CA54" s="1125">
        <f>SUM(BW54:BZ54)</f>
        <v>857</v>
      </c>
      <c r="CB54" s="168"/>
      <c r="CC54" s="230">
        <f>185.8-9.5</f>
        <v>176.3</v>
      </c>
      <c r="CD54" s="230">
        <f>176.4-9.5</f>
        <v>166.9</v>
      </c>
      <c r="CE54" s="230">
        <f>180.3-13.5</f>
        <v>166.8</v>
      </c>
      <c r="CF54" s="230">
        <f>191.3-8.6</f>
        <v>182.70000000000002</v>
      </c>
      <c r="CG54" s="1125">
        <f>SUM(CC54:CF54)</f>
        <v>692.7</v>
      </c>
      <c r="CH54" s="168"/>
      <c r="CI54" s="230">
        <f>186.5-10.6</f>
        <v>175.9</v>
      </c>
      <c r="CJ54" s="230">
        <f>177.5-9.2</f>
        <v>168.3</v>
      </c>
      <c r="CK54" s="230">
        <f>185.1-7.6</f>
        <v>177.5</v>
      </c>
      <c r="CL54" s="230">
        <f>226.9-8.1</f>
        <v>218.8</v>
      </c>
      <c r="CM54" s="1125">
        <f>SUM(CI54:CL54)</f>
        <v>740.5</v>
      </c>
      <c r="CN54" s="168"/>
      <c r="CO54" s="230">
        <f>201.9-11.8</f>
        <v>190.1</v>
      </c>
      <c r="CP54" s="230">
        <f>201-11.3</f>
        <v>189.7</v>
      </c>
      <c r="CQ54" s="230">
        <f>206.2-11.7</f>
        <v>194.5</v>
      </c>
      <c r="CR54" s="230">
        <f>233.5-13.5</f>
        <v>220</v>
      </c>
      <c r="CS54" s="1125">
        <f>SUM(CO54:CR54)</f>
        <v>794.3</v>
      </c>
      <c r="CT54" s="168"/>
      <c r="CU54" s="230">
        <f>223.2-14.6</f>
        <v>208.6</v>
      </c>
      <c r="CV54" s="230">
        <f>212.4-16.1</f>
        <v>196.3</v>
      </c>
      <c r="CW54" s="230">
        <f>204.6-16.6</f>
        <v>188</v>
      </c>
      <c r="CX54" s="230">
        <f>236-16.9</f>
        <v>219.1</v>
      </c>
      <c r="CY54" s="1125">
        <f>SUM(CU54:CX54)</f>
        <v>812</v>
      </c>
      <c r="CZ54" s="168"/>
      <c r="DA54" s="230">
        <f>208.8-14.1</f>
        <v>194.70000000000002</v>
      </c>
      <c r="DB54" s="230">
        <f>198.1-13.9</f>
        <v>184.2</v>
      </c>
      <c r="DC54" s="230">
        <f>203.4-14.5</f>
        <v>188.9</v>
      </c>
      <c r="DD54" s="230">
        <f>232.3-16.1</f>
        <v>216.20000000000002</v>
      </c>
      <c r="DE54" s="1125">
        <f>SUM(DA54:DD54)</f>
        <v>784</v>
      </c>
      <c r="DF54" s="168"/>
      <c r="DG54" s="230">
        <f>225.4-14</f>
        <v>211.4</v>
      </c>
      <c r="DH54" s="230">
        <f>237.6-17.6</f>
        <v>220</v>
      </c>
      <c r="DI54" s="230">
        <f>245.1-19.4</f>
        <v>225.7</v>
      </c>
      <c r="DJ54" s="230">
        <f>289.9-21.4</f>
        <v>268.5</v>
      </c>
      <c r="DK54" s="1125">
        <f>SUM(DG54:DJ54)</f>
        <v>925.59999999999991</v>
      </c>
      <c r="DL54" s="168"/>
      <c r="DM54" s="230">
        <f>253.9-21.7</f>
        <v>232.20000000000002</v>
      </c>
      <c r="DN54" s="230">
        <f>240.8-17.3</f>
        <v>223.5</v>
      </c>
      <c r="DO54" s="230">
        <f>243.4-22.2</f>
        <v>221.20000000000002</v>
      </c>
      <c r="DP54" s="230">
        <f>277.4-24</f>
        <v>253.39999999999998</v>
      </c>
      <c r="DQ54" s="1125">
        <f>SUM(DM54:DP54)</f>
        <v>930.30000000000007</v>
      </c>
      <c r="DR54" s="168"/>
      <c r="DS54" s="230">
        <f>242.9-23.6</f>
        <v>219.3</v>
      </c>
      <c r="DT54" s="230">
        <f>243.1-23.3</f>
        <v>219.79999999999998</v>
      </c>
      <c r="DU54" s="230">
        <f>255-24.2</f>
        <v>230.8</v>
      </c>
      <c r="DV54" s="230">
        <f>283.6-25.1</f>
        <v>258.5</v>
      </c>
      <c r="DW54" s="1125">
        <f>SUM(DS54:DV54)</f>
        <v>928.40000000000009</v>
      </c>
      <c r="DX54" s="168"/>
      <c r="DY54" s="230">
        <f>255.7-26.4</f>
        <v>229.29999999999998</v>
      </c>
      <c r="DZ54" s="230">
        <f>257.6-26</f>
        <v>231.60000000000002</v>
      </c>
      <c r="EA54" s="230">
        <f>272.5-27.7</f>
        <v>244.8</v>
      </c>
      <c r="EB54" s="230">
        <f>301.5-27.2</f>
        <v>274.3</v>
      </c>
      <c r="EC54" s="1125">
        <f>SUM(DY54:EB54)</f>
        <v>980</v>
      </c>
      <c r="ED54" s="168"/>
      <c r="EE54" s="230">
        <f>EE$31*EE55</f>
        <v>234.95197116143393</v>
      </c>
      <c r="EF54" s="230">
        <f>EF$31*EF55</f>
        <v>232.79298858139495</v>
      </c>
      <c r="EG54" s="230">
        <f>EG$31*EG55</f>
        <v>238.43288871654065</v>
      </c>
      <c r="EH54" s="230">
        <f>EH$31*EH55</f>
        <v>276.02592385902551</v>
      </c>
      <c r="EI54" s="1125">
        <f>SUM(EE54:EH54)</f>
        <v>982.20377231839507</v>
      </c>
      <c r="EJ54" s="168"/>
      <c r="EK54" s="230">
        <f>EK$31*EK55</f>
        <v>229.35766872707458</v>
      </c>
      <c r="EL54" s="230">
        <f>EL$31*EL55</f>
        <v>224.63834169408833</v>
      </c>
      <c r="EM54" s="230">
        <f>EM$31*EM55</f>
        <v>232.23459486366619</v>
      </c>
      <c r="EN54" s="230">
        <f>EN$31*EN55</f>
        <v>270.60936125582799</v>
      </c>
      <c r="EO54" s="1125">
        <f>SUM(EK54:EN54)</f>
        <v>956.83996654065709</v>
      </c>
      <c r="EP54" s="168"/>
      <c r="EQ54" s="230">
        <f>EQ$31*EQ55</f>
        <v>247.40797872095823</v>
      </c>
      <c r="ER54" s="230">
        <f>ER$31*ER55</f>
        <v>239.46630557447369</v>
      </c>
      <c r="ES54" s="230">
        <f>ES$31*ES55</f>
        <v>251.55366812139437</v>
      </c>
      <c r="ET54" s="230">
        <f>ET$31*ET55</f>
        <v>280.83277638229509</v>
      </c>
      <c r="EU54" s="1125">
        <f>SUM(EQ54:ET54)</f>
        <v>1019.2607287991214</v>
      </c>
      <c r="EV54" s="27"/>
    </row>
    <row r="55" spans="1:175" hidden="1" outlineLevel="1">
      <c r="A55" s="683" t="s">
        <v>716</v>
      </c>
      <c r="B55" s="684"/>
      <c r="C55" s="685">
        <f>C54/C$31</f>
        <v>0.36170212765957444</v>
      </c>
      <c r="D55" s="685">
        <f>D54/D$31</f>
        <v>0.39316239316239321</v>
      </c>
      <c r="E55" s="685">
        <f>E54/E$31</f>
        <v>0.43053173241852494</v>
      </c>
      <c r="F55" s="685">
        <f>F54/F$31</f>
        <v>0.43304347826086953</v>
      </c>
      <c r="G55" s="685">
        <f>G54/G$31</f>
        <v>0.40245621099255086</v>
      </c>
      <c r="H55" s="686"/>
      <c r="I55" s="685">
        <f>I54/I$31</f>
        <v>0.40479452054794524</v>
      </c>
      <c r="J55" s="685">
        <f>J54/J$31</f>
        <v>0.34303864478560081</v>
      </c>
      <c r="K55" s="685">
        <f>K54/K$31</f>
        <v>0.33698903290129611</v>
      </c>
      <c r="L55" s="685">
        <f>L54/L$31</f>
        <v>0.33728890917389326</v>
      </c>
      <c r="M55" s="685">
        <f>M54/M$31</f>
        <v>0.35184203551550491</v>
      </c>
      <c r="N55" s="686"/>
      <c r="O55" s="685">
        <f>O54/O$31</f>
        <v>0.34284410352726408</v>
      </c>
      <c r="P55" s="685">
        <f>P54/P$31</f>
        <v>0.34554931008065559</v>
      </c>
      <c r="Q55" s="685">
        <f>Q54/Q$31</f>
        <v>0.36589239437959153</v>
      </c>
      <c r="R55" s="685">
        <f>R54/R$31</f>
        <v>0.35828194483629572</v>
      </c>
      <c r="S55" s="685">
        <f>S54/S$31</f>
        <v>0.35282692944535443</v>
      </c>
      <c r="T55" s="686"/>
      <c r="U55" s="685">
        <f>U54/U$31</f>
        <v>0.46481562806854798</v>
      </c>
      <c r="V55" s="685">
        <f>V54/V$31</f>
        <v>0.45312039965429146</v>
      </c>
      <c r="W55" s="685">
        <f>W54/W$31</f>
        <v>0.41679999615626695</v>
      </c>
      <c r="X55" s="685">
        <f>X54/X$31</f>
        <v>0.37920035998358903</v>
      </c>
      <c r="Y55" s="685">
        <f>Y54/Y$31</f>
        <v>0.42724317287521624</v>
      </c>
      <c r="Z55" s="686"/>
      <c r="AA55" s="685">
        <f>AA54/AA$31</f>
        <v>0.3351307408576531</v>
      </c>
      <c r="AB55" s="685">
        <f>AB54/AB$31</f>
        <v>0.33054745513032496</v>
      </c>
      <c r="AC55" s="685">
        <f>AC54/AC$31</f>
        <v>0.35445965345562597</v>
      </c>
      <c r="AD55" s="685">
        <f>AD54/AD$31</f>
        <v>0.33781531967068101</v>
      </c>
      <c r="AE55" s="685">
        <f>AE54/AE$31</f>
        <v>0.33941883365159925</v>
      </c>
      <c r="AF55" s="686"/>
      <c r="AG55" s="685">
        <f>AG54/AG$31</f>
        <v>0.37833075608366573</v>
      </c>
      <c r="AH55" s="685">
        <f>AH54/AH$31</f>
        <v>0.39880705394190874</v>
      </c>
      <c r="AI55" s="685">
        <f>AI54/AI$31</f>
        <v>0.40509897992669525</v>
      </c>
      <c r="AJ55" s="685">
        <f>AJ54/AJ$31</f>
        <v>0.37414283127455378</v>
      </c>
      <c r="AK55" s="685">
        <f>AK54/AK$31</f>
        <v>0.3883203112219536</v>
      </c>
      <c r="AL55" s="686"/>
      <c r="AM55" s="685">
        <f>AM54/AM$31</f>
        <v>0.40838627810942452</v>
      </c>
      <c r="AN55" s="685">
        <f>AN54/AN$31</f>
        <v>0.41743416540129891</v>
      </c>
      <c r="AO55" s="685">
        <f>AO54/AO$31</f>
        <v>0.46899592476987406</v>
      </c>
      <c r="AP55" s="685">
        <f>AP54/AP$31</f>
        <v>0.44634198735653341</v>
      </c>
      <c r="AQ55" s="685">
        <f>AQ54/AQ$31</f>
        <v>0.43356466188655002</v>
      </c>
      <c r="AR55" s="686"/>
      <c r="AS55" s="685">
        <f>AS54/AS$31</f>
        <v>0.43818262907679606</v>
      </c>
      <c r="AT55" s="685">
        <f>AT54/AT$31</f>
        <v>0.42447745683852534</v>
      </c>
      <c r="AU55" s="685">
        <f>AU54/AU$31</f>
        <v>0.40777894655822666</v>
      </c>
      <c r="AV55" s="685">
        <f>AV54/AV$31</f>
        <v>0.39162913548474476</v>
      </c>
      <c r="AW55" s="685">
        <f>AW54/AW$31</f>
        <v>0.41321588032486967</v>
      </c>
      <c r="AX55" s="686"/>
      <c r="AY55" s="685">
        <f>AY54/AY$31</f>
        <v>0.36542962219993314</v>
      </c>
      <c r="AZ55" s="685">
        <f>AZ54/AZ$31</f>
        <v>0.37393162393162394</v>
      </c>
      <c r="BA55" s="685">
        <f>BA54/BA$31</f>
        <v>0.3755806237558062</v>
      </c>
      <c r="BB55" s="685">
        <f>BB54/BB$31</f>
        <v>0.37583892617449671</v>
      </c>
      <c r="BC55" s="686">
        <f>BC54/BC$31</f>
        <v>0.37283073694406321</v>
      </c>
      <c r="BD55" s="686"/>
      <c r="BE55" s="685">
        <f>BE54/BE$31</f>
        <v>0.35477582846003902</v>
      </c>
      <c r="BF55" s="685">
        <f>BF54/BF$31</f>
        <v>0.35562632696390661</v>
      </c>
      <c r="BG55" s="685">
        <f>BG54/BG$31</f>
        <v>0.35753604193971167</v>
      </c>
      <c r="BH55" s="685">
        <f>BH54/BH$31</f>
        <v>0.37160552644116246</v>
      </c>
      <c r="BI55" s="686">
        <f>BI54/BI$31</f>
        <v>0.36026541764246683</v>
      </c>
      <c r="BJ55" s="686"/>
      <c r="BK55" s="685">
        <f>BK54/BK$31</f>
        <v>0.36995412844036701</v>
      </c>
      <c r="BL55" s="685">
        <f>BL54/BL$31</f>
        <v>0.35120106761565834</v>
      </c>
      <c r="BM55" s="685">
        <f>BM54/BM$31</f>
        <v>0.35420315236427313</v>
      </c>
      <c r="BN55" s="685">
        <f>BN54/BN$31</f>
        <v>0.34841174105347805</v>
      </c>
      <c r="BO55" s="1257">
        <f>BO54/BO$31</f>
        <v>0.35563648222632888</v>
      </c>
      <c r="BP55" s="883"/>
      <c r="BQ55" s="916">
        <f>BQ54/BQ$31</f>
        <v>0.35666535587888315</v>
      </c>
      <c r="BR55" s="916">
        <f>BR54/BR$31</f>
        <v>0.36090511504088224</v>
      </c>
      <c r="BS55" s="916">
        <f>BS54/BS$31</f>
        <v>0.35791233283803869</v>
      </c>
      <c r="BT55" s="916">
        <f>BT54/BT$31</f>
        <v>0.38407611417125687</v>
      </c>
      <c r="BU55" s="1294">
        <f>BU54/BU$31</f>
        <v>0.36556169429097607</v>
      </c>
      <c r="BV55" s="883"/>
      <c r="BW55" s="916">
        <f>BW54/BW$31</f>
        <v>0.35637942551770213</v>
      </c>
      <c r="BX55" s="916">
        <f>BX54/BX$31</f>
        <v>0.35318805488297017</v>
      </c>
      <c r="BY55" s="916">
        <f>BY54/BY$31</f>
        <v>0.35480151540108712</v>
      </c>
      <c r="BZ55" s="916">
        <f>BZ54/BZ$31</f>
        <v>0.42752143732135567</v>
      </c>
      <c r="CA55" s="1294">
        <f>CA54/CA$31</f>
        <v>0.37016240497581199</v>
      </c>
      <c r="CB55" s="686"/>
      <c r="CC55" s="916">
        <f>CC54/CC$31</f>
        <v>0.41404415218412405</v>
      </c>
      <c r="CD55" s="916">
        <f>CD54/CD$31</f>
        <v>0.40226560617016149</v>
      </c>
      <c r="CE55" s="916">
        <f>CE54/CE$31</f>
        <v>0.40009594627008882</v>
      </c>
      <c r="CF55" s="916">
        <f>CF54/CF$31</f>
        <v>0.40057005042753785</v>
      </c>
      <c r="CG55" s="1294">
        <f>CG54/CG$31</f>
        <v>0.40421310614459949</v>
      </c>
      <c r="CH55" s="686"/>
      <c r="CI55" s="916">
        <f>CI54/CI$31</f>
        <v>0.37062789717656974</v>
      </c>
      <c r="CJ55" s="916">
        <f>CJ54/CJ$31</f>
        <v>0.35596446700507622</v>
      </c>
      <c r="CK55" s="916">
        <f>CK54/CK$31</f>
        <v>0.37235158380532829</v>
      </c>
      <c r="CL55" s="916">
        <f>CL54/CL$31</f>
        <v>0.41462952435095696</v>
      </c>
      <c r="CM55" s="1294">
        <f>CM54/CM$31</f>
        <v>0.37939338046931037</v>
      </c>
      <c r="CN55" s="686"/>
      <c r="CO55" s="916">
        <f>CO54/CO$31</f>
        <v>0.35983342797652851</v>
      </c>
      <c r="CP55" s="916">
        <f>CP54/CP$31</f>
        <v>0.34724510342302767</v>
      </c>
      <c r="CQ55" s="916">
        <f>CQ54/CQ$31</f>
        <v>0.35453882610280718</v>
      </c>
      <c r="CR55" s="916">
        <f>CR54/CR$31</f>
        <v>0.37137069547602974</v>
      </c>
      <c r="CS55" s="1294">
        <f>CS54/CS$31</f>
        <v>0.35850333995306011</v>
      </c>
      <c r="CT55" s="686"/>
      <c r="CU55" s="916">
        <f>CU54/CU$31</f>
        <v>0.35440027183146444</v>
      </c>
      <c r="CV55" s="916">
        <f>CV54/CV$31</f>
        <v>0.34499121265377858</v>
      </c>
      <c r="CW55" s="916">
        <f>CW54/CW$31</f>
        <v>0.34306569343065696</v>
      </c>
      <c r="CX55" s="916">
        <f>CX54/CX$31</f>
        <v>0.36095551894563427</v>
      </c>
      <c r="CY55" s="1294">
        <f>CY54/CY$31</f>
        <v>0.35111995156966186</v>
      </c>
      <c r="CZ55" s="686"/>
      <c r="DA55" s="916">
        <f>DA54/DA$31</f>
        <v>0.3413394109396915</v>
      </c>
      <c r="DB55" s="916">
        <f>DB54/DB$31</f>
        <v>0.3279330603525013</v>
      </c>
      <c r="DC55" s="916">
        <f>DC54/DC$31</f>
        <v>0.34023775216138324</v>
      </c>
      <c r="DD55" s="916">
        <f>DD54/DD$31</f>
        <v>0.36856460961472903</v>
      </c>
      <c r="DE55" s="1294">
        <f>DE54/DE$31</f>
        <v>0.34478209244030084</v>
      </c>
      <c r="DF55" s="686"/>
      <c r="DG55" s="916">
        <f>DG54/DG$31</f>
        <v>0.35679324894514769</v>
      </c>
      <c r="DH55" s="916">
        <f>DH54/DH$31</f>
        <v>0.34531470726730501</v>
      </c>
      <c r="DI55" s="916">
        <f>DI54/DI$31</f>
        <v>0.36521035598705498</v>
      </c>
      <c r="DJ55" s="916">
        <f>DJ54/DJ$31</f>
        <v>0.4040024074631357</v>
      </c>
      <c r="DK55" s="1294">
        <f>DK54/DK$31</f>
        <v>0.36844200302523683</v>
      </c>
      <c r="DL55" s="686"/>
      <c r="DM55" s="916">
        <f>DM54/DM$31</f>
        <v>0.35916473317865433</v>
      </c>
      <c r="DN55" s="916">
        <f>DN54/DN$31</f>
        <v>0.36669401148482361</v>
      </c>
      <c r="DO55" s="916">
        <f>DO54/DO$31</f>
        <v>0.36878959653217747</v>
      </c>
      <c r="DP55" s="916">
        <f>DP54/DP$31</f>
        <v>0.39086842511183095</v>
      </c>
      <c r="DQ55" s="1294">
        <f>DQ54/DQ$31</f>
        <v>0.37151072241523903</v>
      </c>
      <c r="DR55" s="686"/>
      <c r="DS55" s="916">
        <f>DS54/DS$31</f>
        <v>0.42840398515335032</v>
      </c>
      <c r="DT55" s="916">
        <f>DT54/DT$31</f>
        <v>0.39912838205919732</v>
      </c>
      <c r="DU55" s="916">
        <f>DU54/DU$31</f>
        <v>0.47140522875816993</v>
      </c>
      <c r="DV55" s="916">
        <f>DV54/DV$31</f>
        <v>0.53989139515455309</v>
      </c>
      <c r="DW55" s="1294">
        <f>DW54/DW$31</f>
        <v>0.45711472181191543</v>
      </c>
      <c r="DX55" s="686"/>
      <c r="DY55" s="916">
        <f>DY54/DY$31</f>
        <v>0.47210212065060736</v>
      </c>
      <c r="DZ55" s="916">
        <f>DZ54/DZ$31</f>
        <v>0.46153846153846162</v>
      </c>
      <c r="EA55" s="916">
        <f>EA54/EA$31</f>
        <v>0.47506307005627796</v>
      </c>
      <c r="EB55" s="916">
        <f>EB54/EB$31</f>
        <v>0.49530516431924887</v>
      </c>
      <c r="EC55" s="1294">
        <f>EC54/EC$31</f>
        <v>0.47651463580667125</v>
      </c>
      <c r="ED55" s="686"/>
      <c r="EE55" s="917">
        <f>DY55-0.05</f>
        <v>0.42210212065060737</v>
      </c>
      <c r="EF55" s="917">
        <f>DZ55-0.07</f>
        <v>0.39153846153846161</v>
      </c>
      <c r="EG55" s="917">
        <f>EA55-0.1</f>
        <v>0.37506307005627793</v>
      </c>
      <c r="EH55" s="917">
        <f>EB55-0.108</f>
        <v>0.38730516431924888</v>
      </c>
      <c r="EI55" s="1294">
        <f>EI54/EI$31</f>
        <v>0.3929474228914544</v>
      </c>
      <c r="EJ55" s="686"/>
      <c r="EK55" s="917">
        <f>EE55-0.09</f>
        <v>0.3321021206506074</v>
      </c>
      <c r="EL55" s="917">
        <f>EF55-0.085</f>
        <v>0.30653846153846159</v>
      </c>
      <c r="EM55" s="917">
        <f>EG55-0.08</f>
        <v>0.29506307005627791</v>
      </c>
      <c r="EN55" s="917">
        <f>EH55-0.085</f>
        <v>0.30230516431924886</v>
      </c>
      <c r="EO55" s="1294">
        <f>EO54/EO$31</f>
        <v>0.30809481523727211</v>
      </c>
      <c r="EP55" s="686"/>
      <c r="EQ55" s="917">
        <f>EK55-0.01</f>
        <v>0.32210212065060739</v>
      </c>
      <c r="ER55" s="917">
        <f>EL55-0.03</f>
        <v>0.27653846153846162</v>
      </c>
      <c r="ES55" s="917">
        <f>EM55-0.035</f>
        <v>0.26006307005627793</v>
      </c>
      <c r="ET55" s="917">
        <f>EN55-0.055</f>
        <v>0.24730516431924887</v>
      </c>
      <c r="EU55" s="1294">
        <f>EU54/EU$31</f>
        <v>0.27275586377637862</v>
      </c>
      <c r="EV55" s="532"/>
    </row>
    <row r="56" spans="1:175" hidden="1" outlineLevel="1">
      <c r="A56" s="683" t="s">
        <v>4583</v>
      </c>
      <c r="B56" s="684"/>
      <c r="C56" s="685"/>
      <c r="D56" s="685"/>
      <c r="E56" s="685"/>
      <c r="F56" s="685"/>
      <c r="G56" s="685"/>
      <c r="H56" s="686"/>
      <c r="I56" s="685">
        <f>IF(C54&lt;&gt;"",I54/C54-1,"-")</f>
        <v>0.19878296146044638</v>
      </c>
      <c r="J56" s="685">
        <f>IF(D54&lt;&gt;"",J54/D54-1,"-")</f>
        <v>0.28063241106719361</v>
      </c>
      <c r="K56" s="685">
        <f>IF(E54&lt;&gt;"",K54/E54-1,"-")</f>
        <v>0.34661354581673298</v>
      </c>
      <c r="L56" s="685">
        <f>IF(F54&lt;&gt;"",L54/F54-1,"-")</f>
        <v>0.48393574297188779</v>
      </c>
      <c r="M56" s="685">
        <f>IF(G54&lt;&gt;"",M54/G54-1,"-")</f>
        <v>0.32816408204102054</v>
      </c>
      <c r="N56" s="686"/>
      <c r="O56" s="685">
        <f>IF(I54&lt;&gt;"",O54/I54-1,"-")</f>
        <v>0.32196277495769876</v>
      </c>
      <c r="P56" s="685">
        <f>IF(J54&lt;&gt;"",P54/J54-1,"-")</f>
        <v>0.23899691358024699</v>
      </c>
      <c r="Q56" s="685">
        <f>IF(K54&lt;&gt;"",Q54/K54-1,"-")</f>
        <v>0.13829881656804743</v>
      </c>
      <c r="R56" s="685">
        <f>IF(L54&lt;&gt;"",R54/L54-1,"-")</f>
        <v>8.2598105548037815E-2</v>
      </c>
      <c r="S56" s="685">
        <f>IF(M54&lt;&gt;"",S54/M54-1,"-")</f>
        <v>0.18782674199623361</v>
      </c>
      <c r="T56" s="686"/>
      <c r="U56" s="685">
        <f>IF(O54&lt;&gt;"",U54/O54-1,"-")</f>
        <v>0.20571370059389715</v>
      </c>
      <c r="V56" s="685">
        <f>IF(P54&lt;&gt;"",V54/P54-1,"-")</f>
        <v>0.1884738500628993</v>
      </c>
      <c r="W56" s="685">
        <f>IF(Q54&lt;&gt;"",W54/Q54-1,"-")</f>
        <v>0.12735708066381624</v>
      </c>
      <c r="X56" s="685">
        <f>IF(R54&lt;&gt;"",X54/R54-1,"-")</f>
        <v>7.439628018599076E-2</v>
      </c>
      <c r="Y56" s="685">
        <f>IF(S54&lt;&gt;"",Y54/S54-1,"-")</f>
        <v>0.14889272215316685</v>
      </c>
      <c r="Z56" s="686"/>
      <c r="AA56" s="685">
        <f>IF(U54&lt;&gt;"",AA54/U54-1,"-")</f>
        <v>-0.17726114649681535</v>
      </c>
      <c r="AB56" s="685">
        <f>IF(V54&lt;&gt;"",AB54/V54-1,"-")</f>
        <v>-0.19339963738877997</v>
      </c>
      <c r="AC56" s="685">
        <f>IF(W54&lt;&gt;"",AC54/W54-1,"-")</f>
        <v>-6.3574219875733418E-2</v>
      </c>
      <c r="AD56" s="685">
        <f>IF(X54&lt;&gt;"",AD54/X54-1,"-")</f>
        <v>-4.4801991716692302E-2</v>
      </c>
      <c r="AE56" s="685">
        <f>IF(Y54&lt;&gt;"",AE54/Y54-1,"-")</f>
        <v>-0.12286793036067178</v>
      </c>
      <c r="AF56" s="686"/>
      <c r="AG56" s="685">
        <f>IF(AA54&lt;&gt;"",AG54/AA54-1,"-")</f>
        <v>0.19959484916518289</v>
      </c>
      <c r="AH56" s="685">
        <f>IF(AB54&lt;&gt;"",AH54/AB54-1,"-")</f>
        <v>0.19883063730267003</v>
      </c>
      <c r="AI56" s="685">
        <f>IF(AC54&lt;&gt;"",AI54/AC54-1,"-")</f>
        <v>7.8932466701135073E-2</v>
      </c>
      <c r="AJ56" s="685">
        <f>IF(AD54&lt;&gt;"",AJ54/AD54-1,"-")</f>
        <v>0.15760306924060652</v>
      </c>
      <c r="AK56" s="685">
        <f>IF(AE54&lt;&gt;"",AK54/AE54-1,"-")</f>
        <v>0.1577188599334185</v>
      </c>
      <c r="AL56" s="686"/>
      <c r="AM56" s="685">
        <f>IF(AG54&lt;&gt;"",AM54/AG54-1,"-")</f>
        <v>7.3463768271826435E-3</v>
      </c>
      <c r="AN56" s="685">
        <f>IF(AH54&lt;&gt;"",AN54/AH54-1,"-")</f>
        <v>-4.3590410543200342E-2</v>
      </c>
      <c r="AO56" s="685">
        <f>IF(AI54&lt;&gt;"",AO54/AI54-1,"-")</f>
        <v>9.7437418707071455E-3</v>
      </c>
      <c r="AP56" s="685">
        <f>IF(AJ54&lt;&gt;"",AP54/AJ54-1,"-")</f>
        <v>-8.1834920300910108E-2</v>
      </c>
      <c r="AQ56" s="685">
        <f>IF(AK54&lt;&gt;"",AQ54/AK54-1,"-")</f>
        <v>-2.7893892860054947E-2</v>
      </c>
      <c r="AR56" s="686"/>
      <c r="AS56" s="685">
        <f>IF(AM54&lt;&gt;"",AS54/AM54-1,"-")</f>
        <v>-1.3880880688491692E-2</v>
      </c>
      <c r="AT56" s="685">
        <f>IF(AN54&lt;&gt;"",AT54/AN54-1,"-")</f>
        <v>1.8335108673481093E-2</v>
      </c>
      <c r="AU56" s="685">
        <f>IF(AO54&lt;&gt;"",AU54/AO54-1,"-")</f>
        <v>7.755932203389837E-2</v>
      </c>
      <c r="AV56" s="685">
        <f>IF(AP54&lt;&gt;"",AV54/AP54-1,"-")</f>
        <v>0.32526613725692433</v>
      </c>
      <c r="AW56" s="685">
        <f>IF(AQ54&lt;&gt;"",AW54/AQ54-1,"-")</f>
        <v>9.944165942063421E-2</v>
      </c>
      <c r="AX56" s="686"/>
      <c r="AY56" s="685">
        <f>IF(AS54&lt;&gt;"",AY54/AS54-1,"-")</f>
        <v>0.18348961604261871</v>
      </c>
      <c r="AZ56" s="685">
        <f>IF(AT54&lt;&gt;"",AZ54/AT54-1,"-")</f>
        <v>0.16843229769429358</v>
      </c>
      <c r="BA56" s="686">
        <f>IF(AU54&lt;&gt;"",BA54/AU54-1,"-")</f>
        <v>0.18703074535464115</v>
      </c>
      <c r="BB56" s="686">
        <f>IF(AV54&lt;&gt;"",BB54/AV54-1,"-")</f>
        <v>0.16210701068723421</v>
      </c>
      <c r="BC56" s="686">
        <f>IF(AW54&lt;&gt;"",BC54/AW54-1,"-")</f>
        <v>0.17461867488569149</v>
      </c>
      <c r="BD56" s="686"/>
      <c r="BE56" s="685">
        <f>IF(AY54&lt;&gt;"",BE54/AY54-1,"-")</f>
        <v>0.16559926806953329</v>
      </c>
      <c r="BF56" s="685">
        <f>IF(AZ54&lt;&gt;"",BF54/AZ54-1,"-")</f>
        <v>0.2761904761904761</v>
      </c>
      <c r="BG56" s="686">
        <f>IF(BA54&lt;&gt;"",BG54/BA54-1,"-")</f>
        <v>0.20494699646643122</v>
      </c>
      <c r="BH56" s="686">
        <f>IF(BB54&lt;&gt;"",BH54/BB54-1,"-")</f>
        <v>0.16071428571428559</v>
      </c>
      <c r="BI56" s="686">
        <f>IF(BC54&lt;&gt;"",BI54/BC54-1,"-")</f>
        <v>0.19896081402901067</v>
      </c>
      <c r="BJ56" s="686"/>
      <c r="BK56" s="685">
        <f>IF(BE54&lt;&gt;"",BK54/BE54-1,"-")</f>
        <v>0.26609105180533765</v>
      </c>
      <c r="BL56" s="685">
        <f>IF(BF54&lt;&gt;"",BL54/BF54-1,"-")</f>
        <v>0.17835820895522403</v>
      </c>
      <c r="BM56" s="686">
        <f>IF(BG54&lt;&gt;"",BM54/BG54-1,"-")</f>
        <v>0.18621700879765379</v>
      </c>
      <c r="BN56" s="686">
        <f>IF(BH54&lt;&gt;"",BN54/BH54-1,"-")</f>
        <v>0.11089743589743573</v>
      </c>
      <c r="BO56" s="1257">
        <f>IF(BI54&lt;&gt;"",BO54/BI54-1,"-")</f>
        <v>0.18147345612134336</v>
      </c>
      <c r="BP56" s="883"/>
      <c r="BQ56" s="686">
        <f>IF(BK54&lt;&gt;"",BQ54/BK54-1,"-")</f>
        <v>0.12461252324860483</v>
      </c>
      <c r="BR56" s="686">
        <f>IF(BL54&lt;&gt;"",BR54/BL54-1,"-")</f>
        <v>0.20202659911336296</v>
      </c>
      <c r="BS56" s="686">
        <f>IF(BM54&lt;&gt;"",BS54/BM54-1,"-")</f>
        <v>0.19097651421508055</v>
      </c>
      <c r="BT56" s="686">
        <f>IF(BN54&lt;&gt;"",BT54/BN54-1,"-")</f>
        <v>0.32775533756491648</v>
      </c>
      <c r="BU56" s="1257">
        <f>IF(BO54&lt;&gt;"",BU54/BO54-1,"-")</f>
        <v>0.2135106220388201</v>
      </c>
      <c r="BV56" s="883"/>
      <c r="BW56" s="686">
        <f>IF(BQ54&lt;&gt;"",BW54/BQ54-1,"-")</f>
        <v>0.17640573318632868</v>
      </c>
      <c r="BX56" s="686">
        <f>IF(BR54&lt;&gt;"",BX54/BR54-1,"-")</f>
        <v>0.15279241306638558</v>
      </c>
      <c r="BY56" s="686">
        <f>IF(BS54&lt;&gt;"",BY54/BS54-1,"-")</f>
        <v>0.1177996886351842</v>
      </c>
      <c r="BZ56" s="686">
        <f>IF(BT54&lt;&gt;"",BZ54/BT54-1,"-")</f>
        <v>-8.9960886571056053E-2</v>
      </c>
      <c r="CA56" s="1257">
        <f>IF(BU54&lt;&gt;"",CA54/BU54-1,"-")</f>
        <v>7.9345088161208999E-2</v>
      </c>
      <c r="CB56" s="686"/>
      <c r="CC56" s="686">
        <f>IF(BW54&lt;&gt;"",CC54/BW54-1,"-")</f>
        <v>-0.1738519212746017</v>
      </c>
      <c r="CD56" s="686">
        <f>IF(BX54&lt;&gt;"",CD54/BX54-1,"-")</f>
        <v>-0.23720292504570384</v>
      </c>
      <c r="CE56" s="686">
        <f>IF(BY54&lt;&gt;"",CE54/BY54-1,"-")</f>
        <v>-0.22562674094707513</v>
      </c>
      <c r="CF56" s="686">
        <f>IF(BZ54&lt;&gt;"",CF54/BZ54-1,"-")</f>
        <v>-0.1275071633237822</v>
      </c>
      <c r="CG56" s="1257">
        <f>IF(CA54&lt;&gt;"",CG54/CA54-1,"-")</f>
        <v>-0.19171528588098008</v>
      </c>
      <c r="CH56" s="686"/>
      <c r="CI56" s="686">
        <f>IF(CC54&lt;&gt;"",CI54/CC54-1,"-")</f>
        <v>-2.2688598979013763E-3</v>
      </c>
      <c r="CJ56" s="686">
        <f>IF(CD54&lt;&gt;"",CJ54/CD54-1,"-")</f>
        <v>8.3882564409827332E-3</v>
      </c>
      <c r="CK56" s="686">
        <f>IF(CE54&lt;&gt;"",CK54/CE54-1,"-")</f>
        <v>6.4148681055155699E-2</v>
      </c>
      <c r="CL56" s="686">
        <f>IF(CF54&lt;&gt;"",CL54/CF54-1,"-")</f>
        <v>0.19759168035030106</v>
      </c>
      <c r="CM56" s="1257">
        <f>IF(CG54&lt;&gt;"",CM54/CG54-1,"-")</f>
        <v>6.9005341417641031E-2</v>
      </c>
      <c r="CN56" s="686"/>
      <c r="CO56" s="686">
        <f>IF(CI54&lt;&gt;"",CO54/CI54-1,"-")</f>
        <v>8.0727686185332548E-2</v>
      </c>
      <c r="CP56" s="686">
        <f>IF(CJ54&lt;&gt;"",CP54/CJ54-1,"-")</f>
        <v>0.1271538918597741</v>
      </c>
      <c r="CQ56" s="686">
        <f>IF(CK54&lt;&gt;"",CQ54/CK54-1,"-")</f>
        <v>9.5774647887324038E-2</v>
      </c>
      <c r="CR56" s="686">
        <f>IF(CL54&lt;&gt;"",CR54/CL54-1,"-")</f>
        <v>5.4844606946982122E-3</v>
      </c>
      <c r="CS56" s="1257">
        <f>IF(CM54&lt;&gt;"",CS54/CM54-1,"-")</f>
        <v>7.2653612424037783E-2</v>
      </c>
      <c r="CT56" s="686"/>
      <c r="CU56" s="686">
        <f>IF(CO54&lt;&gt;"",CU54/CO54-1,"-")</f>
        <v>9.7317201472908899E-2</v>
      </c>
      <c r="CV56" s="686">
        <f>IF(CP54&lt;&gt;"",CV54/CP54-1,"-")</f>
        <v>3.4791776489193627E-2</v>
      </c>
      <c r="CW56" s="686">
        <f>IF(CQ54&lt;&gt;"",CW54/CQ54-1,"-")</f>
        <v>-3.3419023136246784E-2</v>
      </c>
      <c r="CX56" s="686">
        <f>IF(CR54&lt;&gt;"",CX54/CR54-1,"-")</f>
        <v>-4.090909090909145E-3</v>
      </c>
      <c r="CY56" s="1257">
        <f>IF(CS54&lt;&gt;"",CY54/CS54-1,"-")</f>
        <v>2.2283771874606728E-2</v>
      </c>
      <c r="CZ56" s="686"/>
      <c r="DA56" s="686">
        <f>IF(CU54&lt;&gt;"",DA54/CU54-1,"-")</f>
        <v>-6.6634707574304786E-2</v>
      </c>
      <c r="DB56" s="686">
        <f>IF(CV54&lt;&gt;"",DB54/CV54-1,"-")</f>
        <v>-6.1640346408558422E-2</v>
      </c>
      <c r="DC56" s="686">
        <f>IF(CW54&lt;&gt;"",DC54/CW54-1,"-")</f>
        <v>4.7872340425532123E-3</v>
      </c>
      <c r="DD56" s="686">
        <f>IF(CX54&lt;&gt;"",DD54/CX54-1,"-")</f>
        <v>-1.3235965312642484E-2</v>
      </c>
      <c r="DE56" s="1257">
        <f>IF(CY54&lt;&gt;"",DE54/CY54-1,"-")</f>
        <v>-3.4482758620689613E-2</v>
      </c>
      <c r="DF56" s="686"/>
      <c r="DG56" s="686">
        <f>IF(DA54&lt;&gt;"",DG54/DA54-1,"-")</f>
        <v>8.577298407806877E-2</v>
      </c>
      <c r="DH56" s="686">
        <f>IF(DB54&lt;&gt;"",DH54/DB54-1,"-")</f>
        <v>0.19435396308360486</v>
      </c>
      <c r="DI56" s="686">
        <f>IF(DC54&lt;&gt;"",DI54/DC54-1,"-")</f>
        <v>0.19481206987824229</v>
      </c>
      <c r="DJ56" s="686">
        <f>IF(DD54&lt;&gt;"",DJ54/DD54-1,"-")</f>
        <v>0.24190564292321914</v>
      </c>
      <c r="DK56" s="1257">
        <f>IF(DE54&lt;&gt;"",DK54/DE54-1,"-")</f>
        <v>0.18061224489795902</v>
      </c>
      <c r="DL56" s="686"/>
      <c r="DM56" s="686">
        <f>IF(DG54&lt;&gt;"",DM54/DG54-1,"-")</f>
        <v>9.8391674550615038E-2</v>
      </c>
      <c r="DN56" s="686">
        <f>IF(DH54&lt;&gt;"",DN54/DH54-1,"-")</f>
        <v>1.5909090909090873E-2</v>
      </c>
      <c r="DO56" s="686">
        <f>IF(DI54&lt;&gt;"",DO54/DI54-1,"-")</f>
        <v>-1.9937970757642809E-2</v>
      </c>
      <c r="DP56" s="686">
        <f>IF(DJ54&lt;&gt;"",DP54/DJ54-1,"-")</f>
        <v>-5.6238361266294334E-2</v>
      </c>
      <c r="DQ56" s="1257">
        <f>IF(DK54&lt;&gt;"",DQ54/DK54-1,"-")</f>
        <v>5.0777873811582719E-3</v>
      </c>
      <c r="DR56" s="686"/>
      <c r="DS56" s="686">
        <f>IF(DM54&lt;&gt;"",DS54/DM54-1,"-")</f>
        <v>-5.555555555555558E-2</v>
      </c>
      <c r="DT56" s="686">
        <f>IF(DN54&lt;&gt;"",DT54/DN54-1,"-")</f>
        <v>-1.655480984340052E-2</v>
      </c>
      <c r="DU56" s="686">
        <f>IF(DO54&lt;&gt;"",DU54/DO54-1,"-")</f>
        <v>4.3399638336347079E-2</v>
      </c>
      <c r="DV56" s="686">
        <f>IF(DP54&lt;&gt;"",DV54/DP54-1,"-")</f>
        <v>2.0126282557221931E-2</v>
      </c>
      <c r="DW56" s="1257">
        <f>IF(DQ54&lt;&gt;"",DW54/DQ54-1,"-")</f>
        <v>-2.0423519294850978E-3</v>
      </c>
      <c r="DX56" s="686"/>
      <c r="DY56" s="686">
        <f>IF(DS54&lt;&gt;"",DY54/DS54-1,"-")</f>
        <v>4.5599635202918209E-2</v>
      </c>
      <c r="DZ56" s="686">
        <f>IF(DT54&lt;&gt;"",DZ54/DT54-1,"-")</f>
        <v>5.3685168334850042E-2</v>
      </c>
      <c r="EA56" s="686">
        <f>IF(DU54&lt;&gt;"",EA54/DU54-1,"-")</f>
        <v>6.0658578856152445E-2</v>
      </c>
      <c r="EB56" s="686">
        <f>IF(DV54&lt;&gt;"",EB54/DV54-1,"-")</f>
        <v>6.1121856866537705E-2</v>
      </c>
      <c r="EC56" s="1257">
        <f>IF(DW54&lt;&gt;"",EC54/DW54-1,"-")</f>
        <v>5.5579491598448882E-2</v>
      </c>
      <c r="ED56" s="686"/>
      <c r="EE56" s="686">
        <f>IF(DY54&lt;&gt;"",EE54/DY54-1,"-")</f>
        <v>2.464880576290418E-2</v>
      </c>
      <c r="EF56" s="686">
        <f>IF(DZ54&lt;&gt;"",EF54/DZ54-1,"-")</f>
        <v>5.1510733220851979E-3</v>
      </c>
      <c r="EG56" s="686">
        <f>IF(EA54&lt;&gt;"",EG54/EA54-1,"-")</f>
        <v>-2.6009441517399368E-2</v>
      </c>
      <c r="EH56" s="686">
        <f>IF(EB54&lt;&gt;"",EH54/EB54-1,"-")</f>
        <v>6.2921030223312968E-3</v>
      </c>
      <c r="EI56" s="1257">
        <f>IF(EC54&lt;&gt;"",EI54/EC54-1,"-")</f>
        <v>2.2487472636685268E-3</v>
      </c>
      <c r="EJ56" s="686"/>
      <c r="EK56" s="686">
        <f>IF(EE54&lt;&gt;"",EK54/EE54-1,"-")</f>
        <v>-2.3810408598425981E-2</v>
      </c>
      <c r="EL56" s="686">
        <f>IF(EF54&lt;&gt;"",EL54/EF54-1,"-")</f>
        <v>-3.5029606935328306E-2</v>
      </c>
      <c r="EM56" s="686">
        <f>IF(EG54&lt;&gt;"",EM54/EG54-1,"-")</f>
        <v>-2.5995968451496876E-2</v>
      </c>
      <c r="EN56" s="686">
        <f>IF(EH54&lt;&gt;"",EN54/EH54-1,"-")</f>
        <v>-1.9623383657123128E-2</v>
      </c>
      <c r="EO56" s="1257">
        <f>IF(EI54&lt;&gt;"",EO54/EI54-1,"-")</f>
        <v>-2.5823364247389513E-2</v>
      </c>
      <c r="EP56" s="686"/>
      <c r="EQ56" s="686">
        <f>IF(EK54&lt;&gt;"",EQ54/EK54-1,"-")</f>
        <v>7.8699395987333221E-2</v>
      </c>
      <c r="ER56" s="686">
        <f>IF(EL54&lt;&gt;"",ER54/EL54-1,"-")</f>
        <v>6.6008161245145081E-2</v>
      </c>
      <c r="ES56" s="686">
        <f>IF(EM54&lt;&gt;"",ES54/EM54-1,"-")</f>
        <v>8.3187749306125047E-2</v>
      </c>
      <c r="ET56" s="686">
        <f>IF(EN54&lt;&gt;"",ET54/EN54-1,"-")</f>
        <v>3.7779236753018752E-2</v>
      </c>
      <c r="EU56" s="1257">
        <f>IF(EO54&lt;&gt;"",EU54/EO54-1,"-")</f>
        <v>6.5236365997690449E-2</v>
      </c>
      <c r="EV56" s="2076">
        <v>5.0000000000000001E-3</v>
      </c>
    </row>
    <row r="57" spans="1:175" hidden="1" outlineLevel="1">
      <c r="A57" s="683" t="s">
        <v>4584</v>
      </c>
      <c r="B57" s="684"/>
      <c r="C57" s="685"/>
      <c r="D57" s="685">
        <f>IF(C54&lt;&gt;"",D54/C54-1,"-")</f>
        <v>2.6369168356997985E-2</v>
      </c>
      <c r="E57" s="685">
        <f>IF(D54&lt;&gt;"",E54/D54-1,"-")</f>
        <v>-7.905138339920903E-3</v>
      </c>
      <c r="F57" s="685">
        <f>IF(E54&lt;&gt;"",F54/E54-1,"-")</f>
        <v>-7.9681274900399446E-3</v>
      </c>
      <c r="G57" s="685" t="s">
        <v>6442</v>
      </c>
      <c r="H57" s="686"/>
      <c r="I57" s="685">
        <f>IF(F54&lt;&gt;"",I54/F54-1,"-")</f>
        <v>0.18674698795180733</v>
      </c>
      <c r="J57" s="685">
        <f>IF(I54&lt;&gt;"",J54/I54-1,"-")</f>
        <v>9.6446700507614169E-2</v>
      </c>
      <c r="K57" s="685">
        <f>IF(J54&lt;&gt;"",K54/J54-1,"-")</f>
        <v>4.3209876543209846E-2</v>
      </c>
      <c r="L57" s="685">
        <f>IF(K54&lt;&gt;"",L54/K54-1,"-")</f>
        <v>9.3195266272189548E-2</v>
      </c>
      <c r="M57" s="685" t="s">
        <v>6442</v>
      </c>
      <c r="N57" s="686"/>
      <c r="O57" s="685">
        <f>IF(L54&lt;&gt;"",O54/L54-1,"-")</f>
        <v>5.7212449255750863E-2</v>
      </c>
      <c r="P57" s="685">
        <f>IF(O54&lt;&gt;"",P54/O54-1,"-")</f>
        <v>2.7634138849068179E-2</v>
      </c>
      <c r="Q57" s="685">
        <f>IF(P54&lt;&gt;"",Q54/P54-1,"-")</f>
        <v>-4.1575846650142689E-2</v>
      </c>
      <c r="R57" s="685">
        <f>IF(Q54&lt;&gt;"",R54/Q54-1,"-")</f>
        <v>3.9701620553873385E-2</v>
      </c>
      <c r="S57" s="685" t="s">
        <v>6442</v>
      </c>
      <c r="T57" s="686"/>
      <c r="U57" s="685">
        <f>IF(R54&lt;&gt;"",U54/R54-1,"-")</f>
        <v>0.17744112794360278</v>
      </c>
      <c r="V57" s="685">
        <f>IF(U54&lt;&gt;"",V54/U54-1,"-")</f>
        <v>1.2940552016985185E-2</v>
      </c>
      <c r="W57" s="685">
        <f>IF(V54&lt;&gt;"",W54/V54-1,"-")</f>
        <v>-9.0862406858172928E-2</v>
      </c>
      <c r="X57" s="685">
        <f>IF(W54&lt;&gt;"",X54/W54-1,"-")</f>
        <v>-9.1413157500374043E-3</v>
      </c>
      <c r="Y57" s="685" t="s">
        <v>6442</v>
      </c>
      <c r="Z57" s="686"/>
      <c r="AA57" s="685">
        <f>IF(X54&lt;&gt;"",AA54/X54-1,"-")</f>
        <v>-9.8352645539578454E-2</v>
      </c>
      <c r="AB57" s="685">
        <f>IF(AA54&lt;&gt;"",AB54/AA54-1,"-")</f>
        <v>-6.9288534489431175E-3</v>
      </c>
      <c r="AC57" s="685">
        <f>IF(AB54&lt;&gt;"",AC54/AB54-1,"-")</f>
        <v>5.5466770610017369E-2</v>
      </c>
      <c r="AD57" s="685">
        <f>IF(AC54&lt;&gt;"",AD54/AC54-1,"-")</f>
        <v>1.0722111431174186E-2</v>
      </c>
      <c r="AE57" s="685" t="s">
        <v>6442</v>
      </c>
      <c r="AF57" s="686"/>
      <c r="AG57" s="685">
        <f>IF(AD54&lt;&gt;"",AG54/AD54-1,"-")</f>
        <v>0.13234273186773038</v>
      </c>
      <c r="AH57" s="685">
        <f>IF(AG54&lt;&gt;"",AH54/AG54-1,"-")</f>
        <v>-7.5614976713168636E-3</v>
      </c>
      <c r="AI57" s="685">
        <f>IF(AH54&lt;&gt;"",AI54/AH54-1,"-")</f>
        <v>-5.0093206745567276E-2</v>
      </c>
      <c r="AJ57" s="685">
        <f>IF(AI54&lt;&gt;"",AJ54/AI54-1,"-")</f>
        <v>8.4419140633913647E-2</v>
      </c>
      <c r="AK57" s="685" t="s">
        <v>6442</v>
      </c>
      <c r="AL57" s="686"/>
      <c r="AM57" s="685">
        <f>IF(AJ54&lt;&gt;"",AM54/AJ54-1,"-")</f>
        <v>-1.4635172812878183E-2</v>
      </c>
      <c r="AN57" s="685">
        <f>IF(AM54&lt;&gt;"",AN54/AM54-1,"-")</f>
        <v>-5.7744463664125445E-2</v>
      </c>
      <c r="AO57" s="685">
        <f>IF(AN54&lt;&gt;"",AO54/AN54-1,"-")</f>
        <v>2.8783174308184556E-3</v>
      </c>
      <c r="AP57" s="685">
        <f>IF(AO54&lt;&gt;"",AP54/AO54-1,"-")</f>
        <v>-1.3932203389830589E-2</v>
      </c>
      <c r="AQ57" s="685" t="s">
        <v>6442</v>
      </c>
      <c r="AR57" s="686"/>
      <c r="AS57" s="685">
        <f>IF(AP54&lt;&gt;"",AS54/AP54-1,"-")</f>
        <v>5.8292367103257803E-2</v>
      </c>
      <c r="AT57" s="685">
        <f>IF(AS54&lt;&gt;"",AT54/AS54-1,"-")</f>
        <v>-2.6961474327045876E-2</v>
      </c>
      <c r="AU57" s="685">
        <f>IF(AT54&lt;&gt;"",AU54/AT54-1,"-")</f>
        <v>6.120359654589147E-2</v>
      </c>
      <c r="AV57" s="685">
        <f>IF(AU54&lt;&gt;"",AV54/AU54-1,"-")</f>
        <v>0.21274275407910737</v>
      </c>
      <c r="AW57" s="685" t="s">
        <v>6442</v>
      </c>
      <c r="AX57" s="686"/>
      <c r="AY57" s="685">
        <f>IF(AV54&lt;&gt;"",AY54/AV54-1,"-")</f>
        <v>-5.492339086224185E-2</v>
      </c>
      <c r="AZ57" s="685">
        <f>IF(AY54&lt;&gt;"",AZ54/AY54-1,"-")</f>
        <v>-3.9341262580054992E-2</v>
      </c>
      <c r="BA57" s="686">
        <f>IF(AZ54&lt;&gt;"",BA54/AZ54-1,"-")</f>
        <v>7.8095238095238217E-2</v>
      </c>
      <c r="BB57" s="686">
        <f>IF(BA54&lt;&gt;"",BB54/BA54-1,"-")</f>
        <v>0.1872791519434629</v>
      </c>
      <c r="BC57" s="686" t="s">
        <v>6442</v>
      </c>
      <c r="BD57" s="686"/>
      <c r="BE57" s="685">
        <f>IF(BB54&lt;&gt;"",BE54/BB54-1,"-")</f>
        <v>-5.208333333333337E-2</v>
      </c>
      <c r="BF57" s="685">
        <f>IF(BE54&lt;&gt;"",BF54/BE54-1,"-")</f>
        <v>5.180533751962324E-2</v>
      </c>
      <c r="BG57" s="686">
        <f>IF(BF54&lt;&gt;"",BG54/BF54-1,"-")</f>
        <v>1.7910447761193993E-2</v>
      </c>
      <c r="BH57" s="686">
        <f>IF(BG54&lt;&gt;"",BH54/BG54-1,"-")</f>
        <v>0.14369501466275647</v>
      </c>
      <c r="BI57" s="686" t="s">
        <v>6442</v>
      </c>
      <c r="BJ57" s="686"/>
      <c r="BK57" s="685">
        <f>IF(BH54&lt;&gt;"",BK54/BH54-1,"-")</f>
        <v>3.3974358974359076E-2</v>
      </c>
      <c r="BL57" s="685">
        <f>IF(BK54&lt;&gt;"",BL54/BK54-1,"-")</f>
        <v>-2.1078735275883442E-2</v>
      </c>
      <c r="BM57" s="686">
        <f>IF(BL54&lt;&gt;"",BM54/BL54-1,"-")</f>
        <v>2.4699176694110037E-2</v>
      </c>
      <c r="BN57" s="686">
        <f>IF(BM54&lt;&gt;"",BN54/BM54-1,"-")</f>
        <v>7.1075401730531507E-2</v>
      </c>
      <c r="BO57" s="1257" t="s">
        <v>6442</v>
      </c>
      <c r="BP57" s="883"/>
      <c r="BQ57" s="686">
        <f>IF(BN54&lt;&gt;"",BQ54/BN54-1,"-")</f>
        <v>4.6739757645701152E-2</v>
      </c>
      <c r="BR57" s="686">
        <f>IF(BQ54&lt;&gt;"",BR54/BQ54-1,"-")</f>
        <v>4.6306504961411532E-2</v>
      </c>
      <c r="BS57" s="686">
        <f>IF(BR54&lt;&gt;"",BS54/BR54-1,"-")</f>
        <v>1.5279241306638491E-2</v>
      </c>
      <c r="BT57" s="686">
        <f>IF(BS54&lt;&gt;"",BT54/BS54-1,"-")</f>
        <v>0.19408406850025939</v>
      </c>
      <c r="BU57" s="1257" t="s">
        <v>6442</v>
      </c>
      <c r="BV57" s="883"/>
      <c r="BW57" s="686">
        <f>IF(BT54&lt;&gt;"",BW54/BT54-1,"-")</f>
        <v>-7.2577140373750515E-2</v>
      </c>
      <c r="BX57" s="686">
        <f>IF(BW54&lt;&gt;"",BX54/BW54-1,"-")</f>
        <v>2.5304592314901564E-2</v>
      </c>
      <c r="BY57" s="686">
        <f>IF(BX54&lt;&gt;"",BY54/BX54-1,"-")</f>
        <v>-1.5539305301645379E-2</v>
      </c>
      <c r="BZ57" s="686">
        <f>IF(BY54&lt;&gt;"",BZ54/BY54-1,"-")</f>
        <v>-2.7855153203342642E-2</v>
      </c>
      <c r="CA57" s="1257" t="s">
        <v>6442</v>
      </c>
      <c r="CB57" s="686"/>
      <c r="CC57" s="686">
        <f>IF(BZ54&lt;&gt;"",CC54/BZ54-1,"-")</f>
        <v>-0.1580706781279847</v>
      </c>
      <c r="CD57" s="686">
        <f>IF(CC54&lt;&gt;"",CD54/CC54-1,"-")</f>
        <v>-5.3318207600680734E-2</v>
      </c>
      <c r="CE57" s="686">
        <f>IF(CD54&lt;&gt;"",CE54/CD54-1,"-")</f>
        <v>-5.9916117435587779E-4</v>
      </c>
      <c r="CF57" s="686">
        <f>IF(CE54&lt;&gt;"",CF54/CE54-1,"-")</f>
        <v>9.5323741007194318E-2</v>
      </c>
      <c r="CG57" s="1257" t="s">
        <v>6442</v>
      </c>
      <c r="CH57" s="686"/>
      <c r="CI57" s="686">
        <f>IF(CF54&lt;&gt;"",CI54/CF54-1,"-")</f>
        <v>-3.7219485495347593E-2</v>
      </c>
      <c r="CJ57" s="686">
        <f>IF(CI54&lt;&gt;"",CJ54/CI54-1,"-")</f>
        <v>-4.3206367254121636E-2</v>
      </c>
      <c r="CK57" s="686">
        <f>IF(CJ54&lt;&gt;"",CK54/CJ54-1,"-")</f>
        <v>5.4664289958407553E-2</v>
      </c>
      <c r="CL57" s="686">
        <f>IF(CK54&lt;&gt;"",CL54/CK54-1,"-")</f>
        <v>0.23267605633802813</v>
      </c>
      <c r="CM57" s="1257" t="s">
        <v>6442</v>
      </c>
      <c r="CN57" s="686"/>
      <c r="CO57" s="686">
        <f>IF(CL54&lt;&gt;"",CO54/CL54-1,"-")</f>
        <v>-0.13117001828153574</v>
      </c>
      <c r="CP57" s="686">
        <f>IF(CO54&lt;&gt;"",CP54/CO54-1,"-")</f>
        <v>-2.104155707522426E-3</v>
      </c>
      <c r="CQ57" s="686">
        <f>IF(CP54&lt;&gt;"",CQ54/CP54-1,"-")</f>
        <v>2.530311017395892E-2</v>
      </c>
      <c r="CR57" s="686">
        <f>IF(CQ54&lt;&gt;"",CR54/CQ54-1,"-")</f>
        <v>0.13110539845758362</v>
      </c>
      <c r="CS57" s="1257" t="s">
        <v>6442</v>
      </c>
      <c r="CT57" s="686"/>
      <c r="CU57" s="686">
        <f>IF(CR54&lt;&gt;"",CU54/CR54-1,"-")</f>
        <v>-5.1818181818181874E-2</v>
      </c>
      <c r="CV57" s="686">
        <f>IF(CU54&lt;&gt;"",CV54/CU54-1,"-")</f>
        <v>-5.8964525407478319E-2</v>
      </c>
      <c r="CW57" s="686">
        <f>IF(CV54&lt;&gt;"",CW54/CV54-1,"-")</f>
        <v>-4.2282221090168215E-2</v>
      </c>
      <c r="CX57" s="686">
        <f>IF(CW54&lt;&gt;"",CX54/CW54-1,"-")</f>
        <v>0.16542553191489362</v>
      </c>
      <c r="CY57" s="1257" t="s">
        <v>6442</v>
      </c>
      <c r="CZ57" s="686"/>
      <c r="DA57" s="686">
        <f>IF(CX54&lt;&gt;"",DA54/CX54-1,"-")</f>
        <v>-0.11136467366499303</v>
      </c>
      <c r="DB57" s="686">
        <f>IF(DA54&lt;&gt;"",DB54/DA54-1,"-")</f>
        <v>-5.3929121725732054E-2</v>
      </c>
      <c r="DC57" s="686">
        <f>IF(DB54&lt;&gt;"",DC54/DB54-1,"-")</f>
        <v>2.5515743756786113E-2</v>
      </c>
      <c r="DD57" s="686">
        <f>IF(DC54&lt;&gt;"",DD54/DC54-1,"-")</f>
        <v>0.14452091053467453</v>
      </c>
      <c r="DE57" s="1257" t="s">
        <v>6442</v>
      </c>
      <c r="DF57" s="686"/>
      <c r="DG57" s="686">
        <f>IF(DD54&lt;&gt;"",DG54/DD54-1,"-")</f>
        <v>-2.2201665124884418E-2</v>
      </c>
      <c r="DH57" s="686">
        <f>IF(DG54&lt;&gt;"",DH54/DG54-1,"-")</f>
        <v>4.0681173131504211E-2</v>
      </c>
      <c r="DI57" s="686">
        <f>IF(DH54&lt;&gt;"",DI54/DH54-1,"-")</f>
        <v>2.5909090909090882E-2</v>
      </c>
      <c r="DJ57" s="686">
        <f>IF(DI54&lt;&gt;"",DJ54/DI54-1,"-")</f>
        <v>0.18963225520602567</v>
      </c>
      <c r="DK57" s="1257" t="s">
        <v>6442</v>
      </c>
      <c r="DL57" s="686"/>
      <c r="DM57" s="686">
        <f>IF(DJ54&lt;&gt;"",DM54/DJ54-1,"-")</f>
        <v>-0.1351955307262569</v>
      </c>
      <c r="DN57" s="686">
        <f>IF(DM54&lt;&gt;"",DN54/DM54-1,"-")</f>
        <v>-3.7467700258397962E-2</v>
      </c>
      <c r="DO57" s="686">
        <f>IF(DN54&lt;&gt;"",DO54/DN54-1,"-")</f>
        <v>-1.0290827740492059E-2</v>
      </c>
      <c r="DP57" s="686">
        <f>IF(DO54&lt;&gt;"",DP54/DO54-1,"-")</f>
        <v>0.14556962025316444</v>
      </c>
      <c r="DQ57" s="1257" t="s">
        <v>6442</v>
      </c>
      <c r="DR57" s="686"/>
      <c r="DS57" s="686">
        <f>IF(DP54&lt;&gt;"",DS54/DP54-1,"-")</f>
        <v>-0.1345698500394632</v>
      </c>
      <c r="DT57" s="686">
        <f>IF(DS54&lt;&gt;"",DT54/DS54-1,"-")</f>
        <v>2.2799817601457661E-3</v>
      </c>
      <c r="DU57" s="686">
        <f>IF(DT54&lt;&gt;"",DU54/DT54-1,"-")</f>
        <v>5.0045495905368664E-2</v>
      </c>
      <c r="DV57" s="686">
        <f>IF(DU54&lt;&gt;"",DV54/DU54-1,"-")</f>
        <v>0.12001733102253032</v>
      </c>
      <c r="DW57" s="1257" t="s">
        <v>6442</v>
      </c>
      <c r="DX57" s="686"/>
      <c r="DY57" s="686">
        <f>IF(DV54&lt;&gt;"",DY54/DV54-1,"-")</f>
        <v>-0.11295938104448744</v>
      </c>
      <c r="DZ57" s="686">
        <f>IF(DY54&lt;&gt;"",DZ54/DY54-1,"-")</f>
        <v>1.0030527692978852E-2</v>
      </c>
      <c r="EA57" s="686">
        <f>IF(DZ54&lt;&gt;"",EA54/DZ54-1,"-")</f>
        <v>5.6994818652849721E-2</v>
      </c>
      <c r="EB57" s="686">
        <f>IF(EA54&lt;&gt;"",EB54/EA54-1,"-")</f>
        <v>0.12050653594771243</v>
      </c>
      <c r="EC57" s="1257" t="s">
        <v>6442</v>
      </c>
      <c r="ED57" s="686"/>
      <c r="EE57" s="686">
        <f>IF(EB54&lt;&gt;"",EE54/EB54-1,"-")</f>
        <v>-0.14344888384457188</v>
      </c>
      <c r="EF57" s="686">
        <f>IF(EE54&lt;&gt;"",EF54/EE54-1,"-")</f>
        <v>-9.189037952593071E-3</v>
      </c>
      <c r="EG57" s="686">
        <f>IF(EF54&lt;&gt;"",EG54/EF54-1,"-")</f>
        <v>2.4227104817522216E-2</v>
      </c>
      <c r="EH57" s="686">
        <f>IF(EG54&lt;&gt;"",EH54/EG54-1,"-")</f>
        <v>0.1576671546649635</v>
      </c>
      <c r="EI57" s="1257" t="s">
        <v>6442</v>
      </c>
      <c r="EJ57" s="686"/>
      <c r="EK57" s="686">
        <f>IF(EH54&lt;&gt;"",EK54/EH54-1,"-")</f>
        <v>-0.1690720004827726</v>
      </c>
      <c r="EL57" s="686">
        <f>IF(EK54&lt;&gt;"",EL54/EK54-1,"-")</f>
        <v>-2.0576277476041294E-2</v>
      </c>
      <c r="EM57" s="686">
        <f>IF(EL54&lt;&gt;"",EM54/EL54-1,"-")</f>
        <v>3.3815479193317843E-2</v>
      </c>
      <c r="EN57" s="686">
        <f>IF(EM54&lt;&gt;"",EN54/EM54-1,"-")</f>
        <v>0.1652413862572446</v>
      </c>
      <c r="EO57" s="1257" t="s">
        <v>6442</v>
      </c>
      <c r="EP57" s="686"/>
      <c r="EQ57" s="686">
        <f>IF(EN54&lt;&gt;"",EQ54/EN54-1,"-")</f>
        <v>-8.5737545911930613E-2</v>
      </c>
      <c r="ER57" s="686">
        <f>IF(EQ54&lt;&gt;"",ER54/EQ54-1,"-")</f>
        <v>-3.2099502964864524E-2</v>
      </c>
      <c r="ES57" s="686">
        <f>IF(ER54&lt;&gt;"",ES54/ER54-1,"-")</f>
        <v>5.0476256014070131E-2</v>
      </c>
      <c r="ET57" s="686">
        <f>IF(ES54&lt;&gt;"",ET54/ES54-1,"-")</f>
        <v>0.11639308812134375</v>
      </c>
      <c r="EU57" s="1257" t="s">
        <v>6442</v>
      </c>
      <c r="EV57" s="532"/>
    </row>
    <row r="58" spans="1:175" collapsed="1">
      <c r="A58" s="625" t="s">
        <v>5638</v>
      </c>
      <c r="B58" s="593" t="s">
        <v>6685</v>
      </c>
      <c r="C58" s="168">
        <v>22.9</v>
      </c>
      <c r="D58" s="168">
        <v>22.9</v>
      </c>
      <c r="E58" s="168">
        <v>23.7</v>
      </c>
      <c r="F58" s="168">
        <v>24.2</v>
      </c>
      <c r="G58" s="168">
        <v>93.7</v>
      </c>
      <c r="H58" s="168"/>
      <c r="I58" s="168">
        <v>30.4</v>
      </c>
      <c r="J58" s="168">
        <v>33.1</v>
      </c>
      <c r="K58" s="168">
        <v>36.5</v>
      </c>
      <c r="L58" s="168">
        <v>35.1</v>
      </c>
      <c r="M58" s="168">
        <v>135.1</v>
      </c>
      <c r="N58" s="168"/>
      <c r="O58" s="168">
        <v>39.28</v>
      </c>
      <c r="P58" s="168">
        <v>38.406999999999996</v>
      </c>
      <c r="Q58" s="168">
        <v>40.89</v>
      </c>
      <c r="R58" s="168">
        <v>38.503</v>
      </c>
      <c r="S58" s="168">
        <f>SUM(O58:R58)</f>
        <v>157.07999999999998</v>
      </c>
      <c r="T58" s="168"/>
      <c r="U58" s="168">
        <v>44.353000000000002</v>
      </c>
      <c r="V58" s="168">
        <v>49.457000000000001</v>
      </c>
      <c r="W58" s="168">
        <v>45.5</v>
      </c>
      <c r="X58" s="168">
        <v>43.524999999999999</v>
      </c>
      <c r="Y58" s="168">
        <f>SUM(U58:X58)</f>
        <v>182.83500000000001</v>
      </c>
      <c r="Z58" s="168"/>
      <c r="AA58" s="168">
        <v>40.255000000000003</v>
      </c>
      <c r="AB58" s="168">
        <v>42.271999999999998</v>
      </c>
      <c r="AC58" s="168">
        <v>42.658000000000001</v>
      </c>
      <c r="AD58" s="168">
        <v>45.302</v>
      </c>
      <c r="AE58" s="168">
        <v>170.48699999999999</v>
      </c>
      <c r="AF58" s="168"/>
      <c r="AG58" s="168">
        <v>50.21</v>
      </c>
      <c r="AH58" s="168">
        <v>47.527000000000001</v>
      </c>
      <c r="AI58" s="168">
        <v>43.726999999999997</v>
      </c>
      <c r="AJ58" s="168">
        <v>43.62</v>
      </c>
      <c r="AK58" s="168">
        <f>SUM(AG58:AJ58)</f>
        <v>185.084</v>
      </c>
      <c r="AL58" s="168"/>
      <c r="AM58" s="168">
        <v>49.692999999999998</v>
      </c>
      <c r="AN58" s="168">
        <v>51.021999999999998</v>
      </c>
      <c r="AO58" s="168">
        <v>45.286999999999999</v>
      </c>
      <c r="AP58" s="168">
        <v>44.25</v>
      </c>
      <c r="AQ58" s="168">
        <f>SUM(AM58:AP58)</f>
        <v>190.25200000000001</v>
      </c>
      <c r="AR58" s="168"/>
      <c r="AS58" s="168">
        <v>51.579000000000001</v>
      </c>
      <c r="AT58" s="168">
        <v>49.664000000000001</v>
      </c>
      <c r="AU58" s="168">
        <v>53.003999999999998</v>
      </c>
      <c r="AV58" s="168">
        <v>55.101999999999997</v>
      </c>
      <c r="AW58" s="168">
        <f>SUM(AS58:AV58)</f>
        <v>209.34899999999999</v>
      </c>
      <c r="AX58" s="168"/>
      <c r="AY58" s="341">
        <f>58.5-0.6</f>
        <v>57.9</v>
      </c>
      <c r="AZ58" s="341">
        <f>59-0.7</f>
        <v>58.3</v>
      </c>
      <c r="BA58" s="341">
        <f>60.4-0.5</f>
        <v>59.9</v>
      </c>
      <c r="BB58" s="341">
        <f>63.6-0.3</f>
        <v>63.300000000000004</v>
      </c>
      <c r="BC58" s="168">
        <f>SUM(AY58:BB58)</f>
        <v>239.4</v>
      </c>
      <c r="BD58" s="168"/>
      <c r="BE58" s="341">
        <f>66.4-0.4</f>
        <v>66</v>
      </c>
      <c r="BF58" s="341">
        <f>73.5-0.5</f>
        <v>73</v>
      </c>
      <c r="BG58" s="341">
        <f>74.3-0.3</f>
        <v>74</v>
      </c>
      <c r="BH58" s="341">
        <v>80.8</v>
      </c>
      <c r="BI58" s="168">
        <f>SUM(BE58:BH58)</f>
        <v>293.8</v>
      </c>
      <c r="BJ58" s="168"/>
      <c r="BK58" s="61">
        <f>99.4-6.9</f>
        <v>92.5</v>
      </c>
      <c r="BL58" s="230">
        <f>98-7</f>
        <v>91</v>
      </c>
      <c r="BM58" s="230">
        <f>108.9-11.1</f>
        <v>97.800000000000011</v>
      </c>
      <c r="BN58" s="230">
        <f>100-5.1</f>
        <v>94.9</v>
      </c>
      <c r="BO58" s="1125">
        <f>SUM(BK58:BN58)</f>
        <v>376.20000000000005</v>
      </c>
      <c r="BP58" s="61"/>
      <c r="BQ58" s="230">
        <f>114.7-4.4-4.7</f>
        <v>105.6</v>
      </c>
      <c r="BR58" s="230">
        <v>107.4</v>
      </c>
      <c r="BS58" s="230">
        <f>123.2-12.6-2.5</f>
        <v>108.10000000000001</v>
      </c>
      <c r="BT58" s="230">
        <f>132.5-8.5-0.8-1.9</f>
        <v>121.3</v>
      </c>
      <c r="BU58" s="1125">
        <f>SUM(BQ58:BT58)</f>
        <v>442.40000000000003</v>
      </c>
      <c r="BV58" s="61"/>
      <c r="BW58" s="230">
        <f>143.7-8.4</f>
        <v>135.29999999999998</v>
      </c>
      <c r="BX58" s="230">
        <f>153.2-7.7-16.8</f>
        <v>128.69999999999999</v>
      </c>
      <c r="BY58" s="230">
        <f>135.2-7.2-1.2</f>
        <v>126.79999999999998</v>
      </c>
      <c r="BZ58" s="230">
        <f>138.7-6-8.9</f>
        <v>123.79999999999998</v>
      </c>
      <c r="CA58" s="1125">
        <f>SUM(BW58:BZ58)</f>
        <v>514.59999999999991</v>
      </c>
      <c r="CB58" s="168"/>
      <c r="CC58" s="230">
        <f>124.1-7</f>
        <v>117.1</v>
      </c>
      <c r="CD58" s="230">
        <f>109.8-7</f>
        <v>102.8</v>
      </c>
      <c r="CE58" s="230">
        <f>109.3-9.5</f>
        <v>99.8</v>
      </c>
      <c r="CF58" s="230">
        <f>116.8-6.3</f>
        <v>110.5</v>
      </c>
      <c r="CG58" s="1125">
        <f>SUM(CC58:CF58)</f>
        <v>430.2</v>
      </c>
      <c r="CH58" s="168"/>
      <c r="CI58" s="230">
        <f>127.2-8.3</f>
        <v>118.9</v>
      </c>
      <c r="CJ58" s="230">
        <f>119.3-7.2</f>
        <v>112.1</v>
      </c>
      <c r="CK58" s="230">
        <f>122.8-5.7</f>
        <v>117.1</v>
      </c>
      <c r="CL58" s="230">
        <f>126.9-6.2</f>
        <v>120.7</v>
      </c>
      <c r="CM58" s="1125">
        <f>SUM(CI58:CL58)</f>
        <v>468.8</v>
      </c>
      <c r="CN58" s="168"/>
      <c r="CO58" s="230">
        <f>136.6-8.9</f>
        <v>127.69999999999999</v>
      </c>
      <c r="CP58" s="230">
        <f>139.2-9.8</f>
        <v>129.39999999999998</v>
      </c>
      <c r="CQ58" s="230">
        <f>141.2-8.9</f>
        <v>132.29999999999998</v>
      </c>
      <c r="CR58" s="230">
        <f>149.5-10.5</f>
        <v>139</v>
      </c>
      <c r="CS58" s="1125">
        <f>SUM(CO58:CR58)</f>
        <v>528.4</v>
      </c>
      <c r="CT58" s="168"/>
      <c r="CU58" s="230">
        <f>152.7-11.1</f>
        <v>141.6</v>
      </c>
      <c r="CV58" s="230">
        <f>144.9-10.4</f>
        <v>134.5</v>
      </c>
      <c r="CW58" s="230">
        <f>153.6-28.1</f>
        <v>125.5</v>
      </c>
      <c r="CX58" s="230">
        <f>149.4-12.2</f>
        <v>137.20000000000002</v>
      </c>
      <c r="CY58" s="1125">
        <f>SUM(CU58:CX58)</f>
        <v>538.80000000000007</v>
      </c>
      <c r="CZ58" s="168"/>
      <c r="DA58" s="230">
        <f>150.8-10.9</f>
        <v>139.9</v>
      </c>
      <c r="DB58" s="230">
        <f>148.9-10.2</f>
        <v>138.70000000000002</v>
      </c>
      <c r="DC58" s="230">
        <f>149-10.2</f>
        <v>138.80000000000001</v>
      </c>
      <c r="DD58" s="230">
        <f>162.4-12.4</f>
        <v>150</v>
      </c>
      <c r="DE58" s="1125">
        <f>SUM(DA58:DD58)</f>
        <v>567.40000000000009</v>
      </c>
      <c r="DF58" s="168"/>
      <c r="DG58" s="230">
        <f>170.5-10.9</f>
        <v>159.6</v>
      </c>
      <c r="DH58" s="230">
        <f>179.3-13.7</f>
        <v>165.60000000000002</v>
      </c>
      <c r="DI58" s="230">
        <f>183.9-14.7</f>
        <v>169.20000000000002</v>
      </c>
      <c r="DJ58" s="230">
        <f>191.5-16.7</f>
        <v>174.8</v>
      </c>
      <c r="DK58" s="1125">
        <f>SUM(DG58:DJ58)</f>
        <v>669.2</v>
      </c>
      <c r="DL58" s="168"/>
      <c r="DM58" s="230">
        <f>194.5-17.6</f>
        <v>176.9</v>
      </c>
      <c r="DN58" s="230">
        <f>193.1-14.8</f>
        <v>178.29999999999998</v>
      </c>
      <c r="DO58" s="230">
        <f>197.9-17.5</f>
        <v>180.4</v>
      </c>
      <c r="DP58" s="230">
        <f>204.5-20.5</f>
        <v>184</v>
      </c>
      <c r="DQ58" s="1125">
        <f>SUM(DM58:DP58)</f>
        <v>719.6</v>
      </c>
      <c r="DR58" s="168"/>
      <c r="DS58" s="230">
        <f>195.5-20.9</f>
        <v>174.6</v>
      </c>
      <c r="DT58" s="230">
        <f>193-20.2</f>
        <v>172.8</v>
      </c>
      <c r="DU58" s="230">
        <f>192.6-20.9</f>
        <v>171.7</v>
      </c>
      <c r="DV58" s="230">
        <f>187-21.3</f>
        <v>165.7</v>
      </c>
      <c r="DW58" s="1125">
        <f>SUM(DS58:DV58)</f>
        <v>684.8</v>
      </c>
      <c r="DX58" s="168"/>
      <c r="DY58" s="230">
        <f>187.7-21.2</f>
        <v>166.5</v>
      </c>
      <c r="DZ58" s="230">
        <f>193.8-20.4</f>
        <v>173.4</v>
      </c>
      <c r="EA58" s="230">
        <f>191.8-20.1</f>
        <v>171.70000000000002</v>
      </c>
      <c r="EB58" s="230">
        <f>182.2-21.2</f>
        <v>161</v>
      </c>
      <c r="EC58" s="1125">
        <f>SUM(DY58:EB58)</f>
        <v>672.6</v>
      </c>
      <c r="ED58" s="168"/>
      <c r="EE58" s="230">
        <f>EE$31*EE59</f>
        <v>174.11417714111406</v>
      </c>
      <c r="EF58" s="230">
        <f>EF$31*EF59</f>
        <v>175.72568450027322</v>
      </c>
      <c r="EG58" s="230">
        <f>EG$31*EG59</f>
        <v>173.67961369737688</v>
      </c>
      <c r="EH58" s="230">
        <f>EH$31*EH59</f>
        <v>171.55617759390987</v>
      </c>
      <c r="EI58" s="1125">
        <f>SUM(EE58:EH58)</f>
        <v>695.07565293267407</v>
      </c>
      <c r="EJ58" s="168"/>
      <c r="EK58" s="230">
        <f>EK$31*EK59</f>
        <v>174.59262792768413</v>
      </c>
      <c r="EL58" s="230">
        <f>EL$31*EL59</f>
        <v>172.62078171982125</v>
      </c>
      <c r="EM58" s="230">
        <f>EM$31*EM59</f>
        <v>175.67661363951896</v>
      </c>
      <c r="EN58" s="230">
        <f>EN$31*EN59</f>
        <v>179.67391153849331</v>
      </c>
      <c r="EO58" s="1125">
        <f>SUM(EK58:EN58)</f>
        <v>702.56393482551766</v>
      </c>
      <c r="EP58" s="168"/>
      <c r="EQ58" s="230">
        <f>EQ$31*EQ59</f>
        <v>186.49891610829749</v>
      </c>
      <c r="ER58" s="230">
        <f>ER$31*ER59</f>
        <v>186.65902130022641</v>
      </c>
      <c r="ES58" s="230">
        <f>ES$31*ES59</f>
        <v>186.88222259322805</v>
      </c>
      <c r="ET58" s="230">
        <f>ET$31*ET59</f>
        <v>188.18545339933766</v>
      </c>
      <c r="EU58" s="1125">
        <f>SUM(EQ58:ET58)</f>
        <v>748.22561340108962</v>
      </c>
      <c r="EV58" s="27"/>
    </row>
    <row r="59" spans="1:175" hidden="1" outlineLevel="1">
      <c r="A59" s="683" t="s">
        <v>716</v>
      </c>
      <c r="B59" s="684"/>
      <c r="C59" s="685">
        <f>C58/C$31</f>
        <v>0.16801173881144532</v>
      </c>
      <c r="D59" s="685">
        <f>D58/D$31</f>
        <v>0.17793317793317795</v>
      </c>
      <c r="E59" s="685">
        <f>E58/E$31</f>
        <v>0.20325900514579759</v>
      </c>
      <c r="F59" s="685">
        <f>F58/F$31</f>
        <v>0.21043478260869564</v>
      </c>
      <c r="G59" s="685">
        <f>G58/G$31</f>
        <v>0.18864505737869944</v>
      </c>
      <c r="H59" s="686"/>
      <c r="I59" s="685">
        <f>I58/I$31</f>
        <v>0.20821917808219176</v>
      </c>
      <c r="J59" s="685">
        <f>J58/J$31</f>
        <v>0.1752249867654844</v>
      </c>
      <c r="K59" s="685">
        <f>K58/K$31</f>
        <v>0.1819541375872383</v>
      </c>
      <c r="L59" s="685">
        <f>L58/L$31</f>
        <v>0.16020082154267459</v>
      </c>
      <c r="M59" s="685">
        <f>M58/M$31</f>
        <v>0.17903525046382188</v>
      </c>
      <c r="N59" s="686"/>
      <c r="O59" s="685">
        <f>O58/O$31</f>
        <v>0.17236991074327943</v>
      </c>
      <c r="P59" s="685">
        <f>P58/P$31</f>
        <v>0.16530088746954971</v>
      </c>
      <c r="Q59" s="685">
        <f>Q58/Q$31</f>
        <v>0.19443189653122844</v>
      </c>
      <c r="R59" s="685">
        <f>R58/R$31</f>
        <v>0.17242800012539242</v>
      </c>
      <c r="S59" s="685">
        <f>S58/S$31</f>
        <v>0.17573772252503825</v>
      </c>
      <c r="T59" s="686"/>
      <c r="U59" s="685">
        <f>U58/U$31</f>
        <v>0.218853158723188</v>
      </c>
      <c r="V59" s="685">
        <f>V58/V$31</f>
        <v>0.23485862989239348</v>
      </c>
      <c r="W59" s="685">
        <f>W58/W$31</f>
        <v>0.21861231628157266</v>
      </c>
      <c r="X59" s="685">
        <f>X58/X$31</f>
        <v>0.19201330527578889</v>
      </c>
      <c r="Y59" s="685">
        <f>Y58/Y$31</f>
        <v>0.21559434515141188</v>
      </c>
      <c r="Z59" s="686"/>
      <c r="AA59" s="685">
        <f>AA58/AA$31</f>
        <v>0.17406890110222739</v>
      </c>
      <c r="AB59" s="685">
        <f>AB58/AB$31</f>
        <v>0.18154878221619045</v>
      </c>
      <c r="AC59" s="685">
        <f>AC58/AC$31</f>
        <v>0.18613560697626727</v>
      </c>
      <c r="AD59" s="685">
        <f>AD58/AD$31</f>
        <v>0.18639193242459279</v>
      </c>
      <c r="AE59" s="685">
        <f>AE58/AE$31</f>
        <v>0.18208120266061747</v>
      </c>
      <c r="AF59" s="686"/>
      <c r="AG59" s="685">
        <f>AG58/AG$31</f>
        <v>0.2043216407585253</v>
      </c>
      <c r="AH59" s="685">
        <f>AH58/AH$31</f>
        <v>0.20542444674965424</v>
      </c>
      <c r="AI59" s="685">
        <f>AI58/AI$31</f>
        <v>0.20210577887473016</v>
      </c>
      <c r="AJ59" s="685">
        <f>AJ58/AJ$31</f>
        <v>0.17170929875528471</v>
      </c>
      <c r="AK59" s="685">
        <f>AK58/AK$31</f>
        <v>0.19534116946757279</v>
      </c>
      <c r="AL59" s="686"/>
      <c r="AM59" s="685">
        <f>AM58/AM$31</f>
        <v>0.21669057721070784</v>
      </c>
      <c r="AN59" s="685">
        <f>AN58/AN$31</f>
        <v>0.24135174384227132</v>
      </c>
      <c r="AO59" s="685">
        <f>AO58/AO$31</f>
        <v>0.23999342875766425</v>
      </c>
      <c r="AP59" s="685">
        <f>AP58/AP$31</f>
        <v>0.22632418830172465</v>
      </c>
      <c r="AQ59" s="685">
        <f>AQ58/AQ$31</f>
        <v>0.23062385977246971</v>
      </c>
      <c r="AR59" s="686"/>
      <c r="AS59" s="685">
        <f>AS58/AS$31</f>
        <v>0.24472163441921374</v>
      </c>
      <c r="AT59" s="685">
        <f>AT58/AT$31</f>
        <v>0.23459058595687399</v>
      </c>
      <c r="AU59" s="685">
        <f>AU58/AU$31</f>
        <v>0.22664648382379352</v>
      </c>
      <c r="AV59" s="685">
        <f>AV58/AV$31</f>
        <v>0.18659036266973683</v>
      </c>
      <c r="AW59" s="685">
        <f>AW58/AW$31</f>
        <v>0.2199869068547764</v>
      </c>
      <c r="AX59" s="686"/>
      <c r="AY59" s="685">
        <f>AY58/AY$31</f>
        <v>0.19358074222668001</v>
      </c>
      <c r="AZ59" s="685">
        <f>AZ58/AZ$31</f>
        <v>0.20762108262108261</v>
      </c>
      <c r="BA59" s="685">
        <f>BA58/BA$31</f>
        <v>0.19873921698739214</v>
      </c>
      <c r="BB59" s="685">
        <f>BB58/BB$31</f>
        <v>0.17701342281879198</v>
      </c>
      <c r="BC59" s="685">
        <f>BC58/BC$31</f>
        <v>0.19323593510372103</v>
      </c>
      <c r="BD59" s="686"/>
      <c r="BE59" s="685">
        <f>BE58/BE$31</f>
        <v>0.18379281537176276</v>
      </c>
      <c r="BF59" s="685">
        <f>BF58/BF$31</f>
        <v>0.1937367303609342</v>
      </c>
      <c r="BG59" s="685">
        <f>BG58/BG$31</f>
        <v>0.19397116644823068</v>
      </c>
      <c r="BH59" s="685">
        <f>BH58/BH$31</f>
        <v>0.19247260600285848</v>
      </c>
      <c r="BI59" s="685">
        <f>BI58/BI$31</f>
        <v>0.19112672391360919</v>
      </c>
      <c r="BJ59" s="686"/>
      <c r="BK59" s="685">
        <f>BK58/BK$31</f>
        <v>0.2121559633027523</v>
      </c>
      <c r="BL59" s="685">
        <f>BL58/BL$31</f>
        <v>0.20240213523131673</v>
      </c>
      <c r="BM59" s="685">
        <f>BM58/BM$31</f>
        <v>0.21409807355516638</v>
      </c>
      <c r="BN59" s="685">
        <f>BN58/BN$31</f>
        <v>0.19079211901889828</v>
      </c>
      <c r="BO59" s="1258">
        <f>BO58/BO$31</f>
        <v>0.20447874768996629</v>
      </c>
      <c r="BP59" s="883"/>
      <c r="BQ59" s="916">
        <f>BQ58/BQ$31</f>
        <v>0.20762878489972472</v>
      </c>
      <c r="BR59" s="916">
        <f>BR58/BR$31</f>
        <v>0.20422133485453506</v>
      </c>
      <c r="BS59" s="916">
        <f>BS58/BS$31</f>
        <v>0.2007800891530461</v>
      </c>
      <c r="BT59" s="916">
        <f>BT58/BT$31</f>
        <v>0.20247037222500416</v>
      </c>
      <c r="BU59" s="1294">
        <f>BU58/BU$31</f>
        <v>0.20368324125230206</v>
      </c>
      <c r="BV59" s="883"/>
      <c r="BW59" s="916">
        <f>BW58/BW$31</f>
        <v>0.22595190380761521</v>
      </c>
      <c r="BX59" s="916">
        <f>BX58/BX$31</f>
        <v>0.20774818401937045</v>
      </c>
      <c r="BY59" s="916">
        <f>BY58/BY$31</f>
        <v>0.20886180200955359</v>
      </c>
      <c r="BZ59" s="916">
        <f>BZ58/BZ$31</f>
        <v>0.25275622703144135</v>
      </c>
      <c r="CA59" s="1294">
        <f>CA58/CA$31</f>
        <v>0.22227021423635102</v>
      </c>
      <c r="CB59" s="686"/>
      <c r="CC59" s="916">
        <f>CC58/CC$31</f>
        <v>0.27501174260216066</v>
      </c>
      <c r="CD59" s="916">
        <f>CD58/CD$31</f>
        <v>0.24777054711978791</v>
      </c>
      <c r="CE59" s="916">
        <f>CE58/CE$31</f>
        <v>0.239385943871432</v>
      </c>
      <c r="CF59" s="916">
        <f>CF58/CF$31</f>
        <v>0.24227143170357376</v>
      </c>
      <c r="CG59" s="1294">
        <f>CG58/CG$31</f>
        <v>0.25103577055493964</v>
      </c>
      <c r="CH59" s="686"/>
      <c r="CI59" s="916">
        <f>CI58/CI$31</f>
        <v>0.25052675937631691</v>
      </c>
      <c r="CJ59" s="916">
        <f>CJ58/CJ$31</f>
        <v>0.23709813874788496</v>
      </c>
      <c r="CK59" s="916">
        <f>CK58/CK$31</f>
        <v>0.24564715754143066</v>
      </c>
      <c r="CL59" s="916">
        <f>CL58/CL$31</f>
        <v>0.22872844419177563</v>
      </c>
      <c r="CM59" s="1294">
        <f>CM58/CM$31</f>
        <v>0.24018854390818734</v>
      </c>
      <c r="CN59" s="686"/>
      <c r="CO59" s="916">
        <f>CO58/CO$31</f>
        <v>0.24171872042400153</v>
      </c>
      <c r="CP59" s="916">
        <f>CP58/CP$31</f>
        <v>0.23686619073768989</v>
      </c>
      <c r="CQ59" s="916">
        <f>CQ58/CQ$31</f>
        <v>0.24115931461903026</v>
      </c>
      <c r="CR59" s="916">
        <f>CR58/CR$31</f>
        <v>0.23463875759621877</v>
      </c>
      <c r="CS59" s="1294">
        <f>CS58/CS$31</f>
        <v>0.23849070229283265</v>
      </c>
      <c r="CT59" s="686"/>
      <c r="CU59" s="916">
        <f>CU58/CU$31</f>
        <v>0.24057084607543322</v>
      </c>
      <c r="CV59" s="916">
        <f>CV58/CV$31</f>
        <v>0.23637961335676624</v>
      </c>
      <c r="CW59" s="916">
        <f>CW58/CW$31</f>
        <v>0.229014598540146</v>
      </c>
      <c r="CX59" s="916">
        <f>CX58/CX$31</f>
        <v>0.22602965403624384</v>
      </c>
      <c r="CY59" s="1294">
        <f>CY58/CY$31</f>
        <v>0.23298451958834215</v>
      </c>
      <c r="CZ59" s="686"/>
      <c r="DA59" s="916">
        <f>DA58/DA$31</f>
        <v>0.24526647966339413</v>
      </c>
      <c r="DB59" s="916">
        <f>DB58/DB$31</f>
        <v>0.24692896564002137</v>
      </c>
      <c r="DC59" s="916">
        <f>DC58/DC$31</f>
        <v>0.25</v>
      </c>
      <c r="DD59" s="916">
        <f>DD58/DD$31</f>
        <v>0.25571087623593597</v>
      </c>
      <c r="DE59" s="1294">
        <f>DE58/DE$31</f>
        <v>0.24952724394212594</v>
      </c>
      <c r="DF59" s="686"/>
      <c r="DG59" s="916">
        <f>DG58/DG$31</f>
        <v>0.26936708860759495</v>
      </c>
      <c r="DH59" s="916">
        <f>DH58/DH$31</f>
        <v>0.2599277978339351</v>
      </c>
      <c r="DI59" s="916">
        <f>DI58/DI$31</f>
        <v>0.27378640776699031</v>
      </c>
      <c r="DJ59" s="916">
        <f>DJ58/DJ$31</f>
        <v>0.26301534757749023</v>
      </c>
      <c r="DK59" s="1294">
        <f>DK58/DK$31</f>
        <v>0.26638006528142666</v>
      </c>
      <c r="DL59" s="686"/>
      <c r="DM59" s="916">
        <f>DM58/DM$31</f>
        <v>0.27362722351121421</v>
      </c>
      <c r="DN59" s="916">
        <f>DN58/DN$31</f>
        <v>0.29253486464315009</v>
      </c>
      <c r="DO59" s="916">
        <f>DO58/DO$31</f>
        <v>0.30076692230743585</v>
      </c>
      <c r="DP59" s="916">
        <f>DP58/DP$31</f>
        <v>0.28381921949714639</v>
      </c>
      <c r="DQ59" s="1294">
        <f>DQ58/DQ$31</f>
        <v>0.28736871530689673</v>
      </c>
      <c r="DR59" s="686"/>
      <c r="DS59" s="916">
        <f>DS58/DS$31</f>
        <v>0.34108224262551279</v>
      </c>
      <c r="DT59" s="916">
        <f>DT58/DT$31</f>
        <v>0.31378245868894133</v>
      </c>
      <c r="DU59" s="916">
        <f>DU58/DU$31</f>
        <v>0.35069444444444442</v>
      </c>
      <c r="DV59" s="916">
        <f>DV58/DV$31</f>
        <v>0.3460735171261487</v>
      </c>
      <c r="DW59" s="1294">
        <f>DW58/DW$31</f>
        <v>0.33717380600689317</v>
      </c>
      <c r="DX59" s="686"/>
      <c r="DY59" s="916">
        <f>DY58/DY$31</f>
        <v>0.34280420012353308</v>
      </c>
      <c r="DZ59" s="916">
        <f>DZ58/DZ$31</f>
        <v>0.34555599840573936</v>
      </c>
      <c r="EA59" s="916">
        <f>EA58/EA$31</f>
        <v>0.33320395885891718</v>
      </c>
      <c r="EB59" s="916">
        <f>EB58/EB$31</f>
        <v>0.29071867100036114</v>
      </c>
      <c r="EC59" s="1294">
        <f>EC58/EC$31</f>
        <v>0.32704463677915008</v>
      </c>
      <c r="ED59" s="686"/>
      <c r="EE59" s="917">
        <f>(DY59-0.03)</f>
        <v>0.31280420012353305</v>
      </c>
      <c r="EF59" s="917">
        <f>DZ59-0.05</f>
        <v>0.29555599840573937</v>
      </c>
      <c r="EG59" s="917">
        <f>EA59-0.06</f>
        <v>0.27320395885891718</v>
      </c>
      <c r="EH59" s="917">
        <f>EB59-0.05</f>
        <v>0.24071867100036115</v>
      </c>
      <c r="EI59" s="1294">
        <f>EI58/EI$31</f>
        <v>0.27807690647511679</v>
      </c>
      <c r="EJ59" s="686"/>
      <c r="EK59" s="917">
        <f>EE59-0.06</f>
        <v>0.25280420012353305</v>
      </c>
      <c r="EL59" s="917">
        <f>EF59-0.06</f>
        <v>0.23555599840573938</v>
      </c>
      <c r="EM59" s="917">
        <f>EG59-0.05</f>
        <v>0.2232039588589172</v>
      </c>
      <c r="EN59" s="917">
        <f>EH59-0.04</f>
        <v>0.20071867100036114</v>
      </c>
      <c r="EO59" s="1294">
        <f>EO58/EO$31</f>
        <v>0.22621996703901406</v>
      </c>
      <c r="EP59" s="686"/>
      <c r="EQ59" s="917">
        <f>EK59-0.01</f>
        <v>0.24280420012353304</v>
      </c>
      <c r="ER59" s="917">
        <f>EL59-0.02</f>
        <v>0.21555599840573939</v>
      </c>
      <c r="ES59" s="917">
        <f>EM59-0.03</f>
        <v>0.1932039588589172</v>
      </c>
      <c r="ET59" s="917">
        <f>EN59-0.035</f>
        <v>0.16571867100036114</v>
      </c>
      <c r="EU59" s="1294">
        <f>EU58/EU$31</f>
        <v>0.20022641677097924</v>
      </c>
      <c r="EV59" s="532"/>
    </row>
    <row r="60" spans="1:175" hidden="1" outlineLevel="1">
      <c r="A60" s="683" t="s">
        <v>4583</v>
      </c>
      <c r="B60" s="684"/>
      <c r="C60" s="685"/>
      <c r="D60" s="685"/>
      <c r="E60" s="685"/>
      <c r="F60" s="685"/>
      <c r="G60" s="685"/>
      <c r="H60" s="686"/>
      <c r="I60" s="685">
        <f>IF(C58&lt;&gt;"",I58/C58-1,"-")</f>
        <v>0.32751091703056767</v>
      </c>
      <c r="J60" s="685">
        <f>IF(D58&lt;&gt;"",J58/D58-1,"-")</f>
        <v>0.4454148471615722</v>
      </c>
      <c r="K60" s="685">
        <f>IF(E58&lt;&gt;"",K58/E58-1,"-")</f>
        <v>0.54008438818565407</v>
      </c>
      <c r="L60" s="685">
        <f>IF(F58&lt;&gt;"",L58/F58-1,"-")</f>
        <v>0.45041322314049603</v>
      </c>
      <c r="M60" s="685">
        <f>IF(G58&lt;&gt;"",M58/G58-1,"-")</f>
        <v>0.44183564567769462</v>
      </c>
      <c r="N60" s="686"/>
      <c r="O60" s="685">
        <f>IF(I58&lt;&gt;"",O58/I58-1,"-")</f>
        <v>0.29210526315789487</v>
      </c>
      <c r="P60" s="685">
        <f>IF(J58&lt;&gt;"",P58/J58-1,"-")</f>
        <v>0.16033232628398775</v>
      </c>
      <c r="Q60" s="685">
        <f>IF(K58&lt;&gt;"",Q58/K58-1,"-")</f>
        <v>0.12027397260273975</v>
      </c>
      <c r="R60" s="685">
        <f>IF(L58&lt;&gt;"",R58/L58-1,"-")</f>
        <v>9.6951566951566814E-2</v>
      </c>
      <c r="S60" s="685">
        <f>IF(M58&lt;&gt;"",S58/M58-1,"-")</f>
        <v>0.16269430051813472</v>
      </c>
      <c r="T60" s="686"/>
      <c r="U60" s="685">
        <f>IF(O58&lt;&gt;"",U58/O58-1,"-")</f>
        <v>0.12914969450101843</v>
      </c>
      <c r="V60" s="685">
        <f>IF(P58&lt;&gt;"",V58/P58-1,"-")</f>
        <v>0.2877079699013203</v>
      </c>
      <c r="W60" s="685">
        <f>IF(Q58&lt;&gt;"",W58/Q58-1,"-")</f>
        <v>0.1127415015896307</v>
      </c>
      <c r="X60" s="685">
        <f>IF(R58&lt;&gt;"",X58/R58-1,"-")</f>
        <v>0.13043139495623723</v>
      </c>
      <c r="Y60" s="685">
        <f>IF(S58&lt;&gt;"",Y58/S58-1,"-")</f>
        <v>0.16396103896103909</v>
      </c>
      <c r="Z60" s="686"/>
      <c r="AA60" s="685">
        <f>IF(U58&lt;&gt;"",AA58/U58-1,"-")</f>
        <v>-9.239510292426667E-2</v>
      </c>
      <c r="AB60" s="685">
        <f>IF(V58&lt;&gt;"",AB58/V58-1,"-")</f>
        <v>-0.14527771599571349</v>
      </c>
      <c r="AC60" s="685">
        <f>IF(W58&lt;&gt;"",AC58/W58-1,"-")</f>
        <v>-6.2461538461538457E-2</v>
      </c>
      <c r="AD60" s="685">
        <f>IF(X58&lt;&gt;"",AD58/X58-1,"-")</f>
        <v>4.0827110855830018E-2</v>
      </c>
      <c r="AE60" s="685">
        <f>IF(Y58&lt;&gt;"",AE58/Y58-1,"-")</f>
        <v>-6.7536303224218663E-2</v>
      </c>
      <c r="AF60" s="686"/>
      <c r="AG60" s="685">
        <f>IF(AA58&lt;&gt;"",AG58/AA58-1,"-")</f>
        <v>0.24729847223947332</v>
      </c>
      <c r="AH60" s="685">
        <f>IF(AB58&lt;&gt;"",AH58/AB58-1,"-")</f>
        <v>0.1243139666919002</v>
      </c>
      <c r="AI60" s="685">
        <f>IF(AC58&lt;&gt;"",AI58/AC58-1,"-")</f>
        <v>2.5059777767358904E-2</v>
      </c>
      <c r="AJ60" s="685">
        <f>IF(AD58&lt;&gt;"",AJ58/AD58-1,"-")</f>
        <v>-3.7128603593660325E-2</v>
      </c>
      <c r="AK60" s="685">
        <f>IF(AE58&lt;&gt;"",AK58/AE58-1,"-")</f>
        <v>8.5619431393596068E-2</v>
      </c>
      <c r="AL60" s="686"/>
      <c r="AM60" s="685">
        <f>IF(AG58&lt;&gt;"",AM58/AG58-1,"-")</f>
        <v>-1.0296753634734146E-2</v>
      </c>
      <c r="AN60" s="685">
        <f>IF(AH58&lt;&gt;"",AN58/AH58-1,"-")</f>
        <v>7.3537147305742012E-2</v>
      </c>
      <c r="AO60" s="685">
        <f>IF(AI58&lt;&gt;"",AO58/AI58-1,"-")</f>
        <v>3.5675898186475319E-2</v>
      </c>
      <c r="AP60" s="685">
        <f>IF(AJ58&lt;&gt;"",AP58/AJ58-1,"-")</f>
        <v>1.4442916093535096E-2</v>
      </c>
      <c r="AQ60" s="685">
        <f>IF(AK58&lt;&gt;"",AQ58/AK58-1,"-")</f>
        <v>2.7922456830412168E-2</v>
      </c>
      <c r="AR60" s="686"/>
      <c r="AS60" s="685">
        <f>IF(AM58&lt;&gt;"",AS58/AM58-1,"-")</f>
        <v>3.7953031614110788E-2</v>
      </c>
      <c r="AT60" s="685">
        <f>IF(AN58&lt;&gt;"",AT58/AN58-1,"-")</f>
        <v>-2.6615969581748944E-2</v>
      </c>
      <c r="AU60" s="685">
        <f>IF(AO58&lt;&gt;"",AU58/AO58-1,"-")</f>
        <v>0.17040210214851936</v>
      </c>
      <c r="AV60" s="685">
        <f>IF(AP58&lt;&gt;"",AV58/AP58-1,"-")</f>
        <v>0.24524293785310736</v>
      </c>
      <c r="AW60" s="685">
        <f>IF(AQ58&lt;&gt;"",AW58/AQ58-1,"-")</f>
        <v>0.1003773941929651</v>
      </c>
      <c r="AX60" s="686"/>
      <c r="AY60" s="685">
        <f>IF(AS58&lt;&gt;"",AY58/AS58-1,"-")</f>
        <v>0.12254987494910718</v>
      </c>
      <c r="AZ60" s="685">
        <f>IF(AT58&lt;&gt;"",AZ58/AT58-1,"-")</f>
        <v>0.17388853092783485</v>
      </c>
      <c r="BA60" s="686">
        <f>IF(AU58&lt;&gt;"",BA58/AU58-1,"-")</f>
        <v>0.13010338842351521</v>
      </c>
      <c r="BB60" s="686">
        <f>IF(AV58&lt;&gt;"",BB58/AV58-1,"-")</f>
        <v>0.14877862872491021</v>
      </c>
      <c r="BC60" s="686">
        <f>IF(AW58&lt;&gt;"",BC58/AW58-1,"-")</f>
        <v>0.14354498946734884</v>
      </c>
      <c r="BD60" s="686"/>
      <c r="BE60" s="685">
        <f>IF(AY58&lt;&gt;"",BE58/AY58-1,"-")</f>
        <v>0.13989637305699487</v>
      </c>
      <c r="BF60" s="685">
        <f>IF(AZ58&lt;&gt;"",BF58/AZ58-1,"-")</f>
        <v>0.25214408233276164</v>
      </c>
      <c r="BG60" s="686">
        <f>IF(BA58&lt;&gt;"",BG58/BA58-1,"-")</f>
        <v>0.23539232053422365</v>
      </c>
      <c r="BH60" s="686">
        <f>IF(BB58&lt;&gt;"",BH58/BB58-1,"-")</f>
        <v>0.27646129541864117</v>
      </c>
      <c r="BI60" s="686">
        <f>IF(BC58&lt;&gt;"",BI58/BC58-1,"-")</f>
        <v>0.22723475355054301</v>
      </c>
      <c r="BJ60" s="686"/>
      <c r="BK60" s="685">
        <f>IF(BE58&lt;&gt;"",BK58/BE58-1,"-")</f>
        <v>0.4015151515151516</v>
      </c>
      <c r="BL60" s="685">
        <f>IF(BF58&lt;&gt;"",BL58/BF58-1,"-")</f>
        <v>0.24657534246575352</v>
      </c>
      <c r="BM60" s="686">
        <f>IF(BG58&lt;&gt;"",BM58/BG58-1,"-")</f>
        <v>0.32162162162162167</v>
      </c>
      <c r="BN60" s="686">
        <f>IF(BH58&lt;&gt;"",BN58/BH58-1,"-")</f>
        <v>0.17450495049504955</v>
      </c>
      <c r="BO60" s="1257">
        <f>IF(BI58&lt;&gt;"",BO58/BI58-1,"-")</f>
        <v>0.28046289993192652</v>
      </c>
      <c r="BP60" s="883"/>
      <c r="BQ60" s="686">
        <f>IF(BK58&lt;&gt;"",BQ58/BK58-1,"-")</f>
        <v>0.14162162162162151</v>
      </c>
      <c r="BR60" s="686">
        <f>IF(BL58&lt;&gt;"",BR58/BL58-1,"-")</f>
        <v>0.18021978021978025</v>
      </c>
      <c r="BS60" s="686">
        <f>IF(BM58&lt;&gt;"",BS58/BM58-1,"-")</f>
        <v>0.10531697341513291</v>
      </c>
      <c r="BT60" s="686">
        <f>IF(BN58&lt;&gt;"",BT58/BN58-1,"-")</f>
        <v>0.27818756585879867</v>
      </c>
      <c r="BU60" s="1257">
        <f>IF(BO58&lt;&gt;"",BU58/BO58-1,"-")</f>
        <v>0.17597022860180744</v>
      </c>
      <c r="BV60" s="883"/>
      <c r="BW60" s="686">
        <f>IF(BQ58&lt;&gt;"",BW58/BQ58-1,"-")</f>
        <v>0.28125</v>
      </c>
      <c r="BX60" s="686">
        <f>IF(BR58&lt;&gt;"",BX58/BR58-1,"-")</f>
        <v>0.19832402234636848</v>
      </c>
      <c r="BY60" s="686">
        <f>IF(BS58&lt;&gt;"",BY58/BS58-1,"-")</f>
        <v>0.17298797409805711</v>
      </c>
      <c r="BZ60" s="686">
        <f>IF(BT58&lt;&gt;"",BZ58/BT58-1,"-")</f>
        <v>2.0610057708161378E-2</v>
      </c>
      <c r="CA60" s="1257">
        <f>IF(BU58&lt;&gt;"",CA58/BU58-1,"-")</f>
        <v>0.1632007233273054</v>
      </c>
      <c r="CB60" s="686"/>
      <c r="CC60" s="686">
        <f>IF(BW58&lt;&gt;"",CC58/BW58-1,"-")</f>
        <v>-0.13451589061345148</v>
      </c>
      <c r="CD60" s="686">
        <f>IF(BX58&lt;&gt;"",CD58/BX58-1,"-")</f>
        <v>-0.20124320124320116</v>
      </c>
      <c r="CE60" s="686">
        <f>IF(BY58&lt;&gt;"",CE58/BY58-1,"-")</f>
        <v>-0.21293375394321756</v>
      </c>
      <c r="CF60" s="686">
        <f>IF(BZ58&lt;&gt;"",CF58/BZ58-1,"-")</f>
        <v>-0.10743134087237471</v>
      </c>
      <c r="CG60" s="1257">
        <f>IF(CA58&lt;&gt;"",CG58/CA58-1,"-")</f>
        <v>-0.16401088223863181</v>
      </c>
      <c r="CH60" s="686"/>
      <c r="CI60" s="686">
        <f>IF(CC58&lt;&gt;"",CI58/CC58-1,"-")</f>
        <v>1.5371477369769515E-2</v>
      </c>
      <c r="CJ60" s="686">
        <f>IF(CD58&lt;&gt;"",CJ58/CD58-1,"-")</f>
        <v>9.0466926070038811E-2</v>
      </c>
      <c r="CK60" s="686">
        <f>IF(CE58&lt;&gt;"",CK58/CE58-1,"-")</f>
        <v>0.17334669338677355</v>
      </c>
      <c r="CL60" s="686">
        <f>IF(CF58&lt;&gt;"",CL58/CF58-1,"-")</f>
        <v>9.2307692307692424E-2</v>
      </c>
      <c r="CM60" s="1257">
        <f>IF(CG58&lt;&gt;"",CM58/CG58-1,"-")</f>
        <v>8.9725708972570928E-2</v>
      </c>
      <c r="CN60" s="686"/>
      <c r="CO60" s="686">
        <f>IF(CI58&lt;&gt;"",CO58/CI58-1,"-")</f>
        <v>7.4011774600504454E-2</v>
      </c>
      <c r="CP60" s="686">
        <f>IF(CJ58&lt;&gt;"",CP58/CJ58-1,"-")</f>
        <v>0.1543264942016056</v>
      </c>
      <c r="CQ60" s="686">
        <f>IF(CK58&lt;&gt;"",CQ58/CK58-1,"-")</f>
        <v>0.12980358667805292</v>
      </c>
      <c r="CR60" s="686">
        <f>IF(CL58&lt;&gt;"",CR58/CL58-1,"-")</f>
        <v>0.15161557580778795</v>
      </c>
      <c r="CS60" s="1257">
        <f>IF(CM58&lt;&gt;"",CS58/CM58-1,"-")</f>
        <v>0.12713310580204773</v>
      </c>
      <c r="CT60" s="686"/>
      <c r="CU60" s="686">
        <f>IF(CO58&lt;&gt;"",CU58/CO58-1,"-")</f>
        <v>0.10884886452623332</v>
      </c>
      <c r="CV60" s="686">
        <f>IF(CP58&lt;&gt;"",CV58/CP58-1,"-")</f>
        <v>3.9412673879443805E-2</v>
      </c>
      <c r="CW60" s="686">
        <f>IF(CQ58&lt;&gt;"",CW58/CQ58-1,"-")</f>
        <v>-5.139833711262265E-2</v>
      </c>
      <c r="CX60" s="686">
        <f>IF(CR58&lt;&gt;"",CX58/CR58-1,"-")</f>
        <v>-1.2949640287769681E-2</v>
      </c>
      <c r="CY60" s="1257">
        <f>IF(CS58&lt;&gt;"",CY58/CS58-1,"-")</f>
        <v>1.9682059046177258E-2</v>
      </c>
      <c r="CZ60" s="686"/>
      <c r="DA60" s="686">
        <f>IF(CU58&lt;&gt;"",DA58/CU58-1,"-")</f>
        <v>-1.2005649717514055E-2</v>
      </c>
      <c r="DB60" s="686">
        <f>IF(CV58&lt;&gt;"",DB58/CV58-1,"-")</f>
        <v>3.1226765799256651E-2</v>
      </c>
      <c r="DC60" s="686">
        <f>IF(CW58&lt;&gt;"",DC58/CW58-1,"-")</f>
        <v>0.10597609561752996</v>
      </c>
      <c r="DD60" s="686">
        <f>IF(CX58&lt;&gt;"",DD58/CX58-1,"-")</f>
        <v>9.3294460641399235E-2</v>
      </c>
      <c r="DE60" s="1257">
        <f>IF(CY58&lt;&gt;"",DE58/CY58-1,"-")</f>
        <v>5.3080920564216871E-2</v>
      </c>
      <c r="DF60" s="686"/>
      <c r="DG60" s="686">
        <f>IF(DA58&lt;&gt;"",DG58/DA58-1,"-")</f>
        <v>0.14081486776268748</v>
      </c>
      <c r="DH60" s="686">
        <f>IF(DB58&lt;&gt;"",DH58/DB58-1,"-")</f>
        <v>0.19394376351838494</v>
      </c>
      <c r="DI60" s="686">
        <f>IF(DC58&lt;&gt;"",DI58/DC58-1,"-")</f>
        <v>0.21902017291066289</v>
      </c>
      <c r="DJ60" s="686">
        <f>IF(DD58&lt;&gt;"",DJ58/DD58-1,"-")</f>
        <v>0.16533333333333333</v>
      </c>
      <c r="DK60" s="1257">
        <f>IF(DE58&lt;&gt;"",DK58/DE58-1,"-")</f>
        <v>0.17941487486781793</v>
      </c>
      <c r="DL60" s="686"/>
      <c r="DM60" s="686">
        <f>IF(DG58&lt;&gt;"",DM58/DG58-1,"-")</f>
        <v>0.10839598997493738</v>
      </c>
      <c r="DN60" s="686">
        <f>IF(DH58&lt;&gt;"",DN58/DH58-1,"-")</f>
        <v>7.6690821256038433E-2</v>
      </c>
      <c r="DO60" s="686">
        <f>IF(DI58&lt;&gt;"",DO58/DI58-1,"-")</f>
        <v>6.6193853427895855E-2</v>
      </c>
      <c r="DP60" s="686">
        <f>IF(DJ58&lt;&gt;"",DP58/DJ58-1,"-")</f>
        <v>5.2631578947368363E-2</v>
      </c>
      <c r="DQ60" s="1257">
        <f>IF(DK58&lt;&gt;"",DQ58/DK58-1,"-")</f>
        <v>7.5313807531380617E-2</v>
      </c>
      <c r="DR60" s="686"/>
      <c r="DS60" s="686">
        <f>IF(DM58&lt;&gt;"",DS58/DM58-1,"-")</f>
        <v>-1.3001695873374852E-2</v>
      </c>
      <c r="DT60" s="686">
        <f>IF(DN58&lt;&gt;"",DT58/DN58-1,"-")</f>
        <v>-3.0846887268648149E-2</v>
      </c>
      <c r="DU60" s="686">
        <f>IF(DO58&lt;&gt;"",DU58/DO58-1,"-")</f>
        <v>-4.822616407982272E-2</v>
      </c>
      <c r="DV60" s="686">
        <f>IF(DP58&lt;&gt;"",DV58/DP58-1,"-")</f>
        <v>-9.9456521739130443E-2</v>
      </c>
      <c r="DW60" s="1257">
        <f>IF(DQ58&lt;&gt;"",DW58/DQ58-1,"-")</f>
        <v>-4.8360200111172924E-2</v>
      </c>
      <c r="DX60" s="686"/>
      <c r="DY60" s="686">
        <f>IF(DS58&lt;&gt;"",DY58/DS58-1,"-")</f>
        <v>-4.6391752577319534E-2</v>
      </c>
      <c r="DZ60" s="686">
        <f>IF(DT58&lt;&gt;"",DZ58/DT58-1,"-")</f>
        <v>3.4722222222220989E-3</v>
      </c>
      <c r="EA60" s="686">
        <f>IF(DU58&lt;&gt;"",EA58/DU58-1,"-")</f>
        <v>2.2204460492503131E-16</v>
      </c>
      <c r="EB60" s="686">
        <f>IF(DV58&lt;&gt;"",EB58/DV58-1,"-")</f>
        <v>-2.836451418225705E-2</v>
      </c>
      <c r="EC60" s="1257">
        <f>IF(DW58&lt;&gt;"",EC58/DW58-1,"-")</f>
        <v>-1.7815420560747586E-2</v>
      </c>
      <c r="ED60" s="686"/>
      <c r="EE60" s="686">
        <f>IF(DY58&lt;&gt;"",EE58/DY58-1,"-")</f>
        <v>4.5730793640324618E-2</v>
      </c>
      <c r="EF60" s="686">
        <f>IF(DZ58&lt;&gt;"",EF58/DZ58-1,"-")</f>
        <v>1.3412252020030158E-2</v>
      </c>
      <c r="EG60" s="686">
        <f>IF(EA58&lt;&gt;"",EG58/EA58-1,"-")</f>
        <v>1.152949153976035E-2</v>
      </c>
      <c r="EH60" s="686">
        <f>IF(EB58&lt;&gt;"",EH58/EB58-1,"-")</f>
        <v>6.5566320459067517E-2</v>
      </c>
      <c r="EI60" s="1257">
        <f>IF(EC58&lt;&gt;"",EI58/EC58-1,"-")</f>
        <v>3.3416076319765065E-2</v>
      </c>
      <c r="EJ60" s="686"/>
      <c r="EK60" s="686">
        <f>IF(EE58&lt;&gt;"",EK58/EE58-1,"-")</f>
        <v>2.7479140092212528E-3</v>
      </c>
      <c r="EL60" s="686">
        <f>IF(EF58&lt;&gt;"",EL58/EF58-1,"-")</f>
        <v>-1.7669032215077984E-2</v>
      </c>
      <c r="EM60" s="686">
        <f>IF(EG58&lt;&gt;"",EM58/EG58-1,"-")</f>
        <v>1.1498182772456511E-2</v>
      </c>
      <c r="EN60" s="686">
        <f>IF(EH58&lt;&gt;"",EN58/EH58-1,"-")</f>
        <v>4.7318225775575984E-2</v>
      </c>
      <c r="EO60" s="1257">
        <f>IF(EI58&lt;&gt;"",EO58/EI58-1,"-")</f>
        <v>1.0773333609440883E-2</v>
      </c>
      <c r="EP60" s="686"/>
      <c r="EQ60" s="686">
        <f>IF(EK58&lt;&gt;"",EQ58/EK58-1,"-")</f>
        <v>6.8194678789902374E-2</v>
      </c>
      <c r="ER60" s="686">
        <f>IF(EL58&lt;&gt;"",ER58/EL58-1,"-")</f>
        <v>8.1324157152702803E-2</v>
      </c>
      <c r="ES60" s="686">
        <f>IF(EM58&lt;&gt;"",ES58/EM58-1,"-")</f>
        <v>6.3785433482355991E-2</v>
      </c>
      <c r="ET60" s="686">
        <f>IF(EN58&lt;&gt;"",ET58/EN58-1,"-")</f>
        <v>4.7372163203675877E-2</v>
      </c>
      <c r="EU60" s="1257">
        <f>IF(EO58&lt;&gt;"",EU58/EO58-1,"-")</f>
        <v>6.4992915679499053E-2</v>
      </c>
      <c r="EV60" s="532"/>
    </row>
    <row r="61" spans="1:175" hidden="1" outlineLevel="1">
      <c r="A61" s="683" t="s">
        <v>4584</v>
      </c>
      <c r="B61" s="684"/>
      <c r="C61" s="685"/>
      <c r="D61" s="685">
        <f>IF(C58&lt;&gt;"",D58/C58-1,"-")</f>
        <v>0</v>
      </c>
      <c r="E61" s="685">
        <f>IF(D58&lt;&gt;"",E58/D58-1,"-")</f>
        <v>3.4934497816593968E-2</v>
      </c>
      <c r="F61" s="685">
        <f>IF(E58&lt;&gt;"",F58/E58-1,"-")</f>
        <v>2.1097046413502074E-2</v>
      </c>
      <c r="G61" s="685" t="s">
        <v>6442</v>
      </c>
      <c r="H61" s="686"/>
      <c r="I61" s="685">
        <f>IF(F58&lt;&gt;"",I58/F58-1,"-")</f>
        <v>0.25619834710743805</v>
      </c>
      <c r="J61" s="685">
        <f>IF(I58&lt;&gt;"",J58/I58-1,"-")</f>
        <v>8.8815789473684292E-2</v>
      </c>
      <c r="K61" s="685">
        <f>IF(J58&lt;&gt;"",K58/J58-1,"-")</f>
        <v>0.10271903323262843</v>
      </c>
      <c r="L61" s="685">
        <f>IF(K58&lt;&gt;"",L58/K58-1,"-")</f>
        <v>-3.8356164383561597E-2</v>
      </c>
      <c r="M61" s="685" t="s">
        <v>6442</v>
      </c>
      <c r="N61" s="686"/>
      <c r="O61" s="685">
        <f>IF(L58&lt;&gt;"",O58/L58-1,"-")</f>
        <v>0.11908831908831918</v>
      </c>
      <c r="P61" s="685">
        <f>IF(O58&lt;&gt;"",P58/O58-1,"-")</f>
        <v>-2.2225050916497069E-2</v>
      </c>
      <c r="Q61" s="685">
        <f>IF(P58&lt;&gt;"",Q58/P58-1,"-")</f>
        <v>6.4649673236649718E-2</v>
      </c>
      <c r="R61" s="685">
        <f>IF(Q58&lt;&gt;"",R58/Q58-1,"-")</f>
        <v>-5.8376131083394456E-2</v>
      </c>
      <c r="S61" s="685" t="s">
        <v>6442</v>
      </c>
      <c r="T61" s="686"/>
      <c r="U61" s="685">
        <f>IF(R58&lt;&gt;"",U58/R58-1,"-")</f>
        <v>0.1519362127626418</v>
      </c>
      <c r="V61" s="685">
        <f>IF(U58&lt;&gt;"",V58/U58-1,"-")</f>
        <v>0.11507677045521159</v>
      </c>
      <c r="W61" s="685">
        <f>IF(V58&lt;&gt;"",W58/V58-1,"-")</f>
        <v>-8.0008896617263514E-2</v>
      </c>
      <c r="X61" s="685">
        <f>IF(W58&lt;&gt;"",X58/W58-1,"-")</f>
        <v>-4.3406593406593474E-2</v>
      </c>
      <c r="Y61" s="685" t="s">
        <v>6442</v>
      </c>
      <c r="Z61" s="686"/>
      <c r="AA61" s="685">
        <f>IF(X58&lt;&gt;"",AA58/X58-1,"-")</f>
        <v>-7.5129236071223349E-2</v>
      </c>
      <c r="AB61" s="685">
        <f>IF(AA58&lt;&gt;"",AB58/AA58-1,"-")</f>
        <v>5.0105576946962938E-2</v>
      </c>
      <c r="AC61" s="685">
        <f>IF(AB58&lt;&gt;"",AC58/AB58-1,"-")</f>
        <v>9.1313398940198187E-3</v>
      </c>
      <c r="AD61" s="685">
        <f>IF(AC58&lt;&gt;"",AD58/AC58-1,"-")</f>
        <v>6.198133995967936E-2</v>
      </c>
      <c r="AE61" s="685" t="s">
        <v>6442</v>
      </c>
      <c r="AF61" s="686"/>
      <c r="AG61" s="685">
        <f>IF(AD58&lt;&gt;"",AG58/AD58-1,"-")</f>
        <v>0.10833958765617413</v>
      </c>
      <c r="AH61" s="685">
        <f>IF(AG58&lt;&gt;"",AH58/AG58-1,"-")</f>
        <v>-5.3435570603465488E-2</v>
      </c>
      <c r="AI61" s="685">
        <f>IF(AH58&lt;&gt;"",AI58/AH58-1,"-")</f>
        <v>-7.9954552149304692E-2</v>
      </c>
      <c r="AJ61" s="685">
        <f>IF(AI58&lt;&gt;"",AJ58/AI58-1,"-")</f>
        <v>-2.4470007089441026E-3</v>
      </c>
      <c r="AK61" s="685" t="s">
        <v>6442</v>
      </c>
      <c r="AL61" s="686"/>
      <c r="AM61" s="685">
        <f>IF(AJ58&lt;&gt;"",AM58/AJ58-1,"-")</f>
        <v>0.1392251260889501</v>
      </c>
      <c r="AN61" s="685">
        <f>IF(AM58&lt;&gt;"",AN58/AM58-1,"-")</f>
        <v>2.6744209445998424E-2</v>
      </c>
      <c r="AO61" s="685">
        <f>IF(AN58&lt;&gt;"",AO58/AN58-1,"-")</f>
        <v>-0.11240249304221706</v>
      </c>
      <c r="AP61" s="685">
        <f>IF(AO58&lt;&gt;"",AP58/AO58-1,"-")</f>
        <v>-2.2898403515357546E-2</v>
      </c>
      <c r="AQ61" s="685" t="s">
        <v>6442</v>
      </c>
      <c r="AR61" s="686"/>
      <c r="AS61" s="685">
        <f>IF(AP58&lt;&gt;"",AS58/AP58-1,"-")</f>
        <v>0.16562711864406787</v>
      </c>
      <c r="AT61" s="685">
        <f>IF(AS58&lt;&gt;"",AT58/AS58-1,"-")</f>
        <v>-3.7127513135190693E-2</v>
      </c>
      <c r="AU61" s="685">
        <f>IF(AT58&lt;&gt;"",AU58/AT58-1,"-")</f>
        <v>6.7251932989690566E-2</v>
      </c>
      <c r="AV61" s="685">
        <f>IF(AU58&lt;&gt;"",AV58/AU58-1,"-")</f>
        <v>3.9581918345785283E-2</v>
      </c>
      <c r="AW61" s="685" t="s">
        <v>6442</v>
      </c>
      <c r="AX61" s="686"/>
      <c r="AY61" s="685">
        <f>IF(AV58&lt;&gt;"",AY58/AV58-1,"-")</f>
        <v>5.0778556132263786E-2</v>
      </c>
      <c r="AZ61" s="685">
        <f>IF(AY58&lt;&gt;"",AZ58/AY58-1,"-")</f>
        <v>6.9084628670119663E-3</v>
      </c>
      <c r="BA61" s="686">
        <f>IF(AZ58&lt;&gt;"",BA58/AZ58-1,"-")</f>
        <v>2.7444253859348233E-2</v>
      </c>
      <c r="BB61" s="686">
        <f>IF(BA58&lt;&gt;"",BB58/BA58-1,"-")</f>
        <v>5.6761268781302165E-2</v>
      </c>
      <c r="BC61" s="686" t="s">
        <v>6442</v>
      </c>
      <c r="BD61" s="686"/>
      <c r="BE61" s="685">
        <f>IF(BB58&lt;&gt;"",BE58/BB58-1,"-")</f>
        <v>4.2654028436018843E-2</v>
      </c>
      <c r="BF61" s="685">
        <f>IF(BE58&lt;&gt;"",BF58/BE58-1,"-")</f>
        <v>0.10606060606060597</v>
      </c>
      <c r="BG61" s="686">
        <f>IF(BF58&lt;&gt;"",BG58/BF58-1,"-")</f>
        <v>1.3698630136986356E-2</v>
      </c>
      <c r="BH61" s="686">
        <f>IF(BG58&lt;&gt;"",BH58/BG58-1,"-")</f>
        <v>9.1891891891891841E-2</v>
      </c>
      <c r="BI61" s="686" t="s">
        <v>6442</v>
      </c>
      <c r="BJ61" s="686"/>
      <c r="BK61" s="685">
        <f>IF(BH58&lt;&gt;"",BK58/BH58-1,"-")</f>
        <v>0.14480198019801982</v>
      </c>
      <c r="BL61" s="685">
        <f>IF(BK58&lt;&gt;"",BL58/BK58-1,"-")</f>
        <v>-1.6216216216216162E-2</v>
      </c>
      <c r="BM61" s="686">
        <f>IF(BL58&lt;&gt;"",BM58/BL58-1,"-")</f>
        <v>7.4725274725274904E-2</v>
      </c>
      <c r="BN61" s="686">
        <f>IF(BM58&lt;&gt;"",BN58/BM58-1,"-")</f>
        <v>-2.9652351738241323E-2</v>
      </c>
      <c r="BO61" s="1257" t="s">
        <v>6442</v>
      </c>
      <c r="BP61" s="883"/>
      <c r="BQ61" s="686">
        <f>IF(BN58&lt;&gt;"",BQ58/BN58-1,"-")</f>
        <v>0.1127502634351949</v>
      </c>
      <c r="BR61" s="686">
        <f>IF(BQ58&lt;&gt;"",BR58/BQ58-1,"-")</f>
        <v>1.7045454545454586E-2</v>
      </c>
      <c r="BS61" s="686">
        <f>IF(BR58&lt;&gt;"",BS58/BR58-1,"-")</f>
        <v>6.5176908752329066E-3</v>
      </c>
      <c r="BT61" s="686">
        <f>IF(BS58&lt;&gt;"",BT58/BS58-1,"-")</f>
        <v>0.12210915818686385</v>
      </c>
      <c r="BU61" s="1257" t="s">
        <v>6442</v>
      </c>
      <c r="BV61" s="883"/>
      <c r="BW61" s="686">
        <f>IF(BT58&lt;&gt;"",BW58/BT58-1,"-")</f>
        <v>0.11541632316570483</v>
      </c>
      <c r="BX61" s="686">
        <f>IF(BW58&lt;&gt;"",BX58/BW58-1,"-")</f>
        <v>-4.8780487804877981E-2</v>
      </c>
      <c r="BY61" s="686">
        <f>IF(BX58&lt;&gt;"",BY58/BX58-1,"-")</f>
        <v>-1.4763014763014781E-2</v>
      </c>
      <c r="BZ61" s="686">
        <f>IF(BY58&lt;&gt;"",BZ58/BY58-1,"-")</f>
        <v>-2.3659305993690816E-2</v>
      </c>
      <c r="CA61" s="1257" t="s">
        <v>6442</v>
      </c>
      <c r="CB61" s="686"/>
      <c r="CC61" s="686">
        <f>IF(BZ58&lt;&gt;"",CC58/BZ58-1,"-")</f>
        <v>-5.4119547657512035E-2</v>
      </c>
      <c r="CD61" s="686">
        <f>IF(CC58&lt;&gt;"",CD58/CC58-1,"-")</f>
        <v>-0.12211784799316816</v>
      </c>
      <c r="CE61" s="686">
        <f>IF(CD58&lt;&gt;"",CE58/CD58-1,"-")</f>
        <v>-2.9182879377431914E-2</v>
      </c>
      <c r="CF61" s="686">
        <f>IF(CE58&lt;&gt;"",CF58/CE58-1,"-")</f>
        <v>0.10721442885771548</v>
      </c>
      <c r="CG61" s="1257" t="s">
        <v>6442</v>
      </c>
      <c r="CH61" s="686"/>
      <c r="CI61" s="686">
        <f>IF(CF58&lt;&gt;"",CI58/CF58-1,"-")</f>
        <v>7.6018099547511264E-2</v>
      </c>
      <c r="CJ61" s="686">
        <f>IF(CI58&lt;&gt;"",CJ58/CI58-1,"-")</f>
        <v>-5.7190916736753694E-2</v>
      </c>
      <c r="CK61" s="686">
        <f>IF(CJ58&lt;&gt;"",CK58/CJ58-1,"-")</f>
        <v>4.4603033006244353E-2</v>
      </c>
      <c r="CL61" s="686">
        <f>IF(CK58&lt;&gt;"",CL58/CK58-1,"-")</f>
        <v>3.074295473953903E-2</v>
      </c>
      <c r="CM61" s="1257" t="s">
        <v>6442</v>
      </c>
      <c r="CN61" s="686"/>
      <c r="CO61" s="686">
        <f>IF(CL58&lt;&gt;"",CO58/CL58-1,"-")</f>
        <v>5.7995028997514408E-2</v>
      </c>
      <c r="CP61" s="686">
        <f>IF(CO58&lt;&gt;"",CP58/CO58-1,"-")</f>
        <v>1.3312451057165164E-2</v>
      </c>
      <c r="CQ61" s="686">
        <f>IF(CP58&lt;&gt;"",CQ58/CP58-1,"-")</f>
        <v>2.2411128284389514E-2</v>
      </c>
      <c r="CR61" s="686">
        <f>IF(CQ58&lt;&gt;"",CR58/CQ58-1,"-")</f>
        <v>5.0642479213907965E-2</v>
      </c>
      <c r="CS61" s="1257" t="s">
        <v>6442</v>
      </c>
      <c r="CT61" s="686"/>
      <c r="CU61" s="686">
        <f>IF(CR58&lt;&gt;"",CU58/CR58-1,"-")</f>
        <v>1.8705035971223083E-2</v>
      </c>
      <c r="CV61" s="686">
        <f>IF(CU58&lt;&gt;"",CV58/CU58-1,"-")</f>
        <v>-5.0141242937853048E-2</v>
      </c>
      <c r="CW61" s="686">
        <f>IF(CV58&lt;&gt;"",CW58/CV58-1,"-")</f>
        <v>-6.6914498141263934E-2</v>
      </c>
      <c r="CX61" s="686">
        <f>IF(CW58&lt;&gt;"",CX58/CW58-1,"-")</f>
        <v>9.3227091633466319E-2</v>
      </c>
      <c r="CY61" s="1257" t="s">
        <v>6442</v>
      </c>
      <c r="CZ61" s="686"/>
      <c r="DA61" s="686">
        <f>IF(CX58&lt;&gt;"",DA58/CX58-1,"-")</f>
        <v>1.9679300291545188E-2</v>
      </c>
      <c r="DB61" s="686">
        <f>IF(DA58&lt;&gt;"",DB58/DA58-1,"-")</f>
        <v>-8.5775553967119E-3</v>
      </c>
      <c r="DC61" s="686">
        <f>IF(DB58&lt;&gt;"",DC58/DB58-1,"-")</f>
        <v>7.2098053352553926E-4</v>
      </c>
      <c r="DD61" s="686">
        <f>IF(DC58&lt;&gt;"",DD58/DC58-1,"-")</f>
        <v>8.0691642651296691E-2</v>
      </c>
      <c r="DE61" s="1257" t="s">
        <v>6442</v>
      </c>
      <c r="DF61" s="686"/>
      <c r="DG61" s="686">
        <f>IF(DD58&lt;&gt;"",DG58/DD58-1,"-")</f>
        <v>6.4000000000000057E-2</v>
      </c>
      <c r="DH61" s="686">
        <f>IF(DG58&lt;&gt;"",DH58/DG58-1,"-")</f>
        <v>3.7593984962406291E-2</v>
      </c>
      <c r="DI61" s="686">
        <f>IF(DH58&lt;&gt;"",DI58/DH58-1,"-")</f>
        <v>2.1739130434782483E-2</v>
      </c>
      <c r="DJ61" s="686">
        <f>IF(DI58&lt;&gt;"",DJ58/DI58-1,"-")</f>
        <v>3.3096926713948038E-2</v>
      </c>
      <c r="DK61" s="1257" t="s">
        <v>6442</v>
      </c>
      <c r="DL61" s="686"/>
      <c r="DM61" s="686">
        <f>IF(DJ58&lt;&gt;"",DM58/DJ58-1,"-")</f>
        <v>1.2013729977116583E-2</v>
      </c>
      <c r="DN61" s="686">
        <f>IF(DM58&lt;&gt;"",DN58/DM58-1,"-")</f>
        <v>7.9140757490105962E-3</v>
      </c>
      <c r="DO61" s="686">
        <f>IF(DN58&lt;&gt;"",DO58/DN58-1,"-")</f>
        <v>1.1777902411665764E-2</v>
      </c>
      <c r="DP61" s="686">
        <f>IF(DO58&lt;&gt;"",DP58/DO58-1,"-")</f>
        <v>1.9955654101995624E-2</v>
      </c>
      <c r="DQ61" s="1257" t="s">
        <v>6442</v>
      </c>
      <c r="DR61" s="686"/>
      <c r="DS61" s="686">
        <f>IF(DP58&lt;&gt;"",DS58/DP58-1,"-")</f>
        <v>-5.1086956521739113E-2</v>
      </c>
      <c r="DT61" s="686">
        <f>IF(DS58&lt;&gt;"",DT58/DS58-1,"-")</f>
        <v>-1.0309278350515316E-2</v>
      </c>
      <c r="DU61" s="686">
        <f>IF(DT58&lt;&gt;"",DU58/DT58-1,"-")</f>
        <v>-6.3657407407409217E-3</v>
      </c>
      <c r="DV61" s="686">
        <f>IF(DU58&lt;&gt;"",DV58/DU58-1,"-")</f>
        <v>-3.4944670937682054E-2</v>
      </c>
      <c r="DW61" s="1257" t="s">
        <v>6442</v>
      </c>
      <c r="DX61" s="686"/>
      <c r="DY61" s="686">
        <f>IF(DV58&lt;&gt;"",DY58/DV58-1,"-")</f>
        <v>4.8280024140012756E-3</v>
      </c>
      <c r="DZ61" s="686">
        <f>IF(DY58&lt;&gt;"",DZ58/DY58-1,"-")</f>
        <v>4.1441441441441462E-2</v>
      </c>
      <c r="EA61" s="686">
        <f>IF(DZ58&lt;&gt;"",EA58/DZ58-1,"-")</f>
        <v>-9.8039215686274161E-3</v>
      </c>
      <c r="EB61" s="686">
        <f>IF(EA58&lt;&gt;"",EB58/EA58-1,"-")</f>
        <v>-6.2317996505533046E-2</v>
      </c>
      <c r="EC61" s="1257" t="s">
        <v>6442</v>
      </c>
      <c r="ED61" s="686"/>
      <c r="EE61" s="686">
        <f>IF(EB58&lt;&gt;"",EE58/EB58-1,"-")</f>
        <v>8.1454516404435129E-2</v>
      </c>
      <c r="EF61" s="686">
        <f>IF(EE58&lt;&gt;"",EF58/EE58-1,"-")</f>
        <v>9.255463200179781E-3</v>
      </c>
      <c r="EG61" s="686">
        <f>IF(EF58&lt;&gt;"",EG58/EF58-1,"-")</f>
        <v>-1.1643550051974039E-2</v>
      </c>
      <c r="EH61" s="686">
        <f>IF(EG58&lt;&gt;"",EH58/EG58-1,"-")</f>
        <v>-1.2226167817064204E-2</v>
      </c>
      <c r="EI61" s="1257" t="s">
        <v>6442</v>
      </c>
      <c r="EJ61" s="686"/>
      <c r="EK61" s="686">
        <f>IF(EH58&lt;&gt;"",EK58/EH58-1,"-")</f>
        <v>1.7699452018345996E-2</v>
      </c>
      <c r="EL61" s="686">
        <f>IF(EK58&lt;&gt;"",EL58/EK58-1,"-")</f>
        <v>-1.1293983206894675E-2</v>
      </c>
      <c r="EM61" s="686">
        <f>IF(EL58&lt;&gt;"",EM58/EL58-1,"-")</f>
        <v>1.7702572594402888E-2</v>
      </c>
      <c r="EN61" s="686">
        <f>IF(EM58&lt;&gt;"",EN58/EM58-1,"-")</f>
        <v>2.2753728092554493E-2</v>
      </c>
      <c r="EO61" s="1257" t="s">
        <v>6442</v>
      </c>
      <c r="EP61" s="686"/>
      <c r="EQ61" s="686">
        <f>IF(EN58&lt;&gt;"",EQ58/EN58-1,"-")</f>
        <v>3.7985506695789706E-2</v>
      </c>
      <c r="ER61" s="686">
        <f>IF(EQ58&lt;&gt;"",ER58/EQ58-1,"-")</f>
        <v>8.5847786823567418E-4</v>
      </c>
      <c r="ES61" s="686">
        <f>IF(ER58&lt;&gt;"",ES58/ER58-1,"-")</f>
        <v>1.1957701880511706E-3</v>
      </c>
      <c r="ET61" s="686">
        <f>IF(ES58&lt;&gt;"",ET58/ES58-1,"-")</f>
        <v>6.9735408110285224E-3</v>
      </c>
      <c r="EU61" s="1257" t="s">
        <v>6442</v>
      </c>
      <c r="EV61" s="532"/>
    </row>
    <row r="62" spans="1:175" collapsed="1">
      <c r="A62" s="625" t="s">
        <v>5639</v>
      </c>
      <c r="B62" s="593" t="s">
        <v>6686</v>
      </c>
      <c r="C62" s="168">
        <v>18.7</v>
      </c>
      <c r="D62" s="168">
        <v>18.3</v>
      </c>
      <c r="E62" s="168">
        <v>18.5</v>
      </c>
      <c r="F62" s="168">
        <v>18.8</v>
      </c>
      <c r="G62" s="168">
        <v>74.3</v>
      </c>
      <c r="H62" s="168"/>
      <c r="I62" s="168">
        <v>19</v>
      </c>
      <c r="J62" s="168">
        <v>20.6</v>
      </c>
      <c r="K62" s="168">
        <v>21</v>
      </c>
      <c r="L62" s="168">
        <v>22.7</v>
      </c>
      <c r="M62" s="168">
        <v>83.2</v>
      </c>
      <c r="N62" s="168"/>
      <c r="O62" s="168">
        <v>26.971</v>
      </c>
      <c r="P62" s="168">
        <v>27.620999999999999</v>
      </c>
      <c r="Q62" s="168">
        <v>28.288</v>
      </c>
      <c r="R62" s="168">
        <v>29.89</v>
      </c>
      <c r="S62" s="168">
        <f>SUM(O62:R62)</f>
        <v>112.77</v>
      </c>
      <c r="T62" s="168"/>
      <c r="U62" s="168">
        <v>20.635999999999999</v>
      </c>
      <c r="V62" s="168">
        <v>21.344999999999999</v>
      </c>
      <c r="W62" s="168">
        <v>20.38</v>
      </c>
      <c r="X62" s="168">
        <v>21.587</v>
      </c>
      <c r="Y62" s="168">
        <f>SUM(U62:X62)</f>
        <v>83.947999999999993</v>
      </c>
      <c r="Z62" s="168"/>
      <c r="AA62" s="168">
        <v>31.805</v>
      </c>
      <c r="AB62" s="168">
        <v>33.122999999999998</v>
      </c>
      <c r="AC62" s="168">
        <v>32.387</v>
      </c>
      <c r="AD62" s="168">
        <v>35.209000000000003</v>
      </c>
      <c r="AE62" s="168">
        <v>132.524</v>
      </c>
      <c r="AF62" s="168"/>
      <c r="AG62" s="168">
        <v>22.353000000000002</v>
      </c>
      <c r="AH62" s="168">
        <v>20.486000000000001</v>
      </c>
      <c r="AI62" s="168">
        <v>20.263999999999999</v>
      </c>
      <c r="AJ62" s="168">
        <v>21.039000000000001</v>
      </c>
      <c r="AK62" s="168">
        <f>SUM(AG62:AJ62)</f>
        <v>84.141999999999996</v>
      </c>
      <c r="AL62" s="168"/>
      <c r="AM62" s="168">
        <v>20.978999999999999</v>
      </c>
      <c r="AN62" s="168">
        <v>22.439</v>
      </c>
      <c r="AO62" s="168">
        <v>16.280999999999999</v>
      </c>
      <c r="AP62" s="168">
        <v>20.667999999999999</v>
      </c>
      <c r="AQ62" s="168">
        <f>SUM(AM62:AP62)</f>
        <v>80.36699999999999</v>
      </c>
      <c r="AR62" s="168"/>
      <c r="AS62" s="168">
        <v>21.984000000000002</v>
      </c>
      <c r="AT62" s="168">
        <v>22.19</v>
      </c>
      <c r="AU62" s="168">
        <v>20.945</v>
      </c>
      <c r="AV62" s="168">
        <v>26.393000000000001</v>
      </c>
      <c r="AW62" s="168">
        <f>SUM(AS62:AV62)</f>
        <v>91.512</v>
      </c>
      <c r="AX62" s="168"/>
      <c r="AY62" s="341">
        <f>27.2-0.1</f>
        <v>27.099999999999998</v>
      </c>
      <c r="AZ62" s="341">
        <f>23.1-0.2</f>
        <v>22.900000000000002</v>
      </c>
      <c r="BA62" s="341">
        <f>28.6-1.8</f>
        <v>26.8</v>
      </c>
      <c r="BB62" s="341">
        <f>25.7-1.1</f>
        <v>24.599999999999998</v>
      </c>
      <c r="BC62" s="168">
        <f>SUM(AY62:BB62)</f>
        <v>101.39999999999999</v>
      </c>
      <c r="BD62" s="168"/>
      <c r="BE62" s="341">
        <v>27.6</v>
      </c>
      <c r="BF62" s="341">
        <f>32.8-0.2</f>
        <v>32.599999999999994</v>
      </c>
      <c r="BG62" s="341">
        <f>32.6-0.2</f>
        <v>32.4</v>
      </c>
      <c r="BH62" s="341">
        <f>35.4-1-0.4</f>
        <v>34</v>
      </c>
      <c r="BI62" s="168">
        <f>SUM(BE62:BH62)</f>
        <v>126.6</v>
      </c>
      <c r="BJ62" s="168"/>
      <c r="BK62" s="61">
        <f>57-4.2-16.8-2.1</f>
        <v>33.9</v>
      </c>
      <c r="BL62" s="230">
        <f>26.2-2.8+11.8-1.9</f>
        <v>33.300000000000004</v>
      </c>
      <c r="BM62" s="230">
        <f>45.9-5.9-1.9</f>
        <v>38.1</v>
      </c>
      <c r="BN62" s="230">
        <f>42-3.5-2</f>
        <v>36.5</v>
      </c>
      <c r="BO62" s="1125">
        <f>SUM(BK62:BN62)</f>
        <v>141.80000000000001</v>
      </c>
      <c r="BP62" s="61"/>
      <c r="BQ62" s="230">
        <f>47.3-3.2-1.7-1.9</f>
        <v>40.499999999999993</v>
      </c>
      <c r="BR62" s="230">
        <v>39.299999999999997</v>
      </c>
      <c r="BS62" s="230">
        <f>49.1-6.4-2.3</f>
        <v>40.400000000000006</v>
      </c>
      <c r="BT62" s="230">
        <f>49.2-4.7-0.3-3.2</f>
        <v>41</v>
      </c>
      <c r="BU62" s="1125">
        <f>SUM(BQ62:BT62)</f>
        <v>161.19999999999999</v>
      </c>
      <c r="BV62" s="61"/>
      <c r="BW62" s="230">
        <f>53.5-5.3-2.9</f>
        <v>45.300000000000004</v>
      </c>
      <c r="BX62" s="230">
        <f>59.2-4.4-6.4</f>
        <v>48.400000000000006</v>
      </c>
      <c r="BY62" s="230">
        <f>54.1-4.2-7.2</f>
        <v>42.699999999999996</v>
      </c>
      <c r="BZ62" s="230">
        <f>49.3-3.6-6.9</f>
        <v>38.799999999999997</v>
      </c>
      <c r="CA62" s="1125">
        <f>SUM(BW62:BZ62)</f>
        <v>175.2</v>
      </c>
      <c r="CB62" s="168"/>
      <c r="CC62" s="230">
        <f>45.5-5.9-6.4</f>
        <v>33.200000000000003</v>
      </c>
      <c r="CD62" s="230">
        <f>49.5-4-6.7</f>
        <v>38.799999999999997</v>
      </c>
      <c r="CE62" s="230">
        <f>51.1-6.2-6.4</f>
        <v>38.5</v>
      </c>
      <c r="CF62" s="230">
        <f>47.1-6-3.3</f>
        <v>37.800000000000004</v>
      </c>
      <c r="CG62" s="1125">
        <f>SUM(CC62:CF62)</f>
        <v>148.30000000000001</v>
      </c>
      <c r="CH62" s="168"/>
      <c r="CI62" s="230">
        <f>51.7-4.6-6.2</f>
        <v>40.9</v>
      </c>
      <c r="CJ62" s="230">
        <f>45.9-3.9-5.9</f>
        <v>36.1</v>
      </c>
      <c r="CK62" s="230">
        <f>51.1-3.1-5.7</f>
        <v>42.3</v>
      </c>
      <c r="CL62" s="230">
        <f>52.1-3.3-6.2</f>
        <v>42.6</v>
      </c>
      <c r="CM62" s="1125">
        <f>SUM(CI62:CL62)</f>
        <v>161.9</v>
      </c>
      <c r="CN62" s="168"/>
      <c r="CO62" s="230">
        <f>56.6-4.3-6.5</f>
        <v>45.800000000000004</v>
      </c>
      <c r="CP62" s="230">
        <f>55-5.2-9.3</f>
        <v>40.5</v>
      </c>
      <c r="CQ62" s="230">
        <f>51.4-4.1-8.2</f>
        <v>39.099999999999994</v>
      </c>
      <c r="CR62" s="230">
        <f>60.1-4.9-8.3</f>
        <v>46.900000000000006</v>
      </c>
      <c r="CS62" s="1125">
        <f>SUM(CO62:CR62)</f>
        <v>172.3</v>
      </c>
      <c r="CT62" s="168"/>
      <c r="CU62" s="230">
        <f>59.9-6.4-7.8</f>
        <v>45.7</v>
      </c>
      <c r="CV62" s="230">
        <f>58.7-5.8-7.9</f>
        <v>45.000000000000007</v>
      </c>
      <c r="CW62" s="230">
        <f>62.3-5.8-13.8</f>
        <v>42.7</v>
      </c>
      <c r="CX62" s="230">
        <f>67.7-7-12.6</f>
        <v>48.1</v>
      </c>
      <c r="CY62" s="1125">
        <f>SUM(CU62:CX62)</f>
        <v>181.50000000000003</v>
      </c>
      <c r="CZ62" s="168"/>
      <c r="DA62" s="230">
        <f>61.5-7-10.8</f>
        <v>43.7</v>
      </c>
      <c r="DB62" s="230">
        <f>61.6-5.5-9.3</f>
        <v>46.8</v>
      </c>
      <c r="DC62" s="230">
        <f>63.2-5.5-7.4</f>
        <v>50.300000000000004</v>
      </c>
      <c r="DD62" s="230">
        <f>62-5.9-9</f>
        <v>47.1</v>
      </c>
      <c r="DE62" s="1125">
        <f>SUM(DA62:DD62)</f>
        <v>187.9</v>
      </c>
      <c r="DF62" s="168"/>
      <c r="DG62" s="230">
        <f>73.4-7-10.9</f>
        <v>55.500000000000007</v>
      </c>
      <c r="DH62" s="230">
        <f>71.5-6.4</f>
        <v>65.099999999999994</v>
      </c>
      <c r="DI62" s="230">
        <f>78.9-6.7</f>
        <v>72.2</v>
      </c>
      <c r="DJ62" s="230">
        <f>70.4-8.2</f>
        <v>62.2</v>
      </c>
      <c r="DK62" s="1125">
        <f>SUM(DG62:DJ62)</f>
        <v>255</v>
      </c>
      <c r="DL62" s="168"/>
      <c r="DM62" s="230">
        <f>75.9-8</f>
        <v>67.900000000000006</v>
      </c>
      <c r="DN62" s="230">
        <f>70.1-6.2</f>
        <v>63.899999999999991</v>
      </c>
      <c r="DO62" s="230">
        <f>74.2-7.3</f>
        <v>66.900000000000006</v>
      </c>
      <c r="DP62" s="230">
        <f>73.2-8.3</f>
        <v>64.900000000000006</v>
      </c>
      <c r="DQ62" s="1125">
        <f>SUM(DM62:DP62)</f>
        <v>263.60000000000002</v>
      </c>
      <c r="DR62" s="168"/>
      <c r="DS62" s="230">
        <f>75.8-8.9</f>
        <v>66.899999999999991</v>
      </c>
      <c r="DT62" s="230">
        <f>68.6-7.4</f>
        <v>61.199999999999996</v>
      </c>
      <c r="DU62" s="230">
        <f>70.4-8</f>
        <v>62.400000000000006</v>
      </c>
      <c r="DV62" s="230">
        <f>74.1-9.1</f>
        <v>65</v>
      </c>
      <c r="DW62" s="1125">
        <f>SUM(DS62:DV62)</f>
        <v>255.5</v>
      </c>
      <c r="DX62" s="168"/>
      <c r="DY62" s="230">
        <f>78.3-7.5-11</f>
        <v>59.8</v>
      </c>
      <c r="DZ62" s="230">
        <f>78-8.6-10.6</f>
        <v>58.800000000000004</v>
      </c>
      <c r="EA62" s="230">
        <f>68.8-13.4</f>
        <v>55.4</v>
      </c>
      <c r="EB62" s="230">
        <f>80.1-9.4+0.2</f>
        <v>70.899999999999991</v>
      </c>
      <c r="EC62" s="1125">
        <f>SUM(DY62:EB62)</f>
        <v>244.89999999999998</v>
      </c>
      <c r="ED62" s="168"/>
      <c r="EE62" s="230">
        <f>EE$31*EE63</f>
        <v>62.965959327476838</v>
      </c>
      <c r="EF62" s="230">
        <f>EF$31*EF63</f>
        <v>63.723813389479439</v>
      </c>
      <c r="EG62" s="230">
        <f>EG$31*EG63</f>
        <v>61.988603297666565</v>
      </c>
      <c r="EH62" s="230">
        <f>EH$31*EH63</f>
        <v>66.297048991864486</v>
      </c>
      <c r="EI62" s="1125">
        <f>SUM(EE62:EH62)</f>
        <v>254.97542500648734</v>
      </c>
      <c r="EJ62" s="168"/>
      <c r="EK62" s="230">
        <f>EK$31*EK63</f>
        <v>64.311775420372058</v>
      </c>
      <c r="EL62" s="230">
        <f>EL$31*EL63</f>
        <v>63.886133205151367</v>
      </c>
      <c r="EM62" s="230">
        <f>EM$31*EM63</f>
        <v>68.876437530629971</v>
      </c>
      <c r="EN62" s="230">
        <f>EN$31*EN63</f>
        <v>69.843913326780765</v>
      </c>
      <c r="EO62" s="1125">
        <f>SUM(EK62:EN62)</f>
        <v>266.91825948293416</v>
      </c>
      <c r="EP62" s="168"/>
      <c r="EQ62" s="230">
        <f>EQ$31*EQ63</f>
        <v>63.84579191998801</v>
      </c>
      <c r="ER62" s="230">
        <f>ER$31*ER63</f>
        <v>66.831819397178123</v>
      </c>
      <c r="ES62" s="230">
        <f>ES$31*ES63</f>
        <v>65.301218983639842</v>
      </c>
      <c r="ET62" s="230">
        <f>ET$31*ET63</f>
        <v>65.891052678118399</v>
      </c>
      <c r="EU62" s="1125">
        <f>SUM(EQ62:ET62)</f>
        <v>261.86988297892435</v>
      </c>
      <c r="EV62" s="27"/>
      <c r="FD62" s="1803"/>
      <c r="FE62" s="1803"/>
      <c r="FF62" s="1803"/>
      <c r="FG62" s="1803"/>
      <c r="FH62" s="1803"/>
      <c r="FI62" s="1803"/>
      <c r="FJ62" s="1803"/>
      <c r="FK62" s="1803"/>
      <c r="FL62" s="1803"/>
      <c r="FM62" s="1803"/>
      <c r="FN62" s="1803"/>
      <c r="FO62" s="1803"/>
      <c r="FP62" s="1803"/>
      <c r="FQ62" s="1803"/>
      <c r="FR62" s="1803"/>
      <c r="FS62" s="1803"/>
    </row>
    <row r="63" spans="1:175" hidden="1" outlineLevel="1">
      <c r="A63" s="683" t="s">
        <v>716</v>
      </c>
      <c r="B63" s="629"/>
      <c r="C63" s="685">
        <f>C62/C$31</f>
        <v>0.13719735876742478</v>
      </c>
      <c r="D63" s="685">
        <f>D62/D$31</f>
        <v>0.14219114219114221</v>
      </c>
      <c r="E63" s="685">
        <f>E62/E$31</f>
        <v>0.15866209262435679</v>
      </c>
      <c r="F63" s="685">
        <f>F62/F$31</f>
        <v>0.16347826086956521</v>
      </c>
      <c r="G63" s="685">
        <f>G62/G$31</f>
        <v>0.14958727602174351</v>
      </c>
      <c r="H63" s="687"/>
      <c r="I63" s="685">
        <f>I62/I$31</f>
        <v>0.13013698630136986</v>
      </c>
      <c r="J63" s="685">
        <f>J62/J$31</f>
        <v>0.10905240868184225</v>
      </c>
      <c r="K63" s="685">
        <f>K62/K$31</f>
        <v>0.10468594217347957</v>
      </c>
      <c r="L63" s="685">
        <f>L62/L$31</f>
        <v>0.10360565951620265</v>
      </c>
      <c r="M63" s="685">
        <f>M62/M$31</f>
        <v>0.11025708984892658</v>
      </c>
      <c r="N63" s="687"/>
      <c r="O63" s="685">
        <f>O62/O$31</f>
        <v>0.11835511361143047</v>
      </c>
      <c r="P63" s="685">
        <f>P62/P$31</f>
        <v>0.11887874118771143</v>
      </c>
      <c r="Q63" s="685">
        <f>Q62/Q$31</f>
        <v>0.13450940300991418</v>
      </c>
      <c r="R63" s="685">
        <f>R62/R$31</f>
        <v>0.13385639881952002</v>
      </c>
      <c r="S63" s="685">
        <f>S62/S$31</f>
        <v>0.12616464839030153</v>
      </c>
      <c r="T63" s="687"/>
      <c r="U63" s="688">
        <f>U62/U$31</f>
        <v>0.10182521550767044</v>
      </c>
      <c r="V63" s="688">
        <f>V62/V$31</f>
        <v>0.10136193976693164</v>
      </c>
      <c r="W63" s="688">
        <f>W62/W$31</f>
        <v>9.7919099028976941E-2</v>
      </c>
      <c r="X63" s="688">
        <f>X62/X$31</f>
        <v>9.5232423227764623E-2</v>
      </c>
      <c r="Y63" s="688">
        <f>Y62/Y$31</f>
        <v>9.8989329651164831E-2</v>
      </c>
      <c r="Z63" s="687"/>
      <c r="AA63" s="688">
        <f>AA62/AA$31</f>
        <v>0.13752978262467624</v>
      </c>
      <c r="AB63" s="688">
        <f>AB62/AB$31</f>
        <v>0.14225587418023455</v>
      </c>
      <c r="AC63" s="688">
        <f>AC62/AC$31</f>
        <v>0.14131871871959228</v>
      </c>
      <c r="AD63" s="688">
        <f>AD62/AD$31</f>
        <v>0.14486498496175637</v>
      </c>
      <c r="AE63" s="688">
        <f>AE62/AE$31</f>
        <v>0.14153647668969288</v>
      </c>
      <c r="AF63" s="687"/>
      <c r="AG63" s="688">
        <f>AG62/AG$31</f>
        <v>9.0961992349637838E-2</v>
      </c>
      <c r="AH63" s="688">
        <f>AH62/AH$31</f>
        <v>8.8545988934993089E-2</v>
      </c>
      <c r="AI63" s="688">
        <f>AI62/AI$31</f>
        <v>9.3660015622327911E-2</v>
      </c>
      <c r="AJ63" s="688">
        <f>AJ62/AJ$31</f>
        <v>8.2819622570207141E-2</v>
      </c>
      <c r="AK63" s="688">
        <f>AK62/AK$31</f>
        <v>8.8805065166845915E-2</v>
      </c>
      <c r="AL63" s="687"/>
      <c r="AM63" s="688">
        <f>AM62/AM$31</f>
        <v>9.1480724031622968E-2</v>
      </c>
      <c r="AN63" s="688">
        <f>AN62/AN$31</f>
        <v>0.10614424718899153</v>
      </c>
      <c r="AO63" s="688">
        <f>AO62/AO$31</f>
        <v>8.6279351990715472E-2</v>
      </c>
      <c r="AP63" s="688">
        <f>AP62/AP$31</f>
        <v>0.10571001861740215</v>
      </c>
      <c r="AQ63" s="688">
        <f>AQ62/AQ$31</f>
        <v>9.7421040190558153E-2</v>
      </c>
      <c r="AR63" s="687"/>
      <c r="AS63" s="688">
        <f>AS62/AS$31</f>
        <v>0.10430524847461167</v>
      </c>
      <c r="AT63" s="688">
        <f>AT62/AT$31</f>
        <v>0.10481566330507075</v>
      </c>
      <c r="AU63" s="688">
        <f>AU62/AU$31</f>
        <v>8.9561365249591643E-2</v>
      </c>
      <c r="AV63" s="688">
        <f>AV62/AV$31</f>
        <v>8.93738782973824E-2</v>
      </c>
      <c r="AW63" s="688">
        <f>AW62/AW$31</f>
        <v>9.6162111211872514E-2</v>
      </c>
      <c r="AX63" s="687"/>
      <c r="AY63" s="688">
        <f>AY62/AY$31</f>
        <v>9.0605148779672337E-2</v>
      </c>
      <c r="AZ63" s="688">
        <f>AZ62/AZ$31</f>
        <v>8.1552706552706564E-2</v>
      </c>
      <c r="BA63" s="688">
        <f>BA62/BA$31</f>
        <v>8.8918380889183801E-2</v>
      </c>
      <c r="BB63" s="688">
        <f>BB62/BB$31</f>
        <v>6.879194630872483E-2</v>
      </c>
      <c r="BC63" s="688">
        <f>BC62/BC$31</f>
        <v>8.1846799580272814E-2</v>
      </c>
      <c r="BD63" s="687"/>
      <c r="BE63" s="688">
        <f>BE62/BE$31</f>
        <v>7.6858813700918974E-2</v>
      </c>
      <c r="BF63" s="688">
        <f>BF62/BF$31</f>
        <v>8.6518046709129506E-2</v>
      </c>
      <c r="BG63" s="688">
        <f>BG62/BG$31</f>
        <v>8.4927916120576666E-2</v>
      </c>
      <c r="BH63" s="688">
        <f>BH62/BH$31</f>
        <v>8.0990948070509758E-2</v>
      </c>
      <c r="BI63" s="688">
        <f>BI62/BI$31</f>
        <v>8.2357533177205317E-2</v>
      </c>
      <c r="BJ63" s="687"/>
      <c r="BK63" s="688">
        <f>BK62/BK$31</f>
        <v>7.7752293577981649E-2</v>
      </c>
      <c r="BL63" s="688">
        <f>BL62/BL$31</f>
        <v>7.4065836298932389E-2</v>
      </c>
      <c r="BM63" s="688">
        <f>BM62/BM$31</f>
        <v>8.3406304728546404E-2</v>
      </c>
      <c r="BN63" s="688">
        <f>BN62/BN$31</f>
        <v>7.3381584238037798E-2</v>
      </c>
      <c r="BO63" s="1259">
        <f>BO62/BO$31</f>
        <v>7.7073594955973476E-2</v>
      </c>
      <c r="BP63" s="884"/>
      <c r="BQ63" s="916">
        <f>BQ62/BQ$31</f>
        <v>7.9630357845064864E-2</v>
      </c>
      <c r="BR63" s="916">
        <f>BR62/BR$31</f>
        <v>7.4729035938391308E-2</v>
      </c>
      <c r="BS63" s="916">
        <f>BS62/BS$31</f>
        <v>7.5037147102526014E-2</v>
      </c>
      <c r="BT63" s="916">
        <f>BT62/BT$31</f>
        <v>6.8435987314304794E-2</v>
      </c>
      <c r="BU63" s="1294">
        <f>BU62/BU$31</f>
        <v>7.4217311233885808E-2</v>
      </c>
      <c r="BV63" s="883"/>
      <c r="BW63" s="916">
        <f>BW62/BW$31</f>
        <v>7.5651302605210427E-2</v>
      </c>
      <c r="BX63" s="916">
        <f>BX62/BX$31</f>
        <v>7.8127522195318821E-2</v>
      </c>
      <c r="BY63" s="916">
        <f>BY62/BY$31</f>
        <v>7.033437654422664E-2</v>
      </c>
      <c r="BZ63" s="916">
        <f>BZ62/BZ$31</f>
        <v>7.9216006533278885E-2</v>
      </c>
      <c r="CA63" s="1294">
        <f>CA62/CA$31</f>
        <v>7.5673807878369026E-2</v>
      </c>
      <c r="CB63" s="686"/>
      <c r="CC63" s="916">
        <f>CC62/CC$31</f>
        <v>7.7970878346641626E-2</v>
      </c>
      <c r="CD63" s="916">
        <f>CD62/CD$31</f>
        <v>9.3516510002410222E-2</v>
      </c>
      <c r="CE63" s="916">
        <f>CE62/CE$31</f>
        <v>9.2348284960422175E-2</v>
      </c>
      <c r="CF63" s="916">
        <f>CF62/CF$31</f>
        <v>8.2876562157421618E-2</v>
      </c>
      <c r="CG63" s="1294">
        <f>CG62/CG$31</f>
        <v>8.6537900449320207E-2</v>
      </c>
      <c r="CH63" s="686"/>
      <c r="CI63" s="916">
        <f>CI62/CI$31</f>
        <v>8.6177833965444581E-2</v>
      </c>
      <c r="CJ63" s="916">
        <f>CJ62/CJ$31</f>
        <v>7.6353637901861268E-2</v>
      </c>
      <c r="CK63" s="916">
        <f>CK62/CK$31</f>
        <v>8.8735053492762742E-2</v>
      </c>
      <c r="CL63" s="916">
        <f>CL62/CL$31</f>
        <v>8.0727686185332576E-2</v>
      </c>
      <c r="CM63" s="1294">
        <f>CM62/CM$31</f>
        <v>8.2949072650886371E-2</v>
      </c>
      <c r="CN63" s="686"/>
      <c r="CO63" s="916">
        <f>CO62/CO$31</f>
        <v>8.6693166761309878E-2</v>
      </c>
      <c r="CP63" s="916">
        <f>CP62/CP$31</f>
        <v>7.4135090609555199E-2</v>
      </c>
      <c r="CQ63" s="916">
        <f>CQ62/CQ$31</f>
        <v>7.1272329566168427E-2</v>
      </c>
      <c r="CR63" s="916">
        <f>CR62/CR$31</f>
        <v>7.9169480081026353E-2</v>
      </c>
      <c r="CS63" s="1294">
        <f>CS62/CS$31</f>
        <v>7.7766744899801413E-2</v>
      </c>
      <c r="CT63" s="686"/>
      <c r="CU63" s="916">
        <f>CU62/CU$31</f>
        <v>7.7641862045531779E-2</v>
      </c>
      <c r="CV63" s="916">
        <f>CV62/CV$31</f>
        <v>7.9086115992970135E-2</v>
      </c>
      <c r="CW63" s="916">
        <f>CW62/CW$31</f>
        <v>7.791970802919708E-2</v>
      </c>
      <c r="CX63" s="916">
        <f>CX62/CX$31</f>
        <v>7.9242174629324549E-2</v>
      </c>
      <c r="CY63" s="1294">
        <f>CY62/CY$31</f>
        <v>7.8483092623021722E-2</v>
      </c>
      <c r="CZ63" s="686"/>
      <c r="DA63" s="916">
        <f>DA62/DA$31</f>
        <v>7.6612903225806453E-2</v>
      </c>
      <c r="DB63" s="916">
        <f>DB62/DB$31</f>
        <v>8.331849741855081E-2</v>
      </c>
      <c r="DC63" s="916">
        <f>DC62/DC$31</f>
        <v>9.0597982708933725E-2</v>
      </c>
      <c r="DD63" s="916">
        <f>DD62/DD$31</f>
        <v>8.0293215138083893E-2</v>
      </c>
      <c r="DE63" s="1294">
        <f>DE62/DE$31</f>
        <v>8.2633361185628237E-2</v>
      </c>
      <c r="DF63" s="686"/>
      <c r="DG63" s="916">
        <f>DG62/DG$31</f>
        <v>9.3670886075949381E-2</v>
      </c>
      <c r="DH63" s="916">
        <f>DH62/DH$31</f>
        <v>0.10218176110500707</v>
      </c>
      <c r="DI63" s="916">
        <f>DI62/DI$31</f>
        <v>0.11682847896440129</v>
      </c>
      <c r="DJ63" s="916">
        <f>DJ62/DJ$31</f>
        <v>9.3590129401143543E-2</v>
      </c>
      <c r="DK63" s="1294">
        <f>DK62/DK$31</f>
        <v>0.10150465727251015</v>
      </c>
      <c r="DL63" s="686"/>
      <c r="DM63" s="916">
        <f>DM62/DM$31</f>
        <v>0.10502706883217325</v>
      </c>
      <c r="DN63" s="916">
        <f>DN62/DN$31</f>
        <v>0.10484003281378178</v>
      </c>
      <c r="DO63" s="916">
        <f>DO62/DO$31</f>
        <v>0.11153717905968658</v>
      </c>
      <c r="DP63" s="916">
        <f>DP62/DP$31</f>
        <v>0.10010797470306958</v>
      </c>
      <c r="DQ63" s="1294">
        <f>DQ62/DQ$31</f>
        <v>0.10526736152709558</v>
      </c>
      <c r="DR63" s="686"/>
      <c r="DS63" s="916">
        <f>DS62/DS$31</f>
        <v>0.13068958781011916</v>
      </c>
      <c r="DT63" s="916">
        <f>DT62/DT$31</f>
        <v>0.11113128745233337</v>
      </c>
      <c r="DU63" s="916">
        <f>DU62/DU$31</f>
        <v>0.12745098039215688</v>
      </c>
      <c r="DV63" s="916">
        <f>DV62/DV$31</f>
        <v>0.13575605680868838</v>
      </c>
      <c r="DW63" s="1294">
        <f>DW62/DW$31</f>
        <v>0.12580009847365831</v>
      </c>
      <c r="DX63" s="686"/>
      <c r="DY63" s="916">
        <f>DY62/DY$31</f>
        <v>0.12312126827259624</v>
      </c>
      <c r="DZ63" s="916">
        <f>DZ62/DZ$31</f>
        <v>0.11717815862893585</v>
      </c>
      <c r="EA63" s="916">
        <f>EA62/EA$31</f>
        <v>0.10751018823986028</v>
      </c>
      <c r="EB63" s="916">
        <f>EB62/EB$31</f>
        <v>0.12802455760202239</v>
      </c>
      <c r="EC63" s="1294">
        <f>EC62/EC$31</f>
        <v>0.11908003500923854</v>
      </c>
      <c r="ED63" s="2217"/>
      <c r="EE63" s="917">
        <f>DY63-0.01</f>
        <v>0.11312126827259625</v>
      </c>
      <c r="EF63" s="917">
        <f>DZ63-0.01</f>
        <v>0.10717815862893586</v>
      </c>
      <c r="EG63" s="917">
        <f>EA63-0.01</f>
        <v>9.7510188239860282E-2</v>
      </c>
      <c r="EH63" s="917">
        <f>EB63-0.035</f>
        <v>9.3024557602022384E-2</v>
      </c>
      <c r="EI63" s="1294">
        <f>EI62/EI$31</f>
        <v>0.10200728095399117</v>
      </c>
      <c r="EJ63" s="686"/>
      <c r="EK63" s="917">
        <f>EE63-0.02</f>
        <v>9.3121268272596244E-2</v>
      </c>
      <c r="EL63" s="917">
        <f>EF63-0.02</f>
        <v>8.7178158628935853E-2</v>
      </c>
      <c r="EM63" s="917">
        <f>EG63-0.01</f>
        <v>8.7510188239860287E-2</v>
      </c>
      <c r="EN63" s="917">
        <f>EH63-0.015</f>
        <v>7.8024557602022385E-2</v>
      </c>
      <c r="EO63" s="1294">
        <f>EO62/EO$31</f>
        <v>8.5945544411323002E-2</v>
      </c>
      <c r="EP63" s="686"/>
      <c r="EQ63" s="917">
        <f>EK63-0.01</f>
        <v>8.3121268272596249E-2</v>
      </c>
      <c r="ER63" s="917">
        <f t="shared" ref="ER63" si="21">EL63-0.01</f>
        <v>7.7178158628935858E-2</v>
      </c>
      <c r="ES63" s="917">
        <f>EM63-0.02</f>
        <v>6.7510188239860283E-2</v>
      </c>
      <c r="ET63" s="917">
        <f>EN63-0.02</f>
        <v>5.8024557602022381E-2</v>
      </c>
      <c r="EU63" s="1294">
        <f>EU62/EU$31</f>
        <v>7.007681558877428E-2</v>
      </c>
      <c r="EV63" s="532"/>
    </row>
    <row r="64" spans="1:175" hidden="1" outlineLevel="1">
      <c r="A64" s="683" t="s">
        <v>4583</v>
      </c>
      <c r="B64" s="629"/>
      <c r="C64" s="685"/>
      <c r="D64" s="685"/>
      <c r="E64" s="685"/>
      <c r="F64" s="685"/>
      <c r="G64" s="685"/>
      <c r="H64" s="687"/>
      <c r="I64" s="685">
        <f>IF(C62&lt;&gt;"",I62/C62-1,"-")</f>
        <v>1.6042780748663166E-2</v>
      </c>
      <c r="J64" s="685">
        <f>IF(D62&lt;&gt;"",J62/D62-1,"-")</f>
        <v>0.12568306010928976</v>
      </c>
      <c r="K64" s="685">
        <f>IF(E62&lt;&gt;"",K62/E62-1,"-")</f>
        <v>0.13513513513513509</v>
      </c>
      <c r="L64" s="685">
        <f>IF(F62&lt;&gt;"",L62/F62-1,"-")</f>
        <v>0.20744680851063824</v>
      </c>
      <c r="M64" s="685">
        <f>IF(G62&lt;&gt;"",M62/G62-1,"-")</f>
        <v>0.11978465679676997</v>
      </c>
      <c r="N64" s="687"/>
      <c r="O64" s="685">
        <f>IF(I62&lt;&gt;"",O62/I62-1,"-")</f>
        <v>0.41952631578947375</v>
      </c>
      <c r="P64" s="685">
        <f>IF(J62&lt;&gt;"",P62/J62-1,"-")</f>
        <v>0.34082524271844639</v>
      </c>
      <c r="Q64" s="685">
        <f>IF(K62&lt;&gt;"",Q62/K62-1,"-")</f>
        <v>0.34704761904761905</v>
      </c>
      <c r="R64" s="685">
        <f>IF(L62&lt;&gt;"",R62/L62-1,"-")</f>
        <v>0.31674008810572696</v>
      </c>
      <c r="S64" s="685">
        <f>IF(M62&lt;&gt;"",S62/M62-1,"-")</f>
        <v>0.35540865384615383</v>
      </c>
      <c r="T64" s="687"/>
      <c r="U64" s="685">
        <f>IF(O62&lt;&gt;"",U62/O62-1,"-")</f>
        <v>-0.23488191019984428</v>
      </c>
      <c r="V64" s="685">
        <f>IF(P62&lt;&gt;"",V62/P62-1,"-")</f>
        <v>-0.22721842076680787</v>
      </c>
      <c r="W64" s="685">
        <f>IF(Q62&lt;&gt;"",W62/Q62-1,"-")</f>
        <v>-0.27955316742081449</v>
      </c>
      <c r="X64" s="685">
        <f>IF(R62&lt;&gt;"",X62/R62-1,"-")</f>
        <v>-0.27778521244563403</v>
      </c>
      <c r="Y64" s="685">
        <f>IF(S62&lt;&gt;"",Y62/S62-1,"-")</f>
        <v>-0.2555821583754545</v>
      </c>
      <c r="Z64" s="686"/>
      <c r="AA64" s="685">
        <f>IF(U62&lt;&gt;"",AA62/U62-1,"-")</f>
        <v>0.5412386121341346</v>
      </c>
      <c r="AB64" s="685">
        <f>IF(V62&lt;&gt;"",AB62/V62-1,"-")</f>
        <v>0.55179198875614888</v>
      </c>
      <c r="AC64" s="685">
        <f>IF(W62&lt;&gt;"",AC62/W62-1,"-")</f>
        <v>0.58915603532875371</v>
      </c>
      <c r="AD64" s="685">
        <f>IF(X62&lt;&gt;"",AD62/X62-1,"-")</f>
        <v>0.63102793347848252</v>
      </c>
      <c r="AE64" s="685">
        <f>IF(Y62&lt;&gt;"",AE62/Y62-1,"-")</f>
        <v>0.57864392242816987</v>
      </c>
      <c r="AF64" s="686"/>
      <c r="AG64" s="685">
        <f>IF(AA62&lt;&gt;"",AG62/AA62-1,"-")</f>
        <v>-0.29718597704763394</v>
      </c>
      <c r="AH64" s="685">
        <f>IF(AB62&lt;&gt;"",AH62/AB62-1,"-")</f>
        <v>-0.38151737463394009</v>
      </c>
      <c r="AI64" s="685">
        <f>IF(AC62&lt;&gt;"",AI62/AC62-1,"-")</f>
        <v>-0.37431685552845284</v>
      </c>
      <c r="AJ64" s="685">
        <f>IF(AD62&lt;&gt;"",AJ62/AD62-1,"-")</f>
        <v>-0.40245391803232133</v>
      </c>
      <c r="AK64" s="685">
        <f>IF(AE62&lt;&gt;"",AK62/AE62-1,"-")</f>
        <v>-0.36508104192448165</v>
      </c>
      <c r="AL64" s="686"/>
      <c r="AM64" s="685">
        <f>IF(AG62&lt;&gt;"",AM62/AG62-1,"-")</f>
        <v>-6.1468259294054639E-2</v>
      </c>
      <c r="AN64" s="685">
        <f>IF(AH62&lt;&gt;"",AN62/AH62-1,"-")</f>
        <v>9.5333398418432136E-2</v>
      </c>
      <c r="AO64" s="685">
        <f>IF(AI62&lt;&gt;"",AO62/AI62-1,"-")</f>
        <v>-0.19655546782471378</v>
      </c>
      <c r="AP64" s="685">
        <f>IF(AJ62&lt;&gt;"",AP62/AJ62-1,"-")</f>
        <v>-1.7633917961880408E-2</v>
      </c>
      <c r="AQ64" s="685">
        <f>IF(AK62&lt;&gt;"",AQ62/AK62-1,"-")</f>
        <v>-4.4864633595588455E-2</v>
      </c>
      <c r="AR64" s="686"/>
      <c r="AS64" s="685">
        <f>IF(AM62&lt;&gt;"",AS62/AM62-1,"-")</f>
        <v>4.7905047905048015E-2</v>
      </c>
      <c r="AT64" s="685">
        <f>IF(AN62&lt;&gt;"",AT62/AN62-1,"-")</f>
        <v>-1.1096751192120835E-2</v>
      </c>
      <c r="AU64" s="685">
        <f>IF(AO62&lt;&gt;"",AU62/AO62-1,"-")</f>
        <v>0.28646889011731469</v>
      </c>
      <c r="AV64" s="685">
        <f>IF(AP62&lt;&gt;"",AV62/AP62-1,"-")</f>
        <v>0.27699825817689194</v>
      </c>
      <c r="AW64" s="685">
        <f>IF(AQ62&lt;&gt;"",AW62/AQ62-1,"-")</f>
        <v>0.13867632237112271</v>
      </c>
      <c r="AX64" s="686"/>
      <c r="AY64" s="685">
        <f>IF(AS62&lt;&gt;"",AY62/AS62-1,"-")</f>
        <v>0.23271470160116436</v>
      </c>
      <c r="AZ64" s="685">
        <f>IF(AT62&lt;&gt;"",AZ62/AT62-1,"-")</f>
        <v>3.199639477242E-2</v>
      </c>
      <c r="BA64" s="686">
        <f>IF(AU62&lt;&gt;"",BA62/AU62-1,"-")</f>
        <v>0.27954165671998088</v>
      </c>
      <c r="BB64" s="686">
        <f>IF(AV62&lt;&gt;"",BB62/AV62-1,"-")</f>
        <v>-6.7934679649907292E-2</v>
      </c>
      <c r="BC64" s="686">
        <f>IF(AW62&lt;&gt;"",BC62/AW62-1,"-")</f>
        <v>0.10805140309467598</v>
      </c>
      <c r="BD64" s="686"/>
      <c r="BE64" s="685">
        <f>IF(AY62&lt;&gt;"",BE62/AY62-1,"-")</f>
        <v>1.8450184501845213E-2</v>
      </c>
      <c r="BF64" s="685">
        <f>IF(AZ62&lt;&gt;"",BF62/AZ62-1,"-")</f>
        <v>0.42358078602620042</v>
      </c>
      <c r="BG64" s="686">
        <f>IF(BA62&lt;&gt;"",BG62/BA62-1,"-")</f>
        <v>0.20895522388059695</v>
      </c>
      <c r="BH64" s="686">
        <f>IF(BB62&lt;&gt;"",BH62/BB62-1,"-")</f>
        <v>0.38211382113821157</v>
      </c>
      <c r="BI64" s="686">
        <f>IF(BC62&lt;&gt;"",BI62/BC62-1,"-")</f>
        <v>0.24852071005917176</v>
      </c>
      <c r="BJ64" s="686"/>
      <c r="BK64" s="685">
        <f>IF(BE62&lt;&gt;"",BK62/BE62-1,"-")</f>
        <v>0.22826086956521729</v>
      </c>
      <c r="BL64" s="685">
        <f>IF(BF62&lt;&gt;"",BL62/BF62-1,"-")</f>
        <v>2.147239263803713E-2</v>
      </c>
      <c r="BM64" s="686">
        <f>IF(BG62&lt;&gt;"",BM62/BG62-1,"-")</f>
        <v>0.17592592592592604</v>
      </c>
      <c r="BN64" s="686">
        <f>IF(BH62&lt;&gt;"",BN62/BH62-1,"-")</f>
        <v>7.3529411764705843E-2</v>
      </c>
      <c r="BO64" s="1257">
        <f>IF(BI62&lt;&gt;"",BO62/BI62-1,"-")</f>
        <v>0.1200631911532386</v>
      </c>
      <c r="BP64" s="883"/>
      <c r="BQ64" s="686">
        <f>IF(BK62&lt;&gt;"",BQ62/BK62-1,"-")</f>
        <v>0.19469026548672552</v>
      </c>
      <c r="BR64" s="686">
        <f>IF(BL62&lt;&gt;"",BR62/BL62-1,"-")</f>
        <v>0.18018018018017989</v>
      </c>
      <c r="BS64" s="686">
        <f>IF(BM62&lt;&gt;"",BS62/BM62-1,"-")</f>
        <v>6.0367454068241511E-2</v>
      </c>
      <c r="BT64" s="686">
        <f>IF(BN62&lt;&gt;"",BT62/BN62-1,"-")</f>
        <v>0.12328767123287676</v>
      </c>
      <c r="BU64" s="1257">
        <f>IF(BO62&lt;&gt;"",BU62/BO62-1,"-")</f>
        <v>0.13681241184767257</v>
      </c>
      <c r="BV64" s="883"/>
      <c r="BW64" s="686">
        <f>IF(BQ62&lt;&gt;"",BW62/BQ62-1,"-")</f>
        <v>0.11851851851851891</v>
      </c>
      <c r="BX64" s="686">
        <f>IF(BR62&lt;&gt;"",BX62/BR62-1,"-")</f>
        <v>0.2315521628498729</v>
      </c>
      <c r="BY64" s="686">
        <f>IF(BS62&lt;&gt;"",BY62/BS62-1,"-")</f>
        <v>5.6930693069306759E-2</v>
      </c>
      <c r="BZ64" s="686">
        <f>IF(BT62&lt;&gt;"",BZ62/BT62-1,"-")</f>
        <v>-5.3658536585365901E-2</v>
      </c>
      <c r="CA64" s="1257">
        <f>IF(BU62&lt;&gt;"",CA62/BU62-1,"-")</f>
        <v>8.6848635235732052E-2</v>
      </c>
      <c r="CB64" s="686"/>
      <c r="CC64" s="686">
        <f>IF(BW62&lt;&gt;"",CC62/BW62-1,"-")</f>
        <v>-0.26710816777041946</v>
      </c>
      <c r="CD64" s="686">
        <f>IF(BX62&lt;&gt;"",CD62/BX62-1,"-")</f>
        <v>-0.19834710743801665</v>
      </c>
      <c r="CE64" s="686">
        <f>IF(BY62&lt;&gt;"",CE62/BY62-1,"-")</f>
        <v>-9.8360655737704805E-2</v>
      </c>
      <c r="CF64" s="686">
        <f>IF(BZ62&lt;&gt;"",CF62/BZ62-1,"-")</f>
        <v>-2.5773195876288457E-2</v>
      </c>
      <c r="CG64" s="1257">
        <f>IF(CA62&lt;&gt;"",CG62/CA62-1,"-")</f>
        <v>-0.15353881278538806</v>
      </c>
      <c r="CH64" s="686"/>
      <c r="CI64" s="686">
        <f>IF(CC62&lt;&gt;"",CI62/CC62-1,"-")</f>
        <v>0.23192771084337327</v>
      </c>
      <c r="CJ64" s="686">
        <f>IF(CD62&lt;&gt;"",CJ62/CD62-1,"-")</f>
        <v>-6.9587628865979245E-2</v>
      </c>
      <c r="CK64" s="686">
        <f>IF(CE62&lt;&gt;"",CK62/CE62-1,"-")</f>
        <v>9.8701298701298734E-2</v>
      </c>
      <c r="CL64" s="686">
        <f>IF(CF62&lt;&gt;"",CL62/CF62-1,"-")</f>
        <v>0.12698412698412698</v>
      </c>
      <c r="CM64" s="1257">
        <f>IF(CG62&lt;&gt;"",CM62/CG62-1,"-")</f>
        <v>9.1706001348617727E-2</v>
      </c>
      <c r="CN64" s="686"/>
      <c r="CO64" s="686">
        <f>IF(CI62&lt;&gt;"",CO62/CI62-1,"-")</f>
        <v>0.11980440097799527</v>
      </c>
      <c r="CP64" s="686">
        <f>IF(CJ62&lt;&gt;"",CP62/CJ62-1,"-")</f>
        <v>0.12188365650969524</v>
      </c>
      <c r="CQ64" s="686">
        <f>IF(CK62&lt;&gt;"",CQ62/CK62-1,"-")</f>
        <v>-7.5650118203309802E-2</v>
      </c>
      <c r="CR64" s="686">
        <f>IF(CL62&lt;&gt;"",CR62/CL62-1,"-")</f>
        <v>0.10093896713615025</v>
      </c>
      <c r="CS64" s="1257">
        <f>IF(CM62&lt;&gt;"",CS62/CM62-1,"-")</f>
        <v>6.4237183446572033E-2</v>
      </c>
      <c r="CT64" s="686"/>
      <c r="CU64" s="686">
        <f>IF(CO62&lt;&gt;"",CU62/CO62-1,"-")</f>
        <v>-2.1834061135371785E-3</v>
      </c>
      <c r="CV64" s="686">
        <f>IF(CP62&lt;&gt;"",CV62/CP62-1,"-")</f>
        <v>0.11111111111111138</v>
      </c>
      <c r="CW64" s="686">
        <f>IF(CQ62&lt;&gt;"",CW62/CQ62-1,"-")</f>
        <v>9.2071611253197183E-2</v>
      </c>
      <c r="CX64" s="686">
        <f>IF(CR62&lt;&gt;"",CX62/CR62-1,"-")</f>
        <v>2.5586353944562878E-2</v>
      </c>
      <c r="CY64" s="1257">
        <f>IF(CS62&lt;&gt;"",CY62/CS62-1,"-")</f>
        <v>5.3395240858967075E-2</v>
      </c>
      <c r="CZ64" s="686"/>
      <c r="DA64" s="686">
        <f>IF(CU62&lt;&gt;"",DA62/CU62-1,"-")</f>
        <v>-4.3763676148796504E-2</v>
      </c>
      <c r="DB64" s="686">
        <f>IF(CV62&lt;&gt;"",DB62/CV62-1,"-")</f>
        <v>3.9999999999999813E-2</v>
      </c>
      <c r="DC64" s="686">
        <f>IF(CW62&lt;&gt;"",DC62/CW62-1,"-")</f>
        <v>0.17798594847775173</v>
      </c>
      <c r="DD64" s="686">
        <f>IF(CX62&lt;&gt;"",DD62/CX62-1,"-")</f>
        <v>-2.0790020790020791E-2</v>
      </c>
      <c r="DE64" s="1257">
        <f>IF(CY62&lt;&gt;"",DE62/CY62-1,"-")</f>
        <v>3.526170798898054E-2</v>
      </c>
      <c r="DF64" s="686"/>
      <c r="DG64" s="686">
        <f>IF(DA62&lt;&gt;"",DG62/DA62-1,"-")</f>
        <v>0.27002288329519453</v>
      </c>
      <c r="DH64" s="686">
        <f>IF(DB62&lt;&gt;"",DH62/DB62-1,"-")</f>
        <v>0.39102564102564097</v>
      </c>
      <c r="DI64" s="686">
        <f>IF(DC62&lt;&gt;"",DI62/DC62-1,"-")</f>
        <v>0.43538767395626232</v>
      </c>
      <c r="DJ64" s="686">
        <f>IF(DD62&lt;&gt;"",DJ62/DD62-1,"-")</f>
        <v>0.32059447983014855</v>
      </c>
      <c r="DK64" s="1257">
        <f>IF(DE62&lt;&gt;"",DK62/DE62-1,"-")</f>
        <v>0.35710484300159662</v>
      </c>
      <c r="DL64" s="686"/>
      <c r="DM64" s="686">
        <f>IF(DG62&lt;&gt;"",DM62/DG62-1,"-")</f>
        <v>0.22342342342342336</v>
      </c>
      <c r="DN64" s="686">
        <f>IF(DH62&lt;&gt;"",DN62/DH62-1,"-")</f>
        <v>-1.8433179723502335E-2</v>
      </c>
      <c r="DO64" s="686">
        <f>IF(DI62&lt;&gt;"",DO62/DI62-1,"-")</f>
        <v>-7.3407202216066447E-2</v>
      </c>
      <c r="DP64" s="686">
        <f>IF(DJ62&lt;&gt;"",DP62/DJ62-1,"-")</f>
        <v>4.3408360128617485E-2</v>
      </c>
      <c r="DQ64" s="1257">
        <f>IF(DK62&lt;&gt;"",DQ62/DK62-1,"-")</f>
        <v>3.3725490196078622E-2</v>
      </c>
      <c r="DR64" s="686"/>
      <c r="DS64" s="686">
        <f>IF(DM62&lt;&gt;"",DS62/DM62-1,"-")</f>
        <v>-1.4727540500736547E-2</v>
      </c>
      <c r="DT64" s="686">
        <f>IF(DN62&lt;&gt;"",DT62/DN62-1,"-")</f>
        <v>-4.2253521126760507E-2</v>
      </c>
      <c r="DU64" s="686">
        <f>IF(DO62&lt;&gt;"",DU62/DO62-1,"-")</f>
        <v>-6.7264573991031362E-2</v>
      </c>
      <c r="DV64" s="686">
        <f>IF(DP62&lt;&gt;"",DV62/DP62-1,"-")</f>
        <v>1.5408320493064398E-3</v>
      </c>
      <c r="DW64" s="1257">
        <f>IF(DQ62&lt;&gt;"",DW62/DQ62-1,"-")</f>
        <v>-3.072837632776948E-2</v>
      </c>
      <c r="DX64" s="686"/>
      <c r="DY64" s="686">
        <f>IF(DS62&lt;&gt;"",DY62/DS62-1,"-")</f>
        <v>-0.10612855007473831</v>
      </c>
      <c r="DZ64" s="686">
        <f>IF(DT62&lt;&gt;"",DZ62/DT62-1,"-")</f>
        <v>-3.9215686274509665E-2</v>
      </c>
      <c r="EA64" s="686">
        <f>IF(DU62&lt;&gt;"",EA62/DU62-1,"-")</f>
        <v>-0.11217948717948734</v>
      </c>
      <c r="EB64" s="686">
        <f>IF(DV62&lt;&gt;"",EB62/DV62-1,"-")</f>
        <v>9.0769230769230713E-2</v>
      </c>
      <c r="EC64" s="1257">
        <f>IF(DW62&lt;&gt;"",EC62/DW62-1,"-")</f>
        <v>-4.1487279843444358E-2</v>
      </c>
      <c r="ED64" s="686"/>
      <c r="EE64" s="686">
        <f>IF(DY62&lt;&gt;"",EE62/DY62-1,"-")</f>
        <v>5.2942463670181183E-2</v>
      </c>
      <c r="EF64" s="686">
        <f>IF(DZ62&lt;&gt;"",EF62/DZ62-1,"-")</f>
        <v>8.3738322950330568E-2</v>
      </c>
      <c r="EG64" s="686">
        <f>IF(EA62&lt;&gt;"",EG62/EA62-1,"-")</f>
        <v>0.11892785735860234</v>
      </c>
      <c r="EH64" s="686">
        <f>IF(EB62&lt;&gt;"",EH62/EB62-1,"-")</f>
        <v>-6.492173495254594E-2</v>
      </c>
      <c r="EI64" s="1257">
        <f>IF(EC62&lt;&gt;"",EI62/EC62-1,"-")</f>
        <v>4.114097593502386E-2</v>
      </c>
      <c r="EJ64" s="686"/>
      <c r="EK64" s="686">
        <f>IF(EE62&lt;&gt;"",EK62/EE62-1,"-")</f>
        <v>2.1373709021025533E-2</v>
      </c>
      <c r="EL64" s="686">
        <f>IF(EF62&lt;&gt;"",EL62/EF62-1,"-")</f>
        <v>2.5472395175070162E-3</v>
      </c>
      <c r="EM64" s="686">
        <f>IF(EG62&lt;&gt;"",EM62/EG62-1,"-")</f>
        <v>0.11111452535699717</v>
      </c>
      <c r="EN64" s="686">
        <f>IF(EH62&lt;&gt;"",EN62/EH62-1,"-")</f>
        <v>5.3499580884083242E-2</v>
      </c>
      <c r="EO64" s="1257">
        <f>IF(EI62&lt;&gt;"",EO62/EI62-1,"-")</f>
        <v>4.6839159013630338E-2</v>
      </c>
      <c r="EP64" s="686"/>
      <c r="EQ64" s="686">
        <f>IF(EK62&lt;&gt;"",EQ62/EK62-1,"-")</f>
        <v>-7.2456948566286261E-3</v>
      </c>
      <c r="ER64" s="686">
        <f>IF(EL62&lt;&gt;"",ER62/EL62-1,"-")</f>
        <v>4.6108381337896187E-2</v>
      </c>
      <c r="ES64" s="686">
        <f>IF(EM62&lt;&gt;"",ES62/EM62-1,"-")</f>
        <v>-5.1907715833882873E-2</v>
      </c>
      <c r="ET64" s="686">
        <f>IF(EN62&lt;&gt;"",ET62/EN62-1,"-")</f>
        <v>-5.6595635329996452E-2</v>
      </c>
      <c r="EU64" s="1257">
        <f>IF(EO62&lt;&gt;"",EU62/EO62-1,"-")</f>
        <v>-1.8913567448661461E-2</v>
      </c>
      <c r="EV64" s="532"/>
    </row>
    <row r="65" spans="1:152" hidden="1" outlineLevel="1">
      <c r="A65" s="683" t="s">
        <v>4584</v>
      </c>
      <c r="B65" s="629"/>
      <c r="C65" s="685"/>
      <c r="D65" s="685">
        <f>IF(C62&lt;&gt;"",D62/C62-1,"-")</f>
        <v>-2.1390374331550777E-2</v>
      </c>
      <c r="E65" s="685">
        <f>IF(D62&lt;&gt;"",E62/D62-1,"-")</f>
        <v>1.0928961748633892E-2</v>
      </c>
      <c r="F65" s="685">
        <f>IF(E62&lt;&gt;"",F62/E62-1,"-")</f>
        <v>1.6216216216216273E-2</v>
      </c>
      <c r="G65" s="685" t="s">
        <v>6442</v>
      </c>
      <c r="H65" s="687"/>
      <c r="I65" s="685">
        <f>IF(F62&lt;&gt;"",I62/F62-1,"-")</f>
        <v>1.0638297872340496E-2</v>
      </c>
      <c r="J65" s="685">
        <f>IF(I62&lt;&gt;"",J62/I62-1,"-")</f>
        <v>8.4210526315789513E-2</v>
      </c>
      <c r="K65" s="685">
        <f>IF(J62&lt;&gt;"",K62/J62-1,"-")</f>
        <v>1.9417475728155331E-2</v>
      </c>
      <c r="L65" s="685">
        <f>IF(K62&lt;&gt;"",L62/K62-1,"-")</f>
        <v>8.0952380952380887E-2</v>
      </c>
      <c r="M65" s="685" t="s">
        <v>6442</v>
      </c>
      <c r="N65" s="687"/>
      <c r="O65" s="685">
        <f>IF(L62&lt;&gt;"",O62/L62-1,"-")</f>
        <v>0.18814977973568281</v>
      </c>
      <c r="P65" s="685">
        <f>IF(O62&lt;&gt;"",P62/O62-1,"-")</f>
        <v>2.4099959215453604E-2</v>
      </c>
      <c r="Q65" s="685">
        <f>IF(P62&lt;&gt;"",Q62/P62-1,"-")</f>
        <v>2.4148292965497253E-2</v>
      </c>
      <c r="R65" s="685">
        <f>IF(Q62&lt;&gt;"",R62/Q62-1,"-")</f>
        <v>5.6631787330316818E-2</v>
      </c>
      <c r="S65" s="685" t="s">
        <v>6442</v>
      </c>
      <c r="T65" s="687"/>
      <c r="U65" s="685">
        <f>IF(R62&lt;&gt;"",U62/R62-1,"-")</f>
        <v>-0.30960187353629975</v>
      </c>
      <c r="V65" s="685">
        <f>IF(U62&lt;&gt;"",V62/U62-1,"-")</f>
        <v>3.4357433611164945E-2</v>
      </c>
      <c r="W65" s="685">
        <f>IF(V62&lt;&gt;"",W62/V62-1,"-")</f>
        <v>-4.5209650972124593E-2</v>
      </c>
      <c r="X65" s="685">
        <f>IF(W62&lt;&gt;"",X62/W62-1,"-")</f>
        <v>5.922473012757612E-2</v>
      </c>
      <c r="Y65" s="685" t="s">
        <v>6442</v>
      </c>
      <c r="Z65" s="686"/>
      <c r="AA65" s="685">
        <f>IF(X62&lt;&gt;"",AA62/X62-1,"-")</f>
        <v>0.47334043637374346</v>
      </c>
      <c r="AB65" s="685">
        <f>IF(AA62&lt;&gt;"",AB62/AA62-1,"-")</f>
        <v>4.1440025153277826E-2</v>
      </c>
      <c r="AC65" s="685">
        <f>IF(AB62&lt;&gt;"",AC62/AB62-1,"-")</f>
        <v>-2.2220209522084255E-2</v>
      </c>
      <c r="AD65" s="685">
        <f>IF(AC62&lt;&gt;"",AD62/AC62-1,"-")</f>
        <v>8.7133726495198793E-2</v>
      </c>
      <c r="AE65" s="685" t="s">
        <v>6442</v>
      </c>
      <c r="AF65" s="686"/>
      <c r="AG65" s="685">
        <f>IF(AD62&lt;&gt;"",AG62/AD62-1,"-")</f>
        <v>-0.36513391462410183</v>
      </c>
      <c r="AH65" s="685">
        <f>IF(AG62&lt;&gt;"",AH62/AG62-1,"-")</f>
        <v>-8.3523464411935811E-2</v>
      </c>
      <c r="AI65" s="685">
        <f>IF(AH62&lt;&gt;"",AI62/AH62-1,"-")</f>
        <v>-1.0836668944645189E-2</v>
      </c>
      <c r="AJ65" s="685">
        <f>IF(AI62&lt;&gt;"",AJ62/AI62-1,"-")</f>
        <v>3.8245163837347107E-2</v>
      </c>
      <c r="AK65" s="685" t="s">
        <v>6442</v>
      </c>
      <c r="AL65" s="686"/>
      <c r="AM65" s="685">
        <f>IF(AJ62&lt;&gt;"",AM62/AJ62-1,"-")</f>
        <v>-2.8518465706546259E-3</v>
      </c>
      <c r="AN65" s="685">
        <f>IF(AM62&lt;&gt;"",AN62/AM62-1,"-")</f>
        <v>6.9593402926736214E-2</v>
      </c>
      <c r="AO65" s="685">
        <f>IF(AN62&lt;&gt;"",AO62/AN62-1,"-")</f>
        <v>-0.27443290699229028</v>
      </c>
      <c r="AP65" s="685">
        <f>IF(AO62&lt;&gt;"",AP62/AO62-1,"-")</f>
        <v>0.2694551931699527</v>
      </c>
      <c r="AQ65" s="685" t="s">
        <v>6442</v>
      </c>
      <c r="AR65" s="686"/>
      <c r="AS65" s="685">
        <f>IF(AP62&lt;&gt;"",AS62/AP62-1,"-")</f>
        <v>6.3673311399264687E-2</v>
      </c>
      <c r="AT65" s="685">
        <f>IF(AS62&lt;&gt;"",AT62/AS62-1,"-")</f>
        <v>9.370451237263433E-3</v>
      </c>
      <c r="AU65" s="685">
        <f>IF(AT62&lt;&gt;"",AU62/AT62-1,"-")</f>
        <v>-5.6106354213609766E-2</v>
      </c>
      <c r="AV65" s="685">
        <f>IF(AU62&lt;&gt;"",AV62/AU62-1,"-")</f>
        <v>0.260109811410838</v>
      </c>
      <c r="AW65" s="685" t="s">
        <v>6442</v>
      </c>
      <c r="AX65" s="686"/>
      <c r="AY65" s="685">
        <f>IF(AV62&lt;&gt;"",AY62/AV62-1,"-")</f>
        <v>2.678740575152494E-2</v>
      </c>
      <c r="AZ65" s="685">
        <f>IF(AY62&lt;&gt;"",AZ62/AY62-1,"-")</f>
        <v>-0.15498154981549805</v>
      </c>
      <c r="BA65" s="686">
        <f>IF(AZ62&lt;&gt;"",BA62/AZ62-1,"-")</f>
        <v>0.17030567685589504</v>
      </c>
      <c r="BB65" s="686">
        <f>IF(BA62&lt;&gt;"",BB62/BA62-1,"-")</f>
        <v>-8.2089552238806096E-2</v>
      </c>
      <c r="BC65" s="686" t="s">
        <v>6442</v>
      </c>
      <c r="BD65" s="686"/>
      <c r="BE65" s="685">
        <f>IF(BB62&lt;&gt;"",BE62/BB62-1,"-")</f>
        <v>0.12195121951219523</v>
      </c>
      <c r="BF65" s="685">
        <f>IF(BE62&lt;&gt;"",BF62/BE62-1,"-")</f>
        <v>0.18115942028985477</v>
      </c>
      <c r="BG65" s="686">
        <f>IF(BF62&lt;&gt;"",BG62/BF62-1,"-")</f>
        <v>-6.1349693251532278E-3</v>
      </c>
      <c r="BH65" s="686">
        <f>IF(BG62&lt;&gt;"",BH62/BG62-1,"-")</f>
        <v>4.9382716049382713E-2</v>
      </c>
      <c r="BI65" s="686" t="s">
        <v>6442</v>
      </c>
      <c r="BJ65" s="686"/>
      <c r="BK65" s="685">
        <f>IF(BH62&lt;&gt;"",BK62/BH62-1,"-")</f>
        <v>-2.9411764705882248E-3</v>
      </c>
      <c r="BL65" s="685">
        <f>IF(BK62&lt;&gt;"",BL62/BK62-1,"-")</f>
        <v>-1.7699115044247593E-2</v>
      </c>
      <c r="BM65" s="686">
        <f>IF(BL62&lt;&gt;"",BM62/BL62-1,"-")</f>
        <v>0.144144144144144</v>
      </c>
      <c r="BN65" s="686">
        <f>IF(BM62&lt;&gt;"",BN62/BM62-1,"-")</f>
        <v>-4.1994750656167978E-2</v>
      </c>
      <c r="BO65" s="1257" t="s">
        <v>6442</v>
      </c>
      <c r="BP65" s="883"/>
      <c r="BQ65" s="686">
        <f>IF(BN62&lt;&gt;"",BQ62/BN62-1,"-")</f>
        <v>0.10958904109589018</v>
      </c>
      <c r="BR65" s="686">
        <f>IF(BQ62&lt;&gt;"",BR62/BQ62-1,"-")</f>
        <v>-2.9629629629629561E-2</v>
      </c>
      <c r="BS65" s="686">
        <f>IF(BR62&lt;&gt;"",BS62/BR62-1,"-")</f>
        <v>2.798982188295196E-2</v>
      </c>
      <c r="BT65" s="686">
        <f>IF(BS62&lt;&gt;"",BT62/BS62-1,"-")</f>
        <v>1.4851485148514643E-2</v>
      </c>
      <c r="BU65" s="1257" t="s">
        <v>6442</v>
      </c>
      <c r="BV65" s="883"/>
      <c r="BW65" s="686">
        <f>IF(BT62&lt;&gt;"",BW62/BT62-1,"-")</f>
        <v>0.1048780487804879</v>
      </c>
      <c r="BX65" s="686">
        <f>IF(BW62&lt;&gt;"",BX62/BW62-1,"-")</f>
        <v>6.8432671081677832E-2</v>
      </c>
      <c r="BY65" s="686">
        <f>IF(BX62&lt;&gt;"",BY62/BX62-1,"-")</f>
        <v>-0.11776859504132253</v>
      </c>
      <c r="BZ65" s="686">
        <f>IF(BY62&lt;&gt;"",BZ62/BY62-1,"-")</f>
        <v>-9.1334894613583129E-2</v>
      </c>
      <c r="CA65" s="1257" t="s">
        <v>6442</v>
      </c>
      <c r="CB65" s="686"/>
      <c r="CC65" s="686">
        <f>IF(BZ62&lt;&gt;"",CC62/BZ62-1,"-")</f>
        <v>-0.14432989690721632</v>
      </c>
      <c r="CD65" s="686">
        <f>IF(CC62&lt;&gt;"",CD62/CC62-1,"-")</f>
        <v>0.1686746987951806</v>
      </c>
      <c r="CE65" s="686">
        <f>IF(CD62&lt;&gt;"",CE62/CD62-1,"-")</f>
        <v>-7.7319587628865705E-3</v>
      </c>
      <c r="CF65" s="686">
        <f>IF(CE62&lt;&gt;"",CF62/CE62-1,"-")</f>
        <v>-1.8181818181818077E-2</v>
      </c>
      <c r="CG65" s="1257" t="s">
        <v>6442</v>
      </c>
      <c r="CH65" s="686"/>
      <c r="CI65" s="686">
        <f>IF(CF62&lt;&gt;"",CI62/CF62-1,"-")</f>
        <v>8.2010582010581867E-2</v>
      </c>
      <c r="CJ65" s="686">
        <f>IF(CI62&lt;&gt;"",CJ62/CI62-1,"-")</f>
        <v>-0.11735941320293397</v>
      </c>
      <c r="CK65" s="686">
        <f>IF(CJ62&lt;&gt;"",CK62/CJ62-1,"-")</f>
        <v>0.17174515235457055</v>
      </c>
      <c r="CL65" s="686">
        <f>IF(CK62&lt;&gt;"",CL62/CK62-1,"-")</f>
        <v>7.0921985815604049E-3</v>
      </c>
      <c r="CM65" s="1257" t="s">
        <v>6442</v>
      </c>
      <c r="CN65" s="686"/>
      <c r="CO65" s="686">
        <f>IF(CL62&lt;&gt;"",CO62/CL62-1,"-")</f>
        <v>7.5117370892018753E-2</v>
      </c>
      <c r="CP65" s="686">
        <f>IF(CO62&lt;&gt;"",CP62/CO62-1,"-")</f>
        <v>-0.11572052401746735</v>
      </c>
      <c r="CQ65" s="686">
        <f>IF(CP62&lt;&gt;"",CQ62/CP62-1,"-")</f>
        <v>-3.4567901234567988E-2</v>
      </c>
      <c r="CR65" s="686">
        <f>IF(CQ62&lt;&gt;"",CR62/CQ62-1,"-")</f>
        <v>0.19948849104859367</v>
      </c>
      <c r="CS65" s="1257" t="s">
        <v>6442</v>
      </c>
      <c r="CT65" s="686"/>
      <c r="CU65" s="686">
        <f>IF(CR62&lt;&gt;"",CU62/CR62-1,"-")</f>
        <v>-2.558635394456299E-2</v>
      </c>
      <c r="CV65" s="686">
        <f>IF(CU62&lt;&gt;"",CV62/CU62-1,"-")</f>
        <v>-1.5317286652078654E-2</v>
      </c>
      <c r="CW65" s="686">
        <f>IF(CV62&lt;&gt;"",CW62/CV62-1,"-")</f>
        <v>-5.1111111111111218E-2</v>
      </c>
      <c r="CX65" s="686">
        <f>IF(CW62&lt;&gt;"",CX62/CW62-1,"-")</f>
        <v>0.12646370023419196</v>
      </c>
      <c r="CY65" s="1257" t="s">
        <v>6442</v>
      </c>
      <c r="CZ65" s="686"/>
      <c r="DA65" s="686">
        <f>IF(CX62&lt;&gt;"",DA62/CX62-1,"-")</f>
        <v>-9.1476091476091481E-2</v>
      </c>
      <c r="DB65" s="686">
        <f>IF(DA62&lt;&gt;"",DB62/DA62-1,"-")</f>
        <v>7.0938215102974711E-2</v>
      </c>
      <c r="DC65" s="686">
        <f>IF(DB62&lt;&gt;"",DC62/DB62-1,"-")</f>
        <v>7.4786324786324965E-2</v>
      </c>
      <c r="DD65" s="686">
        <f>IF(DC62&lt;&gt;"",DD62/DC62-1,"-")</f>
        <v>-6.3618290258449339E-2</v>
      </c>
      <c r="DE65" s="1257" t="s">
        <v>6442</v>
      </c>
      <c r="DF65" s="686"/>
      <c r="DG65" s="686">
        <f>IF(DD62&lt;&gt;"",DG62/DD62-1,"-")</f>
        <v>0.17834394904458617</v>
      </c>
      <c r="DH65" s="686">
        <f>IF(DG62&lt;&gt;"",DH62/DG62-1,"-")</f>
        <v>0.17297297297297276</v>
      </c>
      <c r="DI65" s="686">
        <f>IF(DH62&lt;&gt;"",DI62/DH62-1,"-")</f>
        <v>0.10906298003072212</v>
      </c>
      <c r="DJ65" s="686">
        <f>IF(DI62&lt;&gt;"",DJ62/DI62-1,"-")</f>
        <v>-0.13850415512465375</v>
      </c>
      <c r="DK65" s="1257" t="s">
        <v>6442</v>
      </c>
      <c r="DL65" s="686"/>
      <c r="DM65" s="686">
        <f>IF(DJ62&lt;&gt;"",DM62/DJ62-1,"-")</f>
        <v>9.1639871382636739E-2</v>
      </c>
      <c r="DN65" s="686">
        <f>IF(DM62&lt;&gt;"",DN62/DM62-1,"-")</f>
        <v>-5.8910162002945743E-2</v>
      </c>
      <c r="DO65" s="686">
        <f>IF(DN62&lt;&gt;"",DO62/DN62-1,"-")</f>
        <v>4.6948356807511971E-2</v>
      </c>
      <c r="DP65" s="686">
        <f>IF(DO62&lt;&gt;"",DP62/DO62-1,"-")</f>
        <v>-2.9895366218236186E-2</v>
      </c>
      <c r="DQ65" s="1257" t="s">
        <v>6442</v>
      </c>
      <c r="DR65" s="686"/>
      <c r="DS65" s="686">
        <f>IF(DP62&lt;&gt;"",DS62/DP62-1,"-")</f>
        <v>3.0816640986132349E-2</v>
      </c>
      <c r="DT65" s="686">
        <f>IF(DS62&lt;&gt;"",DT62/DS62-1,"-")</f>
        <v>-8.5201793721973007E-2</v>
      </c>
      <c r="DU65" s="686">
        <f>IF(DT62&lt;&gt;"",DU62/DT62-1,"-")</f>
        <v>1.9607843137255054E-2</v>
      </c>
      <c r="DV65" s="686">
        <f>IF(DU62&lt;&gt;"",DV62/DU62-1,"-")</f>
        <v>4.1666666666666519E-2</v>
      </c>
      <c r="DW65" s="1257" t="s">
        <v>6442</v>
      </c>
      <c r="DX65" s="686"/>
      <c r="DY65" s="686">
        <f>IF(DV62&lt;&gt;"",DY62/DV62-1,"-")</f>
        <v>-8.0000000000000071E-2</v>
      </c>
      <c r="DZ65" s="686">
        <f>IF(DY62&lt;&gt;"",DZ62/DY62-1,"-")</f>
        <v>-1.6722408026755731E-2</v>
      </c>
      <c r="EA65" s="686">
        <f>IF(DZ62&lt;&gt;"",EA62/DZ62-1,"-")</f>
        <v>-5.7823129251700744E-2</v>
      </c>
      <c r="EB65" s="686">
        <f>IF(EA62&lt;&gt;"",EB62/EA62-1,"-")</f>
        <v>0.27978339350180503</v>
      </c>
      <c r="EC65" s="1257" t="s">
        <v>6442</v>
      </c>
      <c r="ED65" s="686"/>
      <c r="EE65" s="686">
        <f>IF(EB62&lt;&gt;"",EE62/EB62-1,"-")</f>
        <v>-0.11190466392839427</v>
      </c>
      <c r="EF65" s="686">
        <f>IF(EE62&lt;&gt;"",EF62/EE62-1,"-")</f>
        <v>1.2035932908781799E-2</v>
      </c>
      <c r="EG65" s="686">
        <f>IF(EF62&lt;&gt;"",EG62/EF62-1,"-")</f>
        <v>-2.7230167177963449E-2</v>
      </c>
      <c r="EH65" s="686">
        <f>IF(EG62&lt;&gt;"",EH62/EG62-1,"-")</f>
        <v>6.9503835624573629E-2</v>
      </c>
      <c r="EI65" s="1257" t="s">
        <v>6442</v>
      </c>
      <c r="EJ65" s="686"/>
      <c r="EK65" s="686">
        <f>IF(EH62&lt;&gt;"",EK62/EH62-1,"-")</f>
        <v>-2.9945127297235308E-2</v>
      </c>
      <c r="EL65" s="686">
        <f>IF(EK62&lt;&gt;"",EL62/EK62-1,"-")</f>
        <v>-6.6184180492373512E-3</v>
      </c>
      <c r="EM65" s="686">
        <f>IF(EL62&lt;&gt;"",EM62/EL62-1,"-")</f>
        <v>7.811248036336349E-2</v>
      </c>
      <c r="EN65" s="686">
        <f>IF(EM62&lt;&gt;"",EN62/EM62-1,"-")</f>
        <v>1.4046542342155188E-2</v>
      </c>
      <c r="EO65" s="1257" t="s">
        <v>6442</v>
      </c>
      <c r="EP65" s="686"/>
      <c r="EQ65" s="686">
        <f>IF(EN62&lt;&gt;"",EQ62/EN62-1,"-")</f>
        <v>-8.5878942360076094E-2</v>
      </c>
      <c r="ER65" s="686">
        <f>IF(EQ62&lt;&gt;"",ER62/EQ62-1,"-")</f>
        <v>4.6769370187031756E-2</v>
      </c>
      <c r="ES65" s="686">
        <f>IF(ER62&lt;&gt;"",ES62/ER62-1,"-")</f>
        <v>-2.290227061516914E-2</v>
      </c>
      <c r="ET65" s="686">
        <f>IF(ES62&lt;&gt;"",ET62/ES62-1,"-")</f>
        <v>9.0325066462593195E-3</v>
      </c>
      <c r="EU65" s="1257" t="s">
        <v>6442</v>
      </c>
      <c r="EV65" s="532"/>
    </row>
    <row r="66" spans="1:152" collapsed="1">
      <c r="A66" s="624" t="s">
        <v>6881</v>
      </c>
      <c r="B66" s="629"/>
      <c r="C66" s="1221"/>
      <c r="D66" s="1221"/>
      <c r="E66" s="1221"/>
      <c r="F66" s="1221"/>
      <c r="G66" s="1221"/>
      <c r="H66" s="383"/>
      <c r="I66" s="1221"/>
      <c r="J66" s="1221"/>
      <c r="K66" s="1221"/>
      <c r="L66" s="1221"/>
      <c r="M66" s="1221"/>
      <c r="N66" s="383"/>
      <c r="O66" s="1221"/>
      <c r="P66" s="1221"/>
      <c r="Q66" s="1221"/>
      <c r="R66" s="1221"/>
      <c r="S66" s="1221"/>
      <c r="T66" s="383"/>
      <c r="U66" s="1221"/>
      <c r="V66" s="1221"/>
      <c r="W66" s="1221"/>
      <c r="X66" s="1221"/>
      <c r="Y66" s="1221"/>
      <c r="Z66" s="106"/>
      <c r="AA66" s="1221"/>
      <c r="AB66" s="1221"/>
      <c r="AC66" s="1221"/>
      <c r="AD66" s="1221"/>
      <c r="AE66" s="1221"/>
      <c r="AF66" s="106"/>
      <c r="AG66" s="1221"/>
      <c r="AH66" s="1221"/>
      <c r="AI66" s="1221"/>
      <c r="AJ66" s="1221"/>
      <c r="AK66" s="1221"/>
      <c r="AL66" s="106"/>
      <c r="AM66" s="1222">
        <f>AM168</f>
        <v>19.531045746045315</v>
      </c>
      <c r="AN66" s="1222">
        <f>AN168</f>
        <v>14.547788033715625</v>
      </c>
      <c r="AO66" s="1222">
        <f>AO168</f>
        <v>19.032274299550352</v>
      </c>
      <c r="AP66" s="1222">
        <f>AP168</f>
        <v>19.087660739059139</v>
      </c>
      <c r="AQ66" s="1222">
        <f>SUM(AM66:AP66)</f>
        <v>72.198768818370439</v>
      </c>
      <c r="AR66" s="106"/>
      <c r="AS66" s="1222">
        <f>AS168</f>
        <v>15.534293287160361</v>
      </c>
      <c r="AT66" s="1222">
        <f>AT168</f>
        <v>11.939806157178223</v>
      </c>
      <c r="AU66" s="1222">
        <f>AU168</f>
        <v>14.4093380076086</v>
      </c>
      <c r="AV66" s="1222">
        <f>AV168</f>
        <v>22.25676370153759</v>
      </c>
      <c r="AW66" s="1222">
        <f>SUM(AS66:AV66)</f>
        <v>64.140201153484782</v>
      </c>
      <c r="AX66" s="106"/>
      <c r="AY66" s="1222">
        <v>1.4</v>
      </c>
      <c r="AZ66" s="1222">
        <v>1.5</v>
      </c>
      <c r="BA66" s="1222">
        <v>3.1</v>
      </c>
      <c r="BB66" s="1222">
        <v>2.2000000000000002</v>
      </c>
      <c r="BC66" s="1222">
        <f>SUM(AY66:BB66)</f>
        <v>8.1999999999999993</v>
      </c>
      <c r="BD66" s="106"/>
      <c r="BE66" s="1222">
        <v>1</v>
      </c>
      <c r="BF66" s="1222">
        <v>1.3</v>
      </c>
      <c r="BG66" s="1222">
        <v>1.1000000000000001</v>
      </c>
      <c r="BH66" s="1222">
        <v>1.9</v>
      </c>
      <c r="BI66" s="1222">
        <f>SUM(BE66:BH66)</f>
        <v>5.3</v>
      </c>
      <c r="BJ66" s="106"/>
      <c r="BK66" s="1223">
        <v>21.1</v>
      </c>
      <c r="BL66" s="1223">
        <v>20.7</v>
      </c>
      <c r="BM66" s="1223">
        <v>34.200000000000003</v>
      </c>
      <c r="BN66" s="1223">
        <v>17.7</v>
      </c>
      <c r="BO66" s="1260">
        <f>SUM(BK66:BN66)</f>
        <v>93.7</v>
      </c>
      <c r="BP66" s="1224"/>
      <c r="BQ66" s="885">
        <v>14.8</v>
      </c>
      <c r="BR66" s="885">
        <v>21.1</v>
      </c>
      <c r="BS66" s="885">
        <v>37.299999999999997</v>
      </c>
      <c r="BT66" s="885">
        <v>26.2</v>
      </c>
      <c r="BU66" s="1295">
        <f>SUM(BQ66:BT66)</f>
        <v>99.4</v>
      </c>
      <c r="BV66" s="1224"/>
      <c r="BW66" s="885">
        <v>25.2</v>
      </c>
      <c r="BX66" s="885">
        <v>23.2</v>
      </c>
      <c r="BY66" s="885">
        <v>22.5</v>
      </c>
      <c r="BZ66" s="885">
        <f>18.2+0.5</f>
        <v>18.7</v>
      </c>
      <c r="CA66" s="1295">
        <f>SUM(BW66:BZ66)</f>
        <v>89.600000000000009</v>
      </c>
      <c r="CB66" s="1224"/>
      <c r="CC66" s="885">
        <f>23</f>
        <v>23</v>
      </c>
      <c r="CD66" s="885">
        <v>21.2</v>
      </c>
      <c r="CE66" s="885">
        <v>30.3</v>
      </c>
      <c r="CF66" s="885">
        <f>3.3+6.3+8.6+0.7</f>
        <v>18.899999999999999</v>
      </c>
      <c r="CG66" s="1295">
        <f>SUM(CC66:CF66)</f>
        <v>93.4</v>
      </c>
      <c r="CH66" s="1224"/>
      <c r="CI66" s="885">
        <f>24.3</f>
        <v>24.3</v>
      </c>
      <c r="CJ66" s="885">
        <f>0.7+9.2+7.2+3.9</f>
        <v>20.999999999999996</v>
      </c>
      <c r="CK66" s="885">
        <v>17</v>
      </c>
      <c r="CL66" s="885">
        <v>18.399999999999999</v>
      </c>
      <c r="CM66" s="1295">
        <f>SUM(CI66:CL66)</f>
        <v>80.699999999999989</v>
      </c>
      <c r="CN66" s="1224"/>
      <c r="CO66" s="885">
        <v>25.9</v>
      </c>
      <c r="CP66" s="885">
        <v>27.3</v>
      </c>
      <c r="CQ66" s="885">
        <v>25.6</v>
      </c>
      <c r="CR66" s="885">
        <v>30</v>
      </c>
      <c r="CS66" s="1295">
        <f>SUM(CO66:CR66)</f>
        <v>108.80000000000001</v>
      </c>
      <c r="CT66" s="1224"/>
      <c r="CU66" s="885">
        <f>CU76</f>
        <v>33.4</v>
      </c>
      <c r="CV66" s="885">
        <f>CV76</f>
        <v>33.5</v>
      </c>
      <c r="CW66" s="885">
        <v>51.8</v>
      </c>
      <c r="CX66" s="885">
        <f>37.5</f>
        <v>37.5</v>
      </c>
      <c r="CY66" s="1295">
        <f>SUM(CU66:CX66)</f>
        <v>156.19999999999999</v>
      </c>
      <c r="CZ66" s="1224"/>
      <c r="DA66" s="885">
        <f>DA168</f>
        <v>32</v>
      </c>
      <c r="DB66" s="885">
        <f>DB168</f>
        <v>31</v>
      </c>
      <c r="DC66" s="885">
        <f>DC168</f>
        <v>31.6</v>
      </c>
      <c r="DD66" s="885">
        <f>DD168</f>
        <v>36.1</v>
      </c>
      <c r="DE66" s="1295">
        <f>SUM(DA66:DD66)</f>
        <v>130.69999999999999</v>
      </c>
      <c r="DF66" s="1224"/>
      <c r="DG66" s="885">
        <f>DG168</f>
        <v>33.6</v>
      </c>
      <c r="DH66" s="885">
        <f>DH168</f>
        <v>39.799999999999997</v>
      </c>
      <c r="DI66" s="885">
        <f>DI168</f>
        <v>43.1</v>
      </c>
      <c r="DJ66" s="885">
        <f>DJ168</f>
        <v>49.1</v>
      </c>
      <c r="DK66" s="1295">
        <f>SUM(DG66:DJ66)</f>
        <v>165.6</v>
      </c>
      <c r="DL66" s="1224"/>
      <c r="DM66" s="885">
        <f>DM168</f>
        <v>50.2</v>
      </c>
      <c r="DN66" s="885">
        <f>DN168</f>
        <v>40.700000000000003</v>
      </c>
      <c r="DO66" s="885">
        <f>DO168</f>
        <v>50.2</v>
      </c>
      <c r="DP66" s="885">
        <f>DP168</f>
        <v>56.1</v>
      </c>
      <c r="DQ66" s="1295">
        <f>SUM(DM66:DP66)</f>
        <v>197.20000000000002</v>
      </c>
      <c r="DR66" s="1224"/>
      <c r="DS66" s="885">
        <f>DS168</f>
        <v>56.9</v>
      </c>
      <c r="DT66" s="885">
        <f>DT168</f>
        <v>54.3</v>
      </c>
      <c r="DU66" s="885">
        <f>DU168</f>
        <v>56.6</v>
      </c>
      <c r="DV66" s="885">
        <f>DV168</f>
        <v>59.3</v>
      </c>
      <c r="DW66" s="1295">
        <f>SUM(DS66:DV66)</f>
        <v>227.09999999999997</v>
      </c>
      <c r="DX66" s="1224"/>
      <c r="DY66" s="885">
        <f>DY168</f>
        <v>59</v>
      </c>
      <c r="DZ66" s="885">
        <f>DZ168</f>
        <v>58.8</v>
      </c>
      <c r="EA66" s="885">
        <f>EA168</f>
        <v>65.099999999999994</v>
      </c>
      <c r="EB66" s="885">
        <f>EB168</f>
        <v>62.1</v>
      </c>
      <c r="EC66" s="1295">
        <f>SUM(DY66:EB66)</f>
        <v>244.99999999999997</v>
      </c>
      <c r="ED66" s="1224"/>
      <c r="EE66" s="885">
        <f>EE168</f>
        <v>61</v>
      </c>
      <c r="EF66" s="885">
        <f>EF168</f>
        <v>61</v>
      </c>
      <c r="EG66" s="885">
        <f>EG168</f>
        <v>61</v>
      </c>
      <c r="EH66" s="885">
        <f>EH168</f>
        <v>61</v>
      </c>
      <c r="EI66" s="1295">
        <f>SUM(EE66:EH66)</f>
        <v>244</v>
      </c>
      <c r="EJ66" s="1224"/>
      <c r="EK66" s="885">
        <f>EK168</f>
        <v>61</v>
      </c>
      <c r="EL66" s="885">
        <f>EL168</f>
        <v>61</v>
      </c>
      <c r="EM66" s="885">
        <f>EM168</f>
        <v>61</v>
      </c>
      <c r="EN66" s="885">
        <f>EN168</f>
        <v>61</v>
      </c>
      <c r="EO66" s="1295">
        <f>SUM(EK66:EN66)</f>
        <v>244</v>
      </c>
      <c r="EP66" s="1224"/>
      <c r="EQ66" s="885">
        <f>EQ168</f>
        <v>61</v>
      </c>
      <c r="ER66" s="885">
        <f>ER168</f>
        <v>61</v>
      </c>
      <c r="ES66" s="885">
        <f>ES168</f>
        <v>61</v>
      </c>
      <c r="ET66" s="885">
        <f>ET168</f>
        <v>61</v>
      </c>
      <c r="EU66" s="1295">
        <f>SUM(EQ66:ET66)</f>
        <v>244</v>
      </c>
      <c r="EV66" s="532"/>
    </row>
    <row r="67" spans="1:152" hidden="1" outlineLevel="1">
      <c r="A67" s="1225" t="s">
        <v>716</v>
      </c>
      <c r="B67" s="629"/>
      <c r="C67" s="1221"/>
      <c r="D67" s="1221"/>
      <c r="E67" s="1221"/>
      <c r="F67" s="1221"/>
      <c r="G67" s="1221"/>
      <c r="H67" s="383"/>
      <c r="I67" s="1221"/>
      <c r="J67" s="1221"/>
      <c r="K67" s="1221"/>
      <c r="L67" s="1221"/>
      <c r="M67" s="1221"/>
      <c r="N67" s="383"/>
      <c r="O67" s="1221"/>
      <c r="P67" s="1221"/>
      <c r="Q67" s="1221"/>
      <c r="R67" s="1221"/>
      <c r="S67" s="1221"/>
      <c r="T67" s="383"/>
      <c r="U67" s="1221"/>
      <c r="V67" s="1221"/>
      <c r="W67" s="1221"/>
      <c r="X67" s="1221"/>
      <c r="Y67" s="1221"/>
      <c r="Z67" s="106"/>
      <c r="AA67" s="1221"/>
      <c r="AB67" s="1221"/>
      <c r="AC67" s="1221"/>
      <c r="AD67" s="1221"/>
      <c r="AE67" s="1221"/>
      <c r="AF67" s="106"/>
      <c r="AG67" s="1221"/>
      <c r="AH67" s="1221"/>
      <c r="AI67" s="1221"/>
      <c r="AJ67" s="1221"/>
      <c r="AK67" s="1221"/>
      <c r="AL67" s="106"/>
      <c r="AM67" s="1221"/>
      <c r="AN67" s="1221"/>
      <c r="AO67" s="1221"/>
      <c r="AP67" s="1221"/>
      <c r="AQ67" s="1221"/>
      <c r="AR67" s="106"/>
      <c r="AS67" s="1221"/>
      <c r="AT67" s="1221"/>
      <c r="AU67" s="1221"/>
      <c r="AV67" s="1221"/>
      <c r="AW67" s="1221"/>
      <c r="AX67" s="106"/>
      <c r="AY67" s="1221"/>
      <c r="AZ67" s="1221"/>
      <c r="BA67" s="106"/>
      <c r="BB67" s="106"/>
      <c r="BC67" s="106"/>
      <c r="BD67" s="106"/>
      <c r="BE67" s="1221"/>
      <c r="BF67" s="1221"/>
      <c r="BG67" s="106"/>
      <c r="BH67" s="106"/>
      <c r="BI67" s="106"/>
      <c r="BJ67" s="106"/>
      <c r="BK67" s="1221">
        <f>BK66/BK$31</f>
        <v>4.8394495412844039E-2</v>
      </c>
      <c r="BL67" s="1221">
        <f>BL66/BL$31</f>
        <v>4.6040925266903912E-2</v>
      </c>
      <c r="BM67" s="106">
        <f>BM66/BM$31</f>
        <v>7.4868651488616461E-2</v>
      </c>
      <c r="BN67" s="106">
        <f>BN66/BN$31</f>
        <v>3.5585042219541618E-2</v>
      </c>
      <c r="BO67" s="1139">
        <f>BO66/BO$31</f>
        <v>5.092944885313621E-2</v>
      </c>
      <c r="BP67" s="1224"/>
      <c r="BQ67" s="1226">
        <f>BQ66/BQ$31</f>
        <v>2.9099488792764451E-2</v>
      </c>
      <c r="BR67" s="1226">
        <f>BR66/BR$31</f>
        <v>4.0121696139950556E-2</v>
      </c>
      <c r="BS67" s="1226">
        <f>BS66/BS$31</f>
        <v>6.9279346210995546E-2</v>
      </c>
      <c r="BT67" s="1226">
        <f>BT66/BT$31</f>
        <v>4.3732265064263059E-2</v>
      </c>
      <c r="BU67" s="1296">
        <f>BU66/BU$31</f>
        <v>4.5764272559852673E-2</v>
      </c>
      <c r="BV67" s="1224"/>
      <c r="BW67" s="1226">
        <f>BW66/BW$31</f>
        <v>4.2084168336673347E-2</v>
      </c>
      <c r="BX67" s="1226">
        <f>BX66/BX$31</f>
        <v>3.7449556093623888E-2</v>
      </c>
      <c r="BY67" s="1226">
        <f>BY66/BY$31</f>
        <v>3.7061439631032776E-2</v>
      </c>
      <c r="BZ67" s="1226">
        <f>BZ66/BZ$31</f>
        <v>3.8178848509595749E-2</v>
      </c>
      <c r="CA67" s="1296">
        <f>CA66/CA$31</f>
        <v>3.8700760193503797E-2</v>
      </c>
      <c r="CB67" s="106"/>
      <c r="CC67" s="1226">
        <f>CC66/CC$31</f>
        <v>5.4015969938938473E-2</v>
      </c>
      <c r="CD67" s="1226">
        <f>CD66/CD$31</f>
        <v>5.1096649795131358E-2</v>
      </c>
      <c r="CE67" s="1226">
        <f>CE66/CE$31</f>
        <v>7.2679299592228352E-2</v>
      </c>
      <c r="CF67" s="1226">
        <f>CF66/CF$31</f>
        <v>4.1438281078710802E-2</v>
      </c>
      <c r="CG67" s="1296">
        <f>CG66/CG$31</f>
        <v>5.4501954834568489E-2</v>
      </c>
      <c r="CH67" s="106"/>
      <c r="CI67" s="1226">
        <f>CI66/CI$31</f>
        <v>5.120101137800253E-2</v>
      </c>
      <c r="CJ67" s="1226">
        <f>CJ66/CJ$31</f>
        <v>4.4416243654822329E-2</v>
      </c>
      <c r="CK67" s="1226">
        <f>CK66/CK$31</f>
        <v>3.5661841829242709E-2</v>
      </c>
      <c r="CL67" s="1226">
        <f>CL66/CL$31</f>
        <v>3.4868296380519227E-2</v>
      </c>
      <c r="CM67" s="1296">
        <f>CM66/CM$31</f>
        <v>4.1346449431294188E-2</v>
      </c>
      <c r="CN67" s="106"/>
      <c r="CO67" s="1226">
        <f>CO66/CO$31</f>
        <v>4.9025175089911034E-2</v>
      </c>
      <c r="CP67" s="1226">
        <f>CP66/CP$31</f>
        <v>4.9972542559033502E-2</v>
      </c>
      <c r="CQ67" s="1226">
        <f>CQ66/CQ$31</f>
        <v>4.6664236237695965E-2</v>
      </c>
      <c r="CR67" s="1226">
        <f>CR66/CR$31</f>
        <v>5.0641458474004052E-2</v>
      </c>
      <c r="CS67" s="1296">
        <f>CS66/CS$31</f>
        <v>4.9106336883914074E-2</v>
      </c>
      <c r="CT67" s="106"/>
      <c r="CU67" s="1226">
        <f>CU66/CU$31</f>
        <v>5.6744818212708117E-2</v>
      </c>
      <c r="CV67" s="1226">
        <f>CV66/CV$31</f>
        <v>5.8875219683655534E-2</v>
      </c>
      <c r="CW67" s="1226">
        <f>CW66/CW$31</f>
        <v>9.4525547445255473E-2</v>
      </c>
      <c r="CX67" s="1226">
        <f>CX66/CX$31</f>
        <v>6.1779242174629323E-2</v>
      </c>
      <c r="CY67" s="1296">
        <f>CY66/CY$31</f>
        <v>6.7543025166479281E-2</v>
      </c>
      <c r="CZ67" s="106"/>
      <c r="DA67" s="1226">
        <f>DA66/DA$31</f>
        <v>5.6100981767180931E-2</v>
      </c>
      <c r="DB67" s="1226">
        <f>DB66/DB$31</f>
        <v>5.5189602990920412E-2</v>
      </c>
      <c r="DC67" s="1226">
        <f>DC66/DC$31</f>
        <v>5.6916426512968299E-2</v>
      </c>
      <c r="DD67" s="1226">
        <f>DD66/DD$31</f>
        <v>6.1541084214115249E-2</v>
      </c>
      <c r="DE67" s="1296">
        <f>DE66/DE$31</f>
        <v>5.7478341175953213E-2</v>
      </c>
      <c r="DF67" s="106"/>
      <c r="DG67" s="1226">
        <f>DG66/DG$31</f>
        <v>5.6708860759493676E-2</v>
      </c>
      <c r="DH67" s="1226">
        <f>DH66/DH$31</f>
        <v>6.2470569769266994E-2</v>
      </c>
      <c r="DI67" s="1226">
        <f>DI66/DI$31</f>
        <v>6.97411003236246E-2</v>
      </c>
      <c r="DJ67" s="1226">
        <f>DJ66/DJ$31</f>
        <v>7.3879024977430027E-2</v>
      </c>
      <c r="DK67" s="1296">
        <f>DK66/DK$31</f>
        <v>6.5918318605206597E-2</v>
      </c>
      <c r="DL67" s="106"/>
      <c r="DM67" s="1226">
        <f>DM66/DM$31</f>
        <v>7.7648878576952823E-2</v>
      </c>
      <c r="DN67" s="1226">
        <f>DN66/DN$31</f>
        <v>6.6776045939294509E-2</v>
      </c>
      <c r="DO67" s="1226">
        <f>DO66/DO$31</f>
        <v>8.3694564854951664E-2</v>
      </c>
      <c r="DP67" s="1226">
        <f>DP66/DP$31</f>
        <v>8.653401203146692E-2</v>
      </c>
      <c r="DQ67" s="1296">
        <f>DQ66/DQ$31</f>
        <v>7.8750848608282423E-2</v>
      </c>
      <c r="DR67" s="106"/>
      <c r="DS67" s="1226">
        <f>DS66/DS$31</f>
        <v>0.11115452236764993</v>
      </c>
      <c r="DT67" s="1226">
        <f>DT66/DT$31</f>
        <v>9.8601779553295799E-2</v>
      </c>
      <c r="DU67" s="1226">
        <f>DU66/DU$31</f>
        <v>0.11560457516339868</v>
      </c>
      <c r="DV67" s="1226">
        <f>DV66/DV$31</f>
        <v>0.12385129490392648</v>
      </c>
      <c r="DW67" s="1296">
        <f>DW66/DW$31</f>
        <v>0.11181683899556868</v>
      </c>
      <c r="DX67" s="106"/>
      <c r="DY67" s="1226">
        <f>DY66/DY$31</f>
        <v>0.12147416100473543</v>
      </c>
      <c r="DZ67" s="1226">
        <f>DZ66/DZ$31</f>
        <v>0.11717815862893584</v>
      </c>
      <c r="EA67" s="1226">
        <f>EA66/EA$31</f>
        <v>0.12633417426741703</v>
      </c>
      <c r="EB67" s="1226">
        <f>EB66/EB$31</f>
        <v>0.11213434452871074</v>
      </c>
      <c r="EC67" s="1296">
        <f>EC66/EC$31</f>
        <v>0.1191286589516678</v>
      </c>
      <c r="ED67" s="106"/>
      <c r="EE67" s="1226">
        <f>EE66/EE$31</f>
        <v>0.10958933109778259</v>
      </c>
      <c r="EF67" s="1226">
        <f>EF66/EF$31</f>
        <v>0.1025969308585739</v>
      </c>
      <c r="EG67" s="1226">
        <f>EG66/EG$31</f>
        <v>9.5955081518272922E-2</v>
      </c>
      <c r="EH67" s="1226">
        <f>EH66/EH$31</f>
        <v>8.559201502950306E-2</v>
      </c>
      <c r="EI67" s="1296">
        <f>EI66/EI$31</f>
        <v>9.7616374409967441E-2</v>
      </c>
      <c r="EJ67" s="106"/>
      <c r="EK67" s="1226">
        <f>EK66/EK$31</f>
        <v>8.8325929854970064E-2</v>
      </c>
      <c r="EL67" s="1226">
        <f>EL66/EL$31</f>
        <v>8.3239780051929779E-2</v>
      </c>
      <c r="EM67" s="1226">
        <f>EM66/EM$31</f>
        <v>7.7502868528262187E-2</v>
      </c>
      <c r="EN67" s="1226">
        <f>EN66/EN$31</f>
        <v>6.8144778650287868E-2</v>
      </c>
      <c r="EO67" s="1296">
        <f>EO66/EO$31</f>
        <v>7.8566048186387225E-2</v>
      </c>
      <c r="EP67" s="106"/>
      <c r="EQ67" s="1226">
        <f>EQ66/EQ$31</f>
        <v>7.9416312526636501E-2</v>
      </c>
      <c r="ER67" s="1226">
        <f>ER66/ER$31</f>
        <v>7.0443506084825663E-2</v>
      </c>
      <c r="ES67" s="1226">
        <f>ES66/ES$31</f>
        <v>6.3063470280136813E-2</v>
      </c>
      <c r="ET67" s="1226">
        <f>ET66/ET$31</f>
        <v>5.3717430058585008E-2</v>
      </c>
      <c r="EU67" s="1296">
        <f>EU66/EU$31</f>
        <v>6.5294805225987185E-2</v>
      </c>
      <c r="EV67" s="532"/>
    </row>
    <row r="68" spans="1:152" hidden="1" outlineLevel="1">
      <c r="A68" s="1225" t="s">
        <v>4583</v>
      </c>
      <c r="B68" s="629"/>
      <c r="C68" s="1221"/>
      <c r="D68" s="1221"/>
      <c r="E68" s="1221"/>
      <c r="F68" s="1221"/>
      <c r="G68" s="1221"/>
      <c r="H68" s="383"/>
      <c r="I68" s="1221"/>
      <c r="J68" s="1221"/>
      <c r="K68" s="1221"/>
      <c r="L68" s="1221"/>
      <c r="M68" s="1221"/>
      <c r="N68" s="383"/>
      <c r="O68" s="1221"/>
      <c r="P68" s="1221"/>
      <c r="Q68" s="1221"/>
      <c r="R68" s="1221"/>
      <c r="S68" s="1221"/>
      <c r="T68" s="383"/>
      <c r="U68" s="1221"/>
      <c r="V68" s="1221"/>
      <c r="W68" s="1221"/>
      <c r="X68" s="1221"/>
      <c r="Y68" s="1221"/>
      <c r="Z68" s="106"/>
      <c r="AA68" s="1221"/>
      <c r="AB68" s="1221"/>
      <c r="AC68" s="1221"/>
      <c r="AD68" s="1221"/>
      <c r="AE68" s="1221"/>
      <c r="AF68" s="106"/>
      <c r="AG68" s="1221"/>
      <c r="AH68" s="1221"/>
      <c r="AI68" s="1221"/>
      <c r="AJ68" s="1221"/>
      <c r="AK68" s="1221"/>
      <c r="AL68" s="106"/>
      <c r="AM68" s="1221"/>
      <c r="AN68" s="1221"/>
      <c r="AO68" s="1221"/>
      <c r="AP68" s="1221"/>
      <c r="AQ68" s="1221"/>
      <c r="AR68" s="106"/>
      <c r="AS68" s="1221"/>
      <c r="AT68" s="1221"/>
      <c r="AU68" s="1221"/>
      <c r="AV68" s="1221"/>
      <c r="AW68" s="1221"/>
      <c r="AX68" s="106"/>
      <c r="AY68" s="1221"/>
      <c r="AZ68" s="1221"/>
      <c r="BA68" s="106"/>
      <c r="BB68" s="106"/>
      <c r="BC68" s="106"/>
      <c r="BD68" s="106"/>
      <c r="BE68" s="1221"/>
      <c r="BF68" s="1221"/>
      <c r="BG68" s="106"/>
      <c r="BH68" s="106"/>
      <c r="BI68" s="106"/>
      <c r="BJ68" s="106"/>
      <c r="BK68" s="1221">
        <f>IF(BE66&lt;&gt;"",BK66/BE66-1,"-")</f>
        <v>20.100000000000001</v>
      </c>
      <c r="BL68" s="1221">
        <f>IF(BF66&lt;&gt;"",BL66/BF66-1,"-")</f>
        <v>14.923076923076922</v>
      </c>
      <c r="BM68" s="106">
        <f>IF(BG66&lt;&gt;"",BM66/BG66-1,"-")</f>
        <v>30.09090909090909</v>
      </c>
      <c r="BN68" s="106">
        <f>IF(BH66&lt;&gt;"",BN66/BH66-1,"-")</f>
        <v>8.3157894736842106</v>
      </c>
      <c r="BO68" s="1139">
        <f>IF(BI66&lt;&gt;"",BO66/BI66-1,"-")</f>
        <v>16.679245283018869</v>
      </c>
      <c r="BP68" s="1224"/>
      <c r="BQ68" s="106">
        <f>IF(BK66&lt;&gt;"",BQ66/BK66-1,"-")</f>
        <v>-0.29857819905213268</v>
      </c>
      <c r="BR68" s="106">
        <f>IF(BL66&lt;&gt;"",BR66/BL66-1,"-")</f>
        <v>1.9323671497584627E-2</v>
      </c>
      <c r="BS68" s="106">
        <f>IF(BM66&lt;&gt;"",BS66/BM66-1,"-")</f>
        <v>9.0643274853801081E-2</v>
      </c>
      <c r="BT68" s="106">
        <f>IF(BN66&lt;&gt;"",BT66/BN66-1,"-")</f>
        <v>0.4802259887005651</v>
      </c>
      <c r="BU68" s="1139">
        <f>IF(BO66&lt;&gt;"",BU66/BO66-1,"-")</f>
        <v>6.0832443970117334E-2</v>
      </c>
      <c r="BV68" s="1224"/>
      <c r="BW68" s="106">
        <f>IF(BQ66&lt;&gt;"",BW66/BQ66-1,"-")</f>
        <v>0.70270270270270263</v>
      </c>
      <c r="BX68" s="106">
        <f>IF(BR66&lt;&gt;"",BX66/BR66-1,"-")</f>
        <v>9.9526066350710707E-2</v>
      </c>
      <c r="BY68" s="106">
        <f>IF(BS66&lt;&gt;"",BY66/BS66-1,"-")</f>
        <v>-0.39678284182305623</v>
      </c>
      <c r="BZ68" s="106">
        <f>IF(BT66&lt;&gt;"",BZ66/BT66-1,"-")</f>
        <v>-0.2862595419847328</v>
      </c>
      <c r="CA68" s="1139">
        <f>IF(BU66&lt;&gt;"",CA66/BU66-1,"-")</f>
        <v>-9.8591549295774628E-2</v>
      </c>
      <c r="CB68" s="106"/>
      <c r="CC68" s="106">
        <f>IF(BW66&lt;&gt;"",CC66/BW66-1,"-")</f>
        <v>-8.7301587301587324E-2</v>
      </c>
      <c r="CD68" s="106">
        <f>IF(BX66&lt;&gt;"",CD66/BX66-1,"-")</f>
        <v>-8.6206896551724088E-2</v>
      </c>
      <c r="CE68" s="106">
        <f>IF(BY66&lt;&gt;"",CE66/BY66-1,"-")</f>
        <v>0.34666666666666668</v>
      </c>
      <c r="CF68" s="106">
        <f>IF(BZ66&lt;&gt;"",CF66/BZ66-1,"-")</f>
        <v>1.0695187165775444E-2</v>
      </c>
      <c r="CG68" s="1139">
        <f>IF(CA66&lt;&gt;"",CG66/CA66-1,"-")</f>
        <v>4.2410714285714191E-2</v>
      </c>
      <c r="CH68" s="106"/>
      <c r="CI68" s="106">
        <f>IF(CC66&lt;&gt;"",CI66/CC66-1,"-")</f>
        <v>5.65217391304349E-2</v>
      </c>
      <c r="CJ68" s="106">
        <f>IF(CD66&lt;&gt;"",CJ66/CD66-1,"-")</f>
        <v>-9.4339622641510523E-3</v>
      </c>
      <c r="CK68" s="106">
        <f>IF(CE66&lt;&gt;"",CK66/CE66-1,"-")</f>
        <v>-0.43894389438943893</v>
      </c>
      <c r="CL68" s="106">
        <f>IF(CF66&lt;&gt;"",CL66/CF66-1,"-")</f>
        <v>-2.6455026455026509E-2</v>
      </c>
      <c r="CM68" s="1139">
        <f>IF(CG66&lt;&gt;"",CM66/CG66-1,"-")</f>
        <v>-0.13597430406852262</v>
      </c>
      <c r="CN68" s="106"/>
      <c r="CO68" s="106">
        <f>IF(CI66&lt;&gt;"",CO66/CI66-1,"-")</f>
        <v>6.5843621399176877E-2</v>
      </c>
      <c r="CP68" s="106">
        <f>IF(CJ66&lt;&gt;"",CP66/CJ66-1,"-")</f>
        <v>0.30000000000000027</v>
      </c>
      <c r="CQ68" s="106">
        <f>IF(CK66&lt;&gt;"",CQ66/CK66-1,"-")</f>
        <v>0.50588235294117645</v>
      </c>
      <c r="CR68" s="106">
        <f>IF(CL66&lt;&gt;"",CR66/CL66-1,"-")</f>
        <v>0.63043478260869579</v>
      </c>
      <c r="CS68" s="1139">
        <f>IF(CM66&lt;&gt;"",CS66/CM66-1,"-")</f>
        <v>0.34820322180917018</v>
      </c>
      <c r="CT68" s="106"/>
      <c r="CU68" s="106">
        <f>IF(CO66&lt;&gt;"",CU66/CO66-1,"-")</f>
        <v>0.28957528957528966</v>
      </c>
      <c r="CV68" s="106">
        <f>IF(CP66&lt;&gt;"",CV66/CP66-1,"-")</f>
        <v>0.22710622710622697</v>
      </c>
      <c r="CW68" s="106">
        <f>IF(CQ66&lt;&gt;"",CW66/CQ66-1,"-")</f>
        <v>1.0234374999999996</v>
      </c>
      <c r="CX68" s="106">
        <f>IF(CR66&lt;&gt;"",CX66/CR66-1,"-")</f>
        <v>0.25</v>
      </c>
      <c r="CY68" s="1139">
        <f>IF(CS66&lt;&gt;"",CY66/CS66-1,"-")</f>
        <v>0.43566176470588203</v>
      </c>
      <c r="CZ68" s="106"/>
      <c r="DA68" s="106">
        <f>IF(CU66&lt;&gt;"",DA66/CU66-1,"-")</f>
        <v>-4.1916167664670656E-2</v>
      </c>
      <c r="DB68" s="106">
        <f>IF(CV66&lt;&gt;"",DB66/CV66-1,"-")</f>
        <v>-7.4626865671641784E-2</v>
      </c>
      <c r="DC68" s="106">
        <f>IF(CW66&lt;&gt;"",DC66/CW66-1,"-")</f>
        <v>-0.38996138996138985</v>
      </c>
      <c r="DD68" s="106">
        <f>IF(CX66&lt;&gt;"",DD66/CX66-1,"-")</f>
        <v>-3.7333333333333329E-2</v>
      </c>
      <c r="DE68" s="1139">
        <f>IF(CY66&lt;&gt;"",DE66/CY66-1,"-")</f>
        <v>-0.16325224071702948</v>
      </c>
      <c r="DF68" s="106"/>
      <c r="DG68" s="106">
        <f>IF(DA66&lt;&gt;"",DG66/DA66-1,"-")</f>
        <v>5.0000000000000044E-2</v>
      </c>
      <c r="DH68" s="106">
        <f>IF(DB66&lt;&gt;"",DH66/DB66-1,"-")</f>
        <v>0.28387096774193532</v>
      </c>
      <c r="DI68" s="106">
        <f>IF(DC66&lt;&gt;"",DI66/DC66-1,"-")</f>
        <v>0.36392405063291133</v>
      </c>
      <c r="DJ68" s="106">
        <f>IF(DD66&lt;&gt;"",DJ66/DD66-1,"-")</f>
        <v>0.36011080332409962</v>
      </c>
      <c r="DK68" s="1139">
        <f>IF(DE66&lt;&gt;"",DK66/DE66-1,"-")</f>
        <v>0.26702371843917372</v>
      </c>
      <c r="DL68" s="106"/>
      <c r="DM68" s="106">
        <f>IF(DG66&lt;&gt;"",DM66/DG66-1,"-")</f>
        <v>0.49404761904761907</v>
      </c>
      <c r="DN68" s="106">
        <f>IF(DH66&lt;&gt;"",DN66/DH66-1,"-")</f>
        <v>2.2613065326633208E-2</v>
      </c>
      <c r="DO68" s="106">
        <f>IF(DI66&lt;&gt;"",DO66/DI66-1,"-")</f>
        <v>0.16473317865429227</v>
      </c>
      <c r="DP68" s="106">
        <f>IF(DJ66&lt;&gt;"",DP66/DJ66-1,"-")</f>
        <v>0.14256619144602856</v>
      </c>
      <c r="DQ68" s="1139">
        <f>IF(DK66&lt;&gt;"",DQ66/DK66-1,"-")</f>
        <v>0.19082125603864752</v>
      </c>
      <c r="DR68" s="106"/>
      <c r="DS68" s="106">
        <f>IF(DM66&lt;&gt;"",DS66/DM66-1,"-")</f>
        <v>0.13346613545816721</v>
      </c>
      <c r="DT68" s="106">
        <f>IF(DN66&lt;&gt;"",DT66/DN66-1,"-")</f>
        <v>0.33415233415233403</v>
      </c>
      <c r="DU68" s="106">
        <f>IF(DO66&lt;&gt;"",DU66/DO66-1,"-")</f>
        <v>0.12749003984063734</v>
      </c>
      <c r="DV68" s="106">
        <f>IF(DP66&lt;&gt;"",DV66/DP66-1,"-")</f>
        <v>5.7040998217468664E-2</v>
      </c>
      <c r="DW68" s="1139">
        <f>IF(DQ66&lt;&gt;"",DW66/DQ66-1,"-")</f>
        <v>0.15162271805273808</v>
      </c>
      <c r="DX68" s="106"/>
      <c r="DY68" s="106">
        <f>IF(DS66&lt;&gt;"",DY66/DS66-1,"-")</f>
        <v>3.6906854130052791E-2</v>
      </c>
      <c r="DZ68" s="106">
        <f>IF(DT66&lt;&gt;"",DZ66/DT66-1,"-")</f>
        <v>8.287292817679548E-2</v>
      </c>
      <c r="EA68" s="106">
        <f>IF(DU66&lt;&gt;"",EA66/DU66-1,"-")</f>
        <v>0.15017667844522964</v>
      </c>
      <c r="EB68" s="106">
        <f>IF(DV66&lt;&gt;"",EB66/DV66-1,"-")</f>
        <v>4.7217537942664478E-2</v>
      </c>
      <c r="EC68" s="1139">
        <f>IF(DW66&lt;&gt;"",EC66/DW66-1,"-")</f>
        <v>7.8819903126376101E-2</v>
      </c>
      <c r="ED68" s="106"/>
      <c r="EE68" s="106">
        <f>IF(DY66&lt;&gt;"",EE66/DY66-1,"-")</f>
        <v>3.3898305084745672E-2</v>
      </c>
      <c r="EF68" s="106">
        <f>IF(DZ66&lt;&gt;"",EF66/DZ66-1,"-")</f>
        <v>3.741496598639471E-2</v>
      </c>
      <c r="EG68" s="106">
        <f>IF(EA66&lt;&gt;"",EG66/EA66-1,"-")</f>
        <v>-6.2980030721966118E-2</v>
      </c>
      <c r="EH68" s="106">
        <f>IF(EB66&lt;&gt;"",EH66/EB66-1,"-")</f>
        <v>-1.7713365539452464E-2</v>
      </c>
      <c r="EI68" s="1139">
        <f>IF(EC66&lt;&gt;"",EI66/EC66-1,"-")</f>
        <v>-4.0816326530611624E-3</v>
      </c>
      <c r="EJ68" s="106"/>
      <c r="EK68" s="106">
        <f>IF(EE66&lt;&gt;"",EK66/EE66-1,"-")</f>
        <v>0</v>
      </c>
      <c r="EL68" s="106">
        <f>IF(EF66&lt;&gt;"",EL66/EF66-1,"-")</f>
        <v>0</v>
      </c>
      <c r="EM68" s="106">
        <f>IF(EG66&lt;&gt;"",EM66/EG66-1,"-")</f>
        <v>0</v>
      </c>
      <c r="EN68" s="106">
        <f>IF(EH66&lt;&gt;"",EN66/EH66-1,"-")</f>
        <v>0</v>
      </c>
      <c r="EO68" s="1139">
        <f>IF(EI66&lt;&gt;"",EO66/EI66-1,"-")</f>
        <v>0</v>
      </c>
      <c r="EP68" s="106"/>
      <c r="EQ68" s="106">
        <f>IF(EK66&lt;&gt;"",EQ66/EK66-1,"-")</f>
        <v>0</v>
      </c>
      <c r="ER68" s="106">
        <f>IF(EL66&lt;&gt;"",ER66/EL66-1,"-")</f>
        <v>0</v>
      </c>
      <c r="ES68" s="106">
        <f>IF(EM66&lt;&gt;"",ES66/EM66-1,"-")</f>
        <v>0</v>
      </c>
      <c r="ET68" s="106">
        <f>IF(EN66&lt;&gt;"",ET66/EN66-1,"-")</f>
        <v>0</v>
      </c>
      <c r="EU68" s="1139">
        <f>IF(EO66&lt;&gt;"",EU66/EO66-1,"-")</f>
        <v>0</v>
      </c>
      <c r="EV68" s="532"/>
    </row>
    <row r="69" spans="1:152" hidden="1" outlineLevel="1">
      <c r="A69" s="1225" t="s">
        <v>4584</v>
      </c>
      <c r="B69" s="629"/>
      <c r="C69" s="1221"/>
      <c r="D69" s="1221"/>
      <c r="E69" s="1221"/>
      <c r="F69" s="1221"/>
      <c r="G69" s="1221"/>
      <c r="H69" s="383"/>
      <c r="I69" s="1221"/>
      <c r="J69" s="1221"/>
      <c r="K69" s="1221"/>
      <c r="L69" s="1221"/>
      <c r="M69" s="1221"/>
      <c r="N69" s="383"/>
      <c r="O69" s="1221"/>
      <c r="P69" s="1221"/>
      <c r="Q69" s="1221"/>
      <c r="R69" s="1221"/>
      <c r="S69" s="1221"/>
      <c r="T69" s="383"/>
      <c r="U69" s="1221"/>
      <c r="V69" s="1221"/>
      <c r="W69" s="1221"/>
      <c r="X69" s="1221"/>
      <c r="Y69" s="1221"/>
      <c r="Z69" s="106"/>
      <c r="AA69" s="1221"/>
      <c r="AB69" s="1221"/>
      <c r="AC69" s="1221"/>
      <c r="AD69" s="1221"/>
      <c r="AE69" s="1221"/>
      <c r="AF69" s="106"/>
      <c r="AG69" s="1221"/>
      <c r="AH69" s="1221"/>
      <c r="AI69" s="1221"/>
      <c r="AJ69" s="1221"/>
      <c r="AK69" s="1221"/>
      <c r="AL69" s="106"/>
      <c r="AM69" s="1221"/>
      <c r="AN69" s="1221"/>
      <c r="AO69" s="1221"/>
      <c r="AP69" s="1221"/>
      <c r="AQ69" s="1221"/>
      <c r="AR69" s="106"/>
      <c r="AS69" s="1221"/>
      <c r="AT69" s="1221"/>
      <c r="AU69" s="1221"/>
      <c r="AV69" s="1221"/>
      <c r="AW69" s="1221"/>
      <c r="AX69" s="106"/>
      <c r="AY69" s="1221"/>
      <c r="AZ69" s="1221"/>
      <c r="BA69" s="106"/>
      <c r="BB69" s="106"/>
      <c r="BC69" s="106"/>
      <c r="BD69" s="106"/>
      <c r="BE69" s="1221"/>
      <c r="BF69" s="1221"/>
      <c r="BG69" s="106"/>
      <c r="BH69" s="106"/>
      <c r="BI69" s="106"/>
      <c r="BJ69" s="106"/>
      <c r="BK69" s="1221">
        <f>IF(BH66&lt;&gt;"",BK66/BH66-1,"-")</f>
        <v>10.105263157894738</v>
      </c>
      <c r="BL69" s="1221">
        <f>IF(BK66&lt;&gt;"",BL66/BK66-1,"-")</f>
        <v>-1.8957345971564066E-2</v>
      </c>
      <c r="BM69" s="106">
        <f>IF(BL66&lt;&gt;"",BM66/BL66-1,"-")</f>
        <v>0.65217391304347849</v>
      </c>
      <c r="BN69" s="106">
        <f>IF(BM66&lt;&gt;"",BN66/BM66-1,"-")</f>
        <v>-0.48245614035087725</v>
      </c>
      <c r="BO69" s="1139" t="s">
        <v>6442</v>
      </c>
      <c r="BP69" s="1224"/>
      <c r="BQ69" s="106">
        <f>IF(BN66&lt;&gt;"",BQ66/BN66-1,"-")</f>
        <v>-0.16384180790960445</v>
      </c>
      <c r="BR69" s="106">
        <f>IF(BQ66&lt;&gt;"",BR66/BQ66-1,"-")</f>
        <v>0.42567567567567566</v>
      </c>
      <c r="BS69" s="106">
        <f>IF(BR66&lt;&gt;"",BS66/BR66-1,"-")</f>
        <v>0.76777251184834094</v>
      </c>
      <c r="BT69" s="106">
        <f>IF(BS66&lt;&gt;"",BT66/BS66-1,"-")</f>
        <v>-0.2975871313672922</v>
      </c>
      <c r="BU69" s="1139" t="s">
        <v>6442</v>
      </c>
      <c r="BV69" s="1224"/>
      <c r="BW69" s="106">
        <f>IF(BT66&lt;&gt;"",BW66/BT66-1,"-")</f>
        <v>-3.8167938931297662E-2</v>
      </c>
      <c r="BX69" s="106">
        <f>IF(BW66&lt;&gt;"",BX66/BW66-1,"-")</f>
        <v>-7.9365079365079416E-2</v>
      </c>
      <c r="BY69" s="106">
        <f>IF(BX66&lt;&gt;"",BY66/BX66-1,"-")</f>
        <v>-3.0172413793103425E-2</v>
      </c>
      <c r="BZ69" s="106">
        <f>IF(BY66&lt;&gt;"",BZ66/BY66-1,"-")</f>
        <v>-0.16888888888888887</v>
      </c>
      <c r="CA69" s="1139" t="s">
        <v>6442</v>
      </c>
      <c r="CB69" s="106"/>
      <c r="CC69" s="106">
        <f>IF(BZ66&lt;&gt;"",CC66/BZ66-1,"-")</f>
        <v>0.22994652406417115</v>
      </c>
      <c r="CD69" s="106">
        <f>IF(CC66&lt;&gt;"",CD66/CC66-1,"-")</f>
        <v>-7.8260869565217384E-2</v>
      </c>
      <c r="CE69" s="106">
        <f>IF(CD66&lt;&gt;"",CE66/CD66-1,"-")</f>
        <v>0.429245283018868</v>
      </c>
      <c r="CF69" s="106">
        <f>IF(CE66&lt;&gt;"",CF66/CE66-1,"-")</f>
        <v>-0.37623762376237635</v>
      </c>
      <c r="CG69" s="1139" t="s">
        <v>6442</v>
      </c>
      <c r="CH69" s="106"/>
      <c r="CI69" s="106">
        <f>IF(CF66&lt;&gt;"",CI66/CF66-1,"-")</f>
        <v>0.28571428571428581</v>
      </c>
      <c r="CJ69" s="106">
        <f>IF(CI66&lt;&gt;"",CJ66/CI66-1,"-")</f>
        <v>-0.13580246913580263</v>
      </c>
      <c r="CK69" s="106">
        <f>IF(CJ66&lt;&gt;"",CK66/CJ66-1,"-")</f>
        <v>-0.19047619047619035</v>
      </c>
      <c r="CL69" s="106">
        <f>IF(CK66&lt;&gt;"",CL66/CK66-1,"-")</f>
        <v>8.2352941176470518E-2</v>
      </c>
      <c r="CM69" s="1139" t="s">
        <v>6442</v>
      </c>
      <c r="CN69" s="106"/>
      <c r="CO69" s="106">
        <f>IF(CL66&lt;&gt;"",CO66/CL66-1,"-")</f>
        <v>0.40760869565217384</v>
      </c>
      <c r="CP69" s="106">
        <f>IF(CO66&lt;&gt;"",CP66/CO66-1,"-")</f>
        <v>5.4054054054054168E-2</v>
      </c>
      <c r="CQ69" s="106">
        <f>IF(CP66&lt;&gt;"",CQ66/CP66-1,"-")</f>
        <v>-6.2271062271062272E-2</v>
      </c>
      <c r="CR69" s="106">
        <f>IF(CQ66&lt;&gt;"",CR66/CQ66-1,"-")</f>
        <v>0.171875</v>
      </c>
      <c r="CS69" s="1139" t="s">
        <v>6442</v>
      </c>
      <c r="CT69" s="106"/>
      <c r="CU69" s="106">
        <f>IF(CR66&lt;&gt;"",CU66/CR66-1,"-")</f>
        <v>0.11333333333333329</v>
      </c>
      <c r="CV69" s="106">
        <f>IF(CU66&lt;&gt;"",CV66/CU66-1,"-")</f>
        <v>2.9940119760478723E-3</v>
      </c>
      <c r="CW69" s="106">
        <f>IF(CV66&lt;&gt;"",CW66/CV66-1,"-")</f>
        <v>0.54626865671641789</v>
      </c>
      <c r="CX69" s="106">
        <f>IF(CW66&lt;&gt;"",CX66/CW66-1,"-")</f>
        <v>-0.27606177606177607</v>
      </c>
      <c r="CY69" s="1139" t="s">
        <v>6442</v>
      </c>
      <c r="CZ69" s="106"/>
      <c r="DA69" s="106">
        <f>IF(CX66&lt;&gt;"",DA66/CX66-1,"-")</f>
        <v>-0.14666666666666661</v>
      </c>
      <c r="DB69" s="106">
        <f>IF(DA66&lt;&gt;"",DB66/DA66-1,"-")</f>
        <v>-3.125E-2</v>
      </c>
      <c r="DC69" s="106">
        <f>IF(DB66&lt;&gt;"",DC66/DB66-1,"-")</f>
        <v>1.9354838709677358E-2</v>
      </c>
      <c r="DD69" s="106">
        <f>IF(DC66&lt;&gt;"",DD66/DC66-1,"-")</f>
        <v>0.14240506329113933</v>
      </c>
      <c r="DE69" s="1139" t="s">
        <v>6442</v>
      </c>
      <c r="DF69" s="106"/>
      <c r="DG69" s="106">
        <f>IF(DD66&lt;&gt;"",DG66/DD66-1,"-")</f>
        <v>-6.9252077562326875E-2</v>
      </c>
      <c r="DH69" s="106">
        <f>IF(DG66&lt;&gt;"",DH66/DG66-1,"-")</f>
        <v>0.18452380952380931</v>
      </c>
      <c r="DI69" s="106">
        <f>IF(DH66&lt;&gt;"",DI66/DH66-1,"-")</f>
        <v>8.2914572864321689E-2</v>
      </c>
      <c r="DJ69" s="106">
        <f>IF(DI66&lt;&gt;"",DJ66/DI66-1,"-")</f>
        <v>0.13921113689095121</v>
      </c>
      <c r="DK69" s="1139" t="s">
        <v>6442</v>
      </c>
      <c r="DL69" s="106"/>
      <c r="DM69" s="106">
        <f>IF(DJ66&lt;&gt;"",DM66/DJ66-1,"-")</f>
        <v>2.2403258655804503E-2</v>
      </c>
      <c r="DN69" s="106">
        <f>IF(DM66&lt;&gt;"",DN66/DM66-1,"-")</f>
        <v>-0.18924302788844616</v>
      </c>
      <c r="DO69" s="106">
        <f>IF(DN66&lt;&gt;"",DO66/DN66-1,"-")</f>
        <v>0.23341523341523329</v>
      </c>
      <c r="DP69" s="106">
        <f>IF(DO66&lt;&gt;"",DP66/DO66-1,"-")</f>
        <v>0.11752988047808755</v>
      </c>
      <c r="DQ69" s="1139" t="s">
        <v>6442</v>
      </c>
      <c r="DR69" s="106"/>
      <c r="DS69" s="106">
        <f>IF(DP66&lt;&gt;"",DS66/DP66-1,"-")</f>
        <v>1.426024955436711E-2</v>
      </c>
      <c r="DT69" s="106">
        <f>IF(DS66&lt;&gt;"",DT66/DS66-1,"-")</f>
        <v>-4.5694200351493852E-2</v>
      </c>
      <c r="DU69" s="106">
        <f>IF(DT66&lt;&gt;"",DU66/DT66-1,"-")</f>
        <v>4.2357274401473299E-2</v>
      </c>
      <c r="DV69" s="106">
        <f>IF(DU66&lt;&gt;"",DV66/DU66-1,"-")</f>
        <v>4.7703180212014029E-2</v>
      </c>
      <c r="DW69" s="1139" t="s">
        <v>6442</v>
      </c>
      <c r="DX69" s="106"/>
      <c r="DY69" s="106">
        <f>IF(DV66&lt;&gt;"",DY66/DV66-1,"-")</f>
        <v>-5.0590219224282418E-3</v>
      </c>
      <c r="DZ69" s="106">
        <f>IF(DY66&lt;&gt;"",DZ66/DY66-1,"-")</f>
        <v>-3.3898305084746339E-3</v>
      </c>
      <c r="EA69" s="106">
        <f>IF(DZ66&lt;&gt;"",EA66/DZ66-1,"-")</f>
        <v>0.10714285714285721</v>
      </c>
      <c r="EB69" s="106">
        <f>IF(EA66&lt;&gt;"",EB66/EA66-1,"-")</f>
        <v>-4.6082949308755672E-2</v>
      </c>
      <c r="EC69" s="1139" t="s">
        <v>6442</v>
      </c>
      <c r="ED69" s="106"/>
      <c r="EE69" s="106">
        <f>IF(EB66&lt;&gt;"",EE66/EB66-1,"-")</f>
        <v>-1.7713365539452464E-2</v>
      </c>
      <c r="EF69" s="106">
        <f>IF(EE66&lt;&gt;"",EF66/EE66-1,"-")</f>
        <v>0</v>
      </c>
      <c r="EG69" s="106">
        <f>IF(EF66&lt;&gt;"",EG66/EF66-1,"-")</f>
        <v>0</v>
      </c>
      <c r="EH69" s="106">
        <f>IF(EG66&lt;&gt;"",EH66/EG66-1,"-")</f>
        <v>0</v>
      </c>
      <c r="EI69" s="1139" t="s">
        <v>6442</v>
      </c>
      <c r="EJ69" s="106"/>
      <c r="EK69" s="106">
        <f>IF(EH66&lt;&gt;"",EK66/EH66-1,"-")</f>
        <v>0</v>
      </c>
      <c r="EL69" s="106">
        <f>IF(EK66&lt;&gt;"",EL66/EK66-1,"-")</f>
        <v>0</v>
      </c>
      <c r="EM69" s="106">
        <f>IF(EL66&lt;&gt;"",EM66/EL66-1,"-")</f>
        <v>0</v>
      </c>
      <c r="EN69" s="106">
        <f>IF(EM66&lt;&gt;"",EN66/EM66-1,"-")</f>
        <v>0</v>
      </c>
      <c r="EO69" s="1139" t="s">
        <v>6442</v>
      </c>
      <c r="EP69" s="106"/>
      <c r="EQ69" s="106">
        <f>IF(EN66&lt;&gt;"",EQ66/EN66-1,"-")</f>
        <v>0</v>
      </c>
      <c r="ER69" s="106">
        <f>IF(EQ66&lt;&gt;"",ER66/EQ66-1,"-")</f>
        <v>0</v>
      </c>
      <c r="ES69" s="106">
        <f>IF(ER66&lt;&gt;"",ES66/ER66-1,"-")</f>
        <v>0</v>
      </c>
      <c r="ET69" s="106">
        <f>IF(ES66&lt;&gt;"",ET66/ES66-1,"-")</f>
        <v>0</v>
      </c>
      <c r="EU69" s="1139" t="s">
        <v>6442</v>
      </c>
      <c r="EV69" s="532"/>
    </row>
    <row r="70" spans="1:152" ht="12" customHeight="1" collapsed="1">
      <c r="A70" s="624" t="s">
        <v>715</v>
      </c>
      <c r="B70" s="593"/>
      <c r="C70" s="384">
        <v>0</v>
      </c>
      <c r="D70" s="384">
        <v>3.2</v>
      </c>
      <c r="E70" s="384">
        <v>1.5</v>
      </c>
      <c r="F70" s="384">
        <v>0</v>
      </c>
      <c r="G70" s="384">
        <v>4.7</v>
      </c>
      <c r="H70" s="384"/>
      <c r="I70" s="384">
        <v>22.2</v>
      </c>
      <c r="J70" s="384">
        <v>8.8000000000000007</v>
      </c>
      <c r="K70" s="384">
        <v>5.3</v>
      </c>
      <c r="L70" s="384">
        <v>1.6</v>
      </c>
      <c r="M70" s="384">
        <v>37.9</v>
      </c>
      <c r="N70" s="384"/>
      <c r="O70" s="384">
        <f>SUM(O71:O76)</f>
        <v>6.133</v>
      </c>
      <c r="P70" s="384">
        <f>SUM(P71:P76)</f>
        <v>8.9580000000000002</v>
      </c>
      <c r="Q70" s="384">
        <f>SUM(Q71:Q76)</f>
        <v>7.4050000000000002</v>
      </c>
      <c r="R70" s="384">
        <f>SUM(R71:R76)</f>
        <v>7.3090000000000002</v>
      </c>
      <c r="S70" s="384">
        <f>SUM(S71:S76)</f>
        <v>29.805</v>
      </c>
      <c r="T70" s="384"/>
      <c r="U70" s="384">
        <f>SUM(U71:U76)</f>
        <v>29.024999999999999</v>
      </c>
      <c r="V70" s="384">
        <f>SUM(V71:V76)</f>
        <v>7.7930000000000001</v>
      </c>
      <c r="W70" s="384">
        <f>SUM(W71:W76)</f>
        <v>22.529</v>
      </c>
      <c r="X70" s="384">
        <f>SUM(X71:X76)</f>
        <v>6.0250000000000004</v>
      </c>
      <c r="Y70" s="384">
        <f>SUM(Y71:Y76)</f>
        <v>65.372</v>
      </c>
      <c r="Z70" s="384"/>
      <c r="AA70" s="384">
        <f>SUM(AA71:AA76)</f>
        <v>6.9880000000000004</v>
      </c>
      <c r="AB70" s="384">
        <f>SUM(AB71:AB76)</f>
        <v>7.2720000000000002</v>
      </c>
      <c r="AC70" s="384">
        <f>SUM(AC71:AC76)</f>
        <v>5.4219999999999997</v>
      </c>
      <c r="AD70" s="384">
        <f>SUM(AD71:AD76)</f>
        <v>5.6130000000000004</v>
      </c>
      <c r="AE70" s="384">
        <f>SUM(AE71:AE76)</f>
        <v>25.295000000000002</v>
      </c>
      <c r="AF70" s="384"/>
      <c r="AG70" s="384">
        <f>SUM(AG71:AG76)</f>
        <v>5.3070000000000004</v>
      </c>
      <c r="AH70" s="384">
        <f>SUM(AH71:AH76)</f>
        <v>14.948</v>
      </c>
      <c r="AI70" s="384">
        <f>SUM(AI71:AI76)</f>
        <v>3.0269999999999992</v>
      </c>
      <c r="AJ70" s="384">
        <f>SUM(AJ71:AJ76)</f>
        <v>21.79</v>
      </c>
      <c r="AK70" s="384">
        <f>SUM(AK71:AK76)</f>
        <v>45.072000000000003</v>
      </c>
      <c r="AL70" s="384"/>
      <c r="AM70" s="384">
        <f>SUM(AM71:AM76)</f>
        <v>1.542</v>
      </c>
      <c r="AN70" s="384">
        <f>SUM(AN71:AN76)</f>
        <v>3.7349999999999999</v>
      </c>
      <c r="AO70" s="384">
        <f>SUM(AO71:AO76)</f>
        <v>13.286</v>
      </c>
      <c r="AP70" s="384">
        <f>SUM(AP71:AP76)</f>
        <v>7.3239999999999998</v>
      </c>
      <c r="AQ70" s="384">
        <f>SUM(AQ71:AQ76)</f>
        <v>25.887</v>
      </c>
      <c r="AR70" s="384"/>
      <c r="AS70" s="384">
        <f>SUM(AS71:AS76)</f>
        <v>0</v>
      </c>
      <c r="AT70" s="384">
        <f>SUM(AT71:AT76)</f>
        <v>0</v>
      </c>
      <c r="AU70" s="384">
        <f>SUM(AU71:AU76)</f>
        <v>0</v>
      </c>
      <c r="AV70" s="384">
        <f>SUM(AV71:AV76)</f>
        <v>3.1829999999999998</v>
      </c>
      <c r="AW70" s="384">
        <f>SUM(AW71:AW76)</f>
        <v>3.1829999999999998</v>
      </c>
      <c r="AX70" s="384"/>
      <c r="AY70" s="93">
        <f>SUM(AY71:AY75)</f>
        <v>8.3000000000000007</v>
      </c>
      <c r="AZ70" s="93">
        <f>SUM(AZ71:AZ75)</f>
        <v>3.7</v>
      </c>
      <c r="BA70" s="93">
        <f>SUM(BA71:BA75)</f>
        <v>2.9220000000000002</v>
      </c>
      <c r="BB70" s="93">
        <f>SUM(BB71:BB75)</f>
        <v>11.811</v>
      </c>
      <c r="BC70" s="93">
        <f>SUM(BC71:BC75)</f>
        <v>26.733000000000001</v>
      </c>
      <c r="BD70" s="384"/>
      <c r="BE70" s="93">
        <f>SUM(BE71:BE75)</f>
        <v>0</v>
      </c>
      <c r="BF70" s="93">
        <f>SUM(BF71:BF75)</f>
        <v>0</v>
      </c>
      <c r="BG70" s="93">
        <f>SUM(BG71:BG75)</f>
        <v>0</v>
      </c>
      <c r="BH70" s="93">
        <f>SUM(BH71:BH75)</f>
        <v>8.6</v>
      </c>
      <c r="BI70" s="93">
        <f>SUM(BI71:BI75)</f>
        <v>8.6</v>
      </c>
      <c r="BJ70" s="384"/>
      <c r="BK70" s="93">
        <f>SUM(BK71:BK75)</f>
        <v>20.365000000000002</v>
      </c>
      <c r="BL70" s="885">
        <f>SUM(BL71:BL75)</f>
        <v>-8.2000000000000011</v>
      </c>
      <c r="BM70" s="885">
        <f>SUM(BM71:BM75)</f>
        <v>3.5999999999999996</v>
      </c>
      <c r="BN70" s="885">
        <f>SUM(BN71:BN75)</f>
        <v>4.0999999999999996</v>
      </c>
      <c r="BO70" s="1101">
        <f>SUM(BO71:BO75)</f>
        <v>19.864999999999998</v>
      </c>
      <c r="BP70" s="93"/>
      <c r="BQ70" s="885">
        <f>SUM(BQ71:BQ75)</f>
        <v>16</v>
      </c>
      <c r="BR70" s="885">
        <f>SUM(BR71:BR75)</f>
        <v>5.0999999999999996</v>
      </c>
      <c r="BS70" s="885">
        <f>SUM(BS71:BS75)</f>
        <v>7.9</v>
      </c>
      <c r="BT70" s="885">
        <f>SUM(BT71:BT75)</f>
        <v>10.3</v>
      </c>
      <c r="BU70" s="1101">
        <f>SUM(BU71:BU75)</f>
        <v>39.299999999999997</v>
      </c>
      <c r="BV70" s="93"/>
      <c r="BW70" s="885">
        <f>SUM(BW71:BW75)</f>
        <v>6.5</v>
      </c>
      <c r="BX70" s="885">
        <f>SUM(BX71:BX75)</f>
        <v>28.500000000000004</v>
      </c>
      <c r="BY70" s="885">
        <f>SUM(BY71:BY75)</f>
        <v>14.8</v>
      </c>
      <c r="BZ70" s="885">
        <f>SUM(BZ71:BZ75)</f>
        <v>192.8</v>
      </c>
      <c r="CA70" s="1101">
        <f>SUM(CA71:CA75)</f>
        <v>242.60000000000002</v>
      </c>
      <c r="CB70" s="384"/>
      <c r="CC70" s="885">
        <f>SUM(CC71:CC75)</f>
        <v>52.2</v>
      </c>
      <c r="CD70" s="885">
        <f>SUM(CD71:CD75)</f>
        <v>41.4</v>
      </c>
      <c r="CE70" s="885">
        <f>SUM(CE71:CE75)</f>
        <v>20</v>
      </c>
      <c r="CF70" s="885">
        <f>SUM(CF71:CF75)</f>
        <v>14</v>
      </c>
      <c r="CG70" s="1101">
        <f>SUM(CG71:CG75)</f>
        <v>127.60000000000001</v>
      </c>
      <c r="CH70" s="384"/>
      <c r="CI70" s="885">
        <f>SUM(CI71:CI75)</f>
        <v>21</v>
      </c>
      <c r="CJ70" s="885">
        <f>SUM(CJ71:CJ75)</f>
        <v>15.500000000000002</v>
      </c>
      <c r="CK70" s="885">
        <f>SUM(CK71:CK75)</f>
        <v>14.100000000000001</v>
      </c>
      <c r="CL70" s="885">
        <f>SUM(CL71:CL75)</f>
        <v>16.100000000000001</v>
      </c>
      <c r="CM70" s="1101">
        <f>SUM(CM71:CM75)</f>
        <v>66.7</v>
      </c>
      <c r="CN70" s="384"/>
      <c r="CO70" s="885">
        <f>SUM(CO71:CO75)</f>
        <v>14.6</v>
      </c>
      <c r="CP70" s="885">
        <f>SUM(CP71:CP75)</f>
        <v>16.5</v>
      </c>
      <c r="CQ70" s="885">
        <f>SUM(CQ71:CQ75)</f>
        <v>19.299999999999997</v>
      </c>
      <c r="CR70" s="885">
        <f>SUM(CR71:CR75)</f>
        <v>18.600000000000001</v>
      </c>
      <c r="CS70" s="1101">
        <f>SUM(CS71:CS75)</f>
        <v>69</v>
      </c>
      <c r="CT70" s="384"/>
      <c r="CU70" s="885">
        <f>SUM(CU71:CU75)</f>
        <v>17.600000000000001</v>
      </c>
      <c r="CV70" s="885">
        <f>SUM(CV71:CV75)</f>
        <v>17.5</v>
      </c>
      <c r="CW70" s="885">
        <f>SUM(CW71:CW75)</f>
        <v>58.900000000000006</v>
      </c>
      <c r="CX70" s="885">
        <f>SUM(CX71:CX75)</f>
        <v>30.2</v>
      </c>
      <c r="CY70" s="1101">
        <f>SUM(CY71:CY75)</f>
        <v>124.20000000000002</v>
      </c>
      <c r="CZ70" s="384"/>
      <c r="DA70" s="885">
        <f>SUM(DA71:DA75)</f>
        <v>24.200000000000003</v>
      </c>
      <c r="DB70" s="885">
        <f>SUM(DB71:DB75)</f>
        <v>20.3</v>
      </c>
      <c r="DC70" s="885">
        <f>SUM(DC71:DC75)</f>
        <v>22.6</v>
      </c>
      <c r="DD70" s="885">
        <f>SUM(DD71:DD75)</f>
        <v>26.900000000000002</v>
      </c>
      <c r="DE70" s="1101">
        <f>SUM(DE71:DE75)</f>
        <v>94.000000000000014</v>
      </c>
      <c r="DF70" s="384"/>
      <c r="DG70" s="885">
        <f>SUM(DG71:DG75)</f>
        <v>26.2</v>
      </c>
      <c r="DH70" s="885">
        <f>SUM(DH71:DH75)</f>
        <v>25.400000000000002</v>
      </c>
      <c r="DI70" s="885">
        <f>SUM(DI71:DI75)</f>
        <v>22.6</v>
      </c>
      <c r="DJ70" s="885">
        <f>SUM(DJ71:DJ75)</f>
        <v>21.9</v>
      </c>
      <c r="DK70" s="1101">
        <f>SUM(DK71:DK75)</f>
        <v>96.1</v>
      </c>
      <c r="DL70" s="384"/>
      <c r="DM70" s="885">
        <f>SUM(DM71:DM75)</f>
        <v>22.4</v>
      </c>
      <c r="DN70" s="885">
        <f>SUM(DN71:DN75)</f>
        <v>20.2</v>
      </c>
      <c r="DO70" s="885">
        <f>SUM(DO71:DO75)</f>
        <v>19.7</v>
      </c>
      <c r="DP70" s="885">
        <f>SUM(DP71:DP75)</f>
        <v>19.899999999999999</v>
      </c>
      <c r="DQ70" s="1101">
        <f>SUM(DQ71:DQ75)</f>
        <v>82.199999999999989</v>
      </c>
      <c r="DR70" s="384"/>
      <c r="DS70" s="885">
        <f>SUM(DS71:DS75)</f>
        <v>70.599999999999994</v>
      </c>
      <c r="DT70" s="93">
        <f>SUM(DT71:DT75)</f>
        <v>34.5</v>
      </c>
      <c r="DU70" s="93">
        <f>SUM(DU71:DU75)</f>
        <v>20.399999999999999</v>
      </c>
      <c r="DV70" s="885">
        <f>SUM(DV71:DV75)</f>
        <v>26.3</v>
      </c>
      <c r="DW70" s="1101">
        <f>SUM(DW71:DW75)</f>
        <v>151.80000000000001</v>
      </c>
      <c r="DX70" s="384"/>
      <c r="DY70" s="885">
        <f>SUM(DY71:DY75)</f>
        <v>21.1</v>
      </c>
      <c r="DZ70" s="93">
        <f>SUM(DZ71:DZ75)</f>
        <v>20</v>
      </c>
      <c r="EA70" s="885">
        <f>SUM(EA71:EA75)</f>
        <v>8.6999999999999993</v>
      </c>
      <c r="EB70" s="885">
        <f>SUM(EB71:EB75)</f>
        <v>102.30000000000001</v>
      </c>
      <c r="EC70" s="1101">
        <f>SUM(EC71:EC75)</f>
        <v>152.1</v>
      </c>
      <c r="ED70" s="384"/>
      <c r="EE70" s="885">
        <f>SUM(EE71:EE75)</f>
        <v>29.9</v>
      </c>
      <c r="EF70" s="885">
        <f>SUM(EF71:EF75)</f>
        <v>16.399999999999999</v>
      </c>
      <c r="EG70" s="885">
        <f>SUM(EG71:EG75)</f>
        <v>14.2</v>
      </c>
      <c r="EH70" s="885">
        <f>SUM(EH71:EH75)</f>
        <v>7.5000000000000018</v>
      </c>
      <c r="EI70" s="1101">
        <f>SUM(EI71:EI75)</f>
        <v>68</v>
      </c>
      <c r="EJ70" s="384"/>
      <c r="EK70" s="885">
        <f>SUM(EK71:EK75)</f>
        <v>7.9</v>
      </c>
      <c r="EL70" s="885">
        <f>SUM(EL71:EL75)</f>
        <v>6.4</v>
      </c>
      <c r="EM70" s="885">
        <f>SUM(EM71:EM75)</f>
        <v>6.1999999999999993</v>
      </c>
      <c r="EN70" s="885">
        <f>SUM(EN71:EN75)</f>
        <v>6.5000000000000018</v>
      </c>
      <c r="EO70" s="1101">
        <f>SUM(EO71:EO75)</f>
        <v>27</v>
      </c>
      <c r="EP70" s="384"/>
      <c r="EQ70" s="885">
        <f>SUM(EQ71:EQ75)</f>
        <v>7.9</v>
      </c>
      <c r="ER70" s="885">
        <f>SUM(ER71:ER75)</f>
        <v>6.4</v>
      </c>
      <c r="ES70" s="885">
        <f>SUM(ES71:ES75)</f>
        <v>6.1999999999999993</v>
      </c>
      <c r="ET70" s="885">
        <f>SUM(ET71:ET75)</f>
        <v>6.5000000000000018</v>
      </c>
      <c r="EU70" s="1101">
        <f>SUM(EU71:EU75)</f>
        <v>27</v>
      </c>
      <c r="EV70" s="27"/>
    </row>
    <row r="71" spans="1:152" ht="12.75" hidden="1" customHeight="1" outlineLevel="1">
      <c r="A71" s="830" t="s">
        <v>6303</v>
      </c>
      <c r="B71" s="444"/>
      <c r="C71" s="384"/>
      <c r="D71" s="384"/>
      <c r="E71" s="384"/>
      <c r="F71" s="384"/>
      <c r="G71" s="384"/>
      <c r="H71" s="93"/>
      <c r="I71" s="384"/>
      <c r="J71" s="384"/>
      <c r="K71" s="384"/>
      <c r="L71" s="384"/>
      <c r="M71" s="384"/>
      <c r="N71" s="93"/>
      <c r="O71" s="384">
        <v>6.5380000000000003</v>
      </c>
      <c r="P71" s="384">
        <v>7.4640000000000004</v>
      </c>
      <c r="Q71" s="384">
        <v>7.4050000000000002</v>
      </c>
      <c r="R71" s="384">
        <v>7.3090000000000002</v>
      </c>
      <c r="S71" s="384">
        <f>SUM(O71:R71)</f>
        <v>28.716000000000001</v>
      </c>
      <c r="T71" s="384"/>
      <c r="U71" s="384">
        <v>7.2439999999999998</v>
      </c>
      <c r="V71" s="384">
        <v>7.7930000000000001</v>
      </c>
      <c r="W71" s="384">
        <v>7.8010000000000002</v>
      </c>
      <c r="X71" s="384">
        <v>7.7869999999999999</v>
      </c>
      <c r="Y71" s="384">
        <f t="shared" ref="Y71:Y76" si="22">SUM(U71:X71)</f>
        <v>30.625</v>
      </c>
      <c r="Z71" s="384"/>
      <c r="AA71" s="384">
        <v>7.7880000000000003</v>
      </c>
      <c r="AB71" s="384">
        <v>7.2720000000000002</v>
      </c>
      <c r="AC71" s="384">
        <v>5.8559999999999999</v>
      </c>
      <c r="AD71" s="384">
        <v>5.6130000000000004</v>
      </c>
      <c r="AE71" s="384">
        <f t="shared" ref="AE71:AE76" si="23">SUM(AA71:AD71)</f>
        <v>26.529</v>
      </c>
      <c r="AF71" s="384"/>
      <c r="AG71" s="384">
        <v>5.3070000000000004</v>
      </c>
      <c r="AH71" s="384">
        <v>5.1740000000000004</v>
      </c>
      <c r="AI71" s="384">
        <v>5.1980000000000004</v>
      </c>
      <c r="AJ71" s="384">
        <v>5.2240000000000002</v>
      </c>
      <c r="AK71" s="384">
        <f t="shared" ref="AK71:AK76" si="24">SUM(AG71:AJ71)</f>
        <v>20.903000000000002</v>
      </c>
      <c r="AL71" s="384"/>
      <c r="AM71" s="384">
        <v>0</v>
      </c>
      <c r="AN71" s="384">
        <v>0</v>
      </c>
      <c r="AO71" s="384">
        <v>0</v>
      </c>
      <c r="AP71" s="384">
        <v>0</v>
      </c>
      <c r="AQ71" s="384">
        <f t="shared" ref="AQ71:AQ76" si="25">SUM(AM71:AP71)</f>
        <v>0</v>
      </c>
      <c r="AR71" s="384"/>
      <c r="AS71" s="384">
        <v>0</v>
      </c>
      <c r="AT71" s="384">
        <v>0</v>
      </c>
      <c r="AU71" s="384">
        <v>0</v>
      </c>
      <c r="AV71" s="384">
        <v>0</v>
      </c>
      <c r="AW71" s="384">
        <f t="shared" ref="AW71:AW76" si="26">SUM(AS71:AV71)</f>
        <v>0</v>
      </c>
      <c r="AX71" s="384"/>
      <c r="AY71" s="384">
        <v>0</v>
      </c>
      <c r="AZ71" s="384">
        <v>0</v>
      </c>
      <c r="BA71" s="384">
        <v>0</v>
      </c>
      <c r="BB71" s="384">
        <v>0</v>
      </c>
      <c r="BC71" s="384">
        <f t="shared" ref="BC71:BC76" si="27">SUM(AY71:BB71)</f>
        <v>0</v>
      </c>
      <c r="BD71" s="384"/>
      <c r="BE71" s="384">
        <v>0</v>
      </c>
      <c r="BF71" s="384">
        <v>0</v>
      </c>
      <c r="BG71" s="384">
        <v>0</v>
      </c>
      <c r="BH71" s="384">
        <v>0.7</v>
      </c>
      <c r="BI71" s="384">
        <f>SUM(BE71:BH71)</f>
        <v>0.7</v>
      </c>
      <c r="BJ71" s="93"/>
      <c r="BK71" s="384">
        <f>1.5+2.1</f>
        <v>3.6</v>
      </c>
      <c r="BL71" s="384">
        <f>1.7+1.9</f>
        <v>3.5999999999999996</v>
      </c>
      <c r="BM71" s="384">
        <f>1.7+1.9</f>
        <v>3.5999999999999996</v>
      </c>
      <c r="BN71" s="384">
        <f>2.1+2</f>
        <v>4.0999999999999996</v>
      </c>
      <c r="BO71" s="1261">
        <f t="shared" ref="BO71:BO76" si="28">SUM(BK71:BN71)</f>
        <v>14.899999999999999</v>
      </c>
      <c r="BP71" s="93"/>
      <c r="BQ71" s="384">
        <f>2.1+1.9</f>
        <v>4</v>
      </c>
      <c r="BR71" s="384">
        <f>2.1+2</f>
        <v>4.0999999999999996</v>
      </c>
      <c r="BS71" s="384">
        <f>3.1+2.3</f>
        <v>5.4</v>
      </c>
      <c r="BT71" s="384">
        <f>3.4+3.2</f>
        <v>6.6</v>
      </c>
      <c r="BU71" s="1261">
        <f t="shared" ref="BU71:BU76" si="29">SUM(BQ71:BT71)</f>
        <v>20.100000000000001</v>
      </c>
      <c r="BV71" s="93"/>
      <c r="BW71" s="384">
        <f>3.6+2.9</f>
        <v>6.5</v>
      </c>
      <c r="BX71" s="384">
        <f>6.4+16.8+5.3</f>
        <v>28.500000000000004</v>
      </c>
      <c r="BY71" s="384">
        <f>7.2+1.2+6.4</f>
        <v>14.8</v>
      </c>
      <c r="BZ71" s="384">
        <f>7.9+6.9+8.9</f>
        <v>23.700000000000003</v>
      </c>
      <c r="CA71" s="1261">
        <f t="shared" ref="CA71:CA76" si="30">SUM(BW71:BZ71)</f>
        <v>73.5</v>
      </c>
      <c r="CB71" s="93"/>
      <c r="CC71" s="384">
        <f>8.3+6.4</f>
        <v>14.700000000000001</v>
      </c>
      <c r="CD71" s="384">
        <f>8.3+6.7</f>
        <v>15</v>
      </c>
      <c r="CE71" s="384">
        <f>8.7+6.4</f>
        <v>15.1</v>
      </c>
      <c r="CF71" s="384">
        <f>6+7.6</f>
        <v>13.6</v>
      </c>
      <c r="CG71" s="1261">
        <f t="shared" ref="CG71:CG76" si="31">SUM(CC71:CF71)</f>
        <v>58.400000000000006</v>
      </c>
      <c r="CH71" s="93"/>
      <c r="CI71" s="384">
        <f>7.7+6.2</f>
        <v>13.9</v>
      </c>
      <c r="CJ71" s="384">
        <f>5.9+7.7</f>
        <v>13.600000000000001</v>
      </c>
      <c r="CK71" s="384">
        <f>8.4+5.7</f>
        <v>14.100000000000001</v>
      </c>
      <c r="CL71" s="384">
        <f>8.1+6.2</f>
        <v>14.3</v>
      </c>
      <c r="CM71" s="1261">
        <f t="shared" ref="CM71:CM76" si="32">SUM(CI71:CL71)</f>
        <v>55.900000000000006</v>
      </c>
      <c r="CN71" s="93"/>
      <c r="CO71" s="384">
        <f>8.1+6.5</f>
        <v>14.6</v>
      </c>
      <c r="CP71" s="384">
        <f>8.5+9.3</f>
        <v>17.8</v>
      </c>
      <c r="CQ71" s="384">
        <f>8.2+11.1</f>
        <v>19.299999999999997</v>
      </c>
      <c r="CR71" s="384">
        <f>8.3+10.3</f>
        <v>18.600000000000001</v>
      </c>
      <c r="CS71" s="1261">
        <f t="shared" ref="CS71:CS76" si="33">SUM(CO71:CR71)</f>
        <v>70.3</v>
      </c>
      <c r="CT71" s="93"/>
      <c r="CU71" s="384">
        <f>7.8+9.8</f>
        <v>17.600000000000001</v>
      </c>
      <c r="CV71" s="384">
        <f>9.6+7.9</f>
        <v>17.5</v>
      </c>
      <c r="CW71" s="384">
        <f>9.9+13.8</f>
        <v>23.700000000000003</v>
      </c>
      <c r="CX71" s="384">
        <f>10.4+12.6</f>
        <v>23</v>
      </c>
      <c r="CY71" s="1261">
        <f t="shared" ref="CY71:CY76" si="34">SUM(CU71:CX71)</f>
        <v>81.800000000000011</v>
      </c>
      <c r="CZ71" s="93"/>
      <c r="DA71" s="384">
        <f>10.8+10.8</f>
        <v>21.6</v>
      </c>
      <c r="DB71" s="384">
        <f>11+9.3</f>
        <v>20.3</v>
      </c>
      <c r="DC71" s="384">
        <f>10.8+7.4</f>
        <v>18.200000000000003</v>
      </c>
      <c r="DD71" s="384">
        <f>9+11.6</f>
        <v>20.6</v>
      </c>
      <c r="DE71" s="1261">
        <f t="shared" ref="DE71:DE76" si="35">SUM(DA71:DD71)</f>
        <v>80.700000000000017</v>
      </c>
      <c r="DF71" s="93"/>
      <c r="DG71" s="384">
        <f>13+10.9</f>
        <v>23.9</v>
      </c>
      <c r="DH71" s="384">
        <f>14.5+10.1</f>
        <v>24.6</v>
      </c>
      <c r="DI71" s="384">
        <f>13.1+9.5</f>
        <v>22.6</v>
      </c>
      <c r="DJ71" s="384">
        <f>12.6+9.3</f>
        <v>21.9</v>
      </c>
      <c r="DK71" s="1261">
        <f t="shared" ref="DK71:DK76" si="36">SUM(DG71:DJ71)</f>
        <v>93</v>
      </c>
      <c r="DL71" s="93"/>
      <c r="DM71" s="384">
        <f>13.5+8.9</f>
        <v>22.4</v>
      </c>
      <c r="DN71" s="384">
        <f>12+8.2</f>
        <v>20.2</v>
      </c>
      <c r="DO71" s="384">
        <f>11.6+8.1</f>
        <v>19.7</v>
      </c>
      <c r="DP71" s="384">
        <f>11.9+8</f>
        <v>19.899999999999999</v>
      </c>
      <c r="DQ71" s="1261">
        <f t="shared" ref="DQ71:DQ76" si="37">SUM(DM71:DP71)</f>
        <v>82.199999999999989</v>
      </c>
      <c r="DR71" s="93"/>
      <c r="DS71" s="384">
        <f>7.9+10.9</f>
        <v>18.8</v>
      </c>
      <c r="DT71" s="384">
        <f>7.8+10.7</f>
        <v>18.5</v>
      </c>
      <c r="DU71" s="384">
        <f>6.8+10.4</f>
        <v>17.2</v>
      </c>
      <c r="DV71" s="384">
        <f>8+9.3</f>
        <v>17.3</v>
      </c>
      <c r="DW71" s="1261">
        <f t="shared" ref="DW71:DW76" si="38">SUM(DS71:DV71)</f>
        <v>71.8</v>
      </c>
      <c r="DX71" s="93"/>
      <c r="DY71" s="384">
        <f>4.7+5.7</f>
        <v>10.4</v>
      </c>
      <c r="DZ71" s="384">
        <f>4.9+4</f>
        <v>8.9</v>
      </c>
      <c r="EA71" s="384">
        <f>4.7+4</f>
        <v>8.6999999999999993</v>
      </c>
      <c r="EB71" s="384">
        <f>4.9+3.7</f>
        <v>8.6000000000000014</v>
      </c>
      <c r="EC71" s="1261">
        <f t="shared" ref="EC71:EC76" si="39">SUM(DY71:EB71)</f>
        <v>36.6</v>
      </c>
      <c r="ED71" s="93"/>
      <c r="EE71" s="472">
        <f>DY71-2.5</f>
        <v>7.9</v>
      </c>
      <c r="EF71" s="472">
        <f>DZ71-2.5</f>
        <v>6.4</v>
      </c>
      <c r="EG71" s="472">
        <f>EA71-2.5</f>
        <v>6.1999999999999993</v>
      </c>
      <c r="EH71" s="472">
        <f>EB71-2.1</f>
        <v>6.5000000000000018</v>
      </c>
      <c r="EI71" s="1261">
        <f t="shared" ref="EI71:EI76" si="40">SUM(EE71:EH71)</f>
        <v>27</v>
      </c>
      <c r="EJ71" s="93"/>
      <c r="EK71" s="472">
        <f>EE71</f>
        <v>7.9</v>
      </c>
      <c r="EL71" s="472">
        <f>EF71</f>
        <v>6.4</v>
      </c>
      <c r="EM71" s="472">
        <f>EG71</f>
        <v>6.1999999999999993</v>
      </c>
      <c r="EN71" s="472">
        <f>EH71</f>
        <v>6.5000000000000018</v>
      </c>
      <c r="EO71" s="1261">
        <f t="shared" ref="EO71:EO76" si="41">SUM(EK71:EN71)</f>
        <v>27</v>
      </c>
      <c r="EP71" s="93"/>
      <c r="EQ71" s="472">
        <f>EK71</f>
        <v>7.9</v>
      </c>
      <c r="ER71" s="472">
        <f>EL71</f>
        <v>6.4</v>
      </c>
      <c r="ES71" s="472">
        <f>EM71</f>
        <v>6.1999999999999993</v>
      </c>
      <c r="ET71" s="472">
        <f>EN71</f>
        <v>6.5000000000000018</v>
      </c>
      <c r="EU71" s="1261">
        <f t="shared" ref="EU71:EU76" si="42">SUM(EQ71:ET71)</f>
        <v>27</v>
      </c>
      <c r="EV71" s="45"/>
    </row>
    <row r="72" spans="1:152" ht="12.75" hidden="1" customHeight="1" outlineLevel="1">
      <c r="A72" s="830" t="s">
        <v>6436</v>
      </c>
      <c r="B72" s="444" t="s">
        <v>4585</v>
      </c>
      <c r="C72" s="384"/>
      <c r="D72" s="384"/>
      <c r="E72" s="384"/>
      <c r="F72" s="384"/>
      <c r="G72" s="384">
        <f>SUM(C72:F72)</f>
        <v>0</v>
      </c>
      <c r="H72" s="93"/>
      <c r="I72" s="384"/>
      <c r="J72" s="384"/>
      <c r="K72" s="384"/>
      <c r="L72" s="384"/>
      <c r="M72" s="384">
        <f>SUM(I72:L72)</f>
        <v>0</v>
      </c>
      <c r="N72" s="93"/>
      <c r="O72" s="384">
        <v>0</v>
      </c>
      <c r="P72" s="384">
        <v>0</v>
      </c>
      <c r="Q72" s="384">
        <v>0</v>
      </c>
      <c r="R72" s="384">
        <v>0</v>
      </c>
      <c r="S72" s="384">
        <v>0</v>
      </c>
      <c r="T72" s="384"/>
      <c r="U72" s="384">
        <v>0</v>
      </c>
      <c r="V72" s="384">
        <v>0</v>
      </c>
      <c r="W72" s="384">
        <v>0</v>
      </c>
      <c r="X72" s="384">
        <v>0</v>
      </c>
      <c r="Y72" s="384">
        <f t="shared" si="22"/>
        <v>0</v>
      </c>
      <c r="Z72" s="384"/>
      <c r="AA72" s="384">
        <v>0</v>
      </c>
      <c r="AB72" s="384">
        <v>0</v>
      </c>
      <c r="AC72" s="384">
        <v>0</v>
      </c>
      <c r="AD72" s="384">
        <v>0</v>
      </c>
      <c r="AE72" s="384">
        <f t="shared" si="23"/>
        <v>0</v>
      </c>
      <c r="AF72" s="384"/>
      <c r="AG72" s="384">
        <v>0</v>
      </c>
      <c r="AH72" s="384">
        <v>9.7739999999999991</v>
      </c>
      <c r="AI72" s="384">
        <v>7.29</v>
      </c>
      <c r="AJ72" s="384">
        <v>16.565999999999999</v>
      </c>
      <c r="AK72" s="384">
        <f t="shared" si="24"/>
        <v>33.629999999999995</v>
      </c>
      <c r="AL72" s="384"/>
      <c r="AM72" s="384">
        <v>1.542</v>
      </c>
      <c r="AN72" s="384">
        <v>3.7349999999999999</v>
      </c>
      <c r="AO72" s="384">
        <v>13.286</v>
      </c>
      <c r="AP72" s="384">
        <v>7.3239999999999998</v>
      </c>
      <c r="AQ72" s="384">
        <f t="shared" si="25"/>
        <v>25.887</v>
      </c>
      <c r="AR72" s="384"/>
      <c r="AS72" s="384">
        <v>0</v>
      </c>
      <c r="AT72" s="384">
        <v>0</v>
      </c>
      <c r="AU72" s="384">
        <v>0</v>
      </c>
      <c r="AV72" s="384">
        <v>3.1829999999999998</v>
      </c>
      <c r="AW72" s="384">
        <f t="shared" si="26"/>
        <v>3.1829999999999998</v>
      </c>
      <c r="AX72" s="384"/>
      <c r="AY72" s="384">
        <v>8.3000000000000007</v>
      </c>
      <c r="AZ72" s="384">
        <v>3.7</v>
      </c>
      <c r="BA72" s="384">
        <v>2.9220000000000002</v>
      </c>
      <c r="BB72" s="384">
        <v>11.811</v>
      </c>
      <c r="BC72" s="384">
        <f t="shared" si="27"/>
        <v>26.733000000000001</v>
      </c>
      <c r="BD72" s="384"/>
      <c r="BE72" s="384">
        <v>0</v>
      </c>
      <c r="BF72" s="384">
        <v>0</v>
      </c>
      <c r="BG72" s="384">
        <v>0</v>
      </c>
      <c r="BH72" s="384">
        <v>7.9</v>
      </c>
      <c r="BI72" s="384">
        <f>SUM(BE72:BH72)</f>
        <v>7.9</v>
      </c>
      <c r="BJ72" s="93"/>
      <c r="BK72" s="384">
        <v>0</v>
      </c>
      <c r="BL72" s="384">
        <v>0</v>
      </c>
      <c r="BM72" s="384">
        <v>0</v>
      </c>
      <c r="BN72" s="384">
        <v>0</v>
      </c>
      <c r="BO72" s="1261">
        <f t="shared" si="28"/>
        <v>0</v>
      </c>
      <c r="BP72" s="93"/>
      <c r="BQ72" s="384">
        <v>0</v>
      </c>
      <c r="BR72" s="384">
        <v>1</v>
      </c>
      <c r="BS72" s="384">
        <v>2.5</v>
      </c>
      <c r="BT72" s="384">
        <f>1.8+1.9</f>
        <v>3.7</v>
      </c>
      <c r="BU72" s="1261">
        <f t="shared" si="29"/>
        <v>7.2</v>
      </c>
      <c r="BV72" s="93"/>
      <c r="BW72" s="384">
        <v>0</v>
      </c>
      <c r="BX72" s="384">
        <v>0</v>
      </c>
      <c r="BY72" s="384">
        <v>0</v>
      </c>
      <c r="BZ72" s="384">
        <f>40.2+128.9</f>
        <v>169.10000000000002</v>
      </c>
      <c r="CA72" s="1261">
        <f t="shared" si="30"/>
        <v>169.10000000000002</v>
      </c>
      <c r="CB72" s="93"/>
      <c r="CC72" s="384">
        <f>16.5+21</f>
        <v>37.5</v>
      </c>
      <c r="CD72" s="384">
        <v>26.4</v>
      </c>
      <c r="CE72" s="384">
        <v>4.9000000000000004</v>
      </c>
      <c r="CF72" s="384">
        <f>0.4</f>
        <v>0.4</v>
      </c>
      <c r="CG72" s="1261">
        <f t="shared" si="31"/>
        <v>69.2</v>
      </c>
      <c r="CH72" s="93"/>
      <c r="CI72" s="445">
        <f>7.1</f>
        <v>7.1</v>
      </c>
      <c r="CJ72" s="445">
        <v>1.9</v>
      </c>
      <c r="CK72" s="445">
        <v>0</v>
      </c>
      <c r="CL72" s="445">
        <v>1.8</v>
      </c>
      <c r="CM72" s="1261">
        <f t="shared" si="32"/>
        <v>10.8</v>
      </c>
      <c r="CN72" s="93"/>
      <c r="CO72" s="445">
        <v>0</v>
      </c>
      <c r="CP72" s="445">
        <v>-1.3</v>
      </c>
      <c r="CQ72" s="445">
        <v>0</v>
      </c>
      <c r="CR72" s="445">
        <v>0</v>
      </c>
      <c r="CS72" s="1261">
        <f t="shared" si="33"/>
        <v>-1.3</v>
      </c>
      <c r="CT72" s="93"/>
      <c r="CU72" s="384">
        <v>0</v>
      </c>
      <c r="CV72" s="384">
        <v>0</v>
      </c>
      <c r="CW72" s="384">
        <v>35.200000000000003</v>
      </c>
      <c r="CX72" s="445">
        <v>7.2</v>
      </c>
      <c r="CY72" s="1261">
        <f t="shared" si="34"/>
        <v>42.400000000000006</v>
      </c>
      <c r="CZ72" s="93"/>
      <c r="DA72" s="445">
        <f>(0.4)+1.1*2</f>
        <v>2.6</v>
      </c>
      <c r="DB72" s="445">
        <v>0</v>
      </c>
      <c r="DC72" s="445">
        <v>4.4000000000000004</v>
      </c>
      <c r="DD72" s="445">
        <v>6.3</v>
      </c>
      <c r="DE72" s="1261">
        <f t="shared" si="35"/>
        <v>13.3</v>
      </c>
      <c r="DF72" s="93"/>
      <c r="DG72" s="445">
        <v>2.2999999999999998</v>
      </c>
      <c r="DH72" s="445">
        <v>0.8</v>
      </c>
      <c r="DI72" s="445">
        <v>0</v>
      </c>
      <c r="DJ72" s="445">
        <v>0</v>
      </c>
      <c r="DK72" s="1261">
        <f t="shared" si="36"/>
        <v>3.0999999999999996</v>
      </c>
      <c r="DL72" s="93"/>
      <c r="DM72" s="445">
        <v>0</v>
      </c>
      <c r="DN72" s="445">
        <v>0</v>
      </c>
      <c r="DO72" s="445">
        <v>0</v>
      </c>
      <c r="DP72" s="445">
        <v>0</v>
      </c>
      <c r="DQ72" s="1261">
        <f t="shared" si="37"/>
        <v>0</v>
      </c>
      <c r="DR72" s="93"/>
      <c r="DS72" s="445">
        <v>51.8</v>
      </c>
      <c r="DT72" s="445">
        <v>16</v>
      </c>
      <c r="DU72" s="445">
        <v>3.2</v>
      </c>
      <c r="DV72" s="445">
        <v>9</v>
      </c>
      <c r="DW72" s="1261">
        <f t="shared" si="38"/>
        <v>80</v>
      </c>
      <c r="DX72" s="93"/>
      <c r="DY72" s="445">
        <f>11-0.3</f>
        <v>10.7</v>
      </c>
      <c r="DZ72" s="445">
        <f>10.6+0.5</f>
        <v>11.1</v>
      </c>
      <c r="EA72" s="445">
        <v>0</v>
      </c>
      <c r="EB72" s="445">
        <f>93.9-0.2</f>
        <v>93.7</v>
      </c>
      <c r="EC72" s="1261">
        <f t="shared" si="39"/>
        <v>115.5</v>
      </c>
      <c r="ED72" s="93"/>
      <c r="EE72" s="445">
        <v>22</v>
      </c>
      <c r="EF72" s="445">
        <v>10</v>
      </c>
      <c r="EG72" s="445">
        <v>8</v>
      </c>
      <c r="EH72" s="445">
        <v>1</v>
      </c>
      <c r="EI72" s="1261">
        <f t="shared" si="40"/>
        <v>41</v>
      </c>
      <c r="EJ72" s="93"/>
      <c r="EK72" s="445">
        <v>0</v>
      </c>
      <c r="EL72" s="445">
        <v>0</v>
      </c>
      <c r="EM72" s="445">
        <v>0</v>
      </c>
      <c r="EN72" s="445">
        <v>0</v>
      </c>
      <c r="EO72" s="1261">
        <f t="shared" si="41"/>
        <v>0</v>
      </c>
      <c r="EP72" s="93"/>
      <c r="EQ72" s="445">
        <v>0</v>
      </c>
      <c r="ER72" s="445">
        <v>0</v>
      </c>
      <c r="ES72" s="445">
        <v>0</v>
      </c>
      <c r="ET72" s="445">
        <v>0</v>
      </c>
      <c r="EU72" s="1261">
        <f t="shared" si="42"/>
        <v>0</v>
      </c>
      <c r="EV72" s="45"/>
    </row>
    <row r="73" spans="1:152" ht="12.75" hidden="1" customHeight="1" outlineLevel="1">
      <c r="A73" s="830" t="s">
        <v>3801</v>
      </c>
      <c r="B73" s="444"/>
      <c r="C73" s="384"/>
      <c r="D73" s="384"/>
      <c r="E73" s="384"/>
      <c r="F73" s="384"/>
      <c r="G73" s="384"/>
      <c r="H73" s="93"/>
      <c r="I73" s="384"/>
      <c r="J73" s="384"/>
      <c r="K73" s="384"/>
      <c r="L73" s="384"/>
      <c r="M73" s="384"/>
      <c r="N73" s="93"/>
      <c r="O73" s="384">
        <v>0</v>
      </c>
      <c r="P73" s="384">
        <v>0</v>
      </c>
      <c r="Q73" s="384">
        <v>0</v>
      </c>
      <c r="R73" s="384">
        <v>0</v>
      </c>
      <c r="S73" s="384">
        <v>0</v>
      </c>
      <c r="T73" s="384"/>
      <c r="U73" s="384">
        <v>0</v>
      </c>
      <c r="V73" s="384">
        <v>0</v>
      </c>
      <c r="W73" s="384">
        <v>0</v>
      </c>
      <c r="X73" s="384">
        <v>0</v>
      </c>
      <c r="Y73" s="384">
        <f t="shared" si="22"/>
        <v>0</v>
      </c>
      <c r="Z73" s="384"/>
      <c r="AA73" s="384">
        <v>0</v>
      </c>
      <c r="AB73" s="384">
        <v>0</v>
      </c>
      <c r="AC73" s="384">
        <v>0</v>
      </c>
      <c r="AD73" s="384">
        <v>0</v>
      </c>
      <c r="AE73" s="384">
        <f t="shared" si="23"/>
        <v>0</v>
      </c>
      <c r="AF73" s="384"/>
      <c r="AG73" s="384">
        <v>0</v>
      </c>
      <c r="AH73" s="384">
        <v>0</v>
      </c>
      <c r="AI73" s="384">
        <v>-9.4610000000000003</v>
      </c>
      <c r="AJ73" s="384">
        <v>0</v>
      </c>
      <c r="AK73" s="384">
        <f t="shared" si="24"/>
        <v>-9.4610000000000003</v>
      </c>
      <c r="AL73" s="384"/>
      <c r="AM73" s="384">
        <v>0</v>
      </c>
      <c r="AN73" s="384">
        <v>0</v>
      </c>
      <c r="AO73" s="384">
        <v>0</v>
      </c>
      <c r="AP73" s="384">
        <v>0</v>
      </c>
      <c r="AQ73" s="384">
        <f t="shared" si="25"/>
        <v>0</v>
      </c>
      <c r="AR73" s="384"/>
      <c r="AS73" s="384">
        <v>0</v>
      </c>
      <c r="AT73" s="384">
        <v>0</v>
      </c>
      <c r="AU73" s="384">
        <v>0</v>
      </c>
      <c r="AV73" s="384">
        <v>0</v>
      </c>
      <c r="AW73" s="384">
        <f t="shared" si="26"/>
        <v>0</v>
      </c>
      <c r="AX73" s="384"/>
      <c r="AY73" s="384">
        <v>0</v>
      </c>
      <c r="AZ73" s="384">
        <v>0</v>
      </c>
      <c r="BA73" s="384">
        <v>0</v>
      </c>
      <c r="BB73" s="384">
        <v>0</v>
      </c>
      <c r="BC73" s="384">
        <f t="shared" si="27"/>
        <v>0</v>
      </c>
      <c r="BD73" s="384"/>
      <c r="BE73" s="384">
        <v>0</v>
      </c>
      <c r="BF73" s="384">
        <v>0</v>
      </c>
      <c r="BG73" s="384">
        <v>0</v>
      </c>
      <c r="BH73" s="384">
        <v>0</v>
      </c>
      <c r="BI73" s="384">
        <f>SUM(BE73:BH73)</f>
        <v>0</v>
      </c>
      <c r="BJ73" s="93"/>
      <c r="BK73" s="384">
        <v>0</v>
      </c>
      <c r="BL73" s="384">
        <v>0</v>
      </c>
      <c r="BM73" s="384">
        <v>0</v>
      </c>
      <c r="BN73" s="384">
        <v>0</v>
      </c>
      <c r="BO73" s="1261">
        <f t="shared" si="28"/>
        <v>0</v>
      </c>
      <c r="BP73" s="93"/>
      <c r="BQ73" s="384">
        <v>0</v>
      </c>
      <c r="BR73" s="384">
        <v>0</v>
      </c>
      <c r="BS73" s="384">
        <v>0</v>
      </c>
      <c r="BT73" s="384">
        <v>0</v>
      </c>
      <c r="BU73" s="1261">
        <f t="shared" si="29"/>
        <v>0</v>
      </c>
      <c r="BV73" s="93"/>
      <c r="BW73" s="384">
        <v>0</v>
      </c>
      <c r="BX73" s="384">
        <v>0</v>
      </c>
      <c r="BY73" s="384">
        <v>0</v>
      </c>
      <c r="BZ73" s="384">
        <v>0</v>
      </c>
      <c r="CA73" s="1261">
        <f t="shared" si="30"/>
        <v>0</v>
      </c>
      <c r="CB73" s="93"/>
      <c r="CC73" s="384">
        <v>0</v>
      </c>
      <c r="CD73" s="384">
        <v>0</v>
      </c>
      <c r="CE73" s="384">
        <v>0</v>
      </c>
      <c r="CF73" s="384">
        <v>0</v>
      </c>
      <c r="CG73" s="1261">
        <f t="shared" si="31"/>
        <v>0</v>
      </c>
      <c r="CH73" s="93"/>
      <c r="CI73" s="445">
        <v>0</v>
      </c>
      <c r="CJ73" s="445">
        <v>0</v>
      </c>
      <c r="CK73" s="445">
        <v>0</v>
      </c>
      <c r="CL73" s="445">
        <v>0</v>
      </c>
      <c r="CM73" s="1261">
        <f t="shared" si="32"/>
        <v>0</v>
      </c>
      <c r="CN73" s="93"/>
      <c r="CO73" s="445">
        <v>0</v>
      </c>
      <c r="CP73" s="445">
        <v>0</v>
      </c>
      <c r="CQ73" s="445">
        <v>0</v>
      </c>
      <c r="CR73" s="445">
        <v>0</v>
      </c>
      <c r="CS73" s="1261">
        <f t="shared" si="33"/>
        <v>0</v>
      </c>
      <c r="CT73" s="93"/>
      <c r="CU73" s="384">
        <v>0</v>
      </c>
      <c r="CV73" s="384">
        <v>0</v>
      </c>
      <c r="CW73" s="384">
        <v>0</v>
      </c>
      <c r="CX73" s="445">
        <v>0</v>
      </c>
      <c r="CY73" s="1261">
        <f t="shared" si="34"/>
        <v>0</v>
      </c>
      <c r="CZ73" s="93"/>
      <c r="DA73" s="445">
        <v>0</v>
      </c>
      <c r="DB73" s="445">
        <v>0</v>
      </c>
      <c r="DC73" s="445">
        <v>0</v>
      </c>
      <c r="DD73" s="445">
        <v>0</v>
      </c>
      <c r="DE73" s="1261">
        <f t="shared" si="35"/>
        <v>0</v>
      </c>
      <c r="DF73" s="93"/>
      <c r="DG73" s="445">
        <v>0</v>
      </c>
      <c r="DH73" s="445">
        <v>0</v>
      </c>
      <c r="DI73" s="445">
        <v>0</v>
      </c>
      <c r="DJ73" s="445">
        <v>0</v>
      </c>
      <c r="DK73" s="1261">
        <f t="shared" si="36"/>
        <v>0</v>
      </c>
      <c r="DL73" s="93"/>
      <c r="DM73" s="445">
        <v>0</v>
      </c>
      <c r="DN73" s="445">
        <v>0</v>
      </c>
      <c r="DO73" s="445">
        <v>0</v>
      </c>
      <c r="DP73" s="445">
        <v>0</v>
      </c>
      <c r="DQ73" s="1261">
        <f t="shared" si="37"/>
        <v>0</v>
      </c>
      <c r="DR73" s="93"/>
      <c r="DS73" s="445">
        <v>0</v>
      </c>
      <c r="DT73" s="445">
        <v>0</v>
      </c>
      <c r="DU73" s="445">
        <v>0</v>
      </c>
      <c r="DV73" s="445">
        <v>0</v>
      </c>
      <c r="DW73" s="1261">
        <f t="shared" si="38"/>
        <v>0</v>
      </c>
      <c r="DX73" s="93"/>
      <c r="DY73" s="445">
        <v>0</v>
      </c>
      <c r="DZ73" s="445">
        <v>0</v>
      </c>
      <c r="EA73" s="445">
        <v>0</v>
      </c>
      <c r="EB73" s="445">
        <v>0</v>
      </c>
      <c r="EC73" s="1261">
        <f t="shared" si="39"/>
        <v>0</v>
      </c>
      <c r="ED73" s="93"/>
      <c r="EE73" s="445">
        <v>0</v>
      </c>
      <c r="EF73" s="445">
        <v>0</v>
      </c>
      <c r="EG73" s="445">
        <v>0</v>
      </c>
      <c r="EH73" s="445">
        <v>0</v>
      </c>
      <c r="EI73" s="1261">
        <f t="shared" si="40"/>
        <v>0</v>
      </c>
      <c r="EJ73" s="93"/>
      <c r="EK73" s="445">
        <v>0</v>
      </c>
      <c r="EL73" s="445">
        <v>0</v>
      </c>
      <c r="EM73" s="445">
        <v>0</v>
      </c>
      <c r="EN73" s="445">
        <v>0</v>
      </c>
      <c r="EO73" s="1261">
        <f t="shared" si="41"/>
        <v>0</v>
      </c>
      <c r="EP73" s="93"/>
      <c r="EQ73" s="445">
        <v>0</v>
      </c>
      <c r="ER73" s="445">
        <v>0</v>
      </c>
      <c r="ES73" s="445">
        <v>0</v>
      </c>
      <c r="ET73" s="445">
        <v>0</v>
      </c>
      <c r="EU73" s="1261">
        <f t="shared" si="42"/>
        <v>0</v>
      </c>
      <c r="EV73" s="2161"/>
    </row>
    <row r="74" spans="1:152" ht="12.75" hidden="1" customHeight="1" outlineLevel="1">
      <c r="A74" s="830" t="s">
        <v>5192</v>
      </c>
      <c r="B74" s="444"/>
      <c r="C74" s="384"/>
      <c r="D74" s="384"/>
      <c r="E74" s="384"/>
      <c r="F74" s="384"/>
      <c r="G74" s="384"/>
      <c r="H74" s="93"/>
      <c r="I74" s="384"/>
      <c r="J74" s="384"/>
      <c r="K74" s="384"/>
      <c r="L74" s="384"/>
      <c r="M74" s="384"/>
      <c r="N74" s="93"/>
      <c r="O74" s="384">
        <v>-0.40500000000000003</v>
      </c>
      <c r="P74" s="384">
        <v>-18.2</v>
      </c>
      <c r="Q74" s="384">
        <v>0</v>
      </c>
      <c r="R74" s="384">
        <v>0</v>
      </c>
      <c r="S74" s="384">
        <v>-18.605</v>
      </c>
      <c r="T74" s="384"/>
      <c r="U74" s="384">
        <v>0</v>
      </c>
      <c r="V74" s="384">
        <v>0</v>
      </c>
      <c r="W74" s="384">
        <v>0</v>
      </c>
      <c r="X74" s="384">
        <v>0</v>
      </c>
      <c r="Y74" s="384">
        <f t="shared" si="22"/>
        <v>0</v>
      </c>
      <c r="Z74" s="384"/>
      <c r="AA74" s="384">
        <v>0</v>
      </c>
      <c r="AB74" s="384">
        <v>0</v>
      </c>
      <c r="AC74" s="384">
        <v>0</v>
      </c>
      <c r="AD74" s="384">
        <v>0</v>
      </c>
      <c r="AE74" s="384">
        <f t="shared" si="23"/>
        <v>0</v>
      </c>
      <c r="AF74" s="384"/>
      <c r="AG74" s="384">
        <v>0</v>
      </c>
      <c r="AH74" s="384">
        <v>0</v>
      </c>
      <c r="AI74" s="384">
        <v>0</v>
      </c>
      <c r="AJ74" s="384">
        <v>0</v>
      </c>
      <c r="AK74" s="384">
        <f t="shared" si="24"/>
        <v>0</v>
      </c>
      <c r="AL74" s="384"/>
      <c r="AM74" s="384">
        <v>0</v>
      </c>
      <c r="AN74" s="384">
        <v>0</v>
      </c>
      <c r="AO74" s="384">
        <v>0</v>
      </c>
      <c r="AP74" s="384">
        <v>0</v>
      </c>
      <c r="AQ74" s="384">
        <f t="shared" si="25"/>
        <v>0</v>
      </c>
      <c r="AR74" s="384"/>
      <c r="AS74" s="384">
        <v>0</v>
      </c>
      <c r="AT74" s="384">
        <v>0</v>
      </c>
      <c r="AU74" s="384">
        <v>0</v>
      </c>
      <c r="AV74" s="384">
        <v>0</v>
      </c>
      <c r="AW74" s="384">
        <f t="shared" si="26"/>
        <v>0</v>
      </c>
      <c r="AX74" s="384"/>
      <c r="AY74" s="384">
        <v>0</v>
      </c>
      <c r="AZ74" s="384">
        <v>0</v>
      </c>
      <c r="BA74" s="384">
        <v>0</v>
      </c>
      <c r="BB74" s="384">
        <v>0</v>
      </c>
      <c r="BC74" s="384">
        <f t="shared" si="27"/>
        <v>0</v>
      </c>
      <c r="BD74" s="384"/>
      <c r="BE74" s="384">
        <v>0</v>
      </c>
      <c r="BF74" s="384">
        <v>0</v>
      </c>
      <c r="BG74" s="384">
        <v>0</v>
      </c>
      <c r="BH74" s="384">
        <v>0</v>
      </c>
      <c r="BI74" s="384">
        <f>SUM(BE74:BH74)</f>
        <v>0</v>
      </c>
      <c r="BJ74" s="93"/>
      <c r="BK74" s="384">
        <v>16.765000000000001</v>
      </c>
      <c r="BL74" s="384">
        <v>-11.8</v>
      </c>
      <c r="BM74" s="384">
        <v>0</v>
      </c>
      <c r="BN74" s="384">
        <v>0</v>
      </c>
      <c r="BO74" s="1261">
        <f t="shared" si="28"/>
        <v>4.9649999999999999</v>
      </c>
      <c r="BP74" s="93"/>
      <c r="BQ74" s="384">
        <v>0</v>
      </c>
      <c r="BR74" s="384">
        <v>0</v>
      </c>
      <c r="BS74" s="384">
        <v>0</v>
      </c>
      <c r="BT74" s="384">
        <v>0</v>
      </c>
      <c r="BU74" s="1261">
        <f t="shared" si="29"/>
        <v>0</v>
      </c>
      <c r="BV74" s="93"/>
      <c r="BW74" s="384">
        <v>0</v>
      </c>
      <c r="BX74" s="384">
        <v>0</v>
      </c>
      <c r="BY74" s="384">
        <v>0</v>
      </c>
      <c r="BZ74" s="384">
        <v>0</v>
      </c>
      <c r="CA74" s="1261">
        <f t="shared" si="30"/>
        <v>0</v>
      </c>
      <c r="CB74" s="93"/>
      <c r="CC74" s="384">
        <v>0</v>
      </c>
      <c r="CD74" s="384">
        <v>0</v>
      </c>
      <c r="CE74" s="384">
        <v>0</v>
      </c>
      <c r="CF74" s="384">
        <v>0</v>
      </c>
      <c r="CG74" s="1261">
        <f t="shared" si="31"/>
        <v>0</v>
      </c>
      <c r="CH74" s="93"/>
      <c r="CI74" s="384">
        <v>0</v>
      </c>
      <c r="CJ74" s="384">
        <v>0</v>
      </c>
      <c r="CK74" s="384">
        <v>0</v>
      </c>
      <c r="CL74" s="384">
        <v>0</v>
      </c>
      <c r="CM74" s="1261">
        <f t="shared" si="32"/>
        <v>0</v>
      </c>
      <c r="CN74" s="93"/>
      <c r="CO74" s="384">
        <v>0</v>
      </c>
      <c r="CP74" s="384">
        <v>0</v>
      </c>
      <c r="CQ74" s="384">
        <v>0</v>
      </c>
      <c r="CR74" s="384">
        <v>0</v>
      </c>
      <c r="CS74" s="1261">
        <f t="shared" si="33"/>
        <v>0</v>
      </c>
      <c r="CT74" s="93"/>
      <c r="CU74" s="384">
        <v>0</v>
      </c>
      <c r="CV74" s="384">
        <v>0</v>
      </c>
      <c r="CW74" s="384">
        <v>0</v>
      </c>
      <c r="CX74" s="384">
        <v>0</v>
      </c>
      <c r="CY74" s="1261">
        <f t="shared" si="34"/>
        <v>0</v>
      </c>
      <c r="CZ74" s="93"/>
      <c r="DA74" s="384">
        <v>0</v>
      </c>
      <c r="DB74" s="384">
        <v>0</v>
      </c>
      <c r="DC74" s="384">
        <v>0</v>
      </c>
      <c r="DD74" s="384">
        <v>0</v>
      </c>
      <c r="DE74" s="1261">
        <f t="shared" si="35"/>
        <v>0</v>
      </c>
      <c r="DF74" s="93"/>
      <c r="DG74" s="384">
        <v>0</v>
      </c>
      <c r="DH74" s="384">
        <v>0</v>
      </c>
      <c r="DI74" s="384">
        <v>0</v>
      </c>
      <c r="DJ74" s="384">
        <v>0</v>
      </c>
      <c r="DK74" s="1261">
        <f t="shared" si="36"/>
        <v>0</v>
      </c>
      <c r="DL74" s="93"/>
      <c r="DM74" s="384">
        <v>0</v>
      </c>
      <c r="DN74" s="384">
        <v>0</v>
      </c>
      <c r="DO74" s="384">
        <v>0</v>
      </c>
      <c r="DP74" s="384">
        <v>0</v>
      </c>
      <c r="DQ74" s="1261">
        <f t="shared" si="37"/>
        <v>0</v>
      </c>
      <c r="DR74" s="93"/>
      <c r="DS74" s="384">
        <v>0</v>
      </c>
      <c r="DT74" s="384">
        <v>0</v>
      </c>
      <c r="DU74" s="384">
        <v>0</v>
      </c>
      <c r="DV74" s="384">
        <v>0</v>
      </c>
      <c r="DW74" s="1261">
        <f t="shared" si="38"/>
        <v>0</v>
      </c>
      <c r="DX74" s="93"/>
      <c r="DY74" s="384">
        <v>0</v>
      </c>
      <c r="DZ74" s="384">
        <v>0</v>
      </c>
      <c r="EA74" s="384">
        <v>0</v>
      </c>
      <c r="EB74" s="384">
        <v>0</v>
      </c>
      <c r="EC74" s="1261">
        <f t="shared" si="39"/>
        <v>0</v>
      </c>
      <c r="ED74" s="93"/>
      <c r="EE74" s="384">
        <v>0</v>
      </c>
      <c r="EF74" s="384">
        <v>0</v>
      </c>
      <c r="EG74" s="384">
        <v>0</v>
      </c>
      <c r="EH74" s="384">
        <v>0</v>
      </c>
      <c r="EI74" s="1261">
        <f t="shared" si="40"/>
        <v>0</v>
      </c>
      <c r="EJ74" s="93"/>
      <c r="EK74" s="384">
        <v>0</v>
      </c>
      <c r="EL74" s="384">
        <v>0</v>
      </c>
      <c r="EM74" s="384">
        <v>0</v>
      </c>
      <c r="EN74" s="384">
        <v>0</v>
      </c>
      <c r="EO74" s="1261">
        <f t="shared" si="41"/>
        <v>0</v>
      </c>
      <c r="EP74" s="93"/>
      <c r="EQ74" s="384">
        <v>0</v>
      </c>
      <c r="ER74" s="384">
        <v>0</v>
      </c>
      <c r="ES74" s="384">
        <v>0</v>
      </c>
      <c r="ET74" s="384">
        <v>0</v>
      </c>
      <c r="EU74" s="1261">
        <f t="shared" si="42"/>
        <v>0</v>
      </c>
      <c r="EV74" s="45"/>
    </row>
    <row r="75" spans="1:152" ht="12.75" hidden="1" customHeight="1" outlineLevel="1">
      <c r="A75" s="830" t="s">
        <v>6302</v>
      </c>
      <c r="B75" s="444"/>
      <c r="C75" s="384"/>
      <c r="D75" s="384"/>
      <c r="E75" s="384"/>
      <c r="F75" s="384"/>
      <c r="G75" s="384"/>
      <c r="H75" s="93"/>
      <c r="I75" s="384"/>
      <c r="J75" s="384"/>
      <c r="K75" s="384"/>
      <c r="L75" s="384"/>
      <c r="M75" s="384"/>
      <c r="N75" s="93"/>
      <c r="O75" s="384">
        <v>0</v>
      </c>
      <c r="P75" s="384">
        <v>19.693999999999999</v>
      </c>
      <c r="Q75" s="384">
        <v>0</v>
      </c>
      <c r="R75" s="384">
        <v>0</v>
      </c>
      <c r="S75" s="384">
        <v>19.693999999999999</v>
      </c>
      <c r="T75" s="384"/>
      <c r="U75" s="384">
        <v>21.780999999999999</v>
      </c>
      <c r="V75" s="384">
        <v>0</v>
      </c>
      <c r="W75" s="384">
        <v>14.728</v>
      </c>
      <c r="X75" s="384">
        <v>-1.762</v>
      </c>
      <c r="Y75" s="384">
        <f t="shared" si="22"/>
        <v>34.747</v>
      </c>
      <c r="Z75" s="384"/>
      <c r="AA75" s="384">
        <v>-0.8</v>
      </c>
      <c r="AB75" s="384">
        <v>0</v>
      </c>
      <c r="AC75" s="384">
        <v>-0.434</v>
      </c>
      <c r="AD75" s="384">
        <v>0</v>
      </c>
      <c r="AE75" s="384">
        <f t="shared" si="23"/>
        <v>-1.234</v>
      </c>
      <c r="AF75" s="384"/>
      <c r="AG75" s="384">
        <v>0</v>
      </c>
      <c r="AH75" s="384">
        <v>0</v>
      </c>
      <c r="AI75" s="384">
        <v>0</v>
      </c>
      <c r="AJ75" s="384">
        <v>0</v>
      </c>
      <c r="AK75" s="384">
        <f t="shared" si="24"/>
        <v>0</v>
      </c>
      <c r="AL75" s="384"/>
      <c r="AM75" s="384">
        <v>0</v>
      </c>
      <c r="AN75" s="384">
        <v>0</v>
      </c>
      <c r="AO75" s="384">
        <v>0</v>
      </c>
      <c r="AP75" s="384">
        <v>0</v>
      </c>
      <c r="AQ75" s="384">
        <f t="shared" si="25"/>
        <v>0</v>
      </c>
      <c r="AR75" s="384"/>
      <c r="AS75" s="384">
        <v>0</v>
      </c>
      <c r="AT75" s="384">
        <v>0</v>
      </c>
      <c r="AU75" s="384">
        <v>0</v>
      </c>
      <c r="AV75" s="384">
        <v>0</v>
      </c>
      <c r="AW75" s="384">
        <f t="shared" si="26"/>
        <v>0</v>
      </c>
      <c r="AX75" s="384"/>
      <c r="AY75" s="384">
        <v>0</v>
      </c>
      <c r="AZ75" s="384">
        <v>0</v>
      </c>
      <c r="BA75" s="384">
        <v>0</v>
      </c>
      <c r="BB75" s="384">
        <v>0</v>
      </c>
      <c r="BC75" s="384">
        <f t="shared" si="27"/>
        <v>0</v>
      </c>
      <c r="BD75" s="384"/>
      <c r="BE75" s="384">
        <v>0</v>
      </c>
      <c r="BF75" s="384">
        <v>0</v>
      </c>
      <c r="BG75" s="384">
        <v>0</v>
      </c>
      <c r="BH75" s="384">
        <v>0</v>
      </c>
      <c r="BI75" s="384">
        <f>SUM(BE75:BH75)</f>
        <v>0</v>
      </c>
      <c r="BJ75" s="93"/>
      <c r="BK75" s="384">
        <v>0</v>
      </c>
      <c r="BL75" s="384">
        <v>0</v>
      </c>
      <c r="BM75" s="384">
        <v>0</v>
      </c>
      <c r="BN75" s="384">
        <v>0</v>
      </c>
      <c r="BO75" s="1261">
        <f t="shared" si="28"/>
        <v>0</v>
      </c>
      <c r="BP75" s="93"/>
      <c r="BQ75" s="384">
        <v>12</v>
      </c>
      <c r="BR75" s="384">
        <v>0</v>
      </c>
      <c r="BS75" s="384">
        <v>0</v>
      </c>
      <c r="BT75" s="384">
        <v>0</v>
      </c>
      <c r="BU75" s="1261">
        <f t="shared" si="29"/>
        <v>12</v>
      </c>
      <c r="BV75" s="93"/>
      <c r="BW75" s="384">
        <v>0</v>
      </c>
      <c r="BX75" s="384">
        <v>0</v>
      </c>
      <c r="BY75" s="384">
        <v>0</v>
      </c>
      <c r="BZ75" s="384">
        <v>0</v>
      </c>
      <c r="CA75" s="1261">
        <f t="shared" si="30"/>
        <v>0</v>
      </c>
      <c r="CB75" s="93"/>
      <c r="CC75" s="384">
        <v>0</v>
      </c>
      <c r="CD75" s="384">
        <v>0</v>
      </c>
      <c r="CE75" s="384">
        <v>0</v>
      </c>
      <c r="CF75" s="384">
        <v>0</v>
      </c>
      <c r="CG75" s="1261">
        <f t="shared" si="31"/>
        <v>0</v>
      </c>
      <c r="CH75" s="93"/>
      <c r="CI75" s="384">
        <v>0</v>
      </c>
      <c r="CJ75" s="384">
        <v>0</v>
      </c>
      <c r="CK75" s="384">
        <v>0</v>
      </c>
      <c r="CL75" s="384">
        <v>0</v>
      </c>
      <c r="CM75" s="1261">
        <f t="shared" si="32"/>
        <v>0</v>
      </c>
      <c r="CN75" s="93"/>
      <c r="CO75" s="384">
        <v>0</v>
      </c>
      <c r="CP75" s="384">
        <v>0</v>
      </c>
      <c r="CQ75" s="384">
        <v>0</v>
      </c>
      <c r="CR75" s="384">
        <v>0</v>
      </c>
      <c r="CS75" s="1261">
        <f t="shared" si="33"/>
        <v>0</v>
      </c>
      <c r="CT75" s="93"/>
      <c r="CU75" s="384">
        <v>0</v>
      </c>
      <c r="CV75" s="384">
        <v>0</v>
      </c>
      <c r="CW75" s="384">
        <v>0</v>
      </c>
      <c r="CX75" s="384">
        <v>0</v>
      </c>
      <c r="CY75" s="1261">
        <f t="shared" si="34"/>
        <v>0</v>
      </c>
      <c r="CZ75" s="93"/>
      <c r="DA75" s="384">
        <v>0</v>
      </c>
      <c r="DB75" s="384">
        <v>0</v>
      </c>
      <c r="DC75" s="384">
        <v>0</v>
      </c>
      <c r="DD75" s="384">
        <v>0</v>
      </c>
      <c r="DE75" s="1261">
        <f t="shared" si="35"/>
        <v>0</v>
      </c>
      <c r="DF75" s="93"/>
      <c r="DG75" s="384">
        <v>0</v>
      </c>
      <c r="DH75" s="384">
        <v>0</v>
      </c>
      <c r="DI75" s="384">
        <v>0</v>
      </c>
      <c r="DJ75" s="384">
        <v>0</v>
      </c>
      <c r="DK75" s="1261">
        <f t="shared" si="36"/>
        <v>0</v>
      </c>
      <c r="DL75" s="93"/>
      <c r="DM75" s="384">
        <v>0</v>
      </c>
      <c r="DN75" s="384">
        <v>0</v>
      </c>
      <c r="DO75" s="384">
        <v>0</v>
      </c>
      <c r="DP75" s="384">
        <v>0</v>
      </c>
      <c r="DQ75" s="1261">
        <f t="shared" si="37"/>
        <v>0</v>
      </c>
      <c r="DR75" s="93"/>
      <c r="DS75" s="384">
        <v>0</v>
      </c>
      <c r="DT75" s="384">
        <v>0</v>
      </c>
      <c r="DU75" s="384">
        <v>0</v>
      </c>
      <c r="DV75" s="384">
        <v>0</v>
      </c>
      <c r="DW75" s="1261">
        <f t="shared" si="38"/>
        <v>0</v>
      </c>
      <c r="DX75" s="93"/>
      <c r="DY75" s="384">
        <v>0</v>
      </c>
      <c r="DZ75" s="384">
        <v>0</v>
      </c>
      <c r="EA75" s="384">
        <v>0</v>
      </c>
      <c r="EB75" s="384">
        <v>0</v>
      </c>
      <c r="EC75" s="1261">
        <f t="shared" si="39"/>
        <v>0</v>
      </c>
      <c r="ED75" s="93"/>
      <c r="EE75" s="384">
        <v>0</v>
      </c>
      <c r="EF75" s="384">
        <v>0</v>
      </c>
      <c r="EG75" s="384">
        <v>0</v>
      </c>
      <c r="EH75" s="384">
        <v>0</v>
      </c>
      <c r="EI75" s="1261">
        <f t="shared" si="40"/>
        <v>0</v>
      </c>
      <c r="EJ75" s="93"/>
      <c r="EK75" s="384">
        <v>0</v>
      </c>
      <c r="EL75" s="384">
        <v>0</v>
      </c>
      <c r="EM75" s="384">
        <v>0</v>
      </c>
      <c r="EN75" s="384">
        <v>0</v>
      </c>
      <c r="EO75" s="1261">
        <f t="shared" si="41"/>
        <v>0</v>
      </c>
      <c r="EP75" s="93"/>
      <c r="EQ75" s="384">
        <v>0</v>
      </c>
      <c r="ER75" s="384">
        <v>0</v>
      </c>
      <c r="ES75" s="384">
        <v>0</v>
      </c>
      <c r="ET75" s="384">
        <v>0</v>
      </c>
      <c r="EU75" s="1261">
        <f t="shared" si="42"/>
        <v>0</v>
      </c>
      <c r="EV75" s="45"/>
    </row>
    <row r="76" spans="1:152" ht="12.75" hidden="1" customHeight="1" outlineLevel="1">
      <c r="A76" s="830" t="s">
        <v>5586</v>
      </c>
      <c r="B76" s="444"/>
      <c r="C76" s="384"/>
      <c r="D76" s="384"/>
      <c r="E76" s="384"/>
      <c r="F76" s="384"/>
      <c r="G76" s="384"/>
      <c r="H76" s="93"/>
      <c r="I76" s="384"/>
      <c r="J76" s="384"/>
      <c r="K76" s="384"/>
      <c r="L76" s="384"/>
      <c r="M76" s="384"/>
      <c r="N76" s="93"/>
      <c r="O76" s="384">
        <v>0</v>
      </c>
      <c r="P76" s="384">
        <v>0</v>
      </c>
      <c r="Q76" s="384">
        <v>0</v>
      </c>
      <c r="R76" s="384">
        <v>0</v>
      </c>
      <c r="S76" s="384">
        <f>SUM(O76:R76)</f>
        <v>0</v>
      </c>
      <c r="T76" s="384"/>
      <c r="U76" s="384">
        <v>0</v>
      </c>
      <c r="V76" s="384">
        <v>0</v>
      </c>
      <c r="W76" s="384">
        <v>0</v>
      </c>
      <c r="X76" s="384">
        <v>0</v>
      </c>
      <c r="Y76" s="384">
        <f t="shared" si="22"/>
        <v>0</v>
      </c>
      <c r="Z76" s="384"/>
      <c r="AA76" s="384">
        <v>0</v>
      </c>
      <c r="AB76" s="384">
        <v>0</v>
      </c>
      <c r="AC76" s="384">
        <v>0</v>
      </c>
      <c r="AD76" s="384">
        <v>0</v>
      </c>
      <c r="AE76" s="384">
        <f t="shared" si="23"/>
        <v>0</v>
      </c>
      <c r="AF76" s="384"/>
      <c r="AG76" s="384">
        <v>0</v>
      </c>
      <c r="AH76" s="384">
        <v>0</v>
      </c>
      <c r="AI76" s="384">
        <v>0</v>
      </c>
      <c r="AJ76" s="384">
        <v>0</v>
      </c>
      <c r="AK76" s="384">
        <f t="shared" si="24"/>
        <v>0</v>
      </c>
      <c r="AL76" s="384"/>
      <c r="AM76" s="384">
        <v>0</v>
      </c>
      <c r="AN76" s="384">
        <v>0</v>
      </c>
      <c r="AO76" s="384">
        <v>0</v>
      </c>
      <c r="AP76" s="384">
        <v>0</v>
      </c>
      <c r="AQ76" s="384">
        <f t="shared" si="25"/>
        <v>0</v>
      </c>
      <c r="AR76" s="384"/>
      <c r="AS76" s="384">
        <v>0</v>
      </c>
      <c r="AT76" s="384">
        <v>0</v>
      </c>
      <c r="AU76" s="384">
        <v>0</v>
      </c>
      <c r="AV76" s="384">
        <v>0</v>
      </c>
      <c r="AW76" s="384">
        <f t="shared" si="26"/>
        <v>0</v>
      </c>
      <c r="AX76" s="384"/>
      <c r="AY76" s="384">
        <v>0</v>
      </c>
      <c r="AZ76" s="384">
        <v>0</v>
      </c>
      <c r="BA76" s="384">
        <v>0</v>
      </c>
      <c r="BB76" s="384">
        <v>0</v>
      </c>
      <c r="BC76" s="384">
        <f t="shared" si="27"/>
        <v>0</v>
      </c>
      <c r="BD76" s="384"/>
      <c r="BE76" s="384">
        <f>BE66</f>
        <v>1</v>
      </c>
      <c r="BF76" s="384">
        <f>BF66</f>
        <v>1.3</v>
      </c>
      <c r="BG76" s="384">
        <f>BG66</f>
        <v>1.1000000000000001</v>
      </c>
      <c r="BH76" s="384">
        <f>BH66</f>
        <v>1.9</v>
      </c>
      <c r="BI76" s="384">
        <f>BI66</f>
        <v>5.3</v>
      </c>
      <c r="BJ76" s="93"/>
      <c r="BK76" s="384">
        <f>BK66</f>
        <v>21.1</v>
      </c>
      <c r="BL76" s="384">
        <f>BL66</f>
        <v>20.7</v>
      </c>
      <c r="BM76" s="384">
        <f>BM66</f>
        <v>34.200000000000003</v>
      </c>
      <c r="BN76" s="384">
        <f>BN66</f>
        <v>17.7</v>
      </c>
      <c r="BO76" s="1261">
        <f t="shared" si="28"/>
        <v>93.7</v>
      </c>
      <c r="BP76" s="93"/>
      <c r="BQ76" s="384">
        <f>BQ66</f>
        <v>14.8</v>
      </c>
      <c r="BR76" s="384">
        <f>BR66</f>
        <v>21.1</v>
      </c>
      <c r="BS76" s="384">
        <f>BS66</f>
        <v>37.299999999999997</v>
      </c>
      <c r="BT76" s="384">
        <f>BT66</f>
        <v>26.2</v>
      </c>
      <c r="BU76" s="1261">
        <f t="shared" si="29"/>
        <v>99.4</v>
      </c>
      <c r="BV76" s="93"/>
      <c r="BW76" s="384">
        <f>BW66</f>
        <v>25.2</v>
      </c>
      <c r="BX76" s="384">
        <f>BX66</f>
        <v>23.2</v>
      </c>
      <c r="BY76" s="384">
        <f>BY66</f>
        <v>22.5</v>
      </c>
      <c r="BZ76" s="384">
        <f>BZ66</f>
        <v>18.7</v>
      </c>
      <c r="CA76" s="1261">
        <f t="shared" si="30"/>
        <v>89.600000000000009</v>
      </c>
      <c r="CB76" s="93"/>
      <c r="CC76" s="384">
        <f>CC66</f>
        <v>23</v>
      </c>
      <c r="CD76" s="384">
        <f>CD66</f>
        <v>21.2</v>
      </c>
      <c r="CE76" s="384">
        <f>CE66</f>
        <v>30.3</v>
      </c>
      <c r="CF76" s="384">
        <f>CF66</f>
        <v>18.899999999999999</v>
      </c>
      <c r="CG76" s="1261">
        <f t="shared" si="31"/>
        <v>93.4</v>
      </c>
      <c r="CH76" s="93"/>
      <c r="CI76" s="384">
        <f>CI66</f>
        <v>24.3</v>
      </c>
      <c r="CJ76" s="384">
        <f>CJ66</f>
        <v>20.999999999999996</v>
      </c>
      <c r="CK76" s="384">
        <f>CK66</f>
        <v>17</v>
      </c>
      <c r="CL76" s="384">
        <f>18.4</f>
        <v>18.399999999999999</v>
      </c>
      <c r="CM76" s="1261">
        <f t="shared" si="32"/>
        <v>80.699999999999989</v>
      </c>
      <c r="CN76" s="93"/>
      <c r="CO76" s="384">
        <f>CO66</f>
        <v>25.9</v>
      </c>
      <c r="CP76" s="384">
        <f>CP66</f>
        <v>27.3</v>
      </c>
      <c r="CQ76" s="384">
        <v>25.6</v>
      </c>
      <c r="CR76" s="384">
        <f>30</f>
        <v>30</v>
      </c>
      <c r="CS76" s="1261">
        <f t="shared" si="33"/>
        <v>108.80000000000001</v>
      </c>
      <c r="CT76" s="93"/>
      <c r="CU76" s="384">
        <v>33.4</v>
      </c>
      <c r="CV76" s="384">
        <v>33.5</v>
      </c>
      <c r="CW76" s="384">
        <v>51.8</v>
      </c>
      <c r="CX76" s="384">
        <f>CX66</f>
        <v>37.5</v>
      </c>
      <c r="CY76" s="1261">
        <f t="shared" si="34"/>
        <v>156.19999999999999</v>
      </c>
      <c r="CZ76" s="93"/>
      <c r="DA76" s="384">
        <v>32</v>
      </c>
      <c r="DB76" s="384">
        <v>31</v>
      </c>
      <c r="DC76" s="384">
        <v>31.6</v>
      </c>
      <c r="DD76" s="384">
        <v>36.1</v>
      </c>
      <c r="DE76" s="1261">
        <f t="shared" si="35"/>
        <v>130.69999999999999</v>
      </c>
      <c r="DF76" s="93"/>
      <c r="DG76" s="384">
        <v>33.6</v>
      </c>
      <c r="DH76" s="384">
        <v>39.799999999999997</v>
      </c>
      <c r="DI76" s="384">
        <v>43.1</v>
      </c>
      <c r="DJ76" s="384">
        <v>49.1</v>
      </c>
      <c r="DK76" s="1261">
        <f t="shared" si="36"/>
        <v>165.6</v>
      </c>
      <c r="DL76" s="93"/>
      <c r="DM76" s="384">
        <v>50.2</v>
      </c>
      <c r="DN76" s="384">
        <v>40.700000000000003</v>
      </c>
      <c r="DO76" s="384">
        <v>50.2</v>
      </c>
      <c r="DP76" s="384">
        <f>DP66</f>
        <v>56.1</v>
      </c>
      <c r="DQ76" s="1261">
        <f t="shared" si="37"/>
        <v>197.20000000000002</v>
      </c>
      <c r="DR76" s="93"/>
      <c r="DS76" s="384">
        <f>DS66</f>
        <v>56.9</v>
      </c>
      <c r="DT76" s="384">
        <f>DT66</f>
        <v>54.3</v>
      </c>
      <c r="DU76" s="384">
        <f>DU66</f>
        <v>56.6</v>
      </c>
      <c r="DV76" s="384">
        <f>DV66</f>
        <v>59.3</v>
      </c>
      <c r="DW76" s="1261">
        <f t="shared" si="38"/>
        <v>227.09999999999997</v>
      </c>
      <c r="DX76" s="93"/>
      <c r="DY76" s="384">
        <f>DY66</f>
        <v>59</v>
      </c>
      <c r="DZ76" s="384">
        <f>DZ66</f>
        <v>58.8</v>
      </c>
      <c r="EA76" s="384">
        <f>EA66</f>
        <v>65.099999999999994</v>
      </c>
      <c r="EB76" s="384">
        <f>EB66</f>
        <v>62.1</v>
      </c>
      <c r="EC76" s="1261">
        <f t="shared" si="39"/>
        <v>244.99999999999997</v>
      </c>
      <c r="ED76" s="93"/>
      <c r="EE76" s="384">
        <f>EE66</f>
        <v>61</v>
      </c>
      <c r="EF76" s="384">
        <f>EF66</f>
        <v>61</v>
      </c>
      <c r="EG76" s="384">
        <f>EG66</f>
        <v>61</v>
      </c>
      <c r="EH76" s="384">
        <f>EH66</f>
        <v>61</v>
      </c>
      <c r="EI76" s="1261">
        <f t="shared" si="40"/>
        <v>244</v>
      </c>
      <c r="EJ76" s="93"/>
      <c r="EK76" s="384">
        <f>EK66</f>
        <v>61</v>
      </c>
      <c r="EL76" s="384">
        <f>EL66</f>
        <v>61</v>
      </c>
      <c r="EM76" s="384">
        <f>EM66</f>
        <v>61</v>
      </c>
      <c r="EN76" s="384">
        <f>EN66</f>
        <v>61</v>
      </c>
      <c r="EO76" s="1261">
        <f t="shared" si="41"/>
        <v>244</v>
      </c>
      <c r="EP76" s="93"/>
      <c r="EQ76" s="384">
        <f>EQ66</f>
        <v>61</v>
      </c>
      <c r="ER76" s="384">
        <f>ER66</f>
        <v>61</v>
      </c>
      <c r="ES76" s="384">
        <f>ES66</f>
        <v>61</v>
      </c>
      <c r="ET76" s="384">
        <f>ET66</f>
        <v>61</v>
      </c>
      <c r="EU76" s="1261">
        <f t="shared" si="42"/>
        <v>244</v>
      </c>
      <c r="EV76" s="45"/>
    </row>
    <row r="77" spans="1:152" ht="4.5" customHeight="1" collapsed="1">
      <c r="A77" s="45"/>
      <c r="B77" s="444"/>
      <c r="C77" s="168"/>
      <c r="D77" s="168"/>
      <c r="E77" s="168"/>
      <c r="F77" s="168"/>
      <c r="G77" s="168"/>
      <c r="H77" s="61"/>
      <c r="I77" s="168"/>
      <c r="J77" s="168"/>
      <c r="K77" s="168"/>
      <c r="L77" s="168"/>
      <c r="M77" s="168"/>
      <c r="N77" s="61"/>
      <c r="O77" s="168"/>
      <c r="P77" s="168"/>
      <c r="Q77" s="168"/>
      <c r="R77" s="168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230"/>
      <c r="AZ77" s="230"/>
      <c r="BA77" s="230"/>
      <c r="BB77" s="230"/>
      <c r="BC77" s="61"/>
      <c r="BD77" s="61"/>
      <c r="BE77" s="230"/>
      <c r="BF77" s="230"/>
      <c r="BG77" s="230"/>
      <c r="BH77" s="230"/>
      <c r="BI77" s="61"/>
      <c r="BJ77" s="61"/>
      <c r="BK77" s="230"/>
      <c r="BL77" s="230"/>
      <c r="BM77" s="230"/>
      <c r="BN77" s="230"/>
      <c r="BO77" s="1125"/>
      <c r="BP77" s="61"/>
      <c r="BQ77" s="230"/>
      <c r="BR77" s="230"/>
      <c r="BS77" s="230"/>
      <c r="BT77" s="230"/>
      <c r="BU77" s="1125"/>
      <c r="BV77" s="61"/>
      <c r="BW77" s="230"/>
      <c r="BX77" s="230"/>
      <c r="BY77" s="230"/>
      <c r="BZ77" s="230"/>
      <c r="CA77" s="1125"/>
      <c r="CB77" s="61"/>
      <c r="CC77" s="230"/>
      <c r="CD77" s="230"/>
      <c r="CE77" s="230"/>
      <c r="CF77" s="230"/>
      <c r="CG77" s="1125"/>
      <c r="CH77" s="61"/>
      <c r="CI77" s="230"/>
      <c r="CJ77" s="230"/>
      <c r="CK77" s="230"/>
      <c r="CL77" s="230"/>
      <c r="CM77" s="1125"/>
      <c r="CN77" s="61"/>
      <c r="CO77" s="230"/>
      <c r="CP77" s="230"/>
      <c r="CQ77" s="230"/>
      <c r="CR77" s="230"/>
      <c r="CS77" s="1125"/>
      <c r="CT77" s="61"/>
      <c r="CU77" s="230"/>
      <c r="CV77" s="230"/>
      <c r="CW77" s="230"/>
      <c r="CX77" s="230"/>
      <c r="CY77" s="1125"/>
      <c r="CZ77" s="61"/>
      <c r="DA77" s="230"/>
      <c r="DB77" s="230"/>
      <c r="DC77" s="230"/>
      <c r="DD77" s="230"/>
      <c r="DE77" s="1125"/>
      <c r="DF77" s="61"/>
      <c r="DG77" s="230"/>
      <c r="DH77" s="230"/>
      <c r="DI77" s="230"/>
      <c r="DJ77" s="230"/>
      <c r="DK77" s="1125"/>
      <c r="DL77" s="61"/>
      <c r="DM77" s="230"/>
      <c r="DN77" s="230"/>
      <c r="DO77" s="230"/>
      <c r="DP77" s="230"/>
      <c r="DQ77" s="1125"/>
      <c r="DR77" s="61"/>
      <c r="DS77" s="230"/>
      <c r="DT77" s="230"/>
      <c r="DU77" s="230"/>
      <c r="DV77" s="230"/>
      <c r="DW77" s="1125"/>
      <c r="DX77" s="61"/>
      <c r="DY77" s="230"/>
      <c r="DZ77" s="230"/>
      <c r="EA77" s="230"/>
      <c r="EB77" s="230"/>
      <c r="EC77" s="1125"/>
      <c r="ED77" s="61"/>
      <c r="EE77" s="230"/>
      <c r="EF77" s="230"/>
      <c r="EG77" s="230"/>
      <c r="EH77" s="230"/>
      <c r="EI77" s="1125"/>
      <c r="EJ77" s="61"/>
      <c r="EK77" s="230"/>
      <c r="EL77" s="230"/>
      <c r="EM77" s="230"/>
      <c r="EN77" s="230"/>
      <c r="EO77" s="1125"/>
      <c r="EP77" s="61"/>
      <c r="EQ77" s="230"/>
      <c r="ER77" s="230"/>
      <c r="ES77" s="230"/>
      <c r="ET77" s="230"/>
      <c r="EU77" s="1125"/>
      <c r="EV77" s="45"/>
    </row>
    <row r="78" spans="1:152" ht="13.5" customHeight="1">
      <c r="A78" s="823" t="s">
        <v>6882</v>
      </c>
      <c r="B78" s="444"/>
      <c r="C78" s="168"/>
      <c r="D78" s="168"/>
      <c r="E78" s="168"/>
      <c r="F78" s="168"/>
      <c r="G78" s="168"/>
      <c r="H78" s="61"/>
      <c r="I78" s="168"/>
      <c r="J78" s="168"/>
      <c r="K78" s="168"/>
      <c r="L78" s="168"/>
      <c r="M78" s="168"/>
      <c r="N78" s="61"/>
      <c r="O78" s="168"/>
      <c r="P78" s="168"/>
      <c r="Q78" s="168"/>
      <c r="R78" s="168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230"/>
      <c r="AZ78" s="341"/>
      <c r="BA78" s="341"/>
      <c r="BB78" s="341"/>
      <c r="BC78" s="61"/>
      <c r="BD78" s="61"/>
      <c r="BE78" s="230"/>
      <c r="BF78" s="341"/>
      <c r="BG78" s="341"/>
      <c r="BH78" s="341"/>
      <c r="BI78" s="61"/>
      <c r="BJ78" s="61"/>
      <c r="BK78" s="230"/>
      <c r="BL78" s="341"/>
      <c r="BM78" s="341"/>
      <c r="BN78" s="341"/>
      <c r="BO78" s="1125"/>
      <c r="BP78" s="61"/>
      <c r="BQ78" s="341"/>
      <c r="BR78" s="888"/>
      <c r="BS78" s="888"/>
      <c r="BT78" s="230"/>
      <c r="BU78" s="1136"/>
      <c r="BV78" s="61"/>
      <c r="BW78" s="230"/>
      <c r="BX78" s="230"/>
      <c r="BY78" s="230"/>
      <c r="BZ78" s="230"/>
      <c r="CA78" s="1136"/>
      <c r="CB78" s="61"/>
      <c r="CC78" s="428"/>
      <c r="CD78" s="230"/>
      <c r="CE78" s="230"/>
      <c r="CF78" s="230"/>
      <c r="CG78" s="1134"/>
      <c r="CH78" s="61"/>
      <c r="CI78" s="1595"/>
      <c r="CJ78" s="1610"/>
      <c r="CK78" s="1611"/>
      <c r="CL78" s="230"/>
      <c r="CM78" s="1136"/>
      <c r="CN78" s="61"/>
      <c r="CO78" s="230"/>
      <c r="CP78" s="230"/>
      <c r="CQ78" s="230"/>
      <c r="CR78" s="230"/>
      <c r="CS78" s="1136"/>
      <c r="CT78" s="61"/>
      <c r="CU78" s="230"/>
      <c r="CV78" s="888"/>
      <c r="CW78" s="888"/>
      <c r="CX78" s="230"/>
      <c r="CY78" s="1136"/>
      <c r="CZ78" s="61"/>
      <c r="DA78" s="230"/>
      <c r="DB78" s="230"/>
      <c r="DC78" s="230"/>
      <c r="DD78" s="230"/>
      <c r="DE78" s="1136"/>
      <c r="DF78" s="61"/>
      <c r="DG78" s="230"/>
      <c r="DH78" s="230"/>
      <c r="DI78" s="230"/>
      <c r="DJ78" s="230"/>
      <c r="DK78" s="1136"/>
      <c r="DL78" s="61"/>
      <c r="DM78" s="230"/>
      <c r="DN78" s="230"/>
      <c r="DO78" s="230"/>
      <c r="DP78" s="230"/>
      <c r="DQ78" s="1136"/>
      <c r="DR78" s="61"/>
      <c r="DS78" s="230"/>
      <c r="DT78" s="230"/>
      <c r="DU78" s="2059"/>
      <c r="DV78" s="230"/>
      <c r="DW78" s="1136"/>
      <c r="DX78" s="61"/>
      <c r="DY78" s="230"/>
      <c r="DZ78" s="230"/>
      <c r="EA78" s="230"/>
      <c r="EB78" s="230"/>
      <c r="EC78" s="1136"/>
      <c r="ED78" s="61"/>
      <c r="EE78" s="230"/>
      <c r="EF78" s="230"/>
      <c r="EG78" s="230"/>
      <c r="EH78" s="230"/>
      <c r="EI78" s="1136"/>
      <c r="EJ78" s="61"/>
      <c r="EK78" s="230"/>
      <c r="EL78" s="230"/>
      <c r="EM78" s="230"/>
      <c r="EN78" s="230"/>
      <c r="EO78" s="1136"/>
      <c r="EP78" s="61"/>
      <c r="EQ78" s="230"/>
      <c r="ER78" s="230"/>
      <c r="ES78" s="230"/>
      <c r="ET78" s="230"/>
      <c r="EU78" s="1136"/>
      <c r="EV78" s="45"/>
    </row>
    <row r="79" spans="1:152" ht="12.75" customHeight="1">
      <c r="A79" s="447" t="s">
        <v>6051</v>
      </c>
      <c r="B79" s="593" t="s">
        <v>6687</v>
      </c>
      <c r="C79" s="223">
        <f>C54+C58+C62</f>
        <v>90.899999999999991</v>
      </c>
      <c r="D79" s="223">
        <f>D54+D58+D62</f>
        <v>91.8</v>
      </c>
      <c r="E79" s="223">
        <f>E54+E58+E62</f>
        <v>92.4</v>
      </c>
      <c r="F79" s="223">
        <f>F54+F58+F62</f>
        <v>92.8</v>
      </c>
      <c r="G79" s="223">
        <f>G54+G58+G62</f>
        <v>367.90000000000003</v>
      </c>
      <c r="H79" s="223"/>
      <c r="I79" s="223">
        <f>I54+I58+I62</f>
        <v>108.5</v>
      </c>
      <c r="J79" s="223">
        <f>J54+J58+J62</f>
        <v>118.5</v>
      </c>
      <c r="K79" s="223">
        <f>K54+K58+K62</f>
        <v>125.1</v>
      </c>
      <c r="L79" s="223">
        <f>L54+L58+L62</f>
        <v>131.69999999999999</v>
      </c>
      <c r="M79" s="223">
        <f>M54+M58+M62</f>
        <v>483.8</v>
      </c>
      <c r="N79" s="223"/>
      <c r="O79" s="223">
        <f>O54+O58+O62</f>
        <v>144.37899999999999</v>
      </c>
      <c r="P79" s="223">
        <f>P54+P58+P62</f>
        <v>146.315</v>
      </c>
      <c r="Q79" s="223">
        <f>Q54+Q58+Q62</f>
        <v>146.12700000000001</v>
      </c>
      <c r="R79" s="223">
        <f>R54+R58+R62</f>
        <v>148.39699999999999</v>
      </c>
      <c r="S79" s="223">
        <f>S54+S58+S62</f>
        <v>585.21800000000007</v>
      </c>
      <c r="T79" s="223"/>
      <c r="U79" s="223">
        <f>U54+U58+U62</f>
        <v>159.18899999999999</v>
      </c>
      <c r="V79" s="223">
        <f>V54+V58+V62</f>
        <v>166.221</v>
      </c>
      <c r="W79" s="223">
        <f>W54+W58+W62</f>
        <v>152.62899999999999</v>
      </c>
      <c r="X79" s="223">
        <f>X54+X58+X62</f>
        <v>151.06799999999998</v>
      </c>
      <c r="Y79" s="223">
        <f>Y54+Y58+Y62</f>
        <v>629.10699999999997</v>
      </c>
      <c r="Z79" s="223"/>
      <c r="AA79" s="223">
        <f>AA54+AA58+AA62</f>
        <v>149.56200000000001</v>
      </c>
      <c r="AB79" s="223">
        <f>AB54+AB58+AB62</f>
        <v>152.35999999999999</v>
      </c>
      <c r="AC79" s="223">
        <f>AC54+AC58+AC62</f>
        <v>156.279</v>
      </c>
      <c r="AD79" s="223">
        <f>AD54+AD58+AD62</f>
        <v>162.61600000000001</v>
      </c>
      <c r="AE79" s="223">
        <f>AE54+AE58+AE62</f>
        <v>620.81700000000001</v>
      </c>
      <c r="AF79" s="223"/>
      <c r="AG79" s="223">
        <f>AG54+AG58+AG62</f>
        <v>165.53400000000002</v>
      </c>
      <c r="AH79" s="223">
        <f>AH54+AH58+AH62</f>
        <v>160.28100000000001</v>
      </c>
      <c r="AI79" s="223">
        <f>AI54+AI58+AI62</f>
        <v>151.637</v>
      </c>
      <c r="AJ79" s="223">
        <f>AJ54+AJ58+AJ62</f>
        <v>159.70400000000001</v>
      </c>
      <c r="AK79" s="223">
        <f>AK54+AK58+AK62</f>
        <v>637.15599999999995</v>
      </c>
      <c r="AL79" s="223"/>
      <c r="AM79" s="223">
        <f>AM54+AM58+AM62</f>
        <v>164.32599999999996</v>
      </c>
      <c r="AN79" s="223">
        <f>AN54+AN58+AN62</f>
        <v>161.70699999999999</v>
      </c>
      <c r="AO79" s="223">
        <f>AO54+AO58+AO62</f>
        <v>150.06800000000001</v>
      </c>
      <c r="AP79" s="223">
        <f>AP54+AP58+AP62</f>
        <v>152.185</v>
      </c>
      <c r="AQ79" s="223">
        <f>AQ54+AQ58+AQ62</f>
        <v>628.28599999999994</v>
      </c>
      <c r="AR79" s="223"/>
      <c r="AS79" s="223">
        <f>AS54+AS58+AS62</f>
        <v>165.917</v>
      </c>
      <c r="AT79" s="223">
        <f>AT54+AT58+AT62</f>
        <v>161.71800000000002</v>
      </c>
      <c r="AU79" s="223">
        <f>AU54+AU58+AU62</f>
        <v>169.31299999999999</v>
      </c>
      <c r="AV79" s="223">
        <f>AV54+AV58+AV62</f>
        <v>197.14699999999999</v>
      </c>
      <c r="AW79" s="223">
        <f>AW54+AW58+AW62</f>
        <v>694.09500000000003</v>
      </c>
      <c r="AX79" s="223"/>
      <c r="AY79" s="428">
        <f>AY54+AY58+AY62</f>
        <v>194.3</v>
      </c>
      <c r="AZ79" s="428">
        <f>AZ54+AZ58+AZ62</f>
        <v>186.20000000000002</v>
      </c>
      <c r="BA79" s="428">
        <f>BA54+BA58+BA62</f>
        <v>199.9</v>
      </c>
      <c r="BB79" s="428">
        <f>BB54+BB58+BB62</f>
        <v>222.3</v>
      </c>
      <c r="BC79" s="428">
        <f>BC54+BC58+BC62</f>
        <v>802.69999999999993</v>
      </c>
      <c r="BD79" s="223"/>
      <c r="BE79" s="428">
        <f t="shared" ref="BE79:BO79" si="43">BE54+BE58+BE62</f>
        <v>221</v>
      </c>
      <c r="BF79" s="428">
        <f t="shared" si="43"/>
        <v>239.6</v>
      </c>
      <c r="BG79" s="428">
        <f t="shared" si="43"/>
        <v>242.8</v>
      </c>
      <c r="BH79" s="428">
        <f t="shared" si="43"/>
        <v>270.8</v>
      </c>
      <c r="BI79" s="428">
        <f t="shared" si="43"/>
        <v>974.19999999999993</v>
      </c>
      <c r="BJ79" s="223"/>
      <c r="BK79" s="428">
        <f t="shared" si="43"/>
        <v>287.7</v>
      </c>
      <c r="BL79" s="428">
        <f t="shared" si="43"/>
        <v>282.2</v>
      </c>
      <c r="BM79" s="428">
        <f>BM54+BM58+BM62</f>
        <v>297.70000000000005</v>
      </c>
      <c r="BN79" s="428">
        <f t="shared" si="43"/>
        <v>304.7</v>
      </c>
      <c r="BO79" s="1192">
        <f t="shared" si="43"/>
        <v>1172.3</v>
      </c>
      <c r="BP79" s="428"/>
      <c r="BQ79" s="428">
        <f>BQ54+BQ58+BQ62</f>
        <v>327.5</v>
      </c>
      <c r="BR79" s="428">
        <f>BR54+BR58+BR62</f>
        <v>336.50000000000006</v>
      </c>
      <c r="BS79" s="428">
        <f>BS54+BS58+BS62</f>
        <v>341.20000000000005</v>
      </c>
      <c r="BT79" s="428">
        <f>BT54+BT58+BT62</f>
        <v>392.4</v>
      </c>
      <c r="BU79" s="1192">
        <f>BU54+BU58+BU62</f>
        <v>1397.6000000000001</v>
      </c>
      <c r="BV79" s="428"/>
      <c r="BW79" s="428">
        <f>BW54+BW58+BW62</f>
        <v>394</v>
      </c>
      <c r="BX79" s="428">
        <f>BX54+BX58+BX62</f>
        <v>395.9</v>
      </c>
      <c r="BY79" s="428">
        <f>BY54+BY58+BY62</f>
        <v>384.9</v>
      </c>
      <c r="BZ79" s="428">
        <f>BZ54+BZ58+BZ62</f>
        <v>372</v>
      </c>
      <c r="CA79" s="1192">
        <f>CA54+CA58+CA62</f>
        <v>1546.8</v>
      </c>
      <c r="CB79" s="223"/>
      <c r="CC79" s="428">
        <f>CC54+CC58+CC62</f>
        <v>326.59999999999997</v>
      </c>
      <c r="CD79" s="428">
        <f>CD54+CD58+CD62</f>
        <v>308.5</v>
      </c>
      <c r="CE79" s="428">
        <f>CE54+CE58+CE62</f>
        <v>305.10000000000002</v>
      </c>
      <c r="CF79" s="428">
        <f>CF54+CF58+CF62</f>
        <v>331.00000000000006</v>
      </c>
      <c r="CG79" s="1192">
        <f>CG54+CG58+CG62</f>
        <v>1271.2</v>
      </c>
      <c r="CH79" s="223"/>
      <c r="CI79" s="428">
        <f>CI54+CI58+CI62</f>
        <v>335.7</v>
      </c>
      <c r="CJ79" s="428">
        <f>CJ54+CJ58+CJ62</f>
        <v>316.5</v>
      </c>
      <c r="CK79" s="428">
        <f>CK54+CK58+CK62</f>
        <v>336.90000000000003</v>
      </c>
      <c r="CL79" s="428">
        <f>CL54+CL58+CL62</f>
        <v>382.1</v>
      </c>
      <c r="CM79" s="1192">
        <f>CM54+CM58+CM62</f>
        <v>1371.2</v>
      </c>
      <c r="CN79" s="223"/>
      <c r="CO79" s="223">
        <f>CO54+CO58+CO62</f>
        <v>363.59999999999997</v>
      </c>
      <c r="CP79" s="223">
        <f>CP54+CP58+CP62</f>
        <v>359.59999999999997</v>
      </c>
      <c r="CQ79" s="223">
        <f>CQ54+CQ58+CQ62</f>
        <v>365.9</v>
      </c>
      <c r="CR79" s="223">
        <f>CR54+CR58+CR62</f>
        <v>405.9</v>
      </c>
      <c r="CS79" s="1278">
        <f>CS54+CS58+CS62</f>
        <v>1494.9999999999998</v>
      </c>
      <c r="CT79" s="223"/>
      <c r="CU79" s="223">
        <f>CU54+CU58+CU62</f>
        <v>395.9</v>
      </c>
      <c r="CV79" s="223">
        <f>CV54+CV58+CV62</f>
        <v>375.8</v>
      </c>
      <c r="CW79" s="223">
        <f>CW54+CW58+CW62</f>
        <v>356.2</v>
      </c>
      <c r="CX79" s="223">
        <f>CX54+CX58+CX62</f>
        <v>404.40000000000003</v>
      </c>
      <c r="CY79" s="1278">
        <f>CY54+CY58+CY62</f>
        <v>1532.3000000000002</v>
      </c>
      <c r="CZ79" s="223"/>
      <c r="DA79" s="223">
        <f>DA54+DA58+DA62</f>
        <v>378.3</v>
      </c>
      <c r="DB79" s="223">
        <f>DB54+DB58+DB62</f>
        <v>369.7</v>
      </c>
      <c r="DC79" s="223">
        <f>DC54+DC58+DC62</f>
        <v>378.00000000000006</v>
      </c>
      <c r="DD79" s="223">
        <f>DD54+DD58+DD62</f>
        <v>413.30000000000007</v>
      </c>
      <c r="DE79" s="1278">
        <f>DE54+DE58+DE62</f>
        <v>1539.3000000000002</v>
      </c>
      <c r="DF79" s="223"/>
      <c r="DG79" s="223">
        <f>DG54+DG58+DG62</f>
        <v>426.5</v>
      </c>
      <c r="DH79" s="223">
        <f>DH54+DH58+DH62</f>
        <v>450.70000000000005</v>
      </c>
      <c r="DI79" s="223">
        <f>DI54+DI58+DI62</f>
        <v>467.09999999999997</v>
      </c>
      <c r="DJ79" s="223">
        <f>DJ54+DJ58+DJ62</f>
        <v>505.5</v>
      </c>
      <c r="DK79" s="1278">
        <f>DK54+DK58+DK62</f>
        <v>1849.8</v>
      </c>
      <c r="DL79" s="223"/>
      <c r="DM79" s="223">
        <f>DM54+DM58+DM62</f>
        <v>477</v>
      </c>
      <c r="DN79" s="223">
        <f>DN54+DN58+DN62</f>
        <v>465.69999999999993</v>
      </c>
      <c r="DO79" s="223">
        <f>DO54+DO58+DO62</f>
        <v>468.5</v>
      </c>
      <c r="DP79" s="223">
        <f>DP54+DP58+DP62</f>
        <v>502.29999999999995</v>
      </c>
      <c r="DQ79" s="1278">
        <f>DQ54+DQ58+DQ62</f>
        <v>1913.5</v>
      </c>
      <c r="DR79" s="223"/>
      <c r="DS79" s="223">
        <f>DS54+DS58+DS62</f>
        <v>460.79999999999995</v>
      </c>
      <c r="DT79" s="223">
        <f>DT54+DT58+DT62</f>
        <v>453.8</v>
      </c>
      <c r="DU79" s="223">
        <f>DU54+DU58+DU62</f>
        <v>464.9</v>
      </c>
      <c r="DV79" s="223">
        <f>DV54+DV58+DV62</f>
        <v>489.2</v>
      </c>
      <c r="DW79" s="1278">
        <f>DW54+DW58+DW62</f>
        <v>1868.7</v>
      </c>
      <c r="DX79" s="223"/>
      <c r="DY79" s="223">
        <f>DY54+DY58+DY62</f>
        <v>455.59999999999997</v>
      </c>
      <c r="DZ79" s="223">
        <f>DZ54+DZ58+DZ62</f>
        <v>463.8</v>
      </c>
      <c r="EA79" s="223">
        <f>EA54+EA58+EA62</f>
        <v>471.9</v>
      </c>
      <c r="EB79" s="223">
        <f>EB54+EB58+EB62</f>
        <v>506.2</v>
      </c>
      <c r="EC79" s="1278">
        <f>EC54+EC58+EC62</f>
        <v>1897.5</v>
      </c>
      <c r="ED79" s="223"/>
      <c r="EE79" s="223">
        <f>EE54+EE58+EE62</f>
        <v>472.03210763002483</v>
      </c>
      <c r="EF79" s="223">
        <f>EF54+EF58+EF62</f>
        <v>472.24248647114763</v>
      </c>
      <c r="EG79" s="223">
        <f>EG54+EG58+EG62</f>
        <v>474.10110571158407</v>
      </c>
      <c r="EH79" s="223">
        <f>EH54+EH58+EH62</f>
        <v>513.87915044479985</v>
      </c>
      <c r="EI79" s="1278">
        <f>EI54+EI58+EI62</f>
        <v>1932.2548502575564</v>
      </c>
      <c r="EJ79" s="223"/>
      <c r="EK79" s="223">
        <f>EK54+EK58+EK62</f>
        <v>468.26207207513079</v>
      </c>
      <c r="EL79" s="223">
        <f>EL54+EL58+EL62</f>
        <v>461.145256619061</v>
      </c>
      <c r="EM79" s="223">
        <f>EM54+EM58+EM62</f>
        <v>476.78764603381512</v>
      </c>
      <c r="EN79" s="223">
        <f>EN54+EN58+EN62</f>
        <v>520.12718612110211</v>
      </c>
      <c r="EO79" s="1278">
        <f>EO54+EO58+EO62</f>
        <v>1926.322160849109</v>
      </c>
      <c r="EP79" s="223"/>
      <c r="EQ79" s="223">
        <f>EQ54+EQ58+EQ62</f>
        <v>497.75268674924376</v>
      </c>
      <c r="ER79" s="223">
        <f>ER54+ER58+ER62</f>
        <v>492.95714627187829</v>
      </c>
      <c r="ES79" s="223">
        <f>ES54+ES58+ES62</f>
        <v>503.73710969826226</v>
      </c>
      <c r="ET79" s="223">
        <f>ET54+ET58+ET62</f>
        <v>534.90928245975113</v>
      </c>
      <c r="EU79" s="1278">
        <f>EU54+EU58+EU62</f>
        <v>2029.3562251791352</v>
      </c>
      <c r="EV79" s="1414"/>
    </row>
    <row r="80" spans="1:152" ht="10.5" customHeight="1">
      <c r="A80" s="427"/>
      <c r="B80" s="444"/>
      <c r="C80" s="223"/>
      <c r="D80" s="223"/>
      <c r="E80" s="223"/>
      <c r="F80" s="223"/>
      <c r="G80" s="223"/>
      <c r="H80" s="428"/>
      <c r="I80" s="223"/>
      <c r="J80" s="223"/>
      <c r="K80" s="223"/>
      <c r="L80" s="223"/>
      <c r="M80" s="223"/>
      <c r="N80" s="428"/>
      <c r="O80" s="223"/>
      <c r="P80" s="223"/>
      <c r="Q80" s="223"/>
      <c r="R80" s="223"/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  <c r="AI80" s="223"/>
      <c r="AJ80" s="223"/>
      <c r="AK80" s="223"/>
      <c r="AL80" s="223"/>
      <c r="AM80" s="223"/>
      <c r="AN80" s="223"/>
      <c r="AO80" s="223"/>
      <c r="AP80" s="223"/>
      <c r="AQ80" s="223"/>
      <c r="AR80" s="223"/>
      <c r="AS80" s="223"/>
      <c r="AT80" s="223"/>
      <c r="AU80" s="223"/>
      <c r="AV80" s="223"/>
      <c r="AW80" s="223"/>
      <c r="AX80" s="223"/>
      <c r="AY80" s="431"/>
      <c r="AZ80" s="431"/>
      <c r="BA80" s="431"/>
      <c r="BB80" s="431"/>
      <c r="BC80" s="428"/>
      <c r="BD80" s="223"/>
      <c r="BE80" s="431"/>
      <c r="BF80" s="431"/>
      <c r="BG80" s="431"/>
      <c r="BH80" s="431"/>
      <c r="BI80" s="428"/>
      <c r="BJ80" s="428"/>
      <c r="BK80" s="431"/>
      <c r="BL80" s="431"/>
      <c r="BM80" s="431"/>
      <c r="BN80" s="431"/>
      <c r="BO80" s="1192"/>
      <c r="BP80" s="428"/>
      <c r="BQ80" s="431"/>
      <c r="BR80" s="431"/>
      <c r="BS80" s="431"/>
      <c r="BT80" s="431"/>
      <c r="BU80" s="1192"/>
      <c r="BV80" s="428"/>
      <c r="BW80" s="431"/>
      <c r="BX80" s="431"/>
      <c r="BY80" s="431"/>
      <c r="BZ80" s="431"/>
      <c r="CA80" s="1192"/>
      <c r="CB80" s="428"/>
      <c r="CC80" s="431"/>
      <c r="CD80" s="431"/>
      <c r="CE80" s="431"/>
      <c r="CF80" s="431"/>
      <c r="CG80" s="1192"/>
      <c r="CH80" s="428"/>
      <c r="CI80" s="431"/>
      <c r="CJ80" s="431"/>
      <c r="CK80" s="431"/>
      <c r="CL80" s="431"/>
      <c r="CM80" s="1192"/>
      <c r="CN80" s="428"/>
      <c r="CO80" s="431"/>
      <c r="CP80" s="431"/>
      <c r="CQ80" s="431"/>
      <c r="CR80" s="431"/>
      <c r="CS80" s="1192"/>
      <c r="CT80" s="428"/>
      <c r="CU80" s="431"/>
      <c r="CV80" s="431"/>
      <c r="CW80" s="431"/>
      <c r="CX80" s="431"/>
      <c r="CY80" s="1682"/>
      <c r="CZ80" s="428"/>
      <c r="DA80" s="431"/>
      <c r="DB80" s="431"/>
      <c r="DC80" s="431"/>
      <c r="DD80" s="431"/>
      <c r="DE80" s="1192"/>
      <c r="DF80" s="428"/>
      <c r="DG80" s="431"/>
      <c r="DH80" s="431"/>
      <c r="DI80" s="431"/>
      <c r="DJ80" s="431"/>
      <c r="DK80" s="1192"/>
      <c r="DL80" s="428"/>
      <c r="DM80" s="431"/>
      <c r="DN80" s="431"/>
      <c r="DO80" s="431"/>
      <c r="DP80" s="431"/>
      <c r="DQ80" s="1192"/>
      <c r="DR80" s="428"/>
      <c r="DS80" s="431"/>
      <c r="DT80" s="431"/>
      <c r="DU80" s="431"/>
      <c r="DV80" s="431"/>
      <c r="DW80" s="1192"/>
      <c r="DX80" s="61"/>
      <c r="DY80" s="431"/>
      <c r="DZ80" s="230"/>
      <c r="EA80" s="230"/>
      <c r="EB80" s="230"/>
      <c r="EC80" s="1192"/>
      <c r="ED80" s="61"/>
      <c r="EE80" s="230"/>
      <c r="EF80" s="230"/>
      <c r="EG80" s="230"/>
      <c r="EH80" s="230"/>
      <c r="EI80" s="1192"/>
      <c r="EJ80" s="61"/>
      <c r="EK80" s="230"/>
      <c r="EL80" s="230"/>
      <c r="EM80" s="230"/>
      <c r="EN80" s="230"/>
      <c r="EO80" s="1192"/>
      <c r="EP80" s="61"/>
      <c r="EQ80" s="230"/>
      <c r="ER80" s="230"/>
      <c r="ES80" s="230"/>
      <c r="ET80" s="230"/>
      <c r="EU80" s="1192"/>
      <c r="EV80" s="429"/>
    </row>
    <row r="81" spans="1:152" ht="12.75" customHeight="1">
      <c r="A81" s="427" t="s">
        <v>3502</v>
      </c>
      <c r="B81" s="444"/>
      <c r="C81" s="223"/>
      <c r="D81" s="223"/>
      <c r="E81" s="223"/>
      <c r="F81" s="223"/>
      <c r="G81" s="223"/>
      <c r="H81" s="428"/>
      <c r="I81" s="223"/>
      <c r="J81" s="223"/>
      <c r="K81" s="223"/>
      <c r="L81" s="223"/>
      <c r="M81" s="223"/>
      <c r="N81" s="428"/>
      <c r="O81" s="428">
        <f>O48+O79</f>
        <v>179.06</v>
      </c>
      <c r="P81" s="428">
        <f>P48+P79</f>
        <v>182.5</v>
      </c>
      <c r="Q81" s="428">
        <f>Q48+Q79</f>
        <v>177.70699999999999</v>
      </c>
      <c r="R81" s="428">
        <f>R48+R79</f>
        <v>182.673</v>
      </c>
      <c r="S81" s="428">
        <f>S48+S79</f>
        <v>721.94</v>
      </c>
      <c r="T81" s="223"/>
      <c r="U81" s="428">
        <f>U48+U79</f>
        <v>193.845</v>
      </c>
      <c r="V81" s="428">
        <f>V48+V79</f>
        <v>208.03700000000001</v>
      </c>
      <c r="W81" s="428">
        <f>W48+W79</f>
        <v>190.03699999999998</v>
      </c>
      <c r="X81" s="428">
        <f>X48+X79</f>
        <v>189.99599999999998</v>
      </c>
      <c r="Y81" s="428">
        <f>Y48+Y79</f>
        <v>781.91499999999996</v>
      </c>
      <c r="Z81" s="223"/>
      <c r="AA81" s="428">
        <f>AA48+AA79</f>
        <v>186.28800000000001</v>
      </c>
      <c r="AB81" s="428">
        <f>AB48+AB79</f>
        <v>191.56899999999999</v>
      </c>
      <c r="AC81" s="428">
        <f>AC48+AC79</f>
        <v>194.23500000000001</v>
      </c>
      <c r="AD81" s="428">
        <f>AD48+AD79</f>
        <v>198.923</v>
      </c>
      <c r="AE81" s="428">
        <f>AE48+AE79</f>
        <v>771.01499999999999</v>
      </c>
      <c r="AF81" s="223"/>
      <c r="AG81" s="428">
        <f>AG48+AG79</f>
        <v>203.83200000000002</v>
      </c>
      <c r="AH81" s="428">
        <f>AH48+AH79</f>
        <v>197.024</v>
      </c>
      <c r="AI81" s="428">
        <f>AI48+AI79</f>
        <v>191.03700000000001</v>
      </c>
      <c r="AJ81" s="428">
        <f>AJ48+AJ79</f>
        <v>202.89100000000002</v>
      </c>
      <c r="AK81" s="428">
        <f>AK48+AK79</f>
        <v>794.78399999999988</v>
      </c>
      <c r="AL81" s="223"/>
      <c r="AM81" s="428">
        <f>AM48+AM79</f>
        <v>206.59699999999998</v>
      </c>
      <c r="AN81" s="428">
        <f>AN48+AN79</f>
        <v>197.273</v>
      </c>
      <c r="AO81" s="428">
        <f>AO48+AO79</f>
        <v>183.26000000000002</v>
      </c>
      <c r="AP81" s="428">
        <f>AP48+AP79</f>
        <v>186.96600000000001</v>
      </c>
      <c r="AQ81" s="428">
        <f>AQ48+AQ79</f>
        <v>774.09599999999989</v>
      </c>
      <c r="AR81" s="223"/>
      <c r="AS81" s="428">
        <f>AS48+AS79</f>
        <v>204.15899999999999</v>
      </c>
      <c r="AT81" s="428">
        <f>AT48+AT79</f>
        <v>197.76400000000001</v>
      </c>
      <c r="AU81" s="428">
        <f>AU48+AU79</f>
        <v>205.92199999999997</v>
      </c>
      <c r="AV81" s="428">
        <f>AV48+AV79</f>
        <v>234.37799999999999</v>
      </c>
      <c r="AW81" s="428">
        <f>AW48+AW79</f>
        <v>842.22299999999996</v>
      </c>
      <c r="AX81" s="223"/>
      <c r="AY81" s="428">
        <f>AY48+AY79</f>
        <v>236.20000000000002</v>
      </c>
      <c r="AZ81" s="428">
        <f>AZ48+AZ79</f>
        <v>226.40000000000003</v>
      </c>
      <c r="BA81" s="428">
        <f>BA48+BA79</f>
        <v>243.3</v>
      </c>
      <c r="BB81" s="428">
        <f>BB48+BB79</f>
        <v>266.3</v>
      </c>
      <c r="BC81" s="428">
        <f>BC48+BC79</f>
        <v>972.19999999999993</v>
      </c>
      <c r="BD81" s="223"/>
      <c r="BE81" s="428">
        <f>BE48+BE79</f>
        <v>264.5</v>
      </c>
      <c r="BF81" s="428">
        <f>BF48+BF79</f>
        <v>284.10000000000002</v>
      </c>
      <c r="BG81" s="428">
        <f>BG48+BG79</f>
        <v>285.2</v>
      </c>
      <c r="BH81" s="428">
        <f>BH48+BH79</f>
        <v>311</v>
      </c>
      <c r="BI81" s="428">
        <f>BI48+BI79</f>
        <v>1144.8</v>
      </c>
      <c r="BJ81" s="428"/>
      <c r="BK81" s="428">
        <f>BK48+BK79</f>
        <v>335.22800000000001</v>
      </c>
      <c r="BL81" s="428">
        <f>BL48+BL79</f>
        <v>335</v>
      </c>
      <c r="BM81" s="428">
        <f>BM48+BM79</f>
        <v>350.40000000000003</v>
      </c>
      <c r="BN81" s="428">
        <f>BN48+BN79</f>
        <v>355.9</v>
      </c>
      <c r="BO81" s="1192">
        <f>BO48+BO79</f>
        <v>1376.528</v>
      </c>
      <c r="BP81" s="428"/>
      <c r="BQ81" s="428">
        <f>BQ48+BQ79</f>
        <v>376.4</v>
      </c>
      <c r="BR81" s="428">
        <f>BR48+BR79</f>
        <v>385.20000000000005</v>
      </c>
      <c r="BS81" s="428">
        <f>BS48+BS79</f>
        <v>387.6</v>
      </c>
      <c r="BT81" s="428">
        <f>BT48+BT79</f>
        <v>438.5</v>
      </c>
      <c r="BU81" s="1192">
        <f>BU48+BU79</f>
        <v>1587.7</v>
      </c>
      <c r="BV81" s="428"/>
      <c r="BW81" s="428">
        <f>BW48+BW79</f>
        <v>447.2</v>
      </c>
      <c r="BX81" s="428">
        <f>BX48+BX79</f>
        <v>449</v>
      </c>
      <c r="BY81" s="428">
        <f>BY48+BY79</f>
        <v>430.2</v>
      </c>
      <c r="BZ81" s="428">
        <f>BZ48+BZ79</f>
        <v>412.1</v>
      </c>
      <c r="CA81" s="1192">
        <f>CA48+CA79</f>
        <v>1738.5</v>
      </c>
      <c r="CB81" s="428"/>
      <c r="CC81" s="428">
        <f>CC48+CC79</f>
        <v>369.99999999999994</v>
      </c>
      <c r="CD81" s="428">
        <f>CD48+CD79</f>
        <v>349.6</v>
      </c>
      <c r="CE81" s="428">
        <f>CE48+CE79</f>
        <v>340.3</v>
      </c>
      <c r="CF81" s="428">
        <f>CF48+CF79</f>
        <v>367.1</v>
      </c>
      <c r="CG81" s="1192">
        <f>CG48+CG79</f>
        <v>1427</v>
      </c>
      <c r="CH81" s="428"/>
      <c r="CI81" s="428">
        <f>CI48+CI79</f>
        <v>378.5</v>
      </c>
      <c r="CJ81" s="428">
        <f>CJ48+CJ79</f>
        <v>356.5</v>
      </c>
      <c r="CK81" s="428">
        <f>CK48+CK79</f>
        <v>376.40000000000003</v>
      </c>
      <c r="CL81" s="428">
        <f>CL48+CL79</f>
        <v>421.6</v>
      </c>
      <c r="CM81" s="1192">
        <f>CM48+CM79</f>
        <v>1533</v>
      </c>
      <c r="CN81" s="428"/>
      <c r="CO81" s="428">
        <f>CO48+CO79</f>
        <v>409.2</v>
      </c>
      <c r="CP81" s="428">
        <f>CP48+CP79</f>
        <v>407.5</v>
      </c>
      <c r="CQ81" s="428">
        <f>CQ48+CQ79</f>
        <v>413.5</v>
      </c>
      <c r="CR81" s="428">
        <f>CR48+CR79</f>
        <v>452</v>
      </c>
      <c r="CS81" s="1192">
        <f>CS48+CS79</f>
        <v>1682.1999999999998</v>
      </c>
      <c r="CT81" s="428"/>
      <c r="CU81" s="428">
        <f>CU48+CU79</f>
        <v>443.59999999999997</v>
      </c>
      <c r="CV81" s="428">
        <f>CV48+CV79</f>
        <v>424.8</v>
      </c>
      <c r="CW81" s="428">
        <f>CW48+CW79</f>
        <v>403</v>
      </c>
      <c r="CX81" s="428">
        <f>CX48+CX79</f>
        <v>454.6</v>
      </c>
      <c r="CY81" s="1192">
        <f>CY48+CY79</f>
        <v>1726.0000000000002</v>
      </c>
      <c r="CZ81" s="428"/>
      <c r="DA81" s="428">
        <f>DA48+DA79</f>
        <v>433.5</v>
      </c>
      <c r="DB81" s="428">
        <f>DB48+DB79</f>
        <v>425.09999999999997</v>
      </c>
      <c r="DC81" s="428">
        <f>DC48+DC79</f>
        <v>432.90000000000003</v>
      </c>
      <c r="DD81" s="428">
        <f>DD48+DD79</f>
        <v>471.90000000000009</v>
      </c>
      <c r="DE81" s="1192">
        <f>DE48+DE79</f>
        <v>1763.4</v>
      </c>
      <c r="DF81" s="428"/>
      <c r="DG81" s="428">
        <f>DG48+DG79</f>
        <v>490.5</v>
      </c>
      <c r="DH81" s="428">
        <f>DH48+DH79</f>
        <v>522</v>
      </c>
      <c r="DI81" s="428">
        <f>DI48+DI79</f>
        <v>537.69999999999993</v>
      </c>
      <c r="DJ81" s="428">
        <f>DJ48+DJ79</f>
        <v>579.6</v>
      </c>
      <c r="DK81" s="1192">
        <f>DK48+DK79</f>
        <v>2129.8000000000002</v>
      </c>
      <c r="DL81" s="428"/>
      <c r="DM81" s="428">
        <f>DM48+DM79</f>
        <v>552.4</v>
      </c>
      <c r="DN81" s="428">
        <f>DN48+DN79</f>
        <v>544.29999999999995</v>
      </c>
      <c r="DO81" s="428">
        <f>DO48+DO79</f>
        <v>544.70000000000005</v>
      </c>
      <c r="DP81" s="428">
        <f>DP48+DP79</f>
        <v>582</v>
      </c>
      <c r="DQ81" s="1192">
        <f>DQ48+DQ79</f>
        <v>2223.4</v>
      </c>
      <c r="DR81" s="428"/>
      <c r="DS81" s="428">
        <f>DS48+DS79</f>
        <v>538.9</v>
      </c>
      <c r="DT81" s="428">
        <f>DT48+DT79</f>
        <v>524.79999999999995</v>
      </c>
      <c r="DU81" s="428">
        <f>DU48+DU79</f>
        <v>532.5</v>
      </c>
      <c r="DV81" s="428">
        <f>DV48+DV79</f>
        <v>560.29999999999995</v>
      </c>
      <c r="DW81" s="1192">
        <f>DW48+DW79</f>
        <v>2156.5</v>
      </c>
      <c r="DX81" s="428"/>
      <c r="DY81" s="428">
        <f>DY48+DY79</f>
        <v>525.19999999999993</v>
      </c>
      <c r="DZ81" s="428">
        <f>DZ48+DZ79</f>
        <v>530.6</v>
      </c>
      <c r="EA81" s="428">
        <f>EA48+EA79</f>
        <v>541.5</v>
      </c>
      <c r="EB81" s="428">
        <f>EB48+EB79</f>
        <v>571.29999999999995</v>
      </c>
      <c r="EC81" s="1192">
        <f>EC48+EC79</f>
        <v>2168.6</v>
      </c>
      <c r="ED81" s="428"/>
      <c r="EE81" s="428">
        <f>EE48+EE79</f>
        <v>530.68205871155396</v>
      </c>
      <c r="EF81" s="428">
        <f>EF48+EF79</f>
        <v>533.13804605664313</v>
      </c>
      <c r="EG81" s="428">
        <f>EG48+EG79</f>
        <v>538.9009524581711</v>
      </c>
      <c r="EH81" s="428">
        <f>EH48+EH79</f>
        <v>586.65548091300684</v>
      </c>
      <c r="EI81" s="1192">
        <f>EI48+EI79</f>
        <v>2189.376538139375</v>
      </c>
      <c r="EJ81" s="428"/>
      <c r="EK81" s="428">
        <f>EK48+EK79</f>
        <v>535.66029881836937</v>
      </c>
      <c r="EL81" s="428">
        <f>EL48+EL79</f>
        <v>531.33783860156768</v>
      </c>
      <c r="EM81" s="428">
        <f>EM48+EM79</f>
        <v>551.3506826902335</v>
      </c>
      <c r="EN81" s="428">
        <f>EN48+EN79</f>
        <v>602.02783869937491</v>
      </c>
      <c r="EO81" s="1192">
        <f>EO48+EO79</f>
        <v>2220.3766588095455</v>
      </c>
      <c r="EP81" s="428"/>
      <c r="EQ81" s="428">
        <f>EQ48+EQ79</f>
        <v>574.68844604354535</v>
      </c>
      <c r="ER81" s="428">
        <f>ER48+ER79</f>
        <v>576.48773329126038</v>
      </c>
      <c r="ES81" s="428">
        <f>ES48+ES79</f>
        <v>594.99857453979382</v>
      </c>
      <c r="ET81" s="428">
        <f>ET48+ET79</f>
        <v>637.62090993765003</v>
      </c>
      <c r="EU81" s="1192">
        <f>EU48+EU79</f>
        <v>2383.7956638122496</v>
      </c>
      <c r="EV81" s="429"/>
    </row>
    <row r="82" spans="1:152" ht="12.75" customHeight="1">
      <c r="A82" s="427" t="s">
        <v>3336</v>
      </c>
      <c r="B82" s="444"/>
      <c r="C82" s="223"/>
      <c r="D82" s="223"/>
      <c r="E82" s="223"/>
      <c r="F82" s="223"/>
      <c r="G82" s="223"/>
      <c r="H82" s="428"/>
      <c r="I82" s="223"/>
      <c r="J82" s="223"/>
      <c r="K82" s="223"/>
      <c r="L82" s="223"/>
      <c r="M82" s="223"/>
      <c r="N82" s="428"/>
      <c r="O82" s="223"/>
      <c r="P82" s="223"/>
      <c r="Q82" s="223"/>
      <c r="R82" s="223"/>
      <c r="S82" s="223"/>
      <c r="T82" s="223"/>
      <c r="U82" s="1443">
        <f>U81/O81-1</f>
        <v>8.2570088238579142E-2</v>
      </c>
      <c r="V82" s="1443">
        <f>V81/P81-1</f>
        <v>0.13992876712328761</v>
      </c>
      <c r="W82" s="1443">
        <f>W81/Q81-1</f>
        <v>6.9383873454619049E-2</v>
      </c>
      <c r="X82" s="1443">
        <f>X81/R81-1</f>
        <v>4.0088026145078892E-2</v>
      </c>
      <c r="Y82" s="1443">
        <f>Y81/S81-1</f>
        <v>8.3074770756572436E-2</v>
      </c>
      <c r="Z82" s="223"/>
      <c r="AA82" s="1443">
        <f>AA81/U81-1</f>
        <v>-3.8984755861641962E-2</v>
      </c>
      <c r="AB82" s="1443">
        <f>AB81/V81-1</f>
        <v>-7.9158995755562844E-2</v>
      </c>
      <c r="AC82" s="1443">
        <f>AC81/W81-1</f>
        <v>2.209043502054886E-2</v>
      </c>
      <c r="AD82" s="1443">
        <f>AD81/X81-1</f>
        <v>4.6985199688414525E-2</v>
      </c>
      <c r="AE82" s="1443">
        <f>AE81/Y81-1</f>
        <v>-1.3940134157804818E-2</v>
      </c>
      <c r="AF82" s="223"/>
      <c r="AG82" s="1443">
        <f>AG81/AA81-1</f>
        <v>9.4176758567379615E-2</v>
      </c>
      <c r="AH82" s="1443">
        <f>AH81/AB81-1</f>
        <v>2.8475379628227993E-2</v>
      </c>
      <c r="AI82" s="1443">
        <f>AI81/AC81-1</f>
        <v>-1.646459186037541E-2</v>
      </c>
      <c r="AJ82" s="1443">
        <f>AJ81/AD81-1</f>
        <v>1.994741683968182E-2</v>
      </c>
      <c r="AK82" s="1443">
        <f>AK81/AE81-1</f>
        <v>3.0828194004007603E-2</v>
      </c>
      <c r="AL82" s="223"/>
      <c r="AM82" s="1443">
        <f>AM81/AG81-1</f>
        <v>1.3565092821539171E-2</v>
      </c>
      <c r="AN82" s="1443">
        <f>AN81/AH81-1</f>
        <v>1.2638054247198216E-3</v>
      </c>
      <c r="AO82" s="1443">
        <f>AO81/AI81-1</f>
        <v>-4.0709391374445736E-2</v>
      </c>
      <c r="AP82" s="1443">
        <f>AP81/AJ81-1</f>
        <v>-7.8490420964951624E-2</v>
      </c>
      <c r="AQ82" s="1443">
        <f>AQ81/AK81-1</f>
        <v>-2.6029713733542681E-2</v>
      </c>
      <c r="AR82" s="223"/>
      <c r="AS82" s="1443">
        <f>AS81/AM81-1</f>
        <v>-1.1800752189044306E-2</v>
      </c>
      <c r="AT82" s="1443">
        <f>AT81/AN81-1</f>
        <v>2.488936651239726E-3</v>
      </c>
      <c r="AU82" s="1443">
        <f>AU81/AO81-1</f>
        <v>0.12366037324020485</v>
      </c>
      <c r="AV82" s="1443">
        <f>AV81/AP81-1</f>
        <v>0.25358621353615085</v>
      </c>
      <c r="AW82" s="1443">
        <f>AW81/AQ81-1</f>
        <v>8.8008464066472447E-2</v>
      </c>
      <c r="AX82" s="223"/>
      <c r="AY82" s="1443">
        <f>AY81/AS81-1</f>
        <v>0.15694140351392805</v>
      </c>
      <c r="AZ82" s="1443">
        <f>AZ81/AT81-1</f>
        <v>0.14479885115592328</v>
      </c>
      <c r="BA82" s="1443">
        <f>BA81/AU81-1</f>
        <v>0.18151533104767847</v>
      </c>
      <c r="BB82" s="1443">
        <f>BB81/AV81-1</f>
        <v>0.13619878998882151</v>
      </c>
      <c r="BC82" s="1443">
        <f>BC81/AW81-1</f>
        <v>0.15432611078063641</v>
      </c>
      <c r="BD82" s="223"/>
      <c r="BE82" s="1443">
        <f>BE81/AY81-1</f>
        <v>0.11981371718882294</v>
      </c>
      <c r="BF82" s="1443">
        <f>BF81/AZ81-1</f>
        <v>0.25485865724381607</v>
      </c>
      <c r="BG82" s="1443">
        <f>BG81/BA81-1</f>
        <v>0.17221537196876269</v>
      </c>
      <c r="BH82" s="1443">
        <f>BH81/BB81-1</f>
        <v>0.16785580172737502</v>
      </c>
      <c r="BI82" s="1443">
        <f>BI81/BC81-1</f>
        <v>0.17753548652540641</v>
      </c>
      <c r="BJ82" s="428"/>
      <c r="BK82" s="448">
        <f>BK81/BE81-1</f>
        <v>0.26740264650283563</v>
      </c>
      <c r="BL82" s="448">
        <f>BL81/BF81-1</f>
        <v>0.17916226680746217</v>
      </c>
      <c r="BM82" s="448">
        <f>BM81/BG81-1</f>
        <v>0.22861150070126235</v>
      </c>
      <c r="BN82" s="448">
        <f>BN81/BH81-1</f>
        <v>0.14437299035369766</v>
      </c>
      <c r="BO82" s="1262">
        <f>BO81/BI81-1</f>
        <v>0.20241788958770091</v>
      </c>
      <c r="BP82" s="428"/>
      <c r="BQ82" s="448">
        <f>BQ81/BK81-1</f>
        <v>0.12281790303912543</v>
      </c>
      <c r="BR82" s="448">
        <f>BR81/BL81-1</f>
        <v>0.14985074626865691</v>
      </c>
      <c r="BS82" s="448">
        <f>BS81/BM81-1</f>
        <v>0.1061643835616437</v>
      </c>
      <c r="BT82" s="448">
        <f>BT81/BN81-1</f>
        <v>0.23208766507445922</v>
      </c>
      <c r="BU82" s="1262">
        <f>BU81/BO81-1</f>
        <v>0.15340915695140245</v>
      </c>
      <c r="BV82" s="428"/>
      <c r="BW82" s="448">
        <f>BW81/BQ81-1</f>
        <v>0.18809776833156211</v>
      </c>
      <c r="BX82" s="448">
        <f>BX81/BR81-1</f>
        <v>0.16562824506749729</v>
      </c>
      <c r="BY82" s="448">
        <f>BY81/BS81-1</f>
        <v>0.10990712074303399</v>
      </c>
      <c r="BZ82" s="448">
        <f>BZ81/BT81-1</f>
        <v>-6.0205245153933773E-2</v>
      </c>
      <c r="CA82" s="1262">
        <f>CA81/BU81-1</f>
        <v>9.4980159979844991E-2</v>
      </c>
      <c r="CB82" s="428"/>
      <c r="CC82" s="448">
        <f>CC81/BW81-1</f>
        <v>-0.17262969588550992</v>
      </c>
      <c r="CD82" s="448">
        <f>CD81/BX81-1</f>
        <v>-0.22138084632516697</v>
      </c>
      <c r="CE82" s="448">
        <f>CE81/BY81-1</f>
        <v>-0.20897257089725707</v>
      </c>
      <c r="CF82" s="448">
        <f>CF81/BZ81-1</f>
        <v>-0.10919679689395778</v>
      </c>
      <c r="CG82" s="1262">
        <f>CG81/CA81-1</f>
        <v>-0.17917745182628708</v>
      </c>
      <c r="CH82" s="428"/>
      <c r="CI82" s="448">
        <f>CI81/CC81-1</f>
        <v>2.2972972972973071E-2</v>
      </c>
      <c r="CJ82" s="448">
        <f>CJ81/CD81-1</f>
        <v>1.9736842105263053E-2</v>
      </c>
      <c r="CK82" s="448">
        <f>CK81/CE81-1</f>
        <v>0.10608286805759626</v>
      </c>
      <c r="CL82" s="448">
        <f>CL81/CF81-1</f>
        <v>0.14846090983383275</v>
      </c>
      <c r="CM82" s="1750">
        <f>CM81/CG81-1</f>
        <v>7.4281709880869018E-2</v>
      </c>
      <c r="CN82" s="428"/>
      <c r="CO82" s="448">
        <f>CO81/CI81-1</f>
        <v>8.1109643328930003E-2</v>
      </c>
      <c r="CP82" s="448">
        <f>CP81/CJ81-1</f>
        <v>0.1430575035063113</v>
      </c>
      <c r="CQ82" s="448">
        <f>CQ81/CK81-1</f>
        <v>9.8565356004250759E-2</v>
      </c>
      <c r="CR82" s="448">
        <f>CR81/CL81-1</f>
        <v>7.2106261859582466E-2</v>
      </c>
      <c r="CS82" s="1750">
        <f>CS81/CM81-1</f>
        <v>9.7325505544683555E-2</v>
      </c>
      <c r="CT82" s="428"/>
      <c r="CU82" s="448">
        <f>CU81/CO81-1</f>
        <v>8.4066471163245282E-2</v>
      </c>
      <c r="CV82" s="448">
        <f>CV81/CP81-1</f>
        <v>4.2453987730061371E-2</v>
      </c>
      <c r="CW82" s="448">
        <f>CW81/CQ81-1</f>
        <v>-2.5392986698911768E-2</v>
      </c>
      <c r="CX82" s="448">
        <f>CX81/CR81-1</f>
        <v>5.7522123893805066E-3</v>
      </c>
      <c r="CY82" s="1750">
        <f>CY81/CS81-1</f>
        <v>2.6037332065153018E-2</v>
      </c>
      <c r="CZ82" s="428"/>
      <c r="DA82" s="448">
        <f>DA81/CU81-1</f>
        <v>-2.2768259693417447E-2</v>
      </c>
      <c r="DB82" s="448">
        <f>DB81/CV81-1</f>
        <v>7.062146892653498E-4</v>
      </c>
      <c r="DC82" s="448">
        <f>DC81/CW81-1</f>
        <v>7.4193548387096797E-2</v>
      </c>
      <c r="DD82" s="448">
        <f>DD81/CX81-1</f>
        <v>3.8055433347998324E-2</v>
      </c>
      <c r="DE82" s="1750">
        <f>DE81/CY81-1</f>
        <v>2.1668597914252574E-2</v>
      </c>
      <c r="DF82" s="428"/>
      <c r="DG82" s="448">
        <f>DG81/DA81-1</f>
        <v>0.13148788927335642</v>
      </c>
      <c r="DH82" s="448">
        <f>DH81/DB81-1</f>
        <v>0.22794636556104453</v>
      </c>
      <c r="DI82" s="448">
        <f>DI81/DC81-1</f>
        <v>0.24208824208824176</v>
      </c>
      <c r="DJ82" s="448">
        <f>DJ81/DD81-1</f>
        <v>0.22822631913540992</v>
      </c>
      <c r="DK82" s="1750">
        <f>DK81/DE81-1</f>
        <v>0.20778042418056031</v>
      </c>
      <c r="DL82" s="428"/>
      <c r="DM82" s="1816">
        <f>DM81/DG81-1</f>
        <v>0.12619775739041783</v>
      </c>
      <c r="DN82" s="448">
        <f>DN81/DH81-1</f>
        <v>4.2720306513409856E-2</v>
      </c>
      <c r="DO82" s="448">
        <f>DO81/DI81-1</f>
        <v>1.3018411753766168E-2</v>
      </c>
      <c r="DP82" s="448">
        <f>DP81/DJ81-1</f>
        <v>4.1407867494822614E-3</v>
      </c>
      <c r="DQ82" s="1682">
        <f>DQ81/DK81-1</f>
        <v>4.3947788524744125E-2</v>
      </c>
      <c r="DR82" s="428"/>
      <c r="DS82" s="448">
        <f>DS81/DM81-1</f>
        <v>-2.4438812454742886E-2</v>
      </c>
      <c r="DT82" s="448">
        <f>DT81/DN81-1</f>
        <v>-3.5825831343009318E-2</v>
      </c>
      <c r="DU82" s="448">
        <f>DU81/DO81-1</f>
        <v>-2.2397650082614406E-2</v>
      </c>
      <c r="DV82" s="448">
        <f>DV81/DP81-1</f>
        <v>-3.7285223367697684E-2</v>
      </c>
      <c r="DW82" s="1682">
        <f>DW81/DQ81-1</f>
        <v>-3.0089052802015015E-2</v>
      </c>
      <c r="DX82" s="428"/>
      <c r="DY82" s="448">
        <f>DY81/DS81-1</f>
        <v>-2.5422156244201188E-2</v>
      </c>
      <c r="DZ82" s="448">
        <f>DZ81/DT81-1</f>
        <v>1.1051829268292845E-2</v>
      </c>
      <c r="EA82" s="448">
        <f>EA81/DU81-1</f>
        <v>1.6901408450704203E-2</v>
      </c>
      <c r="EB82" s="1816">
        <f>EB81/DV81-1</f>
        <v>1.9632339817954758E-2</v>
      </c>
      <c r="EC82" s="1682">
        <f>EC81/DW81-1</f>
        <v>5.6109436587061801E-3</v>
      </c>
      <c r="ED82" s="428"/>
      <c r="EE82" s="448">
        <f>EE81/DY81-1</f>
        <v>1.043804019717065E-2</v>
      </c>
      <c r="EF82" s="448">
        <f>EF81/DZ81-1</f>
        <v>4.7833510302357496E-3</v>
      </c>
      <c r="EG82" s="448">
        <f>EG81/EA81-1</f>
        <v>-4.7997184521308967E-3</v>
      </c>
      <c r="EH82" s="448">
        <f>EH81/EB81-1</f>
        <v>2.6878139179077332E-2</v>
      </c>
      <c r="EI82" s="1682">
        <f>EI81/EC81-1</f>
        <v>9.5806225857120175E-3</v>
      </c>
      <c r="EJ82" s="428"/>
      <c r="EK82" s="448">
        <f>EK81/EE81-1</f>
        <v>9.3808336368146339E-3</v>
      </c>
      <c r="EL82" s="448">
        <f>EL81/EF81-1</f>
        <v>-3.3766253757178122E-3</v>
      </c>
      <c r="EM82" s="448">
        <f>EM81/EG81-1</f>
        <v>2.3102075020045021E-2</v>
      </c>
      <c r="EN82" s="448">
        <f>EN81/EH81-1</f>
        <v>2.6203382200476799E-2</v>
      </c>
      <c r="EO82" s="1682">
        <f>EO81/EI81-1</f>
        <v>1.415933720405893E-2</v>
      </c>
      <c r="EP82" s="428"/>
      <c r="EQ82" s="448">
        <f>EQ81/EK81-1</f>
        <v>7.2859883981078122E-2</v>
      </c>
      <c r="ER82" s="448">
        <f>ER81/EL81-1</f>
        <v>8.4973987187743072E-2</v>
      </c>
      <c r="ES82" s="448">
        <f>ES81/EM81-1</f>
        <v>7.9165390050098372E-2</v>
      </c>
      <c r="ET82" s="448">
        <f>ET81/EN81-1</f>
        <v>5.9121969035801802E-2</v>
      </c>
      <c r="EU82" s="1682">
        <f>EU81/EO81-1</f>
        <v>7.3599677043227896E-2</v>
      </c>
      <c r="EV82" s="429"/>
    </row>
    <row r="83" spans="1:152" ht="12.75" customHeight="1">
      <c r="A83" s="427" t="s">
        <v>5155</v>
      </c>
      <c r="B83" s="444"/>
      <c r="C83" s="223"/>
      <c r="D83" s="223"/>
      <c r="E83" s="223"/>
      <c r="F83" s="223"/>
      <c r="G83" s="223"/>
      <c r="H83" s="428"/>
      <c r="I83" s="223"/>
      <c r="J83" s="223"/>
      <c r="K83" s="223"/>
      <c r="L83" s="223"/>
      <c r="M83" s="223"/>
      <c r="N83" s="428"/>
      <c r="O83" s="223"/>
      <c r="P83" s="223"/>
      <c r="Q83" s="223"/>
      <c r="R83" s="223"/>
      <c r="S83" s="223"/>
      <c r="T83" s="223"/>
      <c r="U83" s="1443">
        <f>U81/R81-1</f>
        <v>6.1158463483930392E-2</v>
      </c>
      <c r="V83" s="1443">
        <f>V81/U81-1</f>
        <v>7.3213134205164065E-2</v>
      </c>
      <c r="W83" s="1443">
        <f>W81/V81-1</f>
        <v>-8.6523070415358894E-2</v>
      </c>
      <c r="X83" s="1443">
        <f>X81/W81-1</f>
        <v>-2.157474597052067E-4</v>
      </c>
      <c r="Y83" s="1443"/>
      <c r="Z83" s="223"/>
      <c r="AA83" s="1443">
        <f>AA81/X81-1</f>
        <v>-1.9516200341059609E-2</v>
      </c>
      <c r="AB83" s="1443">
        <f>AB81/AA81-1</f>
        <v>2.8348578545048353E-2</v>
      </c>
      <c r="AC83" s="1443">
        <f>AC81/AB81-1</f>
        <v>1.3916656661568494E-2</v>
      </c>
      <c r="AD83" s="1443">
        <f>AD81/AC81-1</f>
        <v>2.4135711895384437E-2</v>
      </c>
      <c r="AE83" s="1443"/>
      <c r="AF83" s="223"/>
      <c r="AG83" s="1443">
        <f>AG81/AD81-1</f>
        <v>2.4677890440019556E-2</v>
      </c>
      <c r="AH83" s="1443">
        <f>AH81/AG81-1</f>
        <v>-3.3400054947211544E-2</v>
      </c>
      <c r="AI83" s="1443">
        <f>AI81/AH81-1</f>
        <v>-3.0387160955010484E-2</v>
      </c>
      <c r="AJ83" s="1443">
        <f>AJ81/AI81-1</f>
        <v>6.2050806911750245E-2</v>
      </c>
      <c r="AK83" s="1443"/>
      <c r="AL83" s="223"/>
      <c r="AM83" s="1443">
        <f>AM81/AJ81-1</f>
        <v>1.8265965469143275E-2</v>
      </c>
      <c r="AN83" s="1443">
        <f>AN81/AM81-1</f>
        <v>-4.5131342662284468E-2</v>
      </c>
      <c r="AO83" s="1443">
        <f>AO81/AN81-1</f>
        <v>-7.1033542349941303E-2</v>
      </c>
      <c r="AP83" s="1443">
        <f>AP81/AO81-1</f>
        <v>2.0222634508348714E-2</v>
      </c>
      <c r="AQ83" s="1443"/>
      <c r="AR83" s="223"/>
      <c r="AS83" s="1443">
        <f>AS81/AP81-1</f>
        <v>9.195789608805871E-2</v>
      </c>
      <c r="AT83" s="1443">
        <f>AT81/AS81-1</f>
        <v>-3.1323625213681372E-2</v>
      </c>
      <c r="AU83" s="1443">
        <f>AU81/AT81-1</f>
        <v>4.1251188285026386E-2</v>
      </c>
      <c r="AV83" s="1443">
        <f>AV81/AU81-1</f>
        <v>0.13818824603490643</v>
      </c>
      <c r="AW83" s="1443"/>
      <c r="AX83" s="223"/>
      <c r="AY83" s="1443">
        <f>AY81/AV81-1</f>
        <v>7.7737671624471538E-3</v>
      </c>
      <c r="AZ83" s="1443">
        <f>AZ81/AY81-1</f>
        <v>-4.1490262489415675E-2</v>
      </c>
      <c r="BA83" s="1443">
        <f>BA81/AZ81-1</f>
        <v>7.46466431095405E-2</v>
      </c>
      <c r="BB83" s="1443">
        <f>BB81/BA81-1</f>
        <v>9.4533497739416328E-2</v>
      </c>
      <c r="BC83" s="1443"/>
      <c r="BD83" s="223"/>
      <c r="BE83" s="1443">
        <f>BE81/BB81-1</f>
        <v>-6.7592940292903192E-3</v>
      </c>
      <c r="BF83" s="1443">
        <f>BF81/BE81-1</f>
        <v>7.4102079395085063E-2</v>
      </c>
      <c r="BG83" s="1443">
        <f>BG81/BF81-1</f>
        <v>3.871876099964755E-3</v>
      </c>
      <c r="BH83" s="1443">
        <f>BH81/BG81-1</f>
        <v>9.0462833099579365E-2</v>
      </c>
      <c r="BI83" s="1443"/>
      <c r="BJ83" s="428"/>
      <c r="BK83" s="1443">
        <f>BK81/BH81-1</f>
        <v>7.7903536977492083E-2</v>
      </c>
      <c r="BL83" s="1443">
        <f>BL81/BK81-1</f>
        <v>-6.8013411767520182E-4</v>
      </c>
      <c r="BM83" s="1443">
        <f>BM81/BL81-1</f>
        <v>4.597014925373144E-2</v>
      </c>
      <c r="BN83" s="1443">
        <f>BN81/BM81-1</f>
        <v>1.569634703196332E-2</v>
      </c>
      <c r="BO83" s="1262"/>
      <c r="BP83" s="428"/>
      <c r="BQ83" s="1443">
        <f>BQ81/BN81-1</f>
        <v>5.7600449564484402E-2</v>
      </c>
      <c r="BR83" s="1443">
        <f>BR81/BQ81-1</f>
        <v>2.3379383634431594E-2</v>
      </c>
      <c r="BS83" s="1443">
        <f>BS81/BR81-1</f>
        <v>6.230529595015577E-3</v>
      </c>
      <c r="BT83" s="1443">
        <f>BT81/BS81-1</f>
        <v>0.13132094943240458</v>
      </c>
      <c r="BU83" s="1262"/>
      <c r="BV83" s="428"/>
      <c r="BW83" s="1443">
        <f>BW81/BT81-1</f>
        <v>1.9840364880273631E-2</v>
      </c>
      <c r="BX83" s="1443">
        <f>BX81/BW81-1</f>
        <v>4.025044722719251E-3</v>
      </c>
      <c r="BY83" s="1443">
        <f>BY81/BX81-1</f>
        <v>-4.1870824053452105E-2</v>
      </c>
      <c r="BZ83" s="1443">
        <f>BZ81/BY81-1</f>
        <v>-4.2073454207345318E-2</v>
      </c>
      <c r="CA83" s="1262"/>
      <c r="CB83" s="428"/>
      <c r="CC83" s="1443">
        <f>CC81/BZ81-1</f>
        <v>-0.10215966998301407</v>
      </c>
      <c r="CD83" s="1443">
        <f>CD81/CC81-1</f>
        <v>-5.5135135135134905E-2</v>
      </c>
      <c r="CE83" s="1443">
        <f>CE81/CD81-1</f>
        <v>-2.6601830663615544E-2</v>
      </c>
      <c r="CF83" s="1443">
        <f>CF81/CE81-1</f>
        <v>7.875404055245383E-2</v>
      </c>
      <c r="CG83" s="1262"/>
      <c r="CH83" s="428"/>
      <c r="CI83" s="1443">
        <f>CI81/CF81-1</f>
        <v>3.1054208662489646E-2</v>
      </c>
      <c r="CJ83" s="1443">
        <f>CJ81/CI81-1</f>
        <v>-5.8124174372523152E-2</v>
      </c>
      <c r="CK83" s="1443">
        <f>CK81/CJ81-1</f>
        <v>5.5820476858345014E-2</v>
      </c>
      <c r="CL83" s="1443">
        <f>CL81/CK81-1</f>
        <v>0.1200850159404887</v>
      </c>
      <c r="CM83" s="1262"/>
      <c r="CN83" s="428"/>
      <c r="CO83" s="1443">
        <f>CO81/CL81-1</f>
        <v>-2.941176470588247E-2</v>
      </c>
      <c r="CP83" s="1443">
        <f>CP81/CO81-1</f>
        <v>-4.1544477028347959E-3</v>
      </c>
      <c r="CQ83" s="1443">
        <f>CQ81/CP81-1</f>
        <v>1.4723926380368013E-2</v>
      </c>
      <c r="CR83" s="1443">
        <f>CR81/CQ81-1</f>
        <v>9.3107617896009742E-2</v>
      </c>
      <c r="CS83" s="1262"/>
      <c r="CT83" s="428"/>
      <c r="CU83" s="1443">
        <f>CU81/CR81-1</f>
        <v>-1.8584070796460295E-2</v>
      </c>
      <c r="CV83" s="1443">
        <f>CV81/CU81-1</f>
        <v>-4.2380522993687886E-2</v>
      </c>
      <c r="CW83" s="1443">
        <f>CW81/CV81-1</f>
        <v>-5.1318267419962371E-2</v>
      </c>
      <c r="CX83" s="1443">
        <f>CX81/CW81-1</f>
        <v>0.12803970223325067</v>
      </c>
      <c r="CY83" s="1262"/>
      <c r="CZ83" s="428"/>
      <c r="DA83" s="1443">
        <f>DA81/CX81-1</f>
        <v>-4.641443026836789E-2</v>
      </c>
      <c r="DB83" s="1443">
        <f>DB81/DA81-1</f>
        <v>-1.937716262975786E-2</v>
      </c>
      <c r="DC83" s="1443">
        <f>DC81/DB81-1</f>
        <v>1.8348623853211121E-2</v>
      </c>
      <c r="DD83" s="1443">
        <f>DD81/DC81-1</f>
        <v>9.009009009009028E-2</v>
      </c>
      <c r="DE83" s="1262"/>
      <c r="DF83" s="428"/>
      <c r="DG83" s="1443">
        <f>DG81/DD81-1</f>
        <v>3.9415130324220948E-2</v>
      </c>
      <c r="DH83" s="1443">
        <f>DH81/DG81-1</f>
        <v>6.4220183486238591E-2</v>
      </c>
      <c r="DI83" s="1443">
        <f>DI81/DH81-1</f>
        <v>3.0076628352490253E-2</v>
      </c>
      <c r="DJ83" s="1443">
        <f>DJ81/DI81-1</f>
        <v>7.7924493211828372E-2</v>
      </c>
      <c r="DK83" s="1262">
        <f>DK85/DE85-1</f>
        <v>-0.25093046033300714</v>
      </c>
      <c r="DL83" s="428"/>
      <c r="DM83" s="1443">
        <f>DM81/DJ81-1</f>
        <v>-4.6928916494133999E-2</v>
      </c>
      <c r="DN83" s="1443">
        <f>DN81/DM81-1</f>
        <v>-1.4663287472845843E-2</v>
      </c>
      <c r="DO83" s="1443">
        <f>DO81/DN81-1</f>
        <v>7.3488884806183208E-4</v>
      </c>
      <c r="DP83" s="1443">
        <f>DP81/DO81-1</f>
        <v>6.8478061318156591E-2</v>
      </c>
      <c r="DQ83" s="1262"/>
      <c r="DR83" s="428"/>
      <c r="DS83" s="1443">
        <f>DS81/DP81-1</f>
        <v>-7.4054982817869486E-2</v>
      </c>
      <c r="DT83" s="1443">
        <f>DT81/DS81-1</f>
        <v>-2.6164408981258158E-2</v>
      </c>
      <c r="DU83" s="1443">
        <f>DU81/DT81-1</f>
        <v>1.4672256097560954E-2</v>
      </c>
      <c r="DV83" s="1443">
        <f>DV81/DU81-1</f>
        <v>5.2206572769952997E-2</v>
      </c>
      <c r="DW83" s="1262"/>
      <c r="DX83" s="428"/>
      <c r="DY83" s="1443">
        <f>DY81/DV81-1</f>
        <v>-6.2645011600928169E-2</v>
      </c>
      <c r="DZ83" s="1443">
        <f>DZ81/DY81-1</f>
        <v>1.0281797410510496E-2</v>
      </c>
      <c r="EA83" s="1443">
        <f>EA81/DZ81-1</f>
        <v>2.0542781756502038E-2</v>
      </c>
      <c r="EB83" s="1443">
        <f>EB81/EA81-1</f>
        <v>5.503231763619576E-2</v>
      </c>
      <c r="EC83" s="1262"/>
      <c r="ED83" s="428"/>
      <c r="EE83" s="1443">
        <f>EE81/EB81-1</f>
        <v>-7.1097394168468386E-2</v>
      </c>
      <c r="EF83" s="1443">
        <f>EF81/EE81-1</f>
        <v>4.6279826211801378E-3</v>
      </c>
      <c r="EG83" s="1443">
        <f>EG81/EF81-1</f>
        <v>1.0809407514907887E-2</v>
      </c>
      <c r="EH83" s="1443">
        <f>EH81/EG81-1</f>
        <v>8.8614667012566484E-2</v>
      </c>
      <c r="EI83" s="1262"/>
      <c r="EJ83" s="428"/>
      <c r="EK83" s="1443">
        <f>EK81/EH81-1</f>
        <v>-8.6925263214577164E-2</v>
      </c>
      <c r="EL83" s="1443">
        <f>EL81/EK81-1</f>
        <v>-8.0694056033959738E-3</v>
      </c>
      <c r="EM83" s="1443">
        <f>EM81/EL81-1</f>
        <v>3.7665008276726031E-2</v>
      </c>
      <c r="EN83" s="1443">
        <f>EN81/EM81-1</f>
        <v>9.1914561095435277E-2</v>
      </c>
      <c r="EO83" s="1262"/>
      <c r="EP83" s="428"/>
      <c r="EQ83" s="1443">
        <f>EQ81/EN81-1</f>
        <v>-4.5412173488345253E-2</v>
      </c>
      <c r="ER83" s="1443">
        <f>ER81/EQ81-1</f>
        <v>3.130891633722932E-3</v>
      </c>
      <c r="ES83" s="1443">
        <f>ES81/ER81-1</f>
        <v>3.2109687994317015E-2</v>
      </c>
      <c r="ET83" s="1443">
        <f>ET81/ES81-1</f>
        <v>7.1634348755915456E-2</v>
      </c>
      <c r="EU83" s="1262"/>
      <c r="EV83" s="429"/>
    </row>
    <row r="84" spans="1:152" ht="4.5" customHeight="1">
      <c r="A84" s="427"/>
      <c r="B84" s="444"/>
      <c r="C84" s="223"/>
      <c r="D84" s="223"/>
      <c r="E84" s="223"/>
      <c r="F84" s="223"/>
      <c r="G84" s="223"/>
      <c r="H84" s="428"/>
      <c r="I84" s="223"/>
      <c r="J84" s="223"/>
      <c r="K84" s="223"/>
      <c r="L84" s="223"/>
      <c r="M84" s="223"/>
      <c r="N84" s="428"/>
      <c r="O84" s="223"/>
      <c r="P84" s="223"/>
      <c r="Q84" s="223"/>
      <c r="R84" s="223"/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  <c r="AI84" s="223"/>
      <c r="AJ84" s="223"/>
      <c r="AK84" s="223"/>
      <c r="AL84" s="223"/>
      <c r="AM84" s="223"/>
      <c r="AN84" s="223"/>
      <c r="AO84" s="223"/>
      <c r="AP84" s="223"/>
      <c r="AQ84" s="223"/>
      <c r="AR84" s="223"/>
      <c r="AS84" s="223"/>
      <c r="AT84" s="223"/>
      <c r="AU84" s="223"/>
      <c r="AV84" s="223"/>
      <c r="AW84" s="223"/>
      <c r="AX84" s="223"/>
      <c r="AY84" s="431"/>
      <c r="AZ84" s="431"/>
      <c r="BA84" s="431"/>
      <c r="BB84" s="431"/>
      <c r="BC84" s="428"/>
      <c r="BD84" s="223"/>
      <c r="BE84" s="431"/>
      <c r="BF84" s="431"/>
      <c r="BG84" s="431"/>
      <c r="BH84" s="431"/>
      <c r="BI84" s="428"/>
      <c r="BJ84" s="428"/>
      <c r="BK84" s="431"/>
      <c r="BL84" s="431"/>
      <c r="BM84" s="431"/>
      <c r="BN84" s="431"/>
      <c r="BO84" s="1192"/>
      <c r="BP84" s="428"/>
      <c r="BQ84" s="431"/>
      <c r="BR84" s="431"/>
      <c r="BS84" s="431"/>
      <c r="BT84" s="431"/>
      <c r="BU84" s="1192"/>
      <c r="BV84" s="428"/>
      <c r="BW84" s="431"/>
      <c r="BX84" s="431"/>
      <c r="BY84" s="431"/>
      <c r="BZ84" s="431"/>
      <c r="CA84" s="1192"/>
      <c r="CB84" s="428"/>
      <c r="CC84" s="431"/>
      <c r="CD84" s="431"/>
      <c r="CE84" s="431"/>
      <c r="CF84" s="431"/>
      <c r="CG84" s="1192"/>
      <c r="CH84" s="428"/>
      <c r="CI84" s="431"/>
      <c r="CJ84" s="431"/>
      <c r="CK84" s="431"/>
      <c r="CL84" s="431"/>
      <c r="CM84" s="1192"/>
      <c r="CN84" s="428"/>
      <c r="CO84" s="431"/>
      <c r="CP84" s="431"/>
      <c r="CQ84" s="431"/>
      <c r="CR84" s="431"/>
      <c r="CS84" s="1192"/>
      <c r="CT84" s="428"/>
      <c r="CU84" s="431"/>
      <c r="CV84" s="431"/>
      <c r="CW84" s="431"/>
      <c r="CX84" s="431"/>
      <c r="CY84" s="1192"/>
      <c r="CZ84" s="428"/>
      <c r="DA84" s="431"/>
      <c r="DB84" s="431"/>
      <c r="DC84" s="431"/>
      <c r="DD84" s="431"/>
      <c r="DE84" s="1192"/>
      <c r="DF84" s="428"/>
      <c r="DG84" s="431"/>
      <c r="DH84" s="431"/>
      <c r="DI84" s="431"/>
      <c r="DJ84" s="431"/>
      <c r="DK84" s="1192"/>
      <c r="DL84" s="428"/>
      <c r="DM84" s="431"/>
      <c r="DN84" s="431"/>
      <c r="DO84" s="431"/>
      <c r="DP84" s="431"/>
      <c r="DQ84" s="1192"/>
      <c r="DR84" s="428"/>
      <c r="DS84" s="431"/>
      <c r="DT84" s="431"/>
      <c r="DU84" s="431"/>
      <c r="DV84" s="431"/>
      <c r="DW84" s="1192"/>
      <c r="DX84" s="428"/>
      <c r="DY84" s="431"/>
      <c r="DZ84" s="431"/>
      <c r="EA84" s="431"/>
      <c r="EB84" s="431"/>
      <c r="EC84" s="1192"/>
      <c r="ED84" s="428"/>
      <c r="EE84" s="431"/>
      <c r="EF84" s="431"/>
      <c r="EG84" s="431"/>
      <c r="EH84" s="431"/>
      <c r="EI84" s="1192"/>
      <c r="EJ84" s="428"/>
      <c r="EK84" s="431"/>
      <c r="EL84" s="431"/>
      <c r="EM84" s="431"/>
      <c r="EN84" s="431"/>
      <c r="EO84" s="1192"/>
      <c r="EP84" s="428"/>
      <c r="EQ84" s="431"/>
      <c r="ER84" s="431"/>
      <c r="ES84" s="431"/>
      <c r="ET84" s="431"/>
      <c r="EU84" s="1192"/>
      <c r="EV84" s="429"/>
    </row>
    <row r="85" spans="1:152" ht="12.75" customHeight="1">
      <c r="A85" s="1197" t="s">
        <v>6298</v>
      </c>
      <c r="B85" s="1198" t="s">
        <v>4754</v>
      </c>
      <c r="C85" s="1199">
        <f>C50-C79</f>
        <v>28.100000000000023</v>
      </c>
      <c r="D85" s="1199">
        <f>D50-D79</f>
        <v>20.299999999999997</v>
      </c>
      <c r="E85" s="1199">
        <f>E50-E79</f>
        <v>8.9999999999999858</v>
      </c>
      <c r="F85" s="1199">
        <f>F50-F79</f>
        <v>7.1000000000000085</v>
      </c>
      <c r="G85" s="1199">
        <f>G50-G79</f>
        <v>64.599999999999966</v>
      </c>
      <c r="H85" s="1199"/>
      <c r="I85" s="1199">
        <f>I50-I79</f>
        <v>10.200000000000003</v>
      </c>
      <c r="J85" s="1199">
        <f>J50-J79</f>
        <v>35.5</v>
      </c>
      <c r="K85" s="1199">
        <f>K50-K79</f>
        <v>40.599999999999994</v>
      </c>
      <c r="L85" s="1199">
        <f>L50-L79</f>
        <v>55.100000000000023</v>
      </c>
      <c r="M85" s="1199">
        <f>M50-M79</f>
        <v>141.40000000000003</v>
      </c>
      <c r="N85" s="1199"/>
      <c r="O85" s="1199">
        <f>O50-O79</f>
        <v>48.822000000000031</v>
      </c>
      <c r="P85" s="1199">
        <f>P50-P79</f>
        <v>49.846000000000004</v>
      </c>
      <c r="Q85" s="1199">
        <f>Q50-Q79</f>
        <v>32.598000000000013</v>
      </c>
      <c r="R85" s="1199">
        <f>R50-R79</f>
        <v>40.626000000000005</v>
      </c>
      <c r="S85" s="1199">
        <f>S50-S79</f>
        <v>171.89199999999994</v>
      </c>
      <c r="T85" s="1199"/>
      <c r="U85" s="1199">
        <f>U50-U79</f>
        <v>8.8160000000000025</v>
      </c>
      <c r="V85" s="1199">
        <f>V50-V79</f>
        <v>2.5449999999999875</v>
      </c>
      <c r="W85" s="1199">
        <f>W50-W79</f>
        <v>18.094000000000023</v>
      </c>
      <c r="X85" s="1199">
        <f>X50-X79</f>
        <v>36.681000000000012</v>
      </c>
      <c r="Y85" s="1199">
        <f>Y50-Y79</f>
        <v>66.136000000000081</v>
      </c>
      <c r="Z85" s="1199"/>
      <c r="AA85" s="1199">
        <f>AA50-AA79</f>
        <v>44.970999999999975</v>
      </c>
      <c r="AB85" s="1199">
        <f>AB50-AB79</f>
        <v>41.27200000000002</v>
      </c>
      <c r="AC85" s="1199">
        <f>AC50-AC79</f>
        <v>34.942000000000007</v>
      </c>
      <c r="AD85" s="1199">
        <f>AD50-AD79</f>
        <v>44.123999999999995</v>
      </c>
      <c r="AE85" s="1199">
        <f>AE50-AE79</f>
        <v>165.30899999999997</v>
      </c>
      <c r="AF85" s="1199"/>
      <c r="AG85" s="1199">
        <f>AG50-AG79</f>
        <v>41.907999999999959</v>
      </c>
      <c r="AH85" s="1199">
        <f>AH50-AH79</f>
        <v>34.335999999999984</v>
      </c>
      <c r="AI85" s="1199">
        <f>AI50-AI79</f>
        <v>25.319999999999993</v>
      </c>
      <c r="AJ85" s="1199">
        <f>AJ50-AJ79</f>
        <v>51.143000000000029</v>
      </c>
      <c r="AK85" s="1199">
        <f>AK50-AK79</f>
        <v>152.70700000000011</v>
      </c>
      <c r="AL85" s="1199"/>
      <c r="AM85" s="1199">
        <f>AM50-AM79</f>
        <v>22.730000000000018</v>
      </c>
      <c r="AN85" s="1199">
        <f>AN50-AN79</f>
        <v>14.128000000000014</v>
      </c>
      <c r="AO85" s="1199">
        <f>AO50-AO79</f>
        <v>5.4409999999999741</v>
      </c>
      <c r="AP85" s="1199">
        <f>AP50-AP79</f>
        <v>8.5500000000000114</v>
      </c>
      <c r="AQ85" s="1199">
        <f>AQ50-AQ79</f>
        <v>50.849000000000046</v>
      </c>
      <c r="AR85" s="1199"/>
      <c r="AS85" s="1199">
        <f>AS50-AS79</f>
        <v>6.6069999999999993</v>
      </c>
      <c r="AT85" s="1199">
        <f>AT50-AT79</f>
        <v>13.940999999999974</v>
      </c>
      <c r="AU85" s="1199">
        <f>AU50-AU79</f>
        <v>27.939999999999998</v>
      </c>
      <c r="AV85" s="1199">
        <f>AV50-AV79</f>
        <v>60.932000000000073</v>
      </c>
      <c r="AW85" s="1199">
        <f>AW50-AW79</f>
        <v>109.42000000000007</v>
      </c>
      <c r="AX85" s="1199"/>
      <c r="AY85" s="1200">
        <f>AY50-AY79</f>
        <v>62.900000000000034</v>
      </c>
      <c r="AZ85" s="1200">
        <f>AZ50-AZ79</f>
        <v>54.400000000000006</v>
      </c>
      <c r="BA85" s="1200">
        <f>BA50-BA79</f>
        <v>58.099999999999994</v>
      </c>
      <c r="BB85" s="1200">
        <f>BB50-BB79</f>
        <v>91.299999999999955</v>
      </c>
      <c r="BC85" s="1200">
        <f>BC50-BC79</f>
        <v>266.70000000000016</v>
      </c>
      <c r="BD85" s="1199"/>
      <c r="BE85" s="1200">
        <f>BE50-BE79</f>
        <v>94.599999999999966</v>
      </c>
      <c r="BF85" s="1200">
        <f>BF50-BF79</f>
        <v>92.69999999999996</v>
      </c>
      <c r="BG85" s="1200">
        <f>BG50-BG79</f>
        <v>96.300000000000011</v>
      </c>
      <c r="BH85" s="1200">
        <f>BH50-BH79</f>
        <v>108.80000000000001</v>
      </c>
      <c r="BI85" s="1200">
        <f>BI50-BI79</f>
        <v>392.4</v>
      </c>
      <c r="BJ85" s="1199"/>
      <c r="BK85" s="1200">
        <f>BK50-BK79</f>
        <v>100.77199999999999</v>
      </c>
      <c r="BL85" s="1200">
        <f>BL50-BL79</f>
        <v>114.60000000000002</v>
      </c>
      <c r="BM85" s="1200">
        <f>BM50-BM79</f>
        <v>106.39999999999998</v>
      </c>
      <c r="BN85" s="1200">
        <f>BN50-BN79</f>
        <v>141.5</v>
      </c>
      <c r="BO85" s="1263">
        <f>BO50-BO79</f>
        <v>463.27199999999993</v>
      </c>
      <c r="BP85" s="1200"/>
      <c r="BQ85" s="1200">
        <f>BQ50-BQ79</f>
        <v>132.20000000000005</v>
      </c>
      <c r="BR85" s="1200">
        <f>BR50-BR79</f>
        <v>140.70000000000005</v>
      </c>
      <c r="BS85" s="1200">
        <f>BS50-BS79</f>
        <v>150.79999999999995</v>
      </c>
      <c r="BT85" s="1200">
        <f>BT50-BT79</f>
        <v>160.60000000000002</v>
      </c>
      <c r="BU85" s="1263">
        <f>BU50-BU79</f>
        <v>584.29999999999995</v>
      </c>
      <c r="BV85" s="1200"/>
      <c r="BW85" s="1200">
        <f>BW50-BW79</f>
        <v>151.59999999999991</v>
      </c>
      <c r="BX85" s="1200">
        <f>BX50-BX79</f>
        <v>170.5</v>
      </c>
      <c r="BY85" s="1200">
        <f>BY50-BY79</f>
        <v>176.90000000000009</v>
      </c>
      <c r="BZ85" s="1200">
        <f>BZ50-BZ79</f>
        <v>77.699999999999989</v>
      </c>
      <c r="CA85" s="1263">
        <f>CA50-CA79</f>
        <v>576.70000000000005</v>
      </c>
      <c r="CB85" s="1199"/>
      <c r="CC85" s="1200">
        <f>CC50-CC79</f>
        <v>55.800000000000011</v>
      </c>
      <c r="CD85" s="1200">
        <f>CD50-CD79</f>
        <v>65.299999999999955</v>
      </c>
      <c r="CE85" s="1200">
        <f>CE50-CE79</f>
        <v>76.599999999999966</v>
      </c>
      <c r="CF85" s="1200">
        <f>CF50-CF79</f>
        <v>88.999999999999943</v>
      </c>
      <c r="CG85" s="1263">
        <f>CG50-CG79</f>
        <v>286.69999999999982</v>
      </c>
      <c r="CH85" s="1199"/>
      <c r="CI85" s="1199">
        <f>CI50-CI79</f>
        <v>96.100000000000023</v>
      </c>
      <c r="CJ85" s="1199">
        <f>CJ50-CJ79</f>
        <v>116.29999999999995</v>
      </c>
      <c r="CK85" s="1199">
        <f>CK50-CK79</f>
        <v>100.29999999999995</v>
      </c>
      <c r="CL85" s="1199">
        <f>CL50-CL79</f>
        <v>106.10000000000002</v>
      </c>
      <c r="CM85" s="1303">
        <f>CM50-CM79</f>
        <v>418.79999999999995</v>
      </c>
      <c r="CN85" s="1199"/>
      <c r="CO85" s="1199">
        <f>CO50-CO79</f>
        <v>119.09999999999997</v>
      </c>
      <c r="CP85" s="1199">
        <f>CP50-CP79</f>
        <v>138.80000000000001</v>
      </c>
      <c r="CQ85" s="1199">
        <f>CQ50-CQ79</f>
        <v>135.09999999999991</v>
      </c>
      <c r="CR85" s="1199">
        <f>CR50-CR79</f>
        <v>140.39999999999998</v>
      </c>
      <c r="CS85" s="1303">
        <f>CS50-CS79</f>
        <v>533.40000000000009</v>
      </c>
      <c r="CT85" s="1199"/>
      <c r="CU85" s="1199">
        <f>CU50-CU79</f>
        <v>145</v>
      </c>
      <c r="CV85" s="1199">
        <f>CV50-CV79</f>
        <v>144.19999999999999</v>
      </c>
      <c r="CW85" s="1199">
        <f>CW50-CW79</f>
        <v>145</v>
      </c>
      <c r="CX85" s="1199">
        <f>CX50-CX79</f>
        <v>152.39999999999992</v>
      </c>
      <c r="CY85" s="1303">
        <f>CY50-CY79</f>
        <v>586.59999999999991</v>
      </c>
      <c r="CZ85" s="1199"/>
      <c r="DA85" s="1199">
        <f>DA50-DA79</f>
        <v>136.89999999999992</v>
      </c>
      <c r="DB85" s="1199">
        <f>DB50-DB79</f>
        <v>136.60000000000008</v>
      </c>
      <c r="DC85" s="1199">
        <f>DC50-DC79</f>
        <v>122.30000000000001</v>
      </c>
      <c r="DD85" s="1199">
        <f>DD50-DD79</f>
        <v>114.69999999999982</v>
      </c>
      <c r="DE85" s="1303">
        <f>DE50-DE79</f>
        <v>510.5</v>
      </c>
      <c r="DF85" s="1199"/>
      <c r="DG85" s="1199">
        <f>DG50-DG79</f>
        <v>102</v>
      </c>
      <c r="DH85" s="1199">
        <f>DH50-DH79</f>
        <v>115.09999999999991</v>
      </c>
      <c r="DI85" s="1199">
        <f>DI50-DI79</f>
        <v>80.300000000000011</v>
      </c>
      <c r="DJ85" s="1199">
        <f>DJ50-DJ79</f>
        <v>85</v>
      </c>
      <c r="DK85" s="1303">
        <f>DK50-DK79</f>
        <v>382.39999999999986</v>
      </c>
      <c r="DL85" s="1199"/>
      <c r="DM85" s="1199">
        <f>DM50-DM79</f>
        <v>94.100000000000023</v>
      </c>
      <c r="DN85" s="1199">
        <f>DN50-DN79</f>
        <v>65.200000000000045</v>
      </c>
      <c r="DO85" s="1199">
        <f>DO50-DO79</f>
        <v>55.099999999999909</v>
      </c>
      <c r="DP85" s="1199">
        <f>DP50-DP79</f>
        <v>66.299999999999955</v>
      </c>
      <c r="DQ85" s="1303">
        <f>DQ50-DQ79</f>
        <v>280.69999999999982</v>
      </c>
      <c r="DR85" s="1199"/>
      <c r="DS85" s="1199">
        <f>DS50-DS79</f>
        <v>-27</v>
      </c>
      <c r="DT85" s="1199">
        <f>DT50-DT79</f>
        <v>25.900000000000034</v>
      </c>
      <c r="DU85" s="1199">
        <f>DU50-DU79</f>
        <v>-42.899999999999977</v>
      </c>
      <c r="DV85" s="1199">
        <f>DV50-DV79</f>
        <v>-81.5</v>
      </c>
      <c r="DW85" s="1303">
        <f>DW50-DW79</f>
        <v>-125.5</v>
      </c>
      <c r="DX85" s="1199"/>
      <c r="DY85" s="1199">
        <f>DY50-DY79</f>
        <v>-39.499999999999943</v>
      </c>
      <c r="DZ85" s="1199">
        <f>DZ50-DZ79</f>
        <v>-28.800000000000068</v>
      </c>
      <c r="EA85" s="1199">
        <f>EA50-EA79</f>
        <v>-26.200000000000045</v>
      </c>
      <c r="EB85" s="1199">
        <f>EB50-EB79</f>
        <v>-17.500000000000057</v>
      </c>
      <c r="EC85" s="1303">
        <f>EC50-EC79</f>
        <v>-112.00000000000045</v>
      </c>
      <c r="ED85" s="1199"/>
      <c r="EE85" s="1199">
        <f>EE50-EE79</f>
        <v>25.941468313826931</v>
      </c>
      <c r="EF85" s="1199">
        <f>EF50-EF79</f>
        <v>61.421649730809406</v>
      </c>
      <c r="EG85" s="1199">
        <f>EG50-EG79</f>
        <v>96.813165385433194</v>
      </c>
      <c r="EH85" s="1199">
        <f>EH50-EH79</f>
        <v>126.02782230136029</v>
      </c>
      <c r="EI85" s="1303">
        <f>EI50-EI79</f>
        <v>310.20410573142999</v>
      </c>
      <c r="EJ85" s="1199"/>
      <c r="EK85" s="1199">
        <f>EK50-EK79</f>
        <v>154.96362215434084</v>
      </c>
      <c r="EL85" s="1199">
        <f>EL50-EL79</f>
        <v>201.48485701277298</v>
      </c>
      <c r="EM85" s="1199">
        <f>EM50-EM79</f>
        <v>235.71695955781763</v>
      </c>
      <c r="EN85" s="1199">
        <f>EN50-EN79</f>
        <v>293.12511664362876</v>
      </c>
      <c r="EO85" s="1303">
        <f>EO50-EO79</f>
        <v>885.29055536856004</v>
      </c>
      <c r="EP85" s="1199"/>
      <c r="EQ85" s="1199">
        <f>EQ50-EQ79</f>
        <v>193.41571365966928</v>
      </c>
      <c r="ER85" s="1199">
        <f>ER50-ER79</f>
        <v>289.45440091406829</v>
      </c>
      <c r="ES85" s="1199">
        <f>ES50-ES79</f>
        <v>372.2808937328752</v>
      </c>
      <c r="ET85" s="1199">
        <f>ET50-ET79</f>
        <v>497.95091346254833</v>
      </c>
      <c r="EU85" s="1303">
        <f>EU50-EU79</f>
        <v>1353.1019217691612</v>
      </c>
      <c r="EV85" s="623"/>
    </row>
    <row r="86" spans="1:152" ht="12.75" customHeight="1">
      <c r="A86" s="1201" t="s">
        <v>5189</v>
      </c>
      <c r="B86" s="1202" t="s">
        <v>2350</v>
      </c>
      <c r="C86" s="1203">
        <f>C85/C31</f>
        <v>0.20616287600880426</v>
      </c>
      <c r="D86" s="1203">
        <f>D85/D31</f>
        <v>0.15773115773115773</v>
      </c>
      <c r="E86" s="1203">
        <f>E85/E31</f>
        <v>7.7186963979416698E-2</v>
      </c>
      <c r="F86" s="1203">
        <f>F85/F31</f>
        <v>6.1739130434782685E-2</v>
      </c>
      <c r="G86" s="1203">
        <f>G85/G31</f>
        <v>0.1300583853432655</v>
      </c>
      <c r="H86" s="1204"/>
      <c r="I86" s="1203">
        <f>I85/I31</f>
        <v>6.9863013698630155E-2</v>
      </c>
      <c r="J86" s="1203">
        <f>J85/J31</f>
        <v>0.18793012175754367</v>
      </c>
      <c r="K86" s="1203">
        <f>K85/K31</f>
        <v>0.20239282153539379</v>
      </c>
      <c r="L86" s="1203">
        <f>L85/L31</f>
        <v>0.25148334094021008</v>
      </c>
      <c r="M86" s="1203">
        <f>M85/M31</f>
        <v>0.18738404452690172</v>
      </c>
      <c r="N86" s="1204"/>
      <c r="O86" s="1203">
        <f>O85/O31</f>
        <v>0.21424245881640511</v>
      </c>
      <c r="P86" s="1203">
        <f>P85/P31</f>
        <v>0.21453349745637973</v>
      </c>
      <c r="Q86" s="1203">
        <f>Q85/Q31</f>
        <v>0.15500344737405203</v>
      </c>
      <c r="R86" s="1203">
        <f>R85/R31</f>
        <v>0.18193543186489866</v>
      </c>
      <c r="S86" s="1203">
        <f>S85/S31</f>
        <v>0.19230906926581276</v>
      </c>
      <c r="T86" s="1204"/>
      <c r="U86" s="1203">
        <f>U85/U31</f>
        <v>4.350121631690361E-2</v>
      </c>
      <c r="V86" s="1203">
        <f>V85/V31</f>
        <v>1.2085553371133276E-2</v>
      </c>
      <c r="W86" s="1203">
        <f>W85/W31</f>
        <v>8.6935631885687481E-2</v>
      </c>
      <c r="X86" s="1203">
        <f>X85/X31</f>
        <v>0.16182056406252074</v>
      </c>
      <c r="Y86" s="1203">
        <f>Y85/Y31</f>
        <v>7.7985875849447828E-2</v>
      </c>
      <c r="Z86" s="1204"/>
      <c r="AA86" s="1203">
        <f>AA85/AA31</f>
        <v>0.19446162095313038</v>
      </c>
      <c r="AB86" s="1203">
        <f>AB85/AB31</f>
        <v>0.17725400595255997</v>
      </c>
      <c r="AC86" s="1203">
        <f>AC85/AC31</f>
        <v>0.1524673069287058</v>
      </c>
      <c r="AD86" s="1203">
        <f>AD85/AD31</f>
        <v>0.1815451332458331</v>
      </c>
      <c r="AE86" s="1203">
        <f>AE85/AE31</f>
        <v>0.17655106565675982</v>
      </c>
      <c r="AF86" s="1204"/>
      <c r="AG86" s="1203">
        <f>AG85/AG31</f>
        <v>0.1705379669569462</v>
      </c>
      <c r="AH86" s="1203">
        <f>AH85/AH31</f>
        <v>0.14840940525587823</v>
      </c>
      <c r="AI86" s="1203">
        <f>AI85/AI31</f>
        <v>0.11702879962284554</v>
      </c>
      <c r="AJ86" s="1203">
        <f>AJ85/AJ31</f>
        <v>0.20132344489320336</v>
      </c>
      <c r="AK86" s="1203">
        <f>AK85/AK31</f>
        <v>0.16116986863199767</v>
      </c>
      <c r="AL86" s="1204"/>
      <c r="AM86" s="1203">
        <f>AM85/AM31</f>
        <v>9.9116109311158385E-2</v>
      </c>
      <c r="AN86" s="1203">
        <f>AN85/AN31</f>
        <v>6.6830336658767059E-2</v>
      </c>
      <c r="AO86" s="1203">
        <f>AO85/AO31</f>
        <v>2.8833975442631329E-2</v>
      </c>
      <c r="AP86" s="1203">
        <f>AP85/AP31</f>
        <v>4.3730436383723127E-2</v>
      </c>
      <c r="AQ86" s="1203">
        <f>AQ85/AQ31</f>
        <v>6.1639260799204856E-2</v>
      </c>
      <c r="AR86" s="1203"/>
      <c r="AS86" s="1203">
        <f>AS85/AS31</f>
        <v>3.1347560802026893E-2</v>
      </c>
      <c r="AT86" s="1203">
        <f>AT85/AT31</f>
        <v>6.5851066342315842E-2</v>
      </c>
      <c r="AU86" s="1203">
        <f>AU85/AU31</f>
        <v>0.1194721673465548</v>
      </c>
      <c r="AV86" s="1203">
        <f>AV85/AV31</f>
        <v>0.20633232873929111</v>
      </c>
      <c r="AW86" s="1203">
        <f>AW85/AW31</f>
        <v>0.11498009232453774</v>
      </c>
      <c r="AX86" s="1203"/>
      <c r="AY86" s="1205">
        <f>AY85/AY31</f>
        <v>0.21029755934470087</v>
      </c>
      <c r="AZ86" s="1205">
        <f>AZ85/AZ31</f>
        <v>0.19373219373219375</v>
      </c>
      <c r="BA86" s="1206">
        <f>BA85/BA31</f>
        <v>0.19276708692767083</v>
      </c>
      <c r="BB86" s="1206">
        <f>BB85/BB31</f>
        <v>0.25531319910514533</v>
      </c>
      <c r="BC86" s="1205">
        <f>BC85/BC31</f>
        <v>0.2152716119137946</v>
      </c>
      <c r="BD86" s="1206"/>
      <c r="BE86" s="1205">
        <f>BE85/BE31</f>
        <v>0.26343636869952652</v>
      </c>
      <c r="BF86" s="1205">
        <f>BF85/BF31</f>
        <v>0.24601910828025469</v>
      </c>
      <c r="BG86" s="1206">
        <f>BG85/BG31</f>
        <v>0.25242463958060291</v>
      </c>
      <c r="BH86" s="1206">
        <f>BH85/BH31</f>
        <v>0.25917103382563128</v>
      </c>
      <c r="BI86" s="1205">
        <f>BI85/BI31</f>
        <v>0.25526932084309134</v>
      </c>
      <c r="BJ86" s="1207"/>
      <c r="BK86" s="1205">
        <f>BK85/BK31</f>
        <v>0.23112844036697247</v>
      </c>
      <c r="BL86" s="1205">
        <f>BL85/BL31</f>
        <v>0.25489323843416373</v>
      </c>
      <c r="BM86" s="1205">
        <f>BM85/BM31</f>
        <v>0.23292469352014006</v>
      </c>
      <c r="BN86" s="1205">
        <f>BN85/BN31</f>
        <v>0.28447929232006436</v>
      </c>
      <c r="BO86" s="1264">
        <f>BO85/BO31</f>
        <v>0.25180563104685288</v>
      </c>
      <c r="BP86" s="1207"/>
      <c r="BQ86" s="1206">
        <f>BQ85/BQ31</f>
        <v>0.25992921745969333</v>
      </c>
      <c r="BR86" s="1206">
        <f>BR85/BR31</f>
        <v>0.26754135767256138</v>
      </c>
      <c r="BS86" s="1206">
        <f>BS85/BS31</f>
        <v>0.28008915304606236</v>
      </c>
      <c r="BT86" s="1206">
        <f>BT85/BT31</f>
        <v>0.26806876982139877</v>
      </c>
      <c r="BU86" s="1297">
        <f>BU85/BU31</f>
        <v>0.26901473296500916</v>
      </c>
      <c r="BV86" s="1208"/>
      <c r="BW86" s="1206">
        <f>BW85/BW31</f>
        <v>0.25317301269205061</v>
      </c>
      <c r="BX86" s="1206">
        <f>BX85/BX31</f>
        <v>0.27522195318805487</v>
      </c>
      <c r="BY86" s="1206">
        <f>BY85/BY31</f>
        <v>0.29138527425465338</v>
      </c>
      <c r="BZ86" s="1206">
        <f>BZ85/BZ31</f>
        <v>0.15863617803184971</v>
      </c>
      <c r="CA86" s="1297">
        <f>CA85/CA31</f>
        <v>0.24909295093296474</v>
      </c>
      <c r="CB86" s="1208"/>
      <c r="CC86" s="1206">
        <f>CC85/CC31</f>
        <v>0.13104744011272901</v>
      </c>
      <c r="CD86" s="1206">
        <f>CD85/CD31</f>
        <v>0.15738732224632432</v>
      </c>
      <c r="CE86" s="1206">
        <f>CE85/CE31</f>
        <v>0.18373710721995676</v>
      </c>
      <c r="CF86" s="1206">
        <f>CF85/CF31</f>
        <v>0.19513264634948463</v>
      </c>
      <c r="CG86" s="1297">
        <f>CG85/CG31</f>
        <v>0.16729882709925883</v>
      </c>
      <c r="CH86" s="1208"/>
      <c r="CI86" s="1206">
        <f>CI85/CI31</f>
        <v>0.2024863042562158</v>
      </c>
      <c r="CJ86" s="1206">
        <f>CJ85/CJ31</f>
        <v>0.24598138747884934</v>
      </c>
      <c r="CK86" s="1206">
        <f>CK85/CK31</f>
        <v>0.2104048667925319</v>
      </c>
      <c r="CL86" s="1206">
        <f>CL85/CL31</f>
        <v>0.20106120902027669</v>
      </c>
      <c r="CM86" s="1297">
        <f>CM85/CM31</f>
        <v>0.21457116507838916</v>
      </c>
      <c r="CN86" s="1208"/>
      <c r="CO86" s="1206">
        <f>CO85/CO31</f>
        <v>0.2254400908574673</v>
      </c>
      <c r="CP86" s="1206">
        <f>CP85/CP31</f>
        <v>0.25407285374336447</v>
      </c>
      <c r="CQ86" s="1206">
        <f>CQ85/CQ31</f>
        <v>0.24626321545752813</v>
      </c>
      <c r="CR86" s="1206">
        <f>CR85/CR31</f>
        <v>0.23700202565833894</v>
      </c>
      <c r="CS86" s="1297">
        <f>CS85/CS31</f>
        <v>0.24074742733345375</v>
      </c>
      <c r="CT86" s="1208"/>
      <c r="CU86" s="1206">
        <f>CU85/CU31</f>
        <v>0.24634726469588855</v>
      </c>
      <c r="CV86" s="1206">
        <f>CV85/CV31</f>
        <v>0.25342706502636203</v>
      </c>
      <c r="CW86" s="1206">
        <f>CW85/CW31</f>
        <v>0.26459854014598538</v>
      </c>
      <c r="CX86" s="1206">
        <f>CX85/CX31</f>
        <v>0.25107084019769343</v>
      </c>
      <c r="CY86" s="1297">
        <f>CY85/CY31</f>
        <v>0.25365389604773847</v>
      </c>
      <c r="CZ86" s="1208"/>
      <c r="DA86" s="1206">
        <f>DA85/DA31</f>
        <v>0.24000701262272076</v>
      </c>
      <c r="DB86" s="1206">
        <f>DB85/DB31</f>
        <v>0.24319031511483011</v>
      </c>
      <c r="DC86" s="1206">
        <f>DC85/DC31</f>
        <v>0.22028097982708933</v>
      </c>
      <c r="DD86" s="1206">
        <f>DD85/DD31</f>
        <v>0.19553358336174537</v>
      </c>
      <c r="DE86" s="1297">
        <f>DE85/DE31</f>
        <v>0.22450415585557856</v>
      </c>
      <c r="DF86" s="1208"/>
      <c r="DG86" s="1206">
        <f>DG85/DG31</f>
        <v>0.17215189873417722</v>
      </c>
      <c r="DH86" s="1206">
        <f>DH85/DH31</f>
        <v>0.18066237639303082</v>
      </c>
      <c r="DI86" s="1206">
        <f>DI85/DI31</f>
        <v>0.12993527508090616</v>
      </c>
      <c r="DJ86" s="1206">
        <f>DJ85/DJ31</f>
        <v>0.12789647908516399</v>
      </c>
      <c r="DK86" s="1297">
        <f>DK85/DK31</f>
        <v>0.15221718016081517</v>
      </c>
      <c r="DL86" s="1208"/>
      <c r="DM86" s="1206">
        <f>DM85/DM31</f>
        <v>0.14555297757153909</v>
      </c>
      <c r="DN86" s="1206">
        <f>DN85/DN31</f>
        <v>0.10697292863002468</v>
      </c>
      <c r="DO86" s="1206">
        <f>DO85/DO31</f>
        <v>9.1863954651550367E-2</v>
      </c>
      <c r="DP86" s="1206">
        <f>DP85/DP31</f>
        <v>0.10226746876446083</v>
      </c>
      <c r="DQ86" s="1297">
        <f>DQ85/DQ31</f>
        <v>0.11209616229383804</v>
      </c>
      <c r="DR86" s="1208"/>
      <c r="DS86" s="1206">
        <f>DS85/DS31</f>
        <v>-5.2744676694666932E-2</v>
      </c>
      <c r="DT86" s="1206">
        <f>DT85/DT31</f>
        <v>4.7031051389141154E-2</v>
      </c>
      <c r="DU86" s="1206">
        <f>DU85/DU31</f>
        <v>-8.7622549019607796E-2</v>
      </c>
      <c r="DV86" s="1206">
        <f>DV85/DV31</f>
        <v>-0.17021720969089391</v>
      </c>
      <c r="DW86" s="1297">
        <f>DW85/DW31</f>
        <v>-6.1792220580994588E-2</v>
      </c>
      <c r="DX86" s="1208"/>
      <c r="DY86" s="1206">
        <f>DY85/DY31</f>
        <v>-8.1325921350627842E-2</v>
      </c>
      <c r="DZ86" s="1206">
        <f>DZ85/DZ31</f>
        <v>-5.7393383818254429E-2</v>
      </c>
      <c r="EA86" s="1206">
        <f>EA85/EA31</f>
        <v>-5.0844168445565781E-2</v>
      </c>
      <c r="EB86" s="1206">
        <f>EB85/EB31</f>
        <v>-3.1599855543517623E-2</v>
      </c>
      <c r="EC86" s="1297">
        <f>EC85/EC31</f>
        <v>-5.4458815520762649E-2</v>
      </c>
      <c r="ED86" s="1208"/>
      <c r="EE86" s="1206">
        <f>EE85/EE31</f>
        <v>4.6605051806665826E-2</v>
      </c>
      <c r="EF86" s="1206">
        <f>EF85/EF31</f>
        <v>0.10330611066641633</v>
      </c>
      <c r="EG86" s="1206">
        <f>EG85/EG31</f>
        <v>0.15229041273116853</v>
      </c>
      <c r="EH86" s="1206">
        <f>EH85/EH31</f>
        <v>0.17683566000907494</v>
      </c>
      <c r="EI86" s="1297">
        <f>EI85/EI31</f>
        <v>0.12410245954339508</v>
      </c>
      <c r="EJ86" s="1208"/>
      <c r="EK86" s="1206">
        <f>EK85/EK31</f>
        <v>0.22438206590944909</v>
      </c>
      <c r="EL86" s="1206">
        <f>EL85/EL31</f>
        <v>0.2749435275661925</v>
      </c>
      <c r="EM86" s="1206">
        <f>EM85/EM31</f>
        <v>0.29948754961461038</v>
      </c>
      <c r="EN86" s="1206">
        <f>EN85/EN31</f>
        <v>0.32745813427081788</v>
      </c>
      <c r="EO86" s="1297">
        <f>EO85/EO31</f>
        <v>0.28505647718049093</v>
      </c>
      <c r="EP86" s="1208"/>
      <c r="EQ86" s="1206">
        <f>EQ85/EQ31</f>
        <v>0.25180922563211033</v>
      </c>
      <c r="ER86" s="1206">
        <f>ER85/ER31</f>
        <v>0.33426529265688093</v>
      </c>
      <c r="ES86" s="1206">
        <f>ES85/ES31</f>
        <v>0.38487418160304832</v>
      </c>
      <c r="ET86" s="1206">
        <f>ET85/ET31</f>
        <v>0.43850235027103207</v>
      </c>
      <c r="EU86" s="1297">
        <f>EU85/EU31</f>
        <v>0.36209232144600956</v>
      </c>
      <c r="EV86" s="630"/>
    </row>
    <row r="87" spans="1:152" ht="12.75" customHeight="1">
      <c r="A87" s="1469" t="s">
        <v>5616</v>
      </c>
      <c r="B87" s="1470"/>
      <c r="C87" s="1471"/>
      <c r="D87" s="1471"/>
      <c r="E87" s="1471"/>
      <c r="F87" s="1471"/>
      <c r="G87" s="1279"/>
      <c r="H87" s="1093"/>
      <c r="I87" s="1471"/>
      <c r="J87" s="1471"/>
      <c r="K87" s="1471"/>
      <c r="L87" s="1471"/>
      <c r="M87" s="1279">
        <f>(M85-G85)/(M31-G31)</f>
        <v>0.2977898410236528</v>
      </c>
      <c r="N87" s="1093"/>
      <c r="O87" s="1471"/>
      <c r="P87" s="1471"/>
      <c r="Q87" s="1471"/>
      <c r="R87" s="1471"/>
      <c r="S87" s="1279">
        <f>(S85-M85)/(S31-M31)</f>
        <v>0.21900137899333422</v>
      </c>
      <c r="T87" s="1093"/>
      <c r="U87" s="1471"/>
      <c r="V87" s="1471"/>
      <c r="W87" s="1471"/>
      <c r="X87" s="1471"/>
      <c r="Y87" s="1279">
        <f>(Y85-S85)/(Y31-S31)</f>
        <v>2.3100412835018891</v>
      </c>
      <c r="Z87" s="1093"/>
      <c r="AA87" s="1471"/>
      <c r="AB87" s="1471"/>
      <c r="AC87" s="1471"/>
      <c r="AD87" s="1471"/>
      <c r="AE87" s="1279">
        <f>(AE85-Y85)/(AE31-Y31)</f>
        <v>1.1234805659714748</v>
      </c>
      <c r="AF87" s="1093"/>
      <c r="AG87" s="1471"/>
      <c r="AH87" s="1471"/>
      <c r="AI87" s="1471"/>
      <c r="AJ87" s="1471"/>
      <c r="AK87" s="1279">
        <f>(AK85-AE85)/(AK31-AE31)</f>
        <v>-1.1285036267573949</v>
      </c>
      <c r="AL87" s="1093"/>
      <c r="AM87" s="1471"/>
      <c r="AN87" s="1471"/>
      <c r="AO87" s="1471"/>
      <c r="AP87" s="1471"/>
      <c r="AQ87" s="1279">
        <f>(AQ85-AK85)/(AQ31-AK31)</f>
        <v>0.83118176031857438</v>
      </c>
      <c r="AR87" s="1471"/>
      <c r="AS87" s="1471"/>
      <c r="AT87" s="1471"/>
      <c r="AU87" s="1471"/>
      <c r="AV87" s="1471"/>
      <c r="AW87" s="1279">
        <f>(AW85-AQ85)/(AW31-AQ31)</f>
        <v>0.46228827605802764</v>
      </c>
      <c r="AX87" s="1471"/>
      <c r="AY87" s="1472">
        <f>(AY85-AS85)/(AY31-AS31)</f>
        <v>0.63727443566463671</v>
      </c>
      <c r="AZ87" s="1472">
        <f>(AZ85-AT85)/(AZ31-AT31)</f>
        <v>0.58555611838772725</v>
      </c>
      <c r="BA87" s="1485">
        <f>(BA85-AU85)/(BA31-AU31)</f>
        <v>0.44656341615090733</v>
      </c>
      <c r="BB87" s="1486">
        <f>(BB85-AV85)/(BB31-AV31)</f>
        <v>0.48752608765451799</v>
      </c>
      <c r="BC87" s="1279">
        <f>(BC85-AW85)/(BC31-AW31)</f>
        <v>0.54752364607302884</v>
      </c>
      <c r="BD87" s="1472"/>
      <c r="BE87" s="1472">
        <f>(BE85-AY85)/(BE31-AY31)</f>
        <v>0.52833333333333266</v>
      </c>
      <c r="BF87" s="1472">
        <f>(BF85-AZ85)/(BF31-AZ31)</f>
        <v>0.39895833333333308</v>
      </c>
      <c r="BG87" s="1485">
        <f>(BG85-BA85)/(BG31-BA31)</f>
        <v>0.47690387016229757</v>
      </c>
      <c r="BH87" s="1486">
        <f>(BH85-BB85)/(BH31-BB31)</f>
        <v>0.28135048231511323</v>
      </c>
      <c r="BI87" s="1279">
        <f>(BI85-BC85)/(BI31-BC31)</f>
        <v>0.42138786456587307</v>
      </c>
      <c r="BJ87" s="1352"/>
      <c r="BK87" s="1472">
        <f>(BK85-BE85)/(BK31-BE31)</f>
        <v>8.0260078023407316E-2</v>
      </c>
      <c r="BL87" s="1472">
        <f>(BL85-BF85)/(BL31-BF31)</f>
        <v>0.30082417582417642</v>
      </c>
      <c r="BM87" s="1485">
        <f>(BM85-BG85)/(BM31-BG31)</f>
        <v>0.13413014608233684</v>
      </c>
      <c r="BN87" s="1486">
        <f>(BN85-BH85)/(BN31-BH31)</f>
        <v>0.42139175257731964</v>
      </c>
      <c r="BO87" s="1279">
        <f>(BO85-BI85)/(BO31-BI31)</f>
        <v>0.23421017845340342</v>
      </c>
      <c r="BP87" s="1352"/>
      <c r="BQ87" s="1472">
        <f>(BQ85-BK85)/(BQ31-BK31)</f>
        <v>0.4328925619834717</v>
      </c>
      <c r="BR87" s="1472">
        <f>(BR85-BL85)/(BR31-BL31)</f>
        <v>0.34207077326343382</v>
      </c>
      <c r="BS87" s="1485">
        <f>(BS85-BM85)/(BS31-BM31)</f>
        <v>0.54411764705882348</v>
      </c>
      <c r="BT87" s="1486">
        <f>(BT85-BN85)/(BT31-BN31)</f>
        <v>0.18780727630285166</v>
      </c>
      <c r="BU87" s="1279">
        <f>(BU85-BO85)/(BU31-BO31)</f>
        <v>0.36432269717037957</v>
      </c>
      <c r="BV87" s="1473"/>
      <c r="BW87" s="1472">
        <f>(BW85-BQ85)/(BW31-BQ31)</f>
        <v>0.21507760532150641</v>
      </c>
      <c r="BX87" s="1472">
        <f>(BX85-BR85)/(BX31-BR31)</f>
        <v>0.31837606837606819</v>
      </c>
      <c r="BY87" s="1485">
        <f>(BY85-BS85)/(BY31-BS31)</f>
        <v>0.37991266375546023</v>
      </c>
      <c r="BZ87" s="1486">
        <f>(BZ85-BT85)/(BZ31-BT31)</f>
        <v>0.75846294602012831</v>
      </c>
      <c r="CA87" s="1279">
        <f>(CA85-BU85)/(CA31-BU31)</f>
        <v>-5.3072625698323286E-2</v>
      </c>
      <c r="CB87" s="1473"/>
      <c r="CC87" s="1472">
        <f>(CC85-BW85)/(CC31-BW31)</f>
        <v>0.55375722543352546</v>
      </c>
      <c r="CD87" s="1472">
        <f>(CD85-BX85)/(CD31-BX31)</f>
        <v>0.514173998044966</v>
      </c>
      <c r="CE87" s="1485">
        <f>(CE85-BY85)/(CE31-BY31)</f>
        <v>0.52733964248159881</v>
      </c>
      <c r="CF87" s="1486">
        <f>(CF85-BZ85)/(CF31-BZ31)</f>
        <v>-0.33531157270029549</v>
      </c>
      <c r="CG87" s="1279">
        <f>(CG85-CA85)/(CG31-CA31)</f>
        <v>0.48212801330008315</v>
      </c>
      <c r="CH87" s="1473"/>
      <c r="CI87" s="1472">
        <f>(CI85-CC85)/(CI31-CC31)</f>
        <v>0.8258196721311466</v>
      </c>
      <c r="CJ87" s="1472">
        <f>(CJ85-CD85)/(CJ31-CD31)</f>
        <v>0.8808290155440418</v>
      </c>
      <c r="CK87" s="1472">
        <f>(CK85-CE85)/(CK31-CE31)</f>
        <v>0.39632107023411345</v>
      </c>
      <c r="CL87" s="1472">
        <f>(CL85-CF85)/(CL31-CF31)</f>
        <v>0.23882681564245914</v>
      </c>
      <c r="CM87" s="1279">
        <f>(CM85-CG85)/(CM31-CG31)</f>
        <v>0.55480890382192383</v>
      </c>
      <c r="CN87" s="1473"/>
      <c r="CO87" s="1472">
        <f>(CO85-CI85)/(CO31-CI31)</f>
        <v>0.42830540037243897</v>
      </c>
      <c r="CP87" s="1472">
        <f>(CP85-CJ85)/(CP31-CJ31)</f>
        <v>0.30612244897959262</v>
      </c>
      <c r="CQ87" s="1472">
        <f>(CQ85-CK85)/(CQ31-CK31)</f>
        <v>0.48400556328233646</v>
      </c>
      <c r="CR87" s="1472">
        <f>(CR85-CL85)/(CR31-CL31)</f>
        <v>0.53013910355486848</v>
      </c>
      <c r="CS87" s="1279">
        <f>(CS85-CM85)/(CS31-CM31)</f>
        <v>0.43442001516300288</v>
      </c>
      <c r="CT87" s="1473"/>
      <c r="CU87" s="1472">
        <f>(CU85-CO85)/(CU31-CO31)</f>
        <v>0.42951907131011619</v>
      </c>
      <c r="CV87" s="1472">
        <f>(CV85-CP85)/(CV31-CP31)</f>
        <v>0.2378854625550646</v>
      </c>
      <c r="CW87" s="1717" t="s">
        <v>5646</v>
      </c>
      <c r="CX87" s="1717" t="s">
        <v>5646</v>
      </c>
      <c r="CY87" s="1279">
        <f>(CY85-CS85)/(CY31-CS31)</f>
        <v>0.54845360824742084</v>
      </c>
      <c r="CZ87" s="1473"/>
      <c r="DA87" s="1472">
        <f>(DA85-CU85)/(DA31-CU31)</f>
        <v>0.4450549450549483</v>
      </c>
      <c r="DB87" s="1472">
        <f>(DB85-CV85)/(DB31-CV31)</f>
        <v>1.0410958904109529</v>
      </c>
      <c r="DC87" s="1472">
        <f>(DC85-CW85)/(DC31-CW31)</f>
        <v>-3.1527777777777564</v>
      </c>
      <c r="DD87" s="1472">
        <f>(DD85-CX85)/(DD31-CX31)</f>
        <v>1.8480392156862713</v>
      </c>
      <c r="DE87" s="1279">
        <f>(DE85-CY85)/(DE31-CY31)</f>
        <v>1.966408268733834</v>
      </c>
      <c r="DF87" s="1473"/>
      <c r="DG87" s="1472">
        <f>(DG85-DA85)/(DG31-DA31)</f>
        <v>-1.5791855203619858</v>
      </c>
      <c r="DH87" s="1472">
        <f>(DH85-DB85)/(DH31-DB31)</f>
        <v>-0.28514588859416723</v>
      </c>
      <c r="DI87" s="1472">
        <f>(DI85-DC85)/(DI31-DC31)</f>
        <v>-0.66878980891719797</v>
      </c>
      <c r="DJ87" s="1472">
        <f>(DJ85-DD85)/(DJ31-DD31)</f>
        <v>-0.38076923076922786</v>
      </c>
      <c r="DK87" s="1279">
        <f>(DK85-DE85)/(DK31-DE31)</f>
        <v>-0.53755770037767536</v>
      </c>
      <c r="DL87" s="1473"/>
      <c r="DM87" s="1472">
        <f>(DM85-DG85)/(DM31-DG31)</f>
        <v>-0.14629629629629587</v>
      </c>
      <c r="DN87" s="1472">
        <f>(DN85-DH85)/(DN31-DH31)</f>
        <v>1.8079710144927545</v>
      </c>
      <c r="DO87" s="1472">
        <f>(DO85-DI85)/(DO31-DI31)</f>
        <v>1.3846153846153868</v>
      </c>
      <c r="DP87" s="1472">
        <f>(DP85-DJ85)/(DP31-DJ31)</f>
        <v>1.147239263803679</v>
      </c>
      <c r="DQ87" s="1265">
        <f>(DQ85-DK85)/(DQ31-DK31)</f>
        <v>12.555555555555703</v>
      </c>
      <c r="DR87" s="1473"/>
      <c r="DS87" s="1472">
        <f>(DS85-DM85)/(DS31-DM31)</f>
        <v>0.899702823179792</v>
      </c>
      <c r="DT87" s="1472">
        <f>(DT85-DN85)/(DT31-DN31)</f>
        <v>0.6683673469387762</v>
      </c>
      <c r="DU87" s="1472">
        <f>(DU85-DO85)/(DU31-DO31)</f>
        <v>0.88929219600725906</v>
      </c>
      <c r="DV87" s="1472">
        <f>(DV85-DP85)/(DV31-DP31)</f>
        <v>0.87197640117994102</v>
      </c>
      <c r="DW87" s="1279">
        <f>(DW85-DQ85)/(DW31-DQ31)</f>
        <v>0.85859226379200948</v>
      </c>
      <c r="DX87" s="1473"/>
      <c r="DY87" s="1472">
        <f>(DY85-DS85)/(DY31-DS31)</f>
        <v>0.47709923664121939</v>
      </c>
      <c r="DZ87" s="1472">
        <f>(DZ85-DT85)/(DZ31-DT31)</f>
        <v>1.1186094069529653</v>
      </c>
      <c r="EA87" s="1472">
        <f>(EA85-DU85)/(EA31-DU31)</f>
        <v>0.64980544747081614</v>
      </c>
      <c r="EB87" s="1472">
        <f>(EB85-DV85)/(EB31-DV31)</f>
        <v>0.85333333333333328</v>
      </c>
      <c r="EC87" s="1265">
        <f>(EC85-DW85)/(EC31-DW31)</f>
        <v>0.52734374999997946</v>
      </c>
      <c r="ED87" s="1473"/>
      <c r="EE87" s="1472">
        <f>(EE85-DY85)/(EE31-DY31)</f>
        <v>0.92270465187677131</v>
      </c>
      <c r="EF87" s="1472">
        <f>(EF85-DZ85)/(EF31-DZ31)</f>
        <v>0.97263848231608274</v>
      </c>
      <c r="EG87" s="1472">
        <f>(EG85-EA85)/(EG31-EA31)</f>
        <v>1.0215842426816155</v>
      </c>
      <c r="EH87" s="1472">
        <f>(EH85-EB85)/(EH31-EB31)</f>
        <v>0.90335371557394528</v>
      </c>
      <c r="EI87" s="1279">
        <f>(EI85-EC85)/(EI31-EC31)</f>
        <v>0.95309831608481266</v>
      </c>
      <c r="EJ87" s="1473"/>
      <c r="EK87" s="1472">
        <f>(EK85-EE85)/(EK31-EE31)</f>
        <v>0.9628490636469903</v>
      </c>
      <c r="EL87" s="1472">
        <f>(EL85-EF85)/(EL31-EF31)</f>
        <v>1.0130201677768416</v>
      </c>
      <c r="EM87" s="1472">
        <f>(EM85-EG85)/(EM31-EG31)</f>
        <v>0.91774403482806033</v>
      </c>
      <c r="EN87" s="1472">
        <f>(EN85-EH85)/(EN31-EH31)</f>
        <v>0.91575389328012236</v>
      </c>
      <c r="EO87" s="1279">
        <f>(EO85-EI85)/(EO31-EI31)</f>
        <v>0.94885199212638449</v>
      </c>
      <c r="EP87" s="1473"/>
      <c r="EQ87" s="1472">
        <f>(EQ85-EK85)/(EQ31-EK31)</f>
        <v>0.49628256359759615</v>
      </c>
      <c r="ER87" s="1472">
        <f>(ER85-EL85)/(ER31-EL31)</f>
        <v>0.66083169244413142</v>
      </c>
      <c r="ES87" s="1472">
        <f>(ES85-EM85)/(ES31-EM31)</f>
        <v>0.75779673946815373</v>
      </c>
      <c r="ET87" s="1472">
        <f>(ET85-EN85)/(ET31-EN31)</f>
        <v>0.85195391890037653</v>
      </c>
      <c r="EU87" s="1279">
        <f>(EU85-EO85)/(EU31-EO31)</f>
        <v>0.74111035779314172</v>
      </c>
      <c r="EV87" s="630"/>
    </row>
    <row r="88" spans="1:152" ht="12" hidden="1" customHeight="1" outlineLevel="1">
      <c r="A88" s="427"/>
      <c r="B88" s="444"/>
      <c r="C88" s="223"/>
      <c r="D88" s="223"/>
      <c r="E88" s="223"/>
      <c r="F88" s="223"/>
      <c r="G88" s="223"/>
      <c r="H88" s="428"/>
      <c r="I88" s="223"/>
      <c r="J88" s="223"/>
      <c r="K88" s="223"/>
      <c r="L88" s="223"/>
      <c r="M88" s="223"/>
      <c r="N88" s="428"/>
      <c r="O88" s="223"/>
      <c r="P88" s="223"/>
      <c r="Q88" s="223"/>
      <c r="R88" s="223"/>
      <c r="S88" s="223"/>
      <c r="T88" s="428"/>
      <c r="U88" s="223"/>
      <c r="V88" s="223"/>
      <c r="W88" s="223"/>
      <c r="X88" s="223"/>
      <c r="Y88" s="223"/>
      <c r="Z88" s="428"/>
      <c r="AA88" s="223"/>
      <c r="AB88" s="223"/>
      <c r="AC88" s="223"/>
      <c r="AD88" s="223"/>
      <c r="AE88" s="223"/>
      <c r="AF88" s="428"/>
      <c r="AG88" s="223"/>
      <c r="AH88" s="223"/>
      <c r="AI88" s="223"/>
      <c r="AJ88" s="223"/>
      <c r="AK88" s="223"/>
      <c r="AL88" s="428"/>
      <c r="AM88" s="223"/>
      <c r="AN88" s="223"/>
      <c r="AO88" s="223"/>
      <c r="AP88" s="223"/>
      <c r="AQ88" s="223"/>
      <c r="AR88" s="428"/>
      <c r="AS88" s="223"/>
      <c r="AT88" s="223"/>
      <c r="AU88" s="223"/>
      <c r="AV88" s="223"/>
      <c r="AW88" s="223"/>
      <c r="AX88" s="428"/>
      <c r="AY88" s="431"/>
      <c r="AZ88" s="431"/>
      <c r="BA88" s="431"/>
      <c r="BB88" s="431"/>
      <c r="BC88" s="428"/>
      <c r="BD88" s="428"/>
      <c r="BE88" s="431"/>
      <c r="BF88" s="431"/>
      <c r="BG88" s="431"/>
      <c r="BH88" s="431"/>
      <c r="BI88" s="428"/>
      <c r="BJ88" s="428"/>
      <c r="BK88" s="431"/>
      <c r="BL88" s="431"/>
      <c r="BM88" s="431"/>
      <c r="BN88" s="431"/>
      <c r="BO88" s="1192"/>
      <c r="BP88" s="428"/>
      <c r="BQ88" s="431"/>
      <c r="BR88" s="431"/>
      <c r="BS88" s="431"/>
      <c r="BT88" s="431"/>
      <c r="BU88" s="1192"/>
      <c r="BV88" s="428"/>
      <c r="BW88" s="431"/>
      <c r="BX88" s="431"/>
      <c r="BY88" s="431"/>
      <c r="BZ88" s="431"/>
      <c r="CA88" s="1192"/>
      <c r="CB88" s="428"/>
      <c r="CC88" s="431"/>
      <c r="CD88" s="431"/>
      <c r="CE88" s="431"/>
      <c r="CF88" s="431"/>
      <c r="CG88" s="1192"/>
      <c r="CH88" s="428"/>
      <c r="CI88" s="431"/>
      <c r="CJ88" s="431"/>
      <c r="CK88" s="431"/>
      <c r="CL88" s="431"/>
      <c r="CM88" s="1596"/>
      <c r="CN88" s="428"/>
      <c r="CO88" s="431"/>
      <c r="CP88" s="431"/>
      <c r="CQ88" s="431"/>
      <c r="CR88" s="431"/>
      <c r="CS88" s="1632"/>
      <c r="CT88" s="428"/>
      <c r="CU88" s="1698"/>
      <c r="CV88" s="1698"/>
      <c r="CW88" s="1698"/>
      <c r="CX88" s="1698"/>
      <c r="CY88" s="1632"/>
      <c r="CZ88" s="428"/>
      <c r="DA88" s="1698"/>
      <c r="DB88" s="1698"/>
      <c r="DC88" s="1698"/>
      <c r="DD88" s="1698"/>
      <c r="DE88" s="1632"/>
      <c r="DF88" s="428"/>
      <c r="DG88" s="431"/>
      <c r="DH88" s="431"/>
      <c r="DI88" s="431"/>
      <c r="DJ88" s="431"/>
      <c r="DK88" s="1632"/>
      <c r="DL88" s="428"/>
      <c r="DM88" s="431"/>
      <c r="DN88" s="431"/>
      <c r="DO88" s="431"/>
      <c r="DP88" s="431"/>
      <c r="DQ88" s="1632"/>
      <c r="DR88" s="428"/>
      <c r="DS88" s="431"/>
      <c r="DT88" s="431"/>
      <c r="DU88" s="431"/>
      <c r="DV88" s="431"/>
      <c r="DW88" s="1632"/>
      <c r="DX88" s="428"/>
      <c r="DY88" s="431"/>
      <c r="DZ88" s="431"/>
      <c r="EA88" s="431"/>
      <c r="EB88" s="431"/>
      <c r="EC88" s="1632"/>
      <c r="ED88" s="428"/>
      <c r="EE88" s="431"/>
      <c r="EF88" s="431"/>
      <c r="EG88" s="431"/>
      <c r="EH88" s="431"/>
      <c r="EI88" s="1632"/>
      <c r="EJ88" s="428"/>
      <c r="EK88" s="431"/>
      <c r="EL88" s="431"/>
      <c r="EM88" s="431"/>
      <c r="EN88" s="431"/>
      <c r="EO88" s="1632"/>
      <c r="EP88" s="428"/>
      <c r="EQ88" s="431"/>
      <c r="ER88" s="431"/>
      <c r="ES88" s="431"/>
      <c r="ET88" s="431"/>
      <c r="EU88" s="1632"/>
      <c r="EV88" s="429"/>
    </row>
    <row r="89" spans="1:152" ht="12.75" hidden="1" customHeight="1" outlineLevel="1">
      <c r="A89" s="1411" t="s">
        <v>1801</v>
      </c>
      <c r="B89" s="444"/>
      <c r="C89" s="384"/>
      <c r="D89" s="384"/>
      <c r="E89" s="384"/>
      <c r="F89" s="384"/>
      <c r="G89" s="384"/>
      <c r="H89" s="93"/>
      <c r="I89" s="384"/>
      <c r="J89" s="384"/>
      <c r="K89" s="384"/>
      <c r="L89" s="384"/>
      <c r="M89" s="384"/>
      <c r="N89" s="93"/>
      <c r="O89" s="384"/>
      <c r="P89" s="384"/>
      <c r="Q89" s="384"/>
      <c r="R89" s="384"/>
      <c r="S89" s="384"/>
      <c r="T89" s="93"/>
      <c r="U89" s="384"/>
      <c r="V89" s="384"/>
      <c r="W89" s="384"/>
      <c r="X89" s="384"/>
      <c r="Y89" s="384"/>
      <c r="Z89" s="93"/>
      <c r="AA89" s="384"/>
      <c r="AB89" s="384"/>
      <c r="AC89" s="384"/>
      <c r="AD89" s="384"/>
      <c r="AE89" s="384"/>
      <c r="AF89" s="93"/>
      <c r="AG89" s="384"/>
      <c r="AH89" s="384"/>
      <c r="AI89" s="384"/>
      <c r="AJ89" s="384"/>
      <c r="AK89" s="384"/>
      <c r="AL89" s="93"/>
      <c r="AM89" s="885">
        <f>AM85+CF!AM88-AM71</f>
        <v>35.367000000000019</v>
      </c>
      <c r="AN89" s="885">
        <f>AN85+CF!AN88-AN71</f>
        <v>26.210000000000015</v>
      </c>
      <c r="AO89" s="885">
        <f>AO85+CF!AO88-AO71</f>
        <v>17.419999999999973</v>
      </c>
      <c r="AP89" s="885">
        <f>AP85+CF!AP88-AP71</f>
        <v>20.696000000000012</v>
      </c>
      <c r="AQ89" s="1101">
        <f>AQ85+CF!AQ88-AQ71</f>
        <v>99.69300000000004</v>
      </c>
      <c r="AR89" s="93"/>
      <c r="AS89" s="885">
        <f>AS85+CF!AS88-AS71</f>
        <v>18.914000000000001</v>
      </c>
      <c r="AT89" s="885">
        <f>AT85+CF!AT88-AT71</f>
        <v>25.762999999999977</v>
      </c>
      <c r="AU89" s="885">
        <f>AU85+CF!AU88-AU71</f>
        <v>39.777000000000001</v>
      </c>
      <c r="AV89" s="885">
        <f>AV85+CF!AV88-AV71</f>
        <v>75.258000000000067</v>
      </c>
      <c r="AW89" s="1101">
        <f>AW85+CF!AW88-AW71</f>
        <v>159.71200000000007</v>
      </c>
      <c r="AX89" s="93"/>
      <c r="AY89" s="885">
        <f>AY85+CF!AY88-AY71</f>
        <v>75.400000000000034</v>
      </c>
      <c r="AZ89" s="885">
        <f>AZ85+CF!AZ88-AZ71</f>
        <v>67.2</v>
      </c>
      <c r="BA89" s="885">
        <f>BA85+CF!BA88-BA71</f>
        <v>71.399999999999991</v>
      </c>
      <c r="BB89" s="885">
        <f>BB85+CF!BB88-BB71</f>
        <v>104.59999999999997</v>
      </c>
      <c r="BC89" s="1101">
        <f>BC85+CF!BC88-BC71</f>
        <v>318.60000000000014</v>
      </c>
      <c r="BD89" s="93"/>
      <c r="BE89" s="885">
        <f>BE85+CF!BE88-BE71</f>
        <v>107.19999999999996</v>
      </c>
      <c r="BF89" s="885">
        <f>BF85+CF!BF88-BF71</f>
        <v>104.39999999999996</v>
      </c>
      <c r="BG89" s="885">
        <f>BG85+CF!BG88-BG71</f>
        <v>105.80000000000001</v>
      </c>
      <c r="BH89" s="885">
        <f>BH85+CF!BH88-BH71</f>
        <v>118.00000000000001</v>
      </c>
      <c r="BI89" s="1101">
        <f>BI85+CF!BI88-BI71</f>
        <v>435.4</v>
      </c>
      <c r="BJ89" s="93"/>
      <c r="BK89" s="885">
        <f>BK85+CF!BK88-BK71</f>
        <v>109.672</v>
      </c>
      <c r="BL89" s="885">
        <f>BL85+CF!BL88-BL71</f>
        <v>124.50000000000003</v>
      </c>
      <c r="BM89" s="885">
        <f>BM85+CF!BM88-BM71</f>
        <v>115.99999999999999</v>
      </c>
      <c r="BN89" s="885">
        <f>BN85+CF!BN88-BN71</f>
        <v>151.70000000000002</v>
      </c>
      <c r="BO89" s="1101">
        <f>BO85+CF!BO88-BO71</f>
        <v>501.87199999999996</v>
      </c>
      <c r="BP89" s="93"/>
      <c r="BQ89" s="885">
        <f>BQ85+CF!BQ88-BQ71</f>
        <v>142.40000000000003</v>
      </c>
      <c r="BR89" s="885">
        <f>BR85+CF!BR88-BR71</f>
        <v>151.00000000000006</v>
      </c>
      <c r="BS89" s="885">
        <f>BS85+CF!BS88-BS71</f>
        <v>160.89999999999995</v>
      </c>
      <c r="BT89" s="885">
        <f>BT85+CF!BT88-BT71</f>
        <v>171.20000000000002</v>
      </c>
      <c r="BU89" s="1101">
        <f>BU85+CF!BU88-BU71</f>
        <v>625.49999999999989</v>
      </c>
      <c r="BV89" s="93"/>
      <c r="BW89" s="885">
        <f>BW85+CF!BW88-BW71</f>
        <v>161.99999999999991</v>
      </c>
      <c r="BX89" s="885">
        <f>BX85+CF!BX88-BX71</f>
        <v>164.2</v>
      </c>
      <c r="BY89" s="885">
        <f>BY85+CF!BY88-BY71</f>
        <v>187.50000000000009</v>
      </c>
      <c r="BZ89" s="885">
        <f>BZ85+CF!BZ88-BZ71</f>
        <v>81.299999999999983</v>
      </c>
      <c r="CA89" s="1101">
        <f>CA85+CF!CA88-CA71</f>
        <v>595</v>
      </c>
      <c r="CB89" s="93"/>
      <c r="CC89" s="885">
        <f>CC85+CF!CC88-CC71</f>
        <v>68.100000000000009</v>
      </c>
      <c r="CD89" s="885">
        <f>CD85+CF!CD88-CD71</f>
        <v>78.799999999999955</v>
      </c>
      <c r="CE89" s="885">
        <f>CE85+CF!CE88-CE71</f>
        <v>90.399999999999977</v>
      </c>
      <c r="CF89" s="885">
        <f>CF85+CF!CF88-CF71</f>
        <v>102.49999999999994</v>
      </c>
      <c r="CG89" s="1101">
        <f>CG85+CF!CG88-CG71</f>
        <v>339.79999999999984</v>
      </c>
      <c r="CH89" s="93"/>
      <c r="CI89" s="885">
        <f>CI85+CF!CI88-CI71</f>
        <v>108.90000000000002</v>
      </c>
      <c r="CJ89" s="885">
        <f>CJ85+CF!CJ88-CJ71</f>
        <v>128.99999999999997</v>
      </c>
      <c r="CK89" s="885">
        <f>CK85+CF!CK88-CK71</f>
        <v>112.79999999999995</v>
      </c>
      <c r="CL89" s="885">
        <f>CL85+CF!CL88-CL71</f>
        <v>117.60000000000004</v>
      </c>
      <c r="CM89" s="1101">
        <f>CM85+CF!CM88-CM71</f>
        <v>468.29999999999995</v>
      </c>
      <c r="CN89" s="93"/>
      <c r="CO89" s="885">
        <f>CO85+CF!CO88-CO71</f>
        <v>128.99999999999997</v>
      </c>
      <c r="CP89" s="885">
        <f>CP85+CF!CP88-CP71</f>
        <v>150.69999999999999</v>
      </c>
      <c r="CQ89" s="885">
        <f>CQ85+CF!CQ88-CQ71</f>
        <v>146.7999999999999</v>
      </c>
      <c r="CR89" s="885">
        <f>CR85+CF!CR88-CR71</f>
        <v>152.1</v>
      </c>
      <c r="CS89" s="1101">
        <f>CS85+CF!CS88-CS71</f>
        <v>578.60000000000014</v>
      </c>
      <c r="CT89" s="93"/>
      <c r="CU89" s="885">
        <f>CU85+CF!CU88-CU71</f>
        <v>156.6</v>
      </c>
      <c r="CV89" s="885">
        <f>CV85+CF!CV88-CV71</f>
        <v>155.6</v>
      </c>
      <c r="CW89" s="885">
        <f>CW85+CF!CW88-CW71</f>
        <v>156.30000000000001</v>
      </c>
      <c r="CX89" s="885">
        <f>CX85+CF!CX88-CX71</f>
        <v>164.09999999999991</v>
      </c>
      <c r="CY89" s="1101">
        <f>CY85+CF!CY88-CY71</f>
        <v>632.59999999999991</v>
      </c>
      <c r="CZ89" s="93"/>
      <c r="DA89" s="885">
        <f>DA85+CF!DA88-DA71</f>
        <v>148.39999999999992</v>
      </c>
      <c r="DB89" s="885">
        <f>DB85+CF!DB88-DB71</f>
        <v>148.30000000000007</v>
      </c>
      <c r="DC89" s="885">
        <f>DC85+CF!DC88-DC71</f>
        <v>134.70000000000005</v>
      </c>
      <c r="DD89" s="885">
        <f>DD85+CF!DD88-DD71</f>
        <v>127.29999999999981</v>
      </c>
      <c r="DE89" s="1101">
        <f>DE85+CF!DE88-DE71</f>
        <v>558.69999999999993</v>
      </c>
      <c r="DF89" s="93"/>
      <c r="DG89" s="885">
        <f>DG85+CF!DG88-DG71</f>
        <v>114.19999999999999</v>
      </c>
      <c r="DH89" s="885">
        <f>DH85+CF!DH88-DH71</f>
        <v>127.6999999999999</v>
      </c>
      <c r="DI89" s="885">
        <f>DI85+CF!DI88-DI71</f>
        <v>94.300000000000011</v>
      </c>
      <c r="DJ89" s="885">
        <f>DJ85+CF!DJ88-DJ71</f>
        <v>99.1</v>
      </c>
      <c r="DK89" s="1101">
        <f>DK85+CF!DK88-DK71</f>
        <v>435.29999999999984</v>
      </c>
      <c r="DL89" s="93"/>
      <c r="DM89" s="885">
        <f>DM85+CF!DM88-DM71</f>
        <v>109.50000000000003</v>
      </c>
      <c r="DN89" s="885">
        <f>DN85+CF!DN88-DN71</f>
        <v>81.200000000000045</v>
      </c>
      <c r="DO89" s="885">
        <f>DO85+CF!DO88-DO71</f>
        <v>71.099999999999909</v>
      </c>
      <c r="DP89" s="885">
        <f>DP85+CF!DP88-DP71</f>
        <v>82.499999999999972</v>
      </c>
      <c r="DQ89" s="1101">
        <f>DQ85+CF!DQ88-DQ71</f>
        <v>344.29999999999984</v>
      </c>
      <c r="DR89" s="93"/>
      <c r="DS89" s="885">
        <f>DS85+CF!DS88-DS71</f>
        <v>-8.4000000000000021</v>
      </c>
      <c r="DT89" s="885">
        <f>DT85+CF!DT88-DT71</f>
        <v>40.400000000000041</v>
      </c>
      <c r="DU89" s="885">
        <f>DU85+CF!DU88-DU71</f>
        <v>-25.999999999999982</v>
      </c>
      <c r="DV89" s="885">
        <f>DV85+CF!DV88-DV71</f>
        <v>-64.100000000000009</v>
      </c>
      <c r="DW89" s="1101">
        <f>DW85+CF!DW88-DW71</f>
        <v>-58.100000000000009</v>
      </c>
      <c r="DX89" s="93"/>
      <c r="DY89" s="885">
        <f>DY85+CF!DY88-DY71</f>
        <v>-21.499999999999943</v>
      </c>
      <c r="DZ89" s="885">
        <f>DZ85+CF!DZ88-DZ71</f>
        <v>-9.30000000000007</v>
      </c>
      <c r="EA89" s="885">
        <f>EA85+CF!EA88-EA71</f>
        <v>-10.200000000000042</v>
      </c>
      <c r="EB89" s="885">
        <f>EB85+CF!EB88-EB71</f>
        <v>0.79999999999994742</v>
      </c>
      <c r="EC89" s="1101">
        <f>EC85+CF!EC88-EC71</f>
        <v>-40.20000000000045</v>
      </c>
      <c r="ED89" s="93"/>
      <c r="EE89" s="885">
        <f>EE85+CF!EE88-EE71</f>
        <v>38.591320051086122</v>
      </c>
      <c r="EF89" s="885">
        <f>EF85+CF!EF88-EF71</f>
        <v>74.287031371361309</v>
      </c>
      <c r="EG89" s="885">
        <f>EG85+CF!EG88-EG71</f>
        <v>109.94495641490711</v>
      </c>
      <c r="EH89" s="885">
        <f>EH85+CF!EH88-EH71</f>
        <v>139.36883038294576</v>
      </c>
      <c r="EI89" s="1101">
        <f>EI85+CF!EI88-EI71</f>
        <v>362.19213822030048</v>
      </c>
      <c r="EJ89" s="93"/>
      <c r="EK89" s="885">
        <f>EK85+CF!EK88-EK71</f>
        <v>168.4546104638145</v>
      </c>
      <c r="EL89" s="885">
        <f>EL85+CF!EL88-EL71</f>
        <v>215.19764983540156</v>
      </c>
      <c r="EM89" s="885">
        <f>EM85+CF!EM88-EM71</f>
        <v>249.71326360805068</v>
      </c>
      <c r="EN89" s="885">
        <f>EN85+CF!EN88-EN71</f>
        <v>307.3300699315339</v>
      </c>
      <c r="EO89" s="1101">
        <f>EO85+CF!EO88-EO71</f>
        <v>940.69559383880051</v>
      </c>
      <c r="EP89" s="93"/>
      <c r="EQ89" s="885">
        <f>EQ85+CF!EQ88-EQ71</f>
        <v>207.75100521142701</v>
      </c>
      <c r="ER89" s="885">
        <f>ER85+CF!ER88-ER71</f>
        <v>303.99963296697291</v>
      </c>
      <c r="ES89" s="885">
        <f>ES85+CF!ES88-ES71</f>
        <v>387.10651817058965</v>
      </c>
      <c r="ET89" s="885">
        <f>ET85+CF!ET88-ET71</f>
        <v>512.96438517413071</v>
      </c>
      <c r="EU89" s="1101">
        <f>EU85+CF!EU88-EU71</f>
        <v>1411.8215415231202</v>
      </c>
      <c r="EV89" s="429"/>
    </row>
    <row r="90" spans="1:152" ht="12.75" hidden="1" customHeight="1" outlineLevel="1">
      <c r="A90" s="357" t="s">
        <v>1802</v>
      </c>
      <c r="B90" s="444"/>
      <c r="C90" s="384"/>
      <c r="D90" s="384"/>
      <c r="E90" s="384"/>
      <c r="F90" s="384"/>
      <c r="G90" s="384"/>
      <c r="H90" s="93"/>
      <c r="I90" s="384"/>
      <c r="J90" s="384"/>
      <c r="K90" s="384"/>
      <c r="L90" s="384"/>
      <c r="M90" s="384"/>
      <c r="N90" s="93"/>
      <c r="O90" s="384"/>
      <c r="P90" s="384"/>
      <c r="Q90" s="384"/>
      <c r="R90" s="384"/>
      <c r="S90" s="384"/>
      <c r="T90" s="93"/>
      <c r="U90" s="384"/>
      <c r="V90" s="384"/>
      <c r="W90" s="384"/>
      <c r="X90" s="384"/>
      <c r="Y90" s="384"/>
      <c r="Z90" s="93"/>
      <c r="AA90" s="384"/>
      <c r="AB90" s="384"/>
      <c r="AC90" s="384"/>
      <c r="AD90" s="384"/>
      <c r="AE90" s="384"/>
      <c r="AF90" s="93"/>
      <c r="AG90" s="384"/>
      <c r="AH90" s="384"/>
      <c r="AI90" s="384"/>
      <c r="AJ90" s="384"/>
      <c r="AK90" s="384"/>
      <c r="AL90" s="93"/>
      <c r="AM90" s="1412">
        <f>AM89/AM31</f>
        <v>0.1542208287728877</v>
      </c>
      <c r="AN90" s="1412">
        <f>AN89/AN31</f>
        <v>0.12398238418928961</v>
      </c>
      <c r="AO90" s="1412">
        <f>AO89/AO31</f>
        <v>9.2315356039448515E-2</v>
      </c>
      <c r="AP90" s="1412">
        <f>AP89/AP31</f>
        <v>0.10585322940322024</v>
      </c>
      <c r="AQ90" s="1413">
        <f>AQ89/AQ31</f>
        <v>0.12084805653710254</v>
      </c>
      <c r="AR90" s="93"/>
      <c r="AS90" s="1412">
        <f>AS89/AS31</f>
        <v>8.9739331770778974E-2</v>
      </c>
      <c r="AT90" s="1412">
        <f>AT89/AT31</f>
        <v>0.12169292175432786</v>
      </c>
      <c r="AU90" s="1412">
        <f>AU89/AU31</f>
        <v>0.17008748749262387</v>
      </c>
      <c r="AV90" s="1412">
        <f>AV89/AV31</f>
        <v>0.25484406217195504</v>
      </c>
      <c r="AW90" s="1413">
        <f>AW89/AW31</f>
        <v>0.16782764124782096</v>
      </c>
      <c r="AX90" s="93"/>
      <c r="AY90" s="1412">
        <f>AY89/AY31</f>
        <v>0.25208960213975268</v>
      </c>
      <c r="AZ90" s="1412">
        <f>AZ89/AZ31</f>
        <v>0.23931623931623933</v>
      </c>
      <c r="BA90" s="1412">
        <f>BA89/BA31</f>
        <v>0.23689449236894486</v>
      </c>
      <c r="BB90" s="1412">
        <f>BB89/BB31</f>
        <v>0.29250559284116323</v>
      </c>
      <c r="BC90" s="1413">
        <f>BC89/BC31</f>
        <v>0.25716361288239575</v>
      </c>
      <c r="BD90" s="93"/>
      <c r="BE90" s="1412">
        <f>BE89/BE31</f>
        <v>0.29852408799777214</v>
      </c>
      <c r="BF90" s="1412">
        <f>BF89/BF31</f>
        <v>0.27707006369426745</v>
      </c>
      <c r="BG90" s="1412">
        <f>BG89/BG31</f>
        <v>0.27732634338138928</v>
      </c>
      <c r="BH90" s="1412">
        <f>BH89/BH31</f>
        <v>0.28108623153882806</v>
      </c>
      <c r="BI90" s="1413">
        <f>BI89/BI31</f>
        <v>0.28324225865209474</v>
      </c>
      <c r="BJ90" s="93"/>
      <c r="BK90" s="1412">
        <f>BK89/BK31</f>
        <v>0.25154128440366974</v>
      </c>
      <c r="BL90" s="1412">
        <f>BL89/BL31</f>
        <v>0.27691281138790041</v>
      </c>
      <c r="BM90" s="1412">
        <f>BM89/BM31</f>
        <v>0.25394045534150611</v>
      </c>
      <c r="BN90" s="1412">
        <f>BN89/BN31</f>
        <v>0.30498592681946124</v>
      </c>
      <c r="BO90" s="1413">
        <f>BO89/BO31</f>
        <v>0.27278617241004455</v>
      </c>
      <c r="BP90" s="93"/>
      <c r="BQ90" s="1412">
        <f>BQ89/BQ31</f>
        <v>0.27998427054659858</v>
      </c>
      <c r="BR90" s="1412">
        <f>BR89/BR31</f>
        <v>0.28712683019585478</v>
      </c>
      <c r="BS90" s="1412">
        <f>BS89/BS31</f>
        <v>0.29884843982169385</v>
      </c>
      <c r="BT90" s="1412">
        <f>BT89/BT31</f>
        <v>0.28576197629778</v>
      </c>
      <c r="BU90" s="1413">
        <f>BU89/BU31</f>
        <v>0.28798342541436461</v>
      </c>
      <c r="BV90" s="93"/>
      <c r="BW90" s="1412">
        <f>BW89/BW31</f>
        <v>0.27054108216432854</v>
      </c>
      <c r="BX90" s="1412">
        <f>BX89/BX31</f>
        <v>0.26505246166263113</v>
      </c>
      <c r="BY90" s="1412">
        <f>BY89/BY31</f>
        <v>0.30884533025860661</v>
      </c>
      <c r="BZ90" s="1412">
        <f>BZ89/BZ31</f>
        <v>0.16598611678236011</v>
      </c>
      <c r="CA90" s="1413">
        <f>CA89/CA31</f>
        <v>0.25699723565998617</v>
      </c>
      <c r="CB90" s="93"/>
      <c r="CC90" s="1412">
        <f>CC89/CC31</f>
        <v>0.15993424142790047</v>
      </c>
      <c r="CD90" s="1412">
        <f>CD89/CD31</f>
        <v>0.18992528320077118</v>
      </c>
      <c r="CE90" s="1412">
        <f>CE89/CE31</f>
        <v>0.21683857040057564</v>
      </c>
      <c r="CF90" s="1412">
        <f>CF89/CF31</f>
        <v>0.22473141854856377</v>
      </c>
      <c r="CG90" s="1413">
        <f>CG89/CG31</f>
        <v>0.19828441384139575</v>
      </c>
      <c r="CH90" s="93"/>
      <c r="CI90" s="1412">
        <f>CI89/CI31</f>
        <v>0.22945638432364099</v>
      </c>
      <c r="CJ90" s="1412">
        <f>CJ89/CJ31</f>
        <v>0.27284263959390859</v>
      </c>
      <c r="CK90" s="1412">
        <f>CK89/CK31</f>
        <v>0.2366268093140339</v>
      </c>
      <c r="CL90" s="1412">
        <f>CL89/CL31</f>
        <v>0.22285389425810123</v>
      </c>
      <c r="CM90" s="1413">
        <f>CM89/CM31</f>
        <v>0.23993237011988933</v>
      </c>
      <c r="CN90" s="93"/>
      <c r="CO90" s="1412">
        <f>CO89/CO31</f>
        <v>0.24417944349801246</v>
      </c>
      <c r="CP90" s="1412">
        <f>CP89/CP31</f>
        <v>0.27585575691012265</v>
      </c>
      <c r="CQ90" s="1412">
        <f>CQ89/CQ31</f>
        <v>0.26759022967553758</v>
      </c>
      <c r="CR90" s="1412">
        <f>CR89/CR31</f>
        <v>0.25675219446320052</v>
      </c>
      <c r="CS90" s="1413">
        <f>CS89/CS31</f>
        <v>0.26114822170066804</v>
      </c>
      <c r="CT90" s="93"/>
      <c r="CU90" s="1412">
        <f>CU89/CU31</f>
        <v>0.26605504587155959</v>
      </c>
      <c r="CV90" s="1412">
        <f>CV89/CV31</f>
        <v>0.27346221441124779</v>
      </c>
      <c r="CW90" s="1412">
        <f>CW89/CW31</f>
        <v>0.28521897810218982</v>
      </c>
      <c r="CX90" s="1412">
        <f>CX89/CX31</f>
        <v>0.27034596375617775</v>
      </c>
      <c r="CY90" s="1413">
        <f>CY89/CY31</f>
        <v>0.27354492778690648</v>
      </c>
      <c r="CZ90" s="93"/>
      <c r="DA90" s="1412">
        <f>DA89/DA31</f>
        <v>0.26016830294530141</v>
      </c>
      <c r="DB90" s="1412">
        <f>DB89/DB31</f>
        <v>0.26401993946946778</v>
      </c>
      <c r="DC90" s="1412">
        <f>DC89/DC31</f>
        <v>0.24261527377521619</v>
      </c>
      <c r="DD90" s="1412">
        <f>DD89/DD31</f>
        <v>0.21701329696556398</v>
      </c>
      <c r="DE90" s="1413">
        <f>DE89/DE31</f>
        <v>0.24570121817142354</v>
      </c>
      <c r="DF90" s="93"/>
      <c r="DG90" s="1412">
        <f>DG89/DG31</f>
        <v>0.19274261603375525</v>
      </c>
      <c r="DH90" s="1412">
        <f>DH89/DH31</f>
        <v>0.20043949144561282</v>
      </c>
      <c r="DI90" s="1412">
        <f>DI89/DI31</f>
        <v>0.15258899676375406</v>
      </c>
      <c r="DJ90" s="1412">
        <f>DJ89/DJ31</f>
        <v>0.14911224796870295</v>
      </c>
      <c r="DK90" s="1413">
        <f>DK89/DK31</f>
        <v>0.17327442082636726</v>
      </c>
      <c r="DL90" s="93"/>
      <c r="DM90" s="1412">
        <f>DM89/DM31</f>
        <v>0.16937354988399075</v>
      </c>
      <c r="DN90" s="1412">
        <f>DN89/DN31</f>
        <v>0.13322395406070556</v>
      </c>
      <c r="DO90" s="1412">
        <f>DO89/DO31</f>
        <v>0.11853951317105688</v>
      </c>
      <c r="DP90" s="1412">
        <f>DP89/DP31</f>
        <v>0.12725590004627485</v>
      </c>
      <c r="DQ90" s="1413">
        <f>DQ89/DQ31</f>
        <v>0.13749450900523136</v>
      </c>
      <c r="DR90" s="93"/>
      <c r="DS90" s="1412">
        <f>DS89/DS31</f>
        <v>-1.6409454971674162E-2</v>
      </c>
      <c r="DT90" s="1412">
        <f>DT89/DT31</f>
        <v>7.3361176684220153E-2</v>
      </c>
      <c r="DU90" s="1412">
        <f>DU89/DU31</f>
        <v>-5.3104575163398657E-2</v>
      </c>
      <c r="DV90" s="1412">
        <f>DV89/DV31</f>
        <v>-0.13387635756056809</v>
      </c>
      <c r="DW90" s="1413">
        <f>DW89/DW31</f>
        <v>-2.8606597735105866E-2</v>
      </c>
      <c r="DX90" s="93"/>
      <c r="DY90" s="1412">
        <f>DY89/DY31</f>
        <v>-4.4266007823759404E-2</v>
      </c>
      <c r="DZ90" s="1412">
        <f>DZ89/DZ31</f>
        <v>-1.8533280191311421E-2</v>
      </c>
      <c r="EA90" s="1412">
        <f>EA89/EA31</f>
        <v>-1.9794294585678329E-2</v>
      </c>
      <c r="EB90" s="1412">
        <f>EB89/EB31</f>
        <v>1.4445648248464201E-3</v>
      </c>
      <c r="EC90" s="1413">
        <f>EC89/EC31</f>
        <v>-1.9546824856559591E-2</v>
      </c>
      <c r="ED90" s="93"/>
      <c r="EE90" s="1412">
        <f>EE89/EE31</f>
        <v>6.9331097550474965E-2</v>
      </c>
      <c r="EF90" s="1412">
        <f>EF89/EF31</f>
        <v>0.12494461346387321</v>
      </c>
      <c r="EG90" s="1412">
        <f>EG89/EG31</f>
        <v>0.17294716811992419</v>
      </c>
      <c r="EH90" s="1412">
        <f>EH89/EH31</f>
        <v>0.19555506598002223</v>
      </c>
      <c r="EI90" s="1413">
        <f>EI89/EI31</f>
        <v>0.14490116136417841</v>
      </c>
      <c r="EJ90" s="93"/>
      <c r="EK90" s="1412">
        <f>EK89/EK31</f>
        <v>0.24391655914054405</v>
      </c>
      <c r="EL90" s="1412">
        <f>EL89/EL31</f>
        <v>0.29365582032772175</v>
      </c>
      <c r="EM90" s="1412">
        <f>EM89/EM31</f>
        <v>0.31727039736357426</v>
      </c>
      <c r="EN90" s="1412">
        <f>EN89/EN31</f>
        <v>0.34332687849281751</v>
      </c>
      <c r="EO90" s="1413">
        <f>EO89/EO31</f>
        <v>0.30289645636992352</v>
      </c>
      <c r="EP90" s="93"/>
      <c r="EQ90" s="1412">
        <f>EQ89/EQ31</f>
        <v>0.270472438649075</v>
      </c>
      <c r="ER90" s="1412">
        <f>ER89/ER31</f>
        <v>0.3510622949949791</v>
      </c>
      <c r="ES90" s="1412">
        <f>ES89/ES31</f>
        <v>0.40020131809669218</v>
      </c>
      <c r="ET90" s="1412">
        <f>ET89/ET31</f>
        <v>0.45172341775633484</v>
      </c>
      <c r="EU90" s="1413">
        <f>EU89/EU31</f>
        <v>0.37780578921149638</v>
      </c>
      <c r="EV90" s="429"/>
    </row>
    <row r="91" spans="1:152" ht="4.5" customHeight="1" collapsed="1">
      <c r="A91" s="427"/>
      <c r="B91" s="444"/>
      <c r="C91" s="223"/>
      <c r="D91" s="223"/>
      <c r="E91" s="223"/>
      <c r="F91" s="223"/>
      <c r="G91" s="223"/>
      <c r="H91" s="428"/>
      <c r="I91" s="223"/>
      <c r="J91" s="223"/>
      <c r="K91" s="223"/>
      <c r="L91" s="223"/>
      <c r="M91" s="223"/>
      <c r="N91" s="428"/>
      <c r="O91" s="223"/>
      <c r="P91" s="223"/>
      <c r="Q91" s="223"/>
      <c r="R91" s="223"/>
      <c r="S91" s="223"/>
      <c r="T91" s="428"/>
      <c r="U91" s="223"/>
      <c r="V91" s="223"/>
      <c r="W91" s="223"/>
      <c r="X91" s="223"/>
      <c r="Y91" s="223"/>
      <c r="Z91" s="428"/>
      <c r="AA91" s="223"/>
      <c r="AB91" s="223"/>
      <c r="AC91" s="223"/>
      <c r="AD91" s="223"/>
      <c r="AE91" s="223"/>
      <c r="AF91" s="428"/>
      <c r="AG91" s="223"/>
      <c r="AH91" s="223"/>
      <c r="AI91" s="223"/>
      <c r="AJ91" s="223"/>
      <c r="AK91" s="223"/>
      <c r="AL91" s="428"/>
      <c r="AM91" s="223"/>
      <c r="AN91" s="223"/>
      <c r="AO91" s="223"/>
      <c r="AP91" s="223"/>
      <c r="AQ91" s="223"/>
      <c r="AR91" s="428"/>
      <c r="AS91" s="223"/>
      <c r="AT91" s="223"/>
      <c r="AU91" s="223"/>
      <c r="AV91" s="223"/>
      <c r="AW91" s="223"/>
      <c r="AX91" s="428"/>
      <c r="AY91" s="431"/>
      <c r="AZ91" s="431"/>
      <c r="BA91" s="431"/>
      <c r="BB91" s="431"/>
      <c r="BC91" s="428"/>
      <c r="BD91" s="428"/>
      <c r="BE91" s="431"/>
      <c r="BF91" s="431"/>
      <c r="BG91" s="431"/>
      <c r="BH91" s="431"/>
      <c r="BI91" s="428"/>
      <c r="BJ91" s="428"/>
      <c r="BK91" s="431"/>
      <c r="BL91" s="431"/>
      <c r="BM91" s="431"/>
      <c r="BN91" s="431"/>
      <c r="BO91" s="1192"/>
      <c r="BP91" s="428"/>
      <c r="BQ91" s="431"/>
      <c r="BR91" s="431"/>
      <c r="BS91" s="431"/>
      <c r="BT91" s="431"/>
      <c r="BU91" s="1192"/>
      <c r="BV91" s="428"/>
      <c r="BW91" s="431"/>
      <c r="BX91" s="431"/>
      <c r="BY91" s="431"/>
      <c r="BZ91" s="431"/>
      <c r="CA91" s="1192"/>
      <c r="CB91" s="428"/>
      <c r="CC91" s="431"/>
      <c r="CD91" s="431"/>
      <c r="CE91" s="431"/>
      <c r="CF91" s="431"/>
      <c r="CG91" s="1192"/>
      <c r="CH91" s="428"/>
      <c r="CI91" s="431"/>
      <c r="CJ91" s="431"/>
      <c r="CK91" s="431"/>
      <c r="CL91" s="431"/>
      <c r="CM91" s="1192"/>
      <c r="CN91" s="428"/>
      <c r="CO91" s="431"/>
      <c r="CP91" s="431"/>
      <c r="CQ91" s="431"/>
      <c r="CR91" s="431"/>
      <c r="CS91" s="1192"/>
      <c r="CT91" s="428"/>
      <c r="CU91" s="431"/>
      <c r="CV91" s="431"/>
      <c r="CW91" s="431"/>
      <c r="CX91" s="431"/>
      <c r="CY91" s="1192"/>
      <c r="CZ91" s="428"/>
      <c r="DA91" s="431"/>
      <c r="DB91" s="431"/>
      <c r="DC91" s="431"/>
      <c r="DD91" s="431"/>
      <c r="DE91" s="1192"/>
      <c r="DF91" s="428"/>
      <c r="DG91" s="431"/>
      <c r="DH91" s="431"/>
      <c r="DI91" s="431"/>
      <c r="DJ91" s="431"/>
      <c r="DK91" s="1192"/>
      <c r="DL91" s="428"/>
      <c r="DM91" s="431"/>
      <c r="DN91" s="431"/>
      <c r="DO91" s="431"/>
      <c r="DP91" s="431"/>
      <c r="DQ91" s="1192"/>
      <c r="DR91" s="428"/>
      <c r="DS91" s="431"/>
      <c r="DT91" s="431"/>
      <c r="DU91" s="431"/>
      <c r="DV91" s="431"/>
      <c r="DW91" s="1192"/>
      <c r="DX91" s="428"/>
      <c r="DY91" s="431"/>
      <c r="DZ91" s="431"/>
      <c r="EA91" s="431"/>
      <c r="EB91" s="431"/>
      <c r="EC91" s="1192"/>
      <c r="ED91" s="428"/>
      <c r="EE91" s="431"/>
      <c r="EF91" s="431"/>
      <c r="EG91" s="431"/>
      <c r="EH91" s="431"/>
      <c r="EI91" s="1192"/>
      <c r="EJ91" s="428"/>
      <c r="EK91" s="431"/>
      <c r="EL91" s="431"/>
      <c r="EM91" s="431"/>
      <c r="EN91" s="431"/>
      <c r="EO91" s="1192"/>
      <c r="EP91" s="428"/>
      <c r="EQ91" s="431"/>
      <c r="ER91" s="431"/>
      <c r="ES91" s="431"/>
      <c r="ET91" s="431"/>
      <c r="EU91" s="1192"/>
      <c r="EV91" s="429"/>
    </row>
    <row r="92" spans="1:152" ht="4.5" hidden="1" customHeight="1" outlineLevel="1">
      <c r="A92" s="427"/>
      <c r="B92" s="444"/>
      <c r="C92" s="223"/>
      <c r="D92" s="223"/>
      <c r="E92" s="223"/>
      <c r="F92" s="223"/>
      <c r="G92" s="223"/>
      <c r="H92" s="428"/>
      <c r="I92" s="223"/>
      <c r="J92" s="223"/>
      <c r="K92" s="223"/>
      <c r="L92" s="223"/>
      <c r="M92" s="223"/>
      <c r="N92" s="428"/>
      <c r="O92" s="223"/>
      <c r="P92" s="223"/>
      <c r="Q92" s="223"/>
      <c r="R92" s="223"/>
      <c r="S92" s="223"/>
      <c r="T92" s="428"/>
      <c r="U92" s="223"/>
      <c r="V92" s="223"/>
      <c r="W92" s="223"/>
      <c r="X92" s="223"/>
      <c r="Y92" s="223"/>
      <c r="Z92" s="428"/>
      <c r="AA92" s="223"/>
      <c r="AB92" s="223"/>
      <c r="AC92" s="223"/>
      <c r="AD92" s="223"/>
      <c r="AE92" s="223"/>
      <c r="AF92" s="428"/>
      <c r="AG92" s="223"/>
      <c r="AH92" s="223"/>
      <c r="AI92" s="223"/>
      <c r="AJ92" s="223"/>
      <c r="AK92" s="223"/>
      <c r="AL92" s="428"/>
      <c r="AM92" s="223"/>
      <c r="AN92" s="223"/>
      <c r="AO92" s="223"/>
      <c r="AP92" s="223"/>
      <c r="AQ92" s="223"/>
      <c r="AR92" s="428"/>
      <c r="AS92" s="223"/>
      <c r="AT92" s="223"/>
      <c r="AU92" s="223"/>
      <c r="AV92" s="223"/>
      <c r="AW92" s="223"/>
      <c r="AX92" s="428"/>
      <c r="AY92" s="431"/>
      <c r="AZ92" s="431"/>
      <c r="BA92" s="431"/>
      <c r="BB92" s="431"/>
      <c r="BC92" s="428"/>
      <c r="BD92" s="428"/>
      <c r="BE92" s="431"/>
      <c r="BF92" s="431"/>
      <c r="BG92" s="431"/>
      <c r="BH92" s="431"/>
      <c r="BI92" s="428"/>
      <c r="BJ92" s="428"/>
      <c r="BK92" s="431"/>
      <c r="BL92" s="431"/>
      <c r="BM92" s="431"/>
      <c r="BN92" s="431"/>
      <c r="BO92" s="1192"/>
      <c r="BP92" s="428"/>
      <c r="BQ92" s="431"/>
      <c r="BR92" s="431"/>
      <c r="BS92" s="431"/>
      <c r="BT92" s="431"/>
      <c r="BU92" s="1192"/>
      <c r="BV92" s="428"/>
      <c r="BW92" s="431"/>
      <c r="BX92" s="431"/>
      <c r="BY92" s="431"/>
      <c r="BZ92" s="431"/>
      <c r="CA92" s="1192"/>
      <c r="CB92" s="428"/>
      <c r="CC92" s="431"/>
      <c r="CD92" s="431"/>
      <c r="CE92" s="431"/>
      <c r="CF92" s="431"/>
      <c r="CG92" s="1192"/>
      <c r="CH92" s="428"/>
      <c r="CI92" s="431"/>
      <c r="CJ92" s="431"/>
      <c r="CK92" s="431"/>
      <c r="CL92" s="431"/>
      <c r="CM92" s="1192"/>
      <c r="CN92" s="428"/>
      <c r="CO92" s="431"/>
      <c r="CP92" s="431"/>
      <c r="CQ92" s="431"/>
      <c r="CR92" s="431"/>
      <c r="CS92" s="1192"/>
      <c r="CT92" s="428"/>
      <c r="CU92" s="431"/>
      <c r="CV92" s="431"/>
      <c r="CW92" s="431"/>
      <c r="CX92" s="431"/>
      <c r="CY92" s="1192"/>
      <c r="CZ92" s="428"/>
      <c r="DA92" s="431"/>
      <c r="DB92" s="431"/>
      <c r="DC92" s="431"/>
      <c r="DD92" s="431"/>
      <c r="DE92" s="1192"/>
      <c r="DF92" s="428"/>
      <c r="DG92" s="431"/>
      <c r="DH92" s="431"/>
      <c r="DI92" s="431"/>
      <c r="DJ92" s="431"/>
      <c r="DK92" s="1192"/>
      <c r="DL92" s="428"/>
      <c r="DM92" s="431"/>
      <c r="DN92" s="431"/>
      <c r="DO92" s="431"/>
      <c r="DP92" s="431"/>
      <c r="DQ92" s="1192"/>
      <c r="DR92" s="428"/>
      <c r="DS92" s="431"/>
      <c r="DT92" s="431"/>
      <c r="DU92" s="431"/>
      <c r="DV92" s="431"/>
      <c r="DW92" s="1192"/>
      <c r="DX92" s="428"/>
      <c r="DY92" s="431"/>
      <c r="DZ92" s="431"/>
      <c r="EA92" s="431"/>
      <c r="EB92" s="431"/>
      <c r="EC92" s="1192"/>
      <c r="ED92" s="428"/>
      <c r="EE92" s="431"/>
      <c r="EF92" s="431"/>
      <c r="EG92" s="431"/>
      <c r="EH92" s="431"/>
      <c r="EI92" s="1192"/>
      <c r="EJ92" s="428"/>
      <c r="EK92" s="431"/>
      <c r="EL92" s="431"/>
      <c r="EM92" s="431"/>
      <c r="EN92" s="431"/>
      <c r="EO92" s="1192"/>
      <c r="EP92" s="428"/>
      <c r="EQ92" s="431"/>
      <c r="ER92" s="431"/>
      <c r="ES92" s="431"/>
      <c r="ET92" s="431"/>
      <c r="EU92" s="1192"/>
      <c r="EV92" s="429"/>
    </row>
    <row r="93" spans="1:152" ht="12" customHeight="1" collapsed="1">
      <c r="A93" s="447" t="s">
        <v>3798</v>
      </c>
      <c r="B93" s="593" t="s">
        <v>6688</v>
      </c>
      <c r="C93" s="223">
        <f>SUM(C94:C97)</f>
        <v>1.4</v>
      </c>
      <c r="D93" s="223">
        <f>SUM(D94:D97)</f>
        <v>1.4</v>
      </c>
      <c r="E93" s="223">
        <f>SUM(E94:E97)</f>
        <v>1.6</v>
      </c>
      <c r="F93" s="223">
        <f>SUM(F94:F97)</f>
        <v>2.2000000000000002</v>
      </c>
      <c r="G93" s="223">
        <f>SUM(G94:G97)</f>
        <v>6.7</v>
      </c>
      <c r="H93" s="223"/>
      <c r="I93" s="223">
        <f>SUM(I94:I97)</f>
        <v>2.4</v>
      </c>
      <c r="J93" s="223">
        <f>SUM(J94:J97)</f>
        <v>2.5</v>
      </c>
      <c r="K93" s="223">
        <f>SUM(K94:K97)</f>
        <v>3</v>
      </c>
      <c r="L93" s="223">
        <f>SUM(L94:L97)</f>
        <v>2.5</v>
      </c>
      <c r="M93" s="223">
        <f>SUM(M94:M97)</f>
        <v>10.4</v>
      </c>
      <c r="N93" s="223"/>
      <c r="O93" s="223">
        <f>SUM(O94:O97)</f>
        <v>2.0219999999999998</v>
      </c>
      <c r="P93" s="223">
        <f>SUM(P94:P97)</f>
        <v>8.0269999999999992</v>
      </c>
      <c r="Q93" s="223">
        <f>SUM(Q94:Q97)</f>
        <v>3.887</v>
      </c>
      <c r="R93" s="223">
        <f>SUM(R94:R97)</f>
        <v>3.198</v>
      </c>
      <c r="S93" s="223">
        <f>SUM(S94:S97)</f>
        <v>17.134</v>
      </c>
      <c r="T93" s="223"/>
      <c r="U93" s="223">
        <f>SUM(U94:U97)</f>
        <v>4.4960000000000004</v>
      </c>
      <c r="V93" s="223">
        <f>SUM(V94:V97)</f>
        <v>5.82</v>
      </c>
      <c r="W93" s="223">
        <f>SUM(W94:W97)</f>
        <v>6.4820000000000002</v>
      </c>
      <c r="X93" s="223">
        <f>SUM(X94:X97)</f>
        <v>6.36</v>
      </c>
      <c r="Y93" s="223">
        <f>SUM(Y94:Y97)</f>
        <v>23.157</v>
      </c>
      <c r="Z93" s="223"/>
      <c r="AA93" s="223">
        <f>SUM(AA94:AA97)</f>
        <v>2.9729999999999999</v>
      </c>
      <c r="AB93" s="223">
        <f>SUM(AB94:AB97)</f>
        <v>4.3010000000000002</v>
      </c>
      <c r="AC93" s="223">
        <f>SUM(AC94:AC97)</f>
        <v>6.3719999999999999</v>
      </c>
      <c r="AD93" s="223">
        <f>SUM(AD94:AD97)</f>
        <v>7.4020000000000001</v>
      </c>
      <c r="AE93" s="223">
        <f>SUM(AE94:AE97)</f>
        <v>21.048000000000002</v>
      </c>
      <c r="AF93" s="223"/>
      <c r="AG93" s="223">
        <f>SUM(AG94:AG97)</f>
        <v>4.9859999999999998</v>
      </c>
      <c r="AH93" s="223">
        <f>SUM(AH94:AH97)</f>
        <v>8.0020000000000007</v>
      </c>
      <c r="AI93" s="223">
        <f>SUM(AI94:AI97)</f>
        <v>4.3250000000000002</v>
      </c>
      <c r="AJ93" s="223">
        <f>SUM(AJ94:AJ97)</f>
        <v>1.7450000000000001</v>
      </c>
      <c r="AK93" s="223">
        <f>SUM(AK94:AK97)</f>
        <v>19.058</v>
      </c>
      <c r="AL93" s="223"/>
      <c r="AM93" s="223">
        <v>2.9780000000000002</v>
      </c>
      <c r="AN93" s="223">
        <v>5.7160000000000002</v>
      </c>
      <c r="AO93" s="223">
        <v>2.4889999999999999</v>
      </c>
      <c r="AP93" s="223">
        <v>2.3210000000000002</v>
      </c>
      <c r="AQ93" s="223">
        <f>SUM(AM93:AP93)</f>
        <v>13.504</v>
      </c>
      <c r="AR93" s="223"/>
      <c r="AS93" s="223">
        <v>3.2719999999999998</v>
      </c>
      <c r="AT93" s="223">
        <v>3.07</v>
      </c>
      <c r="AU93" s="223">
        <v>1.8049999999999999</v>
      </c>
      <c r="AV93" s="223">
        <v>8.8119999999999994</v>
      </c>
      <c r="AW93" s="223">
        <f>SUM(AS93:AV93)</f>
        <v>16.959</v>
      </c>
      <c r="AX93" s="223"/>
      <c r="AY93" s="428">
        <f>SUM(AY94:AY97)</f>
        <v>2.4159999999999999</v>
      </c>
      <c r="AZ93" s="428">
        <f>SUM(AZ94:AZ97)</f>
        <v>2.2000000000000002</v>
      </c>
      <c r="BA93" s="428">
        <f>SUM(BA94:BA97)</f>
        <v>2.8</v>
      </c>
      <c r="BB93" s="428">
        <f>SUM(BB94:BB97)</f>
        <v>4</v>
      </c>
      <c r="BC93" s="428">
        <f>SUM(AY93:BB93)</f>
        <v>11.416</v>
      </c>
      <c r="BD93" s="223"/>
      <c r="BE93" s="428">
        <f>SUM(BE94:BE97)</f>
        <v>3</v>
      </c>
      <c r="BF93" s="428">
        <f>SUM(BF94:BF97)</f>
        <v>2.8</v>
      </c>
      <c r="BG93" s="428">
        <f>SUM(BG94:BG97)</f>
        <v>3.2</v>
      </c>
      <c r="BH93" s="428">
        <f>SUM(BH94:BH97)</f>
        <v>4.2</v>
      </c>
      <c r="BI93" s="428">
        <f>SUM(BI94:BI96)</f>
        <v>13.2</v>
      </c>
      <c r="BJ93" s="223"/>
      <c r="BK93" s="428">
        <f>SUM(BK94:BK97)</f>
        <v>3.5</v>
      </c>
      <c r="BL93" s="428">
        <f>SUM(BL94:BL97)</f>
        <v>2.8</v>
      </c>
      <c r="BM93" s="428">
        <f>SUM(BM94:BM97)</f>
        <v>6</v>
      </c>
      <c r="BN93" s="428">
        <f>SUM(BN94:BN97)</f>
        <v>4.5</v>
      </c>
      <c r="BO93" s="1192">
        <f>SUM(BO94:BO96)</f>
        <v>16.8</v>
      </c>
      <c r="BP93" s="428"/>
      <c r="BQ93" s="428">
        <f>SUM(BQ94:BQ97)</f>
        <v>9.8000000000000007</v>
      </c>
      <c r="BR93" s="428">
        <f>SUM(BR94:BR97)</f>
        <v>3.4</v>
      </c>
      <c r="BS93" s="428">
        <f>SUM(BS94:BS97)</f>
        <v>8.4</v>
      </c>
      <c r="BT93" s="428">
        <f>SUM(BT94:BT97)</f>
        <v>6.8</v>
      </c>
      <c r="BU93" s="1192">
        <f>SUM(BU94:BU96)</f>
        <v>28.400000000000002</v>
      </c>
      <c r="BV93" s="428"/>
      <c r="BW93" s="428">
        <f>SUM(BW94:BW97)</f>
        <v>6.9</v>
      </c>
      <c r="BX93" s="428">
        <f>SUM(BX94:BX97)</f>
        <v>6.3</v>
      </c>
      <c r="BY93" s="428">
        <f>SUM(BY94:BY97)</f>
        <v>-3.4</v>
      </c>
      <c r="BZ93" s="428">
        <f>SUM(BZ94:BZ97)</f>
        <v>-1.8</v>
      </c>
      <c r="CA93" s="1192">
        <f>SUM(CA94:CA96)</f>
        <v>7.9999999999999991</v>
      </c>
      <c r="CB93" s="223"/>
      <c r="CC93" s="428">
        <f>SUM(CC94:CC97)</f>
        <v>0</v>
      </c>
      <c r="CD93" s="428">
        <f>SUM(CD94:CD97)</f>
        <v>10.7</v>
      </c>
      <c r="CE93" s="428">
        <f>SUM(CE94:CE97)</f>
        <v>5.7</v>
      </c>
      <c r="CF93" s="428">
        <f>SUM(CF94:CF97)</f>
        <v>2.6</v>
      </c>
      <c r="CG93" s="1192">
        <f>SUM(CG94:CG96)</f>
        <v>19</v>
      </c>
      <c r="CH93" s="223"/>
      <c r="CI93" s="223">
        <f>SUM(CI94:CI97)</f>
        <v>-3.4</v>
      </c>
      <c r="CJ93" s="223">
        <f>SUM(CJ94:CJ97)</f>
        <v>0.1</v>
      </c>
      <c r="CK93" s="223">
        <f>SUM(CK94:CK97)</f>
        <v>2.5</v>
      </c>
      <c r="CL93" s="223">
        <f>SUM(CL94:CL97)</f>
        <v>1.4</v>
      </c>
      <c r="CM93" s="1278">
        <f>SUM(CM94:CM96)</f>
        <v>0.60000000000000009</v>
      </c>
      <c r="CN93" s="223"/>
      <c r="CO93" s="223">
        <f>SUM(CO94:CO97)</f>
        <v>5.9</v>
      </c>
      <c r="CP93" s="223">
        <f>SUM(CP94:CP97)</f>
        <v>-0.8</v>
      </c>
      <c r="CQ93" s="223">
        <f>SUM(CQ94:CQ97)</f>
        <v>1.1000000000000001</v>
      </c>
      <c r="CR93" s="223">
        <f>SUM(CR94:CR97)</f>
        <v>1.1000000000000001</v>
      </c>
      <c r="CS93" s="1278">
        <f>SUM(CS94:CS96)</f>
        <v>7.3000000000000007</v>
      </c>
      <c r="CT93" s="223"/>
      <c r="CU93" s="223">
        <f>SUM(CU94:CU97)</f>
        <v>3.5</v>
      </c>
      <c r="CV93" s="223">
        <f>SUM(CV94:CV97)</f>
        <v>4.2</v>
      </c>
      <c r="CW93" s="223">
        <f>SUM(CW94:CW97)</f>
        <v>-0.2</v>
      </c>
      <c r="CX93" s="223">
        <f>SUM(CX94:CX97)</f>
        <v>1.7</v>
      </c>
      <c r="CY93" s="1278">
        <f>SUM(CY94:CY96)</f>
        <v>9.1999999999999993</v>
      </c>
      <c r="CZ93" s="223"/>
      <c r="DA93" s="223">
        <f>SUM(DA94:DA97)</f>
        <v>-7.7000000000000011</v>
      </c>
      <c r="DB93" s="223">
        <f>SUM(DB94:DB97)</f>
        <v>-1.5999999999999996</v>
      </c>
      <c r="DC93" s="223">
        <f>SUM(DC94:DC97)</f>
        <v>0.8</v>
      </c>
      <c r="DD93" s="223">
        <f>SUM(DD94:DD97)</f>
        <v>5.3999999999999995</v>
      </c>
      <c r="DE93" s="1278">
        <f>SUM(DE94:DE96)</f>
        <v>-3.1000000000000005</v>
      </c>
      <c r="DF93" s="223"/>
      <c r="DG93" s="223">
        <f>SUM(DG94:DG97)</f>
        <v>-2.9999999999999996</v>
      </c>
      <c r="DH93" s="223">
        <f>SUM(DH94:DH97)</f>
        <v>-3.7</v>
      </c>
      <c r="DI93" s="223">
        <f>SUM(DI94:DI97)</f>
        <v>-2.2999999999999998</v>
      </c>
      <c r="DJ93" s="223">
        <f>SUM(DJ94:DJ97)</f>
        <v>-5.4000000000000021</v>
      </c>
      <c r="DK93" s="1278">
        <f>SUM(DK94:DK96)</f>
        <v>-14.4</v>
      </c>
      <c r="DL93" s="223"/>
      <c r="DM93" s="223">
        <f>SUM(DM94:DM97)</f>
        <v>-0.70000000000000018</v>
      </c>
      <c r="DN93" s="223">
        <f>SUM(DN94:DN97)</f>
        <v>-5.8</v>
      </c>
      <c r="DO93" s="223">
        <f>SUM(DO94:DO97)</f>
        <v>-7.6000000000000005</v>
      </c>
      <c r="DP93" s="223">
        <v>-11.2</v>
      </c>
      <c r="DQ93" s="1278">
        <f>SUM(DQ94:DQ96)</f>
        <v>-26.529339999999998</v>
      </c>
      <c r="DR93" s="223"/>
      <c r="DS93" s="223">
        <f>SUM(DS94:DS97)</f>
        <v>-4.0955999999999992</v>
      </c>
      <c r="DT93" s="223">
        <f>SUM(DT94:DT96)</f>
        <v>-9.7999999999999989</v>
      </c>
      <c r="DU93" s="223">
        <f>SUM(DU94:DU96)</f>
        <v>-9.8000000000000007</v>
      </c>
      <c r="DV93" s="223">
        <f>SUM(DV94:DV96)</f>
        <v>-0.80000000000000071</v>
      </c>
      <c r="DW93" s="1278">
        <f>SUM(DW94:DW96)</f>
        <v>-24.495600000000003</v>
      </c>
      <c r="DX93" s="223"/>
      <c r="DY93" s="223">
        <f>-1.8-5.7</f>
        <v>-7.5</v>
      </c>
      <c r="DZ93" s="223">
        <f>-18.8+13.5</f>
        <v>-5.3000000000000007</v>
      </c>
      <c r="EA93" s="223">
        <f>-11.2+1.7</f>
        <v>-9.5</v>
      </c>
      <c r="EB93" s="223">
        <f>-16.4+7</f>
        <v>-9.3999999999999986</v>
      </c>
      <c r="EC93" s="1278">
        <f>SUM(EC94:EC96)</f>
        <v>-31.699999999999989</v>
      </c>
      <c r="ED93" s="223"/>
      <c r="EE93" s="223">
        <f>SUM(EE94:EE97)</f>
        <v>-15.165000000000003</v>
      </c>
      <c r="EF93" s="223">
        <f>SUM(EF94:EF97)</f>
        <v>-15.165000000000003</v>
      </c>
      <c r="EG93" s="223">
        <f>SUM(EG94:EG97)</f>
        <v>-15.165000000000003</v>
      </c>
      <c r="EH93" s="223">
        <f>SUM(EH94:EH97)</f>
        <v>-15.165000000000003</v>
      </c>
      <c r="EI93" s="1278">
        <f>SUM(EI94:EI96)</f>
        <v>-60.660000000000011</v>
      </c>
      <c r="EJ93" s="223"/>
      <c r="EK93" s="223">
        <f>SUM(EK94:EK97)</f>
        <v>-11.200000000000003</v>
      </c>
      <c r="EL93" s="223">
        <f>SUM(EL94:EL97)</f>
        <v>-11.200000000000003</v>
      </c>
      <c r="EM93" s="223">
        <f>SUM(EM94:EM97)</f>
        <v>-11.200000000000003</v>
      </c>
      <c r="EN93" s="223">
        <f>SUM(EN94:EN97)</f>
        <v>-11.200000000000003</v>
      </c>
      <c r="EO93" s="1278">
        <f>SUM(EO94:EO96)</f>
        <v>-44.800000000000011</v>
      </c>
      <c r="EP93" s="223"/>
      <c r="EQ93" s="223">
        <f>SUM(EQ94:EQ97)</f>
        <v>-11.200000000000003</v>
      </c>
      <c r="ER93" s="223">
        <f>SUM(ER94:ER97)</f>
        <v>-11.200000000000003</v>
      </c>
      <c r="ES93" s="223">
        <f>SUM(ES94:ES97)</f>
        <v>-11.200000000000003</v>
      </c>
      <c r="ET93" s="223">
        <f>SUM(ET94:ET97)</f>
        <v>-11.200000000000003</v>
      </c>
      <c r="EU93" s="1278">
        <f>SUM(EU94:EU96)</f>
        <v>-44.800000000000011</v>
      </c>
      <c r="EV93" s="623"/>
    </row>
    <row r="94" spans="1:152" ht="12" hidden="1" customHeight="1" outlineLevel="1">
      <c r="A94" s="624" t="s">
        <v>4741</v>
      </c>
      <c r="B94" s="593"/>
      <c r="C94" s="386">
        <v>1.4</v>
      </c>
      <c r="D94" s="386">
        <v>1.4</v>
      </c>
      <c r="E94" s="386">
        <v>1.6</v>
      </c>
      <c r="F94" s="386">
        <v>2.2000000000000002</v>
      </c>
      <c r="G94" s="386">
        <v>6.7</v>
      </c>
      <c r="H94" s="384"/>
      <c r="I94" s="386">
        <v>2.4</v>
      </c>
      <c r="J94" s="386">
        <v>2.5</v>
      </c>
      <c r="K94" s="386">
        <v>3</v>
      </c>
      <c r="L94" s="386">
        <v>2.5</v>
      </c>
      <c r="M94" s="386">
        <v>10.4</v>
      </c>
      <c r="N94" s="384"/>
      <c r="O94" s="386">
        <v>2.0219999999999998</v>
      </c>
      <c r="P94" s="386">
        <v>8.0269999999999992</v>
      </c>
      <c r="Q94" s="386">
        <v>3.887</v>
      </c>
      <c r="R94" s="386">
        <v>3.198</v>
      </c>
      <c r="S94" s="386">
        <v>17.134</v>
      </c>
      <c r="T94" s="386"/>
      <c r="U94" s="386">
        <v>4.4960000000000004</v>
      </c>
      <c r="V94" s="386">
        <v>5.82</v>
      </c>
      <c r="W94" s="386">
        <v>6.4820000000000002</v>
      </c>
      <c r="X94" s="386">
        <v>6.36</v>
      </c>
      <c r="Y94" s="386">
        <v>23.157</v>
      </c>
      <c r="Z94" s="386"/>
      <c r="AA94" s="386">
        <v>2.9729999999999999</v>
      </c>
      <c r="AB94" s="386">
        <v>4.3010000000000002</v>
      </c>
      <c r="AC94" s="386">
        <v>6.3719999999999999</v>
      </c>
      <c r="AD94" s="386">
        <v>7.4020000000000001</v>
      </c>
      <c r="AE94" s="386">
        <f>SUM(AA94:AD94)</f>
        <v>21.048000000000002</v>
      </c>
      <c r="AF94" s="386"/>
      <c r="AG94" s="386">
        <v>4.9859999999999998</v>
      </c>
      <c r="AH94" s="386">
        <v>8.0020000000000007</v>
      </c>
      <c r="AI94" s="386">
        <v>4.3250000000000002</v>
      </c>
      <c r="AJ94" s="386">
        <v>1.7450000000000001</v>
      </c>
      <c r="AK94" s="386">
        <f>SUM(AG94:AJ94)</f>
        <v>19.058</v>
      </c>
      <c r="AL94" s="384"/>
      <c r="AM94" s="384">
        <v>2.7</v>
      </c>
      <c r="AN94" s="384">
        <v>2.9510000000000001</v>
      </c>
      <c r="AO94" s="384">
        <v>2.0219999999999998</v>
      </c>
      <c r="AP94" s="384">
        <f>AQ94-AO94-AN94-AM94</f>
        <v>1.7929999999999984</v>
      </c>
      <c r="AQ94" s="384">
        <v>9.4659999999999993</v>
      </c>
      <c r="AR94" s="384"/>
      <c r="AS94" s="384">
        <v>1.6850000000000001</v>
      </c>
      <c r="AT94" s="384">
        <v>1.494</v>
      </c>
      <c r="AU94" s="384">
        <v>1.37</v>
      </c>
      <c r="AV94" s="384">
        <f>AW94-AU94-AT94-AS94</f>
        <v>5.8280000000000012</v>
      </c>
      <c r="AW94" s="384">
        <v>10.377000000000001</v>
      </c>
      <c r="AX94" s="384"/>
      <c r="AY94" s="93">
        <v>1.7729999999999999</v>
      </c>
      <c r="AZ94" s="885">
        <v>-0.9</v>
      </c>
      <c r="BA94" s="885">
        <v>1.5</v>
      </c>
      <c r="BB94" s="885">
        <v>4.9000000000000004</v>
      </c>
      <c r="BC94" s="93">
        <v>7.2320000000000002</v>
      </c>
      <c r="BD94" s="384"/>
      <c r="BE94" s="93">
        <v>2.8</v>
      </c>
      <c r="BF94" s="885">
        <v>3.3</v>
      </c>
      <c r="BG94" s="885">
        <v>3.1</v>
      </c>
      <c r="BH94" s="885">
        <v>4.2</v>
      </c>
      <c r="BI94" s="93">
        <f>SUM(BE94:BH94)</f>
        <v>13.399999999999999</v>
      </c>
      <c r="BJ94" s="384"/>
      <c r="BK94" s="93">
        <v>3.5</v>
      </c>
      <c r="BL94" s="885">
        <v>2.8</v>
      </c>
      <c r="BM94" s="885">
        <v>6</v>
      </c>
      <c r="BN94" s="885">
        <v>4.5</v>
      </c>
      <c r="BO94" s="1101">
        <f>SUM(BK94:BN94)</f>
        <v>16.8</v>
      </c>
      <c r="BP94" s="93"/>
      <c r="BQ94" s="885">
        <v>9.8000000000000007</v>
      </c>
      <c r="BR94" s="885">
        <v>3.4</v>
      </c>
      <c r="BS94" s="885">
        <v>4.4000000000000004</v>
      </c>
      <c r="BT94" s="885">
        <v>6.8</v>
      </c>
      <c r="BU94" s="1101">
        <f>SUM(BQ94:BT94)</f>
        <v>24.400000000000002</v>
      </c>
      <c r="BV94" s="93"/>
      <c r="BW94" s="885">
        <v>6.9</v>
      </c>
      <c r="BX94" s="885">
        <v>6.3</v>
      </c>
      <c r="BY94" s="885">
        <v>-3.4</v>
      </c>
      <c r="BZ94" s="885">
        <v>-1.8</v>
      </c>
      <c r="CA94" s="1101">
        <f>SUM(BW94:BZ94)</f>
        <v>7.9999999999999991</v>
      </c>
      <c r="CB94" s="384"/>
      <c r="CC94" s="885">
        <v>0</v>
      </c>
      <c r="CD94" s="885">
        <v>10.7</v>
      </c>
      <c r="CE94" s="885">
        <v>5.7</v>
      </c>
      <c r="CF94" s="885">
        <v>2.6</v>
      </c>
      <c r="CG94" s="1101">
        <f>SUM(CC94:CF94)</f>
        <v>19</v>
      </c>
      <c r="CH94" s="384"/>
      <c r="CI94" s="445">
        <v>-3.4</v>
      </c>
      <c r="CJ94" s="445">
        <f>0.1</f>
        <v>0.1</v>
      </c>
      <c r="CK94" s="445">
        <v>2.5</v>
      </c>
      <c r="CL94" s="445">
        <v>1.4</v>
      </c>
      <c r="CM94" s="1261">
        <f>SUM(CI94:CL94)</f>
        <v>0.60000000000000009</v>
      </c>
      <c r="CN94" s="384"/>
      <c r="CO94" s="384">
        <v>5.9</v>
      </c>
      <c r="CP94" s="445">
        <v>-0.8</v>
      </c>
      <c r="CQ94" s="445">
        <v>1.1000000000000001</v>
      </c>
      <c r="CR94" s="445">
        <v>1.1000000000000001</v>
      </c>
      <c r="CS94" s="1261">
        <f>SUM(CO94:CR94)</f>
        <v>7.3000000000000007</v>
      </c>
      <c r="CT94" s="384"/>
      <c r="CU94" s="445">
        <v>3.5</v>
      </c>
      <c r="CV94" s="445">
        <v>4.2</v>
      </c>
      <c r="CW94" s="445">
        <v>-0.2</v>
      </c>
      <c r="CX94" s="445">
        <v>1.7</v>
      </c>
      <c r="CY94" s="1261">
        <f>SUM(CU94:CX94)</f>
        <v>9.1999999999999993</v>
      </c>
      <c r="CZ94" s="384"/>
      <c r="DA94" s="445">
        <f>-8.8-DA95+1.1</f>
        <v>-2.9921374999999997</v>
      </c>
      <c r="DB94" s="445">
        <f>-1.8-DB95+0.2</f>
        <v>3.1091250000000015</v>
      </c>
      <c r="DC94" s="445">
        <v>1.1000000000000001</v>
      </c>
      <c r="DD94" s="445">
        <v>0.8</v>
      </c>
      <c r="DE94" s="1261">
        <f>SUM(DA94:DD94)</f>
        <v>2.0169875000000017</v>
      </c>
      <c r="DF94" s="384"/>
      <c r="DG94" s="445">
        <f>-6.6-DG95+3.6</f>
        <v>1.7129125000000012</v>
      </c>
      <c r="DH94" s="445">
        <f>-7+3.3-DH95</f>
        <v>1.0141750000000007</v>
      </c>
      <c r="DI94" s="445">
        <f>-3-DI95+0.7</f>
        <v>2.4154375000000012</v>
      </c>
      <c r="DJ94" s="445">
        <f>-21.1+15.7-DJ95</f>
        <v>-0.68330000000000091</v>
      </c>
      <c r="DK94" s="1261">
        <f>SUM(DG94:DJ94)</f>
        <v>4.4592250000000018</v>
      </c>
      <c r="DL94" s="384"/>
      <c r="DM94" s="445">
        <f>0.3-DM95-1</f>
        <v>4.0179625000000003</v>
      </c>
      <c r="DN94" s="445">
        <f>-3.4-2.4-DN95</f>
        <v>3.581637500000002</v>
      </c>
      <c r="DO94" s="445">
        <f>-7.7-DO95+0.1</f>
        <v>5.7820999999999989</v>
      </c>
      <c r="DP94" s="445">
        <f>DP311</f>
        <v>0.95995999999999992</v>
      </c>
      <c r="DQ94" s="1261">
        <f>SUM(DM94:DP94)</f>
        <v>14.341660000000003</v>
      </c>
      <c r="DR94" s="384"/>
      <c r="DS94" s="445">
        <v>9.3000000000000007</v>
      </c>
      <c r="DT94" s="445">
        <f>-10.1+0.3-DT95</f>
        <v>3.6028000000000002</v>
      </c>
      <c r="DU94" s="445">
        <f>-9.4-DU95-0.4</f>
        <v>3.6091000000000002</v>
      </c>
      <c r="DV94" s="445">
        <f>-1.1-DV95+0.3</f>
        <v>4.6599999999999993</v>
      </c>
      <c r="DW94" s="1261">
        <f>SUM(DS94:DV94)</f>
        <v>21.171900000000001</v>
      </c>
      <c r="DX94" s="384"/>
      <c r="DY94" s="445">
        <f>DY93-DY95</f>
        <v>6.1550000000000011</v>
      </c>
      <c r="DZ94" s="445">
        <f>DZ93-DZ95</f>
        <v>14.51125</v>
      </c>
      <c r="EA94" s="445">
        <f>EA93-EA95</f>
        <v>11.902900000000002</v>
      </c>
      <c r="EB94" s="445">
        <f>EB93-EB95</f>
        <v>16.769000000000002</v>
      </c>
      <c r="EC94" s="1261">
        <f>SUM(DY94:EB94)</f>
        <v>49.338150000000013</v>
      </c>
      <c r="ED94" s="384"/>
      <c r="EE94" s="445">
        <v>4.6599999999999993</v>
      </c>
      <c r="EF94" s="445">
        <f>+EE94</f>
        <v>4.6599999999999993</v>
      </c>
      <c r="EG94" s="445">
        <f>+EF94</f>
        <v>4.6599999999999993</v>
      </c>
      <c r="EH94" s="445">
        <f>+EG94</f>
        <v>4.6599999999999993</v>
      </c>
      <c r="EI94" s="1261">
        <f>SUM(EE94:EH94)</f>
        <v>18.639999999999997</v>
      </c>
      <c r="EJ94" s="384"/>
      <c r="EK94" s="445">
        <f>+EH94</f>
        <v>4.6599999999999993</v>
      </c>
      <c r="EL94" s="445">
        <f>+EK94</f>
        <v>4.6599999999999993</v>
      </c>
      <c r="EM94" s="445">
        <f>+EL94</f>
        <v>4.6599999999999993</v>
      </c>
      <c r="EN94" s="445">
        <f>+EM94</f>
        <v>4.6599999999999993</v>
      </c>
      <c r="EO94" s="1261">
        <f>SUM(EK94:EN94)</f>
        <v>18.639999999999997</v>
      </c>
      <c r="EP94" s="384"/>
      <c r="EQ94" s="445">
        <f>+EN94</f>
        <v>4.6599999999999993</v>
      </c>
      <c r="ER94" s="445">
        <f>+EQ94</f>
        <v>4.6599999999999993</v>
      </c>
      <c r="ES94" s="445">
        <f>+ER94</f>
        <v>4.6599999999999993</v>
      </c>
      <c r="ET94" s="445">
        <f>+ES94</f>
        <v>4.6599999999999993</v>
      </c>
      <c r="EU94" s="1261">
        <f>SUM(EQ94:ET94)</f>
        <v>18.639999999999997</v>
      </c>
      <c r="EV94" s="623"/>
    </row>
    <row r="95" spans="1:152" ht="12" hidden="1" customHeight="1" outlineLevel="1">
      <c r="A95" s="443" t="s">
        <v>4742</v>
      </c>
      <c r="B95" s="444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384"/>
      <c r="P95" s="384"/>
      <c r="Q95" s="384"/>
      <c r="R95" s="384"/>
      <c r="S95" s="384"/>
      <c r="T95" s="384"/>
      <c r="U95" s="384"/>
      <c r="V95" s="384"/>
      <c r="W95" s="384"/>
      <c r="X95" s="384"/>
      <c r="Y95" s="384"/>
      <c r="Z95" s="384"/>
      <c r="AA95" s="384"/>
      <c r="AB95" s="384"/>
      <c r="AC95" s="384"/>
      <c r="AD95" s="384"/>
      <c r="AE95" s="384">
        <f>SUM(AA95:AD95)</f>
        <v>0</v>
      </c>
      <c r="AF95" s="384"/>
      <c r="AG95" s="384"/>
      <c r="AH95" s="384"/>
      <c r="AI95" s="384"/>
      <c r="AJ95" s="384"/>
      <c r="AK95" s="384">
        <f>SUM(AG95:AJ95)</f>
        <v>0</v>
      </c>
      <c r="AL95" s="384"/>
      <c r="AM95" s="445">
        <v>0</v>
      </c>
      <c r="AN95" s="445">
        <v>0</v>
      </c>
      <c r="AO95" s="445">
        <v>0</v>
      </c>
      <c r="AP95" s="384">
        <f>AQ95-AO95-AN95-AM95</f>
        <v>0</v>
      </c>
      <c r="AQ95" s="445">
        <v>0</v>
      </c>
      <c r="AR95" s="384"/>
      <c r="AS95" s="445">
        <v>0</v>
      </c>
      <c r="AT95" s="445">
        <v>0</v>
      </c>
      <c r="AU95" s="445">
        <v>0</v>
      </c>
      <c r="AV95" s="384">
        <f>AW95-AU95-AT95-AS95</f>
        <v>0</v>
      </c>
      <c r="AW95" s="445">
        <v>0</v>
      </c>
      <c r="AX95" s="384"/>
      <c r="AY95" s="93">
        <v>0</v>
      </c>
      <c r="AZ95" s="885">
        <v>0</v>
      </c>
      <c r="BA95" s="885">
        <v>0</v>
      </c>
      <c r="BB95" s="885">
        <f>BC95-BA95-AZ95-AY95</f>
        <v>0</v>
      </c>
      <c r="BC95" s="93">
        <v>0</v>
      </c>
      <c r="BD95" s="384"/>
      <c r="BE95" s="93">
        <v>0</v>
      </c>
      <c r="BF95" s="885">
        <v>-0.6</v>
      </c>
      <c r="BG95" s="885">
        <v>0</v>
      </c>
      <c r="BH95" s="885">
        <v>0</v>
      </c>
      <c r="BI95" s="93">
        <f>SUM(BE95:BH95)</f>
        <v>-0.6</v>
      </c>
      <c r="BJ95" s="93"/>
      <c r="BK95" s="93">
        <v>0</v>
      </c>
      <c r="BL95" s="885">
        <v>0</v>
      </c>
      <c r="BM95" s="885">
        <v>0</v>
      </c>
      <c r="BN95" s="885">
        <v>0</v>
      </c>
      <c r="BO95" s="1101">
        <f>SUM(BK95:BN95)</f>
        <v>0</v>
      </c>
      <c r="BP95" s="93"/>
      <c r="BQ95" s="385">
        <v>0</v>
      </c>
      <c r="BR95" s="385">
        <v>0</v>
      </c>
      <c r="BS95" s="385">
        <v>0</v>
      </c>
      <c r="BT95" s="385">
        <v>0</v>
      </c>
      <c r="BU95" s="1101">
        <f>SUM(BQ95:BT95)</f>
        <v>0</v>
      </c>
      <c r="BV95" s="93"/>
      <c r="BW95" s="385">
        <v>0</v>
      </c>
      <c r="BX95" s="385">
        <v>0</v>
      </c>
      <c r="BY95" s="385">
        <v>0</v>
      </c>
      <c r="BZ95" s="385">
        <v>0</v>
      </c>
      <c r="CA95" s="1101">
        <f>SUM(BW95:BZ95)</f>
        <v>0</v>
      </c>
      <c r="CB95" s="93"/>
      <c r="CC95" s="472">
        <v>0</v>
      </c>
      <c r="CD95" s="472">
        <v>0</v>
      </c>
      <c r="CE95" s="472">
        <v>0</v>
      </c>
      <c r="CF95" s="472">
        <v>0</v>
      </c>
      <c r="CG95" s="1261">
        <f>SUM(CC95:CF95)</f>
        <v>0</v>
      </c>
      <c r="CH95" s="93"/>
      <c r="CI95" s="472">
        <v>0</v>
      </c>
      <c r="CJ95" s="472">
        <v>0</v>
      </c>
      <c r="CK95" s="472">
        <v>0</v>
      </c>
      <c r="CL95" s="472">
        <v>0</v>
      </c>
      <c r="CM95" s="1261">
        <f>SUM(CI95:CL95)</f>
        <v>0</v>
      </c>
      <c r="CN95" s="93"/>
      <c r="CO95" s="384">
        <v>0</v>
      </c>
      <c r="CP95" s="384">
        <v>0</v>
      </c>
      <c r="CQ95" s="384">
        <v>0</v>
      </c>
      <c r="CR95" s="384">
        <v>0</v>
      </c>
      <c r="CS95" s="1261">
        <f>SUM(CO95:CR95)</f>
        <v>0</v>
      </c>
      <c r="CT95" s="93"/>
      <c r="CU95" s="472">
        <v>0</v>
      </c>
      <c r="CV95" s="472">
        <v>0</v>
      </c>
      <c r="CW95" s="472">
        <v>0</v>
      </c>
      <c r="CX95" s="472">
        <v>0</v>
      </c>
      <c r="CY95" s="1261">
        <f>SUM(CU95:CX95)</f>
        <v>0</v>
      </c>
      <c r="CZ95" s="93"/>
      <c r="DA95" s="472">
        <f>-DA315*BS!DA40</f>
        <v>-4.7078625000000009</v>
      </c>
      <c r="DB95" s="472">
        <f>-DB315*BS!DB40</f>
        <v>-4.7091250000000011</v>
      </c>
      <c r="DC95" s="472">
        <v>-0.3</v>
      </c>
      <c r="DD95" s="472">
        <v>4.5999999999999996</v>
      </c>
      <c r="DE95" s="1261">
        <f>SUM(DA95:DD95)</f>
        <v>-5.1169875000000022</v>
      </c>
      <c r="DF95" s="93"/>
      <c r="DG95" s="472">
        <f>-DG315*BS!DG40</f>
        <v>-4.7129125000000007</v>
      </c>
      <c r="DH95" s="472">
        <f>-DH315*BS!DH40</f>
        <v>-4.7141750000000009</v>
      </c>
      <c r="DI95" s="472">
        <f>-DI315*BS!DI40</f>
        <v>-4.7154375000000011</v>
      </c>
      <c r="DJ95" s="472">
        <f>-DJ315*BS!DJ40</f>
        <v>-4.7167000000000012</v>
      </c>
      <c r="DK95" s="1261">
        <f>SUM(DG95:DJ95)</f>
        <v>-18.859225000000002</v>
      </c>
      <c r="DL95" s="93"/>
      <c r="DM95" s="472">
        <f>-DM315*BS!DM40</f>
        <v>-4.7179625000000005</v>
      </c>
      <c r="DN95" s="472">
        <f>-DN315*BS!DN40</f>
        <v>-9.3816375000000019</v>
      </c>
      <c r="DO95" s="472">
        <f>-DO315*BS!DO40</f>
        <v>-13.382099999999999</v>
      </c>
      <c r="DP95" s="472">
        <f>-DP315*BS!DP40</f>
        <v>-13.389299999999999</v>
      </c>
      <c r="DQ95" s="1261">
        <f>SUM(DM95:DP95)</f>
        <v>-40.871000000000002</v>
      </c>
      <c r="DR95" s="93"/>
      <c r="DS95" s="472">
        <f>-DS315*BS!DS40</f>
        <v>-13.3956</v>
      </c>
      <c r="DT95" s="472">
        <f>-DT315*BS!DT40</f>
        <v>-13.402799999999999</v>
      </c>
      <c r="DU95" s="472">
        <f>-DU315*BS!DU40</f>
        <v>-13.4091</v>
      </c>
      <c r="DV95" s="472">
        <f>-DV315*BS!DV40</f>
        <v>-5.46</v>
      </c>
      <c r="DW95" s="1261">
        <f>SUM(DS95:DV95)</f>
        <v>-45.667500000000004</v>
      </c>
      <c r="DX95" s="93"/>
      <c r="DY95" s="472">
        <f>-DY315*BS!DY40</f>
        <v>-13.655000000000001</v>
      </c>
      <c r="DZ95" s="472">
        <f>-DZ315*BS!DZ40</f>
        <v>-19.811250000000001</v>
      </c>
      <c r="EA95" s="472">
        <f>-EA315*BS!EA40</f>
        <v>-21.402900000000002</v>
      </c>
      <c r="EB95" s="472">
        <f>-EB315*BS!EB40</f>
        <v>-26.169</v>
      </c>
      <c r="EC95" s="1261">
        <f>SUM(DY95:EB95)</f>
        <v>-81.038150000000002</v>
      </c>
      <c r="ED95" s="93"/>
      <c r="EE95" s="472">
        <f>-EE315*BS!EE40</f>
        <v>-19.825000000000003</v>
      </c>
      <c r="EF95" s="472">
        <f>-EF315*BS!EF40</f>
        <v>-19.825000000000003</v>
      </c>
      <c r="EG95" s="472">
        <f>-EG315*BS!EG40</f>
        <v>-19.825000000000003</v>
      </c>
      <c r="EH95" s="472">
        <f>-EH315*BS!EH40</f>
        <v>-19.825000000000003</v>
      </c>
      <c r="EI95" s="1261">
        <f>SUM(EE95:EH95)</f>
        <v>-79.300000000000011</v>
      </c>
      <c r="EJ95" s="93"/>
      <c r="EK95" s="472">
        <f>-EK315*BS!EK40</f>
        <v>-15.860000000000001</v>
      </c>
      <c r="EL95" s="472">
        <f>-EL315*BS!EL40</f>
        <v>-15.860000000000001</v>
      </c>
      <c r="EM95" s="472">
        <f>-EM315*BS!EM40</f>
        <v>-15.860000000000001</v>
      </c>
      <c r="EN95" s="472">
        <f>-EN315*BS!EN40</f>
        <v>-15.860000000000001</v>
      </c>
      <c r="EO95" s="1261">
        <f>SUM(EK95:EN95)</f>
        <v>-63.440000000000005</v>
      </c>
      <c r="EP95" s="93"/>
      <c r="EQ95" s="472">
        <f>-EQ315*BS!EQ40</f>
        <v>-15.860000000000001</v>
      </c>
      <c r="ER95" s="472">
        <f>-ER315*BS!ER40</f>
        <v>-15.860000000000001</v>
      </c>
      <c r="ES95" s="472">
        <f>-ES315*BS!ES40</f>
        <v>-15.860000000000001</v>
      </c>
      <c r="ET95" s="472">
        <f>-ET315*BS!ET40</f>
        <v>-15.860000000000001</v>
      </c>
      <c r="EU95" s="1261">
        <f>SUM(EQ95:ET95)</f>
        <v>-63.440000000000005</v>
      </c>
      <c r="EV95" s="429"/>
    </row>
    <row r="96" spans="1:152" ht="12" hidden="1" customHeight="1" outlineLevel="1">
      <c r="A96" s="443" t="s">
        <v>3797</v>
      </c>
      <c r="B96" s="444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384"/>
      <c r="P96" s="384"/>
      <c r="Q96" s="384"/>
      <c r="R96" s="384"/>
      <c r="S96" s="384"/>
      <c r="T96" s="384"/>
      <c r="U96" s="384"/>
      <c r="V96" s="384"/>
      <c r="W96" s="384"/>
      <c r="X96" s="384"/>
      <c r="Y96" s="384"/>
      <c r="Z96" s="384"/>
      <c r="AA96" s="384"/>
      <c r="AB96" s="384"/>
      <c r="AC96" s="384"/>
      <c r="AD96" s="384"/>
      <c r="AE96" s="384">
        <f>SUM(AA96:AD96)</f>
        <v>0</v>
      </c>
      <c r="AF96" s="384"/>
      <c r="AG96" s="384"/>
      <c r="AH96" s="384"/>
      <c r="AI96" s="384"/>
      <c r="AJ96" s="384"/>
      <c r="AK96" s="384">
        <f>SUM(AG96:AJ96)</f>
        <v>0</v>
      </c>
      <c r="AL96" s="384"/>
      <c r="AM96" s="445">
        <f>AM93-AM94</f>
        <v>0.27800000000000002</v>
      </c>
      <c r="AN96" s="445">
        <f>AN93-AN94</f>
        <v>2.7650000000000001</v>
      </c>
      <c r="AO96" s="445">
        <f>AO93-AO94</f>
        <v>0.46700000000000008</v>
      </c>
      <c r="AP96" s="384">
        <f>AQ96-AO96-AN96-AM96</f>
        <v>0.52800000000000002</v>
      </c>
      <c r="AQ96" s="445">
        <f>AQ93-AQ94</f>
        <v>4.0380000000000003</v>
      </c>
      <c r="AR96" s="384"/>
      <c r="AS96" s="445">
        <f>AS93-AS94</f>
        <v>1.5869999999999997</v>
      </c>
      <c r="AT96" s="445">
        <f>AT93-AT94</f>
        <v>1.5759999999999998</v>
      </c>
      <c r="AU96" s="445">
        <f>AU93-AU94</f>
        <v>0.43499999999999983</v>
      </c>
      <c r="AV96" s="384">
        <f>AW96-AU96-AT96-AS96</f>
        <v>2.984</v>
      </c>
      <c r="AW96" s="445">
        <f>AW93-AW94</f>
        <v>6.581999999999999</v>
      </c>
      <c r="AX96" s="384"/>
      <c r="AY96" s="93">
        <v>0.64300000000000002</v>
      </c>
      <c r="AZ96" s="385">
        <v>3.1</v>
      </c>
      <c r="BA96" s="385">
        <v>1.3</v>
      </c>
      <c r="BB96" s="385">
        <v>-0.9</v>
      </c>
      <c r="BC96" s="93">
        <f>BC93-BC94</f>
        <v>4.1840000000000002</v>
      </c>
      <c r="BD96" s="384"/>
      <c r="BE96" s="93">
        <v>0.2</v>
      </c>
      <c r="BF96" s="385">
        <v>0.1</v>
      </c>
      <c r="BG96" s="385">
        <v>0.1</v>
      </c>
      <c r="BH96" s="385">
        <v>0</v>
      </c>
      <c r="BI96" s="93">
        <f>SUM(BE96:BH96)</f>
        <v>0.4</v>
      </c>
      <c r="BJ96" s="93"/>
      <c r="BK96" s="93">
        <v>0</v>
      </c>
      <c r="BL96" s="385">
        <v>0</v>
      </c>
      <c r="BM96" s="385">
        <v>0</v>
      </c>
      <c r="BN96" s="385">
        <v>0</v>
      </c>
      <c r="BO96" s="1101">
        <f>SUM(BK96:BN96)</f>
        <v>0</v>
      </c>
      <c r="BP96" s="93"/>
      <c r="BQ96" s="385">
        <v>0</v>
      </c>
      <c r="BR96" s="385">
        <v>0</v>
      </c>
      <c r="BS96" s="385">
        <v>4</v>
      </c>
      <c r="BT96" s="385">
        <v>0</v>
      </c>
      <c r="BU96" s="1101">
        <f>SUM(BQ96:BT96)</f>
        <v>4</v>
      </c>
      <c r="BV96" s="93"/>
      <c r="BW96" s="385">
        <v>0</v>
      </c>
      <c r="BX96" s="385">
        <v>0</v>
      </c>
      <c r="BY96" s="385">
        <v>0</v>
      </c>
      <c r="BZ96" s="385">
        <v>0</v>
      </c>
      <c r="CA96" s="1101">
        <f>SUM(BW96:BZ96)</f>
        <v>0</v>
      </c>
      <c r="CB96" s="93"/>
      <c r="CC96" s="472">
        <v>0</v>
      </c>
      <c r="CD96" s="472">
        <v>0</v>
      </c>
      <c r="CE96" s="472">
        <v>0</v>
      </c>
      <c r="CF96" s="472">
        <v>0</v>
      </c>
      <c r="CG96" s="1261">
        <f>SUM(CC96:CF96)</f>
        <v>0</v>
      </c>
      <c r="CH96" s="93"/>
      <c r="CI96" s="472">
        <v>0</v>
      </c>
      <c r="CJ96" s="472">
        <v>0</v>
      </c>
      <c r="CK96" s="472">
        <v>0</v>
      </c>
      <c r="CL96" s="472">
        <v>0</v>
      </c>
      <c r="CM96" s="1261">
        <f>SUM(CI96:CL96)</f>
        <v>0</v>
      </c>
      <c r="CN96" s="93"/>
      <c r="CO96" s="384">
        <v>0</v>
      </c>
      <c r="CP96" s="384">
        <v>0</v>
      </c>
      <c r="CQ96" s="384">
        <v>0</v>
      </c>
      <c r="CR96" s="384">
        <v>0</v>
      </c>
      <c r="CS96" s="1261">
        <f>SUM(CO96:CR96)</f>
        <v>0</v>
      </c>
      <c r="CT96" s="93"/>
      <c r="CU96" s="472">
        <v>0</v>
      </c>
      <c r="CV96" s="472">
        <v>0</v>
      </c>
      <c r="CW96" s="472">
        <v>0</v>
      </c>
      <c r="CX96" s="472">
        <v>0</v>
      </c>
      <c r="CY96" s="1261">
        <f>SUM(CU96:CX96)</f>
        <v>0</v>
      </c>
      <c r="CZ96" s="93"/>
      <c r="DA96" s="472">
        <v>0</v>
      </c>
      <c r="DB96" s="472">
        <v>0</v>
      </c>
      <c r="DC96" s="472">
        <v>0</v>
      </c>
      <c r="DD96" s="472">
        <v>0</v>
      </c>
      <c r="DE96" s="1261">
        <f>SUM(DA96:DD96)</f>
        <v>0</v>
      </c>
      <c r="DF96" s="93"/>
      <c r="DG96" s="472">
        <v>0</v>
      </c>
      <c r="DH96" s="472">
        <v>0</v>
      </c>
      <c r="DI96" s="472">
        <v>0</v>
      </c>
      <c r="DJ96" s="472">
        <v>0</v>
      </c>
      <c r="DK96" s="1261">
        <f>SUM(DG96:DJ96)</f>
        <v>0</v>
      </c>
      <c r="DL96" s="93"/>
      <c r="DM96" s="472">
        <v>0</v>
      </c>
      <c r="DN96" s="472">
        <v>0</v>
      </c>
      <c r="DO96" s="472">
        <v>0</v>
      </c>
      <c r="DP96" s="472">
        <v>0</v>
      </c>
      <c r="DQ96" s="1261">
        <f>SUM(DM96:DP96)</f>
        <v>0</v>
      </c>
      <c r="DR96" s="93"/>
      <c r="DS96" s="472">
        <v>0</v>
      </c>
      <c r="DT96" s="472">
        <v>0</v>
      </c>
      <c r="DU96" s="472">
        <v>0</v>
      </c>
      <c r="DV96" s="472">
        <v>0</v>
      </c>
      <c r="DW96" s="1261">
        <f>SUM(DS96:DV96)</f>
        <v>0</v>
      </c>
      <c r="DX96" s="93"/>
      <c r="DY96" s="472">
        <v>0</v>
      </c>
      <c r="DZ96" s="472">
        <v>0</v>
      </c>
      <c r="EA96" s="472">
        <v>0</v>
      </c>
      <c r="EB96" s="472">
        <v>0</v>
      </c>
      <c r="EC96" s="1261">
        <f>SUM(DY96:EB96)</f>
        <v>0</v>
      </c>
      <c r="ED96" s="93"/>
      <c r="EE96" s="472">
        <v>0</v>
      </c>
      <c r="EF96" s="472">
        <v>0</v>
      </c>
      <c r="EG96" s="472">
        <v>0</v>
      </c>
      <c r="EH96" s="472">
        <v>0</v>
      </c>
      <c r="EI96" s="1261">
        <f>SUM(EE96:EH96)</f>
        <v>0</v>
      </c>
      <c r="EJ96" s="93"/>
      <c r="EK96" s="472">
        <v>0</v>
      </c>
      <c r="EL96" s="472">
        <v>0</v>
      </c>
      <c r="EM96" s="472">
        <v>0</v>
      </c>
      <c r="EN96" s="472">
        <v>0</v>
      </c>
      <c r="EO96" s="1261">
        <f>SUM(EK96:EN96)</f>
        <v>0</v>
      </c>
      <c r="EP96" s="93"/>
      <c r="EQ96" s="472">
        <v>0</v>
      </c>
      <c r="ER96" s="472">
        <v>0</v>
      </c>
      <c r="ES96" s="472">
        <v>0</v>
      </c>
      <c r="ET96" s="472">
        <v>0</v>
      </c>
      <c r="EU96" s="1261">
        <f>SUM(EQ96:ET96)</f>
        <v>0</v>
      </c>
      <c r="EV96" s="429"/>
    </row>
    <row r="97" spans="1:152" ht="3.75" customHeight="1" collapsed="1">
      <c r="A97" s="434"/>
      <c r="B97" s="444"/>
      <c r="C97" s="223"/>
      <c r="D97" s="223"/>
      <c r="E97" s="223"/>
      <c r="F97" s="223"/>
      <c r="G97" s="223"/>
      <c r="H97" s="428"/>
      <c r="I97" s="223"/>
      <c r="J97" s="223"/>
      <c r="K97" s="223"/>
      <c r="L97" s="223"/>
      <c r="M97" s="223"/>
      <c r="N97" s="428"/>
      <c r="O97" s="223"/>
      <c r="P97" s="223"/>
      <c r="Q97" s="435"/>
      <c r="R97" s="223"/>
      <c r="S97" s="223"/>
      <c r="T97" s="223"/>
      <c r="U97" s="223"/>
      <c r="V97" s="223"/>
      <c r="W97" s="435"/>
      <c r="X97" s="223"/>
      <c r="Y97" s="223"/>
      <c r="Z97" s="223"/>
      <c r="AA97" s="223"/>
      <c r="AB97" s="223"/>
      <c r="AC97" s="435"/>
      <c r="AD97" s="223"/>
      <c r="AE97" s="223"/>
      <c r="AF97" s="223"/>
      <c r="AG97" s="223"/>
      <c r="AH97" s="223"/>
      <c r="AI97" s="435"/>
      <c r="AJ97" s="223"/>
      <c r="AK97" s="223"/>
      <c r="AL97" s="223"/>
      <c r="AM97" s="223"/>
      <c r="AN97" s="223"/>
      <c r="AO97" s="223"/>
      <c r="AP97" s="223"/>
      <c r="AQ97" s="223"/>
      <c r="AR97" s="223"/>
      <c r="AS97" s="223"/>
      <c r="AT97" s="223"/>
      <c r="AU97" s="223"/>
      <c r="AV97" s="223"/>
      <c r="AW97" s="223"/>
      <c r="AX97" s="223"/>
      <c r="AY97" s="431"/>
      <c r="AZ97" s="431"/>
      <c r="BA97" s="431"/>
      <c r="BB97" s="431"/>
      <c r="BC97" s="428"/>
      <c r="BD97" s="223"/>
      <c r="BE97" s="431"/>
      <c r="BF97" s="431"/>
      <c r="BG97" s="431"/>
      <c r="BH97" s="431"/>
      <c r="BI97" s="428"/>
      <c r="BJ97" s="428"/>
      <c r="BK97" s="431"/>
      <c r="BL97" s="431"/>
      <c r="BM97" s="431"/>
      <c r="BN97" s="431"/>
      <c r="BO97" s="1192"/>
      <c r="BP97" s="428"/>
      <c r="BQ97" s="431"/>
      <c r="BR97" s="431"/>
      <c r="BS97" s="431"/>
      <c r="BT97" s="431"/>
      <c r="BU97" s="1192"/>
      <c r="BV97" s="428"/>
      <c r="BW97" s="431"/>
      <c r="BX97" s="431"/>
      <c r="BY97" s="431"/>
      <c r="BZ97" s="431"/>
      <c r="CA97" s="1192"/>
      <c r="CB97" s="428"/>
      <c r="CC97" s="431"/>
      <c r="CD97" s="431"/>
      <c r="CE97" s="431"/>
      <c r="CF97" s="431"/>
      <c r="CG97" s="1192"/>
      <c r="CH97" s="428"/>
      <c r="CI97" s="431"/>
      <c r="CJ97" s="431"/>
      <c r="CK97" s="431"/>
      <c r="CL97" s="431"/>
      <c r="CM97" s="1192"/>
      <c r="CN97" s="428"/>
      <c r="CO97" s="431"/>
      <c r="CP97" s="431"/>
      <c r="CQ97" s="431"/>
      <c r="CR97" s="431"/>
      <c r="CS97" s="1192"/>
      <c r="CT97" s="428"/>
      <c r="CU97" s="431"/>
      <c r="CV97" s="431"/>
      <c r="CW97" s="431"/>
      <c r="CX97" s="431"/>
      <c r="CY97" s="1192"/>
      <c r="CZ97" s="428"/>
      <c r="DA97" s="431"/>
      <c r="DB97" s="431"/>
      <c r="DC97" s="431"/>
      <c r="DD97" s="431"/>
      <c r="DE97" s="1192"/>
      <c r="DF97" s="428"/>
      <c r="DG97" s="431"/>
      <c r="DH97" s="431"/>
      <c r="DI97" s="431"/>
      <c r="DJ97" s="431"/>
      <c r="DK97" s="1192"/>
      <c r="DL97" s="428"/>
      <c r="DM97" s="431"/>
      <c r="DN97" s="431"/>
      <c r="DO97" s="431"/>
      <c r="DP97" s="431"/>
      <c r="DQ97" s="1192"/>
      <c r="DR97" s="428"/>
      <c r="DS97" s="431"/>
      <c r="DT97" s="431"/>
      <c r="DU97" s="431"/>
      <c r="DV97" s="431"/>
      <c r="DW97" s="1192"/>
      <c r="DX97" s="428"/>
      <c r="DY97" s="431"/>
      <c r="DZ97" s="431"/>
      <c r="EA97" s="431"/>
      <c r="EB97" s="431"/>
      <c r="EC97" s="1192"/>
      <c r="ED97" s="428"/>
      <c r="EE97" s="431"/>
      <c r="EF97" s="431"/>
      <c r="EG97" s="431"/>
      <c r="EH97" s="431"/>
      <c r="EI97" s="1192"/>
      <c r="EJ97" s="428"/>
      <c r="EK97" s="431"/>
      <c r="EL97" s="431"/>
      <c r="EM97" s="431"/>
      <c r="EN97" s="431"/>
      <c r="EO97" s="1192"/>
      <c r="EP97" s="428"/>
      <c r="EQ97" s="431"/>
      <c r="ER97" s="431"/>
      <c r="ES97" s="431"/>
      <c r="ET97" s="431"/>
      <c r="EU97" s="1192"/>
      <c r="EV97" s="429"/>
    </row>
    <row r="98" spans="1:152" ht="12" customHeight="1">
      <c r="A98" s="447" t="s">
        <v>6055</v>
      </c>
      <c r="B98" s="593" t="s">
        <v>6689</v>
      </c>
      <c r="C98" s="223">
        <f>C85+C93</f>
        <v>29.500000000000021</v>
      </c>
      <c r="D98" s="223">
        <f>D85+D93</f>
        <v>21.699999999999996</v>
      </c>
      <c r="E98" s="223">
        <f>E85+E93</f>
        <v>10.599999999999985</v>
      </c>
      <c r="F98" s="223">
        <f>F85+F93</f>
        <v>9.3000000000000078</v>
      </c>
      <c r="G98" s="223">
        <f>G85+G93</f>
        <v>71.299999999999969</v>
      </c>
      <c r="H98" s="223"/>
      <c r="I98" s="223">
        <f>I85+I93</f>
        <v>12.600000000000003</v>
      </c>
      <c r="J98" s="223">
        <f>J85+J93</f>
        <v>38</v>
      </c>
      <c r="K98" s="223">
        <f>K85+K93</f>
        <v>43.599999999999994</v>
      </c>
      <c r="L98" s="223">
        <f>L85+L93</f>
        <v>57.600000000000023</v>
      </c>
      <c r="M98" s="223">
        <f>M85+M93</f>
        <v>151.80000000000004</v>
      </c>
      <c r="N98" s="223"/>
      <c r="O98" s="223">
        <f>O85+O93</f>
        <v>50.84400000000003</v>
      </c>
      <c r="P98" s="223">
        <f>P85+P93</f>
        <v>57.873000000000005</v>
      </c>
      <c r="Q98" s="223">
        <f>Q85+Q93</f>
        <v>36.485000000000014</v>
      </c>
      <c r="R98" s="223">
        <f>R85+R93</f>
        <v>43.824000000000005</v>
      </c>
      <c r="S98" s="223">
        <f>S85+S93</f>
        <v>189.02599999999995</v>
      </c>
      <c r="T98" s="223"/>
      <c r="U98" s="223">
        <f>U85+U93</f>
        <v>13.312000000000003</v>
      </c>
      <c r="V98" s="223">
        <f>V85+V93</f>
        <v>8.3649999999999878</v>
      </c>
      <c r="W98" s="223">
        <f>W85+W93</f>
        <v>24.576000000000022</v>
      </c>
      <c r="X98" s="223">
        <f>X85+X93</f>
        <v>43.041000000000011</v>
      </c>
      <c r="Y98" s="223">
        <f>Y85+Y93</f>
        <v>89.293000000000077</v>
      </c>
      <c r="Z98" s="223"/>
      <c r="AA98" s="223">
        <f>AA85+AA93</f>
        <v>47.943999999999974</v>
      </c>
      <c r="AB98" s="223">
        <f>AB85+AB93</f>
        <v>45.573000000000022</v>
      </c>
      <c r="AC98" s="223">
        <f>AC85+AC93</f>
        <v>41.314000000000007</v>
      </c>
      <c r="AD98" s="223">
        <f>AD85+AD93</f>
        <v>51.525999999999996</v>
      </c>
      <c r="AE98" s="223">
        <f>AE85+AE93</f>
        <v>186.35699999999997</v>
      </c>
      <c r="AF98" s="223"/>
      <c r="AG98" s="223">
        <f>AG85+AG93</f>
        <v>46.893999999999956</v>
      </c>
      <c r="AH98" s="223">
        <f>AH85+AH93</f>
        <v>42.337999999999987</v>
      </c>
      <c r="AI98" s="223">
        <f>AI85+AI93</f>
        <v>29.644999999999992</v>
      </c>
      <c r="AJ98" s="223">
        <f>AJ85+AJ93</f>
        <v>52.888000000000027</v>
      </c>
      <c r="AK98" s="223">
        <f>AK85+AK93</f>
        <v>171.7650000000001</v>
      </c>
      <c r="AL98" s="223"/>
      <c r="AM98" s="223">
        <f>AM85+AM93</f>
        <v>25.70800000000002</v>
      </c>
      <c r="AN98" s="223">
        <f>AN85+AN93</f>
        <v>19.844000000000015</v>
      </c>
      <c r="AO98" s="223">
        <f>AO85+AO93</f>
        <v>7.929999999999974</v>
      </c>
      <c r="AP98" s="223">
        <f>AP85+AP93</f>
        <v>10.871000000000011</v>
      </c>
      <c r="AQ98" s="223">
        <f>AQ85+AQ93</f>
        <v>64.353000000000051</v>
      </c>
      <c r="AR98" s="223"/>
      <c r="AS98" s="223">
        <f>AS85+AS93</f>
        <v>9.8789999999999996</v>
      </c>
      <c r="AT98" s="223">
        <f>AT85+AT93</f>
        <v>17.010999999999974</v>
      </c>
      <c r="AU98" s="223">
        <f>AU85+AU93</f>
        <v>29.744999999999997</v>
      </c>
      <c r="AV98" s="223">
        <f>AV85+AV93</f>
        <v>69.744000000000071</v>
      </c>
      <c r="AW98" s="223">
        <f>AW85+AW93</f>
        <v>126.37900000000008</v>
      </c>
      <c r="AX98" s="223"/>
      <c r="AY98" s="428">
        <f>AY85+AY93</f>
        <v>65.316000000000031</v>
      </c>
      <c r="AZ98" s="428">
        <f>AZ85+AZ93</f>
        <v>56.600000000000009</v>
      </c>
      <c r="BA98" s="428">
        <f>BA85+BA93</f>
        <v>60.899999999999991</v>
      </c>
      <c r="BB98" s="428">
        <f>BB85+BB93</f>
        <v>95.299999999999955</v>
      </c>
      <c r="BC98" s="428">
        <f>BC85+BC93</f>
        <v>278.11600000000016</v>
      </c>
      <c r="BD98" s="223"/>
      <c r="BE98" s="428">
        <f>BE85+BE93</f>
        <v>97.599999999999966</v>
      </c>
      <c r="BF98" s="428">
        <f>BF85+BF93</f>
        <v>95.499999999999957</v>
      </c>
      <c r="BG98" s="428">
        <f>BG85+BG93</f>
        <v>99.500000000000014</v>
      </c>
      <c r="BH98" s="428">
        <f>BH85+BH93</f>
        <v>113.00000000000001</v>
      </c>
      <c r="BI98" s="428">
        <f>BI85+BI93</f>
        <v>405.59999999999997</v>
      </c>
      <c r="BJ98" s="223"/>
      <c r="BK98" s="428">
        <f>BK85+BK93</f>
        <v>104.27199999999999</v>
      </c>
      <c r="BL98" s="428">
        <f>BL85+BL93</f>
        <v>117.40000000000002</v>
      </c>
      <c r="BM98" s="428">
        <f>BM85+BM93</f>
        <v>112.39999999999998</v>
      </c>
      <c r="BN98" s="428">
        <f>BN85+BN93</f>
        <v>146</v>
      </c>
      <c r="BO98" s="1192">
        <f>BO85+BO93</f>
        <v>480.07199999999995</v>
      </c>
      <c r="BP98" s="428"/>
      <c r="BQ98" s="428">
        <f>BQ85+BQ93</f>
        <v>142.00000000000006</v>
      </c>
      <c r="BR98" s="428">
        <f>BR85+BR93</f>
        <v>144.10000000000005</v>
      </c>
      <c r="BS98" s="428">
        <f>BS85+BS93</f>
        <v>159.19999999999996</v>
      </c>
      <c r="BT98" s="428">
        <f>BT85+BT93</f>
        <v>167.40000000000003</v>
      </c>
      <c r="BU98" s="1192">
        <f>SUM(BQ98:BT98)</f>
        <v>612.70000000000005</v>
      </c>
      <c r="BV98" s="428"/>
      <c r="BW98" s="428">
        <f>BW85+BW93</f>
        <v>158.49999999999991</v>
      </c>
      <c r="BX98" s="428">
        <f>BX85+BX93</f>
        <v>176.8</v>
      </c>
      <c r="BY98" s="428">
        <f>BY85+BY93</f>
        <v>173.50000000000009</v>
      </c>
      <c r="BZ98" s="428">
        <f>BZ85+BZ93</f>
        <v>75.899999999999991</v>
      </c>
      <c r="CA98" s="1192">
        <f>SUM(BW98:BZ98)</f>
        <v>584.70000000000005</v>
      </c>
      <c r="CB98" s="223"/>
      <c r="CC98" s="428">
        <f>CC85+CC93</f>
        <v>55.800000000000011</v>
      </c>
      <c r="CD98" s="428">
        <f>CD85+CD93</f>
        <v>75.999999999999957</v>
      </c>
      <c r="CE98" s="428">
        <f>CE85+CE93</f>
        <v>82.299999999999969</v>
      </c>
      <c r="CF98" s="428">
        <f>CF85+CF93</f>
        <v>91.599999999999937</v>
      </c>
      <c r="CG98" s="1192">
        <f>SUM(CC98:CF98)</f>
        <v>305.69999999999982</v>
      </c>
      <c r="CH98" s="223"/>
      <c r="CI98" s="223">
        <f>CI85+CI93</f>
        <v>92.700000000000017</v>
      </c>
      <c r="CJ98" s="223">
        <f>CJ85+CJ93</f>
        <v>116.39999999999995</v>
      </c>
      <c r="CK98" s="223">
        <f>CK85+CK93</f>
        <v>102.79999999999995</v>
      </c>
      <c r="CL98" s="223">
        <f>CL85+CL93</f>
        <v>107.50000000000003</v>
      </c>
      <c r="CM98" s="1278">
        <f>SUM(CI98:CL98)</f>
        <v>419.4</v>
      </c>
      <c r="CN98" s="223"/>
      <c r="CO98" s="223">
        <f>CO85+CO93</f>
        <v>124.99999999999997</v>
      </c>
      <c r="CP98" s="223">
        <f>CP85+CP93</f>
        <v>138</v>
      </c>
      <c r="CQ98" s="223">
        <f>CQ85+CQ93</f>
        <v>136.1999999999999</v>
      </c>
      <c r="CR98" s="223">
        <f>CR85+CR93</f>
        <v>141.49999999999997</v>
      </c>
      <c r="CS98" s="1278">
        <f>SUM(CO98:CR98)</f>
        <v>540.69999999999993</v>
      </c>
      <c r="CT98" s="223"/>
      <c r="CU98" s="223">
        <f>CU85+CU93</f>
        <v>148.5</v>
      </c>
      <c r="CV98" s="223">
        <f>CV85+CV93</f>
        <v>148.39999999999998</v>
      </c>
      <c r="CW98" s="223">
        <f>CW85+CW93</f>
        <v>144.80000000000001</v>
      </c>
      <c r="CX98" s="223">
        <f>CX85+CX93</f>
        <v>154.09999999999991</v>
      </c>
      <c r="CY98" s="1278">
        <f>SUM(CU98:CX98)</f>
        <v>595.79999999999995</v>
      </c>
      <c r="CZ98" s="223"/>
      <c r="DA98" s="223">
        <f>DA85+DA93</f>
        <v>129.19999999999993</v>
      </c>
      <c r="DB98" s="223">
        <f>DB85+DB93</f>
        <v>135.00000000000009</v>
      </c>
      <c r="DC98" s="223">
        <f>DC85+DC93</f>
        <v>123.10000000000001</v>
      </c>
      <c r="DD98" s="223">
        <f>DD85+DD93</f>
        <v>120.09999999999982</v>
      </c>
      <c r="DE98" s="1278">
        <f>SUM(DA98:DD98)</f>
        <v>507.39999999999986</v>
      </c>
      <c r="DF98" s="223"/>
      <c r="DG98" s="223">
        <f>DG85+DG93</f>
        <v>99</v>
      </c>
      <c r="DH98" s="223">
        <f>DH85+DH93</f>
        <v>111.39999999999991</v>
      </c>
      <c r="DI98" s="223">
        <f>DI85+DI93</f>
        <v>78.000000000000014</v>
      </c>
      <c r="DJ98" s="223">
        <f>DJ85+DJ93</f>
        <v>79.599999999999994</v>
      </c>
      <c r="DK98" s="1278">
        <f>SUM(DG98:DJ98)</f>
        <v>367.99999999999989</v>
      </c>
      <c r="DL98" s="223"/>
      <c r="DM98" s="223">
        <f>DM85+DM93</f>
        <v>93.40000000000002</v>
      </c>
      <c r="DN98" s="223">
        <f>DN85+DN93</f>
        <v>59.400000000000048</v>
      </c>
      <c r="DO98" s="223">
        <f>DO85+DO93</f>
        <v>47.499999999999908</v>
      </c>
      <c r="DP98" s="223">
        <f>DP85+DP93</f>
        <v>55.099999999999952</v>
      </c>
      <c r="DQ98" s="1278">
        <f>SUM(DM98:DP98)</f>
        <v>255.39999999999992</v>
      </c>
      <c r="DR98" s="223"/>
      <c r="DS98" s="223">
        <f>DS85+DS93</f>
        <v>-31.095599999999997</v>
      </c>
      <c r="DT98" s="223">
        <f>DT85+DT93</f>
        <v>16.100000000000037</v>
      </c>
      <c r="DU98" s="223">
        <f>DU85+DU93</f>
        <v>-52.699999999999974</v>
      </c>
      <c r="DV98" s="223">
        <f>DV85+DV93</f>
        <v>-82.3</v>
      </c>
      <c r="DW98" s="1278">
        <f>SUM(DS98:DV98)</f>
        <v>-149.99559999999991</v>
      </c>
      <c r="DX98" s="223"/>
      <c r="DY98" s="223">
        <f>DY85+DY93</f>
        <v>-46.999999999999943</v>
      </c>
      <c r="DZ98" s="223">
        <f>DZ85+DZ93</f>
        <v>-34.100000000000065</v>
      </c>
      <c r="EA98" s="223">
        <f>EA85+EA93</f>
        <v>-35.700000000000045</v>
      </c>
      <c r="EB98" s="223">
        <f>EB85+EB93</f>
        <v>-26.900000000000055</v>
      </c>
      <c r="EC98" s="1278">
        <f>SUM(DY98:EB98)</f>
        <v>-143.7000000000001</v>
      </c>
      <c r="ED98" s="223"/>
      <c r="EE98" s="223">
        <f>EE85+EE93</f>
        <v>10.776468313826928</v>
      </c>
      <c r="EF98" s="223">
        <f>EF85+EF93</f>
        <v>46.2566497308094</v>
      </c>
      <c r="EG98" s="223">
        <f>EG85+EG93</f>
        <v>81.648165385433188</v>
      </c>
      <c r="EH98" s="223">
        <f>EH85+EH93</f>
        <v>110.86282230136028</v>
      </c>
      <c r="EI98" s="1278">
        <f>SUM(EE98:EH98)</f>
        <v>249.5441057314298</v>
      </c>
      <c r="EJ98" s="223"/>
      <c r="EK98" s="223">
        <f>EK85+EK93</f>
        <v>143.76362215434085</v>
      </c>
      <c r="EL98" s="223">
        <f>EL85+EL93</f>
        <v>190.28485701277299</v>
      </c>
      <c r="EM98" s="223">
        <f>EM85+EM93</f>
        <v>224.51695955781764</v>
      </c>
      <c r="EN98" s="223">
        <f>EN85+EN93</f>
        <v>281.92511664362877</v>
      </c>
      <c r="EO98" s="1278">
        <f>SUM(EK98:EN98)</f>
        <v>840.49055536856031</v>
      </c>
      <c r="EP98" s="223"/>
      <c r="EQ98" s="223">
        <f>EQ85+EQ93</f>
        <v>182.21571365966929</v>
      </c>
      <c r="ER98" s="223">
        <f>ER85+ER93</f>
        <v>278.2544009140683</v>
      </c>
      <c r="ES98" s="223">
        <f>ES85+ES93</f>
        <v>361.08089373287521</v>
      </c>
      <c r="ET98" s="223">
        <f>ET85+ET93</f>
        <v>486.75091346254834</v>
      </c>
      <c r="EU98" s="1278">
        <f>SUM(EQ98:ET98)</f>
        <v>1308.3019217691613</v>
      </c>
      <c r="EV98" s="623"/>
    </row>
    <row r="99" spans="1:152" ht="4.5" customHeight="1">
      <c r="A99" s="427"/>
      <c r="B99" s="444"/>
      <c r="C99" s="223"/>
      <c r="D99" s="223"/>
      <c r="E99" s="223"/>
      <c r="F99" s="223"/>
      <c r="G99" s="223"/>
      <c r="H99" s="428"/>
      <c r="I99" s="223"/>
      <c r="J99" s="223"/>
      <c r="K99" s="223"/>
      <c r="L99" s="223"/>
      <c r="M99" s="223"/>
      <c r="N99" s="428"/>
      <c r="O99" s="223"/>
      <c r="P99" s="223"/>
      <c r="Q99" s="223"/>
      <c r="R99" s="223"/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  <c r="AI99" s="223"/>
      <c r="AJ99" s="223"/>
      <c r="AK99" s="223"/>
      <c r="AL99" s="223"/>
      <c r="AM99" s="223"/>
      <c r="AN99" s="223"/>
      <c r="AO99" s="223"/>
      <c r="AP99" s="223"/>
      <c r="AQ99" s="223"/>
      <c r="AR99" s="223"/>
      <c r="AS99" s="223"/>
      <c r="AT99" s="223"/>
      <c r="AU99" s="223"/>
      <c r="AV99" s="223"/>
      <c r="AW99" s="223"/>
      <c r="AX99" s="223"/>
      <c r="AY99" s="431"/>
      <c r="AZ99" s="431"/>
      <c r="BA99" s="431"/>
      <c r="BB99" s="431"/>
      <c r="BC99" s="428"/>
      <c r="BD99" s="223"/>
      <c r="BE99" s="431"/>
      <c r="BF99" s="431"/>
      <c r="BG99" s="431"/>
      <c r="BH99" s="431"/>
      <c r="BI99" s="428"/>
      <c r="BJ99" s="428"/>
      <c r="BK99" s="431"/>
      <c r="BL99" s="431"/>
      <c r="BM99" s="431"/>
      <c r="BN99" s="431"/>
      <c r="BO99" s="1192"/>
      <c r="BP99" s="428"/>
      <c r="BQ99" s="431"/>
      <c r="BR99" s="431"/>
      <c r="BS99" s="431"/>
      <c r="BT99" s="431"/>
      <c r="BU99" s="1192"/>
      <c r="BV99" s="428"/>
      <c r="BW99" s="431"/>
      <c r="BX99" s="431"/>
      <c r="BY99" s="431"/>
      <c r="BZ99" s="431"/>
      <c r="CA99" s="1192"/>
      <c r="CB99" s="428"/>
      <c r="CC99" s="431"/>
      <c r="CD99" s="431"/>
      <c r="CE99" s="431"/>
      <c r="CF99" s="431"/>
      <c r="CG99" s="1192"/>
      <c r="CH99" s="428"/>
      <c r="CI99" s="431"/>
      <c r="CJ99" s="431"/>
      <c r="CK99" s="431"/>
      <c r="CL99" s="431"/>
      <c r="CM99" s="1192"/>
      <c r="CN99" s="428"/>
      <c r="CO99" s="431"/>
      <c r="CP99" s="431"/>
      <c r="CQ99" s="431"/>
      <c r="CR99" s="431"/>
      <c r="CS99" s="1192"/>
      <c r="CT99" s="428"/>
      <c r="CU99" s="431"/>
      <c r="CV99" s="431"/>
      <c r="CW99" s="431"/>
      <c r="CX99" s="431"/>
      <c r="CY99" s="1192"/>
      <c r="CZ99" s="428"/>
      <c r="DA99" s="431"/>
      <c r="DB99" s="431"/>
      <c r="DC99" s="431"/>
      <c r="DD99" s="431"/>
      <c r="DE99" s="1192"/>
      <c r="DF99" s="428"/>
      <c r="DG99" s="431"/>
      <c r="DH99" s="431"/>
      <c r="DI99" s="431"/>
      <c r="DJ99" s="431"/>
      <c r="DK99" s="1192"/>
      <c r="DL99" s="428"/>
      <c r="DM99" s="431"/>
      <c r="DN99" s="431"/>
      <c r="DO99" s="431"/>
      <c r="DP99" s="431"/>
      <c r="DQ99" s="1192"/>
      <c r="DR99" s="428"/>
      <c r="DS99" s="431"/>
      <c r="DT99" s="431"/>
      <c r="DU99" s="431"/>
      <c r="DV99" s="431"/>
      <c r="DW99" s="1192"/>
      <c r="DX99" s="428"/>
      <c r="DY99" s="431"/>
      <c r="DZ99" s="431"/>
      <c r="EA99" s="431"/>
      <c r="EB99" s="431"/>
      <c r="EC99" s="1192"/>
      <c r="ED99" s="428"/>
      <c r="EE99" s="431"/>
      <c r="EF99" s="431"/>
      <c r="EG99" s="431"/>
      <c r="EH99" s="431"/>
      <c r="EI99" s="1192"/>
      <c r="EJ99" s="428"/>
      <c r="EK99" s="431"/>
      <c r="EL99" s="431"/>
      <c r="EM99" s="431"/>
      <c r="EN99" s="431"/>
      <c r="EO99" s="1192"/>
      <c r="EP99" s="428"/>
      <c r="EQ99" s="431"/>
      <c r="ER99" s="431"/>
      <c r="ES99" s="431"/>
      <c r="ET99" s="431"/>
      <c r="EU99" s="1192"/>
      <c r="EV99" s="429"/>
    </row>
    <row r="100" spans="1:152" ht="12" customHeight="1">
      <c r="A100" s="447" t="s">
        <v>6056</v>
      </c>
      <c r="B100" s="593" t="s">
        <v>6690</v>
      </c>
      <c r="C100" s="223">
        <v>10.5</v>
      </c>
      <c r="D100" s="223">
        <v>7.9</v>
      </c>
      <c r="E100" s="223">
        <v>3.2</v>
      </c>
      <c r="F100" s="223">
        <v>3.3</v>
      </c>
      <c r="G100" s="223">
        <v>24.9</v>
      </c>
      <c r="H100" s="223"/>
      <c r="I100" s="223">
        <v>4.5</v>
      </c>
      <c r="J100" s="223">
        <v>13.6</v>
      </c>
      <c r="K100" s="223">
        <v>15.3</v>
      </c>
      <c r="L100" s="223">
        <v>20.3</v>
      </c>
      <c r="M100" s="223">
        <v>53.8</v>
      </c>
      <c r="N100" s="223"/>
      <c r="O100" s="223">
        <v>17.154</v>
      </c>
      <c r="P100" s="223">
        <v>19.484999999999999</v>
      </c>
      <c r="Q100" s="223">
        <v>12.48</v>
      </c>
      <c r="R100" s="223">
        <v>14.926</v>
      </c>
      <c r="S100" s="223">
        <f>SUM(O100:R100)</f>
        <v>64.045000000000002</v>
      </c>
      <c r="T100" s="223"/>
      <c r="U100" s="223">
        <v>4.26</v>
      </c>
      <c r="V100" s="223">
        <v>2.677</v>
      </c>
      <c r="W100" s="223">
        <v>7.8963999999999999</v>
      </c>
      <c r="X100" s="223">
        <v>13.772</v>
      </c>
      <c r="Y100" s="223">
        <f>SUM(U100:X100)</f>
        <v>28.605399999999999</v>
      </c>
      <c r="Z100" s="223"/>
      <c r="AA100" s="223">
        <v>15.538</v>
      </c>
      <c r="AB100" s="223">
        <v>14.930999999999999</v>
      </c>
      <c r="AC100" s="223">
        <v>13.561</v>
      </c>
      <c r="AD100" s="223">
        <v>16.632999999999999</v>
      </c>
      <c r="AE100" s="223">
        <f>SUM(AA100:AD100)</f>
        <v>60.662999999999997</v>
      </c>
      <c r="AF100" s="223"/>
      <c r="AG100" s="223">
        <v>14.116</v>
      </c>
      <c r="AH100" s="223">
        <v>12.702</v>
      </c>
      <c r="AI100" s="223">
        <v>8.8940000000000001</v>
      </c>
      <c r="AJ100" s="223">
        <v>15.866</v>
      </c>
      <c r="AK100" s="223">
        <f>SUM(AG100:AJ100)</f>
        <v>51.577999999999996</v>
      </c>
      <c r="AL100" s="223"/>
      <c r="AM100" s="223">
        <v>6.9960000000000004</v>
      </c>
      <c r="AN100" s="223">
        <v>5.37</v>
      </c>
      <c r="AO100" s="223">
        <v>2.1480000000000001</v>
      </c>
      <c r="AP100" s="223">
        <v>2.9420000000000002</v>
      </c>
      <c r="AQ100" s="223">
        <f>SUM(AM100:AP100)</f>
        <v>17.456</v>
      </c>
      <c r="AR100" s="223"/>
      <c r="AS100" s="223">
        <v>2.371</v>
      </c>
      <c r="AT100" s="223">
        <v>4.0830000000000002</v>
      </c>
      <c r="AU100" s="223">
        <v>7.1390000000000002</v>
      </c>
      <c r="AV100" s="223">
        <v>16.739000000000001</v>
      </c>
      <c r="AW100" s="223">
        <f>SUM(AS100:AV100)</f>
        <v>30.332000000000001</v>
      </c>
      <c r="AX100" s="223"/>
      <c r="AY100" s="428">
        <v>13.5</v>
      </c>
      <c r="AZ100" s="431">
        <v>11</v>
      </c>
      <c r="BA100" s="431">
        <v>12.6</v>
      </c>
      <c r="BB100" s="431">
        <v>19.399999999999999</v>
      </c>
      <c r="BC100" s="428">
        <f>SUM(AY100:BB100)</f>
        <v>56.5</v>
      </c>
      <c r="BD100" s="223"/>
      <c r="BE100" s="428">
        <v>20.3</v>
      </c>
      <c r="BF100" s="431">
        <v>19.8</v>
      </c>
      <c r="BG100" s="431">
        <v>20.5</v>
      </c>
      <c r="BH100" s="431">
        <v>20.100000000000001</v>
      </c>
      <c r="BI100" s="428">
        <f>SUM(BE100:BH100)</f>
        <v>80.7</v>
      </c>
      <c r="BJ100" s="223"/>
      <c r="BK100" s="428">
        <v>24.3</v>
      </c>
      <c r="BL100" s="431">
        <v>21.7</v>
      </c>
      <c r="BM100" s="431">
        <v>26.1</v>
      </c>
      <c r="BN100" s="431">
        <v>33.299999999999997</v>
      </c>
      <c r="BO100" s="1192">
        <f>SUM(BK100:BN100)</f>
        <v>105.39999999999999</v>
      </c>
      <c r="BP100" s="428"/>
      <c r="BQ100" s="431">
        <v>35.200000000000003</v>
      </c>
      <c r="BR100" s="431">
        <v>35.700000000000003</v>
      </c>
      <c r="BS100" s="431">
        <v>42.1</v>
      </c>
      <c r="BT100" s="431">
        <v>43.2</v>
      </c>
      <c r="BU100" s="1192">
        <f>SUM(BQ100:BT100)</f>
        <v>156.19999999999999</v>
      </c>
      <c r="BV100" s="428"/>
      <c r="BW100" s="431">
        <f>32.2+9.1</f>
        <v>41.300000000000004</v>
      </c>
      <c r="BX100" s="431">
        <v>46.5</v>
      </c>
      <c r="BY100" s="431">
        <v>43.5</v>
      </c>
      <c r="BZ100" s="431">
        <v>5.6</v>
      </c>
      <c r="CA100" s="1192">
        <f>SUM(BW100:BZ100)</f>
        <v>136.9</v>
      </c>
      <c r="CB100" s="223"/>
      <c r="CC100" s="430">
        <v>13.9</v>
      </c>
      <c r="CD100" s="430">
        <v>19.3</v>
      </c>
      <c r="CE100" s="430">
        <v>19.2</v>
      </c>
      <c r="CF100" s="430">
        <f>8.6+13.1</f>
        <v>21.7</v>
      </c>
      <c r="CG100" s="1278">
        <f>SUM(CC100:CF100)</f>
        <v>74.100000000000009</v>
      </c>
      <c r="CH100" s="223"/>
      <c r="CI100" s="430">
        <f>25</f>
        <v>25</v>
      </c>
      <c r="CJ100" s="430">
        <v>31.4</v>
      </c>
      <c r="CK100" s="430">
        <v>27.8</v>
      </c>
      <c r="CL100" s="430">
        <v>24.8</v>
      </c>
      <c r="CM100" s="1278">
        <f>SUM(CI100:CL100)</f>
        <v>109</v>
      </c>
      <c r="CN100" s="223"/>
      <c r="CO100" s="430">
        <v>31.3</v>
      </c>
      <c r="CP100" s="430">
        <f>34.5</f>
        <v>34.5</v>
      </c>
      <c r="CQ100" s="430">
        <f>18.5+4.2+11.4</f>
        <v>34.1</v>
      </c>
      <c r="CR100" s="430">
        <v>35.4</v>
      </c>
      <c r="CS100" s="1278">
        <f>SUM(CO100:CR100)</f>
        <v>135.30000000000001</v>
      </c>
      <c r="CT100" s="223"/>
      <c r="CU100" s="430">
        <v>38.6</v>
      </c>
      <c r="CV100" s="430">
        <v>37</v>
      </c>
      <c r="CW100" s="430">
        <v>37</v>
      </c>
      <c r="CX100" s="430">
        <f>33.2</f>
        <v>33.200000000000003</v>
      </c>
      <c r="CY100" s="1278">
        <f>SUM(CU100:CX100)</f>
        <v>145.80000000000001</v>
      </c>
      <c r="CZ100" s="223"/>
      <c r="DA100" s="430">
        <v>32.9</v>
      </c>
      <c r="DB100" s="430">
        <v>33.200000000000003</v>
      </c>
      <c r="DC100" s="430">
        <f>11.6+3+14.2</f>
        <v>28.799999999999997</v>
      </c>
      <c r="DD100" s="430">
        <f>2.4+7.9+16.6</f>
        <v>26.900000000000002</v>
      </c>
      <c r="DE100" s="1278">
        <f>SUM(DA100:DD100)</f>
        <v>121.8</v>
      </c>
      <c r="DF100" s="223"/>
      <c r="DG100" s="430">
        <v>25.2</v>
      </c>
      <c r="DH100" s="430">
        <v>29.4</v>
      </c>
      <c r="DI100" s="430">
        <v>20.3</v>
      </c>
      <c r="DJ100" s="430">
        <v>20.8</v>
      </c>
      <c r="DK100" s="1278">
        <f>SUM(DG100:DJ100)</f>
        <v>95.699999999999989</v>
      </c>
      <c r="DL100" s="223"/>
      <c r="DM100" s="430">
        <v>24.3</v>
      </c>
      <c r="DN100" s="430">
        <v>15.4</v>
      </c>
      <c r="DO100" s="430">
        <v>14.4</v>
      </c>
      <c r="DP100" s="430">
        <v>7.2</v>
      </c>
      <c r="DQ100" s="1278">
        <f>SUM(DM100:DP100)</f>
        <v>61.300000000000004</v>
      </c>
      <c r="DR100" s="223"/>
      <c r="DS100" s="430">
        <v>-8.1</v>
      </c>
      <c r="DT100" s="430">
        <v>4.2</v>
      </c>
      <c r="DU100" s="430">
        <v>-13.7</v>
      </c>
      <c r="DV100" s="430">
        <v>-21.4</v>
      </c>
      <c r="DW100" s="1278">
        <f>SUM(DS100:DV100)</f>
        <v>-39</v>
      </c>
      <c r="DX100" s="223"/>
      <c r="DY100" s="430">
        <v>-12.2</v>
      </c>
      <c r="DZ100" s="430">
        <f>17.6+0.1-26.6</f>
        <v>-8.8999999999999986</v>
      </c>
      <c r="EA100" s="430">
        <f>8.6+2.5-20.4</f>
        <v>-9.2999999999999989</v>
      </c>
      <c r="EB100" s="430">
        <f>-24.8+10.5+7.3</f>
        <v>-7.0000000000000009</v>
      </c>
      <c r="EC100" s="1278">
        <f>SUM(DY100:EB100)</f>
        <v>-37.4</v>
      </c>
      <c r="ED100" s="223"/>
      <c r="EE100" s="430">
        <f>EE98*EE101</f>
        <v>2.0475289796271166</v>
      </c>
      <c r="EF100" s="430">
        <f>EF98*EF101</f>
        <v>8.7887634488537856</v>
      </c>
      <c r="EG100" s="430">
        <f>EG98*EG101</f>
        <v>15.513151423232307</v>
      </c>
      <c r="EH100" s="430">
        <f>EH98*EH101</f>
        <v>21.063936237258453</v>
      </c>
      <c r="EI100" s="1278">
        <f>SUM(EE100:EH100)</f>
        <v>47.413380088971664</v>
      </c>
      <c r="EJ100" s="223"/>
      <c r="EK100" s="430">
        <f>EK98*EK101</f>
        <v>25.158633877009649</v>
      </c>
      <c r="EL100" s="430">
        <f>EL98*EL101</f>
        <v>33.299849977235269</v>
      </c>
      <c r="EM100" s="430">
        <f>EM98*EM101</f>
        <v>39.290467922618085</v>
      </c>
      <c r="EN100" s="430">
        <f>EN98*EN101</f>
        <v>49.33689541263503</v>
      </c>
      <c r="EO100" s="1278">
        <f>SUM(EK100:EN100)</f>
        <v>147.08584718949805</v>
      </c>
      <c r="EP100" s="223"/>
      <c r="EQ100" s="430">
        <f>EQ98*EQ101</f>
        <v>31.887749890442123</v>
      </c>
      <c r="ER100" s="430">
        <f>ER98*ER101</f>
        <v>48.694520159961947</v>
      </c>
      <c r="ES100" s="430">
        <f>ES98*ES101</f>
        <v>63.189156403253158</v>
      </c>
      <c r="ET100" s="430">
        <f>ET98*ET101</f>
        <v>85.181409855945958</v>
      </c>
      <c r="EU100" s="1278">
        <f>SUM(EQ100:ET100)</f>
        <v>228.95283630960319</v>
      </c>
      <c r="EV100" s="623"/>
    </row>
    <row r="101" spans="1:152" ht="12" customHeight="1">
      <c r="A101" s="628" t="s">
        <v>6057</v>
      </c>
      <c r="B101" s="631" t="s">
        <v>2351</v>
      </c>
      <c r="C101" s="454">
        <f>C100/C98</f>
        <v>0.35593220338983023</v>
      </c>
      <c r="D101" s="454">
        <f>D100/D98</f>
        <v>0.3640552995391706</v>
      </c>
      <c r="E101" s="454">
        <f>E100/E98</f>
        <v>0.30188679245283062</v>
      </c>
      <c r="F101" s="454">
        <f>F100/F98</f>
        <v>0.35483870967741904</v>
      </c>
      <c r="G101" s="454">
        <f>G100/G98</f>
        <v>0.34922861150070139</v>
      </c>
      <c r="H101" s="454"/>
      <c r="I101" s="454">
        <f>I100/I98</f>
        <v>0.35714285714285704</v>
      </c>
      <c r="J101" s="454">
        <f>J100/J98</f>
        <v>0.35789473684210527</v>
      </c>
      <c r="K101" s="454">
        <f>K100/K98</f>
        <v>0.35091743119266061</v>
      </c>
      <c r="L101" s="454">
        <f>L100/L98</f>
        <v>0.35243055555555541</v>
      </c>
      <c r="M101" s="454">
        <f>M100/M98</f>
        <v>0.35441370223978907</v>
      </c>
      <c r="N101" s="454"/>
      <c r="O101" s="454">
        <f>O100/O98</f>
        <v>0.33738494217606779</v>
      </c>
      <c r="P101" s="454">
        <f>P100/P98</f>
        <v>0.33668550101083405</v>
      </c>
      <c r="Q101" s="454">
        <f>Q100/Q98</f>
        <v>0.34205838015622847</v>
      </c>
      <c r="R101" s="454">
        <f>R100/R98</f>
        <v>0.34058963125228181</v>
      </c>
      <c r="S101" s="454">
        <f>S100/S98</f>
        <v>0.33881582427814172</v>
      </c>
      <c r="T101" s="454"/>
      <c r="U101" s="454">
        <f>U100/U98</f>
        <v>0.32001201923076916</v>
      </c>
      <c r="V101" s="454">
        <f>V100/V98</f>
        <v>0.32002390914524853</v>
      </c>
      <c r="W101" s="454">
        <f>W100/W98</f>
        <v>0.32130533854166637</v>
      </c>
      <c r="X101" s="454">
        <f>X100/X98</f>
        <v>0.3199739782997606</v>
      </c>
      <c r="Y101" s="454">
        <f>Y100/Y98</f>
        <v>0.32035433908593031</v>
      </c>
      <c r="Z101" s="454"/>
      <c r="AA101" s="454">
        <f>AA100/AA98</f>
        <v>0.32408643417320226</v>
      </c>
      <c r="AB101" s="454">
        <f>AB100/AB98</f>
        <v>0.32762820090843248</v>
      </c>
      <c r="AC101" s="454">
        <f>AC100/AC98</f>
        <v>0.32824224233915861</v>
      </c>
      <c r="AD101" s="454">
        <f>AD100/AD98</f>
        <v>0.32280790280635019</v>
      </c>
      <c r="AE101" s="454">
        <f>AE100/AE98</f>
        <v>0.32552037218886332</v>
      </c>
      <c r="AF101" s="454"/>
      <c r="AG101" s="454">
        <f>AG100/AG98</f>
        <v>0.30101932016889182</v>
      </c>
      <c r="AH101" s="454">
        <f>AH100/AH98</f>
        <v>0.30001417166611566</v>
      </c>
      <c r="AI101" s="454">
        <f>AI100/AI98</f>
        <v>0.30001686625063256</v>
      </c>
      <c r="AJ101" s="454">
        <f>AJ100/AJ98</f>
        <v>0.29999243684767796</v>
      </c>
      <c r="AK101" s="454">
        <f>AK100/AK98</f>
        <v>0.30028236253020096</v>
      </c>
      <c r="AL101" s="454"/>
      <c r="AM101" s="454">
        <f>AM100/AM98</f>
        <v>0.27213318811264958</v>
      </c>
      <c r="AN101" s="454">
        <f>AN100/AN98</f>
        <v>0.27061076395887906</v>
      </c>
      <c r="AO101" s="454">
        <f>AO100/AO98</f>
        <v>0.27087011349306522</v>
      </c>
      <c r="AP101" s="454">
        <f>AP100/AP98</f>
        <v>0.27062827706742681</v>
      </c>
      <c r="AQ101" s="454">
        <f>AQ100/AQ98</f>
        <v>0.27125386539866031</v>
      </c>
      <c r="AR101" s="454"/>
      <c r="AS101" s="454">
        <f>AS100/AS98</f>
        <v>0.24000404899281305</v>
      </c>
      <c r="AT101" s="454">
        <f>AT100/AT98</f>
        <v>0.24002116277702701</v>
      </c>
      <c r="AU101" s="454">
        <f>AU100/AU98</f>
        <v>0.2400067238191293</v>
      </c>
      <c r="AV101" s="454">
        <f>AV100/AV98</f>
        <v>0.24000630878641868</v>
      </c>
      <c r="AW101" s="454">
        <f>AW100/AW98</f>
        <v>0.24000822921529671</v>
      </c>
      <c r="AX101" s="454"/>
      <c r="AY101" s="454">
        <f>AY100/AY98</f>
        <v>0.20668748851736166</v>
      </c>
      <c r="AZ101" s="454">
        <f>AZ100/AZ98</f>
        <v>0.19434628975265014</v>
      </c>
      <c r="BA101" s="454">
        <f>BA100/BA98</f>
        <v>0.20689655172413796</v>
      </c>
      <c r="BB101" s="454">
        <f>BB100/BB98</f>
        <v>0.20356768100734532</v>
      </c>
      <c r="BC101" s="454">
        <f>BC100/BC98</f>
        <v>0.20315264134389954</v>
      </c>
      <c r="BD101" s="454"/>
      <c r="BE101" s="454">
        <f>BE100/BE98</f>
        <v>0.2079918032786886</v>
      </c>
      <c r="BF101" s="454">
        <f>BF100/BF98</f>
        <v>0.20732984293193726</v>
      </c>
      <c r="BG101" s="454">
        <f>BG100/BG98</f>
        <v>0.20603015075376882</v>
      </c>
      <c r="BH101" s="454">
        <f>BH100/BH98</f>
        <v>0.17787610619469024</v>
      </c>
      <c r="BI101" s="454">
        <f>BI100/BI98</f>
        <v>0.19896449704142014</v>
      </c>
      <c r="BJ101" s="454"/>
      <c r="BK101" s="454">
        <f>BK100/BK98</f>
        <v>0.23304434555777201</v>
      </c>
      <c r="BL101" s="454">
        <f>BL100/BL98</f>
        <v>0.18483816013628615</v>
      </c>
      <c r="BM101" s="454">
        <f>BM100/BM98</f>
        <v>0.23220640569395024</v>
      </c>
      <c r="BN101" s="454">
        <f>BN100/BN98</f>
        <v>0.2280821917808219</v>
      </c>
      <c r="BO101" s="1265">
        <f>BO100/BO98</f>
        <v>0.21955040077321736</v>
      </c>
      <c r="BP101" s="454"/>
      <c r="BQ101" s="454">
        <f>BQ100/BQ98</f>
        <v>0.24788732394366189</v>
      </c>
      <c r="BR101" s="456">
        <f>BR100/BR98</f>
        <v>0.24774462179042325</v>
      </c>
      <c r="BS101" s="456">
        <f>BS100/BS98</f>
        <v>0.2644472361809046</v>
      </c>
      <c r="BT101" s="456">
        <f>BT100/BT98</f>
        <v>0.2580645161290322</v>
      </c>
      <c r="BU101" s="1265">
        <f>BU100/BU98</f>
        <v>0.25493716337522437</v>
      </c>
      <c r="BV101" s="454"/>
      <c r="BW101" s="456">
        <f>BW100/BW98</f>
        <v>0.26056782334384876</v>
      </c>
      <c r="BX101" s="456">
        <f>BX100/BX98</f>
        <v>0.26300904977375567</v>
      </c>
      <c r="BY101" s="456">
        <f>BY100/BY98</f>
        <v>0.25072046109510077</v>
      </c>
      <c r="BZ101" s="456">
        <f>BZ100/BZ98</f>
        <v>7.378129117259552E-2</v>
      </c>
      <c r="CA101" s="1265">
        <f>CA100/CA98</f>
        <v>0.23413716435779031</v>
      </c>
      <c r="CB101" s="454"/>
      <c r="CC101" s="456">
        <f>CC100/CC98</f>
        <v>0.24910394265232971</v>
      </c>
      <c r="CD101" s="456">
        <f>CD100/CD98</f>
        <v>0.25394736842105281</v>
      </c>
      <c r="CE101" s="456">
        <f>CE100/CE98</f>
        <v>0.23329283110571089</v>
      </c>
      <c r="CF101" s="456">
        <f>CF100/CF98</f>
        <v>0.23689956331877746</v>
      </c>
      <c r="CG101" s="1265">
        <f>CG100/CG98</f>
        <v>0.24239450441609439</v>
      </c>
      <c r="CH101" s="454"/>
      <c r="CI101" s="456">
        <f>CI100/CI98</f>
        <v>0.26968716289104633</v>
      </c>
      <c r="CJ101" s="456">
        <f>CJ100/CJ98</f>
        <v>0.2697594501718214</v>
      </c>
      <c r="CK101" s="456">
        <f>CK100/CK98</f>
        <v>0.27042801556420248</v>
      </c>
      <c r="CL101" s="456">
        <f>CL100/CL98</f>
        <v>0.23069767441860459</v>
      </c>
      <c r="CM101" s="1265">
        <f>CM100/CM98</f>
        <v>0.2598950882212685</v>
      </c>
      <c r="CN101" s="454"/>
      <c r="CO101" s="456">
        <f>CO100/CO98</f>
        <v>0.25040000000000007</v>
      </c>
      <c r="CP101" s="456">
        <f>CP100/CP98</f>
        <v>0.25</v>
      </c>
      <c r="CQ101" s="456">
        <f>CQ100/CQ98</f>
        <v>0.2503671071953012</v>
      </c>
      <c r="CR101" s="456">
        <f>CR100/CR98</f>
        <v>0.25017667844522973</v>
      </c>
      <c r="CS101" s="1265">
        <f>CS100/CS98</f>
        <v>0.25023118180136866</v>
      </c>
      <c r="CT101" s="454"/>
      <c r="CU101" s="456">
        <f>CU100/CU98</f>
        <v>0.25993265993265996</v>
      </c>
      <c r="CV101" s="456">
        <f>CV100/CV98</f>
        <v>0.24932614555256069</v>
      </c>
      <c r="CW101" s="456">
        <f>CW100/CW98</f>
        <v>0.25552486187845302</v>
      </c>
      <c r="CX101" s="456">
        <f>CX100/CX98</f>
        <v>0.21544451654769645</v>
      </c>
      <c r="CY101" s="1265">
        <f>CY100/CY98</f>
        <v>0.24471299093655594</v>
      </c>
      <c r="CZ101" s="454"/>
      <c r="DA101" s="456">
        <f>DA100/DA98</f>
        <v>0.25464396284829732</v>
      </c>
      <c r="DB101" s="456">
        <f>DB100/DB98</f>
        <v>0.2459259259259258</v>
      </c>
      <c r="DC101" s="456">
        <f>DC100/DC98</f>
        <v>0.23395613322502026</v>
      </c>
      <c r="DD101" s="456">
        <f>DD100/DD98</f>
        <v>0.22398001665278969</v>
      </c>
      <c r="DE101" s="1265">
        <f>DE100/DE98</f>
        <v>0.24004729996058344</v>
      </c>
      <c r="DF101" s="454"/>
      <c r="DG101" s="456">
        <f>DG100/DG98</f>
        <v>0.25454545454545452</v>
      </c>
      <c r="DH101" s="456">
        <f>DH100/DH98</f>
        <v>0.26391382405745084</v>
      </c>
      <c r="DI101" s="456">
        <f>DI100/DI98</f>
        <v>0.26025641025641022</v>
      </c>
      <c r="DJ101" s="456">
        <f>DJ100/DJ98</f>
        <v>0.2613065326633166</v>
      </c>
      <c r="DK101" s="1265">
        <f>DK100/DK98</f>
        <v>0.260054347826087</v>
      </c>
      <c r="DL101" s="454"/>
      <c r="DM101" s="456">
        <f>DM100/DM98</f>
        <v>0.26017130620985007</v>
      </c>
      <c r="DN101" s="456">
        <f>DN100/DN98</f>
        <v>0.25925925925925908</v>
      </c>
      <c r="DO101" s="456">
        <f>DO100/DO98</f>
        <v>0.30315789473684268</v>
      </c>
      <c r="DP101" s="456">
        <f>DP100/DP98</f>
        <v>0.13067150635208724</v>
      </c>
      <c r="DQ101" s="1265">
        <f>DQ100/DQ98</f>
        <v>0.24001566170712615</v>
      </c>
      <c r="DR101" s="454"/>
      <c r="DS101" s="456">
        <f>DS100/DS98</f>
        <v>0.26048701423995679</v>
      </c>
      <c r="DT101" s="456">
        <f>DT100/DT98</f>
        <v>0.26086956521739074</v>
      </c>
      <c r="DU101" s="456">
        <f>DU100/DU98</f>
        <v>0.25996204933586348</v>
      </c>
      <c r="DV101" s="456">
        <f>DV100/DV98</f>
        <v>0.2600243013365735</v>
      </c>
      <c r="DW101" s="2084">
        <f>DW100/DW98</f>
        <v>0.26000762689038892</v>
      </c>
      <c r="DX101" s="454"/>
      <c r="DY101" s="456">
        <f>DY100/DY98</f>
        <v>0.2595744680851067</v>
      </c>
      <c r="DZ101" s="456">
        <f>DZ100/DZ98</f>
        <v>0.26099706744867979</v>
      </c>
      <c r="EA101" s="456">
        <f>EA100/EA98</f>
        <v>0.2605042016806719</v>
      </c>
      <c r="EB101" s="456">
        <f>EB100/EB98</f>
        <v>0.26022304832713705</v>
      </c>
      <c r="EC101" s="1265">
        <f>EC100/EC98</f>
        <v>0.26026443980514941</v>
      </c>
      <c r="ED101" s="454"/>
      <c r="EE101" s="2009">
        <v>0.19</v>
      </c>
      <c r="EF101" s="457">
        <f>+EE101</f>
        <v>0.19</v>
      </c>
      <c r="EG101" s="457">
        <f>+EF101</f>
        <v>0.19</v>
      </c>
      <c r="EH101" s="457">
        <f>+EG101</f>
        <v>0.19</v>
      </c>
      <c r="EI101" s="1265">
        <f>EI100/EI98</f>
        <v>0.19</v>
      </c>
      <c r="EJ101" s="454"/>
      <c r="EK101" s="2009">
        <v>0.17499999999999999</v>
      </c>
      <c r="EL101" s="457">
        <f>+EK101</f>
        <v>0.17499999999999999</v>
      </c>
      <c r="EM101" s="457">
        <f>+EL101</f>
        <v>0.17499999999999999</v>
      </c>
      <c r="EN101" s="457">
        <f>+EM101</f>
        <v>0.17499999999999999</v>
      </c>
      <c r="EO101" s="1265">
        <f>EO100/EO98</f>
        <v>0.17499999999999999</v>
      </c>
      <c r="EP101" s="454"/>
      <c r="EQ101" s="2009">
        <v>0.17499999999999999</v>
      </c>
      <c r="ER101" s="457">
        <f>+EQ101</f>
        <v>0.17499999999999999</v>
      </c>
      <c r="ES101" s="457">
        <f>+ER101</f>
        <v>0.17499999999999999</v>
      </c>
      <c r="ET101" s="457">
        <f>+ES101</f>
        <v>0.17499999999999999</v>
      </c>
      <c r="EU101" s="1265">
        <f>EU100/EU98</f>
        <v>0.17499999999999996</v>
      </c>
      <c r="EV101" s="632"/>
    </row>
    <row r="102" spans="1:152" ht="5.25" hidden="1" customHeight="1">
      <c r="A102" s="432"/>
      <c r="B102" s="522"/>
      <c r="C102" s="436"/>
      <c r="D102" s="436"/>
      <c r="E102" s="436"/>
      <c r="F102" s="436"/>
      <c r="G102" s="436"/>
      <c r="H102" s="437"/>
      <c r="I102" s="436"/>
      <c r="J102" s="436"/>
      <c r="K102" s="436"/>
      <c r="L102" s="436"/>
      <c r="M102" s="436"/>
      <c r="N102" s="437"/>
      <c r="O102" s="433"/>
      <c r="P102" s="433"/>
      <c r="Q102" s="433"/>
      <c r="R102" s="433"/>
      <c r="S102" s="433"/>
      <c r="T102" s="437"/>
      <c r="U102" s="433"/>
      <c r="V102" s="433"/>
      <c r="W102" s="433"/>
      <c r="X102" s="433"/>
      <c r="Y102" s="433"/>
      <c r="Z102" s="437"/>
      <c r="AA102" s="433"/>
      <c r="AB102" s="433"/>
      <c r="AC102" s="433"/>
      <c r="AD102" s="433"/>
      <c r="AE102" s="433"/>
      <c r="AF102" s="437"/>
      <c r="AG102" s="433"/>
      <c r="AH102" s="433"/>
      <c r="AI102" s="433"/>
      <c r="AJ102" s="433"/>
      <c r="AK102" s="433"/>
      <c r="AL102" s="437"/>
      <c r="AM102" s="433"/>
      <c r="AN102" s="433"/>
      <c r="AO102" s="433"/>
      <c r="AP102" s="433"/>
      <c r="AQ102" s="433"/>
      <c r="AR102" s="433"/>
      <c r="AS102" s="433"/>
      <c r="AT102" s="433"/>
      <c r="AU102" s="433"/>
      <c r="AV102" s="433"/>
      <c r="AW102" s="433"/>
      <c r="AX102" s="433"/>
      <c r="AY102" s="439"/>
      <c r="AZ102" s="439"/>
      <c r="BA102" s="439"/>
      <c r="BB102" s="439"/>
      <c r="BC102" s="437"/>
      <c r="BD102" s="433"/>
      <c r="BE102" s="439"/>
      <c r="BF102" s="439"/>
      <c r="BG102" s="439"/>
      <c r="BH102" s="439"/>
      <c r="BI102" s="437"/>
      <c r="BJ102" s="437"/>
      <c r="BK102" s="439"/>
      <c r="BL102" s="439"/>
      <c r="BM102" s="439"/>
      <c r="BN102" s="439"/>
      <c r="BO102" s="1266"/>
      <c r="BP102" s="437"/>
      <c r="BQ102" s="439"/>
      <c r="BR102" s="439"/>
      <c r="BS102" s="439"/>
      <c r="BT102" s="439"/>
      <c r="BU102" s="1266"/>
      <c r="BV102" s="437"/>
      <c r="BW102" s="439"/>
      <c r="BX102" s="439"/>
      <c r="BY102" s="439"/>
      <c r="BZ102" s="439"/>
      <c r="CA102" s="1266"/>
      <c r="CB102" s="437"/>
      <c r="CC102" s="439"/>
      <c r="CD102" s="439"/>
      <c r="CE102" s="439"/>
      <c r="CF102" s="439"/>
      <c r="CG102" s="1266"/>
      <c r="CH102" s="437"/>
      <c r="CI102" s="439"/>
      <c r="CJ102" s="439"/>
      <c r="CK102" s="439"/>
      <c r="CL102" s="439"/>
      <c r="CM102" s="1266"/>
      <c r="CN102" s="437"/>
      <c r="CO102" s="439"/>
      <c r="CP102" s="439"/>
      <c r="CQ102" s="439"/>
      <c r="CR102" s="439"/>
      <c r="CS102" s="1266"/>
      <c r="CT102" s="437"/>
      <c r="CU102" s="439"/>
      <c r="CV102" s="439"/>
      <c r="CW102" s="439"/>
      <c r="CX102" s="439"/>
      <c r="CY102" s="1266"/>
      <c r="CZ102" s="437"/>
      <c r="DA102" s="439"/>
      <c r="DB102" s="439"/>
      <c r="DC102" s="439"/>
      <c r="DD102" s="439"/>
      <c r="DE102" s="1266"/>
      <c r="DF102" s="437"/>
      <c r="DG102" s="439"/>
      <c r="DH102" s="439"/>
      <c r="DI102" s="439"/>
      <c r="DJ102" s="439"/>
      <c r="DK102" s="1266"/>
      <c r="DL102" s="437"/>
      <c r="DM102" s="439"/>
      <c r="DN102" s="439"/>
      <c r="DO102" s="439"/>
      <c r="DP102" s="439"/>
      <c r="DQ102" s="1266"/>
      <c r="DR102" s="437"/>
      <c r="DS102" s="439"/>
      <c r="DT102" s="439"/>
      <c r="DU102" s="439"/>
      <c r="DV102" s="439"/>
      <c r="DW102" s="1266"/>
      <c r="DX102" s="437"/>
      <c r="DY102" s="439"/>
      <c r="DZ102" s="439"/>
      <c r="EA102" s="439"/>
      <c r="EB102" s="439"/>
      <c r="EC102" s="1266"/>
      <c r="ED102" s="437"/>
      <c r="EE102" s="439"/>
      <c r="EF102" s="439"/>
      <c r="EG102" s="439"/>
      <c r="EH102" s="439"/>
      <c r="EI102" s="1266"/>
      <c r="EJ102" s="437"/>
      <c r="EK102" s="439"/>
      <c r="EL102" s="439"/>
      <c r="EM102" s="439"/>
      <c r="EN102" s="439"/>
      <c r="EO102" s="1266"/>
      <c r="EP102" s="437"/>
      <c r="EQ102" s="439"/>
      <c r="ER102" s="439"/>
      <c r="ES102" s="439"/>
      <c r="ET102" s="439"/>
      <c r="EU102" s="1266"/>
      <c r="EV102" s="438"/>
    </row>
    <row r="103" spans="1:152" ht="12" hidden="1" customHeight="1">
      <c r="A103" s="622" t="s">
        <v>6040</v>
      </c>
      <c r="B103" s="522"/>
      <c r="C103" s="168">
        <v>0</v>
      </c>
      <c r="D103" s="168">
        <v>0</v>
      </c>
      <c r="E103" s="168">
        <v>0</v>
      </c>
      <c r="F103" s="168">
        <v>0</v>
      </c>
      <c r="G103" s="168">
        <v>0</v>
      </c>
      <c r="H103" s="238"/>
      <c r="I103" s="168">
        <v>0</v>
      </c>
      <c r="J103" s="168">
        <v>0</v>
      </c>
      <c r="K103" s="168">
        <v>0</v>
      </c>
      <c r="L103" s="168">
        <v>0</v>
      </c>
      <c r="M103" s="168">
        <v>0</v>
      </c>
      <c r="N103" s="238"/>
      <c r="O103" s="168">
        <v>0</v>
      </c>
      <c r="P103" s="168">
        <v>0</v>
      </c>
      <c r="Q103" s="168">
        <v>0</v>
      </c>
      <c r="R103" s="168">
        <v>0</v>
      </c>
      <c r="S103" s="168">
        <v>0</v>
      </c>
      <c r="T103" s="238"/>
      <c r="U103" s="168">
        <v>0</v>
      </c>
      <c r="V103" s="168">
        <v>0</v>
      </c>
      <c r="W103" s="168">
        <v>0</v>
      </c>
      <c r="X103" s="168">
        <v>0</v>
      </c>
      <c r="Y103" s="168">
        <f>SUM(U103:X103)</f>
        <v>0</v>
      </c>
      <c r="Z103" s="238"/>
      <c r="AA103" s="168">
        <v>-2.2450000000000001</v>
      </c>
      <c r="AB103" s="168">
        <v>-5.3140000000000001</v>
      </c>
      <c r="AC103" s="168">
        <v>-5.8959999999999999</v>
      </c>
      <c r="AD103" s="168">
        <v>-2.8340000000000001</v>
      </c>
      <c r="AE103" s="168">
        <v>-16.289000000000001</v>
      </c>
      <c r="AF103" s="238"/>
      <c r="AG103" s="168">
        <v>-1.2110000000000001</v>
      </c>
      <c r="AH103" s="168">
        <v>0</v>
      </c>
      <c r="AI103" s="168">
        <v>0</v>
      </c>
      <c r="AJ103" s="168">
        <v>0</v>
      </c>
      <c r="AK103" s="168">
        <f>SUM(AG103:AJ103)</f>
        <v>-1.2110000000000001</v>
      </c>
      <c r="AL103" s="238"/>
      <c r="AM103" s="168">
        <v>0</v>
      </c>
      <c r="AN103" s="168">
        <v>0</v>
      </c>
      <c r="AO103" s="168">
        <v>0</v>
      </c>
      <c r="AP103" s="168">
        <v>0</v>
      </c>
      <c r="AQ103" s="168">
        <f>SUM(AM103:AP103)</f>
        <v>0</v>
      </c>
      <c r="AR103" s="227"/>
      <c r="AS103" s="168">
        <v>0</v>
      </c>
      <c r="AT103" s="168">
        <v>0</v>
      </c>
      <c r="AU103" s="168">
        <v>0</v>
      </c>
      <c r="AV103" s="168">
        <v>0</v>
      </c>
      <c r="AW103" s="168">
        <f>SUM(AS103:AV103)</f>
        <v>0</v>
      </c>
      <c r="AX103" s="227"/>
      <c r="AY103" s="168">
        <v>0</v>
      </c>
      <c r="AZ103" s="168">
        <v>0</v>
      </c>
      <c r="BA103" s="168">
        <v>0</v>
      </c>
      <c r="BB103" s="168">
        <v>0</v>
      </c>
      <c r="BC103" s="168">
        <f>SUM(AY103:BB103)</f>
        <v>0</v>
      </c>
      <c r="BD103" s="227"/>
      <c r="BE103" s="168">
        <v>0</v>
      </c>
      <c r="BF103" s="168">
        <v>0</v>
      </c>
      <c r="BG103" s="168">
        <v>0</v>
      </c>
      <c r="BH103" s="168">
        <v>0</v>
      </c>
      <c r="BI103" s="168">
        <f>SUM(BE103:BH103)</f>
        <v>0</v>
      </c>
      <c r="BJ103" s="238"/>
      <c r="BK103" s="168">
        <v>0</v>
      </c>
      <c r="BL103" s="168">
        <v>0</v>
      </c>
      <c r="BM103" s="168">
        <v>0</v>
      </c>
      <c r="BN103" s="168">
        <v>0</v>
      </c>
      <c r="BO103" s="1170">
        <f>SUM(BK103:BN103)</f>
        <v>0</v>
      </c>
      <c r="BP103" s="238"/>
      <c r="BQ103" s="168">
        <v>0</v>
      </c>
      <c r="BR103" s="168">
        <v>0</v>
      </c>
      <c r="BS103" s="168">
        <v>0</v>
      </c>
      <c r="BT103" s="168">
        <v>0</v>
      </c>
      <c r="BU103" s="1170">
        <f>SUM(BQ103:BT103)</f>
        <v>0</v>
      </c>
      <c r="BV103" s="238"/>
      <c r="BW103" s="168">
        <v>0</v>
      </c>
      <c r="BX103" s="168">
        <v>0</v>
      </c>
      <c r="BY103" s="168">
        <v>0</v>
      </c>
      <c r="BZ103" s="168">
        <v>0</v>
      </c>
      <c r="CA103" s="1170">
        <f>SUM(BW103:BZ103)</f>
        <v>0</v>
      </c>
      <c r="CB103" s="238"/>
      <c r="CC103" s="168">
        <v>0</v>
      </c>
      <c r="CD103" s="168">
        <v>0</v>
      </c>
      <c r="CE103" s="168">
        <v>0</v>
      </c>
      <c r="CF103" s="168">
        <v>0</v>
      </c>
      <c r="CG103" s="1170">
        <f>SUM(CC103:CF103)</f>
        <v>0</v>
      </c>
      <c r="CH103" s="238"/>
      <c r="CI103" s="168">
        <v>0</v>
      </c>
      <c r="CJ103" s="168">
        <v>0</v>
      </c>
      <c r="CK103" s="168">
        <v>0</v>
      </c>
      <c r="CL103" s="168">
        <v>0</v>
      </c>
      <c r="CM103" s="1170">
        <f>SUM(CI103:CL103)</f>
        <v>0</v>
      </c>
      <c r="CN103" s="238"/>
      <c r="CO103" s="168">
        <v>0</v>
      </c>
      <c r="CP103" s="168">
        <v>0</v>
      </c>
      <c r="CQ103" s="168">
        <v>0</v>
      </c>
      <c r="CR103" s="168">
        <v>0</v>
      </c>
      <c r="CS103" s="1170">
        <f>SUM(CO103:CR103)</f>
        <v>0</v>
      </c>
      <c r="CT103" s="238"/>
      <c r="CU103" s="168">
        <v>0</v>
      </c>
      <c r="CV103" s="168">
        <v>0</v>
      </c>
      <c r="CW103" s="168">
        <v>0</v>
      </c>
      <c r="CX103" s="168">
        <v>0</v>
      </c>
      <c r="CY103" s="1170">
        <f>SUM(CU103:CX103)</f>
        <v>0</v>
      </c>
      <c r="CZ103" s="238"/>
      <c r="DA103" s="168">
        <v>0</v>
      </c>
      <c r="DB103" s="168">
        <v>0</v>
      </c>
      <c r="DC103" s="168">
        <v>0</v>
      </c>
      <c r="DD103" s="168">
        <v>0</v>
      </c>
      <c r="DE103" s="1170">
        <f>SUM(DA103:DD103)</f>
        <v>0</v>
      </c>
      <c r="DF103" s="238"/>
      <c r="DG103" s="168">
        <v>0</v>
      </c>
      <c r="DH103" s="168">
        <v>0</v>
      </c>
      <c r="DI103" s="168">
        <v>0</v>
      </c>
      <c r="DJ103" s="168">
        <v>0</v>
      </c>
      <c r="DK103" s="1170">
        <f>SUM(DG103:DJ103)</f>
        <v>0</v>
      </c>
      <c r="DL103" s="238"/>
      <c r="DM103" s="168">
        <v>0</v>
      </c>
      <c r="DN103" s="168">
        <v>0</v>
      </c>
      <c r="DO103" s="168">
        <v>0</v>
      </c>
      <c r="DP103" s="168">
        <v>0</v>
      </c>
      <c r="DQ103" s="1170">
        <f>SUM(DM103:DP103)</f>
        <v>0</v>
      </c>
      <c r="DR103" s="238"/>
      <c r="DS103" s="168">
        <v>0</v>
      </c>
      <c r="DT103" s="168">
        <v>0</v>
      </c>
      <c r="DU103" s="168">
        <v>0</v>
      </c>
      <c r="DV103" s="168">
        <v>0</v>
      </c>
      <c r="DW103" s="1170">
        <f>SUM(DS103:DV103)</f>
        <v>0</v>
      </c>
      <c r="DX103" s="238"/>
      <c r="DY103" s="168">
        <v>0</v>
      </c>
      <c r="DZ103" s="168">
        <v>0</v>
      </c>
      <c r="EA103" s="168">
        <v>0</v>
      </c>
      <c r="EB103" s="168">
        <v>0</v>
      </c>
      <c r="EC103" s="1170">
        <f>SUM(DY103:EB103)</f>
        <v>0</v>
      </c>
      <c r="ED103" s="238"/>
      <c r="EE103" s="168">
        <v>0</v>
      </c>
      <c r="EF103" s="168">
        <v>0</v>
      </c>
      <c r="EG103" s="168">
        <v>0</v>
      </c>
      <c r="EH103" s="168">
        <v>0</v>
      </c>
      <c r="EI103" s="1170">
        <f>SUM(EE103:EH103)</f>
        <v>0</v>
      </c>
      <c r="EJ103" s="238"/>
      <c r="EK103" s="168">
        <v>0</v>
      </c>
      <c r="EL103" s="168">
        <v>0</v>
      </c>
      <c r="EM103" s="168">
        <v>0</v>
      </c>
      <c r="EN103" s="168">
        <v>0</v>
      </c>
      <c r="EO103" s="1170">
        <f>SUM(EK103:EN103)</f>
        <v>0</v>
      </c>
      <c r="EP103" s="238"/>
      <c r="EQ103" s="168">
        <v>0</v>
      </c>
      <c r="ER103" s="168">
        <v>0</v>
      </c>
      <c r="ES103" s="168">
        <v>0</v>
      </c>
      <c r="ET103" s="168">
        <v>0</v>
      </c>
      <c r="EU103" s="1170">
        <f>SUM(EQ103:ET103)</f>
        <v>0</v>
      </c>
      <c r="EV103" s="46"/>
    </row>
    <row r="104" spans="1:152" ht="4.5" customHeight="1">
      <c r="A104" s="432"/>
      <c r="B104" s="522"/>
      <c r="C104" s="436"/>
      <c r="D104" s="436"/>
      <c r="E104" s="436"/>
      <c r="F104" s="436"/>
      <c r="G104" s="436"/>
      <c r="H104" s="437"/>
      <c r="I104" s="436"/>
      <c r="J104" s="436"/>
      <c r="K104" s="436"/>
      <c r="L104" s="436"/>
      <c r="M104" s="436"/>
      <c r="N104" s="437"/>
      <c r="O104" s="436"/>
      <c r="P104" s="436"/>
      <c r="Q104" s="436"/>
      <c r="R104" s="436"/>
      <c r="S104" s="223"/>
      <c r="T104" s="436"/>
      <c r="U104" s="436"/>
      <c r="V104" s="436"/>
      <c r="W104" s="436"/>
      <c r="X104" s="436"/>
      <c r="Y104" s="223"/>
      <c r="Z104" s="436"/>
      <c r="AA104" s="436"/>
      <c r="AB104" s="436"/>
      <c r="AC104" s="436"/>
      <c r="AD104" s="436"/>
      <c r="AE104" s="436"/>
      <c r="AF104" s="436"/>
      <c r="AG104" s="436"/>
      <c r="AH104" s="436"/>
      <c r="AI104" s="436"/>
      <c r="AJ104" s="436"/>
      <c r="AK104" s="223"/>
      <c r="AL104" s="436"/>
      <c r="AM104" s="436"/>
      <c r="AN104" s="436"/>
      <c r="AO104" s="436"/>
      <c r="AP104" s="436"/>
      <c r="AQ104" s="436"/>
      <c r="AR104" s="436"/>
      <c r="AS104" s="436"/>
      <c r="AT104" s="436"/>
      <c r="AU104" s="436"/>
      <c r="AV104" s="436"/>
      <c r="AW104" s="436"/>
      <c r="AX104" s="436"/>
      <c r="AY104" s="440"/>
      <c r="AZ104" s="440"/>
      <c r="BA104" s="440"/>
      <c r="BB104" s="440"/>
      <c r="BC104" s="440"/>
      <c r="BD104" s="436"/>
      <c r="BE104" s="440"/>
      <c r="BF104" s="440"/>
      <c r="BG104" s="440"/>
      <c r="BH104" s="440"/>
      <c r="BI104" s="440"/>
      <c r="BJ104" s="437"/>
      <c r="BK104" s="440"/>
      <c r="BL104" s="440"/>
      <c r="BM104" s="440"/>
      <c r="BN104" s="440"/>
      <c r="BO104" s="1267"/>
      <c r="BP104" s="437"/>
      <c r="BQ104" s="440"/>
      <c r="BR104" s="440"/>
      <c r="BS104" s="440"/>
      <c r="BT104" s="440"/>
      <c r="BU104" s="1267"/>
      <c r="BV104" s="437"/>
      <c r="BW104" s="440"/>
      <c r="BX104" s="440"/>
      <c r="BY104" s="440"/>
      <c r="BZ104" s="440"/>
      <c r="CA104" s="1267"/>
      <c r="CB104" s="437"/>
      <c r="CC104" s="440"/>
      <c r="CD104" s="440"/>
      <c r="CE104" s="440"/>
      <c r="CF104" s="440"/>
      <c r="CG104" s="1267"/>
      <c r="CH104" s="437"/>
      <c r="CI104" s="440"/>
      <c r="CJ104" s="440"/>
      <c r="CK104" s="440"/>
      <c r="CL104" s="440"/>
      <c r="CM104" s="1267"/>
      <c r="CN104" s="437"/>
      <c r="CO104" s="440"/>
      <c r="CP104" s="440"/>
      <c r="CQ104" s="440"/>
      <c r="CR104" s="440"/>
      <c r="CS104" s="1267"/>
      <c r="CT104" s="437"/>
      <c r="CU104" s="440"/>
      <c r="CV104" s="440"/>
      <c r="CW104" s="440"/>
      <c r="CX104" s="440"/>
      <c r="CY104" s="1267"/>
      <c r="CZ104" s="437"/>
      <c r="DA104" s="440"/>
      <c r="DB104" s="440"/>
      <c r="DC104" s="440"/>
      <c r="DD104" s="440"/>
      <c r="DE104" s="1267"/>
      <c r="DF104" s="437"/>
      <c r="DG104" s="440"/>
      <c r="DH104" s="440"/>
      <c r="DI104" s="440"/>
      <c r="DJ104" s="440"/>
      <c r="DK104" s="1267"/>
      <c r="DL104" s="437"/>
      <c r="DM104" s="440"/>
      <c r="DN104" s="440"/>
      <c r="DO104" s="440"/>
      <c r="DP104" s="440"/>
      <c r="DQ104" s="1267"/>
      <c r="DR104" s="437"/>
      <c r="DS104" s="440"/>
      <c r="DT104" s="440"/>
      <c r="DU104" s="440"/>
      <c r="DV104" s="440"/>
      <c r="DW104" s="1267"/>
      <c r="DX104" s="437"/>
      <c r="DY104" s="440"/>
      <c r="DZ104" s="440"/>
      <c r="EA104" s="440"/>
      <c r="EB104" s="440"/>
      <c r="EC104" s="1267"/>
      <c r="ED104" s="437"/>
      <c r="EE104" s="440"/>
      <c r="EF104" s="440"/>
      <c r="EG104" s="440"/>
      <c r="EH104" s="440"/>
      <c r="EI104" s="1267"/>
      <c r="EJ104" s="437"/>
      <c r="EK104" s="440"/>
      <c r="EL104" s="440"/>
      <c r="EM104" s="440"/>
      <c r="EN104" s="440"/>
      <c r="EO104" s="1267"/>
      <c r="EP104" s="437"/>
      <c r="EQ104" s="440"/>
      <c r="ER104" s="440"/>
      <c r="ES104" s="440"/>
      <c r="ET104" s="440"/>
      <c r="EU104" s="1267"/>
      <c r="EV104" s="438"/>
    </row>
    <row r="105" spans="1:152" ht="12" customHeight="1">
      <c r="A105" s="447" t="s">
        <v>6058</v>
      </c>
      <c r="B105" s="620" t="s">
        <v>2352</v>
      </c>
      <c r="C105" s="223">
        <f>C98-C100+C103</f>
        <v>19.000000000000021</v>
      </c>
      <c r="D105" s="223">
        <f>D98-D100+D103</f>
        <v>13.799999999999995</v>
      </c>
      <c r="E105" s="223">
        <f>E98-E100+E103</f>
        <v>7.3999999999999853</v>
      </c>
      <c r="F105" s="223">
        <f>F98-F100+F103</f>
        <v>6.000000000000008</v>
      </c>
      <c r="G105" s="223">
        <f>G98-G100+G103</f>
        <v>46.39999999999997</v>
      </c>
      <c r="H105" s="436"/>
      <c r="I105" s="223">
        <f>I98-I100+I103</f>
        <v>8.1000000000000032</v>
      </c>
      <c r="J105" s="223">
        <f>J98-J100+J103</f>
        <v>24.4</v>
      </c>
      <c r="K105" s="223">
        <f>K98-K100+K103</f>
        <v>28.299999999999994</v>
      </c>
      <c r="L105" s="223">
        <f>L98-L100+L103</f>
        <v>37.300000000000026</v>
      </c>
      <c r="M105" s="223">
        <f>M98-M100+M103</f>
        <v>98.000000000000043</v>
      </c>
      <c r="N105" s="436"/>
      <c r="O105" s="223">
        <f>O98-O100+O103</f>
        <v>33.690000000000026</v>
      </c>
      <c r="P105" s="223">
        <f>P98-P100+P103</f>
        <v>38.388000000000005</v>
      </c>
      <c r="Q105" s="223">
        <f>Q98-Q100+Q103</f>
        <v>24.005000000000013</v>
      </c>
      <c r="R105" s="223">
        <f>R98-R100+R103</f>
        <v>28.898000000000003</v>
      </c>
      <c r="S105" s="223">
        <f>S98-S100+S103</f>
        <v>124.98099999999995</v>
      </c>
      <c r="T105" s="436"/>
      <c r="U105" s="223">
        <f>U98-U100+U103</f>
        <v>9.0520000000000032</v>
      </c>
      <c r="V105" s="223">
        <f>V98-V100+V103</f>
        <v>5.6879999999999882</v>
      </c>
      <c r="W105" s="223">
        <f>W98-W100+W103</f>
        <v>16.679600000000022</v>
      </c>
      <c r="X105" s="223">
        <f>X98-X100+X103</f>
        <v>29.269000000000013</v>
      </c>
      <c r="Y105" s="223">
        <f>Y98-Y100+Y103</f>
        <v>60.687600000000074</v>
      </c>
      <c r="Z105" s="436"/>
      <c r="AA105" s="223">
        <f>AA98-AA100+AA103</f>
        <v>30.160999999999976</v>
      </c>
      <c r="AB105" s="223">
        <f>AB98-AB100+AB103</f>
        <v>25.328000000000024</v>
      </c>
      <c r="AC105" s="223">
        <f>AC98-AC100+AC103</f>
        <v>21.857000000000006</v>
      </c>
      <c r="AD105" s="223">
        <f>AD98-AD100+AD103</f>
        <v>32.058999999999997</v>
      </c>
      <c r="AE105" s="223">
        <f>AE98-AE100+AE103</f>
        <v>109.40499999999997</v>
      </c>
      <c r="AF105" s="436"/>
      <c r="AG105" s="223">
        <f>AG98-AG100+AG103</f>
        <v>31.566999999999958</v>
      </c>
      <c r="AH105" s="223">
        <f>AH98-AH100+AH103</f>
        <v>29.635999999999989</v>
      </c>
      <c r="AI105" s="223">
        <f>AI98-AI100+AI103</f>
        <v>20.750999999999991</v>
      </c>
      <c r="AJ105" s="223">
        <f>AJ98-AJ100+AJ103</f>
        <v>37.022000000000027</v>
      </c>
      <c r="AK105" s="223">
        <f>AK98-AK100+AK103</f>
        <v>118.9760000000001</v>
      </c>
      <c r="AL105" s="436"/>
      <c r="AM105" s="223">
        <f>AM98-AM100</f>
        <v>18.712000000000018</v>
      </c>
      <c r="AN105" s="223">
        <f>AN98-AN100</f>
        <v>14.474000000000014</v>
      </c>
      <c r="AO105" s="223">
        <f>AO98-AO100</f>
        <v>5.7819999999999734</v>
      </c>
      <c r="AP105" s="223">
        <f>AP98-AP100</f>
        <v>7.9290000000000109</v>
      </c>
      <c r="AQ105" s="223">
        <f>AQ98-AQ100</f>
        <v>46.897000000000048</v>
      </c>
      <c r="AR105" s="441"/>
      <c r="AS105" s="223">
        <f>AS98-AS100</f>
        <v>7.5079999999999991</v>
      </c>
      <c r="AT105" s="223">
        <f>AT98-AT100</f>
        <v>12.927999999999974</v>
      </c>
      <c r="AU105" s="223">
        <f>AU98-AU100</f>
        <v>22.605999999999998</v>
      </c>
      <c r="AV105" s="223">
        <f>AV98-AV100</f>
        <v>53.005000000000067</v>
      </c>
      <c r="AW105" s="223">
        <f>AW98-AW100</f>
        <v>96.047000000000082</v>
      </c>
      <c r="AX105" s="223"/>
      <c r="AY105" s="428">
        <f>AY98-AY100</f>
        <v>51.816000000000031</v>
      </c>
      <c r="AZ105" s="428">
        <f>AZ98-AZ100</f>
        <v>45.600000000000009</v>
      </c>
      <c r="BA105" s="428">
        <f>BA98-BA100</f>
        <v>48.29999999999999</v>
      </c>
      <c r="BB105" s="428">
        <f>BB98-BB100</f>
        <v>75.899999999999949</v>
      </c>
      <c r="BC105" s="428">
        <f>BC98-BC100</f>
        <v>221.61600000000016</v>
      </c>
      <c r="BD105" s="223"/>
      <c r="BE105" s="428">
        <f>BE98-BE100</f>
        <v>77.299999999999969</v>
      </c>
      <c r="BF105" s="428">
        <f>BF98-BF100</f>
        <v>75.69999999999996</v>
      </c>
      <c r="BG105" s="428">
        <f>BG98-BG100</f>
        <v>79.000000000000014</v>
      </c>
      <c r="BH105" s="428">
        <f>BH98-BH100</f>
        <v>92.9</v>
      </c>
      <c r="BI105" s="428">
        <f>BI98-BI100</f>
        <v>324.89999999999998</v>
      </c>
      <c r="BJ105" s="437"/>
      <c r="BK105" s="428">
        <f>BK98-BK100</f>
        <v>79.971999999999994</v>
      </c>
      <c r="BL105" s="428">
        <f>BL98-BL100</f>
        <v>95.700000000000017</v>
      </c>
      <c r="BM105" s="428">
        <f>BM98-BM100</f>
        <v>86.299999999999983</v>
      </c>
      <c r="BN105" s="428">
        <f>BN98-BN100</f>
        <v>112.7</v>
      </c>
      <c r="BO105" s="1192">
        <f>BO98-BO100</f>
        <v>374.67199999999997</v>
      </c>
      <c r="BP105" s="437"/>
      <c r="BQ105" s="428">
        <f>BQ98-BQ100</f>
        <v>106.80000000000005</v>
      </c>
      <c r="BR105" s="428">
        <f>BR98-BR100</f>
        <v>108.40000000000005</v>
      </c>
      <c r="BS105" s="428">
        <f>BS98-BS100</f>
        <v>117.09999999999997</v>
      </c>
      <c r="BT105" s="428">
        <f>BT98-BT100</f>
        <v>124.20000000000003</v>
      </c>
      <c r="BU105" s="1192">
        <f>BU98-BU100</f>
        <v>456.50000000000006</v>
      </c>
      <c r="BV105" s="437"/>
      <c r="BW105" s="428">
        <f>BW98-BW100</f>
        <v>117.1999999999999</v>
      </c>
      <c r="BX105" s="428">
        <f>BX98-BX100</f>
        <v>130.30000000000001</v>
      </c>
      <c r="BY105" s="428">
        <f>BY98-BY100</f>
        <v>130.00000000000009</v>
      </c>
      <c r="BZ105" s="223">
        <f>BZ98-BZ100</f>
        <v>70.3</v>
      </c>
      <c r="CA105" s="1192">
        <f>CA98-CA100</f>
        <v>447.80000000000007</v>
      </c>
      <c r="CB105" s="436"/>
      <c r="CC105" s="428">
        <f>CC98-CC100</f>
        <v>41.900000000000013</v>
      </c>
      <c r="CD105" s="428">
        <f>CD98-CD100</f>
        <v>56.69999999999996</v>
      </c>
      <c r="CE105" s="428">
        <f>CE98-CE100</f>
        <v>63.099999999999966</v>
      </c>
      <c r="CF105" s="428">
        <f>CF98-CF100</f>
        <v>69.899999999999935</v>
      </c>
      <c r="CG105" s="1192">
        <f>CG98-CG100</f>
        <v>231.5999999999998</v>
      </c>
      <c r="CH105" s="436"/>
      <c r="CI105" s="223">
        <f>CI98-CI100</f>
        <v>67.700000000000017</v>
      </c>
      <c r="CJ105" s="223">
        <f>CJ98-CJ100</f>
        <v>84.999999999999943</v>
      </c>
      <c r="CK105" s="223">
        <f>CK98-CK100</f>
        <v>74.999999999999957</v>
      </c>
      <c r="CL105" s="223">
        <f>CL98-CL100</f>
        <v>82.700000000000031</v>
      </c>
      <c r="CM105" s="1278">
        <f>CM98-CM100</f>
        <v>310.39999999999998</v>
      </c>
      <c r="CN105" s="436"/>
      <c r="CO105" s="223">
        <f>CO98-CO100</f>
        <v>93.699999999999974</v>
      </c>
      <c r="CP105" s="223">
        <f>CP98-CP100</f>
        <v>103.5</v>
      </c>
      <c r="CQ105" s="223">
        <f>CQ98-CQ100</f>
        <v>102.09999999999991</v>
      </c>
      <c r="CR105" s="223">
        <f>CR98-CR100</f>
        <v>106.09999999999997</v>
      </c>
      <c r="CS105" s="1278">
        <f>CS98-CS100</f>
        <v>405.39999999999992</v>
      </c>
      <c r="CT105" s="436"/>
      <c r="CU105" s="223">
        <f>CU98-CU100</f>
        <v>109.9</v>
      </c>
      <c r="CV105" s="223">
        <f>CV98-CV100</f>
        <v>111.39999999999998</v>
      </c>
      <c r="CW105" s="223">
        <f>CW98-CW100</f>
        <v>107.80000000000001</v>
      </c>
      <c r="CX105" s="223">
        <f>CX98-CX100</f>
        <v>120.89999999999991</v>
      </c>
      <c r="CY105" s="1278">
        <f>CY98-CY100</f>
        <v>449.99999999999994</v>
      </c>
      <c r="CZ105" s="436"/>
      <c r="DA105" s="223">
        <f>DA98-DA100</f>
        <v>96.299999999999926</v>
      </c>
      <c r="DB105" s="223">
        <f>DB98-DB100</f>
        <v>101.80000000000008</v>
      </c>
      <c r="DC105" s="223">
        <f>DC98-DC100</f>
        <v>94.300000000000011</v>
      </c>
      <c r="DD105" s="223">
        <f>DD98-DD100</f>
        <v>93.199999999999818</v>
      </c>
      <c r="DE105" s="1278">
        <f>DE98-DE100</f>
        <v>385.59999999999985</v>
      </c>
      <c r="DF105" s="436"/>
      <c r="DG105" s="223">
        <f>DG98-DG100</f>
        <v>73.8</v>
      </c>
      <c r="DH105" s="223">
        <f>DH98-DH100</f>
        <v>81.999999999999915</v>
      </c>
      <c r="DI105" s="223">
        <f>DI98-DI100</f>
        <v>57.700000000000017</v>
      </c>
      <c r="DJ105" s="223">
        <f>DJ98-DJ100</f>
        <v>58.8</v>
      </c>
      <c r="DK105" s="1278">
        <f>DK98-DK100</f>
        <v>272.2999999999999</v>
      </c>
      <c r="DL105" s="436"/>
      <c r="DM105" s="223">
        <f>DM98-DM100</f>
        <v>69.100000000000023</v>
      </c>
      <c r="DN105" s="223">
        <f>DN98-DN100</f>
        <v>44.00000000000005</v>
      </c>
      <c r="DO105" s="223">
        <f>DO98-DO100</f>
        <v>33.099999999999909</v>
      </c>
      <c r="DP105" s="223">
        <f>DP98-DP100</f>
        <v>47.899999999999949</v>
      </c>
      <c r="DQ105" s="1278">
        <f>DQ98-DQ100</f>
        <v>194.09999999999991</v>
      </c>
      <c r="DR105" s="436"/>
      <c r="DS105" s="223">
        <f>DS98-DS100</f>
        <v>-22.995599999999996</v>
      </c>
      <c r="DT105" s="223">
        <f>DT98-DT100</f>
        <v>11.900000000000038</v>
      </c>
      <c r="DU105" s="223">
        <f>DU98-DU100</f>
        <v>-38.999999999999972</v>
      </c>
      <c r="DV105" s="223">
        <f>DV98-DV100</f>
        <v>-60.9</v>
      </c>
      <c r="DW105" s="1278">
        <f>DW98-DW100</f>
        <v>-110.99559999999991</v>
      </c>
      <c r="DX105" s="436"/>
      <c r="DY105" s="223">
        <f>DY98-DY100</f>
        <v>-34.79999999999994</v>
      </c>
      <c r="DZ105" s="223">
        <f>DZ98-DZ100</f>
        <v>-25.200000000000067</v>
      </c>
      <c r="EA105" s="223">
        <f>EA98-EA100</f>
        <v>-26.400000000000048</v>
      </c>
      <c r="EB105" s="223">
        <f>EB98-EB100</f>
        <v>-19.900000000000055</v>
      </c>
      <c r="EC105" s="1278">
        <f>EC98-EC100</f>
        <v>-106.3000000000001</v>
      </c>
      <c r="ED105" s="436"/>
      <c r="EE105" s="223">
        <f>EE98-EE100</f>
        <v>8.7289393341998114</v>
      </c>
      <c r="EF105" s="223">
        <f>EF98-EF100</f>
        <v>37.467886281955614</v>
      </c>
      <c r="EG105" s="223">
        <f>EG98-EG100</f>
        <v>66.135013962200887</v>
      </c>
      <c r="EH105" s="223">
        <f>EH98-EH100</f>
        <v>89.798886064101822</v>
      </c>
      <c r="EI105" s="1278">
        <f>EI98-EI100</f>
        <v>202.13072564245812</v>
      </c>
      <c r="EJ105" s="436"/>
      <c r="EK105" s="223">
        <f>EK98-EK100</f>
        <v>118.6049882773312</v>
      </c>
      <c r="EL105" s="223">
        <f>EL98-EL100</f>
        <v>156.98500703553771</v>
      </c>
      <c r="EM105" s="223">
        <f>EM98-EM100</f>
        <v>185.22649163519955</v>
      </c>
      <c r="EN105" s="223">
        <f>EN98-EN100</f>
        <v>232.58822123099372</v>
      </c>
      <c r="EO105" s="1278">
        <f>EO98-EO100</f>
        <v>693.40470817906225</v>
      </c>
      <c r="EP105" s="436"/>
      <c r="EQ105" s="223">
        <f>EQ98-EQ100</f>
        <v>150.32796376922715</v>
      </c>
      <c r="ER105" s="223">
        <f>ER98-ER100</f>
        <v>229.55988075410636</v>
      </c>
      <c r="ES105" s="223">
        <f>ES98-ES100</f>
        <v>297.89173732962206</v>
      </c>
      <c r="ET105" s="223">
        <f>ET98-ET100</f>
        <v>401.56950360660238</v>
      </c>
      <c r="EU105" s="1278">
        <f>EU98-EU100</f>
        <v>1079.349085459558</v>
      </c>
      <c r="EV105" s="621"/>
    </row>
    <row r="106" spans="1:152" ht="6.75" customHeight="1" thickBot="1">
      <c r="A106" s="41"/>
      <c r="B106" s="444"/>
      <c r="C106" s="168"/>
      <c r="D106" s="168"/>
      <c r="E106" s="168"/>
      <c r="F106" s="168"/>
      <c r="G106" s="168"/>
      <c r="H106" s="61"/>
      <c r="I106" s="168"/>
      <c r="J106" s="168"/>
      <c r="K106" s="168"/>
      <c r="L106" s="168"/>
      <c r="M106" s="168"/>
      <c r="N106" s="61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  <c r="AA106" s="168"/>
      <c r="AB106" s="168"/>
      <c r="AC106" s="168"/>
      <c r="AD106" s="168"/>
      <c r="AE106" s="168"/>
      <c r="AF106" s="168"/>
      <c r="AG106" s="168"/>
      <c r="AH106" s="168"/>
      <c r="AI106" s="168"/>
      <c r="AJ106" s="168"/>
      <c r="AK106" s="168"/>
      <c r="AL106" s="168"/>
      <c r="AM106" s="168"/>
      <c r="AN106" s="168"/>
      <c r="AO106" s="168"/>
      <c r="AP106" s="168"/>
      <c r="AQ106" s="168"/>
      <c r="AR106" s="168"/>
      <c r="AS106" s="168"/>
      <c r="AT106" s="168"/>
      <c r="AU106" s="168"/>
      <c r="AV106" s="168"/>
      <c r="AW106" s="168"/>
      <c r="AX106" s="168"/>
      <c r="AY106" s="360"/>
      <c r="AZ106" s="360"/>
      <c r="BA106" s="360"/>
      <c r="BB106" s="360"/>
      <c r="BC106" s="360"/>
      <c r="BD106" s="168"/>
      <c r="BE106" s="360"/>
      <c r="BF106" s="360"/>
      <c r="BG106" s="360"/>
      <c r="BH106" s="360"/>
      <c r="BI106" s="360"/>
      <c r="BJ106" s="61"/>
      <c r="BK106" s="360"/>
      <c r="BL106" s="360"/>
      <c r="BM106" s="360"/>
      <c r="BN106" s="360"/>
      <c r="BO106" s="1268"/>
      <c r="BP106" s="61"/>
      <c r="BQ106" s="360"/>
      <c r="BR106" s="360"/>
      <c r="BS106" s="360"/>
      <c r="BT106" s="360"/>
      <c r="BU106" s="1268"/>
      <c r="BV106" s="61"/>
      <c r="BW106" s="360"/>
      <c r="BX106" s="360"/>
      <c r="BY106" s="360"/>
      <c r="BZ106" s="360"/>
      <c r="CA106" s="1268"/>
      <c r="CB106" s="61"/>
      <c r="CC106" s="360"/>
      <c r="CD106" s="360"/>
      <c r="CE106" s="360"/>
      <c r="CF106" s="360"/>
      <c r="CG106" s="1268"/>
      <c r="CH106" s="61"/>
      <c r="CI106" s="360"/>
      <c r="CJ106" s="360"/>
      <c r="CK106" s="360"/>
      <c r="CL106" s="360"/>
      <c r="CM106" s="1268"/>
      <c r="CN106" s="61"/>
      <c r="CO106" s="360"/>
      <c r="CP106" s="360"/>
      <c r="CQ106" s="360"/>
      <c r="CR106" s="360"/>
      <c r="CS106" s="1268"/>
      <c r="CT106" s="61"/>
      <c r="CU106" s="360"/>
      <c r="CV106" s="360"/>
      <c r="CW106" s="360"/>
      <c r="CX106" s="360"/>
      <c r="CY106" s="1268"/>
      <c r="CZ106" s="61"/>
      <c r="DA106" s="360"/>
      <c r="DB106" s="360"/>
      <c r="DC106" s="360"/>
      <c r="DD106" s="360"/>
      <c r="DE106" s="1268"/>
      <c r="DF106" s="61"/>
      <c r="DG106" s="360"/>
      <c r="DH106" s="360"/>
      <c r="DI106" s="360"/>
      <c r="DJ106" s="360"/>
      <c r="DK106" s="1268"/>
      <c r="DL106" s="61"/>
      <c r="DM106" s="360"/>
      <c r="DN106" s="360"/>
      <c r="DO106" s="360"/>
      <c r="DP106" s="360"/>
      <c r="DQ106" s="1268"/>
      <c r="DR106" s="61"/>
      <c r="DS106" s="360"/>
      <c r="DT106" s="360"/>
      <c r="DU106" s="360"/>
      <c r="DV106" s="360"/>
      <c r="DW106" s="1268"/>
      <c r="DX106" s="61"/>
      <c r="DY106" s="360"/>
      <c r="DZ106" s="360"/>
      <c r="EA106" s="360"/>
      <c r="EB106" s="360"/>
      <c r="EC106" s="1268"/>
      <c r="ED106" s="61"/>
      <c r="EE106" s="360"/>
      <c r="EF106" s="360"/>
      <c r="EG106" s="360"/>
      <c r="EH106" s="360"/>
      <c r="EI106" s="1268"/>
      <c r="EJ106" s="61"/>
      <c r="EK106" s="360"/>
      <c r="EL106" s="360"/>
      <c r="EM106" s="360"/>
      <c r="EN106" s="360"/>
      <c r="EO106" s="1268"/>
      <c r="EP106" s="61"/>
      <c r="EQ106" s="360"/>
      <c r="ER106" s="360"/>
      <c r="ES106" s="360"/>
      <c r="ET106" s="360"/>
      <c r="EU106" s="1268"/>
      <c r="EV106" s="45"/>
    </row>
    <row r="107" spans="1:152">
      <c r="A107" s="1227" t="s">
        <v>5249</v>
      </c>
      <c r="B107" s="1228" t="s">
        <v>2354</v>
      </c>
      <c r="C107" s="1229">
        <f>ROUND(C105/C153,5)</f>
        <v>9.7640000000000005E-2</v>
      </c>
      <c r="D107" s="1229">
        <f>ROUND(D105/D153,5)</f>
        <v>7.2559999999999999E-2</v>
      </c>
      <c r="E107" s="1229">
        <f>ROUND(E105/E153,5)</f>
        <v>4.0750000000000001E-2</v>
      </c>
      <c r="F107" s="1229">
        <f>ROUND(F105/F153,5)</f>
        <v>3.2539999999999999E-2</v>
      </c>
      <c r="G107" s="1229">
        <f>ROUND(G105/G153,5)</f>
        <v>0.24576000000000001</v>
      </c>
      <c r="H107" s="1229"/>
      <c r="I107" s="1229">
        <f>ROUND(I105/I153,5)</f>
        <v>3.4849999999999999E-2</v>
      </c>
      <c r="J107" s="1229">
        <f>ROUND(J105/J153,5)</f>
        <v>9.8949999999999996E-2</v>
      </c>
      <c r="K107" s="1229">
        <f>ROUND(K105/K153,5)</f>
        <v>0.11484999999999999</v>
      </c>
      <c r="L107" s="1229">
        <f>ROUND(L105/L153,5)</f>
        <v>0.15817999999999999</v>
      </c>
      <c r="M107" s="1229">
        <f>ROUND(M105/M153,5)</f>
        <v>0.41004000000000002</v>
      </c>
      <c r="N107" s="1229"/>
      <c r="O107" s="1229">
        <f>ROUND(O105/O153,5)</f>
        <v>0.13938999999999999</v>
      </c>
      <c r="P107" s="1229">
        <f>ROUND(P105/P153,5)</f>
        <v>0.16088</v>
      </c>
      <c r="Q107" s="1229">
        <f>ROUND(Q105/Q153,5)</f>
        <v>0.10431</v>
      </c>
      <c r="R107" s="1229">
        <f>ROUND(R105/R153,5)</f>
        <v>0.12010999999999999</v>
      </c>
      <c r="S107" s="1229">
        <f>ROUND(S105/S153,5)</f>
        <v>0.52832000000000001</v>
      </c>
      <c r="T107" s="1229"/>
      <c r="U107" s="1229">
        <f>ROUND(U105/U153,5)</f>
        <v>3.8399999999999997E-2</v>
      </c>
      <c r="V107" s="1229">
        <f>ROUND(V105/V153,5)</f>
        <v>2.3109999999999999E-2</v>
      </c>
      <c r="W107" s="1229">
        <f>ROUND(W105/W153,5)</f>
        <v>6.7820000000000005E-2</v>
      </c>
      <c r="X107" s="1229">
        <f>ROUND(X105/X153,5)</f>
        <v>0.11876</v>
      </c>
      <c r="Y107" s="1229">
        <f>ROUND(Y105/Y153,5)</f>
        <v>0.24707999999999999</v>
      </c>
      <c r="Z107" s="1229"/>
      <c r="AA107" s="1229">
        <f>ROUND(AA105/AA153,5)</f>
        <v>0.12048</v>
      </c>
      <c r="AB107" s="1229">
        <f>ROUND(AB105/AB153,5)</f>
        <v>0.10718999999999999</v>
      </c>
      <c r="AC107" s="1229">
        <f>ROUND(AC105/AC153,5)</f>
        <v>9.5740000000000006E-2</v>
      </c>
      <c r="AD107" s="1229">
        <f>ROUND(AD105/AD153,5)</f>
        <v>0.14274999999999999</v>
      </c>
      <c r="AE107" s="1229">
        <f>ROUND(AE105/AE153,5)</f>
        <v>0.46743000000000001</v>
      </c>
      <c r="AF107" s="1229"/>
      <c r="AG107" s="1229">
        <f>ROUND(AG105/AG153,5)</f>
        <v>0.14172000000000001</v>
      </c>
      <c r="AH107" s="1229">
        <f>ROUND(AH105/AH153,5)</f>
        <v>0.13299</v>
      </c>
      <c r="AI107" s="1229">
        <f>ROUND(AI105/AI153,5)</f>
        <v>9.2619999999999994E-2</v>
      </c>
      <c r="AJ107" s="1229">
        <f>ROUND(AJ105/AJ153,5)</f>
        <v>0.16177</v>
      </c>
      <c r="AK107" s="1229">
        <f>ROUND(AK105/AK153,5)</f>
        <v>0.52968000000000004</v>
      </c>
      <c r="AL107" s="1229"/>
      <c r="AM107" s="1229">
        <f>ROUND(AM105/AM153,5)</f>
        <v>7.9020000000000007E-2</v>
      </c>
      <c r="AN107" s="1229">
        <f>ROUND(AN105/AN153,5)</f>
        <v>6.3329999999999997E-2</v>
      </c>
      <c r="AO107" s="1229">
        <f>ROUND(AO105/AO153,5)</f>
        <v>2.546E-2</v>
      </c>
      <c r="AP107" s="1229">
        <f>ROUND(AP105/AP153,5)</f>
        <v>3.4729999999999997E-2</v>
      </c>
      <c r="AQ107" s="1229">
        <f>ROUND(AQ105/AQ153,5)</f>
        <v>0.20372000000000001</v>
      </c>
      <c r="AR107" s="1229"/>
      <c r="AS107" s="1229">
        <f>ROUND(AS105/AS153,5)</f>
        <v>3.3090000000000001E-2</v>
      </c>
      <c r="AT107" s="1229">
        <f>ROUND(AT105/AT153,5)</f>
        <v>5.697E-2</v>
      </c>
      <c r="AU107" s="1229">
        <f>ROUND(AU105/AU153,5)</f>
        <v>9.9000000000000005E-2</v>
      </c>
      <c r="AV107" s="1229">
        <f>ROUND(AV105/AV153,5)</f>
        <v>0.22115000000000001</v>
      </c>
      <c r="AW107" s="1229">
        <f>ROUND(AW105/AW153,5)</f>
        <v>0.41524</v>
      </c>
      <c r="AX107" s="1229"/>
      <c r="AY107" s="1229">
        <f>ROUND(AY105/AY153,5)</f>
        <v>0.21717</v>
      </c>
      <c r="AZ107" s="1229">
        <f>ROUND(AZ105/AZ153,5)</f>
        <v>0.18196000000000001</v>
      </c>
      <c r="BA107" s="1229">
        <f>ROUND(BA105/BA153,5)</f>
        <v>0.19472</v>
      </c>
      <c r="BB107" s="1229">
        <f>ROUND(BB105/BB153,5)</f>
        <v>0.30036000000000002</v>
      </c>
      <c r="BC107" s="1229">
        <f>ROUND(BC105/BC153,5)</f>
        <v>0.89731000000000005</v>
      </c>
      <c r="BD107" s="1229"/>
      <c r="BE107" s="1229">
        <f>ROUND(BE105/BE153,5)</f>
        <v>0.31007000000000001</v>
      </c>
      <c r="BF107" s="1229">
        <f>ROUND(BF105/BF153,5)</f>
        <v>0.30243999999999999</v>
      </c>
      <c r="BG107" s="1229">
        <f>ROUND(BG105/BG153,5)</f>
        <v>0.31663000000000002</v>
      </c>
      <c r="BH107" s="1229">
        <f>ROUND(BH105/BH153,5)</f>
        <v>0.37324000000000002</v>
      </c>
      <c r="BI107" s="1229">
        <f>ROUND(BI105/BI153,5)</f>
        <v>1.3022</v>
      </c>
      <c r="BJ107" s="1229"/>
      <c r="BK107" s="1229">
        <f>ROUND(BK105/BK153,5)</f>
        <v>0.32390000000000002</v>
      </c>
      <c r="BL107" s="1229">
        <f>ROUND(BL105/BL153,5)</f>
        <v>0.39124999999999999</v>
      </c>
      <c r="BM107" s="1229">
        <f>ROUND(BM105/BM153,5)</f>
        <v>0.35471000000000003</v>
      </c>
      <c r="BN107" s="1229">
        <f>ROUND(BN105/BN153,5)</f>
        <v>0.45924999999999999</v>
      </c>
      <c r="BO107" s="1269">
        <f>ROUND(BO105/BO153,5)</f>
        <v>1.54077</v>
      </c>
      <c r="BP107" s="1229"/>
      <c r="BQ107" s="1229">
        <f>ROUND(BQ105/BQ153,5)</f>
        <v>0.43574000000000002</v>
      </c>
      <c r="BR107" s="1229">
        <f>ROUND(BR105/BR153,5)</f>
        <v>0.44372</v>
      </c>
      <c r="BS107" s="1229">
        <f>ROUND(BS105/BS153,5)</f>
        <v>0.48542000000000002</v>
      </c>
      <c r="BT107" s="1229">
        <f>ROUND(BT105/BT153,5)</f>
        <v>0.51880000000000004</v>
      </c>
      <c r="BU107" s="1269">
        <f>ROUND(BU105/BU153,5)</f>
        <v>1.8824000000000001</v>
      </c>
      <c r="BV107" s="1229"/>
      <c r="BW107" s="1229">
        <f>ROUND(BW105/BW153,5)</f>
        <v>0.50322</v>
      </c>
      <c r="BX107" s="1229">
        <f>ROUND(BX105/BX153,5)</f>
        <v>0.56388000000000005</v>
      </c>
      <c r="BY107" s="1229">
        <f>ROUND(BY105/BY153,5)</f>
        <v>0.56423999999999996</v>
      </c>
      <c r="BZ107" s="1229">
        <f>ROUND(BZ105/BZ153,5)</f>
        <v>0.30685000000000001</v>
      </c>
      <c r="CA107" s="1269">
        <f>ROUND(CA105/CA153,5)</f>
        <v>1.9396199999999999</v>
      </c>
      <c r="CB107" s="1229"/>
      <c r="CC107" s="1229">
        <f>ROUND(CC105/CC153,5)</f>
        <v>0.18281</v>
      </c>
      <c r="CD107" s="1229">
        <f>ROUND(CD105/CD153,5)</f>
        <v>0.24407999999999999</v>
      </c>
      <c r="CE107" s="1229">
        <f>ROUND(CE105/CE153,5)</f>
        <v>0.26989000000000002</v>
      </c>
      <c r="CF107" s="1229">
        <f>ROUND(CF105/CF153,5)</f>
        <v>0.29974000000000001</v>
      </c>
      <c r="CG107" s="1269">
        <f>ROUND(CG105/CG153,5)</f>
        <v>0.99773999999999996</v>
      </c>
      <c r="CH107" s="1229"/>
      <c r="CI107" s="1229">
        <f>ROUND(CI105/CI153,5)</f>
        <v>0.28858</v>
      </c>
      <c r="CJ107" s="1229">
        <f>ROUND(CJ105/CJ153,5)</f>
        <v>0.36355999999999999</v>
      </c>
      <c r="CK107" s="1229">
        <f>ROUND(CK105/CK153,5)</f>
        <v>0.32272000000000001</v>
      </c>
      <c r="CL107" s="1229">
        <f>ROUND(CL105/CL153,5)</f>
        <v>0.35191</v>
      </c>
      <c r="CM107" s="1269">
        <f>ROUND(CM105/CM153,5)</f>
        <v>1.3267800000000001</v>
      </c>
      <c r="CN107" s="1229"/>
      <c r="CO107" s="1229">
        <f>ROUND(CO105/CO153,5)</f>
        <v>0.39518999999999999</v>
      </c>
      <c r="CP107" s="1229">
        <f>ROUND(CP105/CP153,5)</f>
        <v>0.43745000000000001</v>
      </c>
      <c r="CQ107" s="1229">
        <f>ROUND(CQ105/CQ153,5)</f>
        <v>0.44257000000000002</v>
      </c>
      <c r="CR107" s="1229">
        <f>ROUND(CR105/CR153,5)</f>
        <v>0.45832000000000001</v>
      </c>
      <c r="CS107" s="1269">
        <f>ROUND(CS105/CS153,5)</f>
        <v>1.7326600000000001</v>
      </c>
      <c r="CT107" s="1229"/>
      <c r="CU107" s="1229">
        <f>ROUND(CU105/CU153,5)</f>
        <v>0.46945999999999999</v>
      </c>
      <c r="CV107" s="1229">
        <f>ROUND(CV105/CV153,5)</f>
        <v>0.47997000000000001</v>
      </c>
      <c r="CW107" s="1229">
        <f>ROUND(CW105/CW153,5)</f>
        <v>0.46767999999999998</v>
      </c>
      <c r="CX107" s="1229">
        <f>ROUND(CX105/CX153,5)</f>
        <v>0.52656999999999998</v>
      </c>
      <c r="CY107" s="1269">
        <f>ROUND(CY105/CY153,5)</f>
        <v>1.9432100000000001</v>
      </c>
      <c r="CZ107" s="1229"/>
      <c r="DA107" s="1229">
        <f>ROUND(DA105/DA153,5)</f>
        <v>0.41997000000000001</v>
      </c>
      <c r="DB107" s="1229">
        <f>ROUND(DB105/DB153,5)</f>
        <v>0.44590000000000002</v>
      </c>
      <c r="DC107" s="1229">
        <f>ROUND(DC105/DC153,5)</f>
        <v>0.41414000000000001</v>
      </c>
      <c r="DD107" s="1229">
        <f>ROUND(DD105/DD153,5)</f>
        <v>0.40328999999999998</v>
      </c>
      <c r="DE107" s="1269">
        <f>ROUND(DE105/DE153,5)</f>
        <v>1.6831100000000001</v>
      </c>
      <c r="DF107" s="1229"/>
      <c r="DG107" s="1229">
        <f>ROUND(DG105/DG153,5)</f>
        <v>0.31864999999999999</v>
      </c>
      <c r="DH107" s="1229">
        <f>ROUND(DH105/DH153,5)</f>
        <v>0.35283999999999999</v>
      </c>
      <c r="DI107" s="1229">
        <f>ROUND(DI105/DI153,5)</f>
        <v>0.24923999999999999</v>
      </c>
      <c r="DJ107" s="1229">
        <f>ROUND(DJ105/DJ153,5)</f>
        <v>0.25323000000000001</v>
      </c>
      <c r="DK107" s="1269">
        <f>ROUND(DK105/DK153,5)</f>
        <v>1.1740900000000001</v>
      </c>
      <c r="DL107" s="1229"/>
      <c r="DM107" s="1229">
        <f>ROUND(DM105/DM154,5)</f>
        <v>0.29823</v>
      </c>
      <c r="DN107" s="1229">
        <f t="shared" ref="DN107:DP107" si="44">ROUND(DN105/DN154,5)</f>
        <v>0.19039</v>
      </c>
      <c r="DO107" s="1229">
        <f t="shared" si="44"/>
        <v>0.14473</v>
      </c>
      <c r="DP107" s="1229">
        <f t="shared" si="44"/>
        <v>0.20907999999999999</v>
      </c>
      <c r="DQ107" s="1269">
        <f>ROUND(DQ105/DQ154,5)</f>
        <v>0.84336</v>
      </c>
      <c r="DR107" s="1229"/>
      <c r="DS107" s="1229">
        <f>ROUND(DS105/DS154,5)</f>
        <v>-0.10248</v>
      </c>
      <c r="DT107" s="1229">
        <f t="shared" ref="DT107:DV107" si="45">ROUND(DT105/DT154,5)</f>
        <v>5.3319999999999999E-2</v>
      </c>
      <c r="DU107" s="1229">
        <f t="shared" si="45"/>
        <v>-0.17544000000000001</v>
      </c>
      <c r="DV107" s="1229">
        <f t="shared" si="45"/>
        <v>-0.27544000000000002</v>
      </c>
      <c r="DW107" s="1269">
        <f>ROUND(DW105/DW154,5)</f>
        <v>-0.49830000000000002</v>
      </c>
      <c r="DX107" s="1229"/>
      <c r="DY107" s="1229">
        <f>ROUND(DY105/DY154,5)</f>
        <v>-0.15825</v>
      </c>
      <c r="DZ107" s="1229">
        <f t="shared" ref="DZ107" si="46">ROUND(DZ105/DZ154,5)</f>
        <v>-0.11481</v>
      </c>
      <c r="EA107" s="1229">
        <f t="shared" ref="EA107:EB107" si="47">ROUND(EA105/EA154,5)</f>
        <v>-0.12021999999999999</v>
      </c>
      <c r="EB107" s="1229">
        <f t="shared" si="47"/>
        <v>-9.0829999999999994E-2</v>
      </c>
      <c r="EC107" s="1269">
        <f>ROUND(EC105/EC154,5)</f>
        <v>-0.48422999999999999</v>
      </c>
      <c r="ED107" s="1229"/>
      <c r="EE107" s="1229">
        <f>ROUND(EE105/EE153,5)</f>
        <v>3.9879999999999999E-2</v>
      </c>
      <c r="EF107" s="1229">
        <f t="shared" ref="EF107:EI107" si="48">ROUND(EF105/EF153,5)</f>
        <v>0.17158999999999999</v>
      </c>
      <c r="EG107" s="1229">
        <f t="shared" si="48"/>
        <v>0.30358000000000002</v>
      </c>
      <c r="EH107" s="1229">
        <f t="shared" si="48"/>
        <v>0.41316000000000003</v>
      </c>
      <c r="EI107" s="1269">
        <f t="shared" si="48"/>
        <v>0.92676999999999998</v>
      </c>
      <c r="EJ107" s="1229"/>
      <c r="EK107" s="1229">
        <f>ROUND(EK105/EK154,5)</f>
        <v>0.55025000000000002</v>
      </c>
      <c r="EL107" s="1229">
        <f t="shared" ref="EL107:EN107" si="49">ROUND(EL105/EL154,5)</f>
        <v>0.73345000000000005</v>
      </c>
      <c r="EM107" s="1229">
        <f t="shared" si="49"/>
        <v>0.86948999999999999</v>
      </c>
      <c r="EN107" s="1229">
        <f t="shared" si="49"/>
        <v>1.09701</v>
      </c>
      <c r="EO107" s="1269">
        <f>ROUND(EO105/EO154,5)</f>
        <v>3.2454000000000001</v>
      </c>
      <c r="EP107" s="1229"/>
      <c r="EQ107" s="1229">
        <f>ROUND(EQ105/EQ154,5)</f>
        <v>0.71333000000000002</v>
      </c>
      <c r="ER107" s="1229">
        <f t="shared" ref="ER107:ET107" si="50">ROUND(ER105/ER154,5)</f>
        <v>1.0919000000000001</v>
      </c>
      <c r="ES107" s="1229">
        <f t="shared" si="50"/>
        <v>1.42032</v>
      </c>
      <c r="ET107" s="1229">
        <f t="shared" si="50"/>
        <v>1.9192400000000001</v>
      </c>
      <c r="EU107" s="1269">
        <f>ROUND(EU105/EU154,5)</f>
        <v>5.1400800000000002</v>
      </c>
      <c r="EV107" s="446"/>
    </row>
    <row r="108" spans="1:152" ht="13.5" thickBot="1">
      <c r="A108" s="1230" t="s">
        <v>4583</v>
      </c>
      <c r="B108" s="1231"/>
      <c r="C108" s="1232"/>
      <c r="D108" s="1232"/>
      <c r="E108" s="1232"/>
      <c r="F108" s="1232"/>
      <c r="G108" s="1232"/>
      <c r="H108" s="1233"/>
      <c r="I108" s="1234">
        <f>IF(ISERROR(I107/C107-1),"-",I107/C107-1)</f>
        <v>-0.6430766079475625</v>
      </c>
      <c r="J108" s="1234">
        <f>IF(ISERROR(J107/D107-1),"-",J107/D107-1)</f>
        <v>0.36369900771775088</v>
      </c>
      <c r="K108" s="1234">
        <f>IF(ISERROR(K107/E107-1),"-",K107/E107-1)</f>
        <v>1.8184049079754598</v>
      </c>
      <c r="L108" s="1234">
        <f>IF(ISERROR(L107/F107-1),"-",L107/F107-1)</f>
        <v>3.8610940381069447</v>
      </c>
      <c r="M108" s="1234">
        <f>IF(ISERROR(M107/G107-1),"-",M107/G107-1)</f>
        <v>0.66845703125</v>
      </c>
      <c r="N108" s="1233"/>
      <c r="O108" s="1234">
        <f>O107/I107-1</f>
        <v>2.9997130559540888</v>
      </c>
      <c r="P108" s="1234">
        <f>P107/J107-1</f>
        <v>0.62587165234967146</v>
      </c>
      <c r="Q108" s="1234">
        <f>Q107/K107-1</f>
        <v>-9.1771876360470128E-2</v>
      </c>
      <c r="R108" s="1234">
        <f>R107/L107-1</f>
        <v>-0.24067518017448475</v>
      </c>
      <c r="S108" s="1234">
        <f>S107/M107-1</f>
        <v>0.28845966247195398</v>
      </c>
      <c r="T108" s="1233"/>
      <c r="U108" s="1234">
        <f>U107/O107-1</f>
        <v>-0.72451395365521198</v>
      </c>
      <c r="V108" s="1234">
        <f>V107/P107-1</f>
        <v>-0.8563525609149677</v>
      </c>
      <c r="W108" s="1234">
        <f>W107/Q107-1</f>
        <v>-0.34982264404179841</v>
      </c>
      <c r="X108" s="1234">
        <f>X107/R107-1</f>
        <v>-1.123969694446747E-2</v>
      </c>
      <c r="Y108" s="1234">
        <f>Y107/S107-1</f>
        <v>-0.53232889158086016</v>
      </c>
      <c r="Z108" s="1233"/>
      <c r="AA108" s="1234">
        <f>AA107/U107-1</f>
        <v>2.1375000000000002</v>
      </c>
      <c r="AB108" s="1234">
        <f>AB107/V107-1</f>
        <v>3.6382518390307226</v>
      </c>
      <c r="AC108" s="1234">
        <f>AC107/W107-1</f>
        <v>0.41167797109997051</v>
      </c>
      <c r="AD108" s="1234">
        <f>AD107/X107-1</f>
        <v>0.20200404176490383</v>
      </c>
      <c r="AE108" s="1234">
        <f>AE107/Y107-1</f>
        <v>0.89181641573579418</v>
      </c>
      <c r="AF108" s="1233"/>
      <c r="AG108" s="1234">
        <f>AG107/AA107-1</f>
        <v>0.17629482071713154</v>
      </c>
      <c r="AH108" s="1234">
        <f>AH107/AB107-1</f>
        <v>0.24069409459837665</v>
      </c>
      <c r="AI108" s="1234">
        <f>AI107/AC107-1</f>
        <v>-3.2588259870482639E-2</v>
      </c>
      <c r="AJ108" s="1234">
        <f>AJ107/AD107-1</f>
        <v>0.1332399299474607</v>
      </c>
      <c r="AK108" s="1234">
        <f>AK107/AE107-1</f>
        <v>0.13317502085873834</v>
      </c>
      <c r="AL108" s="1233"/>
      <c r="AM108" s="1234">
        <f>AM107/AG107-1</f>
        <v>-0.44242167654530062</v>
      </c>
      <c r="AN108" s="1234">
        <f>AN107/AH107-1</f>
        <v>-0.52379878186329798</v>
      </c>
      <c r="AO108" s="1234">
        <f>AO107/AI107-1</f>
        <v>-0.72511336644353275</v>
      </c>
      <c r="AP108" s="1234">
        <f>AP107/AJ107-1</f>
        <v>-0.78531248068245041</v>
      </c>
      <c r="AQ108" s="1234">
        <f>AQ107/AK107-1</f>
        <v>-0.61539042440718927</v>
      </c>
      <c r="AR108" s="1233"/>
      <c r="AS108" s="1234">
        <f>AS107/AM107-1</f>
        <v>-0.58124525436598329</v>
      </c>
      <c r="AT108" s="1234">
        <f>AT107/AN107-1</f>
        <v>-0.1004263382283278</v>
      </c>
      <c r="AU108" s="1234">
        <f>AU107/AO107-1</f>
        <v>2.8884524744697568</v>
      </c>
      <c r="AV108" s="1234">
        <f>AV107/AP107-1</f>
        <v>5.3676936366253969</v>
      </c>
      <c r="AW108" s="1234">
        <f>AW107/AQ107-1</f>
        <v>1.0382878460632239</v>
      </c>
      <c r="AX108" s="1233"/>
      <c r="AY108" s="1234">
        <f>AY107/AS107-1</f>
        <v>5.5630099728014502</v>
      </c>
      <c r="AZ108" s="1234">
        <f>AZ107/AT107-1</f>
        <v>2.1939617342460944</v>
      </c>
      <c r="BA108" s="1234">
        <f>BA107/AU107-1</f>
        <v>0.96686868686868688</v>
      </c>
      <c r="BB108" s="1234">
        <f>BB107/AV107-1</f>
        <v>0.35817318562061939</v>
      </c>
      <c r="BC108" s="1234">
        <f>BC107/AW107-1</f>
        <v>1.1609430690684905</v>
      </c>
      <c r="BD108" s="1233"/>
      <c r="BE108" s="1234">
        <f>BE107/AY107-1</f>
        <v>0.42777547543399175</v>
      </c>
      <c r="BF108" s="1234">
        <f>BF107/AZ107-1</f>
        <v>0.66212354363596382</v>
      </c>
      <c r="BG108" s="1234">
        <f>BG107/BA107-1</f>
        <v>0.62607847165160235</v>
      </c>
      <c r="BH108" s="1234">
        <f>BH107/BB107-1</f>
        <v>0.24264216273804773</v>
      </c>
      <c r="BI108" s="1234">
        <f>BI107/BC107-1</f>
        <v>0.4512264434810711</v>
      </c>
      <c r="BJ108" s="1233"/>
      <c r="BK108" s="1234">
        <f>BK107/BE107-1</f>
        <v>4.4602831618666849E-2</v>
      </c>
      <c r="BL108" s="1234">
        <f>BL107/BF107-1</f>
        <v>0.29364502049993391</v>
      </c>
      <c r="BM108" s="1234">
        <f>BM107/BG107-1</f>
        <v>0.12026655718030499</v>
      </c>
      <c r="BN108" s="1234">
        <f>BN107/BH107-1</f>
        <v>0.23044153895616759</v>
      </c>
      <c r="BO108" s="1270">
        <f>BO107/BI107-1</f>
        <v>0.18320534480110573</v>
      </c>
      <c r="BP108" s="1233"/>
      <c r="BQ108" s="1234">
        <f>BQ107/BK107-1</f>
        <v>0.34529175671503554</v>
      </c>
      <c r="BR108" s="1234">
        <f>BR107/BL107-1</f>
        <v>0.13410862619808306</v>
      </c>
      <c r="BS108" s="1234">
        <f>BS107/BM107-1</f>
        <v>0.36849820980519299</v>
      </c>
      <c r="BT108" s="1234">
        <f>BT107/BN107-1</f>
        <v>0.12966793685356559</v>
      </c>
      <c r="BU108" s="1270">
        <f>BU107/BO107-1</f>
        <v>0.22172679893819325</v>
      </c>
      <c r="BV108" s="1233"/>
      <c r="BW108" s="1234">
        <f>BW107/BQ107-1</f>
        <v>0.15486299169229345</v>
      </c>
      <c r="BX108" s="1234">
        <f>BX107/BR107-1</f>
        <v>0.27080140629225657</v>
      </c>
      <c r="BY108" s="1234">
        <f>BY107/BS107-1</f>
        <v>0.16237485064480239</v>
      </c>
      <c r="BZ108" s="1234">
        <f>BZ107/BT107-1</f>
        <v>-0.40853893600616809</v>
      </c>
      <c r="CA108" s="1270">
        <f>CA107/BU107-1</f>
        <v>3.0397365065873316E-2</v>
      </c>
      <c r="CB108" s="1233"/>
      <c r="CC108" s="1234">
        <f>CC107/BW107-1</f>
        <v>-0.63671952625094397</v>
      </c>
      <c r="CD108" s="1234">
        <f>CD107/BX107-1</f>
        <v>-0.56714194509470106</v>
      </c>
      <c r="CE108" s="1234">
        <f>CE107/BY107-1</f>
        <v>-0.52167517368495675</v>
      </c>
      <c r="CF108" s="1234">
        <f>CF107/BZ107-1</f>
        <v>-2.3170930422030334E-2</v>
      </c>
      <c r="CG108" s="1270">
        <f>CG107/CA107-1</f>
        <v>-0.48560027221826951</v>
      </c>
      <c r="CH108" s="1233"/>
      <c r="CI108" s="1234">
        <f>CI107/CC107-1</f>
        <v>0.5785788523603741</v>
      </c>
      <c r="CJ108" s="1234">
        <f>CJ107/CD107-1</f>
        <v>0.48951163552933474</v>
      </c>
      <c r="CK108" s="1234">
        <f>CK107/CE107-1</f>
        <v>0.19574641520619496</v>
      </c>
      <c r="CL108" s="1234">
        <f>CL107/CF107-1</f>
        <v>0.17405084406485627</v>
      </c>
      <c r="CM108" s="1270">
        <f>CM107/CG107-1</f>
        <v>0.329785314811474</v>
      </c>
      <c r="CN108" s="1233"/>
      <c r="CO108" s="1234">
        <f>CO107/CI107-1</f>
        <v>0.36942962090234932</v>
      </c>
      <c r="CP108" s="1234">
        <f>CP107/CJ107-1</f>
        <v>0.20324018043789205</v>
      </c>
      <c r="CQ108" s="1234">
        <f>CQ107/CK107-1</f>
        <v>0.37137456618740705</v>
      </c>
      <c r="CR108" s="1234">
        <f>CR107/CL107-1</f>
        <v>0.30237844903526478</v>
      </c>
      <c r="CS108" s="1270">
        <f>CS107/CM107-1</f>
        <v>0.30591356517282442</v>
      </c>
      <c r="CT108" s="1233"/>
      <c r="CU108" s="1234">
        <f>CU107/CO107-1</f>
        <v>0.1879349173815128</v>
      </c>
      <c r="CV108" s="1234">
        <f>CV107/CP107-1</f>
        <v>9.719967996342449E-2</v>
      </c>
      <c r="CW108" s="1234">
        <f>CW107/CQ107-1</f>
        <v>5.6736787400863076E-2</v>
      </c>
      <c r="CX108" s="1234">
        <f>CX107/CR107-1</f>
        <v>0.1489134229359399</v>
      </c>
      <c r="CY108" s="1270">
        <f>CY107/CS107-1</f>
        <v>0.12151835905486363</v>
      </c>
      <c r="CZ108" s="1233"/>
      <c r="DA108" s="1234">
        <f>DA107/CU107-1</f>
        <v>-0.10541899203339999</v>
      </c>
      <c r="DB108" s="1234">
        <f>DB107/CV107-1</f>
        <v>-7.0983603141863028E-2</v>
      </c>
      <c r="DC108" s="1234">
        <f>DC107/CW107-1</f>
        <v>-0.11447998631542933</v>
      </c>
      <c r="DD108" s="1234">
        <f>DD107/CX107-1</f>
        <v>-0.23411892056136885</v>
      </c>
      <c r="DE108" s="1270">
        <f>DE107/CY107-1</f>
        <v>-0.13385069035256092</v>
      </c>
      <c r="DF108" s="1233"/>
      <c r="DG108" s="1234">
        <f>DG107/DA107-1</f>
        <v>-0.24125532776150682</v>
      </c>
      <c r="DH108" s="1234">
        <f>DH107/DB107-1</f>
        <v>-0.20870150257905362</v>
      </c>
      <c r="DI108" s="1234">
        <f>DI107/DC107-1</f>
        <v>-0.39817453035205486</v>
      </c>
      <c r="DJ108" s="1234">
        <f>DJ107/DD107-1</f>
        <v>-0.37208956334151599</v>
      </c>
      <c r="DK108" s="1270">
        <f>DK107/DE107-1</f>
        <v>-0.30242824295500592</v>
      </c>
      <c r="DL108" s="1233"/>
      <c r="DM108" s="1234">
        <f>DM107/DG107-1</f>
        <v>-6.4082849521418517E-2</v>
      </c>
      <c r="DN108" s="1234">
        <f>DN107/DH107-1</f>
        <v>-0.46040698333522279</v>
      </c>
      <c r="DO108" s="1234">
        <f>DO107/DI107-1</f>
        <v>-0.41931471673888621</v>
      </c>
      <c r="DP108" s="1234">
        <f>DP107/DJ107-1</f>
        <v>-0.17434743118903773</v>
      </c>
      <c r="DQ108" s="1270">
        <f>DQ107/DK107-1</f>
        <v>-0.28169050072822366</v>
      </c>
      <c r="DR108" s="1233"/>
      <c r="DS108" s="1234">
        <f>DS107/DM107-1</f>
        <v>-1.3436274016698522</v>
      </c>
      <c r="DT108" s="1234">
        <f>DT107/DN107-1</f>
        <v>-0.71994327433163507</v>
      </c>
      <c r="DU108" s="1234">
        <f>DU107/DO107-1</f>
        <v>-2.2121882125336834</v>
      </c>
      <c r="DV108" s="1234">
        <f>DV107/DP107-1</f>
        <v>-2.3173904725463936</v>
      </c>
      <c r="DW108" s="1270">
        <f>DW107/DQ107-1</f>
        <v>-1.5908508821855436</v>
      </c>
      <c r="DX108" s="1233"/>
      <c r="DY108" s="1234">
        <f>DY107/DS107-1</f>
        <v>0.54420374707259955</v>
      </c>
      <c r="DZ108" s="1234">
        <f>DZ107/DT107-1</f>
        <v>-3.153225806451613</v>
      </c>
      <c r="EA108" s="1234">
        <f>EA107/DU107-1</f>
        <v>-0.31475148198814418</v>
      </c>
      <c r="EB108" s="1234">
        <f>EB107/DV107-1</f>
        <v>-0.67023671216961955</v>
      </c>
      <c r="EC108" s="1270">
        <f>EC107/DW107-1</f>
        <v>-2.823600240818791E-2</v>
      </c>
      <c r="ED108" s="1233"/>
      <c r="EE108" s="1234">
        <f>EE107/DY107-1</f>
        <v>-1.2520063191153239</v>
      </c>
      <c r="EF108" s="1234">
        <f>EF107/DZ107-1</f>
        <v>-2.4945562233254943</v>
      </c>
      <c r="EG108" s="1234">
        <f>EG107/EA107-1</f>
        <v>-3.5252037930460824</v>
      </c>
      <c r="EH108" s="1234">
        <f>EH107/EB107-1</f>
        <v>-5.5487173841241884</v>
      </c>
      <c r="EI108" s="1270">
        <f>EI107/EC107-1</f>
        <v>-2.9139045494909444</v>
      </c>
      <c r="EJ108" s="1233"/>
      <c r="EK108" s="1234">
        <f>EK107/EE107-1</f>
        <v>12.79764292878636</v>
      </c>
      <c r="EL108" s="1234">
        <f>EL107/EF107-1</f>
        <v>3.2744332420304216</v>
      </c>
      <c r="EM108" s="1234">
        <f>EM107/EG107-1</f>
        <v>1.8641214836286975</v>
      </c>
      <c r="EN108" s="1234">
        <f>EN107/EH107-1</f>
        <v>1.6551699099622423</v>
      </c>
      <c r="EO108" s="1270">
        <f>EO107/EI107-1</f>
        <v>2.5018397229085965</v>
      </c>
      <c r="EP108" s="1233"/>
      <c r="EQ108" s="1234">
        <f>EQ107/EK107-1</f>
        <v>0.29637437528396182</v>
      </c>
      <c r="ER108" s="1234">
        <f>ER107/EL107-1</f>
        <v>0.48871770400163617</v>
      </c>
      <c r="ES108" s="1234">
        <f>ES107/EM107-1</f>
        <v>0.63350929855432492</v>
      </c>
      <c r="ET108" s="1234">
        <f>ET107/EN107-1</f>
        <v>0.7495191475009344</v>
      </c>
      <c r="EU108" s="1270">
        <f>EU107/EO107-1</f>
        <v>0.5838047698280644</v>
      </c>
      <c r="EV108" s="176"/>
    </row>
    <row r="109" spans="1:152">
      <c r="A109" s="449" t="s">
        <v>5565</v>
      </c>
      <c r="B109" s="523"/>
      <c r="C109" s="619"/>
      <c r="D109" s="619"/>
      <c r="E109" s="619"/>
      <c r="F109" s="619"/>
      <c r="G109" s="619"/>
      <c r="H109" s="442"/>
      <c r="I109" s="619" t="str">
        <f>IF(ISERROR(ROUND(I105/I155,5)),"-",ROUND(I105/I155,5))</f>
        <v>-</v>
      </c>
      <c r="J109" s="619" t="str">
        <f>IF(ISERROR(ROUND(J105/J155,5)),"-",ROUND(J105/J155,5))</f>
        <v>-</v>
      </c>
      <c r="K109" s="619" t="str">
        <f>IF(ISERROR(ROUND(K105/K155,5)),"-",ROUND(K105/K155,5))</f>
        <v>-</v>
      </c>
      <c r="L109" s="619" t="str">
        <f>IF(ISERROR(ROUND(L105/L155,5)),"-",ROUND(L105/L155,5))</f>
        <v>-</v>
      </c>
      <c r="M109" s="619" t="str">
        <f>IF(ISERROR(ROUND(M105/M155,5)),"-",ROUND(M105/M155,5))</f>
        <v>-</v>
      </c>
      <c r="N109" s="442"/>
      <c r="O109" s="442">
        <f>ROUND(O105/O155,5)</f>
        <v>0.15043999999999999</v>
      </c>
      <c r="P109" s="442">
        <f>ROUND(P105/P155,5)</f>
        <v>0.17024</v>
      </c>
      <c r="Q109" s="442">
        <f>ROUND(Q105/Q155,5)</f>
        <v>0.10657999999999999</v>
      </c>
      <c r="R109" s="442">
        <f>ROUND(R105/R155,5)</f>
        <v>0.12695000000000001</v>
      </c>
      <c r="S109" s="442">
        <f>ROUND(S105/S155,5)</f>
        <v>0.55405000000000004</v>
      </c>
      <c r="T109" s="442"/>
      <c r="U109" s="442">
        <f>ROUND(U105/U155,5)</f>
        <v>3.8399999999999997E-2</v>
      </c>
      <c r="V109" s="442">
        <f>ROUND(V105/V155,5)</f>
        <v>2.3369999999999998E-2</v>
      </c>
      <c r="W109" s="442">
        <f>ROUND(W105/W155,5)</f>
        <v>6.8180000000000004E-2</v>
      </c>
      <c r="X109" s="442">
        <f>ROUND(X105/X155,5)</f>
        <v>0.12094000000000001</v>
      </c>
      <c r="Y109" s="442">
        <f>ROUND(Y105/Y155,5)</f>
        <v>0.25148999999999999</v>
      </c>
      <c r="Z109" s="442"/>
      <c r="AA109" s="442">
        <f>ROUND(AA105/AA155,5)</f>
        <v>0.12778999999999999</v>
      </c>
      <c r="AB109" s="442">
        <f>ROUND(AB105/AB155,5)</f>
        <v>0.10964</v>
      </c>
      <c r="AC109" s="442">
        <f>ROUND(AC105/AC155,5)</f>
        <v>9.64E-2</v>
      </c>
      <c r="AD109" s="442">
        <f>ROUND(AD105/AD155,5)</f>
        <v>0.14501</v>
      </c>
      <c r="AE109" s="442">
        <f>ROUND(AE105/AE155,5)</f>
        <v>0.47826999999999997</v>
      </c>
      <c r="AF109" s="442"/>
      <c r="AG109" s="442">
        <f>ROUND(AG105/AG155,5)</f>
        <v>0.14605000000000001</v>
      </c>
      <c r="AH109" s="442">
        <f>ROUND(AH105/AH155,5)</f>
        <v>0.13716999999999999</v>
      </c>
      <c r="AI109" s="442">
        <f>ROUND(AI105/AI155,5)</f>
        <v>9.5420000000000005E-2</v>
      </c>
      <c r="AJ109" s="442">
        <f>ROUND(AJ105/AJ155,5)</f>
        <v>0.16769999999999999</v>
      </c>
      <c r="AK109" s="442">
        <f>ROUND(AK105/AK155,5)</f>
        <v>0.54674999999999996</v>
      </c>
      <c r="AL109" s="442"/>
      <c r="AM109" s="442">
        <f>ROUND(AM105/AM155,5)</f>
        <v>8.2610000000000003E-2</v>
      </c>
      <c r="AN109" s="442">
        <f>ROUND(AN105/AN155,5)</f>
        <v>6.3850000000000004E-2</v>
      </c>
      <c r="AO109" s="442">
        <f>ROUND(AO105/AO155,5)</f>
        <v>2.563E-2</v>
      </c>
      <c r="AP109" s="442">
        <f>ROUND(AP105/AP155,5)</f>
        <v>3.5200000000000002E-2</v>
      </c>
      <c r="AQ109" s="442">
        <f>ROUND(AQ105/AQ155,5)</f>
        <v>0.20749000000000001</v>
      </c>
      <c r="AR109" s="442"/>
      <c r="AS109" s="442">
        <f>ROUND(AS105/AS155,5)</f>
        <v>3.3590000000000002E-2</v>
      </c>
      <c r="AT109" s="442">
        <f>ROUND(AT105/AT155,5)</f>
        <v>5.7979999999999997E-2</v>
      </c>
      <c r="AU109" s="442">
        <f>ROUND(AU105/AU155,5)</f>
        <v>0.10163</v>
      </c>
      <c r="AV109" s="442">
        <f>ROUND(AV105/AV155,5)</f>
        <v>0.23777000000000001</v>
      </c>
      <c r="AW109" s="442">
        <f>ROUND(AW105/AW155,5)</f>
        <v>0.43075999999999998</v>
      </c>
      <c r="AX109" s="442"/>
      <c r="AY109" s="442">
        <f>ROUND(AY105/AY155,5)</f>
        <v>0.23122000000000001</v>
      </c>
      <c r="AZ109" s="442">
        <f>ROUND(AZ105/AZ155,5)</f>
        <v>0.2</v>
      </c>
      <c r="BA109" s="442">
        <f>ROUND(BA105/BA155,5)</f>
        <v>0.21201</v>
      </c>
      <c r="BB109" s="442">
        <f>ROUND(BB105/BB155,5)</f>
        <v>0.33318999999999999</v>
      </c>
      <c r="BC109" s="442">
        <f>ROUND(BC105/BC155,5)</f>
        <v>0.97613000000000005</v>
      </c>
      <c r="BD109" s="442"/>
      <c r="BE109" s="442">
        <f>ROUND(BE105/BE155,5)</f>
        <v>0.33948</v>
      </c>
      <c r="BF109" s="442">
        <f>ROUND(BF105/BF155,5)</f>
        <v>0.33100000000000002</v>
      </c>
      <c r="BG109" s="442">
        <f>ROUND(BG105/BG155,5)</f>
        <v>0.34408</v>
      </c>
      <c r="BH109" s="442">
        <f>ROUND(BH105/BH155,5)</f>
        <v>0.40444000000000002</v>
      </c>
      <c r="BI109" s="442">
        <f>ROUND(BI105/BI155,5)</f>
        <v>1.4192400000000001</v>
      </c>
      <c r="BJ109" s="442"/>
      <c r="BK109" s="442">
        <f>ROUND(BK105/BK155,5)</f>
        <v>0.34725</v>
      </c>
      <c r="BL109" s="442">
        <f>ROUND(BL105/BL155,5)</f>
        <v>0.41517999999999999</v>
      </c>
      <c r="BM109" s="442">
        <f>ROUND(BM105/BM155,5)</f>
        <v>0.37375000000000003</v>
      </c>
      <c r="BN109" s="442">
        <f>ROUND(BN105/BN155,5)</f>
        <v>0.48746</v>
      </c>
      <c r="BO109" s="1271">
        <f>ROUND(BO105/BO155,5)</f>
        <v>1.62378</v>
      </c>
      <c r="BP109" s="442"/>
      <c r="BQ109" s="442">
        <f>ROUND(BQ105/BQ155,5)</f>
        <v>0.46194000000000002</v>
      </c>
      <c r="BR109" s="442">
        <f>ROUND(BR105/BR155,5)</f>
        <v>0.47069</v>
      </c>
      <c r="BS109" s="442">
        <f>ROUND(BS105/BS155,5)</f>
        <v>0.50821000000000005</v>
      </c>
      <c r="BT109" s="442">
        <f>ROUND(BT105/BT155,5)</f>
        <v>0.53996999999999995</v>
      </c>
      <c r="BU109" s="1271">
        <f>ROUND(BU105/BU155,5)</f>
        <v>1.9806299999999999</v>
      </c>
      <c r="BV109" s="442"/>
      <c r="BW109" s="442">
        <f>ROUND(BW105/BW155,5)</f>
        <v>0.51812999999999998</v>
      </c>
      <c r="BX109" s="442">
        <f>ROUND(BX105/BX155,5)</f>
        <v>0.58118000000000003</v>
      </c>
      <c r="BY109" s="442">
        <f>ROUND(BY105/BY155,5)</f>
        <v>0.57701000000000002</v>
      </c>
      <c r="BZ109" s="442">
        <f>ROUND(BZ105/BZ155,5)</f>
        <v>0.31064999999999998</v>
      </c>
      <c r="CA109" s="1271">
        <f>ROUND(CA105/CA155,5)</f>
        <v>1.9858100000000001</v>
      </c>
      <c r="CB109" s="442"/>
      <c r="CC109" s="442">
        <f>ROUND(CC105/CC155,5)</f>
        <v>0.1845</v>
      </c>
      <c r="CD109" s="442">
        <f>ROUND(CD105/CD155,5)</f>
        <v>0.24771000000000001</v>
      </c>
      <c r="CE109" s="442">
        <f>ROUND(CE105/CE155,5)</f>
        <v>0.27483000000000002</v>
      </c>
      <c r="CF109" s="442">
        <f>ROUND(CF105/CF155,5)</f>
        <v>0.30524000000000001</v>
      </c>
      <c r="CG109" s="1271">
        <f>ROUND(CG105/CG155,5)</f>
        <v>1.0128999999999999</v>
      </c>
      <c r="CH109" s="442"/>
      <c r="CI109" s="442">
        <f>ROUND(CI105/CI155,5)</f>
        <v>0.29563</v>
      </c>
      <c r="CJ109" s="442">
        <f>ROUND(CJ105/CJ155,5)</f>
        <v>0.37280999999999997</v>
      </c>
      <c r="CK109" s="442">
        <f>ROUND(CK105/CK155,5)</f>
        <v>0.33112999999999998</v>
      </c>
      <c r="CL109" s="442">
        <f>ROUND(CL105/CL155,5)</f>
        <v>0.36431999999999998</v>
      </c>
      <c r="CM109" s="1271">
        <f>ROUND(CM105/CM155,5)</f>
        <v>1.36365</v>
      </c>
      <c r="CN109" s="442"/>
      <c r="CO109" s="442">
        <f>ROUND(CO105/CO155,5)</f>
        <v>0.41060000000000002</v>
      </c>
      <c r="CP109" s="442">
        <f>ROUND(CP105/CP155,5)</f>
        <v>0.45118000000000003</v>
      </c>
      <c r="CQ109" s="442">
        <f>ROUND(CQ105/CQ155,5)</f>
        <v>0.44957999999999998</v>
      </c>
      <c r="CR109" s="442">
        <f>ROUND(CR105/CR155,5)</f>
        <v>0.46926000000000001</v>
      </c>
      <c r="CS109" s="1271">
        <f>ROUND(CS105/CS155,5)</f>
        <v>1.78041</v>
      </c>
      <c r="CT109" s="442"/>
      <c r="CU109" s="442">
        <f>ROUND(CU105/CU155,5)</f>
        <v>0.48181000000000002</v>
      </c>
      <c r="CV109" s="442">
        <f>ROUND(CV105/CV155,5)</f>
        <v>0.48903000000000002</v>
      </c>
      <c r="CW109" s="442">
        <f>ROUND(CW105/CW155,5)</f>
        <v>0.47804999999999997</v>
      </c>
      <c r="CX109" s="442">
        <f>ROUND(CX105/CX155,5)</f>
        <v>0.53949000000000003</v>
      </c>
      <c r="CY109" s="1271">
        <f>ROUND(CY105/CY155,5)</f>
        <v>1.9878499999999999</v>
      </c>
      <c r="CZ109" s="442"/>
      <c r="DA109" s="442">
        <f>ROUND(DA105/DA155,5)</f>
        <v>0.43029000000000001</v>
      </c>
      <c r="DB109" s="442">
        <f>ROUND(DB105/DB155,5)</f>
        <v>0.45752999999999999</v>
      </c>
      <c r="DC109" s="442">
        <f>ROUND(DC105/DC155,5)</f>
        <v>0.42268</v>
      </c>
      <c r="DD109" s="442">
        <f>ROUND(DD105/DD155,5)</f>
        <v>0.4133</v>
      </c>
      <c r="DE109" s="1271">
        <f>ROUND(DE105/DE155,5)</f>
        <v>1.7235400000000001</v>
      </c>
      <c r="DF109" s="442"/>
      <c r="DG109" s="442">
        <f>ROUND(DG105/DG155,5)</f>
        <v>0.32511000000000001</v>
      </c>
      <c r="DH109" s="442">
        <f>ROUND(DH105/DH155,5)</f>
        <v>0.36076000000000003</v>
      </c>
      <c r="DI109" s="442">
        <f>ROUND(DI105/DI155,5)</f>
        <v>0.25396000000000002</v>
      </c>
      <c r="DJ109" s="442">
        <f>ROUND(DJ105/DJ155,5)</f>
        <v>0.25879999999999997</v>
      </c>
      <c r="DK109" s="1271">
        <f>ROUND(DK105/DK155,5)</f>
        <v>1.1986399999999999</v>
      </c>
      <c r="DL109" s="442"/>
      <c r="DM109" s="442">
        <f>ROUND(DM105/DM155,5)</f>
        <v>0.30414000000000002</v>
      </c>
      <c r="DN109" s="442">
        <f>ROUND(DN105/DN155,5)</f>
        <v>0.19383</v>
      </c>
      <c r="DO109" s="442">
        <f>ROUND(DO105/DO155,5)</f>
        <v>0.14692</v>
      </c>
      <c r="DP109" s="442">
        <f>ROUND(DP105/DP155,5)</f>
        <v>0.21317</v>
      </c>
      <c r="DQ109" s="1271">
        <f>ROUND(DQ105/DQ155,5)</f>
        <v>0.85865999999999998</v>
      </c>
      <c r="DR109" s="442"/>
      <c r="DS109" s="442">
        <f>ROUND(DS105/DS155,5)</f>
        <v>-0.10248</v>
      </c>
      <c r="DT109" s="442">
        <f>ROUND(DT105/DT155,5)</f>
        <v>5.3319999999999999E-2</v>
      </c>
      <c r="DU109" s="442">
        <f>ROUND(DU105/DU155,5)</f>
        <v>-0.17544000000000001</v>
      </c>
      <c r="DV109" s="442">
        <f>ROUND(DV105/DV155,5)</f>
        <v>-0.27544000000000002</v>
      </c>
      <c r="DW109" s="1271">
        <f>ROUND(DW105/DW155,5)</f>
        <v>-0.49830000000000002</v>
      </c>
      <c r="DX109" s="442"/>
      <c r="DY109" s="442">
        <f>ROUND(DY105/DY155,5)</f>
        <v>-0.15825</v>
      </c>
      <c r="DZ109" s="442">
        <f>ROUND(DZ105/DZ155,5)</f>
        <v>-0.11481</v>
      </c>
      <c r="EA109" s="442">
        <f>ROUND(EA105/EA155,5)</f>
        <v>-0.12021999999999999</v>
      </c>
      <c r="EB109" s="442">
        <f>ROUND(EB105/EB155,5)</f>
        <v>-9.0829999999999994E-2</v>
      </c>
      <c r="EC109" s="1271">
        <f>ROUND(EC105/EC155,5)</f>
        <v>-0.48422999999999999</v>
      </c>
      <c r="ED109" s="442"/>
      <c r="EE109" s="442">
        <f>ROUND(EE105/EE155,5)</f>
        <v>4.0280000000000003E-2</v>
      </c>
      <c r="EF109" s="442">
        <f>ROUND(EF105/EF155,5)</f>
        <v>0.17330999999999999</v>
      </c>
      <c r="EG109" s="442">
        <f>ROUND(EG105/EG155,5)</f>
        <v>0.30662</v>
      </c>
      <c r="EH109" s="442">
        <f>ROUND(EH105/EH155,5)</f>
        <v>0.4173</v>
      </c>
      <c r="EI109" s="1271">
        <f>ROUND(EI105/EI155,5)</f>
        <v>0.93603999999999998</v>
      </c>
      <c r="EJ109" s="442"/>
      <c r="EK109" s="442">
        <f>ROUND(EK105/EK155,5)</f>
        <v>0.55437999999999998</v>
      </c>
      <c r="EL109" s="442">
        <f>ROUND(EL105/EL155,5)</f>
        <v>0.73895</v>
      </c>
      <c r="EM109" s="442">
        <f>ROUND(EM105/EM155,5)</f>
        <v>0.87600999999999996</v>
      </c>
      <c r="EN109" s="442">
        <f>ROUND(EN105/EN155,5)</f>
        <v>1.10524</v>
      </c>
      <c r="EO109" s="1271">
        <f>ROUND(EO105/EO155,5)</f>
        <v>3.2697400000000001</v>
      </c>
      <c r="EP109" s="442"/>
      <c r="EQ109" s="442">
        <f>ROUND(EQ105/EQ155,5)</f>
        <v>0.71689999999999998</v>
      </c>
      <c r="ER109" s="442">
        <f>ROUND(ER105/ER155,5)</f>
        <v>1.0973599999999999</v>
      </c>
      <c r="ES109" s="442">
        <f>ROUND(ES105/ES155,5)</f>
        <v>1.4274199999999999</v>
      </c>
      <c r="ET109" s="442">
        <f>ROUND(ET105/ET155,5)</f>
        <v>1.9288400000000001</v>
      </c>
      <c r="EU109" s="1271">
        <f>ROUND(EU105/EU155,5)</f>
        <v>5.1657799999999998</v>
      </c>
      <c r="EV109" s="442"/>
    </row>
    <row r="110" spans="1:152">
      <c r="A110" s="449"/>
      <c r="B110" s="523"/>
      <c r="C110" s="619"/>
      <c r="D110" s="619"/>
      <c r="E110" s="619"/>
      <c r="F110" s="619"/>
      <c r="G110" s="619"/>
      <c r="H110" s="442"/>
      <c r="I110" s="619"/>
      <c r="J110" s="619"/>
      <c r="K110" s="619"/>
      <c r="L110" s="619"/>
      <c r="M110" s="619"/>
      <c r="N110" s="442"/>
      <c r="O110" s="442"/>
      <c r="P110" s="442"/>
      <c r="Q110" s="442"/>
      <c r="R110" s="442"/>
      <c r="S110" s="442"/>
      <c r="T110" s="442"/>
      <c r="U110" s="442"/>
      <c r="V110" s="442"/>
      <c r="W110" s="442"/>
      <c r="X110" s="442"/>
      <c r="Y110" s="442"/>
      <c r="Z110" s="442"/>
      <c r="AA110" s="442"/>
      <c r="AB110" s="442"/>
      <c r="AC110" s="442"/>
      <c r="AD110" s="442"/>
      <c r="AE110" s="442"/>
      <c r="AF110" s="442"/>
      <c r="AG110" s="442"/>
      <c r="AH110" s="442"/>
      <c r="AI110" s="442"/>
      <c r="AJ110" s="442"/>
      <c r="AK110" s="442"/>
      <c r="AL110" s="442"/>
      <c r="AM110" s="442"/>
      <c r="AN110" s="442"/>
      <c r="AO110" s="442"/>
      <c r="AP110" s="442"/>
      <c r="AQ110" s="442"/>
      <c r="AR110" s="442"/>
      <c r="AS110" s="442"/>
      <c r="AT110" s="442"/>
      <c r="AU110" s="442"/>
      <c r="AV110" s="442"/>
      <c r="AW110" s="442"/>
      <c r="AX110" s="442"/>
      <c r="AY110" s="442"/>
      <c r="AZ110" s="442"/>
      <c r="BA110" s="442"/>
      <c r="BB110" s="442"/>
      <c r="BC110" s="442"/>
      <c r="BD110" s="442"/>
      <c r="BE110" s="442"/>
      <c r="BF110" s="442"/>
      <c r="BG110" s="442"/>
      <c r="BH110" s="442"/>
      <c r="BI110" s="442"/>
      <c r="BJ110" s="442"/>
      <c r="BK110" s="442"/>
      <c r="BL110" s="442"/>
      <c r="BM110" s="442"/>
      <c r="BN110" s="442"/>
      <c r="BO110" s="1271"/>
      <c r="BP110" s="442"/>
      <c r="BQ110" s="442"/>
      <c r="BR110" s="442"/>
      <c r="BS110" s="442"/>
      <c r="BT110" s="442"/>
      <c r="BU110" s="1271"/>
      <c r="BV110" s="442"/>
      <c r="BW110" s="442"/>
      <c r="BX110" s="442"/>
      <c r="BY110" s="442"/>
      <c r="BZ110" s="442"/>
      <c r="CA110" s="1271"/>
      <c r="CB110" s="442"/>
      <c r="CC110" s="442"/>
      <c r="CD110" s="442"/>
      <c r="CE110" s="442"/>
      <c r="CF110" s="442"/>
      <c r="CG110" s="1271"/>
      <c r="CH110" s="442"/>
      <c r="CI110" s="442"/>
      <c r="CJ110" s="442"/>
      <c r="CK110" s="1443"/>
      <c r="CL110" s="1631"/>
      <c r="CM110" s="1262"/>
      <c r="CN110" s="442"/>
      <c r="CO110" s="442"/>
      <c r="CP110" s="442"/>
      <c r="CQ110" s="442"/>
      <c r="CR110" s="442"/>
      <c r="CS110" s="1586"/>
      <c r="CT110" s="442"/>
      <c r="CU110" s="442"/>
      <c r="CV110" s="442"/>
      <c r="CW110" s="442"/>
      <c r="CX110" s="442"/>
      <c r="CY110" s="1691"/>
      <c r="CZ110" s="442"/>
      <c r="DA110" s="442"/>
      <c r="DB110" s="442"/>
      <c r="DC110" s="442"/>
      <c r="DD110" s="442"/>
      <c r="DE110" s="1262"/>
      <c r="DF110" s="442"/>
      <c r="DG110" s="442"/>
      <c r="DH110" s="442"/>
      <c r="DI110" s="1443"/>
      <c r="DJ110" s="442"/>
      <c r="DK110" s="1262"/>
      <c r="DL110" s="442"/>
      <c r="DM110" s="442"/>
      <c r="DN110" s="442"/>
      <c r="DO110" s="1443"/>
      <c r="DP110" s="442"/>
      <c r="DQ110" s="1262"/>
      <c r="DR110" s="442"/>
      <c r="DS110" s="442"/>
      <c r="DT110" s="442"/>
      <c r="DU110" s="1443"/>
      <c r="DV110" s="442"/>
      <c r="DW110" s="1262"/>
      <c r="DX110" s="442"/>
      <c r="DY110" s="442"/>
      <c r="DZ110" s="442"/>
      <c r="EA110" s="1443"/>
      <c r="EB110" s="442"/>
      <c r="EC110" s="1262"/>
      <c r="ED110" s="442"/>
      <c r="EE110" s="442"/>
      <c r="EF110" s="442"/>
      <c r="EG110" s="1443"/>
      <c r="EH110" s="442"/>
      <c r="EI110" s="1262"/>
      <c r="EJ110" s="442"/>
      <c r="EK110" s="442"/>
      <c r="EL110" s="442"/>
      <c r="EM110" s="1443"/>
      <c r="EN110" s="442"/>
      <c r="EO110" s="1262"/>
      <c r="EP110" s="442"/>
      <c r="EQ110" s="442"/>
      <c r="ER110" s="442"/>
      <c r="ES110" s="1443"/>
      <c r="ET110" s="442"/>
      <c r="EU110" s="1262"/>
      <c r="EV110" s="442"/>
    </row>
    <row r="111" spans="1:152">
      <c r="A111" s="1430" t="s">
        <v>4941</v>
      </c>
      <c r="B111" s="1417"/>
      <c r="C111" s="1418"/>
      <c r="D111" s="1418"/>
      <c r="E111" s="1418"/>
      <c r="F111" s="1418"/>
      <c r="G111" s="1418"/>
      <c r="H111" s="1419"/>
      <c r="I111" s="1418"/>
      <c r="J111" s="1418"/>
      <c r="K111" s="1418"/>
      <c r="L111" s="1418"/>
      <c r="M111" s="1418"/>
      <c r="N111" s="1419"/>
      <c r="O111" s="1419"/>
      <c r="P111" s="1419"/>
      <c r="Q111" s="1419"/>
      <c r="R111" s="1419"/>
      <c r="S111" s="1419"/>
      <c r="T111" s="1419"/>
      <c r="U111" s="1419"/>
      <c r="V111" s="1419"/>
      <c r="W111" s="1419"/>
      <c r="X111" s="1419"/>
      <c r="Y111" s="1419"/>
      <c r="Z111" s="1419"/>
      <c r="AA111" s="1419"/>
      <c r="AB111" s="1419"/>
      <c r="AC111" s="1419"/>
      <c r="AD111" s="1419"/>
      <c r="AE111" s="1419"/>
      <c r="AF111" s="1419"/>
      <c r="AG111" s="1419"/>
      <c r="AH111" s="1419"/>
      <c r="AI111" s="1419"/>
      <c r="AJ111" s="1419"/>
      <c r="AK111" s="1419"/>
      <c r="AL111" s="1419"/>
      <c r="AM111" s="1419"/>
      <c r="AN111" s="1419"/>
      <c r="AO111" s="1419"/>
      <c r="AP111" s="1419"/>
      <c r="AQ111" s="1419"/>
      <c r="AR111" s="1419"/>
      <c r="AS111" s="1419"/>
      <c r="AT111" s="1419"/>
      <c r="AU111" s="1419"/>
      <c r="AV111" s="1419"/>
      <c r="AW111" s="1419"/>
      <c r="AX111" s="1419"/>
      <c r="AY111" s="1419"/>
      <c r="AZ111" s="1419"/>
      <c r="BA111" s="1419"/>
      <c r="BB111" s="1419"/>
      <c r="BC111" s="1419"/>
      <c r="BD111" s="1419"/>
      <c r="BE111" s="1419"/>
      <c r="BF111" s="1419"/>
      <c r="BG111" s="1419"/>
      <c r="BH111" s="1419"/>
      <c r="BI111" s="1419"/>
      <c r="BJ111" s="1419"/>
      <c r="BK111" s="1419"/>
      <c r="BL111" s="1419"/>
      <c r="BM111" s="1419"/>
      <c r="BN111" s="1419"/>
      <c r="BO111" s="1420"/>
      <c r="BP111" s="1419"/>
      <c r="BQ111" s="1419"/>
      <c r="BR111" s="1419"/>
      <c r="BS111" s="1419"/>
      <c r="BT111" s="1419"/>
      <c r="BU111" s="1420">
        <f>AVERAGE(CA87,BU87,BO87,BI87,BC87,AQ87,AW87)</f>
        <v>0.40112025670585194</v>
      </c>
      <c r="BV111" s="1419"/>
      <c r="BW111" s="1419"/>
      <c r="BX111" s="1419"/>
      <c r="BY111" s="1419"/>
      <c r="BZ111" s="1419"/>
      <c r="CA111" s="1420"/>
      <c r="CB111" s="1419"/>
      <c r="CC111" s="1419"/>
      <c r="CD111" s="1419"/>
      <c r="CE111" s="1419"/>
      <c r="CF111" s="1419"/>
      <c r="CG111" s="1420"/>
      <c r="CH111" s="1419"/>
      <c r="CI111" s="1419"/>
      <c r="CJ111" s="1419"/>
      <c r="CK111" s="1612"/>
      <c r="CL111" s="1419"/>
      <c r="CM111" s="1482"/>
      <c r="CN111" s="1419"/>
      <c r="CO111" s="1419"/>
      <c r="CP111" s="1419"/>
      <c r="CQ111" s="1419"/>
      <c r="CR111" s="1419"/>
      <c r="CS111" s="1613"/>
      <c r="CT111" s="1419"/>
      <c r="CU111" s="1419"/>
      <c r="CV111" s="1419"/>
      <c r="CW111" s="1419"/>
      <c r="CX111" s="1419"/>
      <c r="CY111" s="1482"/>
      <c r="CZ111" s="1419"/>
      <c r="DA111" s="1419"/>
      <c r="DB111" s="1419"/>
      <c r="DC111" s="1419"/>
      <c r="DD111" s="1419"/>
      <c r="DE111" s="1420"/>
      <c r="DF111" s="1419"/>
      <c r="DG111" s="1419"/>
      <c r="DH111" s="1419"/>
      <c r="DI111" s="1419"/>
      <c r="DJ111" s="1419"/>
      <c r="DK111" s="1420"/>
      <c r="DL111" s="1419"/>
      <c r="DM111" s="1419"/>
      <c r="DN111" s="1419"/>
      <c r="DO111" s="1419"/>
      <c r="DP111" s="1419"/>
      <c r="DQ111" s="1420"/>
      <c r="DR111" s="1419"/>
      <c r="DS111" s="1419"/>
      <c r="DT111" s="1419"/>
      <c r="DU111" s="1419"/>
      <c r="DV111" s="1419"/>
      <c r="DW111" s="1420"/>
      <c r="DX111" s="1419"/>
      <c r="DY111" s="1419"/>
      <c r="DZ111" s="1419"/>
      <c r="EA111" s="1419"/>
      <c r="EB111" s="1419"/>
      <c r="EC111" s="1420"/>
      <c r="ED111" s="1419"/>
      <c r="EE111" s="1419"/>
      <c r="EF111" s="1419"/>
      <c r="EG111" s="1419"/>
      <c r="EH111" s="1419"/>
      <c r="EI111" s="1420"/>
      <c r="EJ111" s="1419"/>
      <c r="EK111" s="1419"/>
      <c r="EL111" s="1419"/>
      <c r="EM111" s="1419"/>
      <c r="EN111" s="1419"/>
      <c r="EO111" s="1420"/>
      <c r="EP111" s="1419"/>
      <c r="EQ111" s="1419"/>
      <c r="ER111" s="1419"/>
      <c r="ES111" s="1419"/>
      <c r="ET111" s="1419"/>
      <c r="EU111" s="1420"/>
      <c r="EV111" s="1443"/>
    </row>
    <row r="112" spans="1:152">
      <c r="A112" s="1421" t="s">
        <v>653</v>
      </c>
      <c r="B112" s="1422"/>
      <c r="C112" s="1423"/>
      <c r="D112" s="1423"/>
      <c r="E112" s="1423"/>
      <c r="F112" s="1423"/>
      <c r="G112" s="1423"/>
      <c r="H112" s="1424"/>
      <c r="I112" s="1423"/>
      <c r="J112" s="1423"/>
      <c r="K112" s="1423"/>
      <c r="L112" s="1423"/>
      <c r="M112" s="1423"/>
      <c r="N112" s="1424"/>
      <c r="O112" s="1424"/>
      <c r="P112" s="1424"/>
      <c r="Q112" s="1424"/>
      <c r="R112" s="1424"/>
      <c r="S112" s="1424"/>
      <c r="T112" s="1424"/>
      <c r="U112" s="1424"/>
      <c r="V112" s="1424"/>
      <c r="W112" s="1424"/>
      <c r="X112" s="1424"/>
      <c r="Y112" s="1424"/>
      <c r="Z112" s="1424"/>
      <c r="AA112" s="1424"/>
      <c r="AB112" s="1424"/>
      <c r="AC112" s="1424"/>
      <c r="AD112" s="1424"/>
      <c r="AE112" s="1424"/>
      <c r="AF112" s="1424"/>
      <c r="AG112" s="1424"/>
      <c r="AH112" s="1424"/>
      <c r="AI112" s="1424"/>
      <c r="AJ112" s="1424"/>
      <c r="AK112" s="1424"/>
      <c r="AL112" s="1424"/>
      <c r="AM112" s="1424"/>
      <c r="AN112" s="1424"/>
      <c r="AO112" s="1424"/>
      <c r="AP112" s="1424"/>
      <c r="AQ112" s="1424"/>
      <c r="AR112" s="1424"/>
      <c r="AS112" s="1424"/>
      <c r="AT112" s="1424"/>
      <c r="AU112" s="1424"/>
      <c r="AV112" s="1424"/>
      <c r="AW112" s="1424"/>
      <c r="AX112" s="1424"/>
      <c r="AY112" s="1424"/>
      <c r="AZ112" s="1424"/>
      <c r="BA112" s="1424"/>
      <c r="BB112" s="1424"/>
      <c r="BC112" s="1424"/>
      <c r="BD112" s="1424"/>
      <c r="BE112" s="1424"/>
      <c r="BF112" s="1424"/>
      <c r="BG112" s="1424"/>
      <c r="BH112" s="1424"/>
      <c r="BI112" s="1424">
        <f>(BI107/AQ107)^(1/3)-1</f>
        <v>0.85587195012699602</v>
      </c>
      <c r="BJ112" s="1424"/>
      <c r="BK112" s="1424"/>
      <c r="BL112" s="1424"/>
      <c r="BM112" s="1424"/>
      <c r="BN112" s="1424"/>
      <c r="BO112" s="1271"/>
      <c r="BP112" s="1424"/>
      <c r="BQ112" s="1424"/>
      <c r="BR112" s="1424"/>
      <c r="BS112" s="1424"/>
      <c r="BT112" s="1424"/>
      <c r="BU112" s="1271"/>
      <c r="BV112" s="1424"/>
      <c r="BW112" s="1424"/>
      <c r="BX112" s="1424"/>
      <c r="BY112" s="1424"/>
      <c r="BZ112" s="931" t="e">
        <f>#REF!</f>
        <v>#REF!</v>
      </c>
      <c r="CA112" s="1278"/>
      <c r="CB112" s="1467"/>
      <c r="CC112" s="1467"/>
      <c r="CD112" s="1467"/>
      <c r="CE112" s="1467"/>
      <c r="CF112" s="1467"/>
      <c r="CG112" s="1278"/>
      <c r="CH112" s="1467"/>
      <c r="CI112" s="1467"/>
      <c r="CJ112" s="1467"/>
      <c r="CK112" s="1467"/>
      <c r="CL112" s="1467"/>
      <c r="CM112" s="1170"/>
      <c r="CN112" s="1424"/>
      <c r="CO112" s="1467"/>
      <c r="CP112" s="1467"/>
      <c r="CQ112" s="1467"/>
      <c r="CR112" s="1467">
        <v>584.29999999999995</v>
      </c>
      <c r="CS112" s="1170"/>
      <c r="CT112" s="1424"/>
      <c r="CU112" s="1424"/>
      <c r="CV112" s="1424"/>
      <c r="CW112" s="1424"/>
      <c r="CX112" s="1424"/>
      <c r="CY112" s="1170"/>
      <c r="CZ112" s="1424"/>
      <c r="DA112" s="1424"/>
      <c r="DB112" s="1424"/>
      <c r="DC112" s="1424"/>
      <c r="DD112" s="1424"/>
      <c r="DE112" s="1170"/>
      <c r="DF112" s="1424"/>
      <c r="DG112" s="931"/>
      <c r="DH112" s="1424"/>
      <c r="DI112" s="1424"/>
      <c r="DJ112" s="1424">
        <f>DJ31</f>
        <v>664.6</v>
      </c>
      <c r="DK112" s="1170"/>
      <c r="DL112" s="1424"/>
      <c r="DM112" s="1424" t="str">
        <f>_xll.ThomsonONEAddinShim.SpreadsheetFormulas.TF("ADSK.O","TF.ES.SALES.Mean(period=1FQ2016,scale=6)")</f>
        <v>Manual Calculation</v>
      </c>
      <c r="DN112" s="1424" t="str">
        <f>_xll.ThomsonONEAddinShim.SpreadsheetFormulas.TF("ADSK.O","TF.ES.SALES.Mean(period=2FQ2016,scale=6)")</f>
        <v>Manual Calculation</v>
      </c>
      <c r="DO112" s="1424" t="str">
        <f>_xll.ThomsonONEAddinShim.SpreadsheetFormulas.TF("ADSK.O","TF.ES.SALES.Mean(period=3FQ2016,scale=6)")</f>
        <v>Manual Calculation</v>
      </c>
      <c r="DP112" s="1424" t="str">
        <f>_xll.ThomsonONEAddinShim.SpreadsheetFormulas.TF("ADSK.O","TF.ES.SALES.Mean(period=4FQ2016,scale=6)")</f>
        <v>Manual Calculation</v>
      </c>
      <c r="DQ112" s="1170"/>
      <c r="DR112" s="1424"/>
      <c r="DS112" s="1424" t="str">
        <f>_xll.ThomsonONEAddinShim.SpreadsheetFormulas.TF("ADSK.O","TF.ES.SALES.Mean(period=1FQ2017,scale=6)")</f>
        <v>Manual Calculation</v>
      </c>
      <c r="DT112" s="1424" t="str">
        <f>_xll.ThomsonONEAddinShim.SpreadsheetFormulas.TF("ADSK.O","TF.ES.SALES.Mean(period=2FQ2017,scale=6)")</f>
        <v>Manual Calculation</v>
      </c>
      <c r="DU112" s="1424" t="str">
        <f>_xll.ThomsonONEAddinShim.SpreadsheetFormulas.TF("ADSK.O","TF.ES.SALES.Mean(period=3FQ2017,scale=6)")</f>
        <v>Manual Calculation</v>
      </c>
      <c r="DV112" s="1424" t="str">
        <f>_xll.ThomsonONEAddinShim.SpreadsheetFormulas.TF("ADSK.O","TF.ES.SALES.Mean(period=4FQ2016,scale=6)")</f>
        <v>Manual Calculation</v>
      </c>
      <c r="DW112" s="1170">
        <f>0+(_xll.ThomsonONEAddinShim.SpreadsheetFormulas.TF("ADSK.O","TF.ES.SALES.Mean(period=2017,scale=6)"))</f>
        <v>2025.7</v>
      </c>
      <c r="DX112" s="1424"/>
      <c r="DY112" s="1424">
        <f>_xll.ThomsonONEAddinShim.SpreadsheetFormulas.TF("ADSK.O","TF.ES.SALES.Mean(period=1FQ2018,scale=6)")</f>
        <v>470.4</v>
      </c>
      <c r="DZ112" s="1424"/>
      <c r="EA112" s="1424"/>
      <c r="EB112" s="1424"/>
      <c r="EC112" s="1170">
        <f>0+(_xll.ThomsonONEAddinShim.SpreadsheetFormulas.TF("ADSK.O","TF.ES.SALES.Mean(period=2018,scale=6)"))</f>
        <v>2042.8</v>
      </c>
      <c r="ED112" s="1424"/>
      <c r="EE112" s="1424"/>
      <c r="EF112" s="1424"/>
      <c r="EG112" s="1424"/>
      <c r="EH112" s="1424"/>
      <c r="EI112" s="1170">
        <f>0+(_xll.ThomsonONEAddinShim.SpreadsheetFormulas.TF("ADSK.O","TF.ES.SALES.Mean(period=2019,scale=6)"))</f>
        <v>2550.9</v>
      </c>
      <c r="EJ112" s="1424"/>
      <c r="EK112" s="1424"/>
      <c r="EL112" s="1424"/>
      <c r="EM112" s="1424"/>
      <c r="EN112" s="1424"/>
      <c r="EO112" s="1170">
        <f>0+(_xll.ThomsonONEAddinShim.SpreadsheetFormulas.TF("ADSK.O","TF.ES.SALES.Mean(period=2020,scale=6)"))</f>
        <v>3295.2</v>
      </c>
      <c r="EP112" s="1424"/>
      <c r="EQ112" s="1424"/>
      <c r="ER112" s="1424"/>
      <c r="ES112" s="1424"/>
      <c r="ET112" s="1424"/>
      <c r="EU112" s="1170">
        <f>0+(_xll.ThomsonONEAddinShim.SpreadsheetFormulas.TF("ADSK.O","TF.ES.SALES.Mean(period=2020,scale=6)"))</f>
        <v>3295.2</v>
      </c>
      <c r="EV112" s="442"/>
    </row>
    <row r="113" spans="1:152">
      <c r="A113" s="1421" t="s">
        <v>6052</v>
      </c>
      <c r="B113" s="1422"/>
      <c r="C113" s="1423"/>
      <c r="D113" s="1423"/>
      <c r="E113" s="1423"/>
      <c r="F113" s="1423"/>
      <c r="G113" s="1423"/>
      <c r="H113" s="1424"/>
      <c r="I113" s="1423"/>
      <c r="J113" s="1423"/>
      <c r="K113" s="1423"/>
      <c r="L113" s="1423"/>
      <c r="M113" s="1423"/>
      <c r="N113" s="1424"/>
      <c r="O113" s="1424"/>
      <c r="P113" s="1424"/>
      <c r="Q113" s="1424"/>
      <c r="R113" s="1424"/>
      <c r="S113" s="1424"/>
      <c r="T113" s="1424"/>
      <c r="U113" s="1424"/>
      <c r="V113" s="1424"/>
      <c r="W113" s="1424"/>
      <c r="X113" s="1424"/>
      <c r="Y113" s="1424"/>
      <c r="Z113" s="1424"/>
      <c r="AA113" s="1424"/>
      <c r="AB113" s="1424"/>
      <c r="AC113" s="1424"/>
      <c r="AD113" s="1424"/>
      <c r="AE113" s="1424"/>
      <c r="AF113" s="1424"/>
      <c r="AG113" s="1424"/>
      <c r="AH113" s="1424"/>
      <c r="AI113" s="1424"/>
      <c r="AJ113" s="1424"/>
      <c r="AK113" s="1424"/>
      <c r="AL113" s="1424"/>
      <c r="AM113" s="1424"/>
      <c r="AN113" s="1424"/>
      <c r="AO113" s="1424"/>
      <c r="AP113" s="1424"/>
      <c r="AQ113" s="1424"/>
      <c r="AR113" s="1424"/>
      <c r="AS113" s="1424"/>
      <c r="AT113" s="1424"/>
      <c r="AU113" s="1424"/>
      <c r="AV113" s="1424"/>
      <c r="AW113" s="1424"/>
      <c r="AX113" s="1424"/>
      <c r="AY113" s="1424"/>
      <c r="AZ113" s="1424"/>
      <c r="BA113" s="1424"/>
      <c r="BB113" s="1424"/>
      <c r="BC113" s="1424"/>
      <c r="BD113" s="1424"/>
      <c r="BE113" s="1424"/>
      <c r="BF113" s="1424"/>
      <c r="BG113" s="1424"/>
      <c r="BH113" s="1424"/>
      <c r="BI113" s="1424"/>
      <c r="BJ113" s="1424"/>
      <c r="BK113" s="1424"/>
      <c r="BL113" s="1424"/>
      <c r="BM113" s="1424"/>
      <c r="BN113" s="1424"/>
      <c r="BO113" s="1271"/>
      <c r="BP113" s="1424"/>
      <c r="BQ113" s="1424"/>
      <c r="BR113" s="1424"/>
      <c r="BS113" s="1424"/>
      <c r="BT113" s="1424"/>
      <c r="BU113" s="1271"/>
      <c r="BV113" s="1424"/>
      <c r="BW113" s="1424"/>
      <c r="BX113" s="1424"/>
      <c r="BY113" s="1424"/>
      <c r="BZ113" s="931" t="e">
        <f>#REF!</f>
        <v>#REF!</v>
      </c>
      <c r="CA113" s="1278"/>
      <c r="CB113" s="1467"/>
      <c r="CC113" s="1467"/>
      <c r="CD113" s="1467"/>
      <c r="CE113" s="1467"/>
      <c r="CF113" s="1467"/>
      <c r="CG113" s="1278"/>
      <c r="CH113" s="1467"/>
      <c r="CI113" s="1467"/>
      <c r="CJ113" s="1467"/>
      <c r="CK113" s="1467"/>
      <c r="CL113" s="1467"/>
      <c r="CM113" s="1170"/>
      <c r="CN113" s="1424"/>
      <c r="CO113" s="1467"/>
      <c r="CP113" s="1467"/>
      <c r="CQ113" s="1467"/>
      <c r="CR113" s="1467">
        <v>137</v>
      </c>
      <c r="CS113" s="1170"/>
      <c r="CT113" s="1424"/>
      <c r="CU113" s="1424"/>
      <c r="CV113" s="1424"/>
      <c r="CW113" s="1424"/>
      <c r="CX113" s="1424"/>
      <c r="CY113" s="1170"/>
      <c r="CZ113" s="1424"/>
      <c r="DA113" s="1424"/>
      <c r="DB113" s="1424"/>
      <c r="DC113" s="1424"/>
      <c r="DD113" s="1424"/>
      <c r="DE113" s="1170"/>
      <c r="DF113" s="1424"/>
      <c r="DG113" s="1424"/>
      <c r="DH113" s="1424"/>
      <c r="DI113" s="1424"/>
      <c r="DJ113" s="1424">
        <f>DJ85</f>
        <v>85</v>
      </c>
      <c r="DK113" s="1170"/>
      <c r="DL113" s="1424"/>
      <c r="DM113" s="1424" t="str">
        <f>_xll.ThomsonONEAddinShim.SpreadsheetFormulas.TF("ADSK.O","TF.ES.EBIT.Mean(period=1FQ2016,scale=6)")</f>
        <v>Manual Calculation</v>
      </c>
      <c r="DN113" s="1424" t="str">
        <f>_xll.ThomsonONEAddinShim.SpreadsheetFormulas.TF("ADSK.O","TF.ES.EBIT.Mean(period=2FQ2016,scale=6)")</f>
        <v>Manual Calculation</v>
      </c>
      <c r="DO113" s="1424" t="str">
        <f>_xll.ThomsonONEAddinShim.SpreadsheetFormulas.TF("ADSK.O","TF.ES.EBIT.Mean(period=3FQ2016,scale=6)")</f>
        <v>Manual Calculation</v>
      </c>
      <c r="DP113" s="1424" t="str">
        <f>_xll.ThomsonONEAddinShim.SpreadsheetFormulas.TF("ADSK.O","TF.ES.EBIT.Mean(period=4FQ2016,scale=6)")</f>
        <v>Manual Calculation</v>
      </c>
      <c r="DQ113" s="1170"/>
      <c r="DR113" s="1424"/>
      <c r="DS113" s="1424" t="str">
        <f>_xll.ThomsonONEAddinShim.SpreadsheetFormulas.TF("ADSK.O","TF.ES.EBIT.Mean(period=1FQ2017,scale=6)")</f>
        <v>Manual Calculation</v>
      </c>
      <c r="DT113" s="1424" t="str">
        <f>_xll.ThomsonONEAddinShim.SpreadsheetFormulas.TF("ADSK.O","TF.ES.EBIT.Mean(period=2FQ2017,scale=6)")</f>
        <v>Manual Calculation</v>
      </c>
      <c r="DU113" s="1424" t="str">
        <f>_xll.ThomsonONEAddinShim.SpreadsheetFormulas.TF("ADSK.O","TF.ES.EBIT.Mean(period=3FQ2017,scale=6)")</f>
        <v>Manual Calculation</v>
      </c>
      <c r="DV113" s="1424" t="str">
        <f>_xll.ThomsonONEAddinShim.SpreadsheetFormulas.TF("ADSK.O","TF.ES.EBIT.Mean(period=4FQ2016,scale=6)")</f>
        <v>Manual Calculation</v>
      </c>
      <c r="DW113" s="1170">
        <f>0+(_xll.ThomsonONEAddinShim.SpreadsheetFormulas.TF("ADSK.O","TF.ES.EBIT.Mean(period=2017,scale=6)"))</f>
        <v>-136.19999999999999</v>
      </c>
      <c r="DX113" s="1424"/>
      <c r="DY113" s="1424"/>
      <c r="DZ113" s="1424"/>
      <c r="EA113" s="1424"/>
      <c r="EB113" s="1424"/>
      <c r="EC113" s="1170">
        <f>0+(_xll.ThomsonONEAddinShim.SpreadsheetFormulas.TF("ADSK.O","TF.ES.EBIT.Mean(period=2018,scale=6)"))</f>
        <v>-130.19999999999999</v>
      </c>
      <c r="ED113" s="1424"/>
      <c r="EE113" s="1424"/>
      <c r="EF113" s="1424"/>
      <c r="EG113" s="1424"/>
      <c r="EH113" s="1424"/>
      <c r="EI113" s="1170">
        <f>0+(_xll.ThomsonONEAddinShim.SpreadsheetFormulas.TF("ADSK.O","TF.ES.EBIT.Mean(period=2019,scale=6)"))</f>
        <v>370.3</v>
      </c>
      <c r="EJ113" s="1424"/>
      <c r="EK113" s="1424"/>
      <c r="EL113" s="1424"/>
      <c r="EM113" s="1424"/>
      <c r="EN113" s="1424"/>
      <c r="EO113" s="1170">
        <f>0+(_xll.ThomsonONEAddinShim.SpreadsheetFormulas.TF("ADSK.O","TF.ES.EBIT.Mean(period=2020,scale=6)"))</f>
        <v>987.4</v>
      </c>
      <c r="EP113" s="1424"/>
      <c r="EQ113" s="1424"/>
      <c r="ER113" s="1424"/>
      <c r="ES113" s="1424"/>
      <c r="ET113" s="1424"/>
      <c r="EU113" s="1170">
        <f>0+(_xll.ThomsonONEAddinShim.SpreadsheetFormulas.TF("ADSK.O","TF.ES.EBIT.Mean(period=2020,scale=6)"))</f>
        <v>987.4</v>
      </c>
      <c r="EV113" s="442"/>
    </row>
    <row r="114" spans="1:152">
      <c r="A114" s="1425" t="s">
        <v>5630</v>
      </c>
      <c r="B114" s="1426"/>
      <c r="C114" s="1427"/>
      <c r="D114" s="1427"/>
      <c r="E114" s="1427"/>
      <c r="F114" s="1427"/>
      <c r="G114" s="1427"/>
      <c r="H114" s="1428"/>
      <c r="I114" s="1427"/>
      <c r="J114" s="1427"/>
      <c r="K114" s="1427"/>
      <c r="L114" s="1427"/>
      <c r="M114" s="1427"/>
      <c r="N114" s="1428"/>
      <c r="O114" s="1428"/>
      <c r="P114" s="1428"/>
      <c r="Q114" s="1428"/>
      <c r="R114" s="1428"/>
      <c r="S114" s="1428"/>
      <c r="T114" s="1428"/>
      <c r="U114" s="1428"/>
      <c r="V114" s="1428"/>
      <c r="W114" s="1428"/>
      <c r="X114" s="1428"/>
      <c r="Y114" s="1428"/>
      <c r="Z114" s="1428"/>
      <c r="AA114" s="1428"/>
      <c r="AB114" s="1428"/>
      <c r="AC114" s="1428"/>
      <c r="AD114" s="1428"/>
      <c r="AE114" s="1428"/>
      <c r="AF114" s="1428"/>
      <c r="AG114" s="1428"/>
      <c r="AH114" s="1428"/>
      <c r="AI114" s="1428"/>
      <c r="AJ114" s="1428"/>
      <c r="AK114" s="1428"/>
      <c r="AL114" s="1428"/>
      <c r="AM114" s="1428"/>
      <c r="AN114" s="1428"/>
      <c r="AO114" s="1428"/>
      <c r="AP114" s="1428"/>
      <c r="AQ114" s="1428"/>
      <c r="AR114" s="1428"/>
      <c r="AS114" s="1428"/>
      <c r="AT114" s="1428"/>
      <c r="AU114" s="1428"/>
      <c r="AV114" s="1428"/>
      <c r="AW114" s="1428"/>
      <c r="AX114" s="1428"/>
      <c r="AY114" s="1428"/>
      <c r="AZ114" s="1428"/>
      <c r="BA114" s="1428"/>
      <c r="BB114" s="1428"/>
      <c r="BC114" s="1428"/>
      <c r="BD114" s="1428"/>
      <c r="BE114" s="1428"/>
      <c r="BF114" s="1428"/>
      <c r="BG114" s="1428"/>
      <c r="BH114" s="1428"/>
      <c r="BI114" s="1428"/>
      <c r="BJ114" s="1428"/>
      <c r="BK114" s="1428"/>
      <c r="BL114" s="1428"/>
      <c r="BM114" s="1428"/>
      <c r="BN114" s="1428"/>
      <c r="BO114" s="1429"/>
      <c r="BP114" s="1428"/>
      <c r="BQ114" s="1428"/>
      <c r="BR114" s="1428"/>
      <c r="BS114" s="1428"/>
      <c r="BT114" s="1428"/>
      <c r="BU114" s="1429"/>
      <c r="BV114" s="1428"/>
      <c r="BW114" s="1428"/>
      <c r="BX114" s="1428"/>
      <c r="BY114" s="1428"/>
      <c r="BZ114" s="1428" t="e">
        <f>#REF!</f>
        <v>#REF!</v>
      </c>
      <c r="CA114" s="1429"/>
      <c r="CB114" s="1428"/>
      <c r="CC114" s="1428"/>
      <c r="CD114" s="1428"/>
      <c r="CE114" s="1428"/>
      <c r="CF114" s="1428"/>
      <c r="CG114" s="1429"/>
      <c r="CH114" s="1428"/>
      <c r="CI114" s="1428"/>
      <c r="CJ114" s="1428"/>
      <c r="CK114" s="1428"/>
      <c r="CL114" s="1428"/>
      <c r="CM114" s="1594"/>
      <c r="CN114" s="1428"/>
      <c r="CO114" s="1428"/>
      <c r="CP114" s="1428"/>
      <c r="CQ114" s="1428"/>
      <c r="CR114" s="1428">
        <v>0.45</v>
      </c>
      <c r="CS114" s="1594"/>
      <c r="CT114" s="1428"/>
      <c r="CU114" s="1428"/>
      <c r="CV114" s="1428"/>
      <c r="CW114" s="1428"/>
      <c r="CX114" s="1428"/>
      <c r="CY114" s="1594"/>
      <c r="CZ114" s="1428"/>
      <c r="DA114" s="1428"/>
      <c r="DB114" s="1428"/>
      <c r="DC114" s="1428"/>
      <c r="DD114" s="1428"/>
      <c r="DE114" s="1594"/>
      <c r="DF114" s="1428"/>
      <c r="DG114" s="1428"/>
      <c r="DH114" s="1428"/>
      <c r="DI114" s="1428"/>
      <c r="DJ114" s="1428">
        <f>DJ107</f>
        <v>0.25323000000000001</v>
      </c>
      <c r="DK114" s="1594"/>
      <c r="DL114" s="1428"/>
      <c r="DM114" s="1428" t="str">
        <f>(_xll.ThomsonONEAddinShim.SpreadsheetFormulas.TF("ADSK.O","TF.ES.EPS.Mean(period=1FQ2016,scale=0)"))</f>
        <v>Manual Calculation</v>
      </c>
      <c r="DN114" s="1428" t="str">
        <f>(_xll.ThomsonONEAddinShim.SpreadsheetFormulas.TF("ADSK.O","TF.ES.EPS.Mean(period=2FQ2016,scale=0)"))</f>
        <v>Manual Calculation</v>
      </c>
      <c r="DO114" s="1428" t="str">
        <f>(_xll.ThomsonONEAddinShim.SpreadsheetFormulas.TF("ADSK.O","TF.ES.EPS.Mean(period=3FQ2016,scale=0)"))</f>
        <v>Manual Calculation</v>
      </c>
      <c r="DP114" s="1428" t="str">
        <f>(_xll.ThomsonONEAddinShim.SpreadsheetFormulas.TF("ADSK.O","TF.ES.EPS.Mean(period=4FQ2016,scale=0)"))</f>
        <v>Manual Calculation</v>
      </c>
      <c r="DQ114" s="1594"/>
      <c r="DR114" s="1428"/>
      <c r="DS114" s="1428" t="str">
        <f>(_xll.ThomsonONEAddinShim.SpreadsheetFormulas.TF("ADSK.O","TF.ES.EPS.Mean(period=1FQ2017,scale=0)"))</f>
        <v>Manual Calculation</v>
      </c>
      <c r="DT114" s="1428" t="str">
        <f>(_xll.ThomsonONEAddinShim.SpreadsheetFormulas.TF("ADSK.O","TF.ES.EPS.Mean(period=2FQ2017,scale=0)"))</f>
        <v>Manual Calculation</v>
      </c>
      <c r="DU114" s="1428" t="str">
        <f>(_xll.ThomsonONEAddinShim.SpreadsheetFormulas.TF("ADSK.O","TF.ES.EPS.Mean(period=3FQ2017,scale=0)"))</f>
        <v>Manual Calculation</v>
      </c>
      <c r="DV114" s="1428" t="str">
        <f>(_xll.ThomsonONEAddinShim.SpreadsheetFormulas.TF("ADSK.O","TF.ES.EPS.Mean(period=4FQ2016,scale=0)"))</f>
        <v>Manual Calculation</v>
      </c>
      <c r="DW114" s="1594">
        <f>0+((_xll.ThomsonONEAddinShim.SpreadsheetFormulas.TF("ADSK.O","TF.ES.EPS.Mean(period=2017,scale=0)")))</f>
        <v>-0.56000000000000005</v>
      </c>
      <c r="DX114" s="1428"/>
      <c r="DY114" s="1428"/>
      <c r="DZ114" s="1428"/>
      <c r="EA114" s="1428"/>
      <c r="EB114" s="1428"/>
      <c r="EC114" s="1594">
        <f>0+((_xll.ThomsonONEAddinShim.SpreadsheetFormulas.TF("ADSK.O","TF.ES.EPS.Mean(period=2018,scale=0)")))</f>
        <v>-0.56000000000000005</v>
      </c>
      <c r="ED114" s="1428"/>
      <c r="EE114" s="1428"/>
      <c r="EF114" s="1428"/>
      <c r="EG114" s="1428"/>
      <c r="EH114" s="1428"/>
      <c r="EI114" s="1594">
        <f>0+((_xll.ThomsonONEAddinShim.SpreadsheetFormulas.TF("ADSK.O","TF.ES.EPS.Mean(period=2019,scale=0)")))</f>
        <v>1.18</v>
      </c>
      <c r="EJ114" s="1428"/>
      <c r="EK114" s="1428"/>
      <c r="EL114" s="1428"/>
      <c r="EM114" s="1428"/>
      <c r="EN114" s="1428"/>
      <c r="EO114" s="1594">
        <f>0+((_xll.ThomsonONEAddinShim.SpreadsheetFormulas.TF("ADSK.O","TF.ES.EPS.Mean(period=2020,scale=0)")))</f>
        <v>3.23</v>
      </c>
      <c r="EP114" s="1428"/>
      <c r="EQ114" s="1428"/>
      <c r="ER114" s="1428"/>
      <c r="ES114" s="1428"/>
      <c r="ET114" s="1428"/>
      <c r="EU114" s="1594">
        <f>0+((_xll.ThomsonONEAddinShim.SpreadsheetFormulas.TF("ADSK.O","TF.ES.EPS.Mean(period=2020,scale=0)")))</f>
        <v>3.23</v>
      </c>
      <c r="EV114" s="442"/>
    </row>
    <row r="115" spans="1:152" ht="9" customHeight="1">
      <c r="A115" s="450"/>
      <c r="B115" s="519"/>
      <c r="C115" s="451"/>
      <c r="D115" s="220"/>
      <c r="E115" s="220"/>
      <c r="F115" s="220"/>
      <c r="G115" s="220"/>
      <c r="H115" s="220"/>
      <c r="I115" s="451"/>
      <c r="J115" s="220"/>
      <c r="K115" s="220"/>
      <c r="L115" s="220"/>
      <c r="M115" s="220"/>
      <c r="N115" s="220"/>
      <c r="O115" s="451"/>
      <c r="P115" s="220"/>
      <c r="Q115" s="220"/>
      <c r="R115" s="220"/>
      <c r="S115" s="220"/>
      <c r="T115" s="220"/>
      <c r="U115" s="451"/>
      <c r="V115" s="220"/>
      <c r="W115" s="220"/>
      <c r="X115" s="220"/>
      <c r="Y115" s="220"/>
      <c r="Z115" s="220"/>
      <c r="AA115" s="451"/>
      <c r="AB115" s="220"/>
      <c r="AC115" s="220"/>
      <c r="AD115" s="220"/>
      <c r="AE115" s="220"/>
      <c r="AF115" s="220"/>
      <c r="AG115" s="451"/>
      <c r="AH115" s="220"/>
      <c r="AI115" s="220"/>
      <c r="AJ115" s="220"/>
      <c r="AK115" s="220"/>
      <c r="AL115" s="220"/>
      <c r="AM115" s="220"/>
      <c r="AN115" s="220"/>
      <c r="AO115" s="220"/>
      <c r="AP115" s="220"/>
      <c r="AQ115" s="220"/>
      <c r="AR115" s="220"/>
      <c r="AS115" s="220"/>
      <c r="AT115" s="220"/>
      <c r="AU115" s="220"/>
      <c r="AV115" s="220"/>
      <c r="AW115" s="220"/>
      <c r="AX115" s="220"/>
      <c r="AY115" s="220"/>
      <c r="AZ115" s="220"/>
      <c r="BA115" s="220"/>
      <c r="BB115" s="220"/>
      <c r="BC115" s="220"/>
      <c r="BD115" s="220"/>
      <c r="BE115" s="220"/>
      <c r="BF115" s="220"/>
      <c r="BG115" s="220"/>
      <c r="BH115" s="220"/>
      <c r="BI115" s="220"/>
      <c r="BJ115" s="220"/>
      <c r="BK115" s="220"/>
      <c r="BL115" s="220"/>
      <c r="BM115" s="220"/>
      <c r="BN115" s="220"/>
      <c r="BO115" s="1272"/>
      <c r="BP115" s="220"/>
      <c r="BQ115" s="220"/>
      <c r="BR115" s="220"/>
      <c r="BS115" s="220"/>
      <c r="BT115" s="220"/>
      <c r="BU115" s="1272"/>
      <c r="BV115" s="220"/>
      <c r="BW115" s="220"/>
      <c r="BX115" s="220"/>
      <c r="BY115" s="220"/>
      <c r="BZ115" s="220"/>
      <c r="CA115" s="1272"/>
      <c r="CB115" s="220"/>
      <c r="CC115" s="220"/>
      <c r="CD115" s="1467"/>
      <c r="CE115" s="220"/>
      <c r="CF115" s="1467"/>
      <c r="CG115" s="1272"/>
      <c r="CH115" s="1474"/>
      <c r="CI115" s="1475"/>
      <c r="CJ115" s="1467"/>
      <c r="CK115" s="1475"/>
      <c r="CL115" s="1467"/>
      <c r="CM115" s="1593"/>
      <c r="CN115" s="220"/>
      <c r="CO115" s="875"/>
      <c r="CP115" s="220"/>
      <c r="CQ115" s="875"/>
      <c r="CR115" s="1460"/>
      <c r="CS115" s="1700"/>
      <c r="CT115" s="1692"/>
      <c r="CU115" s="1692"/>
      <c r="CV115" s="1692"/>
      <c r="CW115" s="1715"/>
      <c r="CX115" s="1715"/>
      <c r="CY115" s="1700"/>
      <c r="CZ115" s="220"/>
      <c r="DA115" s="220"/>
      <c r="DB115" s="220"/>
      <c r="DC115" s="220"/>
      <c r="DD115" s="220"/>
      <c r="DE115" s="1180"/>
      <c r="DF115" s="220"/>
      <c r="DG115" s="220"/>
      <c r="DH115" s="220"/>
      <c r="DI115" s="220"/>
      <c r="DJ115" s="220"/>
      <c r="DK115" s="1180"/>
      <c r="DL115" s="220"/>
      <c r="DM115" s="220"/>
      <c r="DN115" s="220"/>
      <c r="DO115" s="220"/>
      <c r="DP115" s="220"/>
      <c r="DQ115" s="1180"/>
      <c r="DR115" s="220"/>
      <c r="DS115" s="220"/>
      <c r="DT115" s="220"/>
      <c r="DU115" s="220"/>
      <c r="DV115" s="220"/>
      <c r="DW115" s="1180"/>
      <c r="DX115" s="220"/>
      <c r="DY115" s="220"/>
      <c r="DZ115" s="220"/>
      <c r="EA115" s="220"/>
      <c r="EB115" s="220"/>
      <c r="EC115" s="1180"/>
      <c r="ED115" s="220"/>
      <c r="EE115" s="220"/>
      <c r="EF115" s="220"/>
      <c r="EG115" s="220"/>
      <c r="EH115" s="220"/>
      <c r="EI115" s="1180"/>
      <c r="EJ115" s="220"/>
      <c r="EK115" s="220"/>
      <c r="EL115" s="220"/>
      <c r="EM115" s="220"/>
      <c r="EN115" s="220"/>
      <c r="EO115" s="1180"/>
      <c r="EP115" s="220"/>
      <c r="EQ115" s="220"/>
      <c r="ER115" s="220"/>
      <c r="ES115" s="220"/>
      <c r="ET115" s="220"/>
      <c r="EU115" s="1180"/>
      <c r="EV115" s="220"/>
    </row>
    <row r="116" spans="1:152" ht="17.25" hidden="1" customHeight="1" outlineLevel="1">
      <c r="A116" s="1673" t="s">
        <v>4727</v>
      </c>
      <c r="B116" s="1661"/>
      <c r="C116" s="1662"/>
      <c r="D116" s="1663"/>
      <c r="E116" s="1663"/>
      <c r="F116" s="1663"/>
      <c r="G116" s="1663"/>
      <c r="H116" s="1663"/>
      <c r="I116" s="1662"/>
      <c r="J116" s="1663"/>
      <c r="K116" s="1663"/>
      <c r="L116" s="1663"/>
      <c r="M116" s="1663"/>
      <c r="N116" s="1663"/>
      <c r="O116" s="1662"/>
      <c r="P116" s="1663"/>
      <c r="Q116" s="1663"/>
      <c r="R116" s="1663"/>
      <c r="S116" s="1663"/>
      <c r="T116" s="1663"/>
      <c r="U116" s="1662"/>
      <c r="V116" s="1663"/>
      <c r="W116" s="1663"/>
      <c r="X116" s="1663"/>
      <c r="Y116" s="1663"/>
      <c r="Z116" s="1663"/>
      <c r="AA116" s="1662"/>
      <c r="AB116" s="1663"/>
      <c r="AC116" s="1663"/>
      <c r="AD116" s="1663"/>
      <c r="AE116" s="1663"/>
      <c r="AF116" s="1663"/>
      <c r="AG116" s="1662"/>
      <c r="AH116" s="1663"/>
      <c r="AI116" s="1663"/>
      <c r="AJ116" s="1663"/>
      <c r="AK116" s="1663"/>
      <c r="AL116" s="1663"/>
      <c r="AM116" s="1663"/>
      <c r="AN116" s="1663"/>
      <c r="AO116" s="1663"/>
      <c r="AP116" s="1663"/>
      <c r="AQ116" s="1663"/>
      <c r="AR116" s="1663"/>
      <c r="AS116" s="1663"/>
      <c r="AT116" s="1663"/>
      <c r="AU116" s="1663"/>
      <c r="AV116" s="1663"/>
      <c r="AW116" s="1663"/>
      <c r="AX116" s="1663"/>
      <c r="AY116" s="1663"/>
      <c r="AZ116" s="1663"/>
      <c r="BA116" s="1663"/>
      <c r="BB116" s="1663"/>
      <c r="BC116" s="1663"/>
      <c r="BD116" s="1663"/>
      <c r="BE116" s="1663"/>
      <c r="BF116" s="1663"/>
      <c r="BG116" s="1663"/>
      <c r="BH116" s="1663"/>
      <c r="BI116" s="1663"/>
      <c r="BJ116" s="1663"/>
      <c r="BK116" s="1663"/>
      <c r="BL116" s="1663"/>
      <c r="BM116" s="1663"/>
      <c r="BN116" s="1663"/>
      <c r="BO116" s="1664"/>
      <c r="BP116" s="1663"/>
      <c r="BQ116" s="1663"/>
      <c r="BR116" s="1663"/>
      <c r="BS116" s="1663"/>
      <c r="BT116" s="1663"/>
      <c r="BU116" s="1664"/>
      <c r="BV116" s="1663"/>
      <c r="BW116" s="1663"/>
      <c r="BX116" s="1663"/>
      <c r="BY116" s="1663"/>
      <c r="BZ116" s="1663"/>
      <c r="CA116" s="1664"/>
      <c r="CB116" s="1663"/>
      <c r="CC116" s="1663"/>
      <c r="CD116" s="1665"/>
      <c r="CE116" s="1663"/>
      <c r="CF116" s="1665"/>
      <c r="CG116" s="1664"/>
      <c r="CH116" s="1663"/>
      <c r="CI116" s="1666"/>
      <c r="CJ116" s="1665"/>
      <c r="CK116" s="1666"/>
      <c r="CL116" s="1665"/>
      <c r="CM116" s="1667"/>
      <c r="CN116" s="1663"/>
      <c r="CO116" s="1668"/>
      <c r="CP116" s="1663"/>
      <c r="CQ116" s="1663"/>
      <c r="CR116" s="1669"/>
      <c r="CS116" s="1670"/>
      <c r="CT116" s="1663"/>
      <c r="CU116" s="1663"/>
      <c r="CV116" s="1663"/>
      <c r="CW116" s="1663"/>
      <c r="CX116" s="1662"/>
      <c r="CY116" s="1670"/>
      <c r="CZ116" s="1663"/>
      <c r="DA116" s="1663"/>
      <c r="DB116" s="1663"/>
      <c r="DC116" s="1663"/>
      <c r="DD116" s="1663"/>
      <c r="DE116" s="1664"/>
      <c r="DF116" s="1663"/>
      <c r="DG116" s="1663"/>
      <c r="DH116" s="1663"/>
      <c r="DI116" s="1663"/>
      <c r="DJ116" s="1663"/>
      <c r="DK116" s="1664"/>
      <c r="DL116" s="1663"/>
      <c r="DM116" s="1663"/>
      <c r="DN116" s="1663"/>
      <c r="DO116" s="1663"/>
      <c r="DP116" s="1663"/>
      <c r="DQ116" s="1664"/>
      <c r="DR116" s="1663"/>
      <c r="DS116" s="1663"/>
      <c r="DT116" s="1663"/>
      <c r="DU116" s="1663"/>
      <c r="DV116" s="1663"/>
      <c r="DW116" s="1664"/>
      <c r="DX116" s="1663"/>
      <c r="DY116" s="1663"/>
      <c r="DZ116" s="1663"/>
      <c r="EA116" s="1663"/>
      <c r="EB116" s="1663"/>
      <c r="EC116" s="1664"/>
      <c r="ED116" s="1663"/>
      <c r="EE116" s="1663"/>
      <c r="EF116" s="1663"/>
      <c r="EG116" s="1663"/>
      <c r="EH116" s="1663"/>
      <c r="EI116" s="1664"/>
      <c r="EJ116" s="1663"/>
      <c r="EK116" s="1663"/>
      <c r="EL116" s="1663"/>
      <c r="EM116" s="1663"/>
      <c r="EN116" s="1663"/>
      <c r="EO116" s="1664"/>
      <c r="EP116" s="1663"/>
      <c r="EQ116" s="1663"/>
      <c r="ER116" s="1663"/>
      <c r="ES116" s="1663"/>
      <c r="ET116" s="1663"/>
      <c r="EU116" s="1664"/>
      <c r="EV116" s="220"/>
    </row>
    <row r="117" spans="1:152" ht="17.25" hidden="1" customHeight="1" outlineLevel="1">
      <c r="A117" s="1660" t="s">
        <v>3810</v>
      </c>
      <c r="B117" s="1661"/>
      <c r="C117" s="1662"/>
      <c r="D117" s="1663"/>
      <c r="E117" s="1663"/>
      <c r="F117" s="1663"/>
      <c r="G117" s="1663"/>
      <c r="H117" s="1663"/>
      <c r="I117" s="1662"/>
      <c r="J117" s="1663"/>
      <c r="K117" s="1663"/>
      <c r="L117" s="1663"/>
      <c r="M117" s="1663"/>
      <c r="N117" s="1663"/>
      <c r="O117" s="1662"/>
      <c r="P117" s="1663"/>
      <c r="Q117" s="1663"/>
      <c r="R117" s="1663"/>
      <c r="S117" s="1663"/>
      <c r="T117" s="1663"/>
      <c r="U117" s="1662"/>
      <c r="V117" s="1663"/>
      <c r="W117" s="1663"/>
      <c r="X117" s="1663"/>
      <c r="Y117" s="1663"/>
      <c r="Z117" s="1663"/>
      <c r="AA117" s="1662"/>
      <c r="AB117" s="1663"/>
      <c r="AC117" s="1663"/>
      <c r="AD117" s="1663"/>
      <c r="AE117" s="1663"/>
      <c r="AF117" s="1663"/>
      <c r="AG117" s="1662"/>
      <c r="AH117" s="1663"/>
      <c r="AI117" s="1663"/>
      <c r="AJ117" s="1663"/>
      <c r="AK117" s="1663"/>
      <c r="AL117" s="1663"/>
      <c r="AM117" s="1663"/>
      <c r="AN117" s="1663"/>
      <c r="AO117" s="1663"/>
      <c r="AP117" s="1663"/>
      <c r="AQ117" s="1663"/>
      <c r="AR117" s="1663"/>
      <c r="AS117" s="1663"/>
      <c r="AT117" s="1663"/>
      <c r="AU117" s="1663"/>
      <c r="AV117" s="1663"/>
      <c r="AW117" s="1663"/>
      <c r="AX117" s="1663"/>
      <c r="AY117" s="1663"/>
      <c r="AZ117" s="1663"/>
      <c r="BA117" s="1663"/>
      <c r="BB117" s="1663"/>
      <c r="BC117" s="1663"/>
      <c r="BD117" s="1663"/>
      <c r="BE117" s="1663"/>
      <c r="BF117" s="1663"/>
      <c r="BG117" s="1663"/>
      <c r="BH117" s="1663"/>
      <c r="BI117" s="1663"/>
      <c r="BJ117" s="1663"/>
      <c r="BK117" s="1663"/>
      <c r="BL117" s="1663"/>
      <c r="BM117" s="1663"/>
      <c r="BN117" s="1663"/>
      <c r="BO117" s="1664"/>
      <c r="BP117" s="1663"/>
      <c r="BQ117" s="1663"/>
      <c r="BR117" s="1663"/>
      <c r="BS117" s="1663"/>
      <c r="BT117" s="1663"/>
      <c r="BU117" s="1664"/>
      <c r="BV117" s="1663"/>
      <c r="BW117" s="1663"/>
      <c r="BX117" s="1663"/>
      <c r="BY117" s="1663"/>
      <c r="BZ117" s="1663"/>
      <c r="CA117" s="1664"/>
      <c r="CB117" s="1663"/>
      <c r="CC117" s="1663"/>
      <c r="CD117" s="1665"/>
      <c r="CE117" s="1663"/>
      <c r="CF117" s="1665"/>
      <c r="CG117" s="1664"/>
      <c r="CH117" s="1663"/>
      <c r="CI117" s="1666"/>
      <c r="CJ117" s="1665"/>
      <c r="CK117" s="1666"/>
      <c r="CL117" s="1665"/>
      <c r="CM117" s="1667"/>
      <c r="CN117" s="1663"/>
      <c r="CO117" s="1668"/>
      <c r="CP117" s="1663"/>
      <c r="CQ117" s="1674"/>
      <c r="CR117" s="1674">
        <f>CR112/CL31-1</f>
        <v>0.10725791169224919</v>
      </c>
      <c r="CS117" s="1675"/>
      <c r="CT117" s="1668"/>
      <c r="CU117" s="1674"/>
      <c r="CV117" s="1674"/>
      <c r="CW117" s="1674"/>
      <c r="CX117" s="1674"/>
      <c r="CY117" s="1675"/>
      <c r="CZ117" s="1663"/>
      <c r="DA117" s="1674"/>
      <c r="DB117" s="1674"/>
      <c r="DC117" s="1674"/>
      <c r="DD117" s="1674"/>
      <c r="DE117" s="1675"/>
      <c r="DF117" s="1663"/>
      <c r="DG117" s="1674"/>
      <c r="DH117" s="1674"/>
      <c r="DI117" s="1674"/>
      <c r="DJ117" s="1663"/>
      <c r="DK117" s="1675"/>
      <c r="DL117" s="1663"/>
      <c r="DM117" s="1663"/>
      <c r="DN117" s="1663"/>
      <c r="DO117" s="1663"/>
      <c r="DP117" s="1663"/>
      <c r="DQ117" s="1675"/>
      <c r="DR117" s="1663"/>
      <c r="DS117" s="1663"/>
      <c r="DT117" s="1663"/>
      <c r="DU117" s="1663"/>
      <c r="DV117" s="1663"/>
      <c r="DW117" s="1675"/>
      <c r="DX117" s="1663"/>
      <c r="DY117" s="1663"/>
      <c r="DZ117" s="1663"/>
      <c r="EA117" s="1663"/>
      <c r="EB117" s="1663"/>
      <c r="EC117" s="1675"/>
      <c r="ED117" s="1663"/>
      <c r="EE117" s="1663"/>
      <c r="EF117" s="1663"/>
      <c r="EG117" s="1663"/>
      <c r="EH117" s="1663"/>
      <c r="EI117" s="1675"/>
      <c r="EJ117" s="1663"/>
      <c r="EK117" s="1663"/>
      <c r="EL117" s="1663"/>
      <c r="EM117" s="1663"/>
      <c r="EN117" s="1663"/>
      <c r="EO117" s="1675"/>
      <c r="EP117" s="1663"/>
      <c r="EQ117" s="1663"/>
      <c r="ER117" s="1663"/>
      <c r="ES117" s="1663"/>
      <c r="ET117" s="1663"/>
      <c r="EU117" s="1675"/>
      <c r="EV117" s="220"/>
    </row>
    <row r="118" spans="1:152" ht="17.25" hidden="1" customHeight="1" outlineLevel="1">
      <c r="A118" s="1660" t="s">
        <v>4728</v>
      </c>
      <c r="B118" s="1661"/>
      <c r="C118" s="1662"/>
      <c r="D118" s="1663"/>
      <c r="E118" s="1663"/>
      <c r="F118" s="1663"/>
      <c r="G118" s="1663"/>
      <c r="H118" s="1663"/>
      <c r="I118" s="1662"/>
      <c r="J118" s="1663"/>
      <c r="K118" s="1663"/>
      <c r="L118" s="1663"/>
      <c r="M118" s="1663"/>
      <c r="N118" s="1663"/>
      <c r="O118" s="1662"/>
      <c r="P118" s="1663"/>
      <c r="Q118" s="1663"/>
      <c r="R118" s="1663"/>
      <c r="S118" s="1663"/>
      <c r="T118" s="1663"/>
      <c r="U118" s="1662"/>
      <c r="V118" s="1663"/>
      <c r="W118" s="1663"/>
      <c r="X118" s="1663"/>
      <c r="Y118" s="1663"/>
      <c r="Z118" s="1663"/>
      <c r="AA118" s="1662"/>
      <c r="AB118" s="1663"/>
      <c r="AC118" s="1663"/>
      <c r="AD118" s="1663"/>
      <c r="AE118" s="1663"/>
      <c r="AF118" s="1663"/>
      <c r="AG118" s="1662"/>
      <c r="AH118" s="1663"/>
      <c r="AI118" s="1663"/>
      <c r="AJ118" s="1663"/>
      <c r="AK118" s="1663"/>
      <c r="AL118" s="1663"/>
      <c r="AM118" s="1663"/>
      <c r="AN118" s="1663"/>
      <c r="AO118" s="1663"/>
      <c r="AP118" s="1663"/>
      <c r="AQ118" s="1663"/>
      <c r="AR118" s="1663"/>
      <c r="AS118" s="1663"/>
      <c r="AT118" s="1663"/>
      <c r="AU118" s="1663"/>
      <c r="AV118" s="1663"/>
      <c r="AW118" s="1663"/>
      <c r="AX118" s="1663"/>
      <c r="AY118" s="1663"/>
      <c r="AZ118" s="1663"/>
      <c r="BA118" s="1663"/>
      <c r="BB118" s="1663"/>
      <c r="BC118" s="1663"/>
      <c r="BD118" s="1663"/>
      <c r="BE118" s="1663"/>
      <c r="BF118" s="1663"/>
      <c r="BG118" s="1663"/>
      <c r="BH118" s="1663"/>
      <c r="BI118" s="1663"/>
      <c r="BJ118" s="1663"/>
      <c r="BK118" s="1663"/>
      <c r="BL118" s="1663"/>
      <c r="BM118" s="1663"/>
      <c r="BN118" s="1663"/>
      <c r="BO118" s="1664"/>
      <c r="BP118" s="1663"/>
      <c r="BQ118" s="1663"/>
      <c r="BR118" s="1663"/>
      <c r="BS118" s="1663"/>
      <c r="BT118" s="1663"/>
      <c r="BU118" s="1664"/>
      <c r="BV118" s="1663"/>
      <c r="BW118" s="1663"/>
      <c r="BX118" s="1663"/>
      <c r="BY118" s="1663"/>
      <c r="BZ118" s="1663"/>
      <c r="CA118" s="1664"/>
      <c r="CB118" s="1663"/>
      <c r="CC118" s="1663"/>
      <c r="CD118" s="1663"/>
      <c r="CE118" s="1663"/>
      <c r="CF118" s="1663"/>
      <c r="CG118" s="1664"/>
      <c r="CH118" s="1663"/>
      <c r="CI118" s="1671"/>
      <c r="CJ118" s="1672"/>
      <c r="CK118" s="1671"/>
      <c r="CL118" s="1672"/>
      <c r="CM118" s="1667"/>
      <c r="CN118" s="1663"/>
      <c r="CO118" s="1668"/>
      <c r="CP118" s="1663"/>
      <c r="CQ118" s="1677"/>
      <c r="CR118" s="1677">
        <f>CR113/CR112</f>
        <v>0.23446859489988023</v>
      </c>
      <c r="CS118" s="1676"/>
      <c r="CT118" s="1677"/>
      <c r="CU118" s="1677"/>
      <c r="CV118" s="1677"/>
      <c r="CW118" s="1677"/>
      <c r="CX118" s="1677"/>
      <c r="CY118" s="1676"/>
      <c r="CZ118" s="1663"/>
      <c r="DA118" s="1677"/>
      <c r="DB118" s="1677"/>
      <c r="DC118" s="1677"/>
      <c r="DD118" s="1677"/>
      <c r="DE118" s="1676"/>
      <c r="DF118" s="1663"/>
      <c r="DG118" s="1677"/>
      <c r="DH118" s="1677"/>
      <c r="DI118" s="1677"/>
      <c r="DJ118" s="1663"/>
      <c r="DK118" s="1676"/>
      <c r="DL118" s="1663"/>
      <c r="DM118" s="1663"/>
      <c r="DN118" s="1663"/>
      <c r="DO118" s="1663"/>
      <c r="DP118" s="1663"/>
      <c r="DQ118" s="1676"/>
      <c r="DR118" s="1663"/>
      <c r="DS118" s="1663"/>
      <c r="DT118" s="1663"/>
      <c r="DU118" s="1663"/>
      <c r="DV118" s="1663"/>
      <c r="DW118" s="1676"/>
      <c r="DX118" s="1663"/>
      <c r="DY118" s="1663"/>
      <c r="DZ118" s="1663"/>
      <c r="EA118" s="1663"/>
      <c r="EB118" s="1663"/>
      <c r="EC118" s="1676"/>
      <c r="ED118" s="1663"/>
      <c r="EE118" s="1663"/>
      <c r="EF118" s="1663"/>
      <c r="EG118" s="1663"/>
      <c r="EH118" s="1663"/>
      <c r="EI118" s="1676"/>
      <c r="EJ118" s="1663"/>
      <c r="EK118" s="1663"/>
      <c r="EL118" s="1663"/>
      <c r="EM118" s="1663"/>
      <c r="EN118" s="1663"/>
      <c r="EO118" s="1676"/>
      <c r="EP118" s="1663"/>
      <c r="EQ118" s="1663"/>
      <c r="ER118" s="1663"/>
      <c r="ES118" s="1663"/>
      <c r="ET118" s="1663"/>
      <c r="EU118" s="1676"/>
      <c r="EV118" s="220"/>
    </row>
    <row r="119" spans="1:152" ht="17.25" hidden="1" customHeight="1" outlineLevel="1">
      <c r="A119" s="1660" t="s">
        <v>1159</v>
      </c>
      <c r="B119" s="1661"/>
      <c r="C119" s="1662"/>
      <c r="D119" s="1663"/>
      <c r="E119" s="1663"/>
      <c r="F119" s="1663"/>
      <c r="G119" s="1663"/>
      <c r="H119" s="1663"/>
      <c r="I119" s="1662"/>
      <c r="J119" s="1663"/>
      <c r="K119" s="1663"/>
      <c r="L119" s="1663"/>
      <c r="M119" s="1663"/>
      <c r="N119" s="1663"/>
      <c r="O119" s="1662"/>
      <c r="P119" s="1663"/>
      <c r="Q119" s="1663"/>
      <c r="R119" s="1663"/>
      <c r="S119" s="1663"/>
      <c r="T119" s="1663"/>
      <c r="U119" s="1662"/>
      <c r="V119" s="1663"/>
      <c r="W119" s="1663"/>
      <c r="X119" s="1663"/>
      <c r="Y119" s="1663"/>
      <c r="Z119" s="1663"/>
      <c r="AA119" s="1662"/>
      <c r="AB119" s="1663"/>
      <c r="AC119" s="1663"/>
      <c r="AD119" s="1663"/>
      <c r="AE119" s="1663"/>
      <c r="AF119" s="1663"/>
      <c r="AG119" s="1662"/>
      <c r="AH119" s="1663"/>
      <c r="AI119" s="1663"/>
      <c r="AJ119" s="1663"/>
      <c r="AK119" s="1663"/>
      <c r="AL119" s="1663"/>
      <c r="AM119" s="1663"/>
      <c r="AN119" s="1663"/>
      <c r="AO119" s="1663"/>
      <c r="AP119" s="1663"/>
      <c r="AQ119" s="1663"/>
      <c r="AR119" s="1663"/>
      <c r="AS119" s="1663"/>
      <c r="AT119" s="1663"/>
      <c r="AU119" s="1663"/>
      <c r="AV119" s="1663"/>
      <c r="AW119" s="1663"/>
      <c r="AX119" s="1663"/>
      <c r="AY119" s="1663"/>
      <c r="AZ119" s="1663"/>
      <c r="BA119" s="1663"/>
      <c r="BB119" s="1663"/>
      <c r="BC119" s="1663"/>
      <c r="BD119" s="1663"/>
      <c r="BE119" s="1663"/>
      <c r="BF119" s="1663"/>
      <c r="BG119" s="1663"/>
      <c r="BH119" s="1663"/>
      <c r="BI119" s="1663"/>
      <c r="BJ119" s="1663"/>
      <c r="BK119" s="1663"/>
      <c r="BL119" s="1663"/>
      <c r="BM119" s="1663"/>
      <c r="BN119" s="1663"/>
      <c r="BO119" s="1664"/>
      <c r="BP119" s="1663"/>
      <c r="BQ119" s="1663"/>
      <c r="BR119" s="1663"/>
      <c r="BS119" s="1663"/>
      <c r="BT119" s="1663"/>
      <c r="BU119" s="1664"/>
      <c r="BV119" s="1663"/>
      <c r="BW119" s="1663"/>
      <c r="BX119" s="1663"/>
      <c r="BY119" s="1663"/>
      <c r="BZ119" s="1663"/>
      <c r="CA119" s="1664"/>
      <c r="CB119" s="1663"/>
      <c r="CC119" s="1663"/>
      <c r="CD119" s="1663"/>
      <c r="CE119" s="1663"/>
      <c r="CF119" s="1663"/>
      <c r="CG119" s="1664"/>
      <c r="CH119" s="1663"/>
      <c r="CI119" s="1671"/>
      <c r="CJ119" s="1672"/>
      <c r="CK119" s="1671"/>
      <c r="CL119" s="1672"/>
      <c r="CM119" s="1667"/>
      <c r="CN119" s="1663"/>
      <c r="CO119" s="1668"/>
      <c r="CP119" s="1663"/>
      <c r="CQ119" s="1678"/>
      <c r="CR119" s="1678">
        <f>(CR113-CQ113)/(CR112-CQ112)</f>
        <v>0.23446859489988023</v>
      </c>
      <c r="CS119" s="1676"/>
      <c r="CT119" s="1668"/>
      <c r="CU119" s="1677"/>
      <c r="CV119" s="1677"/>
      <c r="CW119" s="1677"/>
      <c r="CX119" s="1677"/>
      <c r="CY119" s="1676"/>
      <c r="CZ119" s="1663"/>
      <c r="DA119" s="1663"/>
      <c r="DB119" s="1663"/>
      <c r="DC119" s="1663"/>
      <c r="DD119" s="1663"/>
      <c r="DE119" s="1676"/>
      <c r="DF119" s="1663"/>
      <c r="DG119" s="1663"/>
      <c r="DH119" s="1663"/>
      <c r="DI119" s="1663"/>
      <c r="DJ119" s="1663"/>
      <c r="DK119" s="1676"/>
      <c r="DL119" s="1663"/>
      <c r="DM119" s="1663"/>
      <c r="DN119" s="1663"/>
      <c r="DO119" s="1663"/>
      <c r="DP119" s="1663"/>
      <c r="DQ119" s="1676"/>
      <c r="DR119" s="1663"/>
      <c r="DS119" s="1663"/>
      <c r="DT119" s="1663"/>
      <c r="DU119" s="1663"/>
      <c r="DV119" s="1663"/>
      <c r="DW119" s="1676"/>
      <c r="DX119" s="1663"/>
      <c r="DY119" s="1663"/>
      <c r="DZ119" s="1663"/>
      <c r="EA119" s="1663"/>
      <c r="EB119" s="1663"/>
      <c r="EC119" s="1676"/>
      <c r="ED119" s="1663"/>
      <c r="EE119" s="1663"/>
      <c r="EF119" s="1663"/>
      <c r="EG119" s="1663"/>
      <c r="EH119" s="1663"/>
      <c r="EI119" s="1676"/>
      <c r="EJ119" s="1663"/>
      <c r="EK119" s="1663"/>
      <c r="EL119" s="1663"/>
      <c r="EM119" s="1663"/>
      <c r="EN119" s="1663"/>
      <c r="EO119" s="1676"/>
      <c r="EP119" s="1663"/>
      <c r="EQ119" s="1663"/>
      <c r="ER119" s="1663"/>
      <c r="ES119" s="1663"/>
      <c r="ET119" s="1663"/>
      <c r="EU119" s="1676"/>
      <c r="EV119" s="220"/>
    </row>
    <row r="120" spans="1:152" ht="10.5" customHeight="1" collapsed="1">
      <c r="A120" s="450"/>
      <c r="B120" s="519"/>
      <c r="C120" s="451"/>
      <c r="D120" s="220"/>
      <c r="E120" s="220"/>
      <c r="F120" s="220"/>
      <c r="G120" s="220"/>
      <c r="H120" s="220"/>
      <c r="I120" s="451"/>
      <c r="J120" s="220"/>
      <c r="K120" s="220"/>
      <c r="L120" s="220"/>
      <c r="M120" s="220"/>
      <c r="N120" s="220"/>
      <c r="O120" s="451"/>
      <c r="P120" s="220"/>
      <c r="Q120" s="220"/>
      <c r="R120" s="220"/>
      <c r="S120" s="220"/>
      <c r="T120" s="220"/>
      <c r="U120" s="451"/>
      <c r="V120" s="220"/>
      <c r="W120" s="220"/>
      <c r="X120" s="220"/>
      <c r="Y120" s="220"/>
      <c r="Z120" s="220"/>
      <c r="AA120" s="451"/>
      <c r="AB120" s="220"/>
      <c r="AC120" s="220"/>
      <c r="AD120" s="220"/>
      <c r="AE120" s="220"/>
      <c r="AF120" s="220"/>
      <c r="AG120" s="451"/>
      <c r="AH120" s="220"/>
      <c r="AI120" s="220"/>
      <c r="AJ120" s="220"/>
      <c r="AK120" s="220"/>
      <c r="AL120" s="220"/>
      <c r="AM120" s="220"/>
      <c r="AN120" s="220"/>
      <c r="AO120" s="220"/>
      <c r="AP120" s="220"/>
      <c r="AQ120" s="220"/>
      <c r="AR120" s="220"/>
      <c r="AS120" s="220"/>
      <c r="AT120" s="220"/>
      <c r="AU120" s="220"/>
      <c r="AV120" s="220"/>
      <c r="AW120" s="220"/>
      <c r="AX120" s="220"/>
      <c r="AY120" s="220"/>
      <c r="AZ120" s="220"/>
      <c r="BA120" s="220"/>
      <c r="BB120" s="220"/>
      <c r="BC120" s="220"/>
      <c r="BD120" s="220"/>
      <c r="BE120" s="220"/>
      <c r="BF120" s="220"/>
      <c r="BG120" s="220"/>
      <c r="BH120" s="220"/>
      <c r="BI120" s="220"/>
      <c r="BJ120" s="220"/>
      <c r="BK120" s="220"/>
      <c r="BL120" s="220"/>
      <c r="BM120" s="220"/>
      <c r="BN120" s="220"/>
      <c r="BO120" s="1272"/>
      <c r="BP120" s="220"/>
      <c r="BQ120" s="220"/>
      <c r="BR120" s="220"/>
      <c r="BS120" s="220"/>
      <c r="BT120" s="220"/>
      <c r="BU120" s="1272"/>
      <c r="BV120" s="220"/>
      <c r="BW120" s="220"/>
      <c r="BX120" s="220"/>
      <c r="BY120" s="220"/>
      <c r="BZ120" s="220"/>
      <c r="CA120" s="1272"/>
      <c r="CB120" s="220"/>
      <c r="CC120" s="220"/>
      <c r="CD120" s="1608"/>
      <c r="CE120" s="220"/>
      <c r="CF120" s="1608"/>
      <c r="CG120" s="1272"/>
      <c r="CH120" s="220"/>
      <c r="CI120" s="1475"/>
      <c r="CJ120" s="1608"/>
      <c r="CK120" s="1609"/>
      <c r="CL120" s="1636"/>
      <c r="CM120" s="1637"/>
      <c r="CN120" s="220"/>
      <c r="CO120" s="875"/>
      <c r="CP120" s="220"/>
      <c r="CQ120" s="451"/>
      <c r="CR120" s="1460"/>
      <c r="CS120" s="1647"/>
      <c r="CT120" s="220"/>
      <c r="CU120" s="220"/>
      <c r="CV120" s="220"/>
      <c r="CW120" s="220"/>
      <c r="CX120" s="220"/>
      <c r="CY120" s="1648"/>
      <c r="CZ120" s="220"/>
      <c r="DA120" s="220"/>
      <c r="DB120" s="220"/>
      <c r="DC120" s="220"/>
      <c r="DD120" s="220"/>
      <c r="DE120" s="1272"/>
      <c r="DF120" s="220"/>
      <c r="DG120" s="220"/>
      <c r="DH120" s="220"/>
      <c r="DI120" s="220"/>
      <c r="DJ120" s="220"/>
      <c r="DK120" s="1272"/>
      <c r="DL120" s="220"/>
      <c r="DM120" s="220"/>
      <c r="DN120" s="220"/>
      <c r="DO120" s="220"/>
      <c r="DP120" s="220"/>
      <c r="DQ120" s="1272"/>
      <c r="DR120" s="220"/>
      <c r="DS120" s="220"/>
      <c r="DT120" s="220"/>
      <c r="DU120" s="220"/>
      <c r="DV120" s="220"/>
      <c r="DW120" s="1272"/>
      <c r="DX120" s="220"/>
      <c r="DY120" s="220"/>
      <c r="DZ120" s="220"/>
      <c r="EA120" s="220"/>
      <c r="EB120" s="220"/>
      <c r="EC120" s="1272"/>
      <c r="ED120" s="220"/>
      <c r="EE120" s="220"/>
      <c r="EF120" s="220"/>
      <c r="EG120" s="220"/>
      <c r="EH120" s="220"/>
      <c r="EI120" s="1272"/>
      <c r="EJ120" s="220"/>
      <c r="EK120" s="220"/>
      <c r="EL120" s="220"/>
      <c r="EM120" s="220"/>
      <c r="EN120" s="220"/>
      <c r="EO120" s="1272"/>
      <c r="EP120" s="220"/>
      <c r="EQ120" s="220"/>
      <c r="ER120" s="220"/>
      <c r="ES120" s="220"/>
      <c r="ET120" s="220"/>
      <c r="EU120" s="1272"/>
      <c r="EV120" s="220"/>
    </row>
    <row r="121" spans="1:152" hidden="1" outlineLevel="1">
      <c r="A121" s="824" t="s">
        <v>1371</v>
      </c>
      <c r="B121" s="519"/>
      <c r="C121" s="451"/>
      <c r="D121" s="220"/>
      <c r="E121" s="220"/>
      <c r="F121" s="220"/>
      <c r="G121" s="220"/>
      <c r="H121" s="220"/>
      <c r="I121" s="451"/>
      <c r="J121" s="220"/>
      <c r="K121" s="220"/>
      <c r="L121" s="220"/>
      <c r="M121" s="220"/>
      <c r="N121" s="220"/>
      <c r="O121" s="451"/>
      <c r="P121" s="220"/>
      <c r="Q121" s="220"/>
      <c r="R121" s="220"/>
      <c r="S121" s="220"/>
      <c r="T121" s="220"/>
      <c r="U121" s="451"/>
      <c r="V121" s="220"/>
      <c r="W121" s="220"/>
      <c r="X121" s="220"/>
      <c r="Y121" s="220"/>
      <c r="Z121" s="220"/>
      <c r="AA121" s="451"/>
      <c r="AB121" s="220"/>
      <c r="AC121" s="220"/>
      <c r="AD121" s="220"/>
      <c r="AE121" s="220"/>
      <c r="AF121" s="220"/>
      <c r="AG121" s="451"/>
      <c r="AH121" s="220"/>
      <c r="AI121" s="220"/>
      <c r="AJ121" s="220"/>
      <c r="AK121" s="220"/>
      <c r="AL121" s="220"/>
      <c r="AM121" s="220"/>
      <c r="AN121" s="220"/>
      <c r="AO121" s="220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  <c r="BB121" s="220"/>
      <c r="BC121" s="220"/>
      <c r="BD121" s="220"/>
      <c r="BE121" s="220"/>
      <c r="BF121" s="220"/>
      <c r="BG121" s="220"/>
      <c r="BH121" s="220"/>
      <c r="BI121" s="220"/>
      <c r="BJ121" s="220"/>
      <c r="BK121" s="220"/>
      <c r="BL121" s="220"/>
      <c r="BM121" s="220"/>
      <c r="BN121" s="220"/>
      <c r="BO121" s="1272"/>
      <c r="BP121" s="220"/>
      <c r="BQ121" s="220"/>
      <c r="BR121" s="220"/>
      <c r="BS121" s="220"/>
      <c r="BT121" s="220"/>
      <c r="BU121" s="1272"/>
      <c r="BV121" s="220"/>
      <c r="BW121" s="220"/>
      <c r="BX121" s="220"/>
      <c r="BY121" s="220"/>
      <c r="BZ121" s="220"/>
      <c r="CA121" s="1272"/>
      <c r="CB121" s="220"/>
      <c r="CC121" s="220"/>
      <c r="CD121" s="220"/>
      <c r="CE121" s="220"/>
      <c r="CF121" s="220"/>
      <c r="CG121" s="1272"/>
      <c r="CH121" s="220"/>
      <c r="CI121" s="220"/>
      <c r="CJ121" s="220"/>
      <c r="CK121" s="220"/>
      <c r="CL121" s="220"/>
      <c r="CM121" s="1272"/>
      <c r="CN121" s="220"/>
      <c r="CO121" s="220"/>
      <c r="CP121" s="220"/>
      <c r="CQ121" s="220"/>
      <c r="CR121" s="220"/>
      <c r="CS121" s="1647"/>
      <c r="CT121" s="220"/>
      <c r="CU121" s="220"/>
      <c r="CV121" s="220"/>
      <c r="CW121" s="220"/>
      <c r="CX121" s="220"/>
      <c r="CY121" s="1272"/>
      <c r="CZ121" s="220"/>
      <c r="DA121" s="220"/>
      <c r="DB121" s="220"/>
      <c r="DC121" s="220"/>
      <c r="DD121" s="220"/>
      <c r="DE121" s="1272"/>
      <c r="DF121" s="220"/>
      <c r="DG121" s="220"/>
      <c r="DH121" s="220"/>
      <c r="DI121" s="220"/>
      <c r="DJ121" s="220"/>
      <c r="DK121" s="1272"/>
      <c r="DL121" s="220"/>
      <c r="DM121" s="220"/>
      <c r="DN121" s="220"/>
      <c r="DO121" s="220"/>
      <c r="DP121" s="220"/>
      <c r="DQ121" s="1272"/>
      <c r="DR121" s="220"/>
      <c r="DS121" s="220"/>
      <c r="DT121" s="220"/>
      <c r="DU121" s="220"/>
      <c r="DV121" s="220"/>
      <c r="DW121" s="1272"/>
      <c r="DX121" s="220"/>
      <c r="DY121" s="220"/>
      <c r="DZ121" s="220"/>
      <c r="EA121" s="220"/>
      <c r="EB121" s="220"/>
      <c r="EC121" s="1272"/>
      <c r="ED121" s="220"/>
      <c r="EE121" s="220"/>
      <c r="EF121" s="220"/>
      <c r="EG121" s="220"/>
      <c r="EH121" s="220"/>
      <c r="EI121" s="1272"/>
      <c r="EJ121" s="220"/>
      <c r="EK121" s="220"/>
      <c r="EL121" s="220"/>
      <c r="EM121" s="220"/>
      <c r="EN121" s="220"/>
      <c r="EO121" s="1272"/>
      <c r="EP121" s="220"/>
      <c r="EQ121" s="220"/>
      <c r="ER121" s="220"/>
      <c r="ES121" s="220"/>
      <c r="ET121" s="220"/>
      <c r="EU121" s="1272"/>
      <c r="EV121" s="220"/>
    </row>
    <row r="122" spans="1:152" hidden="1" outlineLevel="1">
      <c r="A122" s="450" t="s">
        <v>5940</v>
      </c>
      <c r="B122" s="519"/>
      <c r="C122" s="451"/>
      <c r="D122" s="220"/>
      <c r="E122" s="220"/>
      <c r="F122" s="220"/>
      <c r="G122" s="220"/>
      <c r="H122" s="220"/>
      <c r="I122" s="451"/>
      <c r="J122" s="220"/>
      <c r="K122" s="220"/>
      <c r="L122" s="220"/>
      <c r="M122" s="220"/>
      <c r="N122" s="220"/>
      <c r="O122" s="451"/>
      <c r="P122" s="220"/>
      <c r="Q122" s="220"/>
      <c r="R122" s="220"/>
      <c r="S122" s="220"/>
      <c r="T122" s="220"/>
      <c r="U122" s="451"/>
      <c r="V122" s="220"/>
      <c r="W122" s="220"/>
      <c r="X122" s="220"/>
      <c r="Y122" s="220"/>
      <c r="Z122" s="220"/>
      <c r="AA122" s="451"/>
      <c r="AB122" s="220"/>
      <c r="AC122" s="220"/>
      <c r="AD122" s="220"/>
      <c r="AE122" s="220"/>
      <c r="AF122" s="220"/>
      <c r="AG122" s="451"/>
      <c r="AH122" s="220"/>
      <c r="AI122" s="220"/>
      <c r="AJ122" s="220"/>
      <c r="AK122" s="220"/>
      <c r="AL122" s="220"/>
      <c r="AM122" s="377">
        <f>AM85-AM66+(AM161/(1-AM101))</f>
        <v>3.5795183839247757</v>
      </c>
      <c r="AN122" s="377">
        <f>AN85-AN66+(AN161/(1-AN101))</f>
        <v>0.46040044217218823</v>
      </c>
      <c r="AO122" s="377">
        <f>AO85-AO66+(AO161/(1-AO101))</f>
        <v>-12.762889657557986</v>
      </c>
      <c r="AP122" s="377">
        <f>AP85-AP66+(AP161/(1-AP101))</f>
        <v>-9.9974697944255038</v>
      </c>
      <c r="AQ122" s="377">
        <f>SUM(AM122:AP122)</f>
        <v>-18.720440625886525</v>
      </c>
      <c r="AR122" s="220"/>
      <c r="AS122" s="377">
        <f>AS85-AS66+(AS161/(1-AS101))</f>
        <v>-8.470711907298881</v>
      </c>
      <c r="AT122" s="377">
        <f>AT85-AT66+(AT161/(1-AT101))</f>
        <v>2.4577855043316519</v>
      </c>
      <c r="AU122" s="377">
        <f>AU85-AU66+(AU161/(1-AU101))</f>
        <v>14.014876802618771</v>
      </c>
      <c r="AV122" s="377">
        <f>AV85-AV66+(AV161/(1-AV101))</f>
        <v>38.913396170172696</v>
      </c>
      <c r="AW122" s="377">
        <f>SUM(AS122:AV122)</f>
        <v>46.915346569824237</v>
      </c>
      <c r="AX122" s="220"/>
      <c r="AY122" s="377">
        <f>AY85-AY66+(AY161/(1-AY101))</f>
        <v>61.689080592867107</v>
      </c>
      <c r="AZ122" s="377">
        <f>AZ85-AZ66+(AZ161/(1-AZ101))</f>
        <v>53.068807017543868</v>
      </c>
      <c r="BA122" s="377">
        <f>BA85-BA66+(BA161/(1-BA101))</f>
        <v>57.573434782608686</v>
      </c>
      <c r="BB122" s="377">
        <f>BB85-BB66+(BB161/(1-BB101))</f>
        <v>90.104479578392571</v>
      </c>
      <c r="BC122" s="377">
        <f>SUM(AY122:BB122)</f>
        <v>262.43580197141222</v>
      </c>
      <c r="BD122" s="220"/>
      <c r="BE122" s="377">
        <f>BE85-BE66+(BE161/(1-BE101))</f>
        <v>93.732574385510958</v>
      </c>
      <c r="BF122" s="377">
        <f>BF85-BF66+(BF161/(1-BF101))</f>
        <v>91.529940554821621</v>
      </c>
      <c r="BG122" s="377">
        <f>BG85-BG66+(BG161/(1-BG101))</f>
        <v>95.333506329113945</v>
      </c>
      <c r="BH122" s="377">
        <f>BH85-BH66+(BH161/(1-BH101))</f>
        <v>107.00460710441335</v>
      </c>
      <c r="BI122" s="377">
        <f>SUM(BE122:BH122)</f>
        <v>387.60062837385988</v>
      </c>
      <c r="BJ122" s="220"/>
      <c r="BK122" s="377">
        <f>BK85-BK66+(BK161/(1-BK101))</f>
        <v>79.671999999999997</v>
      </c>
      <c r="BL122" s="377">
        <f>BL85-BL66+(BL161/(1-BL101))</f>
        <v>93.90000000000002</v>
      </c>
      <c r="BM122" s="377">
        <f>BM85-BM66+(BM161/(1-BM101))</f>
        <v>72.199999999999974</v>
      </c>
      <c r="BN122" s="377">
        <f>BN85-BN66+(BN161/(1-BN101))</f>
        <v>123.8</v>
      </c>
      <c r="BO122" s="1273">
        <f>SUM(BK122:BN122)</f>
        <v>369.572</v>
      </c>
      <c r="BP122" s="220"/>
      <c r="BQ122" s="377">
        <f>BQ85-BQ66+(BQ161/(1-BQ101))</f>
        <v>117.40000000000005</v>
      </c>
      <c r="BR122" s="377">
        <f>BR85-BR66+(BR161/(1-BR101))</f>
        <v>119.60000000000005</v>
      </c>
      <c r="BS122" s="377">
        <f>BS85-BS66+(BS161/(1-BS101))</f>
        <v>113.49999999999996</v>
      </c>
      <c r="BT122" s="377">
        <f>BT85-BT66+(BT161/(1-BT101))</f>
        <v>134.40000000000003</v>
      </c>
      <c r="BU122" s="1273">
        <f>SUM(BQ122:BT122)</f>
        <v>484.90000000000009</v>
      </c>
      <c r="BV122" s="220"/>
      <c r="BW122" s="377">
        <f>BW85-BW66+(BW161/(1-BW101))</f>
        <v>126.39999999999991</v>
      </c>
      <c r="BX122" s="377">
        <f>BX85-BX66+(BX161/(1-BX101))</f>
        <v>147.30000000000001</v>
      </c>
      <c r="BY122" s="377">
        <f>BY85-BY66+(BY161/(1-BY101))</f>
        <v>154.40000000000009</v>
      </c>
      <c r="BZ122" s="377">
        <f>BZ85-BZ66+(BZ161/(1-BZ101))</f>
        <v>58.999999999999986</v>
      </c>
      <c r="CA122" s="1273">
        <f>SUM(BW122:BZ122)</f>
        <v>487.1</v>
      </c>
      <c r="CB122" s="220"/>
      <c r="CC122" s="377">
        <f>CC85-CC66+(CC161/(1-CC101))</f>
        <v>32.800000000000011</v>
      </c>
      <c r="CD122" s="377">
        <f>CD85-CD66+(CD161/(1-CD101))</f>
        <v>44.099999999999952</v>
      </c>
      <c r="CE122" s="377">
        <f>CE85-CE66+(CE161/(1-CE101))</f>
        <v>46.299999999999969</v>
      </c>
      <c r="CF122" s="377">
        <f>CF85-CF66+(CF161/(1-CF101))</f>
        <v>70.099999999999937</v>
      </c>
      <c r="CG122" s="1273">
        <f>SUM(CC122:CF122)</f>
        <v>193.29999999999987</v>
      </c>
      <c r="CH122" s="220"/>
      <c r="CI122" s="377">
        <f>CI85-CI66+(CI161/(1-CI101))</f>
        <v>71.800000000000026</v>
      </c>
      <c r="CJ122" s="377">
        <f>CJ85-CJ66+(CJ161/(1-CJ101))</f>
        <v>95.299999999999955</v>
      </c>
      <c r="CK122" s="377">
        <f>CK85-CK66+(CK161/(1-CK101))</f>
        <v>83.299999999999955</v>
      </c>
      <c r="CL122" s="377">
        <f>CL85-CL66+(CL161/(1-CL101))</f>
        <v>87.700000000000017</v>
      </c>
      <c r="CM122" s="1273">
        <f>SUM(CI122:CL122)</f>
        <v>338.09999999999991</v>
      </c>
      <c r="CN122" s="220"/>
      <c r="CO122" s="377">
        <f>CO85-CO66+(CO161/(1-CO101))</f>
        <v>93.19999999999996</v>
      </c>
      <c r="CP122" s="377">
        <f>CP85-CP66+(CP161/(1-CP101))</f>
        <v>111.50000000000001</v>
      </c>
      <c r="CQ122" s="377">
        <f>CQ85-CQ66+(CQ161/(1-CQ101))</f>
        <v>109.49999999999991</v>
      </c>
      <c r="CR122" s="377">
        <f>CR85-CR66+(CR161/(1-CR101))</f>
        <v>110.39999999999998</v>
      </c>
      <c r="CS122" s="1273">
        <f>SUM(CO122:CR122)</f>
        <v>424.59999999999991</v>
      </c>
      <c r="CT122" s="220"/>
      <c r="CU122" s="377">
        <f>CU85-CU66+(CU161/(1-CU101))</f>
        <v>111.6</v>
      </c>
      <c r="CV122" s="377">
        <f>CV85-CV66+(CV161/(1-CV101))</f>
        <v>110.69999999999999</v>
      </c>
      <c r="CW122" s="377">
        <f>CW85-CW66+(CW161/(1-CW101))</f>
        <v>93.2</v>
      </c>
      <c r="CX122" s="377">
        <f>CX85-CX66+(CX161/(1-CX101))</f>
        <v>114.89999999999992</v>
      </c>
      <c r="CY122" s="1273">
        <f>SUM(CU122:CX122)</f>
        <v>430.39999999999992</v>
      </c>
      <c r="CZ122" s="220"/>
      <c r="DA122" s="377">
        <f>DA85-DA66+(DA161/(1-DA101))</f>
        <v>104.89999999999992</v>
      </c>
      <c r="DB122" s="377">
        <f>DB85-DB66+(DB161/(1-DB101))</f>
        <v>105.60000000000008</v>
      </c>
      <c r="DC122" s="377">
        <f>DC85-DC66+(DC161/(1-DC101))</f>
        <v>90.700000000000017</v>
      </c>
      <c r="DD122" s="377">
        <f>DD85-DD66+(DD161/(1-DD101))</f>
        <v>78.599999999999824</v>
      </c>
      <c r="DE122" s="1273">
        <f>SUM(DA122:DD122)</f>
        <v>379.79999999999984</v>
      </c>
      <c r="DF122" s="220"/>
      <c r="DG122" s="377">
        <f>DG85-DG66+(DG161/(1-DG101))</f>
        <v>68.400000000000006</v>
      </c>
      <c r="DH122" s="377">
        <f>DH85-DH66+(DH161/(1-DH101))</f>
        <v>75.299999999999912</v>
      </c>
      <c r="DI122" s="377">
        <f>DI85-DI66+(DI161/(1-DI101))</f>
        <v>37.20000000000001</v>
      </c>
      <c r="DJ122" s="377">
        <f>DJ85-DJ66+(DJ161/(1-DJ101))</f>
        <v>35.9</v>
      </c>
      <c r="DK122" s="1273">
        <f>SUM(DG122:DJ122)</f>
        <v>216.79999999999995</v>
      </c>
      <c r="DL122" s="220"/>
      <c r="DM122" s="377">
        <f>DM85-DM66+(DM161/(1-DM101))</f>
        <v>43.90000000000002</v>
      </c>
      <c r="DN122" s="377">
        <f>DN85-DN66+(DN161/(1-DN101))</f>
        <v>24.500000000000043</v>
      </c>
      <c r="DO122" s="377">
        <f>DO85-DO66+(DO161/(1-DO101))</f>
        <v>4.8999999999999062</v>
      </c>
      <c r="DP122" s="377">
        <f>DP85-DP66+(DP161/(1-DP101))</f>
        <v>10.199999999999953</v>
      </c>
      <c r="DQ122" s="1273">
        <f>SUM(DM122:DP122)</f>
        <v>83.499999999999915</v>
      </c>
      <c r="DR122" s="220"/>
      <c r="DS122" s="377">
        <f>DS85-DS66+(DS161/(1-DS101))</f>
        <v>-83.9</v>
      </c>
      <c r="DT122" s="377">
        <f>DT85-DT66+(DT161/(1-DT101))</f>
        <v>-28.399999999999963</v>
      </c>
      <c r="DU122" s="377">
        <f>DU85-DU66+(DU161/(1-DU101))</f>
        <v>-99.499999999999972</v>
      </c>
      <c r="DV122" s="377">
        <f>DV85-DV66+(DV161/(1-DV101))</f>
        <v>-140.80000000000001</v>
      </c>
      <c r="DW122" s="1273">
        <f>SUM(DS122:DV122)</f>
        <v>-352.59999999999997</v>
      </c>
      <c r="DX122" s="220"/>
      <c r="DY122" s="377">
        <f>DY85-DY66+(DY161/(1-DY101))</f>
        <v>-98.499999999999943</v>
      </c>
      <c r="DZ122" s="377">
        <f>DZ85-DZ66+(DZ161/(1-DZ101))</f>
        <v>-87.600000000000065</v>
      </c>
      <c r="EA122" s="377">
        <f>EA85-EA66+(EA161/(1-EA101))</f>
        <v>-91.30000000000004</v>
      </c>
      <c r="EB122" s="377">
        <f>EB85-EB66+(EB161/(1-EB101))</f>
        <v>-79.600000000000051</v>
      </c>
      <c r="EC122" s="1273">
        <f>SUM(DY122:EB122)</f>
        <v>-357.00000000000011</v>
      </c>
      <c r="ED122" s="220"/>
      <c r="EE122" s="377">
        <f>EE85-EE66+(EE161/(1-EE101))</f>
        <v>-35.058531686173069</v>
      </c>
      <c r="EF122" s="377">
        <f>EF85-EF66+(EF161/(1-EF101))</f>
        <v>0.42164973080940626</v>
      </c>
      <c r="EG122" s="377">
        <f>EG85-EG66+(EG161/(1-EG101))</f>
        <v>35.813165385433194</v>
      </c>
      <c r="EH122" s="377">
        <f>EH85-EH66+(EH161/(1-EH101))</f>
        <v>65.027822301360288</v>
      </c>
      <c r="EI122" s="1273">
        <f>SUM(EE122:EH122)</f>
        <v>66.20410573142982</v>
      </c>
      <c r="EJ122" s="220"/>
      <c r="EK122" s="377">
        <f>EK85-EK66+(EK161/(1-EK101))</f>
        <v>93.96362215434084</v>
      </c>
      <c r="EL122" s="377">
        <f>EL85-EL66+(EL161/(1-EL101))</f>
        <v>140.48485701277298</v>
      </c>
      <c r="EM122" s="377">
        <f>EM85-EM66+(EM161/(1-EM101))</f>
        <v>174.71695955781763</v>
      </c>
      <c r="EN122" s="377">
        <f>EN85-EN66+(EN161/(1-EN101))</f>
        <v>232.12511664362876</v>
      </c>
      <c r="EO122" s="1273">
        <f>SUM(EK122:EN122)</f>
        <v>641.29055536856026</v>
      </c>
      <c r="EP122" s="220"/>
      <c r="EQ122" s="377">
        <f>EQ85-EQ66+(EQ161/(1-EQ101))</f>
        <v>132.41571365966928</v>
      </c>
      <c r="ER122" s="377">
        <f>ER85-ER66+(ER161/(1-ER101))</f>
        <v>228.45440091406829</v>
      </c>
      <c r="ES122" s="377">
        <f>ES85-ES66+(ES161/(1-ES101))</f>
        <v>311.2808937328752</v>
      </c>
      <c r="ET122" s="377">
        <f>ET85-ET66+(ET161/(1-ET101))</f>
        <v>436.95091346254833</v>
      </c>
      <c r="EU122" s="1273">
        <f>SUM(EQ122:ET122)</f>
        <v>1109.101921769161</v>
      </c>
      <c r="EV122" s="220"/>
    </row>
    <row r="123" spans="1:152" hidden="1" outlineLevel="1">
      <c r="A123" s="825" t="s">
        <v>3486</v>
      </c>
      <c r="B123" s="519"/>
      <c r="C123" s="451"/>
      <c r="D123" s="220"/>
      <c r="E123" s="220"/>
      <c r="F123" s="220"/>
      <c r="G123" s="220"/>
      <c r="H123" s="220"/>
      <c r="I123" s="451"/>
      <c r="J123" s="220"/>
      <c r="K123" s="220"/>
      <c r="L123" s="220"/>
      <c r="M123" s="220"/>
      <c r="N123" s="220"/>
      <c r="O123" s="451"/>
      <c r="P123" s="220"/>
      <c r="Q123" s="220"/>
      <c r="R123" s="220"/>
      <c r="S123" s="220"/>
      <c r="T123" s="220"/>
      <c r="U123" s="451"/>
      <c r="V123" s="220"/>
      <c r="W123" s="220"/>
      <c r="X123" s="220"/>
      <c r="Y123" s="220"/>
      <c r="Z123" s="220"/>
      <c r="AA123" s="451"/>
      <c r="AB123" s="220"/>
      <c r="AC123" s="220"/>
      <c r="AD123" s="220"/>
      <c r="AE123" s="220"/>
      <c r="AF123" s="220"/>
      <c r="AG123" s="451"/>
      <c r="AH123" s="220"/>
      <c r="AI123" s="220"/>
      <c r="AJ123" s="220"/>
      <c r="AK123" s="220"/>
      <c r="AL123" s="220"/>
      <c r="AM123" s="826">
        <f>AM122/AM31</f>
        <v>1.5608796103052739E-2</v>
      </c>
      <c r="AN123" s="826">
        <f>AN122/AN31</f>
        <v>2.1778536628123246E-3</v>
      </c>
      <c r="AO123" s="826">
        <f>AO122/AO31</f>
        <v>-6.763551680996914E-2</v>
      </c>
      <c r="AP123" s="826">
        <f>AP122/AP31</f>
        <v>-5.1133768051849993E-2</v>
      </c>
      <c r="AQ123" s="826">
        <f>AQ122/AQ31</f>
        <v>-2.2692956046629201E-2</v>
      </c>
      <c r="AR123" s="220"/>
      <c r="AS123" s="826">
        <f>AS122/AS31</f>
        <v>-4.0190125102240785E-2</v>
      </c>
      <c r="AT123" s="826">
        <f>AT122/AT31</f>
        <v>1.1609482555119869E-2</v>
      </c>
      <c r="AU123" s="826">
        <f>AU122/AU31</f>
        <v>5.9927978049528229E-2</v>
      </c>
      <c r="AV123" s="826">
        <f>AV122/AV31</f>
        <v>0.13177134594213771</v>
      </c>
      <c r="AW123" s="826">
        <f>AW122/AW31</f>
        <v>4.9299313471358727E-2</v>
      </c>
      <c r="AX123" s="220"/>
      <c r="AY123" s="826">
        <f>AY122/AY31</f>
        <v>0.20624901568996024</v>
      </c>
      <c r="AZ123" s="826">
        <f>AZ122/AZ31</f>
        <v>0.18899147798270607</v>
      </c>
      <c r="BA123" s="826">
        <f>BA122/BA31</f>
        <v>0.19102002250367844</v>
      </c>
      <c r="BB123" s="826">
        <f>BB122/BB31</f>
        <v>0.25197002119237299</v>
      </c>
      <c r="BC123" s="826">
        <f>BC122/BC31</f>
        <v>0.2118296892173801</v>
      </c>
      <c r="BD123" s="220"/>
      <c r="BE123" s="826">
        <f>BE122/BE31</f>
        <v>0.26102081421751872</v>
      </c>
      <c r="BF123" s="826">
        <f>BF122/BF31</f>
        <v>0.24291385497564127</v>
      </c>
      <c r="BG123" s="826">
        <f>BG122/BG31</f>
        <v>0.24989123546294612</v>
      </c>
      <c r="BH123" s="826">
        <f>BH122/BH31</f>
        <v>0.25489425227349538</v>
      </c>
      <c r="BI123" s="826">
        <f>BI122/BI31</f>
        <v>0.25214716912168872</v>
      </c>
      <c r="BJ123" s="220"/>
      <c r="BK123" s="826">
        <f>BK122/BK31</f>
        <v>0.18273394495412842</v>
      </c>
      <c r="BL123" s="826">
        <f>BL122/BL31</f>
        <v>0.20885231316725983</v>
      </c>
      <c r="BM123" s="826">
        <f>BM122/BM31</f>
        <v>0.15805604203152357</v>
      </c>
      <c r="BN123" s="826">
        <f>BN122/BN31</f>
        <v>0.24889425010052271</v>
      </c>
      <c r="BO123" s="1274">
        <f>BO122/BO31</f>
        <v>0.2008761821937167</v>
      </c>
      <c r="BP123" s="220"/>
      <c r="BQ123" s="826">
        <f>BQ122/BQ31</f>
        <v>0.23082972866692891</v>
      </c>
      <c r="BR123" s="826">
        <f>BR122/BR31</f>
        <v>0.22741966153261081</v>
      </c>
      <c r="BS123" s="826">
        <f>BS122/BS31</f>
        <v>0.21080980683506678</v>
      </c>
      <c r="BT123" s="826">
        <f>BT122/BT31</f>
        <v>0.22433650475713576</v>
      </c>
      <c r="BU123" s="1274">
        <f>BU122/BU31</f>
        <v>0.22325046040515659</v>
      </c>
      <c r="BV123" s="220"/>
      <c r="BW123" s="826">
        <f>BW122/BW31</f>
        <v>0.21108884435537728</v>
      </c>
      <c r="BX123" s="826">
        <f>BX122/BX31</f>
        <v>0.23777239709443102</v>
      </c>
      <c r="BY123" s="826">
        <f>BY122/BY31</f>
        <v>0.25432383462362063</v>
      </c>
      <c r="BZ123" s="826">
        <f>BZ122/BZ31</f>
        <v>0.12045732952225395</v>
      </c>
      <c r="CA123" s="1274">
        <f>CA122/CA31</f>
        <v>0.21039219073946094</v>
      </c>
      <c r="CB123" s="220"/>
      <c r="CC123" s="826">
        <f>CC122/CC31</f>
        <v>7.7031470173790542E-2</v>
      </c>
      <c r="CD123" s="826">
        <f>CD122/CD31</f>
        <v>0.10629067245119295</v>
      </c>
      <c r="CE123" s="826">
        <f>CE122/CE31</f>
        <v>0.11105780762772841</v>
      </c>
      <c r="CF123" s="826">
        <f>CF122/CF31</f>
        <v>0.15369436527077382</v>
      </c>
      <c r="CG123" s="1274">
        <f>CG122/CG31</f>
        <v>0.11279687226469037</v>
      </c>
      <c r="CH123" s="220"/>
      <c r="CI123" s="826">
        <f>CI122/CI31</f>
        <v>0.15128529287821327</v>
      </c>
      <c r="CJ123" s="826">
        <f>CJ122/CJ31</f>
        <v>0.20156514382402699</v>
      </c>
      <c r="CK123" s="826">
        <f>CK122/CK31</f>
        <v>0.1747430249632892</v>
      </c>
      <c r="CL123" s="826">
        <f>CL122/CL31</f>
        <v>0.16619291263975747</v>
      </c>
      <c r="CM123" s="1274">
        <f>CM122/CM31</f>
        <v>0.17322471564709493</v>
      </c>
      <c r="CN123" s="220"/>
      <c r="CO123" s="826">
        <f>CO122/CO31</f>
        <v>0.17641491576755625</v>
      </c>
      <c r="CP123" s="826">
        <f>CP122/CP31</f>
        <v>0.204100311184331</v>
      </c>
      <c r="CQ123" s="826">
        <f>CQ122/CQ31</f>
        <v>0.19959897921983219</v>
      </c>
      <c r="CR123" s="826">
        <f>CR122/CR31</f>
        <v>0.18636056718433489</v>
      </c>
      <c r="CS123" s="1274">
        <f>CS122/CS31</f>
        <v>0.19164109044953959</v>
      </c>
      <c r="CT123" s="220"/>
      <c r="CU123" s="826">
        <f>CU122/CU31</f>
        <v>0.18960244648318042</v>
      </c>
      <c r="CV123" s="826">
        <f>CV122/CV31</f>
        <v>0.19455184534270648</v>
      </c>
      <c r="CW123" s="826">
        <f>CW122/CW31</f>
        <v>0.17007299270072992</v>
      </c>
      <c r="CX123" s="826">
        <f>CX122/CX31</f>
        <v>0.18929159802306411</v>
      </c>
      <c r="CY123" s="1274">
        <f>CY122/CY31</f>
        <v>0.18611087088125916</v>
      </c>
      <c r="CZ123" s="220"/>
      <c r="DA123" s="826">
        <f>DA122/DA31</f>
        <v>0.18390603085553983</v>
      </c>
      <c r="DB123" s="826">
        <f>DB122/DB31</f>
        <v>0.18800071212390967</v>
      </c>
      <c r="DC123" s="826">
        <f>DC122/DC31</f>
        <v>0.16336455331412106</v>
      </c>
      <c r="DD123" s="826">
        <f>DD122/DD31</f>
        <v>0.13399249914763015</v>
      </c>
      <c r="DE123" s="1274">
        <f>DE122/DE31</f>
        <v>0.16702581467962527</v>
      </c>
      <c r="DF123" s="220"/>
      <c r="DG123" s="826">
        <f>DG122/DG31</f>
        <v>0.11544303797468355</v>
      </c>
      <c r="DH123" s="826">
        <f>DH122/DH31</f>
        <v>0.11819180662376381</v>
      </c>
      <c r="DI123" s="826">
        <f>DI122/DI31</f>
        <v>6.0194174757281567E-2</v>
      </c>
      <c r="DJ123" s="826">
        <f>DJ122/DJ31</f>
        <v>5.4017454107733974E-2</v>
      </c>
      <c r="DK123" s="1274">
        <f>DK122/DK31</f>
        <v>8.6298861555608619E-2</v>
      </c>
      <c r="DL123" s="220"/>
      <c r="DM123" s="826">
        <f>DM122/DM31</f>
        <v>6.7904098994586271E-2</v>
      </c>
      <c r="DN123" s="826">
        <f>DN122/DN31</f>
        <v>4.0196882690730178E-2</v>
      </c>
      <c r="DO123" s="826">
        <f>DO122/DO31</f>
        <v>8.1693897965987097E-3</v>
      </c>
      <c r="DP123" s="826">
        <f>DP122/DP31</f>
        <v>1.5733456732993912E-2</v>
      </c>
      <c r="DQ123" s="1274">
        <f>DQ122/DQ31</f>
        <v>3.3345313685555655E-2</v>
      </c>
      <c r="DR123" s="220"/>
      <c r="DS123" s="826">
        <f>DS122/DS31</f>
        <v>-0.16389919906231687</v>
      </c>
      <c r="DT123" s="826">
        <f>DT122/DT31</f>
        <v>-5.1570728164154638E-2</v>
      </c>
      <c r="DU123" s="826">
        <f>DU122/DU31</f>
        <v>-0.20322712418300648</v>
      </c>
      <c r="DV123" s="826">
        <f>DV122/DV31</f>
        <v>-0.29406850459482042</v>
      </c>
      <c r="DW123" s="1274">
        <f>DW122/DW31</f>
        <v>-0.17360905957656328</v>
      </c>
      <c r="DX123" s="220"/>
      <c r="DY123" s="826">
        <f>DY122/DY31</f>
        <v>-0.20280008235536329</v>
      </c>
      <c r="DZ123" s="826">
        <f>DZ122/DZ31</f>
        <v>-0.17457154244719025</v>
      </c>
      <c r="EA123" s="826">
        <f>EA122/EA31</f>
        <v>-0.17717834271298283</v>
      </c>
      <c r="EB123" s="826">
        <f>EB122/EB31</f>
        <v>-0.14373420007222834</v>
      </c>
      <c r="EC123" s="1274">
        <f>EC122/EC31</f>
        <v>-0.17358747447243028</v>
      </c>
      <c r="ED123" s="220"/>
      <c r="EE123" s="826">
        <f>EE122/EE31</f>
        <v>-6.298427929111676E-2</v>
      </c>
      <c r="EF123" s="826">
        <f>EF122/EF31</f>
        <v>7.0917980784244181E-4</v>
      </c>
      <c r="EG123" s="826">
        <f>EG122/EG31</f>
        <v>5.6335331212895613E-2</v>
      </c>
      <c r="EH123" s="826">
        <f>EH122/EH31</f>
        <v>9.1243644979571867E-2</v>
      </c>
      <c r="EI123" s="1274">
        <f>EI122/EI31</f>
        <v>2.648608513342756E-2</v>
      </c>
      <c r="EJ123" s="220"/>
      <c r="EK123" s="826">
        <f>EK122/EK31</f>
        <v>0.13605613605447903</v>
      </c>
      <c r="EL123" s="826">
        <f>EL122/EL31</f>
        <v>0.19170374751426275</v>
      </c>
      <c r="EM123" s="826">
        <f>EM122/EM31</f>
        <v>0.2219846810863482</v>
      </c>
      <c r="EN123" s="826">
        <f>EN122/EN31</f>
        <v>0.25931335562053004</v>
      </c>
      <c r="EO123" s="1274">
        <f>EO122/EO31</f>
        <v>0.2064904289941038</v>
      </c>
      <c r="EP123" s="220"/>
      <c r="EQ123" s="826">
        <f>EQ122/EQ31</f>
        <v>0.17239291310547386</v>
      </c>
      <c r="ER123" s="826">
        <f>ER122/ER31</f>
        <v>0.26382178657205524</v>
      </c>
      <c r="ES123" s="826">
        <f>ES122/ES31</f>
        <v>0.3218107113229115</v>
      </c>
      <c r="ET123" s="826">
        <f>ET122/ET31</f>
        <v>0.38478492021244703</v>
      </c>
      <c r="EU123" s="1274">
        <f>EU122/EU31</f>
        <v>0.29679751622002232</v>
      </c>
      <c r="EV123" s="220"/>
    </row>
    <row r="124" spans="1:152" hidden="1" outlineLevel="1">
      <c r="A124" s="450" t="s">
        <v>6058</v>
      </c>
      <c r="B124" s="519"/>
      <c r="C124" s="451"/>
      <c r="D124" s="220"/>
      <c r="E124" s="220"/>
      <c r="F124" s="220"/>
      <c r="G124" s="220"/>
      <c r="H124" s="220"/>
      <c r="I124" s="451"/>
      <c r="J124" s="220"/>
      <c r="K124" s="220"/>
      <c r="L124" s="220"/>
      <c r="M124" s="220"/>
      <c r="N124" s="220"/>
      <c r="O124" s="451"/>
      <c r="P124" s="220"/>
      <c r="Q124" s="220"/>
      <c r="R124" s="220"/>
      <c r="S124" s="220"/>
      <c r="T124" s="220"/>
      <c r="U124" s="451"/>
      <c r="V124" s="220"/>
      <c r="W124" s="220"/>
      <c r="X124" s="220"/>
      <c r="Y124" s="220"/>
      <c r="Z124" s="220"/>
      <c r="AA124" s="451"/>
      <c r="AB124" s="220"/>
      <c r="AC124" s="220"/>
      <c r="AD124" s="220"/>
      <c r="AE124" s="220"/>
      <c r="AF124" s="220"/>
      <c r="AG124" s="451"/>
      <c r="AH124" s="220"/>
      <c r="AI124" s="220"/>
      <c r="AJ124" s="220"/>
      <c r="AK124" s="220"/>
      <c r="AL124" s="220"/>
      <c r="AM124" s="377">
        <f>(AM122+AM93)*(1-AM101)</f>
        <v>4.7730000000000166</v>
      </c>
      <c r="AN124" s="377">
        <f>(AN122+AN93)*(1-AN101)</f>
        <v>4.5050000000000141</v>
      </c>
      <c r="AO124" s="377">
        <f>(AO122+AO93)*(1-AO101)</f>
        <v>-7.4910000000000263</v>
      </c>
      <c r="AP124" s="377">
        <f>(AP122+AP93)*(1-AP101)</f>
        <v>-5.5989999999999851</v>
      </c>
      <c r="AQ124" s="377">
        <f>(AQ122+AQ93)*(1-AQ101)</f>
        <v>-3.8014609424921986</v>
      </c>
      <c r="AR124" s="220"/>
      <c r="AS124" s="377">
        <f>(AS122+AS93)*(1-AS101)</f>
        <v>-3.9509999999999996</v>
      </c>
      <c r="AT124" s="377">
        <f>(AT122+AT93)*(1-AT101)</f>
        <v>4.2009999999999739</v>
      </c>
      <c r="AU124" s="377">
        <f>(AU122+AU93)*(1-AU101)</f>
        <v>12.022999999999998</v>
      </c>
      <c r="AV124" s="377">
        <f>(AV122+AV93)*(1-AV101)</f>
        <v>36.271000000000065</v>
      </c>
      <c r="AW124" s="377">
        <f>(AW122+AW93)*(1-AW101)</f>
        <v>48.543977757316561</v>
      </c>
      <c r="AX124" s="220"/>
      <c r="AY124" s="377">
        <f>(AY122+AY93)*(1-AY101)</f>
        <v>50.855362483924345</v>
      </c>
      <c r="AZ124" s="377">
        <f>(AZ122+AZ93)*(1-AZ101)</f>
        <v>44.527519434628985</v>
      </c>
      <c r="BA124" s="377">
        <f>(BA122+BA93)*(1-BA101)</f>
        <v>47.882379310344817</v>
      </c>
      <c r="BB124" s="377">
        <f>(BB122+BB93)*(1-BB101)</f>
        <v>74.947848898216108</v>
      </c>
      <c r="BC124" s="377">
        <f>(BC122+BC93)*(1-BC101)</f>
        <v>218.21808506413331</v>
      </c>
      <c r="BD124" s="220"/>
      <c r="BE124" s="377">
        <f>(BE122+BE93)*(1-BE101)</f>
        <v>76.612991803278646</v>
      </c>
      <c r="BF124" s="377">
        <f>(BF122+BF93)*(1-BF101)</f>
        <v>74.772528795811482</v>
      </c>
      <c r="BG124" s="377">
        <f>(BG122+BG93)*(1-BG101)</f>
        <v>78.232633165829171</v>
      </c>
      <c r="BH124" s="377">
        <f>(BH122+BH93)*(1-BH101)</f>
        <v>91.42396460176991</v>
      </c>
      <c r="BI124" s="377">
        <f>(BI122+BI93)*(1-BI101)</f>
        <v>321.05553293556966</v>
      </c>
      <c r="BJ124" s="220"/>
      <c r="BK124" s="377">
        <f>(BK122+BK93)*(1-BK101)</f>
        <v>63.789235691268985</v>
      </c>
      <c r="BL124" s="377">
        <f>(BL122+BL93)*(1-BL101)</f>
        <v>78.826149914821144</v>
      </c>
      <c r="BM124" s="377">
        <f>(BM122+BM93)*(1-BM101)</f>
        <v>60.041459074733069</v>
      </c>
      <c r="BN124" s="377">
        <f>(BN122+BN93)*(1-BN101)</f>
        <v>99.037054794520557</v>
      </c>
      <c r="BO124" s="1273">
        <f>(BO122+BO93)*(1-BO101)</f>
        <v>301.54387255245047</v>
      </c>
      <c r="BP124" s="220"/>
      <c r="BQ124" s="377">
        <f>(BQ122+BQ93)*(1-BQ101)</f>
        <v>95.668732394366245</v>
      </c>
      <c r="BR124" s="377">
        <f>(BR122+BR93)*(1-BR101)</f>
        <v>92.527411519777985</v>
      </c>
      <c r="BS124" s="377">
        <f>(BS122+BS93)*(1-BS101)</f>
        <v>89.663881909547698</v>
      </c>
      <c r="BT124" s="377">
        <f>(BT122+BT93)*(1-BT101)</f>
        <v>104.76129032258068</v>
      </c>
      <c r="BU124" s="1273">
        <f>(BU122+BU93)*(1-BU101)</f>
        <v>382.44075403949734</v>
      </c>
      <c r="BV124" s="220"/>
      <c r="BW124" s="377">
        <f>(BW122+BW93)*(1-BW101)</f>
        <v>98.566309148264878</v>
      </c>
      <c r="BX124" s="377">
        <f>(BX122+BX93)*(1-BX101)</f>
        <v>113.20180995475116</v>
      </c>
      <c r="BY124" s="377">
        <f>(BY122+BY93)*(1-BY101)</f>
        <v>113.14121037463984</v>
      </c>
      <c r="BZ124" s="377">
        <f>(BZ122+BZ93)*(1-BZ101)</f>
        <v>52.97971014492753</v>
      </c>
      <c r="CA124" s="1273">
        <f>(CA122+CA93)*(1-CA101)</f>
        <v>379.17868992645805</v>
      </c>
      <c r="CB124" s="220"/>
      <c r="CC124" s="377">
        <f>(CC122+CC93)*(1-CC101)</f>
        <v>24.629390681003596</v>
      </c>
      <c r="CD124" s="377">
        <f>(CD122+CD93)*(1-CD101)</f>
        <v>40.883684210526269</v>
      </c>
      <c r="CE124" s="377">
        <f>(CE122+CE93)*(1-CE101)</f>
        <v>39.868772782503015</v>
      </c>
      <c r="CF124" s="377">
        <f>(CF122+CF93)*(1-CF101)</f>
        <v>55.477401746724823</v>
      </c>
      <c r="CG124" s="1273">
        <f>(CG122+CG93)*(1-CG101)</f>
        <v>160.83964671246304</v>
      </c>
      <c r="CH124" s="220"/>
      <c r="CI124" s="377">
        <f>(CI122+CI93)*(1-CI101)</f>
        <v>49.953398058252446</v>
      </c>
      <c r="CJ124" s="377">
        <f>(CJ122+CJ93)*(1-CJ101)</f>
        <v>69.66494845360819</v>
      </c>
      <c r="CK124" s="377">
        <f>(CK122+CK93)*(1-CK101)</f>
        <v>62.597276264591393</v>
      </c>
      <c r="CL124" s="377">
        <f>(CL122+CL93)*(1-CL101)</f>
        <v>68.544837209302358</v>
      </c>
      <c r="CM124" s="1273">
        <f>(CM122+CM93)*(1-CM101)</f>
        <v>250.67353361945632</v>
      </c>
      <c r="CN124" s="220"/>
      <c r="CO124" s="377">
        <f>(CO122+CO93)*(1-CO101)</f>
        <v>74.285359999999969</v>
      </c>
      <c r="CP124" s="377">
        <f>(CP122+CP93)*(1-CP101)</f>
        <v>83.025000000000006</v>
      </c>
      <c r="CQ124" s="377">
        <f>(CQ122+CQ93)*(1-CQ101)</f>
        <v>82.909397944199625</v>
      </c>
      <c r="CR124" s="377">
        <f>(CR122+CR93)*(1-CR101)</f>
        <v>83.605300353356867</v>
      </c>
      <c r="CS124" s="1273">
        <f>(CS122+CS93)*(1-CS101)</f>
        <v>323.82515257998881</v>
      </c>
      <c r="CT124" s="220"/>
      <c r="CU124" s="377">
        <f>(CU122+CU93)*(1-CU101)</f>
        <v>85.181750841750841</v>
      </c>
      <c r="CV124" s="377">
        <f>(CV122+CV93)*(1-CV101)</f>
        <v>86.252425876010761</v>
      </c>
      <c r="CW124" s="377">
        <f>(CW122+CW93)*(1-CW101)</f>
        <v>69.236187845303874</v>
      </c>
      <c r="CX124" s="377">
        <f>(CX122+CX93)*(1-CX101)</f>
        <v>91.479169370538528</v>
      </c>
      <c r="CY124" s="1273">
        <f>(CY122+CY93)*(1-CY101)</f>
        <v>332.02416918428992</v>
      </c>
      <c r="CZ124" s="220"/>
      <c r="DA124" s="377">
        <f>(DA122+DA93)*(1-DA101)</f>
        <v>72.448606811145439</v>
      </c>
      <c r="DB124" s="377">
        <f>(DB122+DB93)*(1-DB101)</f>
        <v>78.423703703703779</v>
      </c>
      <c r="DC124" s="377">
        <f>(DC122+DC93)*(1-DC101)</f>
        <v>70.093013809910659</v>
      </c>
      <c r="DD124" s="377">
        <f>(DD122+DD93)*(1-DD101)</f>
        <v>65.185678601165534</v>
      </c>
      <c r="DE124" s="1273">
        <f>(DE122+DE93)*(1-DE101)</f>
        <v>286.27418210484808</v>
      </c>
      <c r="DF124" s="220"/>
      <c r="DG124" s="377">
        <f>(DG122+DG93)*(1-DG101)</f>
        <v>48.752727272727277</v>
      </c>
      <c r="DH124" s="377">
        <f>(DH122+DH93)*(1-DH101)</f>
        <v>52.703770197486456</v>
      </c>
      <c r="DI124" s="377">
        <f>(DI122+DI93)*(1-DI101)</f>
        <v>25.817051282051292</v>
      </c>
      <c r="DJ124" s="377">
        <f>(DJ122+DJ93)*(1-DJ101)</f>
        <v>22.53015075376884</v>
      </c>
      <c r="DK124" s="1273">
        <f>(DK122+DK93)*(1-DK101)</f>
        <v>149.76499999999993</v>
      </c>
      <c r="DL124" s="220"/>
      <c r="DM124" s="377">
        <f>(DM122+DM93)*(1-DM101)</f>
        <v>31.960599571734491</v>
      </c>
      <c r="DN124" s="377">
        <f>(DN122+DN93)*(1-DN101)</f>
        <v>13.851851851851887</v>
      </c>
      <c r="DO124" s="377">
        <f>(DO122+DO93)*(1-DO101)</f>
        <v>-1.8814736842105904</v>
      </c>
      <c r="DP124" s="377">
        <f>(DP122+DP93)*(1-DP101)</f>
        <v>-0.86932849364795295</v>
      </c>
      <c r="DQ124" s="1273">
        <f>(DQ122+DQ93)*(1-DQ101)</f>
        <v>43.296809342208235</v>
      </c>
      <c r="DR124" s="220"/>
      <c r="DS124" s="377">
        <f>(DS122+DS93)*(1-DS101)</f>
        <v>-65.07388888974647</v>
      </c>
      <c r="DT124" s="377">
        <f>(DT122+DT93)*(1-DT101)</f>
        <v>-28.234782608695646</v>
      </c>
      <c r="DU124" s="377">
        <f>(DU122+DU93)*(1-DU101)</f>
        <v>-80.886148007590108</v>
      </c>
      <c r="DV124" s="377">
        <f>(DV122+DV93)*(1-DV101)</f>
        <v>-104.78055893074121</v>
      </c>
      <c r="DW124" s="1273">
        <f>(DW122+DW93)*(1-DW101)</f>
        <v>-279.04786793319266</v>
      </c>
      <c r="DX124" s="220"/>
      <c r="DY124" s="377">
        <f>(DY122+DY93)*(1-DY101)</f>
        <v>-78.485106382978657</v>
      </c>
      <c r="DZ124" s="377">
        <f>(DZ122+DZ93)*(1-DZ101)</f>
        <v>-68.653372434017697</v>
      </c>
      <c r="EA124" s="377">
        <f>(EA122+EA93)*(1-EA101)</f>
        <v>-74.541176470588297</v>
      </c>
      <c r="EB124" s="377">
        <f>(EB122+EB93)*(1-EB101)</f>
        <v>-65.840148698884846</v>
      </c>
      <c r="EC124" s="1273">
        <f>(EC122+EC93)*(1-EC101)</f>
        <v>-287.53521224773846</v>
      </c>
      <c r="ED124" s="220"/>
      <c r="EE124" s="377">
        <f>(EE122+EE93)*(1-EE101)</f>
        <v>-40.681060665800196</v>
      </c>
      <c r="EF124" s="377">
        <f>(EF122+EF93)*(1-EF101)</f>
        <v>-11.942113718044384</v>
      </c>
      <c r="EG124" s="377">
        <f>(EG122+EG93)*(1-EG101)</f>
        <v>16.725013962200887</v>
      </c>
      <c r="EH124" s="377">
        <f>(EH122+EH93)*(1-EH101)</f>
        <v>40.388886064101833</v>
      </c>
      <c r="EI124" s="1273">
        <f>(EI122+EI93)*(1-EI101)</f>
        <v>4.4907256424581456</v>
      </c>
      <c r="EJ124" s="220"/>
      <c r="EK124" s="377">
        <f>(EK122+EK93)*(1-EK101)</f>
        <v>68.279988277331185</v>
      </c>
      <c r="EL124" s="377">
        <f>(EL122+EL93)*(1-EL101)</f>
        <v>106.6600070355377</v>
      </c>
      <c r="EM124" s="377">
        <f>(EM122+EM93)*(1-EM101)</f>
        <v>134.90149163519953</v>
      </c>
      <c r="EN124" s="377">
        <f>(EN122+EN93)*(1-EN101)</f>
        <v>182.26322123099374</v>
      </c>
      <c r="EO124" s="1273">
        <f>(EO122+EO93)*(1-EO101)</f>
        <v>492.10470817906224</v>
      </c>
      <c r="EP124" s="220"/>
      <c r="EQ124" s="377">
        <f>(EQ122+EQ93)*(1-EQ101)</f>
        <v>100.00296376922715</v>
      </c>
      <c r="ER124" s="377">
        <f>(ER122+ER93)*(1-ER101)</f>
        <v>179.23488075410634</v>
      </c>
      <c r="ES124" s="377">
        <f>(ES122+ES93)*(1-ES101)</f>
        <v>247.56673732962204</v>
      </c>
      <c r="ET124" s="377">
        <f>(ET122+ET93)*(1-ET101)</f>
        <v>351.24450360660234</v>
      </c>
      <c r="EU124" s="1273">
        <f>(EU122+EU93)*(1-EU101)</f>
        <v>878.04908545955789</v>
      </c>
      <c r="EV124" s="220"/>
    </row>
    <row r="125" spans="1:152" hidden="1" outlineLevel="1">
      <c r="A125" s="824" t="s">
        <v>832</v>
      </c>
      <c r="B125" s="519"/>
      <c r="C125" s="827"/>
      <c r="D125" s="828"/>
      <c r="E125" s="828"/>
      <c r="F125" s="828"/>
      <c r="G125" s="828"/>
      <c r="H125" s="828"/>
      <c r="I125" s="827"/>
      <c r="J125" s="828"/>
      <c r="K125" s="828"/>
      <c r="L125" s="828"/>
      <c r="M125" s="828"/>
      <c r="N125" s="828"/>
      <c r="O125" s="827"/>
      <c r="P125" s="828"/>
      <c r="Q125" s="828"/>
      <c r="R125" s="828"/>
      <c r="S125" s="828"/>
      <c r="T125" s="828"/>
      <c r="U125" s="827"/>
      <c r="V125" s="828"/>
      <c r="W125" s="828"/>
      <c r="X125" s="828"/>
      <c r="Y125" s="828"/>
      <c r="Z125" s="828"/>
      <c r="AA125" s="827"/>
      <c r="AB125" s="828"/>
      <c r="AC125" s="828"/>
      <c r="AD125" s="828"/>
      <c r="AE125" s="828"/>
      <c r="AF125" s="828"/>
      <c r="AG125" s="827"/>
      <c r="AH125" s="828"/>
      <c r="AI125" s="828"/>
      <c r="AJ125" s="828"/>
      <c r="AK125" s="828"/>
      <c r="AL125" s="828"/>
      <c r="AM125" s="829">
        <f>AM124/AM153</f>
        <v>2.0155909528555331E-2</v>
      </c>
      <c r="AN125" s="829">
        <f>AN124/AN153</f>
        <v>1.9711309172212584E-2</v>
      </c>
      <c r="AO125" s="829">
        <f>AO124/AO153</f>
        <v>-3.2983145176914114E-2</v>
      </c>
      <c r="AP125" s="829">
        <f>AP124/AP153</f>
        <v>-2.4522277650521344E-2</v>
      </c>
      <c r="AQ125" s="829">
        <f>AQ124/AQ153</f>
        <v>-1.651387476212738E-2</v>
      </c>
      <c r="AR125" s="828"/>
      <c r="AS125" s="829">
        <f>AS124/AS153</f>
        <v>-1.7413571214498526E-2</v>
      </c>
      <c r="AT125" s="829">
        <f>AT124/AT153</f>
        <v>1.8513132381455907E-2</v>
      </c>
      <c r="AU125" s="829">
        <f>AU124/AU153</f>
        <v>5.2655781931573317E-2</v>
      </c>
      <c r="AV125" s="829">
        <f>AV124/AV153</f>
        <v>0.15133472967447475</v>
      </c>
      <c r="AW125" s="829">
        <f>AW124/AW153</f>
        <v>0.20987089612508456</v>
      </c>
      <c r="AX125" s="828"/>
      <c r="AY125" s="829">
        <f>AY124/AY153</f>
        <v>0.21314066422432668</v>
      </c>
      <c r="AZ125" s="829">
        <f>AZ124/AZ153</f>
        <v>0.17767867391824244</v>
      </c>
      <c r="BA125" s="829">
        <f>BA124/BA153</f>
        <v>0.193039861114741</v>
      </c>
      <c r="BB125" s="829">
        <f>BB124/BB153</f>
        <v>0.29658824257307526</v>
      </c>
      <c r="BC125" s="829">
        <f>BC124/BC153</f>
        <v>0.88355630307329547</v>
      </c>
      <c r="BD125" s="220"/>
      <c r="BE125" s="829">
        <f>BE124/BE153</f>
        <v>0.30731244205085695</v>
      </c>
      <c r="BF125" s="829">
        <f>BF124/BF153</f>
        <v>0.29873163721858359</v>
      </c>
      <c r="BG125" s="829">
        <f>BG124/BG153</f>
        <v>0.31355764795923513</v>
      </c>
      <c r="BH125" s="829">
        <f>BH124/BH153</f>
        <v>0.36731203134499762</v>
      </c>
      <c r="BI125" s="829">
        <f>BI124/BI153</f>
        <v>1.286795723188656</v>
      </c>
      <c r="BJ125" s="220"/>
      <c r="BK125" s="829">
        <f>BK124/BK153</f>
        <v>0.2583606143834305</v>
      </c>
      <c r="BL125" s="829">
        <f>BL124/BL153</f>
        <v>0.32226553522003737</v>
      </c>
      <c r="BM125" s="829">
        <f>BM124/BM153</f>
        <v>0.24677952763967556</v>
      </c>
      <c r="BN125" s="829">
        <f>BN124/BN153</f>
        <v>0.40357398041776915</v>
      </c>
      <c r="BO125" s="1275">
        <f>BO124/BO153</f>
        <v>1.2400435599182902</v>
      </c>
      <c r="BP125" s="220"/>
      <c r="BQ125" s="829">
        <f>BQ124/BQ153</f>
        <v>0.39032530556656975</v>
      </c>
      <c r="BR125" s="829">
        <f>BR124/BR153</f>
        <v>0.37874503282758076</v>
      </c>
      <c r="BS125" s="829">
        <f>BS124/BS153</f>
        <v>0.37168532851459857</v>
      </c>
      <c r="BT125" s="829">
        <f>BT124/BT153</f>
        <v>0.43759937478103872</v>
      </c>
      <c r="BU125" s="1275">
        <f>BU124/BU153</f>
        <v>1.5770167459331297</v>
      </c>
      <c r="BV125" s="220"/>
      <c r="BW125" s="829">
        <f>BW124/BW153</f>
        <v>0.42321300621839791</v>
      </c>
      <c r="BX125" s="829">
        <f>BX124/BX153</f>
        <v>0.48988570939142262</v>
      </c>
      <c r="BY125" s="829">
        <f>BY124/BY153</f>
        <v>0.49106428113992984</v>
      </c>
      <c r="BZ125" s="829">
        <f>BZ124/BZ153</f>
        <v>0.23125146287615683</v>
      </c>
      <c r="CA125" s="1275">
        <f>CA124/CA153</f>
        <v>1.6423940361392821</v>
      </c>
      <c r="CB125" s="220"/>
      <c r="CC125" s="829">
        <f>CC124/CC153</f>
        <v>0.1074580745244485</v>
      </c>
      <c r="CD125" s="829">
        <f>CD124/CD153</f>
        <v>0.17599519677368172</v>
      </c>
      <c r="CE125" s="829">
        <f>CE124/CE153</f>
        <v>0.17052511883020963</v>
      </c>
      <c r="CF125" s="829">
        <f>CF124/CF153</f>
        <v>0.23789623390533801</v>
      </c>
      <c r="CG125" s="1275">
        <f>CG124/CG153</f>
        <v>0.69290100899284024</v>
      </c>
      <c r="CH125" s="220"/>
      <c r="CI125" s="829">
        <f>CI124/CI153</f>
        <v>0.21293008549979731</v>
      </c>
      <c r="CJ125" s="829">
        <f>CJ124/CJ153</f>
        <v>0.29796812854408977</v>
      </c>
      <c r="CK125" s="829">
        <f>CK124/CK153</f>
        <v>0.2693514469216497</v>
      </c>
      <c r="CL125" s="829">
        <f>CL124/CL153</f>
        <v>0.29168015833745686</v>
      </c>
      <c r="CM125" s="1275">
        <f>CM124/CM153</f>
        <v>1.0714833666144745</v>
      </c>
      <c r="CN125" s="220"/>
      <c r="CO125" s="829">
        <f>CO124/CO153</f>
        <v>0.31330814002530566</v>
      </c>
      <c r="CP125" s="829">
        <f>CP124/CP153</f>
        <v>0.3509087066779375</v>
      </c>
      <c r="CQ125" s="829">
        <f>CQ124/CQ153</f>
        <v>0.35938187231989438</v>
      </c>
      <c r="CR125" s="829">
        <f>CR124/CR153</f>
        <v>0.36114600584603396</v>
      </c>
      <c r="CS125" s="1275">
        <f>CS124/CS153</f>
        <v>1.384016038380121</v>
      </c>
      <c r="CT125" s="220"/>
      <c r="CU125" s="829">
        <f>CU124/CU153</f>
        <v>0.36386907664139617</v>
      </c>
      <c r="CV125" s="829">
        <f>CV124/CV153</f>
        <v>0.37161751777686669</v>
      </c>
      <c r="CW125" s="829">
        <f>CW124/CW153</f>
        <v>0.30037391689936604</v>
      </c>
      <c r="CX125" s="829">
        <f>CX124/CX153</f>
        <v>0.39842843802499361</v>
      </c>
      <c r="CY125" s="1275">
        <f>CY124/CY153</f>
        <v>1.4337651697475544</v>
      </c>
      <c r="CZ125" s="220"/>
      <c r="DA125" s="829">
        <f>DA124/DA153</f>
        <v>0.31595554649431068</v>
      </c>
      <c r="DB125" s="829">
        <f>DB124/DB153</f>
        <v>0.34351162375691535</v>
      </c>
      <c r="DC125" s="829">
        <f>DC124/DC153</f>
        <v>0.30783053934962962</v>
      </c>
      <c r="DD125" s="829">
        <f>DD124/DD153</f>
        <v>0.28206697793667473</v>
      </c>
      <c r="DE125" s="1275">
        <f>DE124/DE153</f>
        <v>1.2495599393489658</v>
      </c>
      <c r="DF125" s="220"/>
      <c r="DG125" s="829">
        <f>DG124/DG153</f>
        <v>0.21050400376825248</v>
      </c>
      <c r="DH125" s="829">
        <f>DH124/DH153</f>
        <v>0.22678042253651659</v>
      </c>
      <c r="DI125" s="829">
        <f>DI124/DI153</f>
        <v>0.11152073987927123</v>
      </c>
      <c r="DJ125" s="829">
        <f>DJ124/DJ153</f>
        <v>9.7029073013647035E-2</v>
      </c>
      <c r="DK125" s="1275">
        <f>DK124/DK153</f>
        <v>0.64574754769860909</v>
      </c>
      <c r="DL125" s="220"/>
      <c r="DM125" s="829">
        <f>DM124/DM153</f>
        <v>0.13793957519091279</v>
      </c>
      <c r="DN125" s="829">
        <f>DN124/DN153</f>
        <v>5.9938779107970089E-2</v>
      </c>
      <c r="DO125" s="829">
        <f>DO124/DO153</f>
        <v>-8.2268197822937938E-3</v>
      </c>
      <c r="DP125" s="829">
        <f>DP124/DP153</f>
        <v>-3.7945372922215319E-3</v>
      </c>
      <c r="DQ125" s="1275">
        <f>DQ124/DQ153</f>
        <v>0.18812430737435687</v>
      </c>
      <c r="DR125" s="220"/>
      <c r="DS125" s="829">
        <f>DS124/DS153</f>
        <v>-0.28999059220029622</v>
      </c>
      <c r="DT125" s="829">
        <f>DT124/DT153</f>
        <v>-0.12416351191159035</v>
      </c>
      <c r="DU125" s="829">
        <f>DU124/DU153</f>
        <v>-0.36386031492393212</v>
      </c>
      <c r="DV125" s="829">
        <f>DV124/DV153</f>
        <v>-0.47390573917114975</v>
      </c>
      <c r="DW125" s="1275">
        <f>DW124/DW153</f>
        <v>-1.2468626806666339</v>
      </c>
      <c r="DX125" s="220"/>
      <c r="DY125" s="829">
        <f>DY124/DY153</f>
        <v>-0.35691271661199936</v>
      </c>
      <c r="DZ125" s="829">
        <f>DZ124/DZ153</f>
        <v>-0.31277162840099176</v>
      </c>
      <c r="EA125" s="829">
        <f>EA124/EA153</f>
        <v>-0.33944069431051138</v>
      </c>
      <c r="EB125" s="829">
        <f>EB124/EB153</f>
        <v>-0.30050273253712845</v>
      </c>
      <c r="EC125" s="1275">
        <f>EC124/EC153</f>
        <v>-1.3098062282097185</v>
      </c>
      <c r="ED125" s="220"/>
      <c r="EE125" s="829">
        <f>EE124/EE153</f>
        <v>-0.18587779793087422</v>
      </c>
      <c r="EF125" s="829">
        <f>EF124/EF153</f>
        <v>-5.4691484443793632E-2</v>
      </c>
      <c r="EG125" s="829">
        <f>EG124/EG153</f>
        <v>7.6773365376373345E-2</v>
      </c>
      <c r="EH125" s="829">
        <f>EH124/EH153</f>
        <v>0.18582916659279994</v>
      </c>
      <c r="EI125" s="1275">
        <f>EI124/EI153</f>
        <v>2.0590056153971307E-2</v>
      </c>
      <c r="EJ125" s="220"/>
      <c r="EK125" s="829">
        <f>EK124/EK153</f>
        <v>0.31677567734730749</v>
      </c>
      <c r="EL125" s="829">
        <f>EL124/EL153</f>
        <v>0.49832843016207923</v>
      </c>
      <c r="EM125" s="829">
        <f>EM124/EM153</f>
        <v>0.63325689844601218</v>
      </c>
      <c r="EN125" s="829">
        <f>EN124/EN153</f>
        <v>0.85964878619837914</v>
      </c>
      <c r="EO125" s="1275">
        <f>EO124/EO153</f>
        <v>2.3032382525015818</v>
      </c>
      <c r="EP125" s="220"/>
      <c r="EQ125" s="829">
        <f>EQ124/EQ153</f>
        <v>0.47453083046873368</v>
      </c>
      <c r="ER125" s="829">
        <f>ER124/ER153</f>
        <v>0.85253237935212123</v>
      </c>
      <c r="ES125" s="829">
        <f>ES124/ES153</f>
        <v>1.1803747593898379</v>
      </c>
      <c r="ET125" s="829">
        <f>ET124/ET153</f>
        <v>1.6787225358843914</v>
      </c>
      <c r="EU125" s="1275">
        <f>EU124/EU153</f>
        <v>4.1814457842403954</v>
      </c>
      <c r="EV125" s="220"/>
    </row>
    <row r="126" spans="1:152" hidden="1" outlineLevel="1">
      <c r="A126" s="450" t="s">
        <v>3487</v>
      </c>
      <c r="B126" s="519"/>
      <c r="C126" s="827"/>
      <c r="D126" s="828"/>
      <c r="E126" s="828"/>
      <c r="F126" s="828"/>
      <c r="G126" s="828"/>
      <c r="H126" s="828"/>
      <c r="I126" s="827"/>
      <c r="J126" s="828"/>
      <c r="K126" s="828"/>
      <c r="L126" s="828"/>
      <c r="M126" s="828"/>
      <c r="N126" s="828"/>
      <c r="O126" s="827"/>
      <c r="P126" s="828"/>
      <c r="Q126" s="828"/>
      <c r="R126" s="828"/>
      <c r="S126" s="828"/>
      <c r="T126" s="828"/>
      <c r="U126" s="827"/>
      <c r="V126" s="828"/>
      <c r="W126" s="828"/>
      <c r="X126" s="828"/>
      <c r="Y126" s="828"/>
      <c r="Z126" s="828"/>
      <c r="AA126" s="827"/>
      <c r="AB126" s="828"/>
      <c r="AC126" s="828"/>
      <c r="AD126" s="828"/>
      <c r="AE126" s="828"/>
      <c r="AF126" s="828"/>
      <c r="AG126" s="827"/>
      <c r="AH126" s="828"/>
      <c r="AI126" s="828"/>
      <c r="AJ126" s="828"/>
      <c r="AK126" s="828"/>
      <c r="AL126" s="828"/>
      <c r="AM126" s="828"/>
      <c r="AN126" s="828"/>
      <c r="AO126" s="828"/>
      <c r="AP126" s="828"/>
      <c r="AQ126" s="828"/>
      <c r="AR126" s="828"/>
      <c r="AS126" s="630">
        <f>AS125/AM125-1</f>
        <v>-1.8639437079149581</v>
      </c>
      <c r="AT126" s="630">
        <f>AT125/AN125-1</f>
        <v>-6.0786261343095949E-2</v>
      </c>
      <c r="AU126" s="630">
        <f>AU125/AO125-1</f>
        <v>-2.5964451433948961</v>
      </c>
      <c r="AV126" s="630">
        <f>AV125/AP125-1</f>
        <v>-7.1713162142284679</v>
      </c>
      <c r="AW126" s="630">
        <f>AW125/AQ125-1</f>
        <v>-13.708761520124801</v>
      </c>
      <c r="AX126" s="828"/>
      <c r="AY126" s="630">
        <f>AY125/AS125-1</f>
        <v>-13.239916878558828</v>
      </c>
      <c r="AZ126" s="630">
        <f>AZ125/AT125-1</f>
        <v>8.5974398204065263</v>
      </c>
      <c r="BA126" s="630">
        <f>BA125/AU125-1</f>
        <v>2.6660714936414411</v>
      </c>
      <c r="BB126" s="630">
        <f>BB125/AV125-1</f>
        <v>0.95981611895065244</v>
      </c>
      <c r="BC126" s="630">
        <f>BC125/AW125-1</f>
        <v>3.2099991918207165</v>
      </c>
      <c r="BD126" s="220"/>
      <c r="BE126" s="630">
        <f>BE125/AY125-1</f>
        <v>0.4418292406530937</v>
      </c>
      <c r="BF126" s="630">
        <f>BF125/AZ125-1</f>
        <v>0.68130271703875289</v>
      </c>
      <c r="BG126" s="630">
        <f>BG125/BA125-1</f>
        <v>0.62431554886407392</v>
      </c>
      <c r="BH126" s="630">
        <f>BH125/BB125-1</f>
        <v>0.23845783014981459</v>
      </c>
      <c r="BI126" s="630">
        <f>BI125/BC125-1</f>
        <v>0.45638225737597371</v>
      </c>
      <c r="BJ126" s="220"/>
      <c r="BK126" s="630">
        <f>BK125/BE125-1</f>
        <v>-0.15929009362831281</v>
      </c>
      <c r="BL126" s="630">
        <f>BL125/BF125-1</f>
        <v>7.8779396185057804E-2</v>
      </c>
      <c r="BM126" s="630">
        <f>BM125/BG125-1</f>
        <v>-0.21296919642745005</v>
      </c>
      <c r="BN126" s="630">
        <f>BN125/BH125-1</f>
        <v>9.8722464766509477E-2</v>
      </c>
      <c r="BO126" s="1276">
        <f>BO125/BI125-1</f>
        <v>-3.633223395747287E-2</v>
      </c>
      <c r="BP126" s="220"/>
      <c r="BQ126" s="630">
        <f>BQ125/BK125-1</f>
        <v>0.51077712250401963</v>
      </c>
      <c r="BR126" s="630">
        <f>BR125/BL125-1</f>
        <v>0.1752576414011513</v>
      </c>
      <c r="BS126" s="630">
        <f>BS125/BM125-1</f>
        <v>0.50614328534293485</v>
      </c>
      <c r="BT126" s="630">
        <f>BT125/BN125-1</f>
        <v>8.4310178589926288E-2</v>
      </c>
      <c r="BU126" s="1276">
        <f>BU125/BO125-1</f>
        <v>0.27174302331528066</v>
      </c>
      <c r="BV126" s="220"/>
      <c r="BW126" s="630">
        <f>BW125/BQ125-1</f>
        <v>8.425715725525551E-2</v>
      </c>
      <c r="BX126" s="630">
        <f>BX125/BR125-1</f>
        <v>0.29344457862352313</v>
      </c>
      <c r="BY126" s="630">
        <f>BY125/BS125-1</f>
        <v>0.32118284868121294</v>
      </c>
      <c r="BZ126" s="630">
        <f>BZ125/BT125-1</f>
        <v>-0.4715452621661812</v>
      </c>
      <c r="CA126" s="1276">
        <f>CA125/BU125-1</f>
        <v>4.1456306900196083E-2</v>
      </c>
      <c r="CB126" s="220"/>
      <c r="CC126" s="630">
        <f>CC125/BW125-1</f>
        <v>-0.7460898579544244</v>
      </c>
      <c r="CD126" s="630">
        <f>CD125/BX125-1</f>
        <v>-0.64074233356935884</v>
      </c>
      <c r="CE126" s="630">
        <f>CE125/BY125-1</f>
        <v>-0.65274379469351362</v>
      </c>
      <c r="CF126" s="630">
        <f>CF125/BZ125-1</f>
        <v>2.8733963221411862E-2</v>
      </c>
      <c r="CG126" s="1276">
        <f>CG125/CA125-1</f>
        <v>-0.57811524290381722</v>
      </c>
      <c r="CH126" s="220"/>
      <c r="CI126" s="630">
        <f>CI125/CC125-1</f>
        <v>0.98151778209418938</v>
      </c>
      <c r="CJ126" s="630">
        <f>CJ125/CD125-1</f>
        <v>0.6930469354073181</v>
      </c>
      <c r="CK126" s="630">
        <f>CK125/CE125-1</f>
        <v>0.57954117709685105</v>
      </c>
      <c r="CL126" s="630">
        <f>CL125/CF125-1</f>
        <v>0.22608144546550557</v>
      </c>
      <c r="CM126" s="1276"/>
      <c r="CN126" s="220"/>
      <c r="CO126" s="630">
        <f>CO125/CI125-1</f>
        <v>0.47141320725015112</v>
      </c>
      <c r="CP126" s="630">
        <f>CP125/CJ125-1</f>
        <v>0.17767194898502114</v>
      </c>
      <c r="CQ126" s="630">
        <f>CQ125/CK125-1</f>
        <v>0.33424890204667501</v>
      </c>
      <c r="CR126" s="630">
        <f>CR125/CL125-1</f>
        <v>0.23815760353575088</v>
      </c>
      <c r="CS126" s="1276">
        <f>CS125/CM125-1</f>
        <v>0.29168224305071955</v>
      </c>
      <c r="CT126" s="220"/>
      <c r="CU126" s="630">
        <f>CU125/CO125-1</f>
        <v>0.16137766676603671</v>
      </c>
      <c r="CV126" s="630">
        <f>CV125/CP125-1</f>
        <v>5.9014811273792711E-2</v>
      </c>
      <c r="CW126" s="630">
        <f>CW125/CQ125-1</f>
        <v>-0.16419291000856029</v>
      </c>
      <c r="CX126" s="630">
        <f>CX125/CR125-1</f>
        <v>0.10323368270852251</v>
      </c>
      <c r="CY126" s="1276">
        <f>CY125/CS125-1</f>
        <v>3.5945487615635319E-2</v>
      </c>
      <c r="CZ126" s="220"/>
      <c r="DA126" s="630">
        <f>DA125/CU125-1</f>
        <v>-0.13167793918994031</v>
      </c>
      <c r="DB126" s="630">
        <f>DB125/CV125-1</f>
        <v>-7.5631240927741206E-2</v>
      </c>
      <c r="DC126" s="630">
        <f>DC125/CW125-1</f>
        <v>2.4824467208188983E-2</v>
      </c>
      <c r="DD126" s="630">
        <f>DD125/CX125-1</f>
        <v>-0.29205109119500017</v>
      </c>
      <c r="DE126" s="1276">
        <f>DE125/CY125-1</f>
        <v>-0.12847656944478703</v>
      </c>
      <c r="DF126" s="220"/>
      <c r="DG126" s="630">
        <f>DG125/DA125-1</f>
        <v>-0.33375436480257215</v>
      </c>
      <c r="DH126" s="630">
        <f>DH125/DB125-1</f>
        <v>-0.33981732537529252</v>
      </c>
      <c r="DI126" s="630">
        <f>DI125/DC125-1</f>
        <v>-0.63772035057052112</v>
      </c>
      <c r="DJ126" s="630">
        <f>DJ125/DD125-1</f>
        <v>-0.65600697492696047</v>
      </c>
      <c r="DK126" s="1276">
        <f>DK125/DE125-1</f>
        <v>-0.48322003021715743</v>
      </c>
      <c r="DL126" s="220"/>
      <c r="DM126" s="630">
        <f>DM125/DG125-1</f>
        <v>-0.34471756963457634</v>
      </c>
      <c r="DN126" s="630">
        <f>DN125/DH125-1</f>
        <v>-0.73569685408660601</v>
      </c>
      <c r="DO126" s="630">
        <f>DO125/DI125-1</f>
        <v>-1.0737694153679387</v>
      </c>
      <c r="DP126" s="630">
        <f>DP125/DJ125-1</f>
        <v>-1.0391072198709745</v>
      </c>
      <c r="DQ126" s="1276">
        <f>DQ125/DK125-1</f>
        <v>-0.70867205296432578</v>
      </c>
      <c r="DR126" s="220"/>
      <c r="DS126" s="630">
        <f>DS125/DM125-1</f>
        <v>-3.1023016186539647</v>
      </c>
      <c r="DT126" s="630">
        <f>DT125/DN125-1</f>
        <v>-3.0715055221249954</v>
      </c>
      <c r="DU126" s="630">
        <f>DU125/DO125-1</f>
        <v>43.228550588533849</v>
      </c>
      <c r="DV126" s="630">
        <f>DV125/DP125-1</f>
        <v>123.89157509207115</v>
      </c>
      <c r="DW126" s="1276">
        <f>DW125/DQ125-1</f>
        <v>-7.6278658939349437</v>
      </c>
      <c r="DX126" s="220"/>
      <c r="DY126" s="630">
        <f>DY125/DS125-1</f>
        <v>0.23077343269632733</v>
      </c>
      <c r="DZ126" s="630">
        <f>DZ125/DT125-1</f>
        <v>1.519030136838416</v>
      </c>
      <c r="EA126" s="630">
        <f>EA125/DU125-1</f>
        <v>-6.7112624300690316E-2</v>
      </c>
      <c r="EB126" s="630">
        <f>EB125/DV125-1</f>
        <v>-0.36590189208786372</v>
      </c>
      <c r="EC126" s="1276">
        <f>EC125/DW125-1</f>
        <v>5.0481539402103204E-2</v>
      </c>
      <c r="ED126" s="220"/>
      <c r="EE126" s="630">
        <f>EE125/DY125-1</f>
        <v>-0.47920656989943455</v>
      </c>
      <c r="EF126" s="630">
        <f>EF125/DZ125-1</f>
        <v>-0.82513924065492317</v>
      </c>
      <c r="EG126" s="630">
        <f>EG125/EA125-1</f>
        <v>-1.2261760792480088</v>
      </c>
      <c r="EH126" s="630">
        <f>EH125/EB125-1</f>
        <v>-1.6183942655823933</v>
      </c>
      <c r="EI126" s="1276">
        <f>EI125/EC125-1</f>
        <v>-1.0157199253679794</v>
      </c>
      <c r="EJ126" s="220"/>
      <c r="EK126" s="630">
        <f>EK125/EE125-1</f>
        <v>-2.7042147091989581</v>
      </c>
      <c r="EL126" s="630">
        <f>EL125/EF125-1</f>
        <v>-10.111627435788668</v>
      </c>
      <c r="EM126" s="630">
        <f>EM125/EG125-1</f>
        <v>7.2483931157835393</v>
      </c>
      <c r="EN126" s="630">
        <f>EN125/EH125-1</f>
        <v>3.626016475024576</v>
      </c>
      <c r="EO126" s="1276">
        <f>EO125/EI125-1</f>
        <v>110.86167902011013</v>
      </c>
      <c r="EP126" s="220"/>
      <c r="EQ126" s="630">
        <f>EQ125/EK125-1</f>
        <v>0.49800273317217503</v>
      </c>
      <c r="ER126" s="630">
        <f>ER125/EL125-1</f>
        <v>0.71078414906979859</v>
      </c>
      <c r="ES126" s="630">
        <f>ES125/EM125-1</f>
        <v>0.86397457696304891</v>
      </c>
      <c r="ET126" s="630">
        <f>ET125/EN125-1</f>
        <v>0.95280044924881269</v>
      </c>
      <c r="EU126" s="1276">
        <f>EU125/EO125-1</f>
        <v>0.81546384951659445</v>
      </c>
      <c r="EV126" s="220"/>
    </row>
    <row r="127" spans="1:152" ht="5.25" hidden="1" customHeight="1" outlineLevel="1">
      <c r="A127" s="450"/>
      <c r="B127" s="519"/>
      <c r="C127" s="827"/>
      <c r="D127" s="828"/>
      <c r="E127" s="828"/>
      <c r="F127" s="828"/>
      <c r="G127" s="828"/>
      <c r="H127" s="828"/>
      <c r="I127" s="827"/>
      <c r="J127" s="828"/>
      <c r="K127" s="828"/>
      <c r="L127" s="828"/>
      <c r="M127" s="828"/>
      <c r="N127" s="828"/>
      <c r="O127" s="827"/>
      <c r="P127" s="828"/>
      <c r="Q127" s="828"/>
      <c r="R127" s="828"/>
      <c r="S127" s="828"/>
      <c r="T127" s="828"/>
      <c r="U127" s="827"/>
      <c r="V127" s="828"/>
      <c r="W127" s="828"/>
      <c r="X127" s="828"/>
      <c r="Y127" s="828"/>
      <c r="Z127" s="828"/>
      <c r="AA127" s="827"/>
      <c r="AB127" s="828"/>
      <c r="AC127" s="828"/>
      <c r="AD127" s="828"/>
      <c r="AE127" s="828"/>
      <c r="AF127" s="828"/>
      <c r="AG127" s="827"/>
      <c r="AH127" s="828"/>
      <c r="AI127" s="828"/>
      <c r="AJ127" s="828"/>
      <c r="AK127" s="828"/>
      <c r="AL127" s="828"/>
      <c r="AM127" s="828"/>
      <c r="AN127" s="828"/>
      <c r="AO127" s="828"/>
      <c r="AP127" s="828"/>
      <c r="AQ127" s="828"/>
      <c r="AR127" s="828"/>
      <c r="AS127" s="630"/>
      <c r="AT127" s="630"/>
      <c r="AU127" s="630"/>
      <c r="AV127" s="630"/>
      <c r="AW127" s="630"/>
      <c r="AX127" s="828"/>
      <c r="AY127" s="630"/>
      <c r="AZ127" s="630"/>
      <c r="BA127" s="630"/>
      <c r="BB127" s="630"/>
      <c r="BC127" s="630"/>
      <c r="BD127" s="220"/>
      <c r="BE127" s="630"/>
      <c r="BF127" s="630"/>
      <c r="BG127" s="630"/>
      <c r="BH127" s="630"/>
      <c r="BI127" s="630"/>
      <c r="BJ127" s="220"/>
      <c r="BK127" s="630"/>
      <c r="BL127" s="630"/>
      <c r="BM127" s="630"/>
      <c r="BN127" s="630"/>
      <c r="BO127" s="1276"/>
      <c r="BP127" s="220"/>
      <c r="BQ127" s="630"/>
      <c r="BR127" s="630"/>
      <c r="BS127" s="630"/>
      <c r="BT127" s="630"/>
      <c r="BU127" s="1276"/>
      <c r="BV127" s="220"/>
      <c r="BW127" s="630"/>
      <c r="BX127" s="630"/>
      <c r="BY127" s="630"/>
      <c r="BZ127" s="630"/>
      <c r="CA127" s="1276"/>
      <c r="CB127" s="220"/>
      <c r="CC127" s="630"/>
      <c r="CD127" s="630"/>
      <c r="CE127" s="630"/>
      <c r="CF127" s="630"/>
      <c r="CG127" s="1276"/>
      <c r="CH127" s="220"/>
      <c r="CI127" s="630"/>
      <c r="CJ127" s="630"/>
      <c r="CK127" s="630"/>
      <c r="CL127" s="630"/>
      <c r="CM127" s="1276"/>
      <c r="CN127" s="220"/>
      <c r="CO127" s="630"/>
      <c r="CP127" s="630"/>
      <c r="CQ127" s="630"/>
      <c r="CR127" s="630"/>
      <c r="CS127" s="1276"/>
      <c r="CT127" s="220"/>
      <c r="CU127" s="630"/>
      <c r="CV127" s="630"/>
      <c r="CW127" s="630"/>
      <c r="CX127" s="630"/>
      <c r="CY127" s="1276"/>
      <c r="CZ127" s="220"/>
      <c r="DA127" s="630"/>
      <c r="DB127" s="630"/>
      <c r="DC127" s="630"/>
      <c r="DD127" s="630"/>
      <c r="DE127" s="1276"/>
      <c r="DF127" s="220"/>
      <c r="DG127" s="630"/>
      <c r="DH127" s="630"/>
      <c r="DI127" s="630"/>
      <c r="DJ127" s="630"/>
      <c r="DK127" s="1276"/>
      <c r="DL127" s="220"/>
      <c r="DM127" s="630"/>
      <c r="DN127" s="630"/>
      <c r="DO127" s="630"/>
      <c r="DP127" s="630"/>
      <c r="DQ127" s="1276"/>
      <c r="DR127" s="220"/>
      <c r="DS127" s="630"/>
      <c r="DT127" s="630"/>
      <c r="DU127" s="630"/>
      <c r="DV127" s="630"/>
      <c r="DW127" s="1276"/>
      <c r="DX127" s="220"/>
      <c r="DY127" s="630"/>
      <c r="DZ127" s="630"/>
      <c r="EA127" s="630"/>
      <c r="EB127" s="630"/>
      <c r="EC127" s="1276"/>
      <c r="ED127" s="220"/>
      <c r="EE127" s="630"/>
      <c r="EF127" s="630"/>
      <c r="EG127" s="630"/>
      <c r="EH127" s="630"/>
      <c r="EI127" s="1276"/>
      <c r="EJ127" s="220"/>
      <c r="EK127" s="630"/>
      <c r="EL127" s="630"/>
      <c r="EM127" s="630"/>
      <c r="EN127" s="630"/>
      <c r="EO127" s="1276"/>
      <c r="EP127" s="220"/>
      <c r="EQ127" s="630"/>
      <c r="ER127" s="630"/>
      <c r="ES127" s="630"/>
      <c r="ET127" s="630"/>
      <c r="EU127" s="1276"/>
      <c r="EV127" s="220"/>
    </row>
    <row r="128" spans="1:152" hidden="1" outlineLevel="1">
      <c r="A128" s="824" t="s">
        <v>833</v>
      </c>
      <c r="B128" s="519"/>
      <c r="C128" s="451"/>
      <c r="D128" s="220"/>
      <c r="E128" s="220"/>
      <c r="F128" s="220"/>
      <c r="G128" s="220"/>
      <c r="H128" s="220"/>
      <c r="I128" s="451"/>
      <c r="J128" s="220"/>
      <c r="K128" s="220"/>
      <c r="L128" s="220"/>
      <c r="M128" s="220"/>
      <c r="N128" s="220"/>
      <c r="O128" s="451"/>
      <c r="P128" s="220"/>
      <c r="Q128" s="220"/>
      <c r="R128" s="220"/>
      <c r="S128" s="220"/>
      <c r="T128" s="220"/>
      <c r="U128" s="451"/>
      <c r="V128" s="220"/>
      <c r="W128" s="220"/>
      <c r="X128" s="220"/>
      <c r="Y128" s="220"/>
      <c r="Z128" s="220"/>
      <c r="AA128" s="451"/>
      <c r="AB128" s="220"/>
      <c r="AC128" s="220"/>
      <c r="AD128" s="220"/>
      <c r="AE128" s="220"/>
      <c r="AF128" s="220"/>
      <c r="AG128" s="451"/>
      <c r="AH128" s="220"/>
      <c r="AI128" s="220"/>
      <c r="AJ128" s="220"/>
      <c r="AK128" s="220"/>
      <c r="AL128" s="220"/>
      <c r="AM128" s="220"/>
      <c r="AN128" s="220"/>
      <c r="AO128" s="220"/>
      <c r="AP128" s="220"/>
      <c r="AQ128" s="220"/>
      <c r="AR128" s="220"/>
      <c r="AS128" s="220"/>
      <c r="AT128" s="220"/>
      <c r="AU128" s="220"/>
      <c r="AV128" s="220"/>
      <c r="AW128" s="220"/>
      <c r="AX128" s="220"/>
      <c r="AY128" s="220"/>
      <c r="AZ128" s="220"/>
      <c r="BA128" s="220"/>
      <c r="BB128" s="220"/>
      <c r="BC128" s="220"/>
      <c r="BD128" s="220"/>
      <c r="BE128" s="220"/>
      <c r="BF128" s="220"/>
      <c r="BG128" s="220"/>
      <c r="BH128" s="220"/>
      <c r="BI128" s="220"/>
      <c r="BJ128" s="220"/>
      <c r="BK128" s="220"/>
      <c r="BL128" s="220"/>
      <c r="BM128" s="220"/>
      <c r="BN128" s="220"/>
      <c r="BO128" s="1272"/>
      <c r="BP128" s="220"/>
      <c r="BQ128" s="220"/>
      <c r="BR128" s="220"/>
      <c r="BS128" s="220"/>
      <c r="BT128" s="220"/>
      <c r="BU128" s="1272"/>
      <c r="BV128" s="220"/>
      <c r="BW128" s="220"/>
      <c r="BX128" s="220"/>
      <c r="BY128" s="220"/>
      <c r="BZ128" s="220"/>
      <c r="CA128" s="1272"/>
      <c r="CB128" s="220"/>
      <c r="CC128" s="220"/>
      <c r="CD128" s="220"/>
      <c r="CE128" s="220"/>
      <c r="CF128" s="220"/>
      <c r="CG128" s="1272"/>
      <c r="CH128" s="220"/>
      <c r="CI128" s="220"/>
      <c r="CJ128" s="220"/>
      <c r="CK128" s="220"/>
      <c r="CL128" s="220"/>
      <c r="CM128" s="1272"/>
      <c r="CN128" s="220"/>
      <c r="CO128" s="220"/>
      <c r="CP128" s="220"/>
      <c r="CQ128" s="220"/>
      <c r="CR128" s="220"/>
      <c r="CS128" s="1272"/>
      <c r="CT128" s="220"/>
      <c r="CU128" s="220"/>
      <c r="CV128" s="220"/>
      <c r="CW128" s="220"/>
      <c r="CX128" s="220"/>
      <c r="CY128" s="1272"/>
      <c r="CZ128" s="220"/>
      <c r="DA128" s="220"/>
      <c r="DB128" s="220"/>
      <c r="DC128" s="220"/>
      <c r="DD128" s="220"/>
      <c r="DE128" s="1272"/>
      <c r="DF128" s="220"/>
      <c r="DG128" s="220"/>
      <c r="DH128" s="220"/>
      <c r="DI128" s="220"/>
      <c r="DJ128" s="220"/>
      <c r="DK128" s="1272"/>
      <c r="DL128" s="220"/>
      <c r="DM128" s="220"/>
      <c r="DN128" s="220"/>
      <c r="DO128" s="220"/>
      <c r="DP128" s="220"/>
      <c r="DQ128" s="1272"/>
      <c r="DR128" s="220"/>
      <c r="DS128" s="220"/>
      <c r="DT128" s="220"/>
      <c r="DU128" s="220"/>
      <c r="DV128" s="220"/>
      <c r="DW128" s="1272"/>
      <c r="DX128" s="220"/>
      <c r="DY128" s="220"/>
      <c r="DZ128" s="220"/>
      <c r="EA128" s="220"/>
      <c r="EB128" s="220"/>
      <c r="EC128" s="1272"/>
      <c r="ED128" s="220"/>
      <c r="EE128" s="220"/>
      <c r="EF128" s="220"/>
      <c r="EG128" s="220"/>
      <c r="EH128" s="220"/>
      <c r="EI128" s="1272"/>
      <c r="EJ128" s="220"/>
      <c r="EK128" s="220"/>
      <c r="EL128" s="220"/>
      <c r="EM128" s="220"/>
      <c r="EN128" s="220"/>
      <c r="EO128" s="1272"/>
      <c r="EP128" s="220"/>
      <c r="EQ128" s="220"/>
      <c r="ER128" s="220"/>
      <c r="ES128" s="220"/>
      <c r="ET128" s="220"/>
      <c r="EU128" s="1272"/>
      <c r="EV128" s="220"/>
    </row>
    <row r="129" spans="1:152" hidden="1" outlineLevel="1">
      <c r="A129" s="450" t="s">
        <v>5940</v>
      </c>
      <c r="B129" s="519"/>
      <c r="C129" s="451"/>
      <c r="D129" s="220"/>
      <c r="E129" s="220"/>
      <c r="F129" s="220"/>
      <c r="G129" s="220"/>
      <c r="H129" s="220"/>
      <c r="I129" s="451"/>
      <c r="J129" s="220"/>
      <c r="K129" s="220"/>
      <c r="L129" s="220"/>
      <c r="M129" s="220"/>
      <c r="N129" s="220"/>
      <c r="O129" s="451"/>
      <c r="P129" s="220"/>
      <c r="Q129" s="220"/>
      <c r="R129" s="220"/>
      <c r="S129" s="220"/>
      <c r="T129" s="220"/>
      <c r="U129" s="451"/>
      <c r="V129" s="220"/>
      <c r="W129" s="220"/>
      <c r="X129" s="220"/>
      <c r="Y129" s="220"/>
      <c r="Z129" s="220"/>
      <c r="AA129" s="451"/>
      <c r="AB129" s="220"/>
      <c r="AC129" s="220"/>
      <c r="AD129" s="220"/>
      <c r="AE129" s="220"/>
      <c r="AF129" s="220"/>
      <c r="AG129" s="451"/>
      <c r="AH129" s="220"/>
      <c r="AI129" s="220"/>
      <c r="AJ129" s="220"/>
      <c r="AK129" s="220"/>
      <c r="AL129" s="220"/>
      <c r="AM129" s="377">
        <f>AM85-AM76</f>
        <v>22.730000000000018</v>
      </c>
      <c r="AN129" s="377">
        <f>AN85-AN76</f>
        <v>14.128000000000014</v>
      </c>
      <c r="AO129" s="377">
        <f>AO85-AO76</f>
        <v>5.4409999999999741</v>
      </c>
      <c r="AP129" s="377">
        <f>AP85-AP76</f>
        <v>8.5500000000000114</v>
      </c>
      <c r="AQ129" s="377">
        <f>SUM(AM129:AP129)</f>
        <v>50.849000000000018</v>
      </c>
      <c r="AR129" s="220"/>
      <c r="AS129" s="377">
        <f>AS85-AS76</f>
        <v>6.6069999999999993</v>
      </c>
      <c r="AT129" s="377">
        <f>AT85-AT76</f>
        <v>13.940999999999974</v>
      </c>
      <c r="AU129" s="377">
        <f>AU85-AU76</f>
        <v>27.939999999999998</v>
      </c>
      <c r="AV129" s="377">
        <f>AV85-AV76</f>
        <v>60.932000000000073</v>
      </c>
      <c r="AW129" s="377">
        <f>SUM(AS129:AV129)</f>
        <v>109.42000000000004</v>
      </c>
      <c r="AX129" s="220"/>
      <c r="AY129" s="377">
        <f>AY85-AY76</f>
        <v>62.900000000000034</v>
      </c>
      <c r="AZ129" s="377">
        <f>AZ85-AZ76</f>
        <v>54.400000000000006</v>
      </c>
      <c r="BA129" s="377">
        <f>BA85-BA76</f>
        <v>58.099999999999994</v>
      </c>
      <c r="BB129" s="377">
        <f>BB85-BB76</f>
        <v>91.299999999999955</v>
      </c>
      <c r="BC129" s="377">
        <f>SUM(AY129:BB129)</f>
        <v>266.7</v>
      </c>
      <c r="BD129" s="220"/>
      <c r="BE129" s="377">
        <f>BE85-BE76</f>
        <v>93.599999999999966</v>
      </c>
      <c r="BF129" s="377">
        <f>BF85-BF76</f>
        <v>91.399999999999963</v>
      </c>
      <c r="BG129" s="377">
        <f>BG85-BG76</f>
        <v>95.200000000000017</v>
      </c>
      <c r="BH129" s="377">
        <f>BH85-BH76</f>
        <v>106.9</v>
      </c>
      <c r="BI129" s="377">
        <f>SUM(BE129:BH129)</f>
        <v>387.09999999999991</v>
      </c>
      <c r="BJ129" s="220"/>
      <c r="BK129" s="377">
        <f>BK85-BK76</f>
        <v>79.671999999999997</v>
      </c>
      <c r="BL129" s="377">
        <f>BL85-BL76</f>
        <v>93.90000000000002</v>
      </c>
      <c r="BM129" s="377">
        <f>BM85-BM76</f>
        <v>72.199999999999974</v>
      </c>
      <c r="BN129" s="377">
        <f>BN85-BN76</f>
        <v>123.8</v>
      </c>
      <c r="BO129" s="1273">
        <f>SUM(BK129:BN129)</f>
        <v>369.572</v>
      </c>
      <c r="BP129" s="220"/>
      <c r="BQ129" s="377">
        <f>BQ85-BQ76</f>
        <v>117.40000000000005</v>
      </c>
      <c r="BR129" s="377">
        <f>BR85-BR76</f>
        <v>119.60000000000005</v>
      </c>
      <c r="BS129" s="377">
        <f>BS85-BS76</f>
        <v>113.49999999999996</v>
      </c>
      <c r="BT129" s="377">
        <f>BT85-BT76</f>
        <v>134.40000000000003</v>
      </c>
      <c r="BU129" s="1273">
        <f>SUM(BQ129:BT129)</f>
        <v>484.90000000000009</v>
      </c>
      <c r="BV129" s="220"/>
      <c r="BW129" s="377">
        <f>BW85-BW76</f>
        <v>126.39999999999991</v>
      </c>
      <c r="BX129" s="377">
        <f>BX85-BX76</f>
        <v>147.30000000000001</v>
      </c>
      <c r="BY129" s="377">
        <f>BY85-BY76</f>
        <v>154.40000000000009</v>
      </c>
      <c r="BZ129" s="377">
        <f>BZ85-BZ76</f>
        <v>58.999999999999986</v>
      </c>
      <c r="CA129" s="1273">
        <f>SUM(BW129:BZ129)</f>
        <v>487.1</v>
      </c>
      <c r="CB129" s="220"/>
      <c r="CC129" s="377">
        <f>CC85-CC76</f>
        <v>32.800000000000011</v>
      </c>
      <c r="CD129" s="377">
        <f>CD85-CD76</f>
        <v>44.099999999999952</v>
      </c>
      <c r="CE129" s="377">
        <f>CE85-CE76</f>
        <v>46.299999999999969</v>
      </c>
      <c r="CF129" s="377">
        <f>CF85-CF76</f>
        <v>70.099999999999937</v>
      </c>
      <c r="CG129" s="1273">
        <f>SUM(CC129:CF129)</f>
        <v>193.29999999999987</v>
      </c>
      <c r="CH129" s="220"/>
      <c r="CI129" s="377">
        <f>CI85-CI76</f>
        <v>71.800000000000026</v>
      </c>
      <c r="CJ129" s="377">
        <f>CJ85-CJ76</f>
        <v>95.299999999999955</v>
      </c>
      <c r="CK129" s="377">
        <f>CK85-CK76</f>
        <v>83.299999999999955</v>
      </c>
      <c r="CL129" s="377">
        <f>CL85-CL76</f>
        <v>87.700000000000017</v>
      </c>
      <c r="CM129" s="1273">
        <f>SUM(CI129:CL129)</f>
        <v>338.09999999999991</v>
      </c>
      <c r="CN129" s="220"/>
      <c r="CO129" s="377">
        <f>CO85-CO76</f>
        <v>93.19999999999996</v>
      </c>
      <c r="CP129" s="377">
        <f>CP85-CP76</f>
        <v>111.50000000000001</v>
      </c>
      <c r="CQ129" s="377">
        <f>CQ85-CQ76</f>
        <v>109.49999999999991</v>
      </c>
      <c r="CR129" s="377">
        <f>CR85-CR76</f>
        <v>110.39999999999998</v>
      </c>
      <c r="CS129" s="1273">
        <f>SUM(CO129:CR129)</f>
        <v>424.59999999999991</v>
      </c>
      <c r="CT129" s="220"/>
      <c r="CU129" s="377">
        <f>CU85-CU76</f>
        <v>111.6</v>
      </c>
      <c r="CV129" s="377">
        <f>CV85-CV76</f>
        <v>110.69999999999999</v>
      </c>
      <c r="CW129" s="377">
        <f>CW85-CW76</f>
        <v>93.2</v>
      </c>
      <c r="CX129" s="377">
        <f>CX85-CX76</f>
        <v>114.89999999999992</v>
      </c>
      <c r="CY129" s="1273">
        <f>SUM(CU129:CX129)</f>
        <v>430.39999999999992</v>
      </c>
      <c r="CZ129" s="220"/>
      <c r="DA129" s="377">
        <f>DA85-DA76</f>
        <v>104.89999999999992</v>
      </c>
      <c r="DB129" s="377">
        <f>DB85-DB76</f>
        <v>105.60000000000008</v>
      </c>
      <c r="DC129" s="377">
        <f>DC85-DC76</f>
        <v>90.700000000000017</v>
      </c>
      <c r="DD129" s="377">
        <f>DD85-DD76</f>
        <v>78.599999999999824</v>
      </c>
      <c r="DE129" s="1273">
        <f>SUM(DA129:DD129)</f>
        <v>379.79999999999984</v>
      </c>
      <c r="DF129" s="220"/>
      <c r="DG129" s="377">
        <f>DG85-DG76</f>
        <v>68.400000000000006</v>
      </c>
      <c r="DH129" s="377">
        <f>DH85-DH76</f>
        <v>75.299999999999912</v>
      </c>
      <c r="DI129" s="377">
        <f>DI85-DI76</f>
        <v>37.20000000000001</v>
      </c>
      <c r="DJ129" s="377">
        <f>DJ85-DJ76</f>
        <v>35.9</v>
      </c>
      <c r="DK129" s="1273">
        <f>SUM(DG129:DJ129)</f>
        <v>216.79999999999995</v>
      </c>
      <c r="DL129" s="220"/>
      <c r="DM129" s="377">
        <f>DM85-DM76</f>
        <v>43.90000000000002</v>
      </c>
      <c r="DN129" s="377">
        <f>DN85-DN76</f>
        <v>24.500000000000043</v>
      </c>
      <c r="DO129" s="377">
        <f>DO85-DO76</f>
        <v>4.8999999999999062</v>
      </c>
      <c r="DP129" s="377">
        <f>DP85-DP76</f>
        <v>10.199999999999953</v>
      </c>
      <c r="DQ129" s="1273">
        <f>SUM(DM129:DP129)</f>
        <v>83.499999999999915</v>
      </c>
      <c r="DR129" s="220"/>
      <c r="DS129" s="377">
        <f>DS85-DS76</f>
        <v>-83.9</v>
      </c>
      <c r="DT129" s="377">
        <f>DT85-DT76</f>
        <v>-28.399999999999963</v>
      </c>
      <c r="DU129" s="377">
        <f>DU85-DU76</f>
        <v>-99.499999999999972</v>
      </c>
      <c r="DV129" s="377">
        <f>DV85-DV76</f>
        <v>-140.80000000000001</v>
      </c>
      <c r="DW129" s="1273">
        <f>SUM(DS129:DV129)</f>
        <v>-352.59999999999997</v>
      </c>
      <c r="DX129" s="220"/>
      <c r="DY129" s="377">
        <f>DY85-DY76</f>
        <v>-98.499999999999943</v>
      </c>
      <c r="DZ129" s="377">
        <f>DZ85-DZ76</f>
        <v>-87.600000000000065</v>
      </c>
      <c r="EA129" s="377">
        <f>EA85-EA76</f>
        <v>-91.30000000000004</v>
      </c>
      <c r="EB129" s="377">
        <f>EB85-EB76</f>
        <v>-79.600000000000051</v>
      </c>
      <c r="EC129" s="1273">
        <f>SUM(DY129:EB129)</f>
        <v>-357.00000000000011</v>
      </c>
      <c r="ED129" s="220"/>
      <c r="EE129" s="377">
        <f>EE85-EE76</f>
        <v>-35.058531686173069</v>
      </c>
      <c r="EF129" s="377">
        <f>EF85-EF76</f>
        <v>0.42164973080940626</v>
      </c>
      <c r="EG129" s="377">
        <f>EG85-EG76</f>
        <v>35.813165385433194</v>
      </c>
      <c r="EH129" s="377">
        <f>EH85-EH76</f>
        <v>65.027822301360288</v>
      </c>
      <c r="EI129" s="1273">
        <f>SUM(EE129:EH129)</f>
        <v>66.20410573142982</v>
      </c>
      <c r="EJ129" s="220"/>
      <c r="EK129" s="377">
        <f>EK85-EK76</f>
        <v>93.96362215434084</v>
      </c>
      <c r="EL129" s="377">
        <f>EL85-EL76</f>
        <v>140.48485701277298</v>
      </c>
      <c r="EM129" s="377">
        <f>EM85-EM76</f>
        <v>174.71695955781763</v>
      </c>
      <c r="EN129" s="377">
        <f>EN85-EN76</f>
        <v>232.12511664362876</v>
      </c>
      <c r="EO129" s="1273">
        <f>SUM(EK129:EN129)</f>
        <v>641.29055536856026</v>
      </c>
      <c r="EP129" s="220"/>
      <c r="EQ129" s="377">
        <f>EQ85-EQ76</f>
        <v>132.41571365966928</v>
      </c>
      <c r="ER129" s="377">
        <f>ER85-ER76</f>
        <v>228.45440091406829</v>
      </c>
      <c r="ES129" s="377">
        <f>ES85-ES76</f>
        <v>311.2808937328752</v>
      </c>
      <c r="ET129" s="377">
        <f>ET85-ET76</f>
        <v>436.95091346254833</v>
      </c>
      <c r="EU129" s="1273">
        <f>SUM(EQ129:ET129)</f>
        <v>1109.101921769161</v>
      </c>
      <c r="EV129" s="220"/>
    </row>
    <row r="130" spans="1:152" hidden="1" outlineLevel="1">
      <c r="A130" s="825" t="s">
        <v>3486</v>
      </c>
      <c r="B130" s="519"/>
      <c r="C130" s="451"/>
      <c r="D130" s="220"/>
      <c r="E130" s="220"/>
      <c r="F130" s="220"/>
      <c r="G130" s="220"/>
      <c r="H130" s="220"/>
      <c r="I130" s="451"/>
      <c r="J130" s="220"/>
      <c r="K130" s="220"/>
      <c r="L130" s="220"/>
      <c r="M130" s="220"/>
      <c r="N130" s="220"/>
      <c r="O130" s="451"/>
      <c r="P130" s="220"/>
      <c r="Q130" s="220"/>
      <c r="R130" s="220"/>
      <c r="S130" s="220"/>
      <c r="T130" s="220"/>
      <c r="U130" s="451"/>
      <c r="V130" s="220"/>
      <c r="W130" s="220"/>
      <c r="X130" s="220"/>
      <c r="Y130" s="220"/>
      <c r="Z130" s="220"/>
      <c r="AA130" s="451"/>
      <c r="AB130" s="220"/>
      <c r="AC130" s="220"/>
      <c r="AD130" s="220"/>
      <c r="AE130" s="220"/>
      <c r="AF130" s="220"/>
      <c r="AG130" s="451"/>
      <c r="AH130" s="220"/>
      <c r="AI130" s="220"/>
      <c r="AJ130" s="220"/>
      <c r="AK130" s="220"/>
      <c r="AL130" s="220"/>
      <c r="AM130" s="826">
        <f>AM129/AM31</f>
        <v>9.9116109311158385E-2</v>
      </c>
      <c r="AN130" s="826">
        <f>AN129/AN31</f>
        <v>6.6830336658767059E-2</v>
      </c>
      <c r="AO130" s="826">
        <f>AO129/AO31</f>
        <v>2.8833975442631329E-2</v>
      </c>
      <c r="AP130" s="826">
        <f>AP129/AP31</f>
        <v>4.3730436383723127E-2</v>
      </c>
      <c r="AQ130" s="826">
        <f>AQ129/AQ31</f>
        <v>6.1639260799204822E-2</v>
      </c>
      <c r="AR130" s="220"/>
      <c r="AS130" s="826">
        <f>AS129/AS31</f>
        <v>3.1347560802026893E-2</v>
      </c>
      <c r="AT130" s="826">
        <f>AT129/AT31</f>
        <v>6.5851066342315842E-2</v>
      </c>
      <c r="AU130" s="826">
        <f>AU129/AU31</f>
        <v>0.1194721673465548</v>
      </c>
      <c r="AV130" s="826">
        <f>AV129/AV31</f>
        <v>0.20633232873929111</v>
      </c>
      <c r="AW130" s="826">
        <f>AW129/AW31</f>
        <v>0.11498009232453771</v>
      </c>
      <c r="AX130" s="220"/>
      <c r="AY130" s="826">
        <f>AY129/AY31</f>
        <v>0.21029755934470087</v>
      </c>
      <c r="AZ130" s="826">
        <f>AZ129/AZ31</f>
        <v>0.19373219373219375</v>
      </c>
      <c r="BA130" s="826">
        <f>BA129/BA31</f>
        <v>0.19276708692767083</v>
      </c>
      <c r="BB130" s="826">
        <f>BB129/BB31</f>
        <v>0.25531319910514533</v>
      </c>
      <c r="BC130" s="826">
        <f>BC129/BC31</f>
        <v>0.21527161191379446</v>
      </c>
      <c r="BD130" s="220"/>
      <c r="BE130" s="826">
        <f>BE129/BE31</f>
        <v>0.26065162907268163</v>
      </c>
      <c r="BF130" s="826">
        <f>BF129/BF31</f>
        <v>0.24256900212314217</v>
      </c>
      <c r="BG130" s="826">
        <f>BG129/BG31</f>
        <v>0.24954128440366977</v>
      </c>
      <c r="BH130" s="826">
        <f>BH129/BH31</f>
        <v>0.25464506908051454</v>
      </c>
      <c r="BI130" s="826">
        <f>BI129/BI31</f>
        <v>0.2518214936247723</v>
      </c>
      <c r="BJ130" s="220"/>
      <c r="BK130" s="826">
        <f>BK129/BK31</f>
        <v>0.18273394495412842</v>
      </c>
      <c r="BL130" s="826">
        <f>BL129/BL31</f>
        <v>0.20885231316725983</v>
      </c>
      <c r="BM130" s="826">
        <f>BM129/BM31</f>
        <v>0.15805604203152357</v>
      </c>
      <c r="BN130" s="826">
        <f>BN129/BN31</f>
        <v>0.24889425010052271</v>
      </c>
      <c r="BO130" s="1274">
        <f>BO129/BO31</f>
        <v>0.2008761821937167</v>
      </c>
      <c r="BP130" s="220"/>
      <c r="BQ130" s="826">
        <f>BQ129/BQ31</f>
        <v>0.23082972866692891</v>
      </c>
      <c r="BR130" s="826">
        <f>BR129/BR31</f>
        <v>0.22741966153261081</v>
      </c>
      <c r="BS130" s="826">
        <f>BS129/BS31</f>
        <v>0.21080980683506678</v>
      </c>
      <c r="BT130" s="826">
        <f>BT129/BT31</f>
        <v>0.22433650475713576</v>
      </c>
      <c r="BU130" s="1274">
        <f>BU129/BU31</f>
        <v>0.22325046040515659</v>
      </c>
      <c r="BV130" s="220"/>
      <c r="BW130" s="826">
        <f>BW129/BW31</f>
        <v>0.21108884435537728</v>
      </c>
      <c r="BX130" s="826">
        <f>BX129/BX31</f>
        <v>0.23777239709443102</v>
      </c>
      <c r="BY130" s="826">
        <f>BY129/BY31</f>
        <v>0.25432383462362063</v>
      </c>
      <c r="BZ130" s="826">
        <f>BZ129/BZ31</f>
        <v>0.12045732952225395</v>
      </c>
      <c r="CA130" s="1274">
        <f>CA129/CA31</f>
        <v>0.21039219073946094</v>
      </c>
      <c r="CB130" s="220"/>
      <c r="CC130" s="826">
        <f>CC129/CC31</f>
        <v>7.7031470173790542E-2</v>
      </c>
      <c r="CD130" s="826">
        <f>CD129/CD31</f>
        <v>0.10629067245119295</v>
      </c>
      <c r="CE130" s="826">
        <f>CE129/CE31</f>
        <v>0.11105780762772841</v>
      </c>
      <c r="CF130" s="826">
        <f>CF129/CF31</f>
        <v>0.15369436527077382</v>
      </c>
      <c r="CG130" s="1274">
        <f>CG129/CG31</f>
        <v>0.11279687226469037</v>
      </c>
      <c r="CH130" s="220"/>
      <c r="CI130" s="826">
        <f>CI129/CI31</f>
        <v>0.15128529287821327</v>
      </c>
      <c r="CJ130" s="826">
        <f>CJ129/CJ31</f>
        <v>0.20156514382402699</v>
      </c>
      <c r="CK130" s="826">
        <f>CK129/CK31</f>
        <v>0.1747430249632892</v>
      </c>
      <c r="CL130" s="826">
        <f>CL129/CL31</f>
        <v>0.16619291263975747</v>
      </c>
      <c r="CM130" s="1274">
        <f>CM129/CM31</f>
        <v>0.17322471564709493</v>
      </c>
      <c r="CN130" s="220"/>
      <c r="CO130" s="826">
        <f>CO129/CO31</f>
        <v>0.17641491576755625</v>
      </c>
      <c r="CP130" s="826">
        <f>CP129/CP31</f>
        <v>0.204100311184331</v>
      </c>
      <c r="CQ130" s="826">
        <f>CQ129/CQ31</f>
        <v>0.19959897921983219</v>
      </c>
      <c r="CR130" s="826">
        <f>CR129/CR31</f>
        <v>0.18636056718433489</v>
      </c>
      <c r="CS130" s="1274">
        <f>CS129/CS31</f>
        <v>0.19164109044953959</v>
      </c>
      <c r="CT130" s="220"/>
      <c r="CU130" s="826">
        <f>CU129/CU31</f>
        <v>0.18960244648318042</v>
      </c>
      <c r="CV130" s="826">
        <f>CV129/CV31</f>
        <v>0.19455184534270648</v>
      </c>
      <c r="CW130" s="826">
        <f>CW129/CW31</f>
        <v>0.17007299270072992</v>
      </c>
      <c r="CX130" s="826">
        <f>CX129/CX31</f>
        <v>0.18929159802306411</v>
      </c>
      <c r="CY130" s="1274">
        <f>CY129/CY31</f>
        <v>0.18611087088125916</v>
      </c>
      <c r="CZ130" s="220"/>
      <c r="DA130" s="826">
        <f>DA129/DA31</f>
        <v>0.18390603085553983</v>
      </c>
      <c r="DB130" s="826">
        <f>DB129/DB31</f>
        <v>0.18800071212390967</v>
      </c>
      <c r="DC130" s="826">
        <f>DC129/DC31</f>
        <v>0.16336455331412106</v>
      </c>
      <c r="DD130" s="826">
        <f>DD129/DD31</f>
        <v>0.13399249914763015</v>
      </c>
      <c r="DE130" s="1274">
        <f>DE129/DE31</f>
        <v>0.16702581467962527</v>
      </c>
      <c r="DF130" s="220"/>
      <c r="DG130" s="826">
        <f>DG129/DG31</f>
        <v>0.11544303797468355</v>
      </c>
      <c r="DH130" s="826">
        <f>DH129/DH31</f>
        <v>0.11819180662376381</v>
      </c>
      <c r="DI130" s="826">
        <f>DI129/DI31</f>
        <v>6.0194174757281567E-2</v>
      </c>
      <c r="DJ130" s="826">
        <f>DJ129/DJ31</f>
        <v>5.4017454107733974E-2</v>
      </c>
      <c r="DK130" s="1274">
        <f>DK129/DK31</f>
        <v>8.6298861555608619E-2</v>
      </c>
      <c r="DL130" s="220"/>
      <c r="DM130" s="826">
        <f>DM129/DM31</f>
        <v>6.7904098994586271E-2</v>
      </c>
      <c r="DN130" s="826">
        <f>DN129/DN31</f>
        <v>4.0196882690730178E-2</v>
      </c>
      <c r="DO130" s="826">
        <f>DO129/DO31</f>
        <v>8.1693897965987097E-3</v>
      </c>
      <c r="DP130" s="826">
        <f>DP129/DP31</f>
        <v>1.5733456732993912E-2</v>
      </c>
      <c r="DQ130" s="1274">
        <f>DQ129/DQ31</f>
        <v>3.3345313685555655E-2</v>
      </c>
      <c r="DR130" s="220"/>
      <c r="DS130" s="826">
        <f>DS129/DS31</f>
        <v>-0.16389919906231687</v>
      </c>
      <c r="DT130" s="826">
        <f>DT129/DT31</f>
        <v>-5.1570728164154638E-2</v>
      </c>
      <c r="DU130" s="826">
        <f>DU129/DU31</f>
        <v>-0.20322712418300648</v>
      </c>
      <c r="DV130" s="826">
        <f>DV129/DV31</f>
        <v>-0.29406850459482042</v>
      </c>
      <c r="DW130" s="1274">
        <f>DW129/DW31</f>
        <v>-0.17360905957656328</v>
      </c>
      <c r="DX130" s="220"/>
      <c r="DY130" s="826">
        <f>DY129/DY31</f>
        <v>-0.20280008235536329</v>
      </c>
      <c r="DZ130" s="826">
        <f>DZ129/DZ31</f>
        <v>-0.17457154244719025</v>
      </c>
      <c r="EA130" s="826">
        <f>EA129/EA31</f>
        <v>-0.17717834271298283</v>
      </c>
      <c r="EB130" s="826">
        <f>EB129/EB31</f>
        <v>-0.14373420007222834</v>
      </c>
      <c r="EC130" s="1274">
        <f>EC129/EC31</f>
        <v>-0.17358747447243028</v>
      </c>
      <c r="ED130" s="220"/>
      <c r="EE130" s="826">
        <f>EE129/EE31</f>
        <v>-6.298427929111676E-2</v>
      </c>
      <c r="EF130" s="826">
        <f>EF129/EF31</f>
        <v>7.0917980784244181E-4</v>
      </c>
      <c r="EG130" s="826">
        <f>EG129/EG31</f>
        <v>5.6335331212895613E-2</v>
      </c>
      <c r="EH130" s="826">
        <f>EH129/EH31</f>
        <v>9.1243644979571867E-2</v>
      </c>
      <c r="EI130" s="1274">
        <f>EI129/EI31</f>
        <v>2.648608513342756E-2</v>
      </c>
      <c r="EJ130" s="220"/>
      <c r="EK130" s="826">
        <f>EK129/EK31</f>
        <v>0.13605613605447903</v>
      </c>
      <c r="EL130" s="826">
        <f>EL129/EL31</f>
        <v>0.19170374751426275</v>
      </c>
      <c r="EM130" s="826">
        <f>EM129/EM31</f>
        <v>0.2219846810863482</v>
      </c>
      <c r="EN130" s="826">
        <f>EN129/EN31</f>
        <v>0.25931335562053004</v>
      </c>
      <c r="EO130" s="1274">
        <f>EO129/EO31</f>
        <v>0.2064904289941038</v>
      </c>
      <c r="EP130" s="220"/>
      <c r="EQ130" s="826">
        <f>EQ129/EQ31</f>
        <v>0.17239291310547386</v>
      </c>
      <c r="ER130" s="826">
        <f>ER129/ER31</f>
        <v>0.26382178657205524</v>
      </c>
      <c r="ES130" s="826">
        <f>ES129/ES31</f>
        <v>0.3218107113229115</v>
      </c>
      <c r="ET130" s="826">
        <f>ET129/ET31</f>
        <v>0.38478492021244703</v>
      </c>
      <c r="EU130" s="1274">
        <f>EU129/EU31</f>
        <v>0.29679751622002232</v>
      </c>
      <c r="EV130" s="220"/>
    </row>
    <row r="131" spans="1:152" hidden="1" outlineLevel="1">
      <c r="A131" s="450" t="s">
        <v>6058</v>
      </c>
      <c r="B131" s="519"/>
      <c r="C131" s="451"/>
      <c r="D131" s="220"/>
      <c r="E131" s="220"/>
      <c r="F131" s="220"/>
      <c r="G131" s="220"/>
      <c r="H131" s="220"/>
      <c r="I131" s="451"/>
      <c r="J131" s="220"/>
      <c r="K131" s="220"/>
      <c r="L131" s="220"/>
      <c r="M131" s="220"/>
      <c r="N131" s="220"/>
      <c r="O131" s="451"/>
      <c r="P131" s="220"/>
      <c r="Q131" s="220"/>
      <c r="R131" s="220"/>
      <c r="S131" s="220"/>
      <c r="T131" s="220"/>
      <c r="U131" s="451"/>
      <c r="V131" s="220"/>
      <c r="W131" s="220"/>
      <c r="X131" s="220"/>
      <c r="Y131" s="220"/>
      <c r="Z131" s="220"/>
      <c r="AA131" s="451"/>
      <c r="AB131" s="220"/>
      <c r="AC131" s="220"/>
      <c r="AD131" s="220"/>
      <c r="AE131" s="220"/>
      <c r="AF131" s="220"/>
      <c r="AG131" s="451"/>
      <c r="AH131" s="220"/>
      <c r="AI131" s="220"/>
      <c r="AJ131" s="220"/>
      <c r="AK131" s="220"/>
      <c r="AL131" s="220"/>
      <c r="AM131" s="377">
        <f>(AM129+AM93)-AM321</f>
        <v>18.712000000000018</v>
      </c>
      <c r="AN131" s="377">
        <f>(AN129+AN93)-AN321</f>
        <v>14.474000000000014</v>
      </c>
      <c r="AO131" s="377">
        <f>(AO129+AO93)-AO321</f>
        <v>5.7819999999999734</v>
      </c>
      <c r="AP131" s="377">
        <f>(AP129+AP93)-AP321</f>
        <v>7.9290000000000109</v>
      </c>
      <c r="AQ131" s="377">
        <f>(AQ129+AQ93)-AQ321</f>
        <v>46.89700000000002</v>
      </c>
      <c r="AR131" s="220"/>
      <c r="AS131" s="377">
        <f>(AS129+AS93)-AS321</f>
        <v>7.5079999999999991</v>
      </c>
      <c r="AT131" s="377">
        <f>(AT129+AT93)-AT321</f>
        <v>12.927999999999974</v>
      </c>
      <c r="AU131" s="377">
        <f>(AU129+AU93)-AU321</f>
        <v>22.605999999999998</v>
      </c>
      <c r="AV131" s="377">
        <f>(AV129+AV93)-AV321</f>
        <v>53.005000000000067</v>
      </c>
      <c r="AW131" s="377">
        <f>(AW129+AW93)-AW321</f>
        <v>96.047000000000054</v>
      </c>
      <c r="AX131" s="220"/>
      <c r="AY131" s="377">
        <f>(AY129+AY93)-AY321</f>
        <v>51.816000000000031</v>
      </c>
      <c r="AZ131" s="377">
        <f>(AZ129+AZ93)-AZ321</f>
        <v>45.600000000000009</v>
      </c>
      <c r="BA131" s="377">
        <f>(BA129+BA93)-BA321</f>
        <v>48.29999999999999</v>
      </c>
      <c r="BB131" s="377">
        <f>(BB129+BB93)-BB321</f>
        <v>75.899999999999949</v>
      </c>
      <c r="BC131" s="377">
        <f>(BC129+BC93)-BC321</f>
        <v>221.61599999999999</v>
      </c>
      <c r="BD131" s="220"/>
      <c r="BE131" s="377">
        <f>(BE129+BE93)-BE321</f>
        <v>76.299999999999969</v>
      </c>
      <c r="BF131" s="377">
        <f>(BF129+BF93)-BF321</f>
        <v>74.399999999999963</v>
      </c>
      <c r="BG131" s="377">
        <f>(BG129+BG93)-BG321</f>
        <v>77.90000000000002</v>
      </c>
      <c r="BH131" s="377">
        <f>(BH129+BH93)-BH321</f>
        <v>91</v>
      </c>
      <c r="BI131" s="377">
        <f>(BI129+BI93)-BI321</f>
        <v>319.59999999999991</v>
      </c>
      <c r="BJ131" s="220"/>
      <c r="BK131" s="377">
        <f>(BK129+BK93)-BK321</f>
        <v>58.872</v>
      </c>
      <c r="BL131" s="377">
        <f>(BL129+BL93)-BL321</f>
        <v>75.000000000000014</v>
      </c>
      <c r="BM131" s="377">
        <f>(BM129+BM93)-BM321</f>
        <v>52.099999999999973</v>
      </c>
      <c r="BN131" s="377">
        <f>(BN129+BN93)-BN321</f>
        <v>95.000000000000014</v>
      </c>
      <c r="BO131" s="1273">
        <f>(BO129+BO93)-BO321</f>
        <v>280.97200000000004</v>
      </c>
      <c r="BP131" s="220"/>
      <c r="BQ131" s="377">
        <f>(BQ129+BQ93)-BQ321</f>
        <v>92.000000000000043</v>
      </c>
      <c r="BR131" s="377">
        <f>(BR129+BR93)-BR321</f>
        <v>87.300000000000054</v>
      </c>
      <c r="BS131" s="377">
        <f>(BS129+BS93)-BS321</f>
        <v>79.799999999999955</v>
      </c>
      <c r="BT131" s="377">
        <f>(BT129+BT93)-BT321</f>
        <v>98.000000000000043</v>
      </c>
      <c r="BU131" s="1273">
        <f>(BU129+BU93)-BU321</f>
        <v>357.1</v>
      </c>
      <c r="BV131" s="220"/>
      <c r="BW131" s="377">
        <f>(BW129+BW93)-BW321</f>
        <v>98.39936908517339</v>
      </c>
      <c r="BX131" s="377">
        <f>(BX129+BX93)-BX321</f>
        <v>113.64644284572344</v>
      </c>
      <c r="BY131" s="377">
        <f>(BY129+BY93)-BY321</f>
        <v>112.73678414096925</v>
      </c>
      <c r="BZ131" s="377">
        <f>(BZ129+BZ93)-BZ321</f>
        <v>55.778539823008842</v>
      </c>
      <c r="CA131" s="1273">
        <f>(CA129+CA93)-CA321</f>
        <v>380.56113589487495</v>
      </c>
      <c r="CB131" s="220"/>
      <c r="CC131" s="377">
        <f>(CC129+CC93)-CC321</f>
        <v>3.8432989690721691</v>
      </c>
      <c r="CD131" s="377">
        <f>(CD129+CD93)-CD321</f>
        <v>40.088059701492504</v>
      </c>
      <c r="CE131" s="377">
        <f>(CE129+CE93)-CE321</f>
        <v>35.167187499999976</v>
      </c>
      <c r="CF131" s="377">
        <f>(CF129+CF93)-CF321</f>
        <v>53.768994889267397</v>
      </c>
      <c r="CG131" s="1273">
        <f>(CG129+CG93)-CG321</f>
        <v>132.86754105983204</v>
      </c>
      <c r="CH131" s="220"/>
      <c r="CI131" s="377">
        <f>(CI129+CI93)-CI321</f>
        <v>48.782911392405083</v>
      </c>
      <c r="CJ131" s="377">
        <f>(CJ129+CJ93)-CJ321</f>
        <v>69.256570713391696</v>
      </c>
      <c r="CK131" s="377">
        <f>(CK129+CK93)-CK321</f>
        <v>62.291492329149193</v>
      </c>
      <c r="CL131" s="377">
        <f>(CL129+CL93)-CL321</f>
        <v>67.173424657534269</v>
      </c>
      <c r="CM131" s="1273">
        <f>(CM129+CM93)-CM321</f>
        <v>247.50439909248021</v>
      </c>
      <c r="CN131" s="220"/>
      <c r="CO131" s="377">
        <f>(CO129+CO93)-CO321</f>
        <v>72.458934911242565</v>
      </c>
      <c r="CP131" s="377">
        <f>(CP129+CP93)-CP321</f>
        <v>82.865605095541412</v>
      </c>
      <c r="CQ131" s="377">
        <f>(CQ129+CQ93)-CQ321</f>
        <v>81.687294633077684</v>
      </c>
      <c r="CR131" s="377">
        <f>(CR129+CR93)-CR321</f>
        <v>82.849192680301371</v>
      </c>
      <c r="CS131" s="1273">
        <f>(CS129+CS93)-CS321</f>
        <v>319.86102732016309</v>
      </c>
      <c r="CT131" s="220"/>
      <c r="CU131" s="377">
        <f>(CU129+CU93)-CU321</f>
        <v>82.8716923076923</v>
      </c>
      <c r="CV131" s="377">
        <f>(CV129+CV93)-CV321</f>
        <v>87.35841889117043</v>
      </c>
      <c r="CW131" s="377">
        <f>(CW129+CW93)-CW321</f>
        <v>63.443401759530794</v>
      </c>
      <c r="CX131" s="377">
        <f>(CX129+CX93)-CX321</f>
        <v>88.434722222222149</v>
      </c>
      <c r="CY131" s="1273">
        <f>(CY129+CY93)-CY321</f>
        <v>322.10823518061568</v>
      </c>
      <c r="CZ131" s="220"/>
      <c r="DA131" s="377">
        <f>(DA129+DA93)-DA321</f>
        <v>71.752054794520475</v>
      </c>
      <c r="DB131" s="377">
        <f>(DB129+DB93)-DB321</f>
        <v>78.244444444444525</v>
      </c>
      <c r="DC131" s="377">
        <f>(DC129+DC93)-DC321</f>
        <v>68.020174165457206</v>
      </c>
      <c r="DD131" s="377">
        <f>(DD129+DD93)-DD321</f>
        <v>58.617338003502461</v>
      </c>
      <c r="DE131" s="1273">
        <f>(DE129+DE93)-DE321</f>
        <v>276.63401140792462</v>
      </c>
      <c r="DF131" s="220"/>
      <c r="DG131" s="377">
        <f>(DG129+DG93)-DG321</f>
        <v>47.089887640449447</v>
      </c>
      <c r="DH131" s="377">
        <f>(DH129+DH93)-DH321</f>
        <v>52.193073593073521</v>
      </c>
      <c r="DI131" s="377">
        <f>(DI129+DI93)-DI321</f>
        <v>17.943965517241388</v>
      </c>
      <c r="DJ131" s="377">
        <f>(DJ129+DJ93)-DJ321</f>
        <v>-96.493023255813995</v>
      </c>
      <c r="DK131" s="1273">
        <f>(DK129+DK93)-DK321</f>
        <v>20.733903494950397</v>
      </c>
      <c r="DL131" s="220"/>
      <c r="DM131" s="377">
        <f>(DM129+DM93)-DM321</f>
        <v>25.117431192660561</v>
      </c>
      <c r="DN131" s="377">
        <f>(DN129+DN93)-DN321</f>
        <v>68.966666666663826</v>
      </c>
      <c r="DO131" s="377">
        <f>(DO129+DO93)-DO321</f>
        <v>-64.834821428571317</v>
      </c>
      <c r="DP131" s="377">
        <f>(DP129+DP93)-DP321</f>
        <v>-39.873684210526292</v>
      </c>
      <c r="DQ131" s="1273">
        <f>(DQ129+DQ93)-DQ321</f>
        <v>-11.853747779773194</v>
      </c>
      <c r="DR131" s="220"/>
      <c r="DS131" s="377">
        <f>(DS129+DS93)-DS321</f>
        <v>-85.061947616201223</v>
      </c>
      <c r="DT131" s="377">
        <f>(DT129+DT93)-DT321</f>
        <v>-57.202328767123255</v>
      </c>
      <c r="DU131" s="377">
        <f>(DU129+DU93)-DU321</f>
        <v>-101.50951276102086</v>
      </c>
      <c r="DV131" s="377">
        <f>(DV129+DV93)-DV321</f>
        <v>-121.01087990487517</v>
      </c>
      <c r="DW131" s="1273">
        <f>(DW129+DW93)-DW321</f>
        <v>-364.7846690492205</v>
      </c>
      <c r="DX131" s="220"/>
      <c r="DY131" s="377">
        <f>(DY129+DY93)-DY321</f>
        <v>-97.785172981878034</v>
      </c>
      <c r="DZ131" s="377">
        <f>(DZ129+DZ93)-DZ321</f>
        <v>-92.187341772151967</v>
      </c>
      <c r="EA131" s="377">
        <f>(EA129+EA93)-EA321</f>
        <v>-96.53471223021586</v>
      </c>
      <c r="EB131" s="377">
        <f>(EB129+EB93)-EB321</f>
        <v>-74.233585476550743</v>
      </c>
      <c r="EC131" s="1273">
        <f>(EC129+EC93)-EC321</f>
        <v>-360.74081246079658</v>
      </c>
      <c r="ED131" s="220"/>
      <c r="EE131" s="377">
        <f>(EE129+EE93)-EE321</f>
        <v>-62.641060665800197</v>
      </c>
      <c r="EF131" s="377">
        <f>(EF129+EF93)-EF321</f>
        <v>-84.532113718044386</v>
      </c>
      <c r="EG131" s="377">
        <f>(EG129+EG93)-EG321</f>
        <v>78.33501396220089</v>
      </c>
      <c r="EH131" s="377">
        <f>(EH129+EH93)-EH321</f>
        <v>98.948886064101814</v>
      </c>
      <c r="EI131" s="1273">
        <f>(EI129+EI93)-EI321</f>
        <v>30.110725642458121</v>
      </c>
      <c r="EJ131" s="220"/>
      <c r="EK131" s="377">
        <f>(EK129+EK93)-EK321</f>
        <v>44.794988277331186</v>
      </c>
      <c r="EL131" s="377">
        <f>(EL129+EL93)-EL321</f>
        <v>83.175007035537732</v>
      </c>
      <c r="EM131" s="377">
        <f>(EM129+EM93)-EM321</f>
        <v>137.03649163519955</v>
      </c>
      <c r="EN131" s="377">
        <f>(EN129+EN93)-EN321</f>
        <v>184.39822123099373</v>
      </c>
      <c r="EO131" s="1273">
        <f>(EO129+EO93)-EO321</f>
        <v>449.40470817906225</v>
      </c>
      <c r="EP131" s="220"/>
      <c r="EQ131" s="377">
        <f>(EQ129+EQ93)-EQ321</f>
        <v>76.517963769227151</v>
      </c>
      <c r="ER131" s="377">
        <f>(ER129+ER93)-ER321</f>
        <v>155.74988075410636</v>
      </c>
      <c r="ES131" s="377">
        <f>(ES129+ES93)-ES321</f>
        <v>249.70173732962206</v>
      </c>
      <c r="ET131" s="377">
        <f>(ET129+ET93)-ET321</f>
        <v>353.37950360660238</v>
      </c>
      <c r="EU131" s="1273">
        <f>(EU129+EU93)-EU321</f>
        <v>835.34908545955784</v>
      </c>
      <c r="EV131" s="220"/>
    </row>
    <row r="132" spans="1:152" collapsed="1">
      <c r="A132" s="131" t="s">
        <v>1370</v>
      </c>
      <c r="B132" s="519"/>
      <c r="C132" s="519"/>
      <c r="D132" s="1357"/>
      <c r="E132" s="1357"/>
      <c r="F132" s="1357"/>
      <c r="G132" s="1357"/>
      <c r="H132" s="1357"/>
      <c r="I132" s="519"/>
      <c r="J132" s="1357"/>
      <c r="K132" s="1357"/>
      <c r="L132" s="1357"/>
      <c r="M132" s="1357"/>
      <c r="N132" s="1357"/>
      <c r="O132" s="519"/>
      <c r="P132" s="1357"/>
      <c r="Q132" s="1357"/>
      <c r="R132" s="1357"/>
      <c r="S132" s="1357"/>
      <c r="T132" s="1357"/>
      <c r="U132" s="519"/>
      <c r="V132" s="1357"/>
      <c r="W132" s="1357"/>
      <c r="X132" s="1357"/>
      <c r="Y132" s="1357"/>
      <c r="Z132" s="1357"/>
      <c r="AA132" s="519"/>
      <c r="AB132" s="1357"/>
      <c r="AC132" s="1357"/>
      <c r="AD132" s="1357"/>
      <c r="AE132" s="1357"/>
      <c r="AF132" s="1357"/>
      <c r="AG132" s="519"/>
      <c r="AH132" s="1357"/>
      <c r="AI132" s="1357"/>
      <c r="AJ132" s="1357"/>
      <c r="AK132" s="1357"/>
      <c r="AL132" s="1357"/>
      <c r="AM132" s="1358">
        <f>AM131/AM153</f>
        <v>7.9018935490954623E-2</v>
      </c>
      <c r="AN132" s="1358">
        <f>AN131/AN153</f>
        <v>6.3329964252742357E-2</v>
      </c>
      <c r="AO132" s="1358">
        <f>AO131/AO153</f>
        <v>2.5458356082354274E-2</v>
      </c>
      <c r="AP132" s="1358">
        <f>AP131/AP153</f>
        <v>3.4727119037503931E-2</v>
      </c>
      <c r="AQ132" s="1358">
        <f>AQ131/AQ153</f>
        <v>0.20372461967523617</v>
      </c>
      <c r="AR132" s="1357"/>
      <c r="AS132" s="1358">
        <f>AS131/AS153</f>
        <v>3.3090633429120463E-2</v>
      </c>
      <c r="AT132" s="1358">
        <f>AT131/AT153</f>
        <v>5.6971619954168759E-2</v>
      </c>
      <c r="AU132" s="1358">
        <f>AU131/AU153</f>
        <v>9.9004957693183598E-2</v>
      </c>
      <c r="AV132" s="1358">
        <f>AV131/AV153</f>
        <v>0.22115456828859228</v>
      </c>
      <c r="AW132" s="1358">
        <f>AW131/AW153</f>
        <v>0.41524141389686325</v>
      </c>
      <c r="AX132" s="1357"/>
      <c r="AY132" s="1358">
        <f>AY131/AY153</f>
        <v>0.21716680637049468</v>
      </c>
      <c r="AZ132" s="1358">
        <f>AZ131/AZ153</f>
        <v>0.18195820547710162</v>
      </c>
      <c r="BA132" s="1358">
        <f>BA131/BA153</f>
        <v>0.19472351679540723</v>
      </c>
      <c r="BB132" s="1358">
        <f>BB131/BB153</f>
        <v>0.30035615354174894</v>
      </c>
      <c r="BC132" s="1358">
        <f>BC131/BC153</f>
        <v>0.89731432481567097</v>
      </c>
      <c r="BD132" s="102"/>
      <c r="BE132" s="1358">
        <f>BE131/BE153</f>
        <v>0.30605695948656225</v>
      </c>
      <c r="BF132" s="1358">
        <f>BF131/BF153</f>
        <v>0.29724330803036342</v>
      </c>
      <c r="BG132" s="1358">
        <f>BG131/BG153</f>
        <v>0.31222444889779566</v>
      </c>
      <c r="BH132" s="1358">
        <f>BH131/BH153</f>
        <v>0.36560867818400966</v>
      </c>
      <c r="BI132" s="1358">
        <f>BI131/BI153</f>
        <v>1.280961923847695</v>
      </c>
      <c r="BJ132" s="102"/>
      <c r="BK132" s="1358">
        <f>BK131/BK153</f>
        <v>0.23844471445929524</v>
      </c>
      <c r="BL132" s="1358">
        <f>BL131/BL153</f>
        <v>0.30662305805396572</v>
      </c>
      <c r="BM132" s="1358">
        <f>BM131/BM153</f>
        <v>0.21413892314015606</v>
      </c>
      <c r="BN132" s="1358">
        <f>BN131/BN153</f>
        <v>0.38712306438467814</v>
      </c>
      <c r="BO132" s="1359">
        <f>BO131/BO153</f>
        <v>1.1554455282680574</v>
      </c>
      <c r="BP132" s="102"/>
      <c r="BQ132" s="1358">
        <f>BQ131/BQ153</f>
        <v>0.37535699714402304</v>
      </c>
      <c r="BR132" s="1358">
        <f>BR131/BR153</f>
        <v>0.35734752353663551</v>
      </c>
      <c r="BS132" s="1358">
        <f>BS131/BS153</f>
        <v>0.33079639854748027</v>
      </c>
      <c r="BT132" s="1358">
        <f>BT131/BT153</f>
        <v>0.40935672514619897</v>
      </c>
      <c r="BU132" s="1359">
        <f>BU131/BU153</f>
        <v>1.4725226692617595</v>
      </c>
      <c r="BV132" s="102"/>
      <c r="BW132" s="1358">
        <f>BW131/BW153</f>
        <v>0.42249621762633488</v>
      </c>
      <c r="BX132" s="1358">
        <f>BX131/BX153</f>
        <v>0.4918098773821975</v>
      </c>
      <c r="BY132" s="1358">
        <f>BY131/BY153</f>
        <v>0.48930895894517901</v>
      </c>
      <c r="BZ132" s="1358">
        <f>BZ131/BZ153</f>
        <v>0.24346809176346068</v>
      </c>
      <c r="CA132" s="1359">
        <f>CA131/CA153</f>
        <v>1.6483820335508801</v>
      </c>
      <c r="CB132" s="102"/>
      <c r="CC132" s="1358">
        <f>CC131/CC153</f>
        <v>1.6768320109389917E-2</v>
      </c>
      <c r="CD132" s="1358">
        <f>CD131/CD153</f>
        <v>0.17257020964912828</v>
      </c>
      <c r="CE132" s="1358">
        <f>CE131/CE153</f>
        <v>0.15041568648417439</v>
      </c>
      <c r="CF132" s="1358">
        <f>CF131/CF153</f>
        <v>0.23057030398485162</v>
      </c>
      <c r="CG132" s="1359">
        <f>CG131/CG153</f>
        <v>0.57239651506658928</v>
      </c>
      <c r="CH132" s="102"/>
      <c r="CI132" s="1358">
        <f>CI131/CI153</f>
        <v>0.20794079877410521</v>
      </c>
      <c r="CJ132" s="1358">
        <f>CJ131/CJ153</f>
        <v>0.29622143162271897</v>
      </c>
      <c r="CK132" s="1358">
        <f>CK131/CK153</f>
        <v>0.26803568127861099</v>
      </c>
      <c r="CL132" s="1358">
        <f>CL131/CL153</f>
        <v>0.28584436024482668</v>
      </c>
      <c r="CM132" s="1359">
        <f>CM131/CM153</f>
        <v>1.0579371621820057</v>
      </c>
      <c r="CN132" s="102"/>
      <c r="CO132" s="1358">
        <f>CO131/CO153</f>
        <v>0.30560495534054227</v>
      </c>
      <c r="CP132" s="1358">
        <f>CP131/CP153</f>
        <v>0.35023501730998063</v>
      </c>
      <c r="CQ132" s="1358">
        <f>CQ131/CQ153</f>
        <v>0.35408450209396486</v>
      </c>
      <c r="CR132" s="1358">
        <f>CR131/CR153</f>
        <v>0.35787988198834286</v>
      </c>
      <c r="CS132" s="1359">
        <f>CS131/CS153</f>
        <v>1.3670735220436503</v>
      </c>
      <c r="CT132" s="102"/>
      <c r="CU132" s="1358">
        <f>CU131/CU153</f>
        <v>0.35400124864456345</v>
      </c>
      <c r="CV132" s="1358">
        <f>CV131/CV153</f>
        <v>0.37638267510198375</v>
      </c>
      <c r="CW132" s="1358">
        <f>CW131/CW153</f>
        <v>0.27524252390251969</v>
      </c>
      <c r="CX132" s="1358">
        <f>CX131/CX153</f>
        <v>0.38516865079365048</v>
      </c>
      <c r="CY132" s="1359">
        <f>CY131/CY153</f>
        <v>1.3909456339441462</v>
      </c>
      <c r="CZ132" s="102"/>
      <c r="DA132" s="1358">
        <f>DA131/DA153</f>
        <v>0.31291781419328596</v>
      </c>
      <c r="DB132" s="1358">
        <f>DB131/DB153</f>
        <v>0.34272643208254278</v>
      </c>
      <c r="DC132" s="1358">
        <f>DC131/DC153</f>
        <v>0.29872715926858678</v>
      </c>
      <c r="DD132" s="1358">
        <f>DD131/DD153</f>
        <v>0.25364490698183673</v>
      </c>
      <c r="DE132" s="1359">
        <f>DE131/DE153</f>
        <v>1.2074814989433638</v>
      </c>
      <c r="DF132" s="102"/>
      <c r="DG132" s="1358">
        <f>DG131/DG153</f>
        <v>0.20332421260988537</v>
      </c>
      <c r="DH132" s="1358">
        <f>DH131/DH153</f>
        <v>0.22458293284455044</v>
      </c>
      <c r="DI132" s="1358">
        <f>DI131/DI153</f>
        <v>7.7511730096075107E-2</v>
      </c>
      <c r="DJ132" s="1358">
        <f>DJ131/DJ153</f>
        <v>-0.41555996234200687</v>
      </c>
      <c r="DK132" s="1359">
        <f>DK131/DK153</f>
        <v>8.9399174280264726E-2</v>
      </c>
      <c r="DL132" s="102"/>
      <c r="DM132" s="1358">
        <f>DM131/DM153</f>
        <v>0.10840496846206545</v>
      </c>
      <c r="DN132" s="1358">
        <f>DN131/DN153</f>
        <v>0.29842780902926797</v>
      </c>
      <c r="DO132" s="1358">
        <f>DO131/DO153</f>
        <v>-0.28349287900555892</v>
      </c>
      <c r="DP132" s="1358">
        <f>DP131/DP153</f>
        <v>-0.17404488961382059</v>
      </c>
      <c r="DQ132" s="1359">
        <f>DQ131/DQ153</f>
        <v>-5.1504443970337578E-2</v>
      </c>
      <c r="DR132" s="102"/>
      <c r="DS132" s="1358">
        <f>DS131/DS153</f>
        <v>-0.37906393768360613</v>
      </c>
      <c r="DT132" s="1358">
        <f>DT131/DT153</f>
        <v>-0.25154937892314533</v>
      </c>
      <c r="DU132" s="1358">
        <f>DU131/DU153</f>
        <v>-0.45663298587953599</v>
      </c>
      <c r="DV132" s="1358">
        <f>DV131/DV153</f>
        <v>-0.54731288966474523</v>
      </c>
      <c r="DW132" s="1359">
        <f>DW131/DW153</f>
        <v>-1.6299583067436125</v>
      </c>
      <c r="DX132" s="102"/>
      <c r="DY132" s="1358">
        <f>DY131/DY153</f>
        <v>-0.44468018636597556</v>
      </c>
      <c r="DZ132" s="1358">
        <f>DZ131/DZ153</f>
        <v>-0.41998788962256023</v>
      </c>
      <c r="EA132" s="1358">
        <f>EA131/EA153</f>
        <v>-0.43959340724142015</v>
      </c>
      <c r="EB132" s="1358">
        <f>EB131/EB153</f>
        <v>-0.33881143531059216</v>
      </c>
      <c r="EC132" s="1359">
        <f>EC131/EC153</f>
        <v>-1.6432789543824009</v>
      </c>
      <c r="ED132" s="102"/>
      <c r="EE132" s="1358">
        <f>EE131/EE153</f>
        <v>-0.28621629392278319</v>
      </c>
      <c r="EF132" s="1358">
        <f>EF131/EF153</f>
        <v>-0.38713303955779971</v>
      </c>
      <c r="EG132" s="1358">
        <f>EG131/EG153</f>
        <v>0.35958371468480099</v>
      </c>
      <c r="EH132" s="1358">
        <f>EH131/EH153</f>
        <v>0.45526358422945179</v>
      </c>
      <c r="EI132" s="1359">
        <f>EI131/EI153</f>
        <v>0.13805820733142568</v>
      </c>
      <c r="EJ132" s="102"/>
      <c r="EK132" s="1358">
        <f>EK131/EK153</f>
        <v>0.2078202283175746</v>
      </c>
      <c r="EL132" s="1358">
        <f>EL131/EL153</f>
        <v>0.38860367476751928</v>
      </c>
      <c r="EM132" s="1358">
        <f>EM131/EM153</f>
        <v>0.6432790521063908</v>
      </c>
      <c r="EN132" s="1358">
        <f>EN131/EN153</f>
        <v>0.86971856410605419</v>
      </c>
      <c r="EO132" s="1359">
        <f>EO131/EO153</f>
        <v>2.1033859207778391</v>
      </c>
      <c r="EP132" s="102"/>
      <c r="EQ132" s="1358">
        <f>EQ131/EQ153</f>
        <v>0.36309056776536425</v>
      </c>
      <c r="ER132" s="1358">
        <f>ER131/ER153</f>
        <v>0.74082575815849039</v>
      </c>
      <c r="ES132" s="1358">
        <f>ES131/ES153</f>
        <v>1.190554237208548</v>
      </c>
      <c r="ET132" s="1358">
        <f>ET131/ET153</f>
        <v>1.6889264610058148</v>
      </c>
      <c r="EU132" s="1359">
        <f>EU131/EU153</f>
        <v>3.9780998233552864</v>
      </c>
      <c r="EV132" s="220"/>
    </row>
    <row r="133" spans="1:152">
      <c r="A133" s="100" t="s">
        <v>3487</v>
      </c>
      <c r="B133" s="519"/>
      <c r="C133" s="519"/>
      <c r="D133" s="1357"/>
      <c r="E133" s="1357"/>
      <c r="F133" s="1357"/>
      <c r="G133" s="1357"/>
      <c r="H133" s="1357"/>
      <c r="I133" s="519"/>
      <c r="J133" s="1357"/>
      <c r="K133" s="1357"/>
      <c r="L133" s="1357"/>
      <c r="M133" s="1357"/>
      <c r="N133" s="1357"/>
      <c r="O133" s="519"/>
      <c r="P133" s="1357"/>
      <c r="Q133" s="1357"/>
      <c r="R133" s="1357"/>
      <c r="S133" s="1357"/>
      <c r="T133" s="1357"/>
      <c r="U133" s="519"/>
      <c r="V133" s="1357"/>
      <c r="W133" s="1357"/>
      <c r="X133" s="1357"/>
      <c r="Y133" s="1357"/>
      <c r="Z133" s="1357"/>
      <c r="AA133" s="519"/>
      <c r="AB133" s="1357"/>
      <c r="AC133" s="1357"/>
      <c r="AD133" s="1357"/>
      <c r="AE133" s="1357"/>
      <c r="AF133" s="1357"/>
      <c r="AG133" s="519"/>
      <c r="AH133" s="1357"/>
      <c r="AI133" s="1357"/>
      <c r="AJ133" s="1357"/>
      <c r="AK133" s="1357"/>
      <c r="AL133" s="1357"/>
      <c r="AM133" s="1357"/>
      <c r="AN133" s="1357"/>
      <c r="AO133" s="1357"/>
      <c r="AP133" s="1357"/>
      <c r="AQ133" s="1357"/>
      <c r="AR133" s="1357"/>
      <c r="AS133" s="785">
        <f>AS132/AM132-1</f>
        <v>-0.58123159691377535</v>
      </c>
      <c r="AT133" s="785">
        <f>AT132/AN132-1</f>
        <v>-0.10040025087016002</v>
      </c>
      <c r="AU133" s="785">
        <f>AU132/AO132-1</f>
        <v>2.8888983001461761</v>
      </c>
      <c r="AV133" s="785">
        <f>AV132/AP132-1</f>
        <v>5.368353448777424</v>
      </c>
      <c r="AW133" s="785">
        <f>AW132/AQ132-1</f>
        <v>1.0382485659259673</v>
      </c>
      <c r="AX133" s="1357"/>
      <c r="AY133" s="785">
        <f>AY132/AS132-1</f>
        <v>5.562787830449424</v>
      </c>
      <c r="AZ133" s="785">
        <f>AZ132/AT132-1</f>
        <v>2.1938394173007412</v>
      </c>
      <c r="BA133" s="785">
        <f>BA132/AU132-1</f>
        <v>0.96680571693041362</v>
      </c>
      <c r="BB133" s="785">
        <f>BB132/AV132-1</f>
        <v>0.35812773783539376</v>
      </c>
      <c r="BC133" s="785">
        <f>BC132/AW132-1</f>
        <v>1.160946126241984</v>
      </c>
      <c r="BD133" s="102"/>
      <c r="BE133" s="785">
        <f>BE132/AY132-1</f>
        <v>0.4093174026071813</v>
      </c>
      <c r="BF133" s="785">
        <f>BF132/AZ132-1</f>
        <v>0.63358012490274729</v>
      </c>
      <c r="BG133" s="785">
        <f>BG132/BA132-1</f>
        <v>0.60342445553633217</v>
      </c>
      <c r="BH133" s="785">
        <f>BH132/BB132-1</f>
        <v>0.21725050035703952</v>
      </c>
      <c r="BI133" s="785">
        <f>BI132/BC132-1</f>
        <v>0.42755095781050212</v>
      </c>
      <c r="BJ133" s="102"/>
      <c r="BK133" s="785">
        <f>BK132/BE132-1</f>
        <v>-0.22091392772342955</v>
      </c>
      <c r="BL133" s="785">
        <f>BL132/BF132-1</f>
        <v>3.155579880252235E-2</v>
      </c>
      <c r="BM133" s="785">
        <f>BM132/BG132-1</f>
        <v>-0.31415068904404464</v>
      </c>
      <c r="BN133" s="785">
        <f>BN132/BH132-1</f>
        <v>5.884539258622401E-2</v>
      </c>
      <c r="BO133" s="1154">
        <f>BO132/BI132-1</f>
        <v>-9.798604723754567E-2</v>
      </c>
      <c r="BP133" s="102"/>
      <c r="BQ133" s="785">
        <f>BQ132/BK132-1</f>
        <v>0.57418879254754884</v>
      </c>
      <c r="BR133" s="785">
        <f>BR132/BL132-1</f>
        <v>0.16542939009414703</v>
      </c>
      <c r="BS133" s="785">
        <f>BS132/BM132-1</f>
        <v>0.54477473640310925</v>
      </c>
      <c r="BT133" s="785">
        <f>BT132/BN132-1</f>
        <v>5.7433056325023379E-2</v>
      </c>
      <c r="BU133" s="1154">
        <f>BU132/BO132-1</f>
        <v>0.27441980884116757</v>
      </c>
      <c r="BV133" s="102"/>
      <c r="BW133" s="785">
        <f>BW132/BQ132-1</f>
        <v>0.12558503195885473</v>
      </c>
      <c r="BX133" s="785">
        <f>BX132/BR132-1</f>
        <v>0.37627895812681289</v>
      </c>
      <c r="BY133" s="785">
        <f>BY132/BS132-1</f>
        <v>0.47918466190600584</v>
      </c>
      <c r="BZ133" s="785">
        <f>BZ132/BT132-1</f>
        <v>-0.40524223297783202</v>
      </c>
      <c r="CA133" s="1154">
        <f>CA132/BU132-1</f>
        <v>0.11942727128084663</v>
      </c>
      <c r="CB133" s="102"/>
      <c r="CC133" s="785">
        <f>CC132/BW132-1</f>
        <v>-0.96031131307258188</v>
      </c>
      <c r="CD133" s="785">
        <f>CD132/BX132-1</f>
        <v>-0.6491119483657305</v>
      </c>
      <c r="CE133" s="785">
        <f>CE132/BY132-1</f>
        <v>-0.69259568267780969</v>
      </c>
      <c r="CF133" s="785">
        <f>CF132/BZ132-1</f>
        <v>-5.2975269511455259E-2</v>
      </c>
      <c r="CG133" s="1154">
        <f>CG132/CA132-1</f>
        <v>-0.65275251524456679</v>
      </c>
      <c r="CH133" s="102"/>
      <c r="CI133" s="785">
        <f>CI132/CC132-1</f>
        <v>11.400812807578895</v>
      </c>
      <c r="CJ133" s="785">
        <f>CJ132/CD132-1</f>
        <v>0.71652704267439771</v>
      </c>
      <c r="CK133" s="785">
        <f>CK132/CE132-1</f>
        <v>0.781966279872091</v>
      </c>
      <c r="CL133" s="785">
        <f>CL132/CF132-1</f>
        <v>0.23972755946753033</v>
      </c>
      <c r="CM133" s="1154">
        <f>CM132/CG132-1</f>
        <v>0.84825926492395132</v>
      </c>
      <c r="CN133" s="102"/>
      <c r="CO133" s="785">
        <f>CO132/CI132-1</f>
        <v>0.46967289316096994</v>
      </c>
      <c r="CP133" s="785">
        <f>CP132/CJ132-1</f>
        <v>0.18234192371352731</v>
      </c>
      <c r="CQ133" s="785">
        <f>CQ132/CK132-1</f>
        <v>0.32103494730580295</v>
      </c>
      <c r="CR133" s="785">
        <f>CR132/CL132-1</f>
        <v>0.25200959599768735</v>
      </c>
      <c r="CS133" s="1154">
        <f>CS132/CM132-1</f>
        <v>0.29220673109171047</v>
      </c>
      <c r="CT133" s="102"/>
      <c r="CU133" s="785">
        <f>CU132/CO132-1</f>
        <v>0.1583622662469335</v>
      </c>
      <c r="CV133" s="785">
        <f>CV132/CP132-1</f>
        <v>7.4657462845471922E-2</v>
      </c>
      <c r="CW133" s="785">
        <f>CW132/CQ132-1</f>
        <v>-0.22266430110663971</v>
      </c>
      <c r="CX133" s="785">
        <f>CX132/CR132-1</f>
        <v>7.6251195383473691E-2</v>
      </c>
      <c r="CY133" s="1154">
        <f>CY132/CS132-1</f>
        <v>1.7462200470980793E-2</v>
      </c>
      <c r="CZ133" s="102"/>
      <c r="DA133" s="785">
        <f>DA132/CU132-1</f>
        <v>-0.11605449022731418</v>
      </c>
      <c r="DB133" s="785">
        <f>DB132/CV132-1</f>
        <v>-8.9420276877307248E-2</v>
      </c>
      <c r="DC133" s="785">
        <f>DC132/CW132-1</f>
        <v>8.5323426893093135E-2</v>
      </c>
      <c r="DD133" s="785">
        <f>DD132/CX132-1</f>
        <v>-0.34147053126157989</v>
      </c>
      <c r="DE133" s="1154">
        <f>DE132/CY132-1</f>
        <v>-0.13189885393331591</v>
      </c>
      <c r="DF133" s="102"/>
      <c r="DG133" s="785">
        <f>DG132/DA132-1</f>
        <v>-0.35023126396922166</v>
      </c>
      <c r="DH133" s="785">
        <f>DH132/DB132-1</f>
        <v>-0.34471662579423834</v>
      </c>
      <c r="DI133" s="785">
        <f>DI132/DC132-1</f>
        <v>-0.74052667227895408</v>
      </c>
      <c r="DJ133" s="785">
        <f>DJ132/DD132-1</f>
        <v>-2.6383532683026223</v>
      </c>
      <c r="DK133" s="1154">
        <f>DK132/DE132-1</f>
        <v>-0.92596228235505418</v>
      </c>
      <c r="DL133" s="102"/>
      <c r="DM133" s="785">
        <f>DM132/DG132-1</f>
        <v>-0.46683689526903427</v>
      </c>
      <c r="DN133" s="785">
        <f>DN132/DH132-1</f>
        <v>0.32880894041859676</v>
      </c>
      <c r="DO133" s="785">
        <f>DO132/DI132-1</f>
        <v>-4.6574190597238889</v>
      </c>
      <c r="DP133" s="785">
        <f>DP132/DJ132-1</f>
        <v>-0.58117984073118856</v>
      </c>
      <c r="DQ133" s="1154">
        <f>DQ132/DK132-1</f>
        <v>-1.5761176698217829</v>
      </c>
      <c r="DR133" s="102"/>
      <c r="DS133" s="785">
        <f>DS132/DM132-1</f>
        <v>-4.4967395227484737</v>
      </c>
      <c r="DT133" s="785">
        <f>DT132/DN132-1</f>
        <v>-1.8429153427135034</v>
      </c>
      <c r="DU133" s="785">
        <f>DU132/DO132-1</f>
        <v>0.61073882166395443</v>
      </c>
      <c r="DV133" s="785">
        <f>DV132/DP132-1</f>
        <v>2.1446650969135042</v>
      </c>
      <c r="DW133" s="1154">
        <f>DW132/DQ132-1</f>
        <v>30.646945022498205</v>
      </c>
      <c r="DX133" s="102"/>
      <c r="DY133" s="785">
        <f>DY132/DS132-1</f>
        <v>0.17310074148266108</v>
      </c>
      <c r="DZ133" s="785">
        <f>DZ132/DT132-1</f>
        <v>0.66960416050511151</v>
      </c>
      <c r="EA133" s="785">
        <f>EA132/DU132-1</f>
        <v>-3.7315698088028704E-2</v>
      </c>
      <c r="EB133" s="785">
        <f>EB132/DV132-1</f>
        <v>-0.38095476699236874</v>
      </c>
      <c r="EC133" s="1154">
        <f>EC132/DW132-1</f>
        <v>8.1723855043880356E-3</v>
      </c>
      <c r="ED133" s="102"/>
      <c r="EE133" s="785">
        <f>EE132/DY132-1</f>
        <v>-0.35635474055679028</v>
      </c>
      <c r="EF133" s="785">
        <f>EF132/DZ132-1</f>
        <v>-7.822808913439605E-2</v>
      </c>
      <c r="EG133" s="785">
        <f>EG132/EA132-1</f>
        <v>-1.8179916003319889</v>
      </c>
      <c r="EH133" s="785">
        <f>EH132/EB132-1</f>
        <v>-2.3437078468502888</v>
      </c>
      <c r="EI133" s="1154">
        <f>EI132/EC132-1</f>
        <v>-1.0840138595843654</v>
      </c>
      <c r="EJ133" s="102"/>
      <c r="EK133" s="785">
        <f>EK132/EE132-1</f>
        <v>-1.7260950292845361</v>
      </c>
      <c r="EL133" s="785">
        <f>EL132/EF132-1</f>
        <v>-2.0037987850672714</v>
      </c>
      <c r="EM133" s="785">
        <f>EM132/EG132-1</f>
        <v>0.78895491045879984</v>
      </c>
      <c r="EN133" s="785">
        <f>EN132/EH132-1</f>
        <v>0.91036268709714774</v>
      </c>
      <c r="EO133" s="1154">
        <f>EO132/EI132-1</f>
        <v>14.235500745916561</v>
      </c>
      <c r="EP133" s="102"/>
      <c r="EQ133" s="785">
        <f>EQ132/EK132-1</f>
        <v>0.74713775797858162</v>
      </c>
      <c r="ER133" s="785">
        <f>ER132/EL132-1</f>
        <v>0.90637867385501858</v>
      </c>
      <c r="ES133" s="785">
        <f>ES132/EM132-1</f>
        <v>0.85075859894726413</v>
      </c>
      <c r="ET133" s="785">
        <f>ET132/EN132-1</f>
        <v>0.94192297452198082</v>
      </c>
      <c r="EU133" s="1154">
        <f>EU132/EO132-1</f>
        <v>0.89128385050907433</v>
      </c>
      <c r="EV133" s="220"/>
    </row>
    <row r="134" spans="1:152" ht="7.5" customHeight="1">
      <c r="A134" s="450"/>
      <c r="B134" s="519"/>
      <c r="C134" s="451"/>
      <c r="D134" s="220"/>
      <c r="E134" s="220"/>
      <c r="F134" s="220"/>
      <c r="G134" s="220"/>
      <c r="H134" s="220"/>
      <c r="I134" s="451"/>
      <c r="J134" s="220"/>
      <c r="K134" s="220"/>
      <c r="L134" s="220"/>
      <c r="M134" s="220"/>
      <c r="N134" s="220"/>
      <c r="O134" s="451"/>
      <c r="P134" s="220"/>
      <c r="Q134" s="220"/>
      <c r="R134" s="220"/>
      <c r="S134" s="220"/>
      <c r="T134" s="220"/>
      <c r="U134" s="451"/>
      <c r="V134" s="220"/>
      <c r="W134" s="220"/>
      <c r="X134" s="220"/>
      <c r="Y134" s="220"/>
      <c r="Z134" s="220"/>
      <c r="AA134" s="451"/>
      <c r="AB134" s="220"/>
      <c r="AC134" s="220"/>
      <c r="AD134" s="220"/>
      <c r="AE134" s="220"/>
      <c r="AF134" s="220"/>
      <c r="AG134" s="451"/>
      <c r="AH134" s="220"/>
      <c r="AI134" s="220"/>
      <c r="AJ134" s="220"/>
      <c r="AK134" s="220"/>
      <c r="AL134" s="220"/>
      <c r="AM134" s="220"/>
      <c r="AN134" s="220"/>
      <c r="AO134" s="220"/>
      <c r="AP134" s="220"/>
      <c r="AQ134" s="220"/>
      <c r="AR134" s="220"/>
      <c r="AS134" s="220"/>
      <c r="AT134" s="220"/>
      <c r="AU134" s="220"/>
      <c r="AV134" s="220"/>
      <c r="AW134" s="220"/>
      <c r="AX134" s="220"/>
      <c r="AY134" s="220"/>
      <c r="AZ134" s="220"/>
      <c r="BA134" s="220"/>
      <c r="BB134" s="220"/>
      <c r="BC134" s="220"/>
      <c r="BD134" s="220"/>
      <c r="BE134" s="220"/>
      <c r="BF134" s="220"/>
      <c r="BG134" s="220"/>
      <c r="BH134" s="220"/>
      <c r="BI134" s="220"/>
      <c r="BJ134" s="220"/>
      <c r="BK134" s="220"/>
      <c r="BL134" s="220"/>
      <c r="BM134" s="220"/>
      <c r="BN134" s="220"/>
      <c r="BO134" s="1272"/>
      <c r="BP134" s="220"/>
      <c r="BQ134" s="220"/>
      <c r="BR134" s="220"/>
      <c r="BS134" s="220"/>
      <c r="BT134" s="220"/>
      <c r="BU134" s="1272"/>
      <c r="BV134" s="220"/>
      <c r="BW134" s="220"/>
      <c r="BX134" s="220"/>
      <c r="BY134" s="220"/>
      <c r="BZ134" s="220"/>
      <c r="CA134" s="1272"/>
      <c r="CB134" s="220"/>
      <c r="CC134" s="220"/>
      <c r="CD134" s="220"/>
      <c r="CE134" s="220"/>
      <c r="CF134" s="220"/>
      <c r="CG134" s="1272"/>
      <c r="CH134" s="220"/>
      <c r="CI134" s="220"/>
      <c r="CJ134" s="220"/>
      <c r="CK134" s="220"/>
      <c r="CL134" s="220"/>
      <c r="CM134" s="1272"/>
      <c r="CN134" s="220"/>
      <c r="CO134" s="220"/>
      <c r="CP134" s="220"/>
      <c r="CQ134" s="220"/>
      <c r="CR134" s="220"/>
      <c r="CS134" s="1272"/>
      <c r="CT134" s="220"/>
      <c r="CU134" s="220"/>
      <c r="CV134" s="220"/>
      <c r="CW134" s="220"/>
      <c r="CX134" s="220"/>
      <c r="CY134" s="1272"/>
      <c r="CZ134" s="220"/>
      <c r="DA134" s="220"/>
      <c r="DB134" s="220"/>
      <c r="DC134" s="220"/>
      <c r="DD134" s="220"/>
      <c r="DE134" s="1272"/>
      <c r="DF134" s="220"/>
      <c r="DG134" s="220"/>
      <c r="DH134" s="220"/>
      <c r="DI134" s="220"/>
      <c r="DJ134" s="220"/>
      <c r="DK134" s="1272"/>
      <c r="DL134" s="220"/>
      <c r="DM134" s="220"/>
      <c r="DN134" s="220"/>
      <c r="DO134" s="220"/>
      <c r="DP134" s="220"/>
      <c r="DQ134" s="1272"/>
      <c r="DR134" s="220"/>
      <c r="DS134" s="220"/>
      <c r="DT134" s="220"/>
      <c r="DU134" s="220"/>
      <c r="DV134" s="220"/>
      <c r="DW134" s="1272"/>
      <c r="DX134" s="220"/>
      <c r="DY134" s="220"/>
      <c r="DZ134" s="220"/>
      <c r="EA134" s="220"/>
      <c r="EB134" s="220"/>
      <c r="EC134" s="1272"/>
      <c r="ED134" s="220"/>
      <c r="EE134" s="220"/>
      <c r="EF134" s="220"/>
      <c r="EG134" s="220"/>
      <c r="EH134" s="220"/>
      <c r="EI134" s="1272"/>
      <c r="EJ134" s="220"/>
      <c r="EK134" s="220"/>
      <c r="EL134" s="220"/>
      <c r="EM134" s="220"/>
      <c r="EN134" s="220"/>
      <c r="EO134" s="1272"/>
      <c r="EP134" s="220"/>
      <c r="EQ134" s="220"/>
      <c r="ER134" s="220"/>
      <c r="ES134" s="220"/>
      <c r="ET134" s="220"/>
      <c r="EU134" s="1272"/>
      <c r="EV134" s="220"/>
    </row>
    <row r="135" spans="1:152" hidden="1" outlineLevel="1">
      <c r="A135" s="452" t="s">
        <v>5246</v>
      </c>
      <c r="B135" s="520"/>
      <c r="C135" s="176"/>
      <c r="D135" s="176"/>
      <c r="E135" s="176"/>
      <c r="F135" s="176"/>
      <c r="G135" s="176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6"/>
      <c r="W135" s="176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176"/>
      <c r="AH135" s="176"/>
      <c r="AI135" s="176"/>
      <c r="AJ135" s="176"/>
      <c r="AK135" s="176"/>
      <c r="AL135" s="176"/>
      <c r="AM135" s="176"/>
      <c r="AN135" s="176"/>
      <c r="AO135" s="176"/>
      <c r="AP135" s="176"/>
      <c r="AQ135" s="176"/>
      <c r="AR135" s="176"/>
      <c r="AS135" s="176"/>
      <c r="AT135" s="176"/>
      <c r="AU135" s="176"/>
      <c r="AV135" s="176"/>
      <c r="AW135" s="176"/>
      <c r="AX135" s="176"/>
      <c r="AY135" s="176"/>
      <c r="AZ135" s="176"/>
      <c r="BA135" s="176"/>
      <c r="BB135" s="176"/>
      <c r="BC135" s="176"/>
      <c r="BD135" s="176"/>
      <c r="BE135" s="176"/>
      <c r="BF135" s="176"/>
      <c r="BG135" s="176"/>
      <c r="BH135" s="176"/>
      <c r="BI135" s="176"/>
      <c r="BJ135" s="176"/>
      <c r="BK135" s="176"/>
      <c r="BL135" s="176"/>
      <c r="BM135" s="176"/>
      <c r="BN135" s="176"/>
      <c r="BO135" s="1277"/>
      <c r="BP135" s="176"/>
      <c r="BQ135" s="176"/>
      <c r="BR135" s="176"/>
      <c r="BS135" s="176"/>
      <c r="BT135" s="176"/>
      <c r="BU135" s="1277"/>
      <c r="BV135" s="176"/>
      <c r="BW135" s="176"/>
      <c r="BX135" s="176"/>
      <c r="BY135" s="176"/>
      <c r="BZ135" s="176"/>
      <c r="CA135" s="1277"/>
      <c r="CB135" s="176"/>
      <c r="CC135" s="176"/>
      <c r="CD135" s="176"/>
      <c r="CE135" s="176"/>
      <c r="CF135" s="428"/>
      <c r="CG135" s="1277"/>
      <c r="CH135" s="176"/>
      <c r="CI135" s="176"/>
      <c r="CJ135" s="223"/>
      <c r="CK135" s="223"/>
      <c r="CL135" s="176"/>
      <c r="CM135" s="1277"/>
      <c r="CN135" s="176"/>
      <c r="CO135" s="176"/>
      <c r="CP135" s="223"/>
      <c r="CQ135" s="176"/>
      <c r="CR135" s="176"/>
      <c r="CS135" s="1277"/>
      <c r="CT135" s="176"/>
      <c r="CU135" s="176"/>
      <c r="CV135" s="176"/>
      <c r="CW135" s="176"/>
      <c r="CX135" s="176"/>
      <c r="CY135" s="1277"/>
      <c r="CZ135" s="176"/>
      <c r="DA135" s="176"/>
      <c r="DB135" s="176"/>
      <c r="DC135" s="176"/>
      <c r="DD135" s="176"/>
      <c r="DE135" s="1277"/>
      <c r="DF135" s="176"/>
      <c r="DG135" s="176"/>
      <c r="DH135" s="176"/>
      <c r="DI135" s="176"/>
      <c r="DJ135" s="176"/>
      <c r="DK135" s="1277"/>
      <c r="DL135" s="176"/>
      <c r="DM135" s="176"/>
      <c r="DN135" s="176"/>
      <c r="DO135" s="176"/>
      <c r="DP135" s="176"/>
      <c r="DQ135" s="1277"/>
      <c r="DR135" s="176"/>
      <c r="DS135" s="176"/>
      <c r="DT135" s="176"/>
      <c r="DU135" s="176"/>
      <c r="DV135" s="176"/>
      <c r="DW135" s="1277"/>
      <c r="DX135" s="176"/>
      <c r="DY135" s="176"/>
      <c r="DZ135" s="176"/>
      <c r="EA135" s="176"/>
      <c r="EB135" s="176"/>
      <c r="EC135" s="1277"/>
      <c r="ED135" s="176"/>
      <c r="EE135" s="176"/>
      <c r="EF135" s="176"/>
      <c r="EG135" s="176"/>
      <c r="EH135" s="176"/>
      <c r="EI135" s="1277"/>
      <c r="EJ135" s="176"/>
      <c r="EK135" s="176"/>
      <c r="EL135" s="176"/>
      <c r="EM135" s="176"/>
      <c r="EN135" s="176"/>
      <c r="EO135" s="1277"/>
      <c r="EP135" s="176"/>
      <c r="EQ135" s="176"/>
      <c r="ER135" s="176"/>
      <c r="ES135" s="176"/>
      <c r="ET135" s="176"/>
      <c r="EU135" s="1277"/>
      <c r="EV135" s="176"/>
    </row>
    <row r="136" spans="1:152" hidden="1" outlineLevel="1">
      <c r="A136" s="447" t="s">
        <v>5247</v>
      </c>
      <c r="B136" s="593"/>
      <c r="C136" s="223">
        <f>C85-C70</f>
        <v>28.100000000000023</v>
      </c>
      <c r="D136" s="223">
        <f>D85-D70</f>
        <v>17.099999999999998</v>
      </c>
      <c r="E136" s="223">
        <f>E85-E70</f>
        <v>7.4999999999999858</v>
      </c>
      <c r="F136" s="223">
        <f>F85-F70</f>
        <v>7.1000000000000085</v>
      </c>
      <c r="G136" s="223">
        <f>G85-G70</f>
        <v>59.899999999999963</v>
      </c>
      <c r="H136" s="223"/>
      <c r="I136" s="223">
        <f>I85-I70</f>
        <v>-11.999999999999996</v>
      </c>
      <c r="J136" s="223">
        <f>J85-J70</f>
        <v>26.7</v>
      </c>
      <c r="K136" s="223">
        <f>K85-K70</f>
        <v>35.299999999999997</v>
      </c>
      <c r="L136" s="223">
        <f>L85-L70</f>
        <v>53.500000000000021</v>
      </c>
      <c r="M136" s="223">
        <f>M85-M70</f>
        <v>103.50000000000003</v>
      </c>
      <c r="N136" s="223"/>
      <c r="O136" s="223">
        <f>O85-O70</f>
        <v>42.689000000000028</v>
      </c>
      <c r="P136" s="223">
        <f>P85-P70</f>
        <v>40.888000000000005</v>
      </c>
      <c r="Q136" s="223">
        <f>Q85-Q70</f>
        <v>25.193000000000012</v>
      </c>
      <c r="R136" s="223">
        <f>R85-R70</f>
        <v>33.317000000000007</v>
      </c>
      <c r="S136" s="223">
        <f>S85-S70</f>
        <v>142.08699999999993</v>
      </c>
      <c r="T136" s="223"/>
      <c r="U136" s="223">
        <f>U85-U70</f>
        <v>-20.208999999999996</v>
      </c>
      <c r="V136" s="223">
        <f>V85-V70</f>
        <v>-5.2480000000000127</v>
      </c>
      <c r="W136" s="223">
        <f>W85-W70</f>
        <v>-4.4349999999999774</v>
      </c>
      <c r="X136" s="223">
        <f>X85-X70</f>
        <v>30.656000000000013</v>
      </c>
      <c r="Y136" s="223">
        <f>Y85-Y70</f>
        <v>0.76400000000008106</v>
      </c>
      <c r="Z136" s="223"/>
      <c r="AA136" s="223">
        <f>AA85-AA70</f>
        <v>37.982999999999976</v>
      </c>
      <c r="AB136" s="223">
        <f>AB85-AB70</f>
        <v>34.000000000000021</v>
      </c>
      <c r="AC136" s="223">
        <f>AC85-AC70</f>
        <v>29.520000000000007</v>
      </c>
      <c r="AD136" s="223">
        <f>AD85-AD70</f>
        <v>38.510999999999996</v>
      </c>
      <c r="AE136" s="223">
        <f>AE85-AE70</f>
        <v>140.01399999999995</v>
      </c>
      <c r="AF136" s="223"/>
      <c r="AG136" s="223">
        <f>AG85-AG70</f>
        <v>36.600999999999956</v>
      </c>
      <c r="AH136" s="223">
        <f>AH85-AH70</f>
        <v>19.387999999999984</v>
      </c>
      <c r="AI136" s="223">
        <f>AI85-AI70</f>
        <v>22.292999999999992</v>
      </c>
      <c r="AJ136" s="223">
        <f>AJ85-AJ70</f>
        <v>29.35300000000003</v>
      </c>
      <c r="AK136" s="223">
        <f>AK85-AK70</f>
        <v>107.6350000000001</v>
      </c>
      <c r="AL136" s="223"/>
      <c r="AM136" s="223">
        <f>AM85-AM70</f>
        <v>21.188000000000017</v>
      </c>
      <c r="AN136" s="223">
        <f>AN85-AN70</f>
        <v>10.393000000000015</v>
      </c>
      <c r="AO136" s="223">
        <f>AO85-AO70</f>
        <v>-7.8450000000000255</v>
      </c>
      <c r="AP136" s="223">
        <f>AP85-AP70</f>
        <v>1.2260000000000115</v>
      </c>
      <c r="AQ136" s="223">
        <f>AQ85-AQ70</f>
        <v>24.962000000000046</v>
      </c>
      <c r="AR136" s="223"/>
      <c r="AS136" s="223">
        <f>AS85-AS70</f>
        <v>6.6069999999999993</v>
      </c>
      <c r="AT136" s="223">
        <f>AT85-AT70</f>
        <v>13.940999999999974</v>
      </c>
      <c r="AU136" s="223">
        <f>AU85-AU70</f>
        <v>27.939999999999998</v>
      </c>
      <c r="AV136" s="223">
        <f>AV85-AV70</f>
        <v>57.749000000000073</v>
      </c>
      <c r="AW136" s="223">
        <f>AW85-AW70</f>
        <v>106.23700000000008</v>
      </c>
      <c r="AX136" s="223"/>
      <c r="AY136" s="223">
        <f>AY85-AY70-AY66</f>
        <v>53.200000000000038</v>
      </c>
      <c r="AZ136" s="223">
        <f>AZ85-AZ70-AZ66</f>
        <v>49.2</v>
      </c>
      <c r="BA136" s="223">
        <f>BA85-BA70-BA66</f>
        <v>52.077999999999996</v>
      </c>
      <c r="BB136" s="223">
        <f>BB85-BB70-BB66</f>
        <v>77.288999999999945</v>
      </c>
      <c r="BC136" s="223">
        <f>BC85-BC70</f>
        <v>239.96700000000016</v>
      </c>
      <c r="BD136" s="223"/>
      <c r="BE136" s="223">
        <f>BE85-BE70-BE66</f>
        <v>93.599999999999966</v>
      </c>
      <c r="BF136" s="223">
        <f>BF85-BF70-BF66</f>
        <v>91.399999999999963</v>
      </c>
      <c r="BG136" s="223">
        <f>BG85-BG70-BG66</f>
        <v>95.200000000000017</v>
      </c>
      <c r="BH136" s="223">
        <f>BH85-BH70-BH66</f>
        <v>98.300000000000011</v>
      </c>
      <c r="BI136" s="223">
        <f>SUM(BE136:BH136)</f>
        <v>378.49999999999994</v>
      </c>
      <c r="BJ136" s="223"/>
      <c r="BK136" s="223">
        <f>BK85-BK70-BK66</f>
        <v>59.306999999999981</v>
      </c>
      <c r="BL136" s="223">
        <f>BL85-BL70-BL66</f>
        <v>102.10000000000002</v>
      </c>
      <c r="BM136" s="223">
        <f>BM85-BM70-BM66</f>
        <v>68.59999999999998</v>
      </c>
      <c r="BN136" s="223">
        <f>BN85-BN70-BN66</f>
        <v>119.7</v>
      </c>
      <c r="BO136" s="1278">
        <f>SUM(BK136:BN136)</f>
        <v>349.70699999999999</v>
      </c>
      <c r="BP136" s="223"/>
      <c r="BQ136" s="223">
        <f>BQ85-BQ70-BQ66</f>
        <v>101.40000000000005</v>
      </c>
      <c r="BR136" s="223">
        <f>BR85-BR70-BR66</f>
        <v>114.50000000000006</v>
      </c>
      <c r="BS136" s="223">
        <f>BS85-BS70-BS66</f>
        <v>105.59999999999995</v>
      </c>
      <c r="BT136" s="223">
        <f>BT85-BT70-BT66</f>
        <v>124.10000000000001</v>
      </c>
      <c r="BU136" s="1278">
        <f>SUM(BQ136:BT136)</f>
        <v>445.60000000000008</v>
      </c>
      <c r="BV136" s="223"/>
      <c r="BW136" s="223">
        <f>BW85-BW70-BW66</f>
        <v>119.89999999999991</v>
      </c>
      <c r="BX136" s="223">
        <f>BX85-BX70-BX66</f>
        <v>118.8</v>
      </c>
      <c r="BY136" s="223">
        <f>BY85-BY70-BY66</f>
        <v>139.60000000000008</v>
      </c>
      <c r="BZ136" s="223">
        <f>BZ85-BZ70-BZ66</f>
        <v>-133.80000000000001</v>
      </c>
      <c r="CA136" s="1278">
        <f>SUM(BW136:BZ136)</f>
        <v>244.49999999999994</v>
      </c>
      <c r="CB136" s="223"/>
      <c r="CC136" s="223">
        <f>CC85-CC70-CC66</f>
        <v>-19.399999999999991</v>
      </c>
      <c r="CD136" s="223">
        <f>CD85-CD70-CD66</f>
        <v>2.6999999999999567</v>
      </c>
      <c r="CE136" s="223">
        <f>CE85-CE70-CE66</f>
        <v>26.299999999999965</v>
      </c>
      <c r="CF136" s="223">
        <f>CF85-CF70-CF66</f>
        <v>56.099999999999945</v>
      </c>
      <c r="CG136" s="1278">
        <f>SUM(CC136:CF136)</f>
        <v>65.699999999999875</v>
      </c>
      <c r="CH136" s="223"/>
      <c r="CI136" s="223">
        <f>CI85-CI70-CI66</f>
        <v>50.800000000000026</v>
      </c>
      <c r="CJ136" s="223">
        <f>CJ85-CJ70-CJ66</f>
        <v>79.799999999999955</v>
      </c>
      <c r="CK136" s="223">
        <f>CK85-CK70-CK66</f>
        <v>69.19999999999996</v>
      </c>
      <c r="CL136" s="223">
        <f>CL85-CL70-CL66</f>
        <v>71.600000000000023</v>
      </c>
      <c r="CM136" s="1278">
        <f>SUM(CI136:CL136)</f>
        <v>271.39999999999998</v>
      </c>
      <c r="CN136" s="223"/>
      <c r="CO136" s="223">
        <f>CO85-CO70-CO66</f>
        <v>78.599999999999966</v>
      </c>
      <c r="CP136" s="223">
        <f>CP85-CP70-CP66</f>
        <v>95.000000000000014</v>
      </c>
      <c r="CQ136" s="223">
        <f>CQ85-CQ70-CQ66</f>
        <v>90.199999999999903</v>
      </c>
      <c r="CR136" s="223">
        <f>CR85-CR70-CR66</f>
        <v>91.799999999999983</v>
      </c>
      <c r="CS136" s="1278">
        <f>SUM(CO136:CR136)</f>
        <v>355.5999999999998</v>
      </c>
      <c r="CT136" s="223"/>
      <c r="CU136" s="223">
        <f>CU85-CU70-CU66</f>
        <v>94</v>
      </c>
      <c r="CV136" s="223">
        <f>CV85-CV70-CV66</f>
        <v>93.199999999999989</v>
      </c>
      <c r="CW136" s="223">
        <f>CW85-CW70-CW66</f>
        <v>34.299999999999997</v>
      </c>
      <c r="CX136" s="223">
        <f>CX85-CX70-CX66</f>
        <v>84.699999999999918</v>
      </c>
      <c r="CY136" s="1278">
        <f>SUM(CU136:CX136)</f>
        <v>306.19999999999993</v>
      </c>
      <c r="CZ136" s="223"/>
      <c r="DA136" s="223">
        <f>DA85-DA70-DA66</f>
        <v>80.699999999999918</v>
      </c>
      <c r="DB136" s="223">
        <f>DB85-DB70-DB66</f>
        <v>85.300000000000082</v>
      </c>
      <c r="DC136" s="223">
        <f>DC85-DC70-DC66</f>
        <v>68.100000000000023</v>
      </c>
      <c r="DD136" s="223">
        <f>DD85-DD70-DD66</f>
        <v>51.699999999999811</v>
      </c>
      <c r="DE136" s="1278">
        <f>SUM(DA136:DD136)</f>
        <v>285.79999999999984</v>
      </c>
      <c r="DF136" s="223"/>
      <c r="DG136" s="223">
        <f>DG85-DG70-DG66</f>
        <v>42.199999999999996</v>
      </c>
      <c r="DH136" s="223">
        <f>DH85-DH70-DH66</f>
        <v>49.899999999999906</v>
      </c>
      <c r="DI136" s="223">
        <f>DI85-DI70-DI66</f>
        <v>14.600000000000009</v>
      </c>
      <c r="DJ136" s="223">
        <f>DJ85-DJ70-DJ66</f>
        <v>14</v>
      </c>
      <c r="DK136" s="1278">
        <f>SUM(DG136:DJ136)</f>
        <v>120.69999999999992</v>
      </c>
      <c r="DL136" s="223"/>
      <c r="DM136" s="223">
        <f>DM85-DM70-DM66</f>
        <v>21.500000000000014</v>
      </c>
      <c r="DN136" s="223">
        <f>DN85-DN70-DN66</f>
        <v>4.3000000000000398</v>
      </c>
      <c r="DO136" s="223">
        <f>DO85-DO70-DO66</f>
        <v>-14.800000000000097</v>
      </c>
      <c r="DP136" s="223">
        <f>DP85-DP70-DP66</f>
        <v>-9.7000000000000455</v>
      </c>
      <c r="DQ136" s="1278">
        <f>SUM(DM136:DP136)</f>
        <v>1.2999999999999119</v>
      </c>
      <c r="DR136" s="223"/>
      <c r="DS136" s="223">
        <f>DS85-DS70-DS66</f>
        <v>-154.5</v>
      </c>
      <c r="DT136" s="223">
        <f>DT85-DT70-DT66</f>
        <v>-62.899999999999963</v>
      </c>
      <c r="DU136" s="223">
        <f>DU85-DU70-DU66</f>
        <v>-119.89999999999998</v>
      </c>
      <c r="DV136" s="223">
        <f>DV85-DV70-DV66</f>
        <v>-167.1</v>
      </c>
      <c r="DW136" s="1278">
        <f>SUM(DS136:DV136)</f>
        <v>-504.4</v>
      </c>
      <c r="DX136" s="223"/>
      <c r="DY136" s="223">
        <f>DY85-DY70-DY66</f>
        <v>-119.59999999999994</v>
      </c>
      <c r="DZ136" s="223">
        <f>DZ85-DZ70-DZ66</f>
        <v>-107.60000000000007</v>
      </c>
      <c r="EA136" s="223">
        <f>EA85-EA70-EA66</f>
        <v>-100.00000000000004</v>
      </c>
      <c r="EB136" s="223">
        <f>EB85-EB70-EB66</f>
        <v>-181.90000000000006</v>
      </c>
      <c r="EC136" s="1278">
        <f>SUM(DY136:EB136)</f>
        <v>-509.10000000000014</v>
      </c>
      <c r="ED136" s="223"/>
      <c r="EE136" s="223">
        <f>EE85-EE70-EE66</f>
        <v>-64.958531686173075</v>
      </c>
      <c r="EF136" s="223">
        <f>EF85-EF70-EF66</f>
        <v>-15.978350269190592</v>
      </c>
      <c r="EG136" s="223">
        <f>EG85-EG70-EG66</f>
        <v>21.613165385433192</v>
      </c>
      <c r="EH136" s="223">
        <f>EH85-EH70-EH66</f>
        <v>57.527822301360288</v>
      </c>
      <c r="EI136" s="1278">
        <f>SUM(EE136:EH136)</f>
        <v>-1.7958942685701942</v>
      </c>
      <c r="EJ136" s="223"/>
      <c r="EK136" s="223">
        <f>EK85-EK70-EK66</f>
        <v>86.063622154340834</v>
      </c>
      <c r="EL136" s="223">
        <f>EL85-EL70-EL66</f>
        <v>134.08485701277297</v>
      </c>
      <c r="EM136" s="223">
        <f>EM85-EM70-EM66</f>
        <v>168.51695955781764</v>
      </c>
      <c r="EN136" s="223">
        <f>EN85-EN70-EN66</f>
        <v>225.62511664362876</v>
      </c>
      <c r="EO136" s="1278">
        <f>SUM(EK136:EN136)</f>
        <v>614.29055536856026</v>
      </c>
      <c r="EP136" s="223"/>
      <c r="EQ136" s="223">
        <f>EQ85-EQ70-EQ66</f>
        <v>124.51571365966927</v>
      </c>
      <c r="ER136" s="223">
        <f>ER85-ER70-ER66</f>
        <v>222.05440091406831</v>
      </c>
      <c r="ES136" s="223">
        <f>ES85-ES70-ES66</f>
        <v>305.08089373287521</v>
      </c>
      <c r="ET136" s="223">
        <f>ET85-ET70-ET66</f>
        <v>430.45091346254833</v>
      </c>
      <c r="EU136" s="1278">
        <f>SUM(EQ136:ET136)</f>
        <v>1082.101921769161</v>
      </c>
      <c r="EV136" s="223"/>
    </row>
    <row r="137" spans="1:152" hidden="1" outlineLevel="1">
      <c r="A137" s="453" t="s">
        <v>6053</v>
      </c>
      <c r="B137" s="521"/>
      <c r="C137" s="454">
        <f>C136/C31</f>
        <v>0.20616287600880426</v>
      </c>
      <c r="D137" s="454">
        <f>D136/D31</f>
        <v>0.13286713286713286</v>
      </c>
      <c r="E137" s="454">
        <f>E136/E31</f>
        <v>6.4322469982847227E-2</v>
      </c>
      <c r="F137" s="454">
        <f>F136/F31</f>
        <v>6.1739130434782685E-2</v>
      </c>
      <c r="G137" s="454">
        <f>G136/G31</f>
        <v>0.12059593315884833</v>
      </c>
      <c r="H137" s="455"/>
      <c r="I137" s="454">
        <f>I136/I31</f>
        <v>-8.219178082191779E-2</v>
      </c>
      <c r="J137" s="454">
        <f>J136/J31</f>
        <v>0.1413446267866596</v>
      </c>
      <c r="K137" s="454">
        <f>K136/K31</f>
        <v>0.17597208374875373</v>
      </c>
      <c r="L137" s="454">
        <f>L136/L31</f>
        <v>0.24418073938840723</v>
      </c>
      <c r="M137" s="454">
        <f>M136/M31</f>
        <v>0.13715875960773924</v>
      </c>
      <c r="N137" s="455"/>
      <c r="O137" s="454">
        <f>O136/O31</f>
        <v>0.18732940732484368</v>
      </c>
      <c r="P137" s="454">
        <f>P136/P31</f>
        <v>0.17597892797810163</v>
      </c>
      <c r="Q137" s="454">
        <f>Q136/Q31</f>
        <v>0.11979268205701249</v>
      </c>
      <c r="R137" s="454">
        <f>R136/R31</f>
        <v>0.14920353427467212</v>
      </c>
      <c r="S137" s="454">
        <f>S136/S31</f>
        <v>0.15896387688066654</v>
      </c>
      <c r="T137" s="455"/>
      <c r="U137" s="454">
        <f>U136/U31</f>
        <v>-9.9718248701032741E-2</v>
      </c>
      <c r="V137" s="454">
        <f>V136/V31</f>
        <v>-2.4921408287508016E-2</v>
      </c>
      <c r="W137" s="454">
        <f>W136/W31</f>
        <v>-2.1308695004588346E-2</v>
      </c>
      <c r="X137" s="454">
        <f>X136/X31</f>
        <v>0.1352408934298584</v>
      </c>
      <c r="Y137" s="454">
        <f>Y136/Y31</f>
        <v>9.0088921538926435E-4</v>
      </c>
      <c r="Z137" s="455"/>
      <c r="AA137" s="454">
        <f>AA136/AA31</f>
        <v>0.16424441859560052</v>
      </c>
      <c r="AB137" s="454">
        <f>AB136/AB31</f>
        <v>0.14602239296343866</v>
      </c>
      <c r="AC137" s="454">
        <f>AC136/AC31</f>
        <v>0.12880873735147946</v>
      </c>
      <c r="AD137" s="454">
        <f>AD136/AD31</f>
        <v>0.15845083461223547</v>
      </c>
      <c r="AE137" s="454">
        <f>AE136/AE31</f>
        <v>0.14953584442991952</v>
      </c>
      <c r="AF137" s="455"/>
      <c r="AG137" s="454">
        <f>AG136/AG31</f>
        <v>0.14894197118906144</v>
      </c>
      <c r="AH137" s="454">
        <f>AH136/AH31</f>
        <v>8.3800138312586384E-2</v>
      </c>
      <c r="AI137" s="454">
        <f>AI136/AI31</f>
        <v>0.10303803435987739</v>
      </c>
      <c r="AJ137" s="454">
        <f>AJ136/AJ31</f>
        <v>0.11554752513443094</v>
      </c>
      <c r="AK137" s="454">
        <f>AK136/AK31</f>
        <v>0.11360002364138562</v>
      </c>
      <c r="AL137" s="455"/>
      <c r="AM137" s="454">
        <f>AM136/AM31</f>
        <v>9.2392086409363125E-2</v>
      </c>
      <c r="AN137" s="454">
        <f>AN136/AN31</f>
        <v>4.916249213579886E-2</v>
      </c>
      <c r="AO137" s="454">
        <f>AO136/AO31</f>
        <v>-4.1573706551634733E-2</v>
      </c>
      <c r="AP137" s="454">
        <f>AP136/AP31</f>
        <v>6.270586550461402E-3</v>
      </c>
      <c r="AQ137" s="454">
        <f>AQ136/AQ31</f>
        <v>3.0258986962767274E-2</v>
      </c>
      <c r="AR137" s="455"/>
      <c r="AS137" s="454">
        <f>AS136/AS31</f>
        <v>3.1347560802026893E-2</v>
      </c>
      <c r="AT137" s="454">
        <f>AT136/AT31</f>
        <v>6.5851066342315842E-2</v>
      </c>
      <c r="AU137" s="454">
        <f>AU136/AU31</f>
        <v>0.1194721673465548</v>
      </c>
      <c r="AV137" s="454">
        <f>AV136/AV31</f>
        <v>0.19555382479428418</v>
      </c>
      <c r="AW137" s="454">
        <f>AW136/AW31</f>
        <v>0.11163535065145236</v>
      </c>
      <c r="AX137" s="455"/>
      <c r="AY137" s="433">
        <f>AY136/AY31</f>
        <v>0.17786693413574067</v>
      </c>
      <c r="AZ137" s="433">
        <f>AZ136/AZ31</f>
        <v>0.17521367521367523</v>
      </c>
      <c r="BA137" s="433">
        <f>BA136/BA31</f>
        <v>0.1727869940278699</v>
      </c>
      <c r="BB137" s="433">
        <f>BB136/BB31</f>
        <v>0.21613255033557033</v>
      </c>
      <c r="BC137" s="433">
        <f>BC136/BC31</f>
        <v>0.19369359916054577</v>
      </c>
      <c r="BD137" s="455"/>
      <c r="BE137" s="433">
        <f>BE136/BE31</f>
        <v>0.26065162907268163</v>
      </c>
      <c r="BF137" s="433">
        <f>BF136/BF31</f>
        <v>0.24256900212314217</v>
      </c>
      <c r="BG137" s="433">
        <f>BG136/BG31</f>
        <v>0.24954128440366977</v>
      </c>
      <c r="BH137" s="433">
        <f>BH136/BH31</f>
        <v>0.23415912339209149</v>
      </c>
      <c r="BI137" s="433">
        <f>BI136/BI31</f>
        <v>0.24622690606297162</v>
      </c>
      <c r="BJ137" s="455"/>
      <c r="BK137" s="433">
        <f>BK136/BK31</f>
        <v>0.13602522935779812</v>
      </c>
      <c r="BL137" s="433">
        <f>BL136/BL31</f>
        <v>0.22709074733096091</v>
      </c>
      <c r="BM137" s="433">
        <f>BM136/BM31</f>
        <v>0.15017513134851135</v>
      </c>
      <c r="BN137" s="433">
        <f>BN136/BN31</f>
        <v>0.24065138721351026</v>
      </c>
      <c r="BO137" s="1279">
        <f>BO136/BO31</f>
        <v>0.1900788129144472</v>
      </c>
      <c r="BP137" s="455"/>
      <c r="BQ137" s="454">
        <f>BQ136/BQ31</f>
        <v>0.19937082186394031</v>
      </c>
      <c r="BR137" s="454">
        <f>BR136/BR31</f>
        <v>0.21772200038030051</v>
      </c>
      <c r="BS137" s="454">
        <f>BS136/BS31</f>
        <v>0.1961367013372956</v>
      </c>
      <c r="BT137" s="454">
        <f>BT136/BT31</f>
        <v>0.20714404940744452</v>
      </c>
      <c r="BU137" s="1265">
        <f>BU136/BU31</f>
        <v>0.20515653775322287</v>
      </c>
      <c r="BV137" s="455"/>
      <c r="BW137" s="454">
        <f>BW136/BW31</f>
        <v>0.2002338009352036</v>
      </c>
      <c r="BX137" s="454">
        <f>BX136/BX31</f>
        <v>0.19176755447941887</v>
      </c>
      <c r="BY137" s="454">
        <f>BY136/BY31</f>
        <v>0.22994564322187461</v>
      </c>
      <c r="BZ137" s="454">
        <f>BZ136/BZ31</f>
        <v>-0.27317272356063699</v>
      </c>
      <c r="CA137" s="1265">
        <f>CA136/CA31</f>
        <v>0.1056064270905321</v>
      </c>
      <c r="CB137" s="455"/>
      <c r="CC137" s="454">
        <f>CC136/CC31</f>
        <v>-4.5561296383278521E-2</v>
      </c>
      <c r="CD137" s="454">
        <f>CD136/CD31</f>
        <v>6.5075921908892666E-3</v>
      </c>
      <c r="CE137" s="454">
        <f>CE136/CE31</f>
        <v>6.3084672583353235E-2</v>
      </c>
      <c r="CF137" s="454">
        <f>CF136/CF31</f>
        <v>0.12299934224950657</v>
      </c>
      <c r="CG137" s="1265">
        <f>CG136/CG31</f>
        <v>3.8338098850440497E-2</v>
      </c>
      <c r="CH137" s="455"/>
      <c r="CI137" s="454">
        <f>CI136/CI31</f>
        <v>0.10703750526759381</v>
      </c>
      <c r="CJ137" s="454">
        <f>CJ136/CJ31</f>
        <v>0.1687817258883248</v>
      </c>
      <c r="CK137" s="454">
        <f>CK136/CK31</f>
        <v>0.14516467379903494</v>
      </c>
      <c r="CL137" s="454">
        <f>CL136/CL31</f>
        <v>0.13568315330680314</v>
      </c>
      <c r="CM137" s="1265">
        <f>CM136/CM31</f>
        <v>0.13905113228814428</v>
      </c>
      <c r="CN137" s="455"/>
      <c r="CO137" s="454">
        <f>CO136/CO31</f>
        <v>0.14877910278250989</v>
      </c>
      <c r="CP137" s="454">
        <f>CP136/CP31</f>
        <v>0.17389712612117889</v>
      </c>
      <c r="CQ137" s="454">
        <f>CQ136/CQ31</f>
        <v>0.16441851986875669</v>
      </c>
      <c r="CR137" s="454">
        <f>CR136/CR31</f>
        <v>0.15496286293045236</v>
      </c>
      <c r="CS137" s="1265">
        <f>CS136/CS31</f>
        <v>0.16049828488896906</v>
      </c>
      <c r="CT137" s="455"/>
      <c r="CU137" s="454">
        <f>CU136/CU31</f>
        <v>0.15970098538905877</v>
      </c>
      <c r="CV137" s="454">
        <f>CV136/CV31</f>
        <v>0.16379613356766254</v>
      </c>
      <c r="CW137" s="454">
        <f>CW136/CW31</f>
        <v>6.2591240875912404E-2</v>
      </c>
      <c r="CX137" s="454">
        <f>CX136/CX31</f>
        <v>0.13953871499176262</v>
      </c>
      <c r="CY137" s="1265">
        <f>CY136/CY31</f>
        <v>0.13240508518550548</v>
      </c>
      <c r="CZ137" s="455"/>
      <c r="DA137" s="454">
        <f>DA136/DA31</f>
        <v>0.14147966339410925</v>
      </c>
      <c r="DB137" s="454">
        <f>DB136/DB31</f>
        <v>0.15186042371372632</v>
      </c>
      <c r="DC137" s="454">
        <f>DC136/DC31</f>
        <v>0.12265850144092222</v>
      </c>
      <c r="DD137" s="454">
        <f>DD136/DD31</f>
        <v>8.8135015342652265E-2</v>
      </c>
      <c r="DE137" s="1265">
        <f>DE136/DE31</f>
        <v>0.12568714543295653</v>
      </c>
      <c r="DF137" s="455"/>
      <c r="DG137" s="454">
        <f>DG136/DG31</f>
        <v>7.1223628691983121E-2</v>
      </c>
      <c r="DH137" s="454">
        <f>DH136/DH31</f>
        <v>7.8323654057447678E-2</v>
      </c>
      <c r="DI137" s="454">
        <f>DI136/DI31</f>
        <v>2.3624595469255678E-2</v>
      </c>
      <c r="DJ137" s="454">
        <f>DJ136/DJ31</f>
        <v>2.1065302437556423E-2</v>
      </c>
      <c r="DK137" s="1265">
        <f>DK136/DK31</f>
        <v>4.8045537775654776E-2</v>
      </c>
      <c r="DL137" s="455"/>
      <c r="DM137" s="454">
        <f>DM136/DM31</f>
        <v>3.3255993812838384E-2</v>
      </c>
      <c r="DN137" s="454">
        <f>DN136/DN31</f>
        <v>7.0549630844955538E-3</v>
      </c>
      <c r="DO137" s="454">
        <f>DO136/DO31</f>
        <v>-2.4674891630543677E-2</v>
      </c>
      <c r="DP137" s="454">
        <f>DP136/DP31</f>
        <v>-1.4962208853925723E-2</v>
      </c>
      <c r="DQ137" s="1265">
        <f>DQ136/DQ31</f>
        <v>5.1914859630202944E-4</v>
      </c>
      <c r="DR137" s="455"/>
      <c r="DS137" s="454">
        <f>DS136/DS31</f>
        <v>-0.30181676108614963</v>
      </c>
      <c r="DT137" s="454">
        <f>DT136/DT31</f>
        <v>-0.11421826765934258</v>
      </c>
      <c r="DU137" s="454">
        <f>DU136/DU31</f>
        <v>-0.24489379084967314</v>
      </c>
      <c r="DV137" s="454">
        <f>DV136/DV31</f>
        <v>-0.34899749373433581</v>
      </c>
      <c r="DW137" s="1265">
        <f>DW136/DW31</f>
        <v>-0.24835056622353521</v>
      </c>
      <c r="DX137" s="455"/>
      <c r="DY137" s="454">
        <f>DY136/DY31</f>
        <v>-0.24624253654519238</v>
      </c>
      <c r="DZ137" s="454">
        <f>DZ136/DZ31</f>
        <v>-0.21442805898764464</v>
      </c>
      <c r="EA137" s="454">
        <f>EA136/EA31</f>
        <v>-0.19406171162429664</v>
      </c>
      <c r="EB137" s="454">
        <f>EB136/EB31</f>
        <v>-0.32845792704947646</v>
      </c>
      <c r="EC137" s="1265">
        <f>EC136/EC31</f>
        <v>-0.24754449090732283</v>
      </c>
      <c r="ED137" s="455"/>
      <c r="EE137" s="454">
        <f>EE136/EE31</f>
        <v>-0.11670101699314463</v>
      </c>
      <c r="EF137" s="454">
        <f>EF136/EF31</f>
        <v>-2.6874257341020044E-2</v>
      </c>
      <c r="EG137" s="454">
        <f>EG136/EG31</f>
        <v>3.3998246662740268E-2</v>
      </c>
      <c r="EH137" s="454">
        <f>EH136/EH31</f>
        <v>8.0720036574305098E-2</v>
      </c>
      <c r="EI137" s="1265">
        <f>EI136/EI31</f>
        <v>-7.1847822672730613E-4</v>
      </c>
      <c r="EJ137" s="455"/>
      <c r="EK137" s="454">
        <f>EK136/EK31</f>
        <v>0.1246172041552288</v>
      </c>
      <c r="EL137" s="454">
        <f>EL136/EL31</f>
        <v>0.18297039354160125</v>
      </c>
      <c r="EM137" s="454">
        <f>EM136/EM31</f>
        <v>0.21410734035068879</v>
      </c>
      <c r="EN137" s="454">
        <f>EN136/EN31</f>
        <v>0.2520520267479584</v>
      </c>
      <c r="EO137" s="1265">
        <f>EO136/EO31</f>
        <v>0.19779664497347899</v>
      </c>
      <c r="EP137" s="455"/>
      <c r="EQ137" s="454">
        <f>EQ136/EQ31</f>
        <v>0.16210784967989306</v>
      </c>
      <c r="ER137" s="454">
        <f>ER136/ER31</f>
        <v>0.25643099249102441</v>
      </c>
      <c r="ES137" s="454">
        <f>ES136/ES31</f>
        <v>0.31540098155673368</v>
      </c>
      <c r="ET137" s="454">
        <f>ET136/ET31</f>
        <v>0.37906093176358141</v>
      </c>
      <c r="EU137" s="1265">
        <f>EU136/EU31</f>
        <v>0.2895722713794418</v>
      </c>
      <c r="EV137" s="455"/>
    </row>
    <row r="138" spans="1:152" hidden="1" outlineLevel="1">
      <c r="A138" s="447" t="s">
        <v>6054</v>
      </c>
      <c r="B138" s="593"/>
      <c r="C138" s="223">
        <f>C93</f>
        <v>1.4</v>
      </c>
      <c r="D138" s="223">
        <f>D93</f>
        <v>1.4</v>
      </c>
      <c r="E138" s="223">
        <f>E93</f>
        <v>1.6</v>
      </c>
      <c r="F138" s="223">
        <f>F93</f>
        <v>2.2000000000000002</v>
      </c>
      <c r="G138" s="223">
        <f>G93</f>
        <v>6.7</v>
      </c>
      <c r="H138" s="223"/>
      <c r="I138" s="223">
        <f>I93</f>
        <v>2.4</v>
      </c>
      <c r="J138" s="223">
        <f>J93</f>
        <v>2.5</v>
      </c>
      <c r="K138" s="223">
        <f>K93</f>
        <v>3</v>
      </c>
      <c r="L138" s="223">
        <f>L93</f>
        <v>2.5</v>
      </c>
      <c r="M138" s="223">
        <f>M93</f>
        <v>10.4</v>
      </c>
      <c r="N138" s="223"/>
      <c r="O138" s="223">
        <f>O93</f>
        <v>2.0219999999999998</v>
      </c>
      <c r="P138" s="223">
        <f>P93</f>
        <v>8.0269999999999992</v>
      </c>
      <c r="Q138" s="223">
        <f>Q93</f>
        <v>3.887</v>
      </c>
      <c r="R138" s="223">
        <f>R93</f>
        <v>3.198</v>
      </c>
      <c r="S138" s="223">
        <f>S93</f>
        <v>17.134</v>
      </c>
      <c r="T138" s="223"/>
      <c r="U138" s="223">
        <f>U93</f>
        <v>4.4960000000000004</v>
      </c>
      <c r="V138" s="223">
        <f>V93</f>
        <v>5.82</v>
      </c>
      <c r="W138" s="223">
        <f>W93</f>
        <v>6.4820000000000002</v>
      </c>
      <c r="X138" s="223">
        <f>X93</f>
        <v>6.36</v>
      </c>
      <c r="Y138" s="223">
        <f>Y93</f>
        <v>23.157</v>
      </c>
      <c r="Z138" s="223"/>
      <c r="AA138" s="223">
        <f>AA93</f>
        <v>2.9729999999999999</v>
      </c>
      <c r="AB138" s="223">
        <f>AB93</f>
        <v>4.3010000000000002</v>
      </c>
      <c r="AC138" s="223">
        <f>AC93</f>
        <v>6.3719999999999999</v>
      </c>
      <c r="AD138" s="223">
        <f>AD93</f>
        <v>7.4020000000000001</v>
      </c>
      <c r="AE138" s="223">
        <f>AE93</f>
        <v>21.048000000000002</v>
      </c>
      <c r="AF138" s="223"/>
      <c r="AG138" s="223">
        <f>AG93</f>
        <v>4.9859999999999998</v>
      </c>
      <c r="AH138" s="223">
        <f>AH93</f>
        <v>8.0020000000000007</v>
      </c>
      <c r="AI138" s="223">
        <f>AI93</f>
        <v>4.3250000000000002</v>
      </c>
      <c r="AJ138" s="223">
        <f>AJ93</f>
        <v>1.7450000000000001</v>
      </c>
      <c r="AK138" s="223">
        <f>AK93</f>
        <v>19.058</v>
      </c>
      <c r="AL138" s="223"/>
      <c r="AM138" s="223">
        <f>AM93</f>
        <v>2.9780000000000002</v>
      </c>
      <c r="AN138" s="223">
        <f>AN93</f>
        <v>5.7160000000000002</v>
      </c>
      <c r="AO138" s="223">
        <f>AO93</f>
        <v>2.4889999999999999</v>
      </c>
      <c r="AP138" s="223">
        <f>AP93</f>
        <v>2.3210000000000002</v>
      </c>
      <c r="AQ138" s="223">
        <f>AQ93</f>
        <v>13.504</v>
      </c>
      <c r="AR138" s="223"/>
      <c r="AS138" s="223">
        <f>AS93</f>
        <v>3.2719999999999998</v>
      </c>
      <c r="AT138" s="223">
        <f>AT93</f>
        <v>3.07</v>
      </c>
      <c r="AU138" s="223">
        <f>AU93</f>
        <v>1.8049999999999999</v>
      </c>
      <c r="AV138" s="223">
        <f>AV93</f>
        <v>8.8119999999999994</v>
      </c>
      <c r="AW138" s="223">
        <f>AW93</f>
        <v>16.959</v>
      </c>
      <c r="AX138" s="223"/>
      <c r="AY138" s="223">
        <f>AY93</f>
        <v>2.4159999999999999</v>
      </c>
      <c r="AZ138" s="223">
        <f>AZ93</f>
        <v>2.2000000000000002</v>
      </c>
      <c r="BA138" s="223">
        <f>BA93</f>
        <v>2.8</v>
      </c>
      <c r="BB138" s="223">
        <f>BB93</f>
        <v>4</v>
      </c>
      <c r="BC138" s="223">
        <f>BC93</f>
        <v>11.416</v>
      </c>
      <c r="BD138" s="223"/>
      <c r="BE138" s="223">
        <f>BE93</f>
        <v>3</v>
      </c>
      <c r="BF138" s="223">
        <f>BF93</f>
        <v>2.8</v>
      </c>
      <c r="BG138" s="223">
        <f>BG93</f>
        <v>3.2</v>
      </c>
      <c r="BH138" s="223">
        <f>BH93</f>
        <v>4.2</v>
      </c>
      <c r="BI138" s="223">
        <f>SUM(BE138:BH138)</f>
        <v>13.2</v>
      </c>
      <c r="BJ138" s="223"/>
      <c r="BK138" s="223">
        <f>BK93</f>
        <v>3.5</v>
      </c>
      <c r="BL138" s="223">
        <f>BL93</f>
        <v>2.8</v>
      </c>
      <c r="BM138" s="223">
        <f>BM93</f>
        <v>6</v>
      </c>
      <c r="BN138" s="223">
        <f>BN93</f>
        <v>4.5</v>
      </c>
      <c r="BO138" s="1278">
        <f>SUM(BK138:BN138)</f>
        <v>16.8</v>
      </c>
      <c r="BP138" s="223"/>
      <c r="BQ138" s="223">
        <f>BQ93</f>
        <v>9.8000000000000007</v>
      </c>
      <c r="BR138" s="223">
        <f>BR93</f>
        <v>3.4</v>
      </c>
      <c r="BS138" s="223">
        <v>4.4000000000000004</v>
      </c>
      <c r="BT138" s="223">
        <f>BT93</f>
        <v>6.8</v>
      </c>
      <c r="BU138" s="1278">
        <f>SUM(BQ138:BT138)</f>
        <v>24.400000000000002</v>
      </c>
      <c r="BV138" s="223"/>
      <c r="BW138" s="223">
        <f>BW93</f>
        <v>6.9</v>
      </c>
      <c r="BX138" s="223">
        <v>6.3</v>
      </c>
      <c r="BY138" s="223">
        <f>BY93</f>
        <v>-3.4</v>
      </c>
      <c r="BZ138" s="223">
        <f>BZ93</f>
        <v>-1.8</v>
      </c>
      <c r="CA138" s="1278">
        <f>SUM(BW138:BZ138)</f>
        <v>7.9999999999999991</v>
      </c>
      <c r="CB138" s="223"/>
      <c r="CC138" s="223">
        <f>CC93</f>
        <v>0</v>
      </c>
      <c r="CD138" s="223">
        <f>CD93</f>
        <v>10.7</v>
      </c>
      <c r="CE138" s="223">
        <f>CE93</f>
        <v>5.7</v>
      </c>
      <c r="CF138" s="223">
        <f>CF93</f>
        <v>2.6</v>
      </c>
      <c r="CG138" s="1278">
        <f>SUM(CC138:CF138)</f>
        <v>19</v>
      </c>
      <c r="CH138" s="223"/>
      <c r="CI138" s="223">
        <f>CI93</f>
        <v>-3.4</v>
      </c>
      <c r="CJ138" s="223">
        <f>CJ93</f>
        <v>0.1</v>
      </c>
      <c r="CK138" s="223">
        <f>CK93</f>
        <v>2.5</v>
      </c>
      <c r="CL138" s="223">
        <f>CL93</f>
        <v>1.4</v>
      </c>
      <c r="CM138" s="1278">
        <f>SUM(CI138:CL138)</f>
        <v>0.60000000000000009</v>
      </c>
      <c r="CN138" s="223"/>
      <c r="CO138" s="223">
        <f>CO93</f>
        <v>5.9</v>
      </c>
      <c r="CP138" s="223">
        <f>CP93</f>
        <v>-0.8</v>
      </c>
      <c r="CQ138" s="223">
        <f>CQ93</f>
        <v>1.1000000000000001</v>
      </c>
      <c r="CR138" s="223">
        <f>CR93</f>
        <v>1.1000000000000001</v>
      </c>
      <c r="CS138" s="1278">
        <f>SUM(CO138:CR138)</f>
        <v>7.3000000000000007</v>
      </c>
      <c r="CT138" s="223"/>
      <c r="CU138" s="223">
        <f>CU93</f>
        <v>3.5</v>
      </c>
      <c r="CV138" s="223">
        <f>CV93</f>
        <v>4.2</v>
      </c>
      <c r="CW138" s="223">
        <f>CW93</f>
        <v>-0.2</v>
      </c>
      <c r="CX138" s="223">
        <f>CX93</f>
        <v>1.7</v>
      </c>
      <c r="CY138" s="1278">
        <f>SUM(CU138:CX138)</f>
        <v>9.1999999999999993</v>
      </c>
      <c r="CZ138" s="223"/>
      <c r="DA138" s="223">
        <f>DA93</f>
        <v>-7.7000000000000011</v>
      </c>
      <c r="DB138" s="223">
        <f>DB93</f>
        <v>-1.5999999999999996</v>
      </c>
      <c r="DC138" s="223">
        <f>DC93</f>
        <v>0.8</v>
      </c>
      <c r="DD138" s="223">
        <f>DD93</f>
        <v>5.3999999999999995</v>
      </c>
      <c r="DE138" s="1278">
        <f>SUM(DA138:DD138)</f>
        <v>-3.1000000000000005</v>
      </c>
      <c r="DF138" s="223"/>
      <c r="DG138" s="223">
        <f>DG93-3.6</f>
        <v>-6.6</v>
      </c>
      <c r="DH138" s="223">
        <f>DH93</f>
        <v>-3.7</v>
      </c>
      <c r="DI138" s="223">
        <f>DI93-0.7</f>
        <v>-3</v>
      </c>
      <c r="DJ138" s="223">
        <f>DJ93</f>
        <v>-5.4000000000000021</v>
      </c>
      <c r="DK138" s="1278">
        <f>SUM(DG138:DJ138)</f>
        <v>-18.700000000000003</v>
      </c>
      <c r="DL138" s="223"/>
      <c r="DM138" s="223">
        <f>DM93+1</f>
        <v>0.29999999999999982</v>
      </c>
      <c r="DN138" s="223">
        <f>DN93+2.4</f>
        <v>-3.4</v>
      </c>
      <c r="DO138" s="223">
        <f>DO93</f>
        <v>-7.6000000000000005</v>
      </c>
      <c r="DP138" s="223">
        <f>DP93</f>
        <v>-11.2</v>
      </c>
      <c r="DQ138" s="1278">
        <f>SUM(DM138:DP138)</f>
        <v>-21.9</v>
      </c>
      <c r="DR138" s="223"/>
      <c r="DS138" s="223">
        <f>DS93</f>
        <v>-4.0955999999999992</v>
      </c>
      <c r="DT138" s="223">
        <f>DT93-0.3</f>
        <v>-10.1</v>
      </c>
      <c r="DU138" s="223">
        <v>-9.4</v>
      </c>
      <c r="DV138" s="223">
        <v>-1.1000000000000001</v>
      </c>
      <c r="DW138" s="1278">
        <f>SUM(DS138:DV138)</f>
        <v>-24.695599999999999</v>
      </c>
      <c r="DX138" s="223"/>
      <c r="DY138" s="223">
        <v>-1.8</v>
      </c>
      <c r="DZ138" s="223">
        <v>-18.8</v>
      </c>
      <c r="EA138" s="223">
        <v>-11.2</v>
      </c>
      <c r="EB138" s="223">
        <v>-16.399999999999999</v>
      </c>
      <c r="EC138" s="1278">
        <f>SUM(DY138:EB138)</f>
        <v>-48.2</v>
      </c>
      <c r="ED138" s="223"/>
      <c r="EE138" s="223">
        <f>EE93</f>
        <v>-15.165000000000003</v>
      </c>
      <c r="EF138" s="223">
        <f>EF93</f>
        <v>-15.165000000000003</v>
      </c>
      <c r="EG138" s="223">
        <f>EG93</f>
        <v>-15.165000000000003</v>
      </c>
      <c r="EH138" s="223">
        <f>EH93</f>
        <v>-15.165000000000003</v>
      </c>
      <c r="EI138" s="1278">
        <f>SUM(EE138:EH138)</f>
        <v>-60.660000000000011</v>
      </c>
      <c r="EJ138" s="223"/>
      <c r="EK138" s="223">
        <f>EK93</f>
        <v>-11.200000000000003</v>
      </c>
      <c r="EL138" s="223">
        <f>EL93</f>
        <v>-11.200000000000003</v>
      </c>
      <c r="EM138" s="223">
        <f>EM93</f>
        <v>-11.200000000000003</v>
      </c>
      <c r="EN138" s="223">
        <f>EN93</f>
        <v>-11.200000000000003</v>
      </c>
      <c r="EO138" s="1278">
        <f>SUM(EK138:EN138)</f>
        <v>-44.800000000000011</v>
      </c>
      <c r="EP138" s="223"/>
      <c r="EQ138" s="223">
        <f>EQ93</f>
        <v>-11.200000000000003</v>
      </c>
      <c r="ER138" s="223">
        <f>ER93</f>
        <v>-11.200000000000003</v>
      </c>
      <c r="ES138" s="223">
        <f>ES93</f>
        <v>-11.200000000000003</v>
      </c>
      <c r="ET138" s="223">
        <f>ET93</f>
        <v>-11.200000000000003</v>
      </c>
      <c r="EU138" s="1278">
        <f>SUM(EQ138:ET138)</f>
        <v>-44.800000000000011</v>
      </c>
      <c r="EV138" s="223"/>
    </row>
    <row r="139" spans="1:152" hidden="1" outlineLevel="1">
      <c r="A139" s="447" t="s">
        <v>6055</v>
      </c>
      <c r="B139" s="593"/>
      <c r="C139" s="223">
        <f>C136+C138</f>
        <v>29.500000000000021</v>
      </c>
      <c r="D139" s="223">
        <f>D136+D138</f>
        <v>18.499999999999996</v>
      </c>
      <c r="E139" s="223">
        <f>E136+E138</f>
        <v>9.0999999999999854</v>
      </c>
      <c r="F139" s="223">
        <f>F136+F138</f>
        <v>9.3000000000000078</v>
      </c>
      <c r="G139" s="223">
        <f>G136+G138</f>
        <v>66.599999999999966</v>
      </c>
      <c r="H139" s="223"/>
      <c r="I139" s="223">
        <f>I136+I138</f>
        <v>-9.5999999999999961</v>
      </c>
      <c r="J139" s="223">
        <f>J136+J138</f>
        <v>29.2</v>
      </c>
      <c r="K139" s="223">
        <f>K136+K138</f>
        <v>38.299999999999997</v>
      </c>
      <c r="L139" s="223">
        <f>L136+L138</f>
        <v>56.000000000000021</v>
      </c>
      <c r="M139" s="223">
        <f>M136+M138</f>
        <v>113.90000000000003</v>
      </c>
      <c r="N139" s="223"/>
      <c r="O139" s="223">
        <f>O136+O138</f>
        <v>44.711000000000027</v>
      </c>
      <c r="P139" s="223">
        <f>P136+P138</f>
        <v>48.915000000000006</v>
      </c>
      <c r="Q139" s="223">
        <f>Q136+Q138</f>
        <v>29.080000000000013</v>
      </c>
      <c r="R139" s="223">
        <f>R136+R138</f>
        <v>36.515000000000008</v>
      </c>
      <c r="S139" s="223">
        <f>S136+S138</f>
        <v>159.22099999999995</v>
      </c>
      <c r="T139" s="223"/>
      <c r="U139" s="223">
        <f>U136+U138</f>
        <v>-15.712999999999996</v>
      </c>
      <c r="V139" s="223">
        <f>V136+V138</f>
        <v>0.57199999999998763</v>
      </c>
      <c r="W139" s="223">
        <f>W136+W138</f>
        <v>2.0470000000000228</v>
      </c>
      <c r="X139" s="223">
        <f>X136+X138</f>
        <v>37.016000000000012</v>
      </c>
      <c r="Y139" s="223">
        <f>Y136+Y138</f>
        <v>23.921000000000081</v>
      </c>
      <c r="Z139" s="223"/>
      <c r="AA139" s="223">
        <f>AA136+AA138</f>
        <v>40.955999999999975</v>
      </c>
      <c r="AB139" s="223">
        <f>AB136+AB138</f>
        <v>38.301000000000023</v>
      </c>
      <c r="AC139" s="223">
        <f>AC136+AC138</f>
        <v>35.89200000000001</v>
      </c>
      <c r="AD139" s="223">
        <f>AD136+AD138</f>
        <v>45.912999999999997</v>
      </c>
      <c r="AE139" s="223">
        <f>AE136+AE138</f>
        <v>161.06199999999995</v>
      </c>
      <c r="AF139" s="223"/>
      <c r="AG139" s="223">
        <f>AG136+AG138</f>
        <v>41.586999999999954</v>
      </c>
      <c r="AH139" s="223">
        <f>AH136+AH138</f>
        <v>27.389999999999986</v>
      </c>
      <c r="AI139" s="223">
        <f>AI136+AI138</f>
        <v>26.617999999999991</v>
      </c>
      <c r="AJ139" s="223">
        <f>AJ136+AJ138</f>
        <v>31.098000000000031</v>
      </c>
      <c r="AK139" s="223">
        <f>AK136+AK138</f>
        <v>126.6930000000001</v>
      </c>
      <c r="AL139" s="223"/>
      <c r="AM139" s="223">
        <f>AM136+AM138</f>
        <v>24.166000000000018</v>
      </c>
      <c r="AN139" s="223">
        <f>AN136+AN138</f>
        <v>16.109000000000016</v>
      </c>
      <c r="AO139" s="223">
        <f>AO136+AO138</f>
        <v>-5.3560000000000256</v>
      </c>
      <c r="AP139" s="223">
        <f>AP136+AP138</f>
        <v>3.5470000000000117</v>
      </c>
      <c r="AQ139" s="223">
        <f>AQ136+AQ138</f>
        <v>38.466000000000044</v>
      </c>
      <c r="AR139" s="223"/>
      <c r="AS139" s="223">
        <f>AS136+AS138</f>
        <v>9.8789999999999996</v>
      </c>
      <c r="AT139" s="223">
        <f>AT136+AT138</f>
        <v>17.010999999999974</v>
      </c>
      <c r="AU139" s="223">
        <f>AU136+AU138</f>
        <v>29.744999999999997</v>
      </c>
      <c r="AV139" s="223">
        <f>AV136+AV138</f>
        <v>66.561000000000078</v>
      </c>
      <c r="AW139" s="223">
        <f>AW136+AW138</f>
        <v>123.19600000000008</v>
      </c>
      <c r="AX139" s="223"/>
      <c r="AY139" s="223">
        <f>AY136+AY138</f>
        <v>55.616000000000035</v>
      </c>
      <c r="AZ139" s="223">
        <f>AZ136+AZ138</f>
        <v>51.400000000000006</v>
      </c>
      <c r="BA139" s="223">
        <f>BA136+BA138</f>
        <v>54.877999999999993</v>
      </c>
      <c r="BB139" s="223">
        <f>BB136+BB138</f>
        <v>81.288999999999945</v>
      </c>
      <c r="BC139" s="223">
        <f>SUM(AY139:BB139)</f>
        <v>243.18299999999999</v>
      </c>
      <c r="BD139" s="223"/>
      <c r="BE139" s="223">
        <f>BE136+BE138</f>
        <v>96.599999999999966</v>
      </c>
      <c r="BF139" s="223">
        <f>BF136+BF138</f>
        <v>94.19999999999996</v>
      </c>
      <c r="BG139" s="223">
        <f>BG136+BG138</f>
        <v>98.40000000000002</v>
      </c>
      <c r="BH139" s="223">
        <f>BH136+BH138</f>
        <v>102.50000000000001</v>
      </c>
      <c r="BI139" s="223">
        <f>BI136+BI138</f>
        <v>391.69999999999993</v>
      </c>
      <c r="BJ139" s="223"/>
      <c r="BK139" s="223">
        <f>BK136+BK138</f>
        <v>62.806999999999981</v>
      </c>
      <c r="BL139" s="223">
        <f>BL136+BL138</f>
        <v>104.90000000000002</v>
      </c>
      <c r="BM139" s="223">
        <f>BM136+BM138</f>
        <v>74.59999999999998</v>
      </c>
      <c r="BN139" s="223">
        <f>BN136+BN138</f>
        <v>124.2</v>
      </c>
      <c r="BO139" s="1278">
        <f>BO136+BO138</f>
        <v>366.50700000000001</v>
      </c>
      <c r="BP139" s="223"/>
      <c r="BQ139" s="223">
        <f>BQ136+BQ138</f>
        <v>111.20000000000005</v>
      </c>
      <c r="BR139" s="223">
        <f>BR136+BR138</f>
        <v>117.90000000000006</v>
      </c>
      <c r="BS139" s="223">
        <f>BS136+BS138</f>
        <v>109.99999999999996</v>
      </c>
      <c r="BT139" s="223">
        <f>BT136+BT138</f>
        <v>130.9</v>
      </c>
      <c r="BU139" s="1278">
        <f>BU136+BU138</f>
        <v>470.00000000000006</v>
      </c>
      <c r="BV139" s="223"/>
      <c r="BW139" s="223">
        <f>BW136+BW138</f>
        <v>126.79999999999991</v>
      </c>
      <c r="BX139" s="223">
        <f>BX136+BX138</f>
        <v>125.1</v>
      </c>
      <c r="BY139" s="223">
        <f>BY136+BY138</f>
        <v>136.20000000000007</v>
      </c>
      <c r="BZ139" s="223">
        <f>BZ136+BZ138</f>
        <v>-135.60000000000002</v>
      </c>
      <c r="CA139" s="1278">
        <f>CA136+CA138</f>
        <v>252.49999999999994</v>
      </c>
      <c r="CB139" s="223"/>
      <c r="CC139" s="223">
        <f>CC136+CC138</f>
        <v>-19.399999999999991</v>
      </c>
      <c r="CD139" s="223">
        <f>CD136+CD138</f>
        <v>13.399999999999956</v>
      </c>
      <c r="CE139" s="223">
        <f>CE136+CE138</f>
        <v>31.999999999999964</v>
      </c>
      <c r="CF139" s="223">
        <f>CF136+CF138</f>
        <v>58.699999999999946</v>
      </c>
      <c r="CG139" s="1278">
        <f>CG136+CG138</f>
        <v>84.699999999999875</v>
      </c>
      <c r="CH139" s="223"/>
      <c r="CI139" s="223">
        <f>CI136+CI138</f>
        <v>47.400000000000027</v>
      </c>
      <c r="CJ139" s="223">
        <f>CJ136+CJ138</f>
        <v>79.899999999999949</v>
      </c>
      <c r="CK139" s="223">
        <f>CK136+CK138</f>
        <v>71.69999999999996</v>
      </c>
      <c r="CL139" s="223">
        <f>CL136+CL138</f>
        <v>73.000000000000028</v>
      </c>
      <c r="CM139" s="1278">
        <f>CM136+CM138</f>
        <v>272</v>
      </c>
      <c r="CN139" s="223"/>
      <c r="CO139" s="223">
        <f>CO136+CO138</f>
        <v>84.499999999999972</v>
      </c>
      <c r="CP139" s="223">
        <f>CP136+CP138</f>
        <v>94.200000000000017</v>
      </c>
      <c r="CQ139" s="223">
        <f>CQ136+CQ138</f>
        <v>91.299999999999898</v>
      </c>
      <c r="CR139" s="223">
        <f>CR136+CR138</f>
        <v>92.899999999999977</v>
      </c>
      <c r="CS139" s="1278">
        <f>CS136+CS138</f>
        <v>362.89999999999981</v>
      </c>
      <c r="CT139" s="223"/>
      <c r="CU139" s="223">
        <f>CU136+CU138</f>
        <v>97.5</v>
      </c>
      <c r="CV139" s="223">
        <f>CV136+CV138</f>
        <v>97.399999999999991</v>
      </c>
      <c r="CW139" s="223">
        <f>CW136+CW138</f>
        <v>34.099999999999994</v>
      </c>
      <c r="CX139" s="223">
        <f>CX136+CX138</f>
        <v>86.39999999999992</v>
      </c>
      <c r="CY139" s="1278">
        <f>CY136+CY138</f>
        <v>315.39999999999992</v>
      </c>
      <c r="CZ139" s="223"/>
      <c r="DA139" s="223">
        <f>DA136+DA138</f>
        <v>72.999999999999915</v>
      </c>
      <c r="DB139" s="223">
        <f>DB136+DB138</f>
        <v>83.700000000000088</v>
      </c>
      <c r="DC139" s="223">
        <f>DC136+DC138</f>
        <v>68.90000000000002</v>
      </c>
      <c r="DD139" s="223">
        <f>DD136+DD138</f>
        <v>57.09999999999981</v>
      </c>
      <c r="DE139" s="1278">
        <f>DE136+DE138</f>
        <v>282.69999999999982</v>
      </c>
      <c r="DF139" s="223"/>
      <c r="DG139" s="223">
        <f>DG136+DG138</f>
        <v>35.599999999999994</v>
      </c>
      <c r="DH139" s="223">
        <f>DH136+DH138</f>
        <v>46.199999999999903</v>
      </c>
      <c r="DI139" s="223">
        <f>DI136+DI138</f>
        <v>11.600000000000009</v>
      </c>
      <c r="DJ139" s="223">
        <f>DJ136+DJ138</f>
        <v>8.5999999999999979</v>
      </c>
      <c r="DK139" s="1278">
        <f>DK136+DK138</f>
        <v>101.99999999999991</v>
      </c>
      <c r="DL139" s="223"/>
      <c r="DM139" s="223">
        <f>DM136+DM138</f>
        <v>21.800000000000015</v>
      </c>
      <c r="DN139" s="223">
        <f>DN136+DN138</f>
        <v>0.90000000000003988</v>
      </c>
      <c r="DO139" s="223">
        <f>DO136+DO138</f>
        <v>-22.400000000000098</v>
      </c>
      <c r="DP139" s="223">
        <f>DP136+DP138</f>
        <v>-20.900000000000045</v>
      </c>
      <c r="DQ139" s="1278">
        <f>DQ136+DQ138</f>
        <v>-20.600000000000087</v>
      </c>
      <c r="DR139" s="223"/>
      <c r="DS139" s="223">
        <f>DS136+DS138</f>
        <v>-158.59559999999999</v>
      </c>
      <c r="DT139" s="223">
        <f>DT136+DT138</f>
        <v>-72.999999999999957</v>
      </c>
      <c r="DU139" s="223">
        <f>DU136+DU138</f>
        <v>-129.29999999999998</v>
      </c>
      <c r="DV139" s="223">
        <f>DV136+DV138</f>
        <v>-168.2</v>
      </c>
      <c r="DW139" s="1278">
        <f>DW136+DW138</f>
        <v>-529.09559999999999</v>
      </c>
      <c r="DX139" s="223"/>
      <c r="DY139" s="223">
        <f>DY136+DY138</f>
        <v>-121.39999999999993</v>
      </c>
      <c r="DZ139" s="223">
        <f>DZ136+DZ138</f>
        <v>-126.40000000000006</v>
      </c>
      <c r="EA139" s="223">
        <f>EA136+EA138</f>
        <v>-111.20000000000005</v>
      </c>
      <c r="EB139" s="223">
        <f>EB136+EB138</f>
        <v>-198.30000000000007</v>
      </c>
      <c r="EC139" s="1278">
        <f>EC136+EC138</f>
        <v>-557.30000000000018</v>
      </c>
      <c r="ED139" s="223"/>
      <c r="EE139" s="223">
        <f>EE136+EE138</f>
        <v>-80.123531686173081</v>
      </c>
      <c r="EF139" s="223">
        <f>EF136+EF138</f>
        <v>-31.143350269190595</v>
      </c>
      <c r="EG139" s="223">
        <f>EG136+EG138</f>
        <v>6.4481653854331888</v>
      </c>
      <c r="EH139" s="223">
        <f>EH136+EH138</f>
        <v>42.362822301360282</v>
      </c>
      <c r="EI139" s="1278">
        <f>EI136+EI138</f>
        <v>-62.455894268570205</v>
      </c>
      <c r="EJ139" s="223"/>
      <c r="EK139" s="223">
        <f>EK136+EK138</f>
        <v>74.863622154340831</v>
      </c>
      <c r="EL139" s="223">
        <f>EL136+EL138</f>
        <v>122.88485701277297</v>
      </c>
      <c r="EM139" s="223">
        <f>EM136+EM138</f>
        <v>157.31695955781765</v>
      </c>
      <c r="EN139" s="223">
        <f>EN136+EN138</f>
        <v>214.42511664362877</v>
      </c>
      <c r="EO139" s="1278">
        <f>EO136+EO138</f>
        <v>569.49055536856031</v>
      </c>
      <c r="EP139" s="223"/>
      <c r="EQ139" s="223">
        <f>EQ136+EQ138</f>
        <v>113.31571365966927</v>
      </c>
      <c r="ER139" s="223">
        <f>ER136+ER138</f>
        <v>210.85440091406832</v>
      </c>
      <c r="ES139" s="223">
        <f>ES136+ES138</f>
        <v>293.88089373287522</v>
      </c>
      <c r="ET139" s="223">
        <f>ET136+ET138</f>
        <v>419.25091346254834</v>
      </c>
      <c r="EU139" s="1278">
        <f>EU136+EU138</f>
        <v>1037.301921769161</v>
      </c>
      <c r="EV139" s="223"/>
    </row>
    <row r="140" spans="1:152" hidden="1" outlineLevel="1">
      <c r="A140" s="447" t="s">
        <v>6056</v>
      </c>
      <c r="B140" s="593"/>
      <c r="C140" s="223">
        <v>10.5</v>
      </c>
      <c r="D140" s="223">
        <v>7.9</v>
      </c>
      <c r="E140" s="223">
        <v>3.2</v>
      </c>
      <c r="F140" s="223">
        <v>3.3</v>
      </c>
      <c r="G140" s="223">
        <v>24.9</v>
      </c>
      <c r="H140" s="223"/>
      <c r="I140" s="223">
        <v>4.5</v>
      </c>
      <c r="J140" s="223">
        <v>13.6</v>
      </c>
      <c r="K140" s="223">
        <v>15.3</v>
      </c>
      <c r="L140" s="223">
        <v>20.3</v>
      </c>
      <c r="M140" s="223">
        <v>53.8</v>
      </c>
      <c r="N140" s="223"/>
      <c r="O140" s="223">
        <v>15.978</v>
      </c>
      <c r="P140" s="223">
        <v>21.385000000000002</v>
      </c>
      <c r="Q140" s="223">
        <v>11.456</v>
      </c>
      <c r="R140" s="223">
        <v>13.27</v>
      </c>
      <c r="S140" s="223">
        <v>62.088999999999999</v>
      </c>
      <c r="T140" s="223"/>
      <c r="U140" s="223">
        <v>1.431</v>
      </c>
      <c r="V140" s="223">
        <v>0.183</v>
      </c>
      <c r="W140" s="223">
        <v>0.65400000000000003</v>
      </c>
      <c r="X140" s="223">
        <v>11.843999999999999</v>
      </c>
      <c r="Y140" s="223">
        <v>14.112</v>
      </c>
      <c r="Z140" s="223"/>
      <c r="AA140" s="223">
        <v>13.105</v>
      </c>
      <c r="AB140" s="223">
        <v>12.234</v>
      </c>
      <c r="AC140" s="223">
        <v>11.484999999999999</v>
      </c>
      <c r="AD140" s="223">
        <v>14.715999999999999</v>
      </c>
      <c r="AE140" s="223">
        <v>51.54</v>
      </c>
      <c r="AF140" s="223"/>
      <c r="AG140" s="223">
        <v>12.476000000000001</v>
      </c>
      <c r="AH140" s="223">
        <v>8.2170000000000005</v>
      </c>
      <c r="AI140" s="223">
        <v>5.1470000000000002</v>
      </c>
      <c r="AJ140" s="223">
        <v>9.3290000000000006</v>
      </c>
      <c r="AK140" s="223">
        <f>SUM(AG140:AJ140)</f>
        <v>35.169000000000004</v>
      </c>
      <c r="AL140" s="223"/>
      <c r="AM140" s="223">
        <v>6.5250000000000004</v>
      </c>
      <c r="AN140" s="223">
        <v>4.3490000000000002</v>
      </c>
      <c r="AO140" s="223">
        <v>-1.446</v>
      </c>
      <c r="AP140" s="223">
        <v>-2.8660000000000001</v>
      </c>
      <c r="AQ140" s="223">
        <f>SUM(AM140:AP140)</f>
        <v>6.5620000000000012</v>
      </c>
      <c r="AR140" s="223"/>
      <c r="AS140" s="223">
        <v>2.371</v>
      </c>
      <c r="AT140" s="223">
        <v>-15.590999999999999</v>
      </c>
      <c r="AU140" s="223">
        <v>7.1390000000000002</v>
      </c>
      <c r="AV140" s="223">
        <v>8.9610000000000003</v>
      </c>
      <c r="AW140" s="223">
        <f>SUM(AS140:AV140)</f>
        <v>2.8800000000000017</v>
      </c>
      <c r="AX140" s="223"/>
      <c r="AY140" s="223">
        <v>13.5</v>
      </c>
      <c r="AZ140" s="223">
        <v>12.4</v>
      </c>
      <c r="BA140" s="223">
        <v>-20</v>
      </c>
      <c r="BB140" s="223">
        <v>16.100000000000001</v>
      </c>
      <c r="BC140" s="223">
        <f>SUM(AY140:BB140)</f>
        <v>22</v>
      </c>
      <c r="BD140" s="223"/>
      <c r="BE140" s="223">
        <v>18.8</v>
      </c>
      <c r="BF140" s="223">
        <v>17.5</v>
      </c>
      <c r="BG140" s="223">
        <v>2.7</v>
      </c>
      <c r="BH140" s="223">
        <v>19.100000000000001</v>
      </c>
      <c r="BI140" s="223">
        <f>SUM(BE140:BH140)</f>
        <v>58.1</v>
      </c>
      <c r="BJ140" s="223"/>
      <c r="BK140" s="223">
        <v>14.307</v>
      </c>
      <c r="BL140" s="223">
        <v>18.100000000000001</v>
      </c>
      <c r="BM140" s="223">
        <v>16.600000000000001</v>
      </c>
      <c r="BN140" s="223">
        <v>27.8</v>
      </c>
      <c r="BO140" s="1278">
        <f>SUM(BK140:BN140)</f>
        <v>76.807000000000002</v>
      </c>
      <c r="BP140" s="223"/>
      <c r="BQ140" s="223">
        <v>27.9</v>
      </c>
      <c r="BR140" s="223">
        <v>26.3</v>
      </c>
      <c r="BS140" s="223">
        <v>25.2</v>
      </c>
      <c r="BT140" s="223">
        <v>34.4</v>
      </c>
      <c r="BU140" s="1278">
        <f>SUM(BQ140:BT140)</f>
        <v>113.80000000000001</v>
      </c>
      <c r="BV140" s="223"/>
      <c r="BW140" s="223">
        <v>32.200000000000003</v>
      </c>
      <c r="BX140" s="223">
        <v>35.299999999999997</v>
      </c>
      <c r="BY140" s="223">
        <v>31.7</v>
      </c>
      <c r="BZ140" s="223">
        <v>-30.3</v>
      </c>
      <c r="CA140" s="1278">
        <f>SUM(BW140:BZ140)</f>
        <v>68.900000000000006</v>
      </c>
      <c r="CB140" s="223"/>
      <c r="CC140" s="223">
        <v>12.7</v>
      </c>
      <c r="CD140" s="223">
        <v>2.9</v>
      </c>
      <c r="CE140" s="223">
        <v>2.5</v>
      </c>
      <c r="CF140" s="223">
        <v>8.6</v>
      </c>
      <c r="CG140" s="1278">
        <f>SUM(CC140:CF140)</f>
        <v>26.700000000000003</v>
      </c>
      <c r="CH140" s="223"/>
      <c r="CI140" s="223">
        <v>10.5</v>
      </c>
      <c r="CJ140" s="223">
        <v>20</v>
      </c>
      <c r="CK140" s="223">
        <v>18.100000000000001</v>
      </c>
      <c r="CL140" s="223">
        <v>11.4</v>
      </c>
      <c r="CM140" s="1278">
        <f>SUM(CI140:CL140)</f>
        <v>60</v>
      </c>
      <c r="CN140" s="223"/>
      <c r="CO140" s="223">
        <v>15.2</v>
      </c>
      <c r="CP140" s="223">
        <v>23</v>
      </c>
      <c r="CQ140" s="223">
        <v>18.5</v>
      </c>
      <c r="CR140" s="223">
        <v>20.9</v>
      </c>
      <c r="CS140" s="1278">
        <f>SUM(CO140:CR140)</f>
        <v>77.599999999999994</v>
      </c>
      <c r="CT140" s="223"/>
      <c r="CU140" s="223">
        <v>18.600000000000001</v>
      </c>
      <c r="CV140" s="223">
        <v>27.5</v>
      </c>
      <c r="CW140" s="223">
        <v>4.9000000000000004</v>
      </c>
      <c r="CX140" s="223">
        <v>11.6</v>
      </c>
      <c r="CY140" s="1278">
        <f>SUM(CU140:CX140)</f>
        <v>62.6</v>
      </c>
      <c r="CZ140" s="223"/>
      <c r="DA140" s="223">
        <v>17</v>
      </c>
      <c r="DB140" s="223">
        <v>20.100000000000001</v>
      </c>
      <c r="DC140" s="223">
        <f>11.6</f>
        <v>11.6</v>
      </c>
      <c r="DD140" s="223">
        <v>2.4</v>
      </c>
      <c r="DE140" s="1278">
        <f>SUM(DA140:DD140)</f>
        <v>51.1</v>
      </c>
      <c r="DF140" s="223"/>
      <c r="DG140" s="223">
        <f>7.3</f>
        <v>7.3</v>
      </c>
      <c r="DH140" s="223">
        <v>11.6</v>
      </c>
      <c r="DI140" s="223">
        <v>0.9</v>
      </c>
      <c r="DJ140" s="223">
        <v>-18.600000000000001</v>
      </c>
      <c r="DK140" s="1278">
        <f>SUM(DG140:DJ140)</f>
        <v>1.1999999999999957</v>
      </c>
      <c r="DL140" s="223"/>
      <c r="DM140" s="223">
        <v>2.7</v>
      </c>
      <c r="DN140" s="223">
        <v>236.4</v>
      </c>
      <c r="DO140" s="223">
        <v>21.3</v>
      </c>
      <c r="DP140" s="223">
        <v>11.8</v>
      </c>
      <c r="DQ140" s="1278">
        <f>SUM(DM140:DP140)</f>
        <v>272.2</v>
      </c>
      <c r="DR140" s="223"/>
      <c r="DS140" s="223">
        <v>14.4</v>
      </c>
      <c r="DT140" s="223">
        <v>19.899999999999999</v>
      </c>
      <c r="DU140" s="223">
        <v>13.5</v>
      </c>
      <c r="DV140" s="223">
        <v>2.2999999999999998</v>
      </c>
      <c r="DW140" s="1278">
        <f>SUM(DS140:DV140)</f>
        <v>50.099999999999994</v>
      </c>
      <c r="DX140" s="223"/>
      <c r="DY140" s="223">
        <v>8.1999999999999993</v>
      </c>
      <c r="DZ140" s="223">
        <v>17.600000000000001</v>
      </c>
      <c r="EA140" s="223">
        <v>8.6</v>
      </c>
      <c r="EB140" s="223">
        <v>-24.8</v>
      </c>
      <c r="EC140" s="1278">
        <f>SUM(DY140:EB140)</f>
        <v>9.5999999999999979</v>
      </c>
      <c r="ED140" s="223"/>
      <c r="EE140" s="223">
        <f>EE139*EE141</f>
        <v>13.621000386649424</v>
      </c>
      <c r="EF140" s="223">
        <f>EF139*EF141</f>
        <v>31.143350269190595</v>
      </c>
      <c r="EG140" s="223">
        <f>EG139*EG141</f>
        <v>7.7377984625198266</v>
      </c>
      <c r="EH140" s="223">
        <f>EH139*EH141</f>
        <v>48.717245646564322</v>
      </c>
      <c r="EI140" s="1278">
        <f>SUM(EE140:EH140)</f>
        <v>101.21939476492417</v>
      </c>
      <c r="EJ140" s="223"/>
      <c r="EK140" s="223">
        <f>EK139*EK141</f>
        <v>-15.721360652411574</v>
      </c>
      <c r="EL140" s="223">
        <f>EL139*EL141</f>
        <v>-25.805819972682322</v>
      </c>
      <c r="EM140" s="223">
        <f>EM139*EM141</f>
        <v>33.036561507141705</v>
      </c>
      <c r="EN140" s="223">
        <f>EN139*EN141</f>
        <v>45.029274495162042</v>
      </c>
      <c r="EO140" s="1278">
        <f>SUM(EK140:EN140)</f>
        <v>36.538655377209849</v>
      </c>
      <c r="EP140" s="223"/>
      <c r="EQ140" s="223">
        <f>EQ139*EQ141</f>
        <v>-23.796299868530546</v>
      </c>
      <c r="ER140" s="223">
        <f>ER139*ER141</f>
        <v>-44.279424191954348</v>
      </c>
      <c r="ES140" s="223">
        <f>ES139*ES141</f>
        <v>61.714987683903793</v>
      </c>
      <c r="ET140" s="223">
        <f>ET139*ET141</f>
        <v>88.042691827135144</v>
      </c>
      <c r="EU140" s="1278">
        <f>SUM(EQ140:ET140)</f>
        <v>81.681955450554028</v>
      </c>
      <c r="EV140" s="223"/>
    </row>
    <row r="141" spans="1:152" hidden="1" outlineLevel="1">
      <c r="A141" s="453" t="s">
        <v>6057</v>
      </c>
      <c r="B141" s="520"/>
      <c r="C141" s="454">
        <f>C140/C139</f>
        <v>0.35593220338983023</v>
      </c>
      <c r="D141" s="454">
        <f>D140/D139</f>
        <v>0.42702702702702711</v>
      </c>
      <c r="E141" s="454">
        <f>E140/E139</f>
        <v>0.35164835164835223</v>
      </c>
      <c r="F141" s="454">
        <f>F140/F139</f>
        <v>0.35483870967741904</v>
      </c>
      <c r="G141" s="454">
        <f>G140/G139</f>
        <v>0.37387387387387405</v>
      </c>
      <c r="H141" s="176"/>
      <c r="I141" s="454">
        <f>I140/I139</f>
        <v>-0.46875000000000017</v>
      </c>
      <c r="J141" s="454">
        <f>J140/J139</f>
        <v>0.46575342465753422</v>
      </c>
      <c r="K141" s="454">
        <f>K140/K139</f>
        <v>0.3994778067885118</v>
      </c>
      <c r="L141" s="454">
        <f>L140/L139</f>
        <v>0.36249999999999988</v>
      </c>
      <c r="M141" s="454">
        <f>M140/M139</f>
        <v>0.47234416154521491</v>
      </c>
      <c r="N141" s="176"/>
      <c r="O141" s="454">
        <f>O140/O139</f>
        <v>0.35736172306591196</v>
      </c>
      <c r="P141" s="454">
        <f>P140/P139</f>
        <v>0.43718695696616577</v>
      </c>
      <c r="Q141" s="454">
        <f>Q140/Q139</f>
        <v>0.39394773039889941</v>
      </c>
      <c r="R141" s="454">
        <f>R140/R139</f>
        <v>0.36341229631658212</v>
      </c>
      <c r="S141" s="454">
        <f>S140/S139</f>
        <v>0.3899548426401041</v>
      </c>
      <c r="T141" s="176"/>
      <c r="U141" s="454">
        <f>U140/U139</f>
        <v>-9.107108763444284E-2</v>
      </c>
      <c r="V141" s="454">
        <f>V140/V139</f>
        <v>0.31993006993007683</v>
      </c>
      <c r="W141" s="454">
        <f>W140/W139</f>
        <v>0.31949193942354309</v>
      </c>
      <c r="X141" s="454">
        <f>X140/X139</f>
        <v>0.31996974281391816</v>
      </c>
      <c r="Y141" s="454">
        <f>Y140/Y139</f>
        <v>0.58994189206136671</v>
      </c>
      <c r="Z141" s="176"/>
      <c r="AA141" s="454">
        <f>AA140/AA139</f>
        <v>0.31997753686883507</v>
      </c>
      <c r="AB141" s="454">
        <f>AB140/AB139</f>
        <v>0.31941724759144652</v>
      </c>
      <c r="AC141" s="454">
        <f>AC140/AC139</f>
        <v>0.31998774100078003</v>
      </c>
      <c r="AD141" s="454">
        <f>AD140/AD139</f>
        <v>0.32051924291594974</v>
      </c>
      <c r="AE141" s="454">
        <f>AE140/AE139</f>
        <v>0.32000099340626598</v>
      </c>
      <c r="AF141" s="176"/>
      <c r="AG141" s="454">
        <f>AG140/AG139</f>
        <v>0.29999759540240978</v>
      </c>
      <c r="AH141" s="454">
        <f>AH140/AH139</f>
        <v>0.30000000000000016</v>
      </c>
      <c r="AI141" s="454">
        <f>AI140/AI139</f>
        <v>0.19336539184010826</v>
      </c>
      <c r="AJ141" s="454">
        <f>AJ140/AJ139</f>
        <v>0.2999871374364908</v>
      </c>
      <c r="AK141" s="454">
        <f>AK140/AK139</f>
        <v>0.27759229002391589</v>
      </c>
      <c r="AL141" s="176"/>
      <c r="AM141" s="454">
        <f>AM140/AM139</f>
        <v>0.27000744848133723</v>
      </c>
      <c r="AN141" s="454">
        <f>AN140/AN139</f>
        <v>0.26997330684710386</v>
      </c>
      <c r="AO141" s="454">
        <f>AO140/AO139</f>
        <v>0.26997759522031234</v>
      </c>
      <c r="AP141" s="454">
        <f>AP140/AP139</f>
        <v>-0.80800676628136192</v>
      </c>
      <c r="AQ141" s="454">
        <f>AQ140/AQ139</f>
        <v>0.17059221130348864</v>
      </c>
      <c r="AR141" s="176"/>
      <c r="AS141" s="454">
        <f>AS140/AS139</f>
        <v>0.24000404899281305</v>
      </c>
      <c r="AT141" s="454">
        <f>AT140/AT139</f>
        <v>-0.91652460172829475</v>
      </c>
      <c r="AU141" s="454">
        <f>AU140/AU139</f>
        <v>0.2400067238191293</v>
      </c>
      <c r="AV141" s="454">
        <f>AV140/AV139</f>
        <v>0.13462838599179686</v>
      </c>
      <c r="AW141" s="454">
        <f>AW140/AW139</f>
        <v>2.3377382382544887E-2</v>
      </c>
      <c r="AX141" s="176"/>
      <c r="AY141" s="454">
        <f>AY140/AY139</f>
        <v>0.24273590333716902</v>
      </c>
      <c r="AZ141" s="454">
        <f>AZ140/AZ139</f>
        <v>0.2412451361867704</v>
      </c>
      <c r="BA141" s="454">
        <f>BA140/BA139</f>
        <v>-0.36444476839534973</v>
      </c>
      <c r="BB141" s="454">
        <f>BB140/BB139</f>
        <v>0.19805877794043489</v>
      </c>
      <c r="BC141" s="454">
        <f>BC140/BC139</f>
        <v>9.046685006764453E-2</v>
      </c>
      <c r="BD141" s="176"/>
      <c r="BE141" s="454">
        <f>BE140/BE139</f>
        <v>0.19461697722567295</v>
      </c>
      <c r="BF141" s="454">
        <f>BF140/BF139</f>
        <v>0.18577494692144381</v>
      </c>
      <c r="BG141" s="454">
        <f>BG140/BG139</f>
        <v>2.7439024390243899E-2</v>
      </c>
      <c r="BH141" s="454">
        <f>BH140/BH139</f>
        <v>0.18634146341463415</v>
      </c>
      <c r="BI141" s="454">
        <f>BI140/BI139</f>
        <v>0.14832780188920094</v>
      </c>
      <c r="BJ141" s="176"/>
      <c r="BK141" s="454">
        <f>BK140/BK139</f>
        <v>0.22779308038912868</v>
      </c>
      <c r="BL141" s="454">
        <f>BL101</f>
        <v>0.18483816013628615</v>
      </c>
      <c r="BM141" s="454">
        <f>BM101</f>
        <v>0.23220640569395024</v>
      </c>
      <c r="BN141" s="454">
        <f>BN101</f>
        <v>0.2280821917808219</v>
      </c>
      <c r="BO141" s="1265">
        <f>BO140/BO139</f>
        <v>0.20956489234857725</v>
      </c>
      <c r="BP141" s="176"/>
      <c r="BQ141" s="454">
        <f>BQ140/BQ139</f>
        <v>0.25089928057553945</v>
      </c>
      <c r="BR141" s="454">
        <f>BR140/BR139</f>
        <v>0.22307039864291761</v>
      </c>
      <c r="BS141" s="454">
        <f>BS140/BS139</f>
        <v>0.22909090909090918</v>
      </c>
      <c r="BT141" s="454">
        <f>BT140/BT139</f>
        <v>0.26279602750190983</v>
      </c>
      <c r="BU141" s="1265">
        <f>BU140/BU139</f>
        <v>0.24212765957446808</v>
      </c>
      <c r="BV141" s="176"/>
      <c r="BW141" s="454">
        <f>BW140/BW139</f>
        <v>0.25394321766561534</v>
      </c>
      <c r="BX141" s="454">
        <f>BX140/BX139</f>
        <v>0.28217426059152678</v>
      </c>
      <c r="BY141" s="454">
        <f>BY140/BY139</f>
        <v>0.23274596182085155</v>
      </c>
      <c r="BZ141" s="454">
        <f>BZ140/BZ139</f>
        <v>0.22345132743362828</v>
      </c>
      <c r="CA141" s="1265">
        <f>CA140/CA139</f>
        <v>0.27287128712871295</v>
      </c>
      <c r="CB141" s="176"/>
      <c r="CC141" s="454">
        <f>CC140/CC139</f>
        <v>-0.65463917525773219</v>
      </c>
      <c r="CD141" s="454">
        <f>CD140/CD139</f>
        <v>0.2164179104477619</v>
      </c>
      <c r="CE141" s="454">
        <f>CE140/CE139</f>
        <v>7.8125000000000083E-2</v>
      </c>
      <c r="CF141" s="454">
        <f>CF140/CF139</f>
        <v>0.14650766609880764</v>
      </c>
      <c r="CG141" s="1265">
        <f>CG140/CG139</f>
        <v>0.3152302243211339</v>
      </c>
      <c r="CH141" s="176"/>
      <c r="CI141" s="454">
        <f>CI140/CI139</f>
        <v>0.22151898734177203</v>
      </c>
      <c r="CJ141" s="454">
        <f>CJ140/CJ139</f>
        <v>0.25031289111389254</v>
      </c>
      <c r="CK141" s="454">
        <f>CK140/CK139</f>
        <v>0.25244072524407268</v>
      </c>
      <c r="CL141" s="454">
        <f>CL140/CL139</f>
        <v>0.15616438356164378</v>
      </c>
      <c r="CM141" s="1265">
        <f>CM140/CM139</f>
        <v>0.22058823529411764</v>
      </c>
      <c r="CN141" s="176"/>
      <c r="CO141" s="454">
        <f>CO140/CO139</f>
        <v>0.17988165680473378</v>
      </c>
      <c r="CP141" s="454">
        <f>CP140/CP139</f>
        <v>0.24416135881104029</v>
      </c>
      <c r="CQ141" s="454">
        <f>CQ140/CQ139</f>
        <v>0.20262869660460045</v>
      </c>
      <c r="CR141" s="454">
        <f>CR140/CR139</f>
        <v>0.22497308934338001</v>
      </c>
      <c r="CS141" s="1265">
        <f>CS140/CS139</f>
        <v>0.21383301184899431</v>
      </c>
      <c r="CT141" s="176"/>
      <c r="CU141" s="454">
        <f>CU140/CU139</f>
        <v>0.19076923076923077</v>
      </c>
      <c r="CV141" s="454">
        <f>CV140/CV139</f>
        <v>0.282340862422998</v>
      </c>
      <c r="CW141" s="454">
        <f>CW140/CW139</f>
        <v>0.14369501466275664</v>
      </c>
      <c r="CX141" s="454">
        <f>CX140/CX139</f>
        <v>0.13425925925925938</v>
      </c>
      <c r="CY141" s="1265">
        <f>CY140/CY139</f>
        <v>0.19847812301838941</v>
      </c>
      <c r="CZ141" s="176"/>
      <c r="DA141" s="454">
        <f>DA140/DA139</f>
        <v>0.23287671232876739</v>
      </c>
      <c r="DB141" s="454">
        <f>DB140/DB139</f>
        <v>0.24014336917562701</v>
      </c>
      <c r="DC141" s="454">
        <f>DC140/DC139</f>
        <v>0.16835994194484755</v>
      </c>
      <c r="DD141" s="454">
        <f>DD140/DD139</f>
        <v>4.2031523642732188E-2</v>
      </c>
      <c r="DE141" s="1265">
        <f>DE140/DE139</f>
        <v>0.18075698620445715</v>
      </c>
      <c r="DF141" s="176"/>
      <c r="DG141" s="454">
        <f>DG140/DG139</f>
        <v>0.20505617977528093</v>
      </c>
      <c r="DH141" s="454">
        <f>DH140/DH139</f>
        <v>0.25108225108225157</v>
      </c>
      <c r="DI141" s="454">
        <f>DI140/DI139</f>
        <v>7.7586206896551671E-2</v>
      </c>
      <c r="DJ141" s="454">
        <f>DJ140/DJ139</f>
        <v>-2.1627906976744193</v>
      </c>
      <c r="DK141" s="1265">
        <f>DK140/DK139</f>
        <v>1.176470588235291E-2</v>
      </c>
      <c r="DL141" s="176"/>
      <c r="DM141" s="454">
        <f>DM140/DM139</f>
        <v>0.12385321100917424</v>
      </c>
      <c r="DN141" s="454">
        <f>DN140/DN139</f>
        <v>262.66666666665503</v>
      </c>
      <c r="DO141" s="454">
        <f>DO140/DO139</f>
        <v>-0.95089285714285299</v>
      </c>
      <c r="DP141" s="454">
        <f>DP140/DP139</f>
        <v>-0.56459330143540554</v>
      </c>
      <c r="DQ141" s="1265">
        <f>DQ140/DQ139</f>
        <v>-13.213592233009653</v>
      </c>
      <c r="DR141" s="176"/>
      <c r="DS141" s="454">
        <f>DS140/DS139</f>
        <v>-9.0796970407754071E-2</v>
      </c>
      <c r="DT141" s="454">
        <f>DT140/DT139</f>
        <v>-0.27260273972602755</v>
      </c>
      <c r="DU141" s="454">
        <f>DU140/DU139</f>
        <v>-0.10440835266821347</v>
      </c>
      <c r="DV141" s="454">
        <f>DV140/DV139</f>
        <v>-1.3674197384066587E-2</v>
      </c>
      <c r="DW141" s="2084">
        <f>DW140/DW139</f>
        <v>-9.4689882130941927E-2</v>
      </c>
      <c r="DX141" s="176"/>
      <c r="DY141" s="454">
        <f>DY140/DY139</f>
        <v>-6.7545304777594753E-2</v>
      </c>
      <c r="DZ141" s="454">
        <f>DZ140/DZ139</f>
        <v>-0.13924050632911386</v>
      </c>
      <c r="EA141" s="454">
        <f>EA140/EA139</f>
        <v>-7.7338129496402841E-2</v>
      </c>
      <c r="EB141" s="454">
        <f>EB140/EB139</f>
        <v>0.12506303580433684</v>
      </c>
      <c r="EC141" s="2084">
        <f>EC140/EC139</f>
        <v>-1.7225910640588541E-2</v>
      </c>
      <c r="ED141" s="176"/>
      <c r="EE141" s="457">
        <v>-0.17</v>
      </c>
      <c r="EF141" s="457">
        <v>-1</v>
      </c>
      <c r="EG141" s="457">
        <v>1.2</v>
      </c>
      <c r="EH141" s="457">
        <v>1.1499999999999999</v>
      </c>
      <c r="EI141" s="1265">
        <f>EI140/EI139</f>
        <v>-1.6206539983186343</v>
      </c>
      <c r="EJ141" s="176"/>
      <c r="EK141" s="457">
        <v>-0.21</v>
      </c>
      <c r="EL141" s="457">
        <f>EK141</f>
        <v>-0.21</v>
      </c>
      <c r="EM141" s="457">
        <v>0.21</v>
      </c>
      <c r="EN141" s="457">
        <f>EM141</f>
        <v>0.21</v>
      </c>
      <c r="EO141" s="1265">
        <f>EO140/EO139</f>
        <v>6.4160248195095929E-2</v>
      </c>
      <c r="EP141" s="176"/>
      <c r="EQ141" s="457">
        <v>-0.21</v>
      </c>
      <c r="ER141" s="457">
        <f>EQ141</f>
        <v>-0.21</v>
      </c>
      <c r="ES141" s="457">
        <v>0.21</v>
      </c>
      <c r="ET141" s="457">
        <f>ES141</f>
        <v>0.21</v>
      </c>
      <c r="EU141" s="1265">
        <f>EU140/EU139</f>
        <v>7.874462944331781E-2</v>
      </c>
      <c r="EV141" s="176"/>
    </row>
    <row r="142" spans="1:152" ht="5.25" hidden="1" customHeight="1" outlineLevel="1">
      <c r="A142" s="453"/>
      <c r="B142" s="520"/>
      <c r="C142" s="454"/>
      <c r="D142" s="454"/>
      <c r="E142" s="454"/>
      <c r="F142" s="454"/>
      <c r="G142" s="454"/>
      <c r="H142" s="176"/>
      <c r="I142" s="454"/>
      <c r="J142" s="454"/>
      <c r="K142" s="454"/>
      <c r="L142" s="454"/>
      <c r="M142" s="454"/>
      <c r="N142" s="176"/>
      <c r="O142" s="454"/>
      <c r="P142" s="454"/>
      <c r="Q142" s="454"/>
      <c r="R142" s="454"/>
      <c r="S142" s="454"/>
      <c r="T142" s="176"/>
      <c r="U142" s="454"/>
      <c r="V142" s="454"/>
      <c r="W142" s="454"/>
      <c r="X142" s="454"/>
      <c r="Y142" s="454"/>
      <c r="Z142" s="176"/>
      <c r="AA142" s="454"/>
      <c r="AB142" s="454"/>
      <c r="AC142" s="454"/>
      <c r="AD142" s="454"/>
      <c r="AE142" s="454"/>
      <c r="AF142" s="176"/>
      <c r="AG142" s="454"/>
      <c r="AH142" s="454"/>
      <c r="AI142" s="454"/>
      <c r="AJ142" s="454"/>
      <c r="AK142" s="454"/>
      <c r="AL142" s="176"/>
      <c r="AM142" s="454"/>
      <c r="AN142" s="454"/>
      <c r="AO142" s="454"/>
      <c r="AP142" s="454"/>
      <c r="AQ142" s="454"/>
      <c r="AR142" s="176"/>
      <c r="AS142" s="454"/>
      <c r="AT142" s="454"/>
      <c r="AU142" s="454"/>
      <c r="AV142" s="454"/>
      <c r="AW142" s="454"/>
      <c r="AX142" s="176"/>
      <c r="AY142" s="454"/>
      <c r="AZ142" s="454"/>
      <c r="BA142" s="454"/>
      <c r="BB142" s="454"/>
      <c r="BC142" s="454"/>
      <c r="BD142" s="176"/>
      <c r="BE142" s="454"/>
      <c r="BF142" s="454"/>
      <c r="BG142" s="454"/>
      <c r="BH142" s="454"/>
      <c r="BI142" s="454"/>
      <c r="BJ142" s="176"/>
      <c r="BK142" s="454"/>
      <c r="BL142" s="454"/>
      <c r="BM142" s="454"/>
      <c r="BN142" s="454"/>
      <c r="BO142" s="1265"/>
      <c r="BP142" s="176"/>
      <c r="BQ142" s="454"/>
      <c r="BR142" s="454"/>
      <c r="BS142" s="454"/>
      <c r="BT142" s="454"/>
      <c r="BU142" s="1265"/>
      <c r="BV142" s="176"/>
      <c r="BW142" s="454"/>
      <c r="BX142" s="454"/>
      <c r="BY142" s="454"/>
      <c r="BZ142" s="454"/>
      <c r="CA142" s="1265"/>
      <c r="CB142" s="176"/>
      <c r="CC142" s="454"/>
      <c r="CD142" s="454"/>
      <c r="CE142" s="454"/>
      <c r="CF142" s="454"/>
      <c r="CG142" s="1265"/>
      <c r="CH142" s="176"/>
      <c r="CI142" s="454"/>
      <c r="CJ142" s="454"/>
      <c r="CK142" s="454"/>
      <c r="CL142" s="454"/>
      <c r="CM142" s="1265"/>
      <c r="CN142" s="176"/>
      <c r="CO142" s="454"/>
      <c r="CP142" s="454"/>
      <c r="CQ142" s="454"/>
      <c r="CR142" s="454"/>
      <c r="CS142" s="1265"/>
      <c r="CT142" s="176"/>
      <c r="CU142" s="454"/>
      <c r="CV142" s="454"/>
      <c r="CW142" s="454"/>
      <c r="CX142" s="454"/>
      <c r="CY142" s="1265"/>
      <c r="CZ142" s="176"/>
      <c r="DA142" s="454"/>
      <c r="DB142" s="454"/>
      <c r="DC142" s="454"/>
      <c r="DD142" s="454"/>
      <c r="DE142" s="1265"/>
      <c r="DF142" s="176"/>
      <c r="DG142" s="454"/>
      <c r="DH142" s="454"/>
      <c r="DI142" s="454"/>
      <c r="DJ142" s="454"/>
      <c r="DK142" s="1265"/>
      <c r="DL142" s="176"/>
      <c r="DM142" s="454"/>
      <c r="DN142" s="454"/>
      <c r="DO142" s="454"/>
      <c r="DP142" s="454"/>
      <c r="DQ142" s="1265"/>
      <c r="DR142" s="176"/>
      <c r="DS142" s="454"/>
      <c r="DT142" s="454"/>
      <c r="DU142" s="454"/>
      <c r="DV142" s="454"/>
      <c r="DW142" s="1265"/>
      <c r="DX142" s="176"/>
      <c r="DY142" s="454"/>
      <c r="DZ142" s="454"/>
      <c r="EA142" s="454"/>
      <c r="EB142" s="454"/>
      <c r="EC142" s="1265"/>
      <c r="ED142" s="176"/>
      <c r="EE142" s="454"/>
      <c r="EF142" s="454"/>
      <c r="EG142" s="454"/>
      <c r="EH142" s="454"/>
      <c r="EI142" s="1265"/>
      <c r="EJ142" s="176"/>
      <c r="EK142" s="454"/>
      <c r="EL142" s="454"/>
      <c r="EM142" s="454"/>
      <c r="EN142" s="454"/>
      <c r="EO142" s="1265"/>
      <c r="EP142" s="176"/>
      <c r="EQ142" s="454"/>
      <c r="ER142" s="454"/>
      <c r="ES142" s="454"/>
      <c r="ET142" s="454"/>
      <c r="EU142" s="1265"/>
      <c r="EV142" s="176"/>
    </row>
    <row r="143" spans="1:152" hidden="1" outlineLevel="1">
      <c r="A143" s="1559" t="s">
        <v>5152</v>
      </c>
      <c r="B143" s="1560"/>
      <c r="C143" s="1561"/>
      <c r="D143" s="1561"/>
      <c r="E143" s="1561"/>
      <c r="F143" s="1561"/>
      <c r="G143" s="1561"/>
      <c r="H143" s="1562"/>
      <c r="I143" s="1561"/>
      <c r="J143" s="1561"/>
      <c r="K143" s="1561"/>
      <c r="L143" s="1561"/>
      <c r="M143" s="1561"/>
      <c r="N143" s="1562"/>
      <c r="O143" s="1561"/>
      <c r="P143" s="1561"/>
      <c r="Q143" s="1561"/>
      <c r="R143" s="1561"/>
      <c r="S143" s="1561"/>
      <c r="T143" s="1562"/>
      <c r="U143" s="1561"/>
      <c r="V143" s="1561"/>
      <c r="W143" s="1561"/>
      <c r="X143" s="1561"/>
      <c r="Y143" s="1561"/>
      <c r="Z143" s="1562"/>
      <c r="AA143" s="1561"/>
      <c r="AB143" s="1561"/>
      <c r="AC143" s="1561"/>
      <c r="AD143" s="1561"/>
      <c r="AE143" s="1561"/>
      <c r="AF143" s="1562"/>
      <c r="AG143" s="1561"/>
      <c r="AH143" s="1561"/>
      <c r="AI143" s="1561"/>
      <c r="AJ143" s="1561"/>
      <c r="AK143" s="1561"/>
      <c r="AL143" s="1562"/>
      <c r="AM143" s="1561"/>
      <c r="AN143" s="1561"/>
      <c r="AO143" s="1561"/>
      <c r="AP143" s="1561"/>
      <c r="AQ143" s="1561"/>
      <c r="AR143" s="1562"/>
      <c r="AS143" s="1561"/>
      <c r="AT143" s="1561"/>
      <c r="AU143" s="1561"/>
      <c r="AV143" s="1561"/>
      <c r="AW143" s="1563">
        <v>-19.3</v>
      </c>
      <c r="AX143" s="1562"/>
      <c r="AY143" s="1561"/>
      <c r="AZ143" s="1561"/>
      <c r="BA143" s="1561"/>
      <c r="BB143" s="1561"/>
      <c r="BC143" s="1563">
        <v>16.5</v>
      </c>
      <c r="BD143" s="1562"/>
      <c r="BE143" s="1563"/>
      <c r="BF143" s="1563"/>
      <c r="BG143" s="1563"/>
      <c r="BH143" s="1563"/>
      <c r="BI143" s="1563">
        <v>44.2</v>
      </c>
      <c r="BJ143" s="1563"/>
      <c r="BK143" s="1563"/>
      <c r="BL143" s="1563"/>
      <c r="BM143" s="1563"/>
      <c r="BN143" s="1563"/>
      <c r="BO143" s="1564">
        <v>14.7</v>
      </c>
      <c r="BP143" s="1563"/>
      <c r="BQ143" s="1563"/>
      <c r="BR143" s="1563"/>
      <c r="BS143" s="1563"/>
      <c r="BT143" s="1563"/>
      <c r="BU143" s="1564">
        <v>47.1</v>
      </c>
      <c r="BV143" s="1563"/>
      <c r="BW143" s="1563"/>
      <c r="BX143" s="1563"/>
      <c r="BY143" s="1563"/>
      <c r="BZ143" s="1563"/>
      <c r="CA143" s="1564">
        <v>63.4</v>
      </c>
      <c r="CB143" s="1563"/>
      <c r="CC143" s="1563"/>
      <c r="CD143" s="1563"/>
      <c r="CE143" s="1563"/>
      <c r="CF143" s="1563"/>
      <c r="CG143" s="1564">
        <v>42.1</v>
      </c>
      <c r="CH143" s="1562"/>
      <c r="CI143" s="1561"/>
      <c r="CJ143" s="1561"/>
      <c r="CK143" s="1561"/>
      <c r="CL143" s="1561"/>
      <c r="CM143" s="1565"/>
      <c r="CN143" s="1562"/>
      <c r="CO143" s="1561"/>
      <c r="CP143" s="1561"/>
      <c r="CQ143" s="1561"/>
      <c r="CR143" s="1561"/>
      <c r="CS143" s="1565"/>
      <c r="CT143" s="1562"/>
      <c r="CU143" s="1561"/>
      <c r="CV143" s="1561"/>
      <c r="CW143" s="1561"/>
      <c r="CX143" s="1561"/>
      <c r="CY143" s="1565"/>
      <c r="CZ143" s="1562"/>
      <c r="DA143" s="1561"/>
      <c r="DB143" s="1561"/>
      <c r="DC143" s="1561"/>
      <c r="DD143" s="1561"/>
      <c r="DE143" s="1565"/>
      <c r="DF143" s="1562"/>
      <c r="DG143" s="1561"/>
      <c r="DH143" s="1561"/>
      <c r="DI143" s="1561"/>
      <c r="DJ143" s="1561"/>
      <c r="DK143" s="1565"/>
      <c r="DL143" s="1562"/>
      <c r="DM143" s="1561"/>
      <c r="DN143" s="1561"/>
      <c r="DO143" s="1561"/>
      <c r="DP143" s="1561"/>
      <c r="DQ143" s="1565"/>
      <c r="DR143" s="1562"/>
      <c r="DS143" s="1561"/>
      <c r="DT143" s="1561"/>
      <c r="DU143" s="1561"/>
      <c r="DV143" s="1561"/>
      <c r="DW143" s="1565"/>
      <c r="DX143" s="1562"/>
      <c r="DY143" s="1561"/>
      <c r="DZ143" s="1561"/>
      <c r="EA143" s="1561"/>
      <c r="EB143" s="1561"/>
      <c r="EC143" s="1565"/>
      <c r="ED143" s="1562"/>
      <c r="EE143" s="1561"/>
      <c r="EF143" s="1561"/>
      <c r="EG143" s="1561"/>
      <c r="EH143" s="1561"/>
      <c r="EI143" s="1565"/>
      <c r="EJ143" s="1562"/>
      <c r="EK143" s="1561"/>
      <c r="EL143" s="1561"/>
      <c r="EM143" s="1561"/>
      <c r="EN143" s="1561"/>
      <c r="EO143" s="1565"/>
      <c r="EP143" s="1562"/>
      <c r="EQ143" s="1561"/>
      <c r="ER143" s="1561"/>
      <c r="ES143" s="1561"/>
      <c r="ET143" s="1561"/>
      <c r="EU143" s="1565"/>
      <c r="EV143" s="176"/>
    </row>
    <row r="144" spans="1:152" hidden="1" outlineLevel="1">
      <c r="A144" s="1559" t="s">
        <v>5153</v>
      </c>
      <c r="B144" s="1560"/>
      <c r="C144" s="1561"/>
      <c r="D144" s="1561"/>
      <c r="E144" s="1561"/>
      <c r="F144" s="1561"/>
      <c r="G144" s="1561"/>
      <c r="H144" s="1562"/>
      <c r="I144" s="1561"/>
      <c r="J144" s="1561"/>
      <c r="K144" s="1561"/>
      <c r="L144" s="1561"/>
      <c r="M144" s="1561"/>
      <c r="N144" s="1562"/>
      <c r="O144" s="1561"/>
      <c r="P144" s="1561"/>
      <c r="Q144" s="1561"/>
      <c r="R144" s="1561"/>
      <c r="S144" s="1561"/>
      <c r="T144" s="1562"/>
      <c r="U144" s="1561"/>
      <c r="V144" s="1561"/>
      <c r="W144" s="1561"/>
      <c r="X144" s="1561"/>
      <c r="Y144" s="1561"/>
      <c r="Z144" s="1562"/>
      <c r="AA144" s="1561"/>
      <c r="AB144" s="1561"/>
      <c r="AC144" s="1561"/>
      <c r="AD144" s="1561"/>
      <c r="AE144" s="1561"/>
      <c r="AF144" s="1562"/>
      <c r="AG144" s="1561"/>
      <c r="AH144" s="1561"/>
      <c r="AI144" s="1561"/>
      <c r="AJ144" s="1561"/>
      <c r="AK144" s="1561"/>
      <c r="AL144" s="1562"/>
      <c r="AM144" s="1561"/>
      <c r="AN144" s="1561"/>
      <c r="AO144" s="1561"/>
      <c r="AP144" s="1561"/>
      <c r="AQ144" s="1561"/>
      <c r="AR144" s="1562"/>
      <c r="AS144" s="1561"/>
      <c r="AT144" s="1561"/>
      <c r="AU144" s="1561"/>
      <c r="AV144" s="1561"/>
      <c r="AW144" s="1566">
        <f>AW143/AW139</f>
        <v>-0.15666093054969307</v>
      </c>
      <c r="AX144" s="1562"/>
      <c r="AY144" s="1561"/>
      <c r="AZ144" s="1561"/>
      <c r="BA144" s="1561"/>
      <c r="BB144" s="1561"/>
      <c r="BC144" s="1566">
        <f>BC143/BC139</f>
        <v>6.7850137550733394E-2</v>
      </c>
      <c r="BD144" s="1562"/>
      <c r="BE144" s="1563"/>
      <c r="BF144" s="1563"/>
      <c r="BG144" s="1563"/>
      <c r="BH144" s="1563"/>
      <c r="BI144" s="1566">
        <f>BI143/BI139</f>
        <v>0.11284146030125099</v>
      </c>
      <c r="BJ144" s="1563"/>
      <c r="BK144" s="1563"/>
      <c r="BL144" s="1563"/>
      <c r="BM144" s="1563"/>
      <c r="BN144" s="1563"/>
      <c r="BO144" s="1567">
        <f>BO143/BO139</f>
        <v>4.0108374464880615E-2</v>
      </c>
      <c r="BP144" s="1563"/>
      <c r="BQ144" s="1563"/>
      <c r="BR144" s="1563"/>
      <c r="BS144" s="1563"/>
      <c r="BT144" s="1563"/>
      <c r="BU144" s="1567">
        <f>BU143/BU139</f>
        <v>0.1002127659574468</v>
      </c>
      <c r="BV144" s="1563"/>
      <c r="BW144" s="1563"/>
      <c r="BX144" s="1563"/>
      <c r="BY144" s="1563"/>
      <c r="BZ144" s="1563"/>
      <c r="CA144" s="1567">
        <f>CA143/CA139</f>
        <v>0.25108910891089115</v>
      </c>
      <c r="CB144" s="1563"/>
      <c r="CC144" s="1563"/>
      <c r="CD144" s="1563"/>
      <c r="CE144" s="1563"/>
      <c r="CF144" s="1563"/>
      <c r="CG144" s="1567">
        <f>CG143/CG139</f>
        <v>0.497048406139316</v>
      </c>
      <c r="CH144" s="1562"/>
      <c r="CI144" s="1561"/>
      <c r="CJ144" s="1561"/>
      <c r="CK144" s="1561"/>
      <c r="CL144" s="1561"/>
      <c r="CM144" s="1565"/>
      <c r="CN144" s="1562"/>
      <c r="CO144" s="1561"/>
      <c r="CP144" s="1561"/>
      <c r="CQ144" s="1561"/>
      <c r="CR144" s="1561"/>
      <c r="CS144" s="1565"/>
      <c r="CT144" s="1562"/>
      <c r="CU144" s="1561"/>
      <c r="CV144" s="1561"/>
      <c r="CW144" s="1561"/>
      <c r="CX144" s="1561"/>
      <c r="CY144" s="1565"/>
      <c r="CZ144" s="1562"/>
      <c r="DA144" s="1561"/>
      <c r="DB144" s="1561"/>
      <c r="DC144" s="1561"/>
      <c r="DD144" s="1561"/>
      <c r="DE144" s="1565"/>
      <c r="DF144" s="1562"/>
      <c r="DG144" s="1561"/>
      <c r="DH144" s="1561"/>
      <c r="DI144" s="1561"/>
      <c r="DJ144" s="1561"/>
      <c r="DK144" s="1565"/>
      <c r="DL144" s="1562"/>
      <c r="DM144" s="1561"/>
      <c r="DN144" s="1561"/>
      <c r="DO144" s="1561"/>
      <c r="DP144" s="1561"/>
      <c r="DQ144" s="1565"/>
      <c r="DR144" s="1562"/>
      <c r="DS144" s="1561"/>
      <c r="DT144" s="1561"/>
      <c r="DU144" s="1561"/>
      <c r="DV144" s="1561"/>
      <c r="DW144" s="1565"/>
      <c r="DX144" s="1562"/>
      <c r="DY144" s="1561"/>
      <c r="DZ144" s="1561"/>
      <c r="EA144" s="1561"/>
      <c r="EB144" s="1561"/>
      <c r="EC144" s="1565"/>
      <c r="ED144" s="1562"/>
      <c r="EE144" s="1561"/>
      <c r="EF144" s="1561"/>
      <c r="EG144" s="1561"/>
      <c r="EH144" s="1561"/>
      <c r="EI144" s="1565"/>
      <c r="EJ144" s="1562"/>
      <c r="EK144" s="1561"/>
      <c r="EL144" s="1561"/>
      <c r="EM144" s="1561"/>
      <c r="EN144" s="1561"/>
      <c r="EO144" s="1565"/>
      <c r="EP144" s="1562"/>
      <c r="EQ144" s="1561"/>
      <c r="ER144" s="1561"/>
      <c r="ES144" s="1561"/>
      <c r="ET144" s="1561"/>
      <c r="EU144" s="1565"/>
      <c r="EV144" s="176"/>
    </row>
    <row r="145" spans="1:152" ht="4.5" hidden="1" customHeight="1" outlineLevel="1">
      <c r="A145" s="453"/>
      <c r="B145" s="520"/>
      <c r="C145" s="454"/>
      <c r="D145" s="454"/>
      <c r="E145" s="454"/>
      <c r="F145" s="454"/>
      <c r="G145" s="454"/>
      <c r="H145" s="176"/>
      <c r="I145" s="454"/>
      <c r="J145" s="454"/>
      <c r="K145" s="454"/>
      <c r="L145" s="454"/>
      <c r="M145" s="454"/>
      <c r="N145" s="176"/>
      <c r="O145" s="454"/>
      <c r="P145" s="454"/>
      <c r="Q145" s="454"/>
      <c r="R145" s="454"/>
      <c r="S145" s="454"/>
      <c r="T145" s="176"/>
      <c r="U145" s="454"/>
      <c r="V145" s="454"/>
      <c r="W145" s="454"/>
      <c r="X145" s="454"/>
      <c r="Y145" s="454"/>
      <c r="Z145" s="176"/>
      <c r="AA145" s="454"/>
      <c r="AB145" s="454"/>
      <c r="AC145" s="454"/>
      <c r="AD145" s="454"/>
      <c r="AE145" s="454"/>
      <c r="AF145" s="176"/>
      <c r="AG145" s="454"/>
      <c r="AH145" s="454"/>
      <c r="AI145" s="454"/>
      <c r="AJ145" s="454"/>
      <c r="AK145" s="454"/>
      <c r="AL145" s="176"/>
      <c r="AM145" s="454"/>
      <c r="AN145" s="454"/>
      <c r="AO145" s="454"/>
      <c r="AP145" s="454"/>
      <c r="AQ145" s="454"/>
      <c r="AR145" s="176"/>
      <c r="AS145" s="454"/>
      <c r="AT145" s="454"/>
      <c r="AU145" s="454"/>
      <c r="AV145" s="454"/>
      <c r="AW145" s="454"/>
      <c r="AX145" s="176"/>
      <c r="AY145" s="454"/>
      <c r="AZ145" s="454"/>
      <c r="BA145" s="454"/>
      <c r="BB145" s="454"/>
      <c r="BC145" s="454"/>
      <c r="BD145" s="176"/>
      <c r="BE145" s="454"/>
      <c r="BF145" s="454"/>
      <c r="BG145" s="454"/>
      <c r="BH145" s="454"/>
      <c r="BI145" s="454"/>
      <c r="BJ145" s="176"/>
      <c r="BK145" s="454"/>
      <c r="BL145" s="454"/>
      <c r="BM145" s="454"/>
      <c r="BN145" s="454"/>
      <c r="BO145" s="1265"/>
      <c r="BP145" s="176"/>
      <c r="BQ145" s="454"/>
      <c r="BR145" s="454"/>
      <c r="BS145" s="454"/>
      <c r="BT145" s="454"/>
      <c r="BU145" s="1265"/>
      <c r="BV145" s="176"/>
      <c r="BW145" s="454"/>
      <c r="BX145" s="454"/>
      <c r="BY145" s="454"/>
      <c r="BZ145" s="454"/>
      <c r="CA145" s="1265"/>
      <c r="CB145" s="176"/>
      <c r="CC145" s="454"/>
      <c r="CD145" s="454"/>
      <c r="CE145" s="454"/>
      <c r="CF145" s="454"/>
      <c r="CG145" s="1265"/>
      <c r="CH145" s="176"/>
      <c r="CI145" s="454"/>
      <c r="CJ145" s="454"/>
      <c r="CK145" s="454"/>
      <c r="CL145" s="454"/>
      <c r="CM145" s="1265"/>
      <c r="CN145" s="176"/>
      <c r="CO145" s="454"/>
      <c r="CP145" s="454"/>
      <c r="CQ145" s="454"/>
      <c r="CR145" s="454"/>
      <c r="CS145" s="1265"/>
      <c r="CT145" s="176"/>
      <c r="CU145" s="454"/>
      <c r="CV145" s="454"/>
      <c r="CW145" s="454"/>
      <c r="CX145" s="454"/>
      <c r="CY145" s="1265"/>
      <c r="CZ145" s="176"/>
      <c r="DA145" s="454"/>
      <c r="DB145" s="454"/>
      <c r="DC145" s="454"/>
      <c r="DD145" s="454"/>
      <c r="DE145" s="1265"/>
      <c r="DF145" s="176"/>
      <c r="DG145" s="454"/>
      <c r="DH145" s="454"/>
      <c r="DI145" s="454"/>
      <c r="DJ145" s="454"/>
      <c r="DK145" s="1265"/>
      <c r="DL145" s="176"/>
      <c r="DM145" s="454"/>
      <c r="DN145" s="454"/>
      <c r="DO145" s="454"/>
      <c r="DP145" s="454"/>
      <c r="DQ145" s="1265"/>
      <c r="DR145" s="176"/>
      <c r="DS145" s="454"/>
      <c r="DT145" s="454"/>
      <c r="DU145" s="454"/>
      <c r="DV145" s="454"/>
      <c r="DW145" s="1265"/>
      <c r="DX145" s="176"/>
      <c r="DY145" s="454"/>
      <c r="DZ145" s="454"/>
      <c r="EA145" s="454"/>
      <c r="EB145" s="454"/>
      <c r="EC145" s="1265"/>
      <c r="ED145" s="176"/>
      <c r="EE145" s="454"/>
      <c r="EF145" s="454"/>
      <c r="EG145" s="454"/>
      <c r="EH145" s="454"/>
      <c r="EI145" s="1265"/>
      <c r="EJ145" s="176"/>
      <c r="EK145" s="454"/>
      <c r="EL145" s="454"/>
      <c r="EM145" s="454"/>
      <c r="EN145" s="454"/>
      <c r="EO145" s="1265"/>
      <c r="EP145" s="176"/>
      <c r="EQ145" s="454"/>
      <c r="ER145" s="454"/>
      <c r="ES145" s="454"/>
      <c r="ET145" s="454"/>
      <c r="EU145" s="1265"/>
      <c r="EV145" s="176"/>
    </row>
    <row r="146" spans="1:152" hidden="1" outlineLevel="1">
      <c r="A146" s="25" t="s">
        <v>6040</v>
      </c>
      <c r="B146" s="520"/>
      <c r="C146" s="617">
        <f>C103</f>
        <v>0</v>
      </c>
      <c r="D146" s="617">
        <f>D103</f>
        <v>0</v>
      </c>
      <c r="E146" s="617">
        <f>E103</f>
        <v>0</v>
      </c>
      <c r="F146" s="617">
        <f>F103</f>
        <v>0</v>
      </c>
      <c r="G146" s="618">
        <f>SUM(C146:F146)</f>
        <v>0</v>
      </c>
      <c r="H146" s="168"/>
      <c r="I146" s="617">
        <f>I103</f>
        <v>0</v>
      </c>
      <c r="J146" s="617">
        <f>J103</f>
        <v>0</v>
      </c>
      <c r="K146" s="617">
        <f>K103</f>
        <v>0</v>
      </c>
      <c r="L146" s="617">
        <f>L103</f>
        <v>0</v>
      </c>
      <c r="M146" s="618">
        <f>SUM(I146:L146)</f>
        <v>0</v>
      </c>
      <c r="N146" s="168"/>
      <c r="O146" s="617">
        <f>O103</f>
        <v>0</v>
      </c>
      <c r="P146" s="617">
        <f>P103</f>
        <v>0</v>
      </c>
      <c r="Q146" s="617">
        <f>Q103</f>
        <v>0</v>
      </c>
      <c r="R146" s="617">
        <f>R103</f>
        <v>0</v>
      </c>
      <c r="S146" s="618">
        <f>SUM(O146:R146)</f>
        <v>0</v>
      </c>
      <c r="T146" s="168"/>
      <c r="U146" s="617">
        <f>U103</f>
        <v>0</v>
      </c>
      <c r="V146" s="617">
        <f>V103</f>
        <v>0</v>
      </c>
      <c r="W146" s="617">
        <f>W103</f>
        <v>0</v>
      </c>
      <c r="X146" s="617">
        <f>X103</f>
        <v>0</v>
      </c>
      <c r="Y146" s="618">
        <f>SUM(U146:X146)</f>
        <v>0</v>
      </c>
      <c r="Z146" s="168"/>
      <c r="AA146" s="617">
        <f>AA103</f>
        <v>-2.2450000000000001</v>
      </c>
      <c r="AB146" s="617">
        <f>AB103</f>
        <v>-5.3140000000000001</v>
      </c>
      <c r="AC146" s="617">
        <f>AC103</f>
        <v>-5.8959999999999999</v>
      </c>
      <c r="AD146" s="617">
        <f>AD103</f>
        <v>-2.8340000000000001</v>
      </c>
      <c r="AE146" s="618">
        <f>AE103</f>
        <v>-16.289000000000001</v>
      </c>
      <c r="AF146" s="168"/>
      <c r="AG146" s="617">
        <f>AG103</f>
        <v>-1.2110000000000001</v>
      </c>
      <c r="AH146" s="617">
        <f>AH103</f>
        <v>0</v>
      </c>
      <c r="AI146" s="617">
        <f>AI103</f>
        <v>0</v>
      </c>
      <c r="AJ146" s="617">
        <f>AJ103</f>
        <v>0</v>
      </c>
      <c r="AK146" s="618">
        <f>SUM(AG146:AJ146)</f>
        <v>-1.2110000000000001</v>
      </c>
      <c r="AL146" s="168"/>
      <c r="AM146" s="617">
        <f>AM103</f>
        <v>0</v>
      </c>
      <c r="AN146" s="617">
        <f>AN103</f>
        <v>0</v>
      </c>
      <c r="AO146" s="617">
        <f>AO103</f>
        <v>0</v>
      </c>
      <c r="AP146" s="617">
        <f>AP103</f>
        <v>0</v>
      </c>
      <c r="AQ146" s="618">
        <f>SUM(AM146:AP146)</f>
        <v>0</v>
      </c>
      <c r="AR146" s="168"/>
      <c r="AS146" s="617">
        <f>AS103</f>
        <v>0</v>
      </c>
      <c r="AT146" s="617">
        <f>AT103</f>
        <v>0</v>
      </c>
      <c r="AU146" s="617">
        <f>AU103</f>
        <v>0</v>
      </c>
      <c r="AV146" s="617">
        <f>AV103</f>
        <v>0</v>
      </c>
      <c r="AW146" s="618">
        <f>SUM(AS146:AV146)</f>
        <v>0</v>
      </c>
      <c r="AX146" s="168"/>
      <c r="AY146" s="617">
        <f>AY103</f>
        <v>0</v>
      </c>
      <c r="AZ146" s="617">
        <f>AZ103</f>
        <v>0</v>
      </c>
      <c r="BA146" s="617">
        <f>BA103</f>
        <v>0</v>
      </c>
      <c r="BB146" s="617">
        <f>BB103</f>
        <v>0</v>
      </c>
      <c r="BC146" s="618">
        <f>SUM(AY146:BB146)</f>
        <v>0</v>
      </c>
      <c r="BD146" s="168"/>
      <c r="BE146" s="617">
        <f>BE103</f>
        <v>0</v>
      </c>
      <c r="BF146" s="617">
        <f>BF103</f>
        <v>0</v>
      </c>
      <c r="BG146" s="617">
        <f>BG103</f>
        <v>0</v>
      </c>
      <c r="BH146" s="617">
        <f>BH103</f>
        <v>0</v>
      </c>
      <c r="BI146" s="618">
        <f>SUM(BE146:BH146)</f>
        <v>0</v>
      </c>
      <c r="BJ146" s="168"/>
      <c r="BK146" s="617">
        <f>BK103</f>
        <v>0</v>
      </c>
      <c r="BL146" s="617">
        <f>BL103</f>
        <v>0</v>
      </c>
      <c r="BM146" s="617">
        <f>BM103</f>
        <v>0</v>
      </c>
      <c r="BN146" s="617">
        <f>BN103</f>
        <v>0</v>
      </c>
      <c r="BO146" s="1280">
        <f>SUM(BK146:BN146)</f>
        <v>0</v>
      </c>
      <c r="BP146" s="168"/>
      <c r="BQ146" s="617">
        <f>BQ103</f>
        <v>0</v>
      </c>
      <c r="BR146" s="617">
        <f>BR103</f>
        <v>0</v>
      </c>
      <c r="BS146" s="617">
        <f>BS103</f>
        <v>0</v>
      </c>
      <c r="BT146" s="617">
        <f>BT103</f>
        <v>0</v>
      </c>
      <c r="BU146" s="1280">
        <f>SUM(BQ146:BT146)</f>
        <v>0</v>
      </c>
      <c r="BV146" s="168"/>
      <c r="BW146" s="617">
        <f>BW103</f>
        <v>0</v>
      </c>
      <c r="BX146" s="617">
        <f>BX103</f>
        <v>0</v>
      </c>
      <c r="BY146" s="617">
        <f>BY103</f>
        <v>0</v>
      </c>
      <c r="BZ146" s="617">
        <f>BZ103</f>
        <v>0</v>
      </c>
      <c r="CA146" s="1280">
        <f>SUM(BW146:BZ146)</f>
        <v>0</v>
      </c>
      <c r="CB146" s="168"/>
      <c r="CC146" s="617">
        <f>CC103</f>
        <v>0</v>
      </c>
      <c r="CD146" s="617">
        <f>CD103</f>
        <v>0</v>
      </c>
      <c r="CE146" s="617">
        <f>CE103</f>
        <v>0</v>
      </c>
      <c r="CF146" s="617">
        <f>CF103</f>
        <v>0</v>
      </c>
      <c r="CG146" s="1280">
        <f>SUM(CC146:CF146)</f>
        <v>0</v>
      </c>
      <c r="CH146" s="168"/>
      <c r="CI146" s="617">
        <f>CI103</f>
        <v>0</v>
      </c>
      <c r="CJ146" s="617">
        <f>CJ103</f>
        <v>0</v>
      </c>
      <c r="CK146" s="617">
        <f>CK103</f>
        <v>0</v>
      </c>
      <c r="CL146" s="617">
        <f>CL103</f>
        <v>0</v>
      </c>
      <c r="CM146" s="1280">
        <f>SUM(CI146:CL146)</f>
        <v>0</v>
      </c>
      <c r="CN146" s="168"/>
      <c r="CO146" s="617">
        <f>CO103</f>
        <v>0</v>
      </c>
      <c r="CP146" s="617">
        <f>CP103</f>
        <v>0</v>
      </c>
      <c r="CQ146" s="617">
        <f>CQ103</f>
        <v>0</v>
      </c>
      <c r="CR146" s="617">
        <f>CR103</f>
        <v>0</v>
      </c>
      <c r="CS146" s="1280">
        <f>SUM(CO146:CR146)</f>
        <v>0</v>
      </c>
      <c r="CT146" s="168"/>
      <c r="CU146" s="617">
        <f>CU103</f>
        <v>0</v>
      </c>
      <c r="CV146" s="617">
        <f>CV103</f>
        <v>0</v>
      </c>
      <c r="CW146" s="617">
        <f>CW103</f>
        <v>0</v>
      </c>
      <c r="CX146" s="617">
        <f>CX103</f>
        <v>0</v>
      </c>
      <c r="CY146" s="1280">
        <f>SUM(CU146:CX146)</f>
        <v>0</v>
      </c>
      <c r="CZ146" s="168"/>
      <c r="DA146" s="617">
        <f>DA103</f>
        <v>0</v>
      </c>
      <c r="DB146" s="617">
        <f>DB103</f>
        <v>0</v>
      </c>
      <c r="DC146" s="617">
        <f>DC103</f>
        <v>0</v>
      </c>
      <c r="DD146" s="617">
        <f>DD103</f>
        <v>0</v>
      </c>
      <c r="DE146" s="1280">
        <f>SUM(DA146:DD146)</f>
        <v>0</v>
      </c>
      <c r="DF146" s="168"/>
      <c r="DG146" s="617">
        <f>DG103</f>
        <v>0</v>
      </c>
      <c r="DH146" s="617">
        <f>DH103</f>
        <v>0</v>
      </c>
      <c r="DI146" s="617">
        <f>DI103</f>
        <v>0</v>
      </c>
      <c r="DJ146" s="617">
        <f>DJ103</f>
        <v>0</v>
      </c>
      <c r="DK146" s="1280">
        <f>SUM(DG146:DJ146)</f>
        <v>0</v>
      </c>
      <c r="DL146" s="168"/>
      <c r="DM146" s="617">
        <f>DM103</f>
        <v>0</v>
      </c>
      <c r="DN146" s="617">
        <f>DN103</f>
        <v>0</v>
      </c>
      <c r="DO146" s="617">
        <f>DO103</f>
        <v>0</v>
      </c>
      <c r="DP146" s="617">
        <f>DP103</f>
        <v>0</v>
      </c>
      <c r="DQ146" s="1280">
        <f>SUM(DM146:DP146)</f>
        <v>0</v>
      </c>
      <c r="DR146" s="168"/>
      <c r="DS146" s="617">
        <f>DS103</f>
        <v>0</v>
      </c>
      <c r="DT146" s="617">
        <f>DT103</f>
        <v>0</v>
      </c>
      <c r="DU146" s="617">
        <f>DU103</f>
        <v>0</v>
      </c>
      <c r="DV146" s="617">
        <f>DV103</f>
        <v>0</v>
      </c>
      <c r="DW146" s="1280">
        <f>SUM(DS146:DV146)</f>
        <v>0</v>
      </c>
      <c r="DX146" s="168"/>
      <c r="DY146" s="617">
        <f>DY103</f>
        <v>0</v>
      </c>
      <c r="DZ146" s="617">
        <f>DZ103</f>
        <v>0</v>
      </c>
      <c r="EA146" s="617">
        <f>EA103</f>
        <v>0</v>
      </c>
      <c r="EB146" s="617">
        <f>EB103</f>
        <v>0</v>
      </c>
      <c r="EC146" s="1280">
        <f>SUM(DY146:EB146)</f>
        <v>0</v>
      </c>
      <c r="ED146" s="168"/>
      <c r="EE146" s="617">
        <f>EE103</f>
        <v>0</v>
      </c>
      <c r="EF146" s="617">
        <f>EF103</f>
        <v>0</v>
      </c>
      <c r="EG146" s="617">
        <f>EG103</f>
        <v>0</v>
      </c>
      <c r="EH146" s="617">
        <f>EH103</f>
        <v>0</v>
      </c>
      <c r="EI146" s="1280">
        <f>SUM(EE146:EH146)</f>
        <v>0</v>
      </c>
      <c r="EJ146" s="168"/>
      <c r="EK146" s="617">
        <f>EK103</f>
        <v>0</v>
      </c>
      <c r="EL146" s="617">
        <f>EL103</f>
        <v>0</v>
      </c>
      <c r="EM146" s="617">
        <f>EM103</f>
        <v>0</v>
      </c>
      <c r="EN146" s="617">
        <f>EN103</f>
        <v>0</v>
      </c>
      <c r="EO146" s="1280">
        <f>SUM(EK146:EN146)</f>
        <v>0</v>
      </c>
      <c r="EP146" s="168"/>
      <c r="EQ146" s="617">
        <f>EQ103</f>
        <v>0</v>
      </c>
      <c r="ER146" s="617">
        <f>ER103</f>
        <v>0</v>
      </c>
      <c r="ES146" s="617">
        <f>ES103</f>
        <v>0</v>
      </c>
      <c r="ET146" s="617">
        <f>ET103</f>
        <v>0</v>
      </c>
      <c r="EU146" s="1280">
        <f>SUM(EQ146:ET146)</f>
        <v>0</v>
      </c>
      <c r="EV146" s="168"/>
    </row>
    <row r="147" spans="1:152" hidden="1" outlineLevel="1">
      <c r="A147" s="458" t="s">
        <v>5248</v>
      </c>
      <c r="B147" s="593" t="s">
        <v>5140</v>
      </c>
      <c r="C147" s="379">
        <f>C139-C140+C146</f>
        <v>19.000000000000021</v>
      </c>
      <c r="D147" s="379">
        <f>D139-D140+D146</f>
        <v>10.599999999999996</v>
      </c>
      <c r="E147" s="379">
        <f>E139-E140+E146</f>
        <v>5.8999999999999853</v>
      </c>
      <c r="F147" s="379">
        <f>F139-F140+F146</f>
        <v>6.000000000000008</v>
      </c>
      <c r="G147" s="379">
        <f>G139-G140+G146</f>
        <v>41.699999999999967</v>
      </c>
      <c r="H147" s="379"/>
      <c r="I147" s="379">
        <f>I139-I140+I146</f>
        <v>-14.099999999999996</v>
      </c>
      <c r="J147" s="379">
        <f>J139-J140+J146</f>
        <v>15.6</v>
      </c>
      <c r="K147" s="379">
        <f>K139-K140+K146</f>
        <v>22.999999999999996</v>
      </c>
      <c r="L147" s="379">
        <f>L139-L140+L146</f>
        <v>35.700000000000017</v>
      </c>
      <c r="M147" s="379">
        <f>M139-M140+M146</f>
        <v>60.100000000000037</v>
      </c>
      <c r="N147" s="379"/>
      <c r="O147" s="379">
        <f>O139-O140+O146</f>
        <v>28.733000000000025</v>
      </c>
      <c r="P147" s="379">
        <f>P139-P140+P146</f>
        <v>27.530000000000005</v>
      </c>
      <c r="Q147" s="379">
        <f>Q139-Q140+Q146</f>
        <v>17.624000000000013</v>
      </c>
      <c r="R147" s="379">
        <f>R139-R140+R146</f>
        <v>23.245000000000008</v>
      </c>
      <c r="S147" s="379">
        <f>S139-S140+S146</f>
        <v>97.131999999999948</v>
      </c>
      <c r="T147" s="379"/>
      <c r="U147" s="379">
        <f>U139-U140+U146</f>
        <v>-17.143999999999995</v>
      </c>
      <c r="V147" s="379">
        <f>V139-V140+V146</f>
        <v>0.38899999999998763</v>
      </c>
      <c r="W147" s="379">
        <f>W139-W140+W146</f>
        <v>1.3930000000000229</v>
      </c>
      <c r="X147" s="379">
        <f>X139-X140+X146</f>
        <v>25.172000000000011</v>
      </c>
      <c r="Y147" s="379">
        <f>Y139-Y140+Y146</f>
        <v>9.809000000000081</v>
      </c>
      <c r="Z147" s="379"/>
      <c r="AA147" s="379">
        <f>AA139-AA140+AA146</f>
        <v>25.605999999999973</v>
      </c>
      <c r="AB147" s="379">
        <f>AB139-AB140+AB146</f>
        <v>20.753000000000021</v>
      </c>
      <c r="AC147" s="379">
        <f>AC139-AC140+AC146</f>
        <v>18.51100000000001</v>
      </c>
      <c r="AD147" s="379">
        <f>AD139-AD140+AD146</f>
        <v>28.362999999999996</v>
      </c>
      <c r="AE147" s="379">
        <f>AE139-AE140+AE146</f>
        <v>93.232999999999961</v>
      </c>
      <c r="AF147" s="379"/>
      <c r="AG147" s="379">
        <f>AG139-AG140+AG146</f>
        <v>27.899999999999956</v>
      </c>
      <c r="AH147" s="379">
        <f>AH139-AH140+AH146</f>
        <v>19.172999999999988</v>
      </c>
      <c r="AI147" s="379">
        <f>AI139-AI140+AI146</f>
        <v>21.470999999999989</v>
      </c>
      <c r="AJ147" s="379">
        <f>AJ139-AJ140+AJ146</f>
        <v>21.76900000000003</v>
      </c>
      <c r="AK147" s="379">
        <f>AK139-AK140+AK146</f>
        <v>90.313000000000088</v>
      </c>
      <c r="AL147" s="379"/>
      <c r="AM147" s="379">
        <f>AM139-AM140</f>
        <v>17.64100000000002</v>
      </c>
      <c r="AN147" s="379">
        <f t="shared" ref="AN147:BE147" si="51">AN139-AN140</f>
        <v>11.760000000000016</v>
      </c>
      <c r="AO147" s="379">
        <f t="shared" si="51"/>
        <v>-3.9100000000000259</v>
      </c>
      <c r="AP147" s="379">
        <f t="shared" si="51"/>
        <v>6.4130000000000118</v>
      </c>
      <c r="AQ147" s="379">
        <f t="shared" si="51"/>
        <v>31.904000000000043</v>
      </c>
      <c r="AR147" s="379"/>
      <c r="AS147" s="379">
        <f t="shared" si="51"/>
        <v>7.5079999999999991</v>
      </c>
      <c r="AT147" s="379">
        <f t="shared" si="51"/>
        <v>32.601999999999975</v>
      </c>
      <c r="AU147" s="379">
        <f t="shared" si="51"/>
        <v>22.605999999999998</v>
      </c>
      <c r="AV147" s="379">
        <f t="shared" si="51"/>
        <v>57.60000000000008</v>
      </c>
      <c r="AW147" s="379">
        <f t="shared" si="51"/>
        <v>120.31600000000009</v>
      </c>
      <c r="AX147" s="379"/>
      <c r="AY147" s="382">
        <f t="shared" si="51"/>
        <v>42.116000000000035</v>
      </c>
      <c r="AZ147" s="382">
        <f t="shared" si="51"/>
        <v>39.000000000000007</v>
      </c>
      <c r="BA147" s="382">
        <f t="shared" si="51"/>
        <v>74.877999999999986</v>
      </c>
      <c r="BB147" s="382">
        <f t="shared" si="51"/>
        <v>65.188999999999936</v>
      </c>
      <c r="BC147" s="382">
        <f t="shared" si="51"/>
        <v>221.18299999999999</v>
      </c>
      <c r="BD147" s="379"/>
      <c r="BE147" s="382">
        <f t="shared" si="51"/>
        <v>77.799999999999969</v>
      </c>
      <c r="BF147" s="382">
        <f>BF139-BF140</f>
        <v>76.69999999999996</v>
      </c>
      <c r="BG147" s="382">
        <f>BG139-BG140</f>
        <v>95.700000000000017</v>
      </c>
      <c r="BH147" s="382">
        <f>BH139-BH140</f>
        <v>83.4</v>
      </c>
      <c r="BI147" s="382">
        <f>SUM(BE147:BH147)</f>
        <v>333.59999999999997</v>
      </c>
      <c r="BJ147" s="382"/>
      <c r="BK147" s="382">
        <f>BK139-BK140</f>
        <v>48.499999999999979</v>
      </c>
      <c r="BL147" s="382">
        <f>BL139-BL140</f>
        <v>86.800000000000011</v>
      </c>
      <c r="BM147" s="382">
        <f>BM139-BM140</f>
        <v>57.999999999999979</v>
      </c>
      <c r="BN147" s="382">
        <f>BN139-BN140</f>
        <v>96.4</v>
      </c>
      <c r="BO147" s="1281">
        <f>SUM(BK147:BN147)</f>
        <v>289.69999999999993</v>
      </c>
      <c r="BP147" s="382"/>
      <c r="BQ147" s="382">
        <f>BQ139-BQ140</f>
        <v>83.30000000000004</v>
      </c>
      <c r="BR147" s="382">
        <f>BR139-BR140</f>
        <v>91.600000000000065</v>
      </c>
      <c r="BS147" s="382">
        <f>BS139-BS140</f>
        <v>84.799999999999955</v>
      </c>
      <c r="BT147" s="382">
        <f>BT139-BT140</f>
        <v>96.5</v>
      </c>
      <c r="BU147" s="1281">
        <f>SUM(BQ147:BT147)</f>
        <v>356.20000000000005</v>
      </c>
      <c r="BV147" s="379"/>
      <c r="BW147" s="379">
        <f>BW139-BW140</f>
        <v>94.599999999999909</v>
      </c>
      <c r="BX147" s="379">
        <f>BX139-BX140</f>
        <v>89.8</v>
      </c>
      <c r="BY147" s="379">
        <f>BY139-BY140</f>
        <v>104.50000000000007</v>
      </c>
      <c r="BZ147" s="379">
        <f>BZ139-BZ140</f>
        <v>-105.30000000000003</v>
      </c>
      <c r="CA147" s="1300">
        <f>SUM(BW147:BZ147)</f>
        <v>183.59999999999997</v>
      </c>
      <c r="CB147" s="379"/>
      <c r="CC147" s="379">
        <f>CC139-CC140</f>
        <v>-32.099999999999994</v>
      </c>
      <c r="CD147" s="379">
        <f>CD139-CD140</f>
        <v>10.499999999999956</v>
      </c>
      <c r="CE147" s="379">
        <f>CE139-CE140</f>
        <v>29.499999999999964</v>
      </c>
      <c r="CF147" s="379">
        <f>CF139-CF140</f>
        <v>50.099999999999945</v>
      </c>
      <c r="CG147" s="1300">
        <f>SUM(CC147:CF147)</f>
        <v>57.999999999999872</v>
      </c>
      <c r="CH147" s="379"/>
      <c r="CI147" s="379">
        <f>CI139-CI140</f>
        <v>36.900000000000027</v>
      </c>
      <c r="CJ147" s="379">
        <f>CJ139-CJ140</f>
        <v>59.899999999999949</v>
      </c>
      <c r="CK147" s="379">
        <f>CK139-CK140</f>
        <v>53.599999999999959</v>
      </c>
      <c r="CL147" s="379">
        <f>CL139-CL140</f>
        <v>61.60000000000003</v>
      </c>
      <c r="CM147" s="1300">
        <f>SUM(CI147:CL147)</f>
        <v>211.99999999999997</v>
      </c>
      <c r="CN147" s="379"/>
      <c r="CO147" s="379">
        <f>CO139-CO140</f>
        <v>69.299999999999969</v>
      </c>
      <c r="CP147" s="379">
        <f>CP139-CP140</f>
        <v>71.200000000000017</v>
      </c>
      <c r="CQ147" s="379">
        <f>CQ139-CQ140</f>
        <v>72.799999999999898</v>
      </c>
      <c r="CR147" s="379">
        <f>CR139-CR140</f>
        <v>71.999999999999972</v>
      </c>
      <c r="CS147" s="1300">
        <f>SUM(CO147:CR147)</f>
        <v>285.29999999999984</v>
      </c>
      <c r="CT147" s="379"/>
      <c r="CU147" s="379">
        <f>CU139-CU140</f>
        <v>78.900000000000006</v>
      </c>
      <c r="CV147" s="379">
        <f>CV139-CV140</f>
        <v>69.899999999999991</v>
      </c>
      <c r="CW147" s="379">
        <f>CW139-CW140</f>
        <v>29.199999999999996</v>
      </c>
      <c r="CX147" s="379">
        <f>CX139-CX140</f>
        <v>74.799999999999926</v>
      </c>
      <c r="CY147" s="1300">
        <f>SUM(CU147:CX147)</f>
        <v>252.79999999999993</v>
      </c>
      <c r="CZ147" s="379"/>
      <c r="DA147" s="379">
        <f>DA139-DA140</f>
        <v>55.999999999999915</v>
      </c>
      <c r="DB147" s="379">
        <f>DB139-DB140</f>
        <v>63.600000000000087</v>
      </c>
      <c r="DC147" s="379">
        <f>DC139-DC140</f>
        <v>57.300000000000018</v>
      </c>
      <c r="DD147" s="379">
        <f>DD139-DD140</f>
        <v>54.699999999999811</v>
      </c>
      <c r="DE147" s="1300">
        <f>SUM(DA147:DD147)</f>
        <v>231.59999999999982</v>
      </c>
      <c r="DF147" s="379"/>
      <c r="DG147" s="379">
        <f>DG139-DG140</f>
        <v>28.299999999999994</v>
      </c>
      <c r="DH147" s="379">
        <f>DH139-DH140</f>
        <v>34.599999999999902</v>
      </c>
      <c r="DI147" s="379">
        <f>DI139-DI140</f>
        <v>10.700000000000008</v>
      </c>
      <c r="DJ147" s="379">
        <f>DJ139-DJ140</f>
        <v>27.2</v>
      </c>
      <c r="DK147" s="1300">
        <f>SUM(DG147:DJ147)</f>
        <v>100.7999999999999</v>
      </c>
      <c r="DL147" s="379"/>
      <c r="DM147" s="379">
        <f>DM139-DM140</f>
        <v>19.100000000000016</v>
      </c>
      <c r="DN147" s="379">
        <f>DN139-DN140</f>
        <v>-235.49999999999997</v>
      </c>
      <c r="DO147" s="379">
        <f>DO139-DO140</f>
        <v>-43.700000000000102</v>
      </c>
      <c r="DP147" s="379">
        <f>DP139-DP140</f>
        <v>-32.700000000000045</v>
      </c>
      <c r="DQ147" s="1300">
        <f>SUM(DM147:DP147)</f>
        <v>-292.80000000000007</v>
      </c>
      <c r="DR147" s="379"/>
      <c r="DS147" s="379">
        <f>DS139-DS140</f>
        <v>-172.9956</v>
      </c>
      <c r="DT147" s="379">
        <f>DT139-DT140</f>
        <v>-92.899999999999949</v>
      </c>
      <c r="DU147" s="379">
        <f>DU139-DU140</f>
        <v>-142.79999999999998</v>
      </c>
      <c r="DV147" s="379">
        <f>DV139-DV140</f>
        <v>-170.5</v>
      </c>
      <c r="DW147" s="1300">
        <f>SUM(DS147:DV147)</f>
        <v>-579.1955999999999</v>
      </c>
      <c r="DX147" s="379"/>
      <c r="DY147" s="379">
        <f>DY139-DY140</f>
        <v>-129.59999999999994</v>
      </c>
      <c r="DZ147" s="379">
        <f>DZ139-DZ140</f>
        <v>-144.00000000000006</v>
      </c>
      <c r="EA147" s="379">
        <f>EA139-EA140</f>
        <v>-119.80000000000004</v>
      </c>
      <c r="EB147" s="379">
        <f>EB139-EB140</f>
        <v>-173.50000000000006</v>
      </c>
      <c r="EC147" s="1300">
        <f>SUM(DY147:EB147)</f>
        <v>-566.90000000000009</v>
      </c>
      <c r="ED147" s="379"/>
      <c r="EE147" s="379">
        <f>EE139-EE140</f>
        <v>-93.744532072822508</v>
      </c>
      <c r="EF147" s="379">
        <f>EF139-EF140</f>
        <v>-62.28670053838119</v>
      </c>
      <c r="EG147" s="379">
        <f>EG139-EG140</f>
        <v>-1.2896330770866378</v>
      </c>
      <c r="EH147" s="379">
        <f>EH139-EH140</f>
        <v>-6.3544233452040402</v>
      </c>
      <c r="EI147" s="1300">
        <f>SUM(EE147:EH147)</f>
        <v>-163.67528903349438</v>
      </c>
      <c r="EJ147" s="379"/>
      <c r="EK147" s="379">
        <f>EK139-EK140</f>
        <v>90.584982806752407</v>
      </c>
      <c r="EL147" s="379">
        <f>EL139-EL140</f>
        <v>148.6906769854553</v>
      </c>
      <c r="EM147" s="379">
        <f>EM139-EM140</f>
        <v>124.28039805067596</v>
      </c>
      <c r="EN147" s="379">
        <f>EN139-EN140</f>
        <v>169.39584214846673</v>
      </c>
      <c r="EO147" s="1300">
        <f>SUM(EK147:EN147)</f>
        <v>532.95189999135039</v>
      </c>
      <c r="EP147" s="379"/>
      <c r="EQ147" s="379">
        <f>EQ139-EQ140</f>
        <v>137.11201352819981</v>
      </c>
      <c r="ER147" s="379">
        <f>ER139-ER140</f>
        <v>255.13382510602267</v>
      </c>
      <c r="ES147" s="379">
        <f>ES139-ES140</f>
        <v>232.16590604897144</v>
      </c>
      <c r="ET147" s="379">
        <f>ET139-ET140</f>
        <v>331.20822163541322</v>
      </c>
      <c r="EU147" s="1300">
        <f>SUM(EQ147:ET147)</f>
        <v>955.61996631860711</v>
      </c>
      <c r="EV147" s="223"/>
    </row>
    <row r="148" spans="1:152" hidden="1" outlineLevel="1">
      <c r="A148" s="427"/>
      <c r="B148" s="444"/>
      <c r="C148" s="428"/>
      <c r="D148" s="428"/>
      <c r="E148" s="428"/>
      <c r="F148" s="428"/>
      <c r="G148" s="223"/>
      <c r="H148" s="428"/>
      <c r="I148" s="428"/>
      <c r="J148" s="428"/>
      <c r="K148" s="428"/>
      <c r="L148" s="428"/>
      <c r="M148" s="223"/>
      <c r="N148" s="428"/>
      <c r="O148" s="428"/>
      <c r="P148" s="428"/>
      <c r="Q148" s="428"/>
      <c r="R148" s="428"/>
      <c r="S148" s="223"/>
      <c r="T148" s="428"/>
      <c r="U148" s="428"/>
      <c r="V148" s="428"/>
      <c r="W148" s="428"/>
      <c r="X148" s="428"/>
      <c r="Y148" s="223"/>
      <c r="Z148" s="428"/>
      <c r="AA148" s="428"/>
      <c r="AB148" s="428"/>
      <c r="AC148" s="428"/>
      <c r="AD148" s="428"/>
      <c r="AE148" s="223"/>
      <c r="AF148" s="428"/>
      <c r="AG148" s="428"/>
      <c r="AH148" s="428"/>
      <c r="AI148" s="428"/>
      <c r="AJ148" s="428"/>
      <c r="AK148" s="223"/>
      <c r="AL148" s="428"/>
      <c r="AM148" s="428"/>
      <c r="AN148" s="428"/>
      <c r="AO148" s="428"/>
      <c r="AP148" s="428"/>
      <c r="AQ148" s="223"/>
      <c r="AR148" s="428"/>
      <c r="AS148" s="223"/>
      <c r="AT148" s="223"/>
      <c r="AU148" s="223"/>
      <c r="AV148" s="223"/>
      <c r="AW148" s="223"/>
      <c r="AX148" s="428"/>
      <c r="AY148" s="428"/>
      <c r="AZ148" s="428"/>
      <c r="BA148" s="428"/>
      <c r="BB148" s="428"/>
      <c r="BC148" s="223"/>
      <c r="BD148" s="428"/>
      <c r="BE148" s="428"/>
      <c r="BF148" s="428"/>
      <c r="BG148" s="428"/>
      <c r="BH148" s="428"/>
      <c r="BI148" s="223"/>
      <c r="BJ148" s="428"/>
      <c r="BK148" s="428"/>
      <c r="BL148" s="428"/>
      <c r="BM148" s="428"/>
      <c r="BN148" s="428"/>
      <c r="BO148" s="1278"/>
      <c r="BP148" s="428"/>
      <c r="BQ148" s="223"/>
      <c r="BR148" s="223"/>
      <c r="BS148" s="223"/>
      <c r="BT148" s="223"/>
      <c r="BU148" s="1278"/>
      <c r="BV148" s="428"/>
      <c r="BW148" s="223"/>
      <c r="BX148" s="223"/>
      <c r="BY148" s="223"/>
      <c r="BZ148" s="223"/>
      <c r="CA148" s="1278"/>
      <c r="CB148" s="428"/>
      <c r="CC148" s="223"/>
      <c r="CD148" s="223"/>
      <c r="CE148" s="223"/>
      <c r="CF148" s="223"/>
      <c r="CG148" s="1278"/>
      <c r="CH148" s="428"/>
      <c r="CI148" s="223"/>
      <c r="CJ148" s="223"/>
      <c r="CK148" s="223"/>
      <c r="CL148" s="223"/>
      <c r="CM148" s="1278"/>
      <c r="CN148" s="428"/>
      <c r="CO148" s="223"/>
      <c r="CP148" s="223"/>
      <c r="CQ148" s="223"/>
      <c r="CR148" s="223"/>
      <c r="CS148" s="1278"/>
      <c r="CT148" s="428"/>
      <c r="CU148" s="223"/>
      <c r="CV148" s="223"/>
      <c r="CW148" s="223"/>
      <c r="CX148" s="223"/>
      <c r="CY148" s="1278"/>
      <c r="CZ148" s="428"/>
      <c r="DA148" s="442"/>
      <c r="DB148" s="223"/>
      <c r="DC148" s="223"/>
      <c r="DD148" s="223"/>
      <c r="DE148" s="1278"/>
      <c r="DF148" s="428"/>
      <c r="DG148" s="223"/>
      <c r="DH148" s="223"/>
      <c r="DI148" s="223"/>
      <c r="DJ148" s="223"/>
      <c r="DK148" s="1278"/>
      <c r="DL148" s="428"/>
      <c r="DM148" s="223"/>
      <c r="DN148" s="223"/>
      <c r="DO148" s="223"/>
      <c r="DP148" s="223"/>
      <c r="DQ148" s="1278"/>
      <c r="DR148" s="428"/>
      <c r="DS148" s="223"/>
      <c r="DT148" s="223"/>
      <c r="DU148" s="223"/>
      <c r="DV148" s="223"/>
      <c r="DW148" s="1278"/>
      <c r="DX148" s="428"/>
      <c r="DY148" s="223"/>
      <c r="DZ148" s="223"/>
      <c r="EA148" s="223"/>
      <c r="EB148" s="223"/>
      <c r="EC148" s="1278"/>
      <c r="ED148" s="428"/>
      <c r="EE148" s="223"/>
      <c r="EF148" s="223"/>
      <c r="EG148" s="223"/>
      <c r="EH148" s="223"/>
      <c r="EI148" s="1278"/>
      <c r="EJ148" s="428"/>
      <c r="EK148" s="223"/>
      <c r="EL148" s="223"/>
      <c r="EM148" s="223"/>
      <c r="EN148" s="223"/>
      <c r="EO148" s="1278"/>
      <c r="EP148" s="428"/>
      <c r="EQ148" s="223"/>
      <c r="ER148" s="223"/>
      <c r="ES148" s="223"/>
      <c r="ET148" s="223"/>
      <c r="EU148" s="1278"/>
      <c r="EV148" s="428"/>
    </row>
    <row r="149" spans="1:152" hidden="1" outlineLevel="1">
      <c r="A149" s="449" t="s">
        <v>5566</v>
      </c>
      <c r="B149" s="523"/>
      <c r="C149" s="442"/>
      <c r="D149" s="442"/>
      <c r="E149" s="442"/>
      <c r="F149" s="442"/>
      <c r="G149" s="442"/>
      <c r="H149" s="442"/>
      <c r="I149" s="442"/>
      <c r="J149" s="442"/>
      <c r="K149" s="442"/>
      <c r="L149" s="442"/>
      <c r="M149" s="442"/>
      <c r="N149" s="442"/>
      <c r="O149" s="442">
        <f>ROUND(O147/O155,2)</f>
        <v>0.13</v>
      </c>
      <c r="P149" s="442">
        <f>ROUND(P147/P155,2)</f>
        <v>0.12</v>
      </c>
      <c r="Q149" s="442">
        <f>ROUND(Q147/Q155,2)</f>
        <v>0.08</v>
      </c>
      <c r="R149" s="442">
        <f>ROUND(R147/R155,2)</f>
        <v>0.1</v>
      </c>
      <c r="S149" s="442">
        <f>S147/S155</f>
        <v>0.43059545341702998</v>
      </c>
      <c r="T149" s="442"/>
      <c r="U149" s="442">
        <f>ROUND(U147/U155,2)</f>
        <v>-7.0000000000000007E-2</v>
      </c>
      <c r="V149" s="442">
        <f>ROUND(V147/V155,2)</f>
        <v>0</v>
      </c>
      <c r="W149" s="442">
        <f>ROUND(W147/W155,2)</f>
        <v>0.01</v>
      </c>
      <c r="X149" s="442">
        <f>ROUND(X147/X155,2)</f>
        <v>0.1</v>
      </c>
      <c r="Y149" s="442">
        <f>Y147/Y155</f>
        <v>4.0648620872563657E-2</v>
      </c>
      <c r="Z149" s="442"/>
      <c r="AA149" s="442">
        <f>ROUND(AA147/AA155,2)</f>
        <v>0.11</v>
      </c>
      <c r="AB149" s="442">
        <f>ROUND(AB147/AB155,2)</f>
        <v>0.09</v>
      </c>
      <c r="AC149" s="442">
        <f>ROUND(AC147/AC155,2)</f>
        <v>0.08</v>
      </c>
      <c r="AD149" s="442">
        <f>ROUND(AD147/AD155,2)</f>
        <v>0.13</v>
      </c>
      <c r="AE149" s="442">
        <f>AE147/AE155</f>
        <v>0.40757239280968016</v>
      </c>
      <c r="AF149" s="442"/>
      <c r="AG149" s="442">
        <f>ROUND(AG147/AG155,2)</f>
        <v>0.13</v>
      </c>
      <c r="AH149" s="442">
        <f>ROUND(AH147/AH155,2)</f>
        <v>0.09</v>
      </c>
      <c r="AI149" s="442">
        <f>ROUND(AI147/AI155,2)</f>
        <v>0.1</v>
      </c>
      <c r="AJ149" s="442">
        <f>ROUND(AJ147/AJ155,2)</f>
        <v>0.1</v>
      </c>
      <c r="AK149" s="442">
        <f>AK147/AK155</f>
        <v>0.41503039326856062</v>
      </c>
      <c r="AL149" s="442"/>
      <c r="AM149" s="442">
        <f>AM147/AM155</f>
        <v>7.7880052093680416E-2</v>
      </c>
      <c r="AN149" s="442">
        <f>AN147/AN155</f>
        <v>5.1875639623107671E-2</v>
      </c>
      <c r="AO149" s="442">
        <f>AO147/AO155</f>
        <v>-1.7330100745061479E-2</v>
      </c>
      <c r="AP149" s="442">
        <f>AP147/AP155</f>
        <v>2.8472231471738711E-2</v>
      </c>
      <c r="AQ149" s="442">
        <f>AQ147/AQ155</f>
        <v>0.14115767968524476</v>
      </c>
      <c r="AR149" s="442"/>
      <c r="AS149" s="442">
        <f>AS147/AS155</f>
        <v>3.3585477904173128E-2</v>
      </c>
      <c r="AT149" s="442">
        <f>AT147/AT155</f>
        <v>0.1462241936858345</v>
      </c>
      <c r="AU149" s="442">
        <f>AU147/AU155</f>
        <v>0.1016274051429599</v>
      </c>
      <c r="AV149" s="442">
        <f>AV147/AV155</f>
        <v>0.25837822804570099</v>
      </c>
      <c r="AW149" s="442">
        <f>AW147/AW155</f>
        <v>0.53960804012212482</v>
      </c>
      <c r="AX149" s="442"/>
      <c r="AY149" s="442">
        <f>AY147/AY155</f>
        <v>0.18793395805444013</v>
      </c>
      <c r="AZ149" s="442">
        <f>AZ147/AZ155</f>
        <v>0.17104963070823323</v>
      </c>
      <c r="BA149" s="442">
        <f>BA147/BA155</f>
        <v>0.32866598778004064</v>
      </c>
      <c r="BB149" s="442">
        <f>BB147/BB155</f>
        <v>0.28616769095697953</v>
      </c>
      <c r="BC149" s="442">
        <f>BC147/BC155</f>
        <v>0.97421994749731311</v>
      </c>
      <c r="BD149" s="442"/>
      <c r="BE149" s="442">
        <f>BE147/BE155</f>
        <v>0.34167764602547201</v>
      </c>
      <c r="BF149" s="442">
        <f>BF147/BF155</f>
        <v>0.33537385220813276</v>
      </c>
      <c r="BG149" s="442">
        <f>BG147/BG155</f>
        <v>0.41681184668989557</v>
      </c>
      <c r="BH149" s="442">
        <f>BH147/BH155</f>
        <v>0.36308228123639535</v>
      </c>
      <c r="BI149" s="442">
        <f>BI147/BI155</f>
        <v>1.4572458228677512</v>
      </c>
      <c r="BJ149" s="442"/>
      <c r="BK149" s="442">
        <f>BK147/BK155</f>
        <v>0.21059487624837159</v>
      </c>
      <c r="BL149" s="442">
        <f>BL147/BL155</f>
        <v>0.37657266811279833</v>
      </c>
      <c r="BM149" s="442">
        <f>BM147/BM155</f>
        <v>0.25119099177132947</v>
      </c>
      <c r="BN149" s="442">
        <f>BN147/BN155</f>
        <v>0.41695501730103812</v>
      </c>
      <c r="BO149" s="1271">
        <f>BO147/BO155</f>
        <v>1.2555202586449739</v>
      </c>
      <c r="BP149" s="442"/>
      <c r="BQ149" s="442">
        <f>BQ147/BQ155</f>
        <v>0.36029411764705899</v>
      </c>
      <c r="BR149" s="442">
        <f>BR147/BR155</f>
        <v>0.39774207555362595</v>
      </c>
      <c r="BS149" s="442">
        <f>BS147/BS155</f>
        <v>0.36802999791681112</v>
      </c>
      <c r="BT149" s="442">
        <f>BT147/BT155</f>
        <v>0.4195415041758509</v>
      </c>
      <c r="BU149" s="1271">
        <f>BU147/BU155</f>
        <v>1.5454552357068714</v>
      </c>
      <c r="BV149" s="442"/>
      <c r="BW149" s="442">
        <f>BW147/BW155</f>
        <v>0.4182139699381075</v>
      </c>
      <c r="BX149" s="442">
        <f>BX147/BX155</f>
        <v>0.40053523639607497</v>
      </c>
      <c r="BY149" s="442">
        <f>BY147/BY155</f>
        <v>0.46382600976475841</v>
      </c>
      <c r="BZ149" s="442">
        <f>BZ147/BZ155</f>
        <v>-0.46531153336279285</v>
      </c>
      <c r="CA149" s="1271">
        <f>CA147/CA155</f>
        <v>0.81419068736141886</v>
      </c>
      <c r="CB149" s="442"/>
      <c r="CC149" s="442">
        <f>CC147/CC155</f>
        <v>-0.1413474240422721</v>
      </c>
      <c r="CD149" s="442">
        <f>CD147/CD155</f>
        <v>4.5871559633027331E-2</v>
      </c>
      <c r="CE149" s="442">
        <f>CE147/CE155</f>
        <v>0.12848432055749115</v>
      </c>
      <c r="CF149" s="442">
        <f>CF147/CF155</f>
        <v>0.21877729257641898</v>
      </c>
      <c r="CG149" s="1271">
        <f>CG147/CG155</f>
        <v>0.2536628034113268</v>
      </c>
      <c r="CH149" s="442"/>
      <c r="CI149" s="442">
        <f>CI147/CI155</f>
        <v>0.16113537117903942</v>
      </c>
      <c r="CJ149" s="442">
        <f>CJ147/CJ155</f>
        <v>0.2627192982456138</v>
      </c>
      <c r="CK149" s="442">
        <f>CK147/CK155</f>
        <v>0.23664459161147886</v>
      </c>
      <c r="CL149" s="442">
        <f>CL147/CL155</f>
        <v>0.27136563876651998</v>
      </c>
      <c r="CM149" s="1271">
        <f>CM147/CM155</f>
        <v>0.93135639758374511</v>
      </c>
      <c r="CN149" s="442"/>
      <c r="CO149" s="442">
        <f>CO147/CO155</f>
        <v>0.30368098159509188</v>
      </c>
      <c r="CP149" s="442">
        <f>CP147/CP155</f>
        <v>0.31037489102005239</v>
      </c>
      <c r="CQ149" s="442">
        <f>CQ147/CQ155</f>
        <v>0.32056362835755131</v>
      </c>
      <c r="CR149" s="442">
        <f>CR147/CR155</f>
        <v>0.31844316674038026</v>
      </c>
      <c r="CS149" s="1271">
        <f>CS147/CS155</f>
        <v>1.2529644268774696</v>
      </c>
      <c r="CT149" s="442"/>
      <c r="CU149" s="442">
        <f>CU147/CU155</f>
        <v>0.34590092064883826</v>
      </c>
      <c r="CV149" s="442">
        <f>CV147/CV155</f>
        <v>0.30684811237928</v>
      </c>
      <c r="CW149" s="442">
        <f>CW147/CW155</f>
        <v>0.12949002217294897</v>
      </c>
      <c r="CX149" s="442">
        <f>CX147/CX155</f>
        <v>0.33377956269522502</v>
      </c>
      <c r="CY149" s="1271">
        <f>CY147/CY155</f>
        <v>1.1167310877967971</v>
      </c>
      <c r="CZ149" s="442"/>
      <c r="DA149" s="442">
        <f>DA147/DA155</f>
        <v>0.25022341376228735</v>
      </c>
      <c r="DB149" s="442">
        <f>DB147/DB155</f>
        <v>0.28584269662921385</v>
      </c>
      <c r="DC149" s="442">
        <f>DC147/DC155</f>
        <v>0.25683549977588532</v>
      </c>
      <c r="DD149" s="442">
        <f>DD147/DD155</f>
        <v>0.24257206208425636</v>
      </c>
      <c r="DE149" s="1271">
        <f>DE147/DE155</f>
        <v>1.0351994636272202</v>
      </c>
      <c r="DF149" s="442"/>
      <c r="DG149" s="442">
        <f>DG147/DG155</f>
        <v>0.12466960352422905</v>
      </c>
      <c r="DH149" s="442">
        <f>DH147/DH155</f>
        <v>0.15222173339199252</v>
      </c>
      <c r="DI149" s="442">
        <f>DI147/DI155</f>
        <v>4.7095070422535253E-2</v>
      </c>
      <c r="DJ149" s="442">
        <f>DJ147/DJ155</f>
        <v>0.11971830985915494</v>
      </c>
      <c r="DK149" s="1271">
        <f>DK147/DK155</f>
        <v>0.44371079564212562</v>
      </c>
      <c r="DL149" s="442"/>
      <c r="DM149" s="442">
        <f>DM147/DM155</f>
        <v>8.4066901408450773E-2</v>
      </c>
      <c r="DN149" s="442">
        <f>DN147/DN155</f>
        <v>-1.0374449339207048</v>
      </c>
      <c r="DO149" s="442">
        <f>DO147/DO155</f>
        <v>-0.19396360408344474</v>
      </c>
      <c r="DP149" s="442">
        <f>DP147/DP155</f>
        <v>-0.14552736982643547</v>
      </c>
      <c r="DQ149" s="1271">
        <f>DQ147/DQ155</f>
        <v>-1.2952886529528869</v>
      </c>
      <c r="DR149" s="442"/>
      <c r="DS149" s="442">
        <f>DS147/DS155</f>
        <v>-0.7709251336898395</v>
      </c>
      <c r="DT149" s="442">
        <f>DT147/DT155</f>
        <v>-0.41621863799283132</v>
      </c>
      <c r="DU149" s="442">
        <f>DU147/DU155</f>
        <v>-0.64237516869095801</v>
      </c>
      <c r="DV149" s="442">
        <f>DV147/DV155</f>
        <v>-0.77114427860696522</v>
      </c>
      <c r="DW149" s="1271">
        <f>DW147/DW155</f>
        <v>-2.6002047138047129</v>
      </c>
      <c r="DX149" s="442"/>
      <c r="DY149" s="442">
        <f>DY147/DY155</f>
        <v>-0.58935879945429714</v>
      </c>
      <c r="DZ149" s="442">
        <f>DZ147/DZ155</f>
        <v>-0.65603644646924852</v>
      </c>
      <c r="EA149" s="442">
        <f>EA147/EA155</f>
        <v>-0.54553734061930803</v>
      </c>
      <c r="EB149" s="442">
        <f>EB147/EB155</f>
        <v>-0.79187585577361963</v>
      </c>
      <c r="EC149" s="1271">
        <f>EC147/EC155</f>
        <v>-2.582393804805831</v>
      </c>
      <c r="ED149" s="442"/>
      <c r="EE149" s="442">
        <f>EE147/EE155</f>
        <v>-0.43261599313336996</v>
      </c>
      <c r="EF149" s="442">
        <f>EF147/EF155</f>
        <v>-0.28810792761811327</v>
      </c>
      <c r="EG149" s="442">
        <f>EG147/EG155</f>
        <v>-5.9790423116487601E-3</v>
      </c>
      <c r="EH149" s="442">
        <f>EH147/EH155</f>
        <v>-2.9529053226880365E-2</v>
      </c>
      <c r="EI149" s="1271">
        <f>EI147/EI155</f>
        <v>-0.75795862342552989</v>
      </c>
      <c r="EJ149" s="442"/>
      <c r="EK149" s="442">
        <f>EK147/EK155</f>
        <v>0.42340857709764929</v>
      </c>
      <c r="EL149" s="442">
        <f>EL147/EL155</f>
        <v>0.69991105058093384</v>
      </c>
      <c r="EM149" s="442">
        <f>EM147/EM155</f>
        <v>0.58777467240452319</v>
      </c>
      <c r="EN149" s="442">
        <f>EN147/EN155</f>
        <v>0.8049516851220232</v>
      </c>
      <c r="EO149" s="1271">
        <f>EO147/EO155</f>
        <v>2.5131268737516241</v>
      </c>
      <c r="EP149" s="442"/>
      <c r="EQ149" s="442">
        <f>EQ147/EQ155</f>
        <v>0.65387259107546891</v>
      </c>
      <c r="ER149" s="442">
        <f>ER147/ER155</f>
        <v>1.219614147011904</v>
      </c>
      <c r="ES149" s="442">
        <f>ES147/ES155</f>
        <v>1.1124797795506589</v>
      </c>
      <c r="ET149" s="442">
        <f>ET147/ET155</f>
        <v>1.5908768209055182</v>
      </c>
      <c r="EU149" s="1271">
        <f>EU147/EU155</f>
        <v>4.573608140363298</v>
      </c>
      <c r="EV149" s="442"/>
    </row>
    <row r="150" spans="1:152" collapsed="1">
      <c r="A150" s="458" t="s">
        <v>2337</v>
      </c>
      <c r="B150" s="523"/>
      <c r="C150" s="446">
        <f>ROUND(C147/C154,2)</f>
        <v>0.1</v>
      </c>
      <c r="D150" s="446">
        <f>ROUND(D147/D154,2)</f>
        <v>0.06</v>
      </c>
      <c r="E150" s="446">
        <f>ROUND(E147/E154,2)</f>
        <v>0.03</v>
      </c>
      <c r="F150" s="446">
        <f>ROUND(F147/F154,2)</f>
        <v>0.03</v>
      </c>
      <c r="G150" s="446">
        <f>G147/G153</f>
        <v>0.22086864406779641</v>
      </c>
      <c r="H150" s="381"/>
      <c r="I150" s="446">
        <f>ROUND(I147/I154,2)</f>
        <v>-0.06</v>
      </c>
      <c r="J150" s="446">
        <f>ROUND(J147/J154,2)</f>
        <v>0.06</v>
      </c>
      <c r="K150" s="446">
        <f>ROUND(K147/K154,2)</f>
        <v>0.09</v>
      </c>
      <c r="L150" s="446">
        <f>ROUND(L147/L154,2)</f>
        <v>0.15</v>
      </c>
      <c r="M150" s="446">
        <f>M147/M153</f>
        <v>0.25146443514644368</v>
      </c>
      <c r="N150" s="381"/>
      <c r="O150" s="446">
        <f>ROUND(O147/O154,2)</f>
        <v>0.12</v>
      </c>
      <c r="P150" s="446">
        <f>ROUND(P147/P154,2)</f>
        <v>0.12</v>
      </c>
      <c r="Q150" s="446">
        <f>ROUND(Q147/Q154,2)</f>
        <v>0.08</v>
      </c>
      <c r="R150" s="446">
        <f>ROUND(R147/R155,2)</f>
        <v>0.1</v>
      </c>
      <c r="S150" s="446">
        <f>S147/S153</f>
        <v>0.41059501868416137</v>
      </c>
      <c r="T150" s="381"/>
      <c r="U150" s="446">
        <f>ROUND(U147/U154,2)</f>
        <v>-7.0000000000000007E-2</v>
      </c>
      <c r="V150" s="446">
        <f>ROUND(V147/V154,2)</f>
        <v>0</v>
      </c>
      <c r="W150" s="446">
        <f>ROUND(W147/W154,2)</f>
        <v>0.01</v>
      </c>
      <c r="X150" s="446">
        <f>ROUND(X147/X154,2)</f>
        <v>0.1</v>
      </c>
      <c r="Y150" s="446">
        <f>Y147/Y153</f>
        <v>3.9935022636224803E-2</v>
      </c>
      <c r="Z150" s="381"/>
      <c r="AA150" s="446">
        <f>ROUND(AA147/AA154,2)</f>
        <v>0.1</v>
      </c>
      <c r="AB150" s="446">
        <f>ROUND(AB147/AB154,2)</f>
        <v>0.09</v>
      </c>
      <c r="AC150" s="446">
        <f>ROUND(AC147/AC154,2)</f>
        <v>0.08</v>
      </c>
      <c r="AD150" s="446">
        <f>ROUND(AD147/AD154,2)</f>
        <v>0.13</v>
      </c>
      <c r="AE150" s="446">
        <f>AE147/AE153</f>
        <v>0.3983362955873806</v>
      </c>
      <c r="AF150" s="381"/>
      <c r="AG150" s="446">
        <f>ROUND(AG147/AG154,2)</f>
        <v>0.13</v>
      </c>
      <c r="AH150" s="446">
        <f>ROUND(AH147/AH154,2)</f>
        <v>0.09</v>
      </c>
      <c r="AI150" s="446">
        <f>ROUND(AI147/AI154,2)</f>
        <v>0.1</v>
      </c>
      <c r="AJ150" s="446">
        <f>ROUND(AJ147/AJ154,2)</f>
        <v>0.1</v>
      </c>
      <c r="AK150" s="446">
        <f>AK147/AK153</f>
        <v>0.40207016294185777</v>
      </c>
      <c r="AL150" s="381"/>
      <c r="AM150" s="446">
        <f>AM147/AM153</f>
        <v>7.4496207834327199E-2</v>
      </c>
      <c r="AN150" s="446">
        <f>AN147/AN153</f>
        <v>5.1455049026685809E-2</v>
      </c>
      <c r="AO150" s="446">
        <f>AO147/AO153</f>
        <v>-1.7215872065376395E-2</v>
      </c>
      <c r="AP150" s="446">
        <f>AP147/AP153</f>
        <v>2.8087402495587444E-2</v>
      </c>
      <c r="AQ150" s="446">
        <f>AQ147/AQ153</f>
        <v>0.1385937323521492</v>
      </c>
      <c r="AR150" s="446"/>
      <c r="AS150" s="446">
        <f>AS147/AS153</f>
        <v>3.3090633429120463E-2</v>
      </c>
      <c r="AT150" s="446">
        <f>AT147/AT153</f>
        <v>0.14367177860038771</v>
      </c>
      <c r="AU150" s="446">
        <f>AU147/AU153</f>
        <v>9.9004957693183598E-2</v>
      </c>
      <c r="AV150" s="446">
        <f>AV147/AV153</f>
        <v>0.24032644341897777</v>
      </c>
      <c r="AW150" s="446">
        <f>AW147/AW153</f>
        <v>0.52016394009615086</v>
      </c>
      <c r="AX150" s="446"/>
      <c r="AY150" s="446">
        <f>AY147/AY153</f>
        <v>0.17651299245599344</v>
      </c>
      <c r="AZ150" s="446">
        <f>AZ147/AZ153</f>
        <v>0.15562214942120534</v>
      </c>
      <c r="BA150" s="446">
        <f>BA147/BA153</f>
        <v>0.30187386108916153</v>
      </c>
      <c r="BB150" s="446">
        <f>BB147/BB153</f>
        <v>0.25796992481202985</v>
      </c>
      <c r="BC150" s="446">
        <f>BC147/BC153</f>
        <v>0.89556112512501163</v>
      </c>
      <c r="BD150" s="446"/>
      <c r="BE150" s="446">
        <f>BE147/BE153</f>
        <v>0.31207380665864404</v>
      </c>
      <c r="BF150" s="446">
        <f>BF147/BF153</f>
        <v>0.30643228126248484</v>
      </c>
      <c r="BG150" s="446">
        <f>BG147/BG153</f>
        <v>0.38356713426853717</v>
      </c>
      <c r="BH150" s="446">
        <f>BH147/BH153</f>
        <v>0.3350743270389715</v>
      </c>
      <c r="BI150" s="446">
        <f>BI147/BI153</f>
        <v>1.3370741482965931</v>
      </c>
      <c r="BJ150" s="381"/>
      <c r="BK150" s="446">
        <f>BK147/BK153</f>
        <v>0.19643580396921823</v>
      </c>
      <c r="BL150" s="446">
        <f>BL147/BL153</f>
        <v>0.35486508585445631</v>
      </c>
      <c r="BM150" s="446">
        <f>BM147/BM153</f>
        <v>0.2383888203863542</v>
      </c>
      <c r="BN150" s="446">
        <f>BN147/BN153</f>
        <v>0.39282803585982073</v>
      </c>
      <c r="BO150" s="1282">
        <f>BO147/BO153</f>
        <v>1.1913378184988401</v>
      </c>
      <c r="BP150" s="381"/>
      <c r="BQ150" s="446">
        <f>BQ147/BQ153</f>
        <v>0.33986128110975128</v>
      </c>
      <c r="BR150" s="446">
        <f>BR147/BR153</f>
        <v>0.37494883340155571</v>
      </c>
      <c r="BS150" s="446">
        <f>BS147/BS153</f>
        <v>0.35152298993516706</v>
      </c>
      <c r="BT150" s="446">
        <f>BT147/BT153</f>
        <v>0.40309106098579783</v>
      </c>
      <c r="BU150" s="1282">
        <f>BU147/BU153</f>
        <v>1.4688114667909236</v>
      </c>
      <c r="BV150" s="381"/>
      <c r="BW150" s="446">
        <f>BW147/BW153</f>
        <v>0.40618291112065225</v>
      </c>
      <c r="BX150" s="446">
        <f>BX147/BX153</f>
        <v>0.38861336864608487</v>
      </c>
      <c r="BY150" s="446">
        <f>BY147/BY153</f>
        <v>0.45355902777777807</v>
      </c>
      <c r="BZ150" s="446">
        <f>BZ147/BZ154</f>
        <v>-0.46531153336279285</v>
      </c>
      <c r="CA150" s="1282">
        <f>CA147/CA153</f>
        <v>0.79525446193628846</v>
      </c>
      <c r="CB150" s="381"/>
      <c r="CC150" s="446">
        <f>CC147/CC153</f>
        <v>-0.1400523560209424</v>
      </c>
      <c r="CD150" s="446">
        <f>CD147/CD153</f>
        <v>4.5200172191131961E-2</v>
      </c>
      <c r="CE150" s="446">
        <f>CE147/CE153</f>
        <v>0.12617621899059009</v>
      </c>
      <c r="CF150" s="446">
        <f>CF147/CF153</f>
        <v>0.2148370497427099</v>
      </c>
      <c r="CG150" s="1282">
        <f>CG147/CG153</f>
        <v>0.24986537425955788</v>
      </c>
      <c r="CH150" s="381"/>
      <c r="CI150" s="446">
        <f>CI147/CI153</f>
        <v>0.15728900255754488</v>
      </c>
      <c r="CJ150" s="446">
        <f>CJ147/CJ153</f>
        <v>0.25620188195038474</v>
      </c>
      <c r="CK150" s="446">
        <f>CK147/CK153</f>
        <v>0.23063683304647142</v>
      </c>
      <c r="CL150" s="446">
        <f>CL147/CL153</f>
        <v>0.26212765957446821</v>
      </c>
      <c r="CM150" s="1282">
        <f>CM147/CM153</f>
        <v>0.90617653344731774</v>
      </c>
      <c r="CN150" s="381"/>
      <c r="CO150" s="446">
        <f>CO147/CO153</f>
        <v>0.29228173766343302</v>
      </c>
      <c r="CP150" s="446">
        <f>CP147/CP153</f>
        <v>0.30092983939137791</v>
      </c>
      <c r="CQ150" s="446">
        <f>CQ147/CQ153</f>
        <v>0.31556133506718642</v>
      </c>
      <c r="CR150" s="446">
        <f>CR147/CR153</f>
        <v>0.31101511879049665</v>
      </c>
      <c r="CS150" s="1282">
        <f>CS147/CS153</f>
        <v>1.2193610428464574</v>
      </c>
      <c r="CT150" s="381"/>
      <c r="CU150" s="446">
        <f>CU147/CU153</f>
        <v>0.337035454933789</v>
      </c>
      <c r="CV150" s="446">
        <f>CV147/CV153</f>
        <v>0.30116329168461869</v>
      </c>
      <c r="CW150" s="446">
        <f>CW147/CW153</f>
        <v>0.12668112798264641</v>
      </c>
      <c r="CX150" s="446">
        <f>CX147/CX153</f>
        <v>0.32578397212543525</v>
      </c>
      <c r="CY150" s="1282">
        <f>CY147/CY153</f>
        <v>1.0916549713915573</v>
      </c>
      <c r="CZ150" s="381"/>
      <c r="DA150" s="446">
        <f>DA147/DA153</f>
        <v>0.24422154382904454</v>
      </c>
      <c r="DB150" s="446">
        <f>DB147/DB153</f>
        <v>0.27858081471747737</v>
      </c>
      <c r="DC150" s="446">
        <f>DC147/DC153</f>
        <v>0.25164690382081695</v>
      </c>
      <c r="DD150" s="446">
        <f>DD147/DD153</f>
        <v>0.23669407183037564</v>
      </c>
      <c r="DE150" s="1282">
        <f>DE147/DE153</f>
        <v>1.0109122653862934</v>
      </c>
      <c r="DF150" s="381"/>
      <c r="DG150" s="446">
        <f>DG147/DG153</f>
        <v>0.12219343696027632</v>
      </c>
      <c r="DH150" s="446">
        <f>DH147/DH153</f>
        <v>0.14888123924268459</v>
      </c>
      <c r="DI150" s="446">
        <f>DI147/DI153</f>
        <v>4.6220302375809971E-2</v>
      </c>
      <c r="DJ150" s="446">
        <f>DJ147/DJ153</f>
        <v>0.11714039621016366</v>
      </c>
      <c r="DK150" s="1282">
        <f>DK147/DK153</f>
        <v>0.43462326183033262</v>
      </c>
      <c r="DL150" s="381"/>
      <c r="DM150" s="446">
        <f>DM147/DM153</f>
        <v>8.2434182132067393E-2</v>
      </c>
      <c r="DN150" s="446">
        <f>DN147/DN153</f>
        <v>-1.0190393768931199</v>
      </c>
      <c r="DO150" s="446">
        <f>DO147/DO153</f>
        <v>-0.19108001749016224</v>
      </c>
      <c r="DP150" s="446">
        <f>DP147/DP153</f>
        <v>-0.14273243125272828</v>
      </c>
      <c r="DQ150" s="1282">
        <f>DQ147/DQ153</f>
        <v>-1.2722137736258965</v>
      </c>
      <c r="DR150" s="381"/>
      <c r="DS150" s="446">
        <f>DS147/DS155</f>
        <v>-0.7709251336898395</v>
      </c>
      <c r="DT150" s="446">
        <f t="shared" ref="DT150:DV150" si="52">DT147/DT155</f>
        <v>-0.41621863799283132</v>
      </c>
      <c r="DU150" s="446">
        <f t="shared" si="52"/>
        <v>-0.64237516869095801</v>
      </c>
      <c r="DV150" s="446">
        <f t="shared" si="52"/>
        <v>-0.77114427860696522</v>
      </c>
      <c r="DW150" s="1282">
        <f>DW147/DW153</f>
        <v>-2.5880053619302945</v>
      </c>
      <c r="DX150" s="381"/>
      <c r="DY150" s="446">
        <f>DY147/DY154</f>
        <v>-0.58935879945429714</v>
      </c>
      <c r="DZ150" s="446">
        <f t="shared" ref="DZ150:EB150" si="53">DZ147/DZ155</f>
        <v>-0.65603644646924852</v>
      </c>
      <c r="EA150" s="446">
        <f t="shared" si="53"/>
        <v>-0.54553734061930803</v>
      </c>
      <c r="EB150" s="446">
        <f t="shared" si="53"/>
        <v>-0.79187585577361963</v>
      </c>
      <c r="EC150" s="1282">
        <f>EC147/EC153</f>
        <v>-2.582393804805831</v>
      </c>
      <c r="ED150" s="381"/>
      <c r="EE150" s="446">
        <f>EE147/EE155</f>
        <v>-0.43261599313336996</v>
      </c>
      <c r="EF150" s="446">
        <f t="shared" ref="EF150:EH150" si="54">EF147/EF155</f>
        <v>-0.28810792761811327</v>
      </c>
      <c r="EG150" s="446">
        <f t="shared" si="54"/>
        <v>-5.9790423116487601E-3</v>
      </c>
      <c r="EH150" s="446">
        <f t="shared" si="54"/>
        <v>-2.9529053226880365E-2</v>
      </c>
      <c r="EI150" s="1282">
        <f>EI147/EI155</f>
        <v>-0.75795862342552989</v>
      </c>
      <c r="EJ150" s="381"/>
      <c r="EK150" s="446">
        <f>EK147/EK155</f>
        <v>0.42340857709764929</v>
      </c>
      <c r="EL150" s="446">
        <f t="shared" ref="EL150:EN150" si="55">EL147/EL155</f>
        <v>0.69991105058093384</v>
      </c>
      <c r="EM150" s="446">
        <f t="shared" si="55"/>
        <v>0.58777467240452319</v>
      </c>
      <c r="EN150" s="446">
        <f t="shared" si="55"/>
        <v>0.8049516851220232</v>
      </c>
      <c r="EO150" s="1282">
        <f>EO147/EO155</f>
        <v>2.5131268737516241</v>
      </c>
      <c r="EP150" s="381"/>
      <c r="EQ150" s="446">
        <f>EQ147/EQ155</f>
        <v>0.65387259107546891</v>
      </c>
      <c r="ER150" s="446">
        <f t="shared" ref="ER150:ET150" si="56">ER147/ER155</f>
        <v>1.219614147011904</v>
      </c>
      <c r="ES150" s="446">
        <f t="shared" si="56"/>
        <v>1.1124797795506589</v>
      </c>
      <c r="ET150" s="446">
        <f t="shared" si="56"/>
        <v>1.5908768209055182</v>
      </c>
      <c r="EU150" s="1282">
        <f>EU147/EU155</f>
        <v>4.573608140363298</v>
      </c>
      <c r="EV150" s="381"/>
    </row>
    <row r="151" spans="1:152">
      <c r="A151" s="447" t="s">
        <v>4583</v>
      </c>
      <c r="B151" s="520"/>
      <c r="C151" s="378"/>
      <c r="D151" s="378"/>
      <c r="E151" s="378"/>
      <c r="F151" s="378"/>
      <c r="G151" s="378"/>
      <c r="H151" s="176"/>
      <c r="I151" s="378"/>
      <c r="J151" s="378"/>
      <c r="K151" s="378"/>
      <c r="L151" s="378"/>
      <c r="M151" s="378"/>
      <c r="N151" s="176"/>
      <c r="O151" s="448"/>
      <c r="P151" s="448"/>
      <c r="Q151" s="448"/>
      <c r="R151" s="448"/>
      <c r="S151" s="448"/>
      <c r="T151" s="176"/>
      <c r="U151" s="448">
        <f>U150/O150-1</f>
        <v>-1.5833333333333335</v>
      </c>
      <c r="V151" s="448">
        <f>V150/P150-1</f>
        <v>-1</v>
      </c>
      <c r="W151" s="448">
        <f>W150/Q150-1</f>
        <v>-0.875</v>
      </c>
      <c r="X151" s="448">
        <f>X150/R150-1</f>
        <v>0</v>
      </c>
      <c r="Y151" s="448">
        <f>Y150/S150-1</f>
        <v>-0.90273865775526207</v>
      </c>
      <c r="Z151" s="176"/>
      <c r="AA151" s="448">
        <f>AA150/U150-1</f>
        <v>-2.4285714285714288</v>
      </c>
      <c r="AB151" s="380" t="s">
        <v>5646</v>
      </c>
      <c r="AC151" s="448">
        <f>AC150/W150-1</f>
        <v>7</v>
      </c>
      <c r="AD151" s="448">
        <f>AD150/X150-1</f>
        <v>0.30000000000000004</v>
      </c>
      <c r="AE151" s="448">
        <f>AE150/Y150-1</f>
        <v>8.9746104870378183</v>
      </c>
      <c r="AF151" s="176"/>
      <c r="AG151" s="448">
        <f>AG150/AA150-1</f>
        <v>0.30000000000000004</v>
      </c>
      <c r="AH151" s="448">
        <f>AH150/AB150-1</f>
        <v>0</v>
      </c>
      <c r="AI151" s="448">
        <f>AI150/AC150-1</f>
        <v>0.25</v>
      </c>
      <c r="AJ151" s="448">
        <f>AJ150/AD150-1</f>
        <v>-0.23076923076923073</v>
      </c>
      <c r="AK151" s="448">
        <f>AK150/AE150-1</f>
        <v>9.3736558677668391E-3</v>
      </c>
      <c r="AL151" s="176"/>
      <c r="AM151" s="448">
        <f>AM150/AG150-1</f>
        <v>-0.42695224742825233</v>
      </c>
      <c r="AN151" s="448">
        <f>AN150/AH150-1</f>
        <v>-0.4282772330368243</v>
      </c>
      <c r="AO151" s="448">
        <f>AO150/AI150-1</f>
        <v>-1.172158720653764</v>
      </c>
      <c r="AP151" s="448">
        <f>AP150/AJ150-1</f>
        <v>-0.71912597504412556</v>
      </c>
      <c r="AQ151" s="448">
        <f>AQ150/AK150-1</f>
        <v>-0.65529963392933777</v>
      </c>
      <c r="AR151" s="176"/>
      <c r="AS151" s="448">
        <f>AS150/AM150-1</f>
        <v>-0.55580781369823518</v>
      </c>
      <c r="AT151" s="448">
        <f>AT150/AN150-1</f>
        <v>1.7921803849778883</v>
      </c>
      <c r="AU151" s="448">
        <f>AU150/AO150-1</f>
        <v>-6.7507953891163526</v>
      </c>
      <c r="AV151" s="448">
        <f>AV150/AP150-1</f>
        <v>7.5563783784112211</v>
      </c>
      <c r="AW151" s="448">
        <f>AW150/AQ150-1</f>
        <v>2.7531563027286103</v>
      </c>
      <c r="AX151" s="176"/>
      <c r="AY151" s="448">
        <f>AY150/AS150-1</f>
        <v>4.3342282744173231</v>
      </c>
      <c r="AZ151" s="448">
        <f>AZ150/AT150-1</f>
        <v>8.3178275770196208E-2</v>
      </c>
      <c r="BA151" s="448">
        <f>BA150/AU150-1</f>
        <v>2.0490782292404868</v>
      </c>
      <c r="BB151" s="448">
        <f>BB150/AV150-1</f>
        <v>7.3414648600665933E-2</v>
      </c>
      <c r="BC151" s="448">
        <f>BC150/AW150-1</f>
        <v>0.72169013668934778</v>
      </c>
      <c r="BD151" s="176"/>
      <c r="BE151" s="448">
        <f>BE150/AY150-1</f>
        <v>0.76799340556445062</v>
      </c>
      <c r="BF151" s="448">
        <f>BF150/AZ150-1</f>
        <v>0.96907883872685963</v>
      </c>
      <c r="BG151" s="448">
        <f>BG150/BA150-1</f>
        <v>0.27062055947681629</v>
      </c>
      <c r="BH151" s="448">
        <f>BH150/BB150-1</f>
        <v>0.29888911384970118</v>
      </c>
      <c r="BI151" s="448">
        <f>BI150/BC150-1</f>
        <v>0.4930015504077967</v>
      </c>
      <c r="BJ151" s="176"/>
      <c r="BK151" s="448">
        <f>BK150/BE150-1</f>
        <v>-0.37054696748681071</v>
      </c>
      <c r="BL151" s="448">
        <f>BL150/BF150-1</f>
        <v>0.15805385905307001</v>
      </c>
      <c r="BM151" s="448">
        <f>BM150/BG150-1</f>
        <v>-0.37849518614006938</v>
      </c>
      <c r="BN151" s="448">
        <f>BN150/BH150-1</f>
        <v>0.17236088879507649</v>
      </c>
      <c r="BO151" s="1262">
        <f>BO150/BI150-1</f>
        <v>-0.10899644569706046</v>
      </c>
      <c r="BP151" s="176"/>
      <c r="BQ151" s="448">
        <f>BQ150/BK150-1</f>
        <v>0.73013918156696134</v>
      </c>
      <c r="BR151" s="448">
        <f>BR150/BL150-1</f>
        <v>5.6595445276734102E-2</v>
      </c>
      <c r="BS151" s="448">
        <f>BS150/BM150-1</f>
        <v>0.47457833536596872</v>
      </c>
      <c r="BT151" s="448">
        <f>BT150/BN150-1</f>
        <v>2.6125999646418929E-2</v>
      </c>
      <c r="BU151" s="1262">
        <f>BU150/BO150-1</f>
        <v>0.23290929237998803</v>
      </c>
      <c r="BV151" s="176"/>
      <c r="BW151" s="448">
        <f>BW150/BQ150-1</f>
        <v>0.19514323548225465</v>
      </c>
      <c r="BX151" s="448">
        <f>BX150/BR150-1</f>
        <v>3.6443733190376415E-2</v>
      </c>
      <c r="BY151" s="448">
        <f>BY150/BS150-1</f>
        <v>0.29026846255896377</v>
      </c>
      <c r="BZ151" s="448">
        <f>BZ150/BT150-1</f>
        <v>-2.1543583532337056</v>
      </c>
      <c r="CA151" s="1262">
        <f>CA150/BU150-1</f>
        <v>-0.4585728121569137</v>
      </c>
      <c r="CB151" s="176"/>
      <c r="CC151" s="448">
        <f>CC150/BW150-1</f>
        <v>-1.3448012020853861</v>
      </c>
      <c r="CD151" s="448">
        <f>CD150/BX150-1</f>
        <v>-0.88368858140776851</v>
      </c>
      <c r="CE151" s="448">
        <f>CE150/BY150-1</f>
        <v>-0.72180860425423976</v>
      </c>
      <c r="CF151" s="448">
        <f>CF150/BZ150-1</f>
        <v>-1.4617058343473432</v>
      </c>
      <c r="CG151" s="1262">
        <f>CG150/CA150-1</f>
        <v>-0.68580449878748906</v>
      </c>
      <c r="CH151" s="176"/>
      <c r="CI151" s="448">
        <f>CI150/CC150-1</f>
        <v>-2.1230728780744323</v>
      </c>
      <c r="CJ151" s="448">
        <f>CJ150/CD150-1</f>
        <v>4.6681616359118694</v>
      </c>
      <c r="CK151" s="448">
        <f>CK150/CE150-1</f>
        <v>0.82789462936491809</v>
      </c>
      <c r="CL151" s="448">
        <f>CL150/CF150-1</f>
        <v>0.22012315793944204</v>
      </c>
      <c r="CM151" s="1262">
        <f>CM150/CG150-1</f>
        <v>2.6266591004561914</v>
      </c>
      <c r="CN151" s="176"/>
      <c r="CO151" s="448">
        <f>CO150/CI150-1</f>
        <v>0.85824649473824755</v>
      </c>
      <c r="CP151" s="448">
        <f>CP150/CJ150-1</f>
        <v>0.17458090901008694</v>
      </c>
      <c r="CQ151" s="448">
        <f>CQ150/CK150-1</f>
        <v>0.36821743040324972</v>
      </c>
      <c r="CR151" s="448">
        <f>CR150/CL150-1</f>
        <v>0.18650248239880973</v>
      </c>
      <c r="CS151" s="1262">
        <f>CS150/CM150-1</f>
        <v>0.34561092440532426</v>
      </c>
      <c r="CT151" s="176"/>
      <c r="CU151" s="448">
        <f>CU150/CO150-1</f>
        <v>0.15311841796250225</v>
      </c>
      <c r="CV151" s="448">
        <f>CV150/CP150-1</f>
        <v>7.7576983961757939E-4</v>
      </c>
      <c r="CW151" s="448">
        <f>CW150/CQ150-1</f>
        <v>-0.59855307382422307</v>
      </c>
      <c r="CX151" s="448">
        <f>CX150/CR150-1</f>
        <v>4.7485965931087337E-2</v>
      </c>
      <c r="CY151" s="1262">
        <f>CY150/CS150-1</f>
        <v>-0.10473195958170434</v>
      </c>
      <c r="CZ151" s="176"/>
      <c r="DA151" s="448">
        <f>DA150/CU150-1</f>
        <v>-0.27538322673790461</v>
      </c>
      <c r="DB151" s="448">
        <f>DB150/CV150-1</f>
        <v>-7.4984161717789766E-2</v>
      </c>
      <c r="DC151" s="448">
        <f>DC150/CW150-1</f>
        <v>0.9864592921472024</v>
      </c>
      <c r="DD151" s="448">
        <f>DD150/CX150-1</f>
        <v>-0.27346311641371268</v>
      </c>
      <c r="DE151" s="1262">
        <f>DE150/CY150-1</f>
        <v>-7.396357651570018E-2</v>
      </c>
      <c r="DF151" s="176"/>
      <c r="DG151" s="448">
        <f>DG150/DA150-1</f>
        <v>-0.49966151616086785</v>
      </c>
      <c r="DH151" s="448">
        <f>DH150/DB150-1</f>
        <v>-0.46557253271847721</v>
      </c>
      <c r="DI151" s="448">
        <f>DI150/DC150-1</f>
        <v>-0.81632874605633632</v>
      </c>
      <c r="DJ151" s="448">
        <f>DJ150/DD150-1</f>
        <v>-0.50509788730952621</v>
      </c>
      <c r="DK151" s="1262">
        <f>DK150/DE150-1</f>
        <v>-0.57006826733450222</v>
      </c>
      <c r="DL151" s="176"/>
      <c r="DM151" s="448">
        <f>DM150/DG150-1</f>
        <v>-0.32537962608527171</v>
      </c>
      <c r="DN151" s="448">
        <f>DN150/DH150-1</f>
        <v>-7.8446459881491837</v>
      </c>
      <c r="DO151" s="448">
        <f>DO150/DI150-1</f>
        <v>-5.1341143971002356</v>
      </c>
      <c r="DP151" s="448">
        <f>DP150/DJ150-1</f>
        <v>-2.2184731815030698</v>
      </c>
      <c r="DQ151" s="1262">
        <f>DQ150/DK150-1</f>
        <v>-3.9271644786526423</v>
      </c>
      <c r="DR151" s="176"/>
      <c r="DS151" s="448">
        <f>DS150/DM150-1</f>
        <v>-10.352008035389302</v>
      </c>
      <c r="DT151" s="448">
        <f>DT150/DN150-1</f>
        <v>-0.59155784611404116</v>
      </c>
      <c r="DU151" s="448">
        <f>DU150/DO150-1</f>
        <v>2.3618123816847083</v>
      </c>
      <c r="DV151" s="448">
        <f>DV150/DP150-1</f>
        <v>4.4027264290169867</v>
      </c>
      <c r="DW151" s="1262">
        <f>DW150/DQ150-1</f>
        <v>1.0342535315855774</v>
      </c>
      <c r="DX151" s="176"/>
      <c r="DY151" s="448">
        <f>DY150/DS150-1</f>
        <v>-0.23551746635437953</v>
      </c>
      <c r="DZ151" s="448">
        <f>DZ150/DT150-1</f>
        <v>0.5761822911941481</v>
      </c>
      <c r="EA151" s="448">
        <f>EA150/DU150-1</f>
        <v>-0.15074964411994252</v>
      </c>
      <c r="EB151" s="448">
        <f>EB150/DV150-1</f>
        <v>2.6884174261274429E-2</v>
      </c>
      <c r="EC151" s="1262">
        <f>EC150/DW150-1</f>
        <v>-2.1682942419709583E-3</v>
      </c>
      <c r="ED151" s="176"/>
      <c r="EE151" s="448">
        <f>EE150/DY150-1</f>
        <v>-0.26595480794731408</v>
      </c>
      <c r="EF151" s="448">
        <f>EF150/DZ150-1</f>
        <v>-0.56083548533211225</v>
      </c>
      <c r="EG151" s="448">
        <f>EG150/EA150-1</f>
        <v>-0.98904008604642679</v>
      </c>
      <c r="EH151" s="448">
        <f>EH150/EB150-1</f>
        <v>-0.9627099967607522</v>
      </c>
      <c r="EI151" s="1262">
        <f>EI150/EC150-1</f>
        <v>-0.70648991566856689</v>
      </c>
      <c r="EJ151" s="176"/>
      <c r="EK151" s="448">
        <f>EK150/EE150-1</f>
        <v>-1.9787168847618584</v>
      </c>
      <c r="EL151" s="448">
        <f>EL150/EF150-1</f>
        <v>-3.4293363128440713</v>
      </c>
      <c r="EM151" s="448">
        <f>EM150/EG150-1</f>
        <v>-99.305822532712682</v>
      </c>
      <c r="EN151" s="448">
        <f>EN150/EH150-1</f>
        <v>-28.259650993120019</v>
      </c>
      <c r="EO151" s="1262">
        <f>EO150/EI150-1</f>
        <v>-4.3156517995583457</v>
      </c>
      <c r="EP151" s="176"/>
      <c r="EQ151" s="448">
        <f>EQ150/EK150-1</f>
        <v>0.54430643695880665</v>
      </c>
      <c r="ER151" s="448">
        <f>ER150/EL150-1</f>
        <v>0.74252734829605971</v>
      </c>
      <c r="ES151" s="448">
        <f>ES150/EM150-1</f>
        <v>0.89269771526497288</v>
      </c>
      <c r="ET151" s="448">
        <f>ET150/EN150-1</f>
        <v>0.97636311633331885</v>
      </c>
      <c r="EU151" s="1262">
        <f>EU150/EO150-1</f>
        <v>0.81988748285348767</v>
      </c>
      <c r="EV151" s="176"/>
    </row>
    <row r="152" spans="1:152" ht="12" customHeight="1">
      <c r="A152" s="427"/>
      <c r="B152" s="444"/>
      <c r="C152" s="223"/>
      <c r="D152" s="223"/>
      <c r="E152" s="223"/>
      <c r="F152" s="223"/>
      <c r="G152" s="223"/>
      <c r="H152" s="428"/>
      <c r="I152" s="223"/>
      <c r="J152" s="223"/>
      <c r="K152" s="223"/>
      <c r="L152" s="223"/>
      <c r="M152" s="223"/>
      <c r="N152" s="428"/>
      <c r="O152" s="223"/>
      <c r="P152" s="223"/>
      <c r="Q152" s="223"/>
      <c r="R152" s="223"/>
      <c r="S152" s="223"/>
      <c r="T152" s="428"/>
      <c r="U152" s="223"/>
      <c r="V152" s="223"/>
      <c r="W152" s="223"/>
      <c r="X152" s="223"/>
      <c r="Y152" s="223"/>
      <c r="Z152" s="428"/>
      <c r="AA152" s="223"/>
      <c r="AB152" s="223"/>
      <c r="AC152" s="223"/>
      <c r="AD152" s="223"/>
      <c r="AE152" s="223"/>
      <c r="AF152" s="428"/>
      <c r="AG152" s="223"/>
      <c r="AH152" s="223"/>
      <c r="AI152" s="223"/>
      <c r="AJ152" s="223"/>
      <c r="AK152" s="223"/>
      <c r="AL152" s="428"/>
      <c r="AM152" s="223"/>
      <c r="AN152" s="223"/>
      <c r="AO152" s="223"/>
      <c r="AP152" s="223"/>
      <c r="AQ152" s="223"/>
      <c r="AR152" s="428"/>
      <c r="AS152" s="223"/>
      <c r="AT152" s="223"/>
      <c r="AU152" s="223"/>
      <c r="AV152" s="223"/>
      <c r="AW152" s="223"/>
      <c r="AX152" s="428"/>
      <c r="AY152" s="431"/>
      <c r="AZ152" s="431"/>
      <c r="BA152" s="431"/>
      <c r="BB152" s="431"/>
      <c r="BC152" s="428"/>
      <c r="BD152" s="428"/>
      <c r="BE152" s="431"/>
      <c r="BF152" s="431"/>
      <c r="BG152" s="431"/>
      <c r="BH152" s="431"/>
      <c r="BI152" s="428"/>
      <c r="BJ152" s="428"/>
      <c r="BK152" s="431"/>
      <c r="BL152" s="431"/>
      <c r="BM152" s="431"/>
      <c r="BN152" s="431"/>
      <c r="BO152" s="1192"/>
      <c r="BP152" s="428"/>
      <c r="BQ152" s="431"/>
      <c r="BR152" s="431"/>
      <c r="BS152" s="431"/>
      <c r="BT152" s="431"/>
      <c r="BU152" s="1192"/>
      <c r="BV152" s="428"/>
      <c r="BW152" s="431"/>
      <c r="BX152" s="431"/>
      <c r="BY152" s="431"/>
      <c r="BZ152" s="431"/>
      <c r="CA152" s="1192"/>
      <c r="CB152" s="428"/>
      <c r="CC152" s="431"/>
      <c r="CD152" s="431"/>
      <c r="CE152" s="431"/>
      <c r="CF152" s="431"/>
      <c r="CG152" s="1192"/>
      <c r="CH152" s="428"/>
      <c r="CI152" s="431"/>
      <c r="CJ152" s="431"/>
      <c r="CK152" s="431"/>
      <c r="CL152" s="431"/>
      <c r="CM152" s="1192"/>
      <c r="CN152" s="428"/>
      <c r="CO152" s="431"/>
      <c r="CP152" s="431"/>
      <c r="CQ152" s="431"/>
      <c r="CR152" s="431"/>
      <c r="CS152" s="1192"/>
      <c r="CT152" s="428"/>
      <c r="CU152" s="431"/>
      <c r="CV152" s="431"/>
      <c r="CW152" s="431"/>
      <c r="CX152" s="431"/>
      <c r="CY152" s="1192"/>
      <c r="CZ152" s="428"/>
      <c r="DA152" s="431"/>
      <c r="DB152" s="431"/>
      <c r="DC152" s="431"/>
      <c r="DD152" s="431"/>
      <c r="DE152" s="1192"/>
      <c r="DF152" s="428"/>
      <c r="DG152" s="431"/>
      <c r="DH152" s="431"/>
      <c r="DI152" s="431"/>
      <c r="DJ152" s="431"/>
      <c r="DK152" s="1192"/>
      <c r="DL152" s="428"/>
      <c r="DM152" s="431"/>
      <c r="DN152" s="431"/>
      <c r="DO152" s="431"/>
      <c r="DP152" s="431"/>
      <c r="DQ152" s="1192"/>
      <c r="DR152" s="428"/>
      <c r="DS152" s="431"/>
      <c r="DT152" s="431"/>
      <c r="DU152" s="431"/>
      <c r="DV152" s="431"/>
      <c r="DW152" s="1192"/>
      <c r="DX152" s="428"/>
      <c r="DY152" s="431"/>
      <c r="DZ152" s="431"/>
      <c r="EA152" s="431"/>
      <c r="EB152" s="431"/>
      <c r="EC152" s="1192"/>
      <c r="ED152" s="428"/>
      <c r="EE152" s="431"/>
      <c r="EF152" s="431"/>
      <c r="EG152" s="431"/>
      <c r="EH152" s="431"/>
      <c r="EI152" s="1192"/>
      <c r="EJ152" s="428"/>
      <c r="EK152" s="431"/>
      <c r="EL152" s="431"/>
      <c r="EM152" s="431"/>
      <c r="EN152" s="431"/>
      <c r="EO152" s="1192"/>
      <c r="EP152" s="428"/>
      <c r="EQ152" s="431"/>
      <c r="ER152" s="431"/>
      <c r="ES152" s="431"/>
      <c r="ET152" s="431"/>
      <c r="EU152" s="1192"/>
      <c r="EV152" s="429"/>
    </row>
    <row r="153" spans="1:152">
      <c r="A153" s="223" t="s">
        <v>3826</v>
      </c>
      <c r="B153" s="593" t="s">
        <v>2353</v>
      </c>
      <c r="C153" s="223">
        <f>2*97.3</f>
        <v>194.6</v>
      </c>
      <c r="D153" s="223">
        <f>2*95.1</f>
        <v>190.2</v>
      </c>
      <c r="E153" s="223">
        <f>2*90.8</f>
        <v>181.6</v>
      </c>
      <c r="F153" s="223">
        <f>2*92.2</f>
        <v>184.4</v>
      </c>
      <c r="G153" s="223">
        <f>2*94.4</f>
        <v>188.8</v>
      </c>
      <c r="H153" s="223"/>
      <c r="I153" s="223">
        <f>2*116.2</f>
        <v>232.4</v>
      </c>
      <c r="J153" s="223">
        <f>2*123.3</f>
        <v>246.6</v>
      </c>
      <c r="K153" s="223">
        <f>2*123.2</f>
        <v>246.4</v>
      </c>
      <c r="L153" s="223">
        <f>2*117.9</f>
        <v>235.8</v>
      </c>
      <c r="M153" s="223">
        <f>2*119.5</f>
        <v>239</v>
      </c>
      <c r="N153" s="223"/>
      <c r="O153" s="223">
        <f>4*60.426</f>
        <v>241.70400000000001</v>
      </c>
      <c r="P153" s="223">
        <f>59.652*4</f>
        <v>238.608</v>
      </c>
      <c r="Q153" s="223">
        <f>57.533*4</f>
        <v>230.13200000000001</v>
      </c>
      <c r="R153" s="223">
        <v>240.60400000000001</v>
      </c>
      <c r="S153" s="223">
        <f>4*59.141</f>
        <v>236.56399999999999</v>
      </c>
      <c r="T153" s="223"/>
      <c r="U153" s="223">
        <f>4*58.93</f>
        <v>235.72</v>
      </c>
      <c r="V153" s="223">
        <f>4*61.535</f>
        <v>246.14</v>
      </c>
      <c r="W153" s="223">
        <f>4*61.482</f>
        <v>245.928</v>
      </c>
      <c r="X153" s="223">
        <f>61.612*4</f>
        <v>246.44800000000001</v>
      </c>
      <c r="Y153" s="223">
        <f>4*61.406</f>
        <v>245.624</v>
      </c>
      <c r="Z153" s="223"/>
      <c r="AA153" s="223">
        <f>4*62.583</f>
        <v>250.33199999999999</v>
      </c>
      <c r="AB153" s="223">
        <f>4*59.073</f>
        <v>236.292</v>
      </c>
      <c r="AC153" s="223">
        <f>4*57.073</f>
        <v>228.292</v>
      </c>
      <c r="AD153" s="223">
        <f>4*56.144</f>
        <v>224.57599999999999</v>
      </c>
      <c r="AE153" s="223">
        <f>4*58.514</f>
        <v>234.05600000000001</v>
      </c>
      <c r="AF153" s="223"/>
      <c r="AG153" s="223">
        <v>222.74700000000001</v>
      </c>
      <c r="AH153" s="223">
        <v>222.84</v>
      </c>
      <c r="AI153" s="223">
        <v>224.03899999999999</v>
      </c>
      <c r="AJ153" s="223">
        <v>228.85400000000001</v>
      </c>
      <c r="AK153" s="223">
        <f>AVERAGE(AG153:AJ153)</f>
        <v>224.62</v>
      </c>
      <c r="AL153" s="223"/>
      <c r="AM153" s="223">
        <v>236.804</v>
      </c>
      <c r="AN153" s="223">
        <v>228.54900000000001</v>
      </c>
      <c r="AO153" s="223">
        <v>227.11600000000001</v>
      </c>
      <c r="AP153" s="223">
        <v>228.32300000000001</v>
      </c>
      <c r="AQ153" s="223">
        <f>AVERAGE(AM153:AP153)</f>
        <v>230.19800000000001</v>
      </c>
      <c r="AR153" s="223"/>
      <c r="AS153" s="223">
        <f>113.446*2</f>
        <v>226.892</v>
      </c>
      <c r="AT153" s="223">
        <f>113.46*2</f>
        <v>226.92</v>
      </c>
      <c r="AU153" s="223">
        <f>114.166*2</f>
        <v>228.33199999999999</v>
      </c>
      <c r="AV153" s="223">
        <f>119.837*2</f>
        <v>239.67400000000001</v>
      </c>
      <c r="AW153" s="223">
        <f>115.652*2</f>
        <v>231.304</v>
      </c>
      <c r="AX153" s="223"/>
      <c r="AY153" s="428">
        <v>238.6</v>
      </c>
      <c r="AZ153" s="428">
        <v>250.607</v>
      </c>
      <c r="BA153" s="428">
        <f>124.022*2</f>
        <v>248.04400000000001</v>
      </c>
      <c r="BB153" s="428">
        <v>252.7</v>
      </c>
      <c r="BC153" s="428">
        <v>246.977</v>
      </c>
      <c r="BD153" s="223"/>
      <c r="BE153" s="428">
        <v>249.3</v>
      </c>
      <c r="BF153" s="428">
        <v>250.3</v>
      </c>
      <c r="BG153" s="428">
        <v>249.5</v>
      </c>
      <c r="BH153" s="428">
        <v>248.9</v>
      </c>
      <c r="BI153" s="428">
        <f>AVERAGE(BE153:BH153)</f>
        <v>249.5</v>
      </c>
      <c r="BJ153" s="428"/>
      <c r="BK153" s="428">
        <v>246.9</v>
      </c>
      <c r="BL153" s="428">
        <v>244.6</v>
      </c>
      <c r="BM153" s="428">
        <v>243.3</v>
      </c>
      <c r="BN153" s="428">
        <v>245.4</v>
      </c>
      <c r="BO153" s="1192">
        <v>243.172</v>
      </c>
      <c r="BP153" s="428"/>
      <c r="BQ153" s="428">
        <v>245.1</v>
      </c>
      <c r="BR153" s="428">
        <v>244.3</v>
      </c>
      <c r="BS153" s="428">
        <v>241.23599999999999</v>
      </c>
      <c r="BT153" s="428">
        <v>239.4</v>
      </c>
      <c r="BU153" s="1192">
        <f>AVERAGE(BQ153:BT153)</f>
        <v>242.50899999999999</v>
      </c>
      <c r="BV153" s="428"/>
      <c r="BW153" s="428">
        <v>232.9</v>
      </c>
      <c r="BX153" s="428">
        <v>231.078</v>
      </c>
      <c r="BY153" s="428">
        <v>230.4</v>
      </c>
      <c r="BZ153" s="428">
        <v>229.1</v>
      </c>
      <c r="CA153" s="1192">
        <f>AVERAGE(BW153:BZ153)</f>
        <v>230.86950000000002</v>
      </c>
      <c r="CB153" s="428"/>
      <c r="CC153" s="428">
        <v>229.2</v>
      </c>
      <c r="CD153" s="428">
        <v>232.3</v>
      </c>
      <c r="CE153" s="428">
        <v>233.8</v>
      </c>
      <c r="CF153" s="428">
        <v>233.2</v>
      </c>
      <c r="CG153" s="1192">
        <f>AVERAGE(CC153:CF153)</f>
        <v>232.125</v>
      </c>
      <c r="CH153" s="428"/>
      <c r="CI153" s="428">
        <v>234.6</v>
      </c>
      <c r="CJ153" s="223">
        <v>233.8</v>
      </c>
      <c r="CK153" s="428">
        <v>232.4</v>
      </c>
      <c r="CL153" s="428">
        <v>235</v>
      </c>
      <c r="CM153" s="1192">
        <f>AVERAGE(CI153:CL153)</f>
        <v>233.95</v>
      </c>
      <c r="CN153" s="428"/>
      <c r="CO153" s="223">
        <v>237.1</v>
      </c>
      <c r="CP153" s="223">
        <v>236.6</v>
      </c>
      <c r="CQ153" s="223">
        <v>230.7</v>
      </c>
      <c r="CR153" s="223">
        <v>231.5</v>
      </c>
      <c r="CS153" s="1278">
        <f>AVERAGE(CO153:CR153)</f>
        <v>233.97499999999999</v>
      </c>
      <c r="CT153" s="223"/>
      <c r="CU153" s="223">
        <v>234.1</v>
      </c>
      <c r="CV153" s="223">
        <v>232.1</v>
      </c>
      <c r="CW153" s="223">
        <v>230.5</v>
      </c>
      <c r="CX153" s="223">
        <v>229.6</v>
      </c>
      <c r="CY153" s="1278">
        <f>AVERAGE(CU153:CX153)</f>
        <v>231.57500000000002</v>
      </c>
      <c r="CZ153" s="223"/>
      <c r="DA153" s="223">
        <v>229.3</v>
      </c>
      <c r="DB153" s="223">
        <v>228.3</v>
      </c>
      <c r="DC153" s="223">
        <v>227.7</v>
      </c>
      <c r="DD153" s="223">
        <v>231.1</v>
      </c>
      <c r="DE153" s="1278">
        <f>AVERAGE(DA153:DD153)</f>
        <v>229.1</v>
      </c>
      <c r="DF153" s="223"/>
      <c r="DG153" s="223">
        <v>231.6</v>
      </c>
      <c r="DH153" s="223">
        <v>232.4</v>
      </c>
      <c r="DI153" s="223">
        <v>231.5</v>
      </c>
      <c r="DJ153" s="223">
        <v>232.2</v>
      </c>
      <c r="DK153" s="1278">
        <f>AVERAGE(DG153:DJ153)</f>
        <v>231.92500000000001</v>
      </c>
      <c r="DL153" s="223"/>
      <c r="DM153" s="223">
        <v>231.7</v>
      </c>
      <c r="DN153" s="223">
        <v>231.1</v>
      </c>
      <c r="DO153" s="223">
        <v>228.7</v>
      </c>
      <c r="DP153" s="223">
        <v>229.1</v>
      </c>
      <c r="DQ153" s="1278">
        <f>AVERAGE(DM153:DP153)</f>
        <v>230.15</v>
      </c>
      <c r="DR153" s="223"/>
      <c r="DS153" s="223">
        <v>224.4</v>
      </c>
      <c r="DT153" s="223">
        <v>227.4</v>
      </c>
      <c r="DU153" s="223">
        <v>222.3</v>
      </c>
      <c r="DV153" s="223">
        <v>221.1</v>
      </c>
      <c r="DW153" s="1278">
        <f>AVERAGE(DS153:DV153)</f>
        <v>223.8</v>
      </c>
      <c r="DX153" s="223"/>
      <c r="DY153" s="223">
        <v>219.9</v>
      </c>
      <c r="DZ153" s="223">
        <v>219.5</v>
      </c>
      <c r="EA153" s="223">
        <v>219.6</v>
      </c>
      <c r="EB153" s="223">
        <v>219.1</v>
      </c>
      <c r="EC153" s="1278">
        <f>AVERAGE(DY153:EB153)</f>
        <v>219.52500000000001</v>
      </c>
      <c r="ED153" s="223"/>
      <c r="EE153" s="223">
        <f>EE155*EE156</f>
        <v>218.85917048000002</v>
      </c>
      <c r="EF153" s="223">
        <f>EF155*EF156</f>
        <v>218.35417048000002</v>
      </c>
      <c r="EG153" s="223">
        <f>EG155*EG156</f>
        <v>217.84917048</v>
      </c>
      <c r="EH153" s="223">
        <f>EH155*EH156</f>
        <v>217.34417048</v>
      </c>
      <c r="EI153" s="1278">
        <f>AVERAGE(EE153:EH153)</f>
        <v>218.10167048</v>
      </c>
      <c r="EJ153" s="223"/>
      <c r="EK153" s="223">
        <f>EK155*EK156</f>
        <v>215.54681486000001</v>
      </c>
      <c r="EL153" s="223">
        <f>EL155*EL156</f>
        <v>214.03556486000002</v>
      </c>
      <c r="EM153" s="223">
        <f>EM155*EM156</f>
        <v>213.02806486000003</v>
      </c>
      <c r="EN153" s="223">
        <f>EN155*EN156</f>
        <v>212.02056486000001</v>
      </c>
      <c r="EO153" s="1278">
        <f>AVERAGE(EK153:EN153)</f>
        <v>213.65775236000005</v>
      </c>
      <c r="EP153" s="223"/>
      <c r="EQ153" s="223">
        <f>EQ155*EQ156</f>
        <v>210.74070924000003</v>
      </c>
      <c r="ER153" s="223">
        <f>ER155*ER156</f>
        <v>210.23820924000003</v>
      </c>
      <c r="ES153" s="223">
        <f>ES155*ES156</f>
        <v>209.73570924000003</v>
      </c>
      <c r="ET153" s="223">
        <f>ET155*ET156</f>
        <v>209.23320924000004</v>
      </c>
      <c r="EU153" s="1278">
        <f>AVERAGE(EQ153:ET153)</f>
        <v>209.98695924000003</v>
      </c>
      <c r="EV153" s="223"/>
    </row>
    <row r="154" spans="1:152" hidden="1" outlineLevel="1">
      <c r="A154" s="689" t="s">
        <v>3825</v>
      </c>
      <c r="B154" s="593"/>
      <c r="C154" s="384">
        <f>IF(C147&lt;0,C155,C153)</f>
        <v>194.6</v>
      </c>
      <c r="D154" s="384">
        <f>IF(D147&lt;0,D155,D153)</f>
        <v>190.2</v>
      </c>
      <c r="E154" s="384">
        <f>IF(E147&lt;0,E155,E153)</f>
        <v>181.6</v>
      </c>
      <c r="F154" s="384">
        <f>IF(F147&lt;0,F155,F153)</f>
        <v>184.4</v>
      </c>
      <c r="G154" s="384">
        <f>IF(G147&lt;0,G155,G153)</f>
        <v>188.8</v>
      </c>
      <c r="H154" s="384"/>
      <c r="I154" s="384">
        <f>I153</f>
        <v>232.4</v>
      </c>
      <c r="J154" s="384">
        <f>IF(J147&lt;0,J155,J153)</f>
        <v>246.6</v>
      </c>
      <c r="K154" s="384">
        <f>IF(K147&lt;0,K155,K153)</f>
        <v>246.4</v>
      </c>
      <c r="L154" s="384">
        <f>IF(L147&lt;0,L155,L153)</f>
        <v>235.8</v>
      </c>
      <c r="M154" s="384">
        <f>IF(M147&lt;0,M155,M153)</f>
        <v>239</v>
      </c>
      <c r="N154" s="384"/>
      <c r="O154" s="384">
        <f>IF(O147&lt;0,O155,O153)</f>
        <v>241.70400000000001</v>
      </c>
      <c r="P154" s="384">
        <f>IF(P147&lt;0,P155,P153)</f>
        <v>238.608</v>
      </c>
      <c r="Q154" s="384">
        <f>IF(Q147&lt;0,Q155,Q153)</f>
        <v>230.13200000000001</v>
      </c>
      <c r="R154" s="384">
        <f>IF(R147&lt;0,R155,R153)</f>
        <v>240.60400000000001</v>
      </c>
      <c r="S154" s="384">
        <f>IF(S147&lt;0,S155,S153)</f>
        <v>236.56399999999999</v>
      </c>
      <c r="T154" s="384"/>
      <c r="U154" s="384">
        <f>IF(U147&lt;0,U155,U153)</f>
        <v>235.72</v>
      </c>
      <c r="V154" s="384">
        <f>IF(V147&lt;0,V155,V153)</f>
        <v>246.14</v>
      </c>
      <c r="W154" s="384">
        <f>IF(W147&lt;0,W155,W153)</f>
        <v>245.928</v>
      </c>
      <c r="X154" s="384">
        <f>IF(X147&lt;0,X155,X153)</f>
        <v>246.44800000000001</v>
      </c>
      <c r="Y154" s="384">
        <f>IF(Y147&lt;0,Y155,Y153)</f>
        <v>245.624</v>
      </c>
      <c r="Z154" s="384"/>
      <c r="AA154" s="384">
        <f>IF(AA147&lt;0,AA155,AA153)</f>
        <v>250.33199999999999</v>
      </c>
      <c r="AB154" s="384">
        <f>IF(AB147&lt;0,AB155,AB153)</f>
        <v>236.292</v>
      </c>
      <c r="AC154" s="384">
        <f>IF(AC147&lt;0,AC155,AC153)</f>
        <v>228.292</v>
      </c>
      <c r="AD154" s="384">
        <f>IF(AD147&lt;0,AD155,AD153)</f>
        <v>224.57599999999999</v>
      </c>
      <c r="AE154" s="384">
        <f>IF(AE147&lt;0,AE155,AE153)</f>
        <v>234.05600000000001</v>
      </c>
      <c r="AF154" s="384"/>
      <c r="AG154" s="384">
        <f>IF(AG147&lt;0,AG155,AG153)</f>
        <v>222.74700000000001</v>
      </c>
      <c r="AH154" s="384">
        <f>IF(AH147&lt;0,AH155,AH153)</f>
        <v>222.84</v>
      </c>
      <c r="AI154" s="384">
        <f>IF(AI147&lt;0,AI155,AI153)</f>
        <v>224.03899999999999</v>
      </c>
      <c r="AJ154" s="384">
        <f>IF(AJ147&lt;0,AJ155,AJ153)</f>
        <v>228.85400000000001</v>
      </c>
      <c r="AK154" s="384">
        <f>IF(AK147&lt;0,AK155,AK153)</f>
        <v>224.62</v>
      </c>
      <c r="AL154" s="384"/>
      <c r="AM154" s="384">
        <f>IF(AM147&lt;0,AM155,AM153)</f>
        <v>236.804</v>
      </c>
      <c r="AN154" s="384">
        <f>IF(AN147&lt;0,AN155,AN153)</f>
        <v>228.54900000000001</v>
      </c>
      <c r="AO154" s="384">
        <f>IF(AO147&lt;0,AO155,AO153)</f>
        <v>225.619</v>
      </c>
      <c r="AP154" s="384">
        <f>IF(AP147&lt;0,AP155,AP153)</f>
        <v>228.32300000000001</v>
      </c>
      <c r="AQ154" s="384">
        <f>IF(AQ147&lt;0,AQ155,AQ153)</f>
        <v>230.19800000000001</v>
      </c>
      <c r="AR154" s="384"/>
      <c r="AS154" s="384">
        <f>IF(AS147&lt;0,AS155,AS153)</f>
        <v>226.892</v>
      </c>
      <c r="AT154" s="384">
        <f>IF(AT147&lt;0,AT155,AT153)</f>
        <v>226.92</v>
      </c>
      <c r="AU154" s="384">
        <f>IF(AU147&lt;0,AU155,AU153)</f>
        <v>228.33199999999999</v>
      </c>
      <c r="AV154" s="384">
        <f>IF(AV147&lt;0,AV155,AV153)</f>
        <v>239.67400000000001</v>
      </c>
      <c r="AW154" s="384">
        <f>IF(AW147&lt;0,AW155,AW153)</f>
        <v>231.304</v>
      </c>
      <c r="AX154" s="384"/>
      <c r="AY154" s="384">
        <f>IF(AY147&lt;0,AY155,AY153)</f>
        <v>238.6</v>
      </c>
      <c r="AZ154" s="384">
        <f>IF(AZ147&lt;0,AZ155,AZ153)</f>
        <v>250.607</v>
      </c>
      <c r="BA154" s="384">
        <f>IF(BA147&lt;0,BA155,BA153)</f>
        <v>248.04400000000001</v>
      </c>
      <c r="BB154" s="384">
        <f>IF(BB147&lt;0,BB155,BB153)</f>
        <v>252.7</v>
      </c>
      <c r="BC154" s="384">
        <f>IF(BC147&lt;0,BC155,BC153)</f>
        <v>246.977</v>
      </c>
      <c r="BD154" s="384"/>
      <c r="BE154" s="384">
        <f t="shared" ref="BE154:BO154" si="57">IF(BE147&lt;0,BE155,BE153)</f>
        <v>249.3</v>
      </c>
      <c r="BF154" s="384">
        <f t="shared" si="57"/>
        <v>250.3</v>
      </c>
      <c r="BG154" s="384">
        <f t="shared" si="57"/>
        <v>249.5</v>
      </c>
      <c r="BH154" s="384">
        <f t="shared" si="57"/>
        <v>248.9</v>
      </c>
      <c r="BI154" s="384">
        <f t="shared" si="57"/>
        <v>249.5</v>
      </c>
      <c r="BJ154" s="384"/>
      <c r="BK154" s="384">
        <f t="shared" si="57"/>
        <v>246.9</v>
      </c>
      <c r="BL154" s="384">
        <f t="shared" si="57"/>
        <v>244.6</v>
      </c>
      <c r="BM154" s="384">
        <f t="shared" si="57"/>
        <v>243.3</v>
      </c>
      <c r="BN154" s="384">
        <f t="shared" si="57"/>
        <v>245.4</v>
      </c>
      <c r="BO154" s="1261">
        <f t="shared" si="57"/>
        <v>243.172</v>
      </c>
      <c r="BP154" s="384"/>
      <c r="BQ154" s="384">
        <f>IF(BQ147&lt;0,BQ155,BQ153)</f>
        <v>245.1</v>
      </c>
      <c r="BR154" s="384">
        <f>IF(BR147&lt;0,BR155,BR153)</f>
        <v>244.3</v>
      </c>
      <c r="BS154" s="384">
        <f>IF(BS147&lt;0,BS155,BS153)</f>
        <v>241.23599999999999</v>
      </c>
      <c r="BT154" s="384">
        <f>IF(BT147&lt;0,BT155,BT153)</f>
        <v>239.4</v>
      </c>
      <c r="BU154" s="1261">
        <f>IF(BU147&lt;0,BU155,BU153)</f>
        <v>242.50899999999999</v>
      </c>
      <c r="BV154" s="384"/>
      <c r="BW154" s="384">
        <f>IF(BW147&lt;0,BW155,BW153)</f>
        <v>232.9</v>
      </c>
      <c r="BX154" s="384">
        <f>IF(BX147&lt;0,BX155,BX153)</f>
        <v>231.078</v>
      </c>
      <c r="BY154" s="384">
        <f>IF(BY147&lt;0,BY155,BY153)</f>
        <v>230.4</v>
      </c>
      <c r="BZ154" s="384">
        <f>IF(BZ147&lt;0,BZ155,BZ153)</f>
        <v>226.3</v>
      </c>
      <c r="CA154" s="1261">
        <f>IF(CA147&lt;0,CA155,CA153)</f>
        <v>230.86950000000002</v>
      </c>
      <c r="CB154" s="384"/>
      <c r="CC154" s="384">
        <f>IF(CC147&lt;0,CC155,CC153)</f>
        <v>227.1</v>
      </c>
      <c r="CD154" s="384">
        <f>IF(CD147&lt;0,CD155,CD153)</f>
        <v>232.3</v>
      </c>
      <c r="CE154" s="384">
        <f>IF(CE147&lt;0,CE155,CE153)</f>
        <v>233.8</v>
      </c>
      <c r="CF154" s="384">
        <f>IF(CF147&lt;0,CF155,CF153)</f>
        <v>233.2</v>
      </c>
      <c r="CG154" s="1261">
        <f>IF(CG147&lt;0,CG155,CG153)</f>
        <v>232.125</v>
      </c>
      <c r="CH154" s="384"/>
      <c r="CI154" s="384">
        <f>IF(CI147&lt;0,CI155,CI153)</f>
        <v>234.6</v>
      </c>
      <c r="CJ154" s="384">
        <f>IF(CJ147&lt;0,CJ155,CJ153)</f>
        <v>233.8</v>
      </c>
      <c r="CK154" s="384">
        <f>IF(CK147&lt;0,CK155,CK153)</f>
        <v>232.4</v>
      </c>
      <c r="CL154" s="384">
        <f>IF(CL147&lt;0,CL155,CL153)</f>
        <v>235</v>
      </c>
      <c r="CM154" s="1261">
        <f>IF(CM147&lt;0,CM155,CM153)</f>
        <v>233.95</v>
      </c>
      <c r="CN154" s="384"/>
      <c r="CO154" s="384">
        <f>IF(CO147&lt;0,CO155,CO153)</f>
        <v>237.1</v>
      </c>
      <c r="CP154" s="384">
        <f>IF(CP147&lt;0,CP155,CP153)</f>
        <v>236.6</v>
      </c>
      <c r="CQ154" s="384">
        <f>IF(CQ147&lt;0,CQ155,CQ153)</f>
        <v>230.7</v>
      </c>
      <c r="CR154" s="384">
        <f>IF(CR147&lt;0,CR155,CR153)</f>
        <v>231.5</v>
      </c>
      <c r="CS154" s="1261">
        <f>IF(CS147&lt;0,CS155,CS153)</f>
        <v>233.97499999999999</v>
      </c>
      <c r="CT154" s="384"/>
      <c r="CU154" s="384">
        <f>IF(CU147&lt;0,CU155,CU153)</f>
        <v>234.1</v>
      </c>
      <c r="CV154" s="384">
        <f>IF(CV147&lt;0,CV155,CV153)</f>
        <v>232.1</v>
      </c>
      <c r="CW154" s="384">
        <f>IF(CW147&lt;0,CW155,CW153)</f>
        <v>230.5</v>
      </c>
      <c r="CX154" s="384">
        <f>IF(CX147&lt;0,CX155,CX153)</f>
        <v>229.6</v>
      </c>
      <c r="CY154" s="1261">
        <f>IF(CY147&lt;0,CY155,CY153)</f>
        <v>231.57500000000002</v>
      </c>
      <c r="CZ154" s="384"/>
      <c r="DA154" s="384">
        <f>IF(DA147&lt;0,DA155,DA153)</f>
        <v>229.3</v>
      </c>
      <c r="DB154" s="384">
        <f>IF(DB147&lt;0,DB155,DB153)</f>
        <v>228.3</v>
      </c>
      <c r="DC154" s="384">
        <f>IF(DC147&lt;0,DC155,DC153)</f>
        <v>227.7</v>
      </c>
      <c r="DD154" s="384">
        <f>IF(DD147&lt;0,DD155,DD153)</f>
        <v>231.1</v>
      </c>
      <c r="DE154" s="1261">
        <f>IF(DE147&lt;0,DE155,DE153)</f>
        <v>229.1</v>
      </c>
      <c r="DF154" s="384"/>
      <c r="DG154" s="384">
        <f>IF(DG147&lt;0,DG155,DG153)</f>
        <v>231.6</v>
      </c>
      <c r="DH154" s="384">
        <f>IF(DH147&lt;0,DH155,DH153)</f>
        <v>232.4</v>
      </c>
      <c r="DI154" s="384">
        <f>IF(DI147&lt;0,DI155,DI153)</f>
        <v>231.5</v>
      </c>
      <c r="DJ154" s="384">
        <f>IF(DJ147&lt;0,DJ155,DJ153)</f>
        <v>232.2</v>
      </c>
      <c r="DK154" s="1261">
        <f>IF(DK147&lt;0,DK155,DK153)</f>
        <v>231.92500000000001</v>
      </c>
      <c r="DL154" s="384"/>
      <c r="DM154" s="384">
        <f>IF(DM147&lt;0,DM155,DM153)</f>
        <v>231.7</v>
      </c>
      <c r="DN154" s="384">
        <f>IF(DN105&lt;0,DN155,DN153)</f>
        <v>231.1</v>
      </c>
      <c r="DO154" s="384">
        <f t="shared" ref="DO154:DQ154" si="58">IF(DO105&lt;0,DO155,DO153)</f>
        <v>228.7</v>
      </c>
      <c r="DP154" s="384">
        <f t="shared" si="58"/>
        <v>229.1</v>
      </c>
      <c r="DQ154" s="1261">
        <f t="shared" si="58"/>
        <v>230.15</v>
      </c>
      <c r="DR154" s="384"/>
      <c r="DS154" s="384">
        <f>IF(DS147&lt;0,DS155,DS153)</f>
        <v>224.4</v>
      </c>
      <c r="DT154" s="384">
        <f>IF(DT147&lt;0,DT155,DT153)</f>
        <v>223.2</v>
      </c>
      <c r="DU154" s="384">
        <f>IF(DU147&lt;0,DU155,DU153)</f>
        <v>222.3</v>
      </c>
      <c r="DV154" s="384">
        <f>IF(DV147&lt;0,DV155,DV153)</f>
        <v>221.1</v>
      </c>
      <c r="DW154" s="1261">
        <f>IF(DW147&lt;0,DW155,DW153)</f>
        <v>222.75000000000003</v>
      </c>
      <c r="DX154" s="384"/>
      <c r="DY154" s="384">
        <f>IF(DY147&lt;0,DY155,DY153)</f>
        <v>219.9</v>
      </c>
      <c r="DZ154" s="384">
        <f>IF(DZ147&lt;0,DZ155,DZ153)</f>
        <v>219.5</v>
      </c>
      <c r="EA154" s="384">
        <f>IF(EA147&lt;0,EA155,EA153)</f>
        <v>219.6</v>
      </c>
      <c r="EB154" s="384">
        <f>IF(EB147&lt;0,EB155,EB153)</f>
        <v>219.1</v>
      </c>
      <c r="EC154" s="1261">
        <f>IF(EC147&lt;0,EC155,EC153)</f>
        <v>219.52500000000001</v>
      </c>
      <c r="ED154" s="384"/>
      <c r="EE154" s="384">
        <f>IF(EE147&lt;0,EE155,EE153)</f>
        <v>216.69224800000001</v>
      </c>
      <c r="EF154" s="384">
        <f>IF(EF147&lt;0,EF155,EF153)</f>
        <v>216.19224800000001</v>
      </c>
      <c r="EG154" s="384">
        <f>IF(EG147&lt;0,EG155,EG153)</f>
        <v>215.69224800000001</v>
      </c>
      <c r="EH154" s="384">
        <f>IF(EH147&lt;0,EH155,EH153)</f>
        <v>215.19224800000001</v>
      </c>
      <c r="EI154" s="1261">
        <f>IF(EI147&lt;0,EI155,EI153)</f>
        <v>215.94224800000001</v>
      </c>
      <c r="EJ154" s="384"/>
      <c r="EK154" s="384">
        <f>IF(EK147&lt;0,EK155,EK153)</f>
        <v>215.54681486000001</v>
      </c>
      <c r="EL154" s="384">
        <f>IF(EL147&lt;0,EL155,EL153)</f>
        <v>214.03556486000002</v>
      </c>
      <c r="EM154" s="384">
        <f>IF(EM147&lt;0,EM155,EM153)</f>
        <v>213.02806486000003</v>
      </c>
      <c r="EN154" s="384">
        <f>IF(EN147&lt;0,EN155,EN153)</f>
        <v>212.02056486000001</v>
      </c>
      <c r="EO154" s="1261">
        <f>IF(EO147&lt;0,EO155,EO153)</f>
        <v>213.65775236000005</v>
      </c>
      <c r="EP154" s="384"/>
      <c r="EQ154" s="384">
        <f>IF(EQ147&lt;0,EQ155,EQ153)</f>
        <v>210.74070924000003</v>
      </c>
      <c r="ER154" s="384">
        <f>IF(ER147&lt;0,ER155,ER153)</f>
        <v>210.23820924000003</v>
      </c>
      <c r="ES154" s="384">
        <f>IF(ES147&lt;0,ES155,ES153)</f>
        <v>209.73570924000003</v>
      </c>
      <c r="ET154" s="384">
        <f>IF(ET147&lt;0,ET155,ET153)</f>
        <v>209.23320924000004</v>
      </c>
      <c r="EU154" s="1261">
        <f>IF(EU147&lt;0,EU155,EU153)</f>
        <v>209.98695924000003</v>
      </c>
      <c r="EV154" s="223"/>
    </row>
    <row r="155" spans="1:152" hidden="1" outlineLevel="1">
      <c r="A155" s="459" t="s">
        <v>6066</v>
      </c>
      <c r="B155" s="444"/>
      <c r="C155" s="428"/>
      <c r="D155" s="428"/>
      <c r="E155" s="428"/>
      <c r="F155" s="428"/>
      <c r="G155" s="428"/>
      <c r="H155" s="428"/>
      <c r="I155" s="428"/>
      <c r="J155" s="428"/>
      <c r="K155" s="428"/>
      <c r="L155" s="428"/>
      <c r="M155" s="428"/>
      <c r="N155" s="428"/>
      <c r="O155" s="223">
        <f>4*55.984</f>
        <v>223.93600000000001</v>
      </c>
      <c r="P155" s="223">
        <f>56.372*4</f>
        <v>225.488</v>
      </c>
      <c r="Q155" s="223">
        <f>56.305*4</f>
        <v>225.22</v>
      </c>
      <c r="R155" s="223">
        <v>227.62799999999999</v>
      </c>
      <c r="S155" s="223">
        <f>4*56.394</f>
        <v>225.57599999999999</v>
      </c>
      <c r="T155" s="223"/>
      <c r="U155" s="223">
        <f>4*58.93</f>
        <v>235.72</v>
      </c>
      <c r="V155" s="223">
        <f>4*60.845</f>
        <v>243.38</v>
      </c>
      <c r="W155" s="223">
        <f>4*61.157</f>
        <v>244.62799999999999</v>
      </c>
      <c r="X155" s="223">
        <f>60.505*4</f>
        <v>242.02</v>
      </c>
      <c r="Y155" s="223">
        <f>4*60.328</f>
        <v>241.31200000000001</v>
      </c>
      <c r="Z155" s="223"/>
      <c r="AA155" s="223">
        <f>4*59.005</f>
        <v>236.02</v>
      </c>
      <c r="AB155" s="223">
        <f>4*57.752</f>
        <v>231.00800000000001</v>
      </c>
      <c r="AC155" s="223">
        <f>4*56.681</f>
        <v>226.72399999999999</v>
      </c>
      <c r="AD155" s="223">
        <f>4*55.27</f>
        <v>221.08</v>
      </c>
      <c r="AE155" s="223">
        <f>4*57.188</f>
        <v>228.75200000000001</v>
      </c>
      <c r="AF155" s="223"/>
      <c r="AG155" s="223">
        <v>216.13200000000001</v>
      </c>
      <c r="AH155" s="223">
        <v>216.047</v>
      </c>
      <c r="AI155" s="223">
        <v>217.48</v>
      </c>
      <c r="AJ155" s="223">
        <v>220.76400000000001</v>
      </c>
      <c r="AK155" s="223">
        <f>AVERAGE(AG155:AJ155)</f>
        <v>217.60575</v>
      </c>
      <c r="AL155" s="223"/>
      <c r="AM155" s="223">
        <v>226.51499999999999</v>
      </c>
      <c r="AN155" s="223">
        <v>226.696</v>
      </c>
      <c r="AO155" s="223">
        <v>225.619</v>
      </c>
      <c r="AP155" s="223">
        <v>225.23699999999999</v>
      </c>
      <c r="AQ155" s="223">
        <f>AVERAGE(AM155:AP155)</f>
        <v>226.01675</v>
      </c>
      <c r="AR155" s="223"/>
      <c r="AS155" s="223">
        <v>223.54900000000001</v>
      </c>
      <c r="AT155" s="223">
        <v>222.959</v>
      </c>
      <c r="AU155" s="223">
        <v>222.44</v>
      </c>
      <c r="AV155" s="223">
        <v>222.929</v>
      </c>
      <c r="AW155" s="223">
        <f>AVERAGE(AS155:AV155)</f>
        <v>222.96925000000002</v>
      </c>
      <c r="AX155" s="223"/>
      <c r="AY155" s="223">
        <v>224.1</v>
      </c>
      <c r="AZ155" s="223">
        <v>228.00399999999999</v>
      </c>
      <c r="BA155" s="223">
        <f>113.912*2</f>
        <v>227.82400000000001</v>
      </c>
      <c r="BB155" s="223">
        <v>227.8</v>
      </c>
      <c r="BC155" s="223">
        <v>227.036</v>
      </c>
      <c r="BD155" s="223"/>
      <c r="BE155" s="430">
        <v>227.7</v>
      </c>
      <c r="BF155" s="223">
        <v>228.7</v>
      </c>
      <c r="BG155" s="223">
        <v>229.6</v>
      </c>
      <c r="BH155" s="223">
        <v>229.7</v>
      </c>
      <c r="BI155" s="223">
        <f>AVERAGE(BE155:BH155)</f>
        <v>228.92500000000001</v>
      </c>
      <c r="BJ155" s="223"/>
      <c r="BK155" s="223">
        <v>230.3</v>
      </c>
      <c r="BL155" s="223">
        <v>230.5</v>
      </c>
      <c r="BM155" s="223">
        <v>230.9</v>
      </c>
      <c r="BN155" s="223">
        <v>231.2</v>
      </c>
      <c r="BO155" s="1278">
        <v>230.74100000000001</v>
      </c>
      <c r="BP155" s="223"/>
      <c r="BQ155" s="223">
        <v>231.2</v>
      </c>
      <c r="BR155" s="223">
        <v>230.3</v>
      </c>
      <c r="BS155" s="223">
        <v>230.416</v>
      </c>
      <c r="BT155" s="223">
        <v>230.01300000000001</v>
      </c>
      <c r="BU155" s="1278">
        <f>AVERAGE(BQ155:BT155)</f>
        <v>230.48224999999999</v>
      </c>
      <c r="BV155" s="223"/>
      <c r="BW155" s="223">
        <v>226.2</v>
      </c>
      <c r="BX155" s="223">
        <v>224.2</v>
      </c>
      <c r="BY155" s="223">
        <v>225.3</v>
      </c>
      <c r="BZ155" s="223">
        <v>226.3</v>
      </c>
      <c r="CA155" s="1278">
        <f>AVERAGE(BW155:BZ155)</f>
        <v>225.5</v>
      </c>
      <c r="CB155" s="223"/>
      <c r="CC155" s="223">
        <v>227.1</v>
      </c>
      <c r="CD155" s="223">
        <v>228.9</v>
      </c>
      <c r="CE155" s="223">
        <v>229.6</v>
      </c>
      <c r="CF155" s="223">
        <v>229</v>
      </c>
      <c r="CG155" s="1278">
        <f>AVERAGE(CC155:CF155)</f>
        <v>228.65</v>
      </c>
      <c r="CH155" s="223"/>
      <c r="CI155" s="223">
        <v>229</v>
      </c>
      <c r="CJ155" s="223">
        <v>228</v>
      </c>
      <c r="CK155" s="223">
        <v>226.5</v>
      </c>
      <c r="CL155" s="223">
        <v>227</v>
      </c>
      <c r="CM155" s="1278">
        <f>AVERAGE(CI155:CL155)</f>
        <v>227.625</v>
      </c>
      <c r="CN155" s="223"/>
      <c r="CO155" s="223">
        <v>228.2</v>
      </c>
      <c r="CP155" s="223">
        <v>229.4</v>
      </c>
      <c r="CQ155" s="223">
        <v>227.1</v>
      </c>
      <c r="CR155" s="223">
        <v>226.1</v>
      </c>
      <c r="CS155" s="1278">
        <f>AVERAGE(CO155:CR155)</f>
        <v>227.70000000000002</v>
      </c>
      <c r="CT155" s="223"/>
      <c r="CU155" s="223">
        <v>228.1</v>
      </c>
      <c r="CV155" s="223">
        <v>227.8</v>
      </c>
      <c r="CW155" s="223">
        <v>225.5</v>
      </c>
      <c r="CX155" s="223">
        <v>224.1</v>
      </c>
      <c r="CY155" s="1278">
        <f>AVERAGE(CU155:CX155)</f>
        <v>226.375</v>
      </c>
      <c r="CZ155" s="223"/>
      <c r="DA155" s="223">
        <v>223.8</v>
      </c>
      <c r="DB155" s="223">
        <v>222.5</v>
      </c>
      <c r="DC155" s="223">
        <v>223.1</v>
      </c>
      <c r="DD155" s="223">
        <v>225.5</v>
      </c>
      <c r="DE155" s="1278">
        <f>AVERAGE(DA155:DD155)</f>
        <v>223.72499999999999</v>
      </c>
      <c r="DF155" s="223"/>
      <c r="DG155" s="223">
        <v>227</v>
      </c>
      <c r="DH155" s="223">
        <v>227.3</v>
      </c>
      <c r="DI155" s="223">
        <v>227.2</v>
      </c>
      <c r="DJ155" s="223">
        <v>227.2</v>
      </c>
      <c r="DK155" s="1278">
        <f>AVERAGE(DG155:DJ155)</f>
        <v>227.17500000000001</v>
      </c>
      <c r="DL155" s="223"/>
      <c r="DM155" s="223">
        <v>227.2</v>
      </c>
      <c r="DN155" s="223">
        <v>227</v>
      </c>
      <c r="DO155" s="223">
        <v>225.3</v>
      </c>
      <c r="DP155" s="223">
        <v>224.7</v>
      </c>
      <c r="DQ155" s="1278">
        <f>AVERAGE(DM155:DP155)</f>
        <v>226.05</v>
      </c>
      <c r="DR155" s="223"/>
      <c r="DS155" s="223">
        <v>224.4</v>
      </c>
      <c r="DT155" s="223">
        <v>223.2</v>
      </c>
      <c r="DU155" s="223">
        <v>222.3</v>
      </c>
      <c r="DV155" s="223">
        <v>221.1</v>
      </c>
      <c r="DW155" s="1278">
        <f>AVERAGE(DS155:DV155)</f>
        <v>222.75000000000003</v>
      </c>
      <c r="DX155" s="223"/>
      <c r="DY155" s="223">
        <v>219.9</v>
      </c>
      <c r="DZ155" s="223">
        <v>219.5</v>
      </c>
      <c r="EA155" s="223">
        <v>219.6</v>
      </c>
      <c r="EB155" s="223">
        <v>219.1</v>
      </c>
      <c r="EC155" s="1278">
        <f>AVERAGE(DY155:EB155)</f>
        <v>219.52500000000001</v>
      </c>
      <c r="ED155" s="223"/>
      <c r="EE155" s="223">
        <f>AVERAGE(EE157,EB157)</f>
        <v>216.69224800000001</v>
      </c>
      <c r="EF155" s="223">
        <f>AVERAGE(EF157,EE157)</f>
        <v>216.19224800000001</v>
      </c>
      <c r="EG155" s="223">
        <f>AVERAGE(EG157,EF157)</f>
        <v>215.69224800000001</v>
      </c>
      <c r="EH155" s="223">
        <f>AVERAGE(EH157,EG157)</f>
        <v>215.19224800000001</v>
      </c>
      <c r="EI155" s="1278">
        <f>AVERAGE(EE155:EH155)</f>
        <v>215.94224800000001</v>
      </c>
      <c r="EJ155" s="223"/>
      <c r="EK155" s="223">
        <f>AVERAGE(EK157,EH157)</f>
        <v>213.94224800000001</v>
      </c>
      <c r="EL155" s="223">
        <f>AVERAGE(EL157,EK157)</f>
        <v>212.44224800000001</v>
      </c>
      <c r="EM155" s="223">
        <f>AVERAGE(EM157,EL157)</f>
        <v>211.44224800000001</v>
      </c>
      <c r="EN155" s="223">
        <f>AVERAGE(EN157,EM157)</f>
        <v>210.44224800000001</v>
      </c>
      <c r="EO155" s="1278">
        <f>AVERAGE(EK155:EN155)</f>
        <v>212.06724800000001</v>
      </c>
      <c r="EP155" s="223"/>
      <c r="EQ155" s="223">
        <f>AVERAGE(EQ157,EN157)</f>
        <v>209.69224800000001</v>
      </c>
      <c r="ER155" s="223">
        <f>AVERAGE(ER157,EQ157)</f>
        <v>209.19224800000001</v>
      </c>
      <c r="ES155" s="223">
        <f>AVERAGE(ES157,ER157)</f>
        <v>208.69224800000001</v>
      </c>
      <c r="ET155" s="223">
        <f>AVERAGE(ET157,ES157)</f>
        <v>208.19224800000001</v>
      </c>
      <c r="EU155" s="1278">
        <f>AVERAGE(EQ155:ET155)</f>
        <v>208.94224800000001</v>
      </c>
      <c r="EV155" s="428"/>
    </row>
    <row r="156" spans="1:152" hidden="1" outlineLevel="1">
      <c r="A156" s="432" t="s">
        <v>2322</v>
      </c>
      <c r="B156" s="522"/>
      <c r="C156" s="454"/>
      <c r="D156" s="454"/>
      <c r="E156" s="454"/>
      <c r="F156" s="454"/>
      <c r="G156" s="454"/>
      <c r="H156" s="437"/>
      <c r="I156" s="454"/>
      <c r="J156" s="454"/>
      <c r="K156" s="454"/>
      <c r="L156" s="454"/>
      <c r="M156" s="454"/>
      <c r="N156" s="437"/>
      <c r="O156" s="454">
        <f>O153/O155</f>
        <v>1.0793440983138038</v>
      </c>
      <c r="P156" s="454">
        <f>P153/P155</f>
        <v>1.0581849144965585</v>
      </c>
      <c r="Q156" s="454">
        <f>Q153/Q155</f>
        <v>1.021809785987035</v>
      </c>
      <c r="R156" s="454">
        <f>R153/R155</f>
        <v>1.0570052893317168</v>
      </c>
      <c r="S156" s="454">
        <f>S153/S155</f>
        <v>1.0487108557647977</v>
      </c>
      <c r="T156" s="437"/>
      <c r="U156" s="454">
        <f>U153/U155</f>
        <v>1</v>
      </c>
      <c r="V156" s="454">
        <f>V153/V155</f>
        <v>1.0113402909031144</v>
      </c>
      <c r="W156" s="454">
        <f>W153/W155</f>
        <v>1.0053141913435912</v>
      </c>
      <c r="X156" s="454">
        <f>X153/X155</f>
        <v>1.0182960085943311</v>
      </c>
      <c r="Y156" s="454">
        <f>Y153/Y155</f>
        <v>1.0178689828935155</v>
      </c>
      <c r="Z156" s="437"/>
      <c r="AA156" s="454">
        <f>AA153/AA155</f>
        <v>1.0606389289043301</v>
      </c>
      <c r="AB156" s="454">
        <f>AB153/AB155</f>
        <v>1.0228736667128411</v>
      </c>
      <c r="AC156" s="454">
        <f>AC153/AC155</f>
        <v>1.006915897743512</v>
      </c>
      <c r="AD156" s="454">
        <f>AD153/AD155</f>
        <v>1.0158132802605391</v>
      </c>
      <c r="AE156" s="454">
        <f>AE153/AE155</f>
        <v>1.0231866825208085</v>
      </c>
      <c r="AF156" s="437"/>
      <c r="AG156" s="454">
        <f>AG153/AG155</f>
        <v>1.0306062961523514</v>
      </c>
      <c r="AH156" s="454">
        <f>AH153/AH155</f>
        <v>1.0314422324771926</v>
      </c>
      <c r="AI156" s="454">
        <f>AI153/AI155</f>
        <v>1.0301590950892037</v>
      </c>
      <c r="AJ156" s="454">
        <f>AJ153/AJ155</f>
        <v>1.0366454675581163</v>
      </c>
      <c r="AK156" s="454">
        <f>AK153/AK155</f>
        <v>1.0322337530143391</v>
      </c>
      <c r="AL156" s="437"/>
      <c r="AM156" s="454">
        <f>AM153/AM155</f>
        <v>1.0454230404167495</v>
      </c>
      <c r="AN156" s="454">
        <f t="shared" ref="AN156:BE156" si="59">AN153/AN155</f>
        <v>1.0081739421957159</v>
      </c>
      <c r="AO156" s="454">
        <f t="shared" si="59"/>
        <v>1.0066350794924186</v>
      </c>
      <c r="AP156" s="454">
        <f t="shared" si="59"/>
        <v>1.0137011237052527</v>
      </c>
      <c r="AQ156" s="454">
        <f t="shared" si="59"/>
        <v>1.0184997350860059</v>
      </c>
      <c r="AR156" s="454"/>
      <c r="AS156" s="454">
        <f t="shared" si="59"/>
        <v>1.0149542158542422</v>
      </c>
      <c r="AT156" s="454">
        <f t="shared" si="59"/>
        <v>1.0177655981593028</v>
      </c>
      <c r="AU156" s="454">
        <f t="shared" si="59"/>
        <v>1.0264880417191153</v>
      </c>
      <c r="AV156" s="454">
        <f t="shared" si="59"/>
        <v>1.0751136011914106</v>
      </c>
      <c r="AW156" s="454">
        <f t="shared" si="59"/>
        <v>1.0373807150537573</v>
      </c>
      <c r="AX156" s="454"/>
      <c r="AY156" s="454">
        <f t="shared" si="59"/>
        <v>1.0647032574743418</v>
      </c>
      <c r="AZ156" s="454">
        <f t="shared" si="59"/>
        <v>1.0991342257153385</v>
      </c>
      <c r="BA156" s="454">
        <f t="shared" si="59"/>
        <v>1.0887527213989747</v>
      </c>
      <c r="BB156" s="454">
        <f t="shared" si="59"/>
        <v>1.1093064091308165</v>
      </c>
      <c r="BC156" s="454">
        <f t="shared" si="59"/>
        <v>1.087831885692137</v>
      </c>
      <c r="BD156" s="454"/>
      <c r="BE156" s="454">
        <f t="shared" si="59"/>
        <v>1.0948616600790515</v>
      </c>
      <c r="BF156" s="454">
        <f>BF153/BF155</f>
        <v>1.0944468736335813</v>
      </c>
      <c r="BG156" s="454">
        <f>BG153/BG155</f>
        <v>1.0866724738675959</v>
      </c>
      <c r="BH156" s="454">
        <f>BH153/BH155</f>
        <v>1.0835872877666521</v>
      </c>
      <c r="BI156" s="454">
        <f>BI153/BI155</f>
        <v>1.0898765971388009</v>
      </c>
      <c r="BJ156" s="437"/>
      <c r="BK156" s="454">
        <f>BK153/BK155</f>
        <v>1.0720798957881024</v>
      </c>
      <c r="BL156" s="454">
        <f>BL153/BL155</f>
        <v>1.0611713665943601</v>
      </c>
      <c r="BM156" s="454">
        <f>BM153/BM155</f>
        <v>1.0537029016890429</v>
      </c>
      <c r="BN156" s="454">
        <f>BN153/BN155</f>
        <v>1.0614186851211074</v>
      </c>
      <c r="BO156" s="1265">
        <f>BO153/BO155</f>
        <v>1.0538742572841411</v>
      </c>
      <c r="BP156" s="437"/>
      <c r="BQ156" s="454">
        <f>BQ153/BQ155</f>
        <v>1.060121107266436</v>
      </c>
      <c r="BR156" s="454">
        <f>BR153/BR155</f>
        <v>1.0607902735562309</v>
      </c>
      <c r="BS156" s="454">
        <f>BS153/BS155</f>
        <v>1.0469585445455176</v>
      </c>
      <c r="BT156" s="454">
        <f>BT153/BT155</f>
        <v>1.0408107367844426</v>
      </c>
      <c r="BU156" s="1265">
        <f>BU153/BU155</f>
        <v>1.0521808078496282</v>
      </c>
      <c r="BV156" s="437"/>
      <c r="BW156" s="454">
        <f>BW153/BW155</f>
        <v>1.0296198054818746</v>
      </c>
      <c r="BX156" s="454">
        <f>BX153/BX155</f>
        <v>1.0306779661016949</v>
      </c>
      <c r="BY156" s="454">
        <f>BY153/BY155</f>
        <v>1.0226364846870839</v>
      </c>
      <c r="BZ156" s="454">
        <f>BZ153/BZ155</f>
        <v>1.0123729562527617</v>
      </c>
      <c r="CA156" s="1265">
        <f>CA153/CA155</f>
        <v>1.0238115299334811</v>
      </c>
      <c r="CB156" s="437"/>
      <c r="CC156" s="454">
        <f>CC153/CC155</f>
        <v>1.0092470277410832</v>
      </c>
      <c r="CD156" s="454">
        <f>CD153/CD155</f>
        <v>1.0148536478811709</v>
      </c>
      <c r="CE156" s="454">
        <f>CE153/CE155</f>
        <v>1.0182926829268293</v>
      </c>
      <c r="CF156" s="454">
        <f>CF153/CF155</f>
        <v>1.0183406113537117</v>
      </c>
      <c r="CG156" s="1265">
        <f>CG153/CG155</f>
        <v>1.015197900721627</v>
      </c>
      <c r="CH156" s="437"/>
      <c r="CI156" s="454">
        <f>CI153/CI155</f>
        <v>1.0244541484716156</v>
      </c>
      <c r="CJ156" s="454">
        <f>CJ153/CJ155</f>
        <v>1.025438596491228</v>
      </c>
      <c r="CK156" s="454">
        <f>CK153/CK155</f>
        <v>1.0260485651214128</v>
      </c>
      <c r="CL156" s="456">
        <f>CL153/CL155</f>
        <v>1.0352422907488987</v>
      </c>
      <c r="CM156" s="1265">
        <f>CM153/CM155</f>
        <v>1.0277869302581</v>
      </c>
      <c r="CN156" s="437"/>
      <c r="CO156" s="454">
        <f>CO153/CO155</f>
        <v>1.0390008764241894</v>
      </c>
      <c r="CP156" s="454">
        <f>CP153/CP155</f>
        <v>1.031386224934612</v>
      </c>
      <c r="CQ156" s="454">
        <f>CQ153/CQ155</f>
        <v>1.0158520475561426</v>
      </c>
      <c r="CR156" s="454">
        <f>CR153/CR155</f>
        <v>1.0238832375055285</v>
      </c>
      <c r="CS156" s="1265">
        <f>CS153/CS155</f>
        <v>1.0275581906016689</v>
      </c>
      <c r="CT156" s="437"/>
      <c r="CU156" s="454">
        <f>CU153/CU155</f>
        <v>1.0263042525208241</v>
      </c>
      <c r="CV156" s="454">
        <f>CV153/CV155</f>
        <v>1.0188762071992976</v>
      </c>
      <c r="CW156" s="454">
        <f>CW153/CW155</f>
        <v>1.0221729490022173</v>
      </c>
      <c r="CX156" s="454">
        <f>CX153/CX155</f>
        <v>1.0245426149040606</v>
      </c>
      <c r="CY156" s="1265">
        <f>CY153/CY155</f>
        <v>1.0229707344008836</v>
      </c>
      <c r="CZ156" s="437"/>
      <c r="DA156" s="454">
        <f>DA153/DA155</f>
        <v>1.0245755138516532</v>
      </c>
      <c r="DB156" s="454">
        <f>DB153/DB155</f>
        <v>1.0260674157303371</v>
      </c>
      <c r="DC156" s="454">
        <f>DC153/DC155</f>
        <v>1.0206185567010309</v>
      </c>
      <c r="DD156" s="454">
        <f>DD153/DD155</f>
        <v>1.0248337028824834</v>
      </c>
      <c r="DE156" s="1265">
        <f>DE153/DE155</f>
        <v>1.0240250307296905</v>
      </c>
      <c r="DF156" s="437"/>
      <c r="DG156" s="454">
        <f>DG153/DG155</f>
        <v>1.0202643171806167</v>
      </c>
      <c r="DH156" s="454">
        <f>DH153/DH155</f>
        <v>1.0224373075230972</v>
      </c>
      <c r="DI156" s="454">
        <f>DI153/DI155</f>
        <v>1.0189260563380282</v>
      </c>
      <c r="DJ156" s="454">
        <f>DJ153/DJ155</f>
        <v>1.0220070422535212</v>
      </c>
      <c r="DK156" s="1265">
        <f>DK153/DK155</f>
        <v>1.0209089908660725</v>
      </c>
      <c r="DL156" s="437"/>
      <c r="DM156" s="454">
        <f>DM153/DM155</f>
        <v>1.019806338028169</v>
      </c>
      <c r="DN156" s="454">
        <f>DN153/DN155</f>
        <v>1.0180616740088106</v>
      </c>
      <c r="DO156" s="454">
        <f>DO153/DO155</f>
        <v>1.0150909897913891</v>
      </c>
      <c r="DP156" s="454">
        <f>DP153/DP155</f>
        <v>1.0195816644414775</v>
      </c>
      <c r="DQ156" s="1265">
        <f>DQ153/DQ155</f>
        <v>1.0181375801813757</v>
      </c>
      <c r="DR156" s="437"/>
      <c r="DS156" s="454">
        <f>DS153/DS155</f>
        <v>1</v>
      </c>
      <c r="DT156" s="454">
        <f>DT153/DT155</f>
        <v>1.0188172043010753</v>
      </c>
      <c r="DU156" s="454">
        <f>DU153/DU155</f>
        <v>1</v>
      </c>
      <c r="DV156" s="454">
        <f>DV153/DV155</f>
        <v>1</v>
      </c>
      <c r="DW156" s="1265">
        <f>DW153/DW155</f>
        <v>1.0047138047138047</v>
      </c>
      <c r="DX156" s="437"/>
      <c r="DY156" s="454">
        <f>DY153/DY155</f>
        <v>1</v>
      </c>
      <c r="DZ156" s="454">
        <f>DZ153/DZ155</f>
        <v>1</v>
      </c>
      <c r="EA156" s="454">
        <f>EA153/EA155</f>
        <v>1</v>
      </c>
      <c r="EB156" s="454">
        <f>EB153/EB155</f>
        <v>1</v>
      </c>
      <c r="EC156" s="1265">
        <f>EC153/EC155</f>
        <v>1</v>
      </c>
      <c r="ED156" s="437"/>
      <c r="EE156" s="2009">
        <v>1.01</v>
      </c>
      <c r="EF156" s="2009">
        <f>+EE156</f>
        <v>1.01</v>
      </c>
      <c r="EG156" s="2009">
        <f>+EF156</f>
        <v>1.01</v>
      </c>
      <c r="EH156" s="2009">
        <f>EG156</f>
        <v>1.01</v>
      </c>
      <c r="EI156" s="1265">
        <f>EI153/EI155</f>
        <v>1.01</v>
      </c>
      <c r="EJ156" s="437"/>
      <c r="EK156" s="2009">
        <f>EH156-0.0025</f>
        <v>1.0075000000000001</v>
      </c>
      <c r="EL156" s="2009">
        <f>+EK156</f>
        <v>1.0075000000000001</v>
      </c>
      <c r="EM156" s="2009">
        <f>+EL156</f>
        <v>1.0075000000000001</v>
      </c>
      <c r="EN156" s="2009">
        <f>EM156</f>
        <v>1.0075000000000001</v>
      </c>
      <c r="EO156" s="1265">
        <f>EO153/EO155</f>
        <v>1.0075000000000003</v>
      </c>
      <c r="EP156" s="437"/>
      <c r="EQ156" s="2009">
        <f>EN156-0.0025</f>
        <v>1.0050000000000001</v>
      </c>
      <c r="ER156" s="2009">
        <f>+EQ156</f>
        <v>1.0050000000000001</v>
      </c>
      <c r="ES156" s="2009">
        <f>+ER156</f>
        <v>1.0050000000000001</v>
      </c>
      <c r="ET156" s="2009">
        <f>ES156</f>
        <v>1.0050000000000001</v>
      </c>
      <c r="EU156" s="1265">
        <f>EU153/EU155</f>
        <v>1.0050000000000001</v>
      </c>
      <c r="EV156" s="437"/>
    </row>
    <row r="157" spans="1:152" hidden="1" outlineLevel="1">
      <c r="A157" s="517" t="s">
        <v>5556</v>
      </c>
      <c r="B157" s="524"/>
      <c r="C157" s="240"/>
      <c r="D157" s="240"/>
      <c r="E157" s="240"/>
      <c r="F157" s="518"/>
      <c r="G157" s="518"/>
      <c r="H157" s="110"/>
      <c r="I157" s="240"/>
      <c r="J157" s="240"/>
      <c r="K157" s="240"/>
      <c r="L157" s="518"/>
      <c r="M157" s="518"/>
      <c r="N157" s="110"/>
      <c r="O157" s="518">
        <f>47.019*4</f>
        <v>188.07599999999999</v>
      </c>
      <c r="P157" s="518">
        <f>46.382*4</f>
        <v>185.52799999999999</v>
      </c>
      <c r="Q157" s="518">
        <f>46.897*4</f>
        <v>187.58799999999999</v>
      </c>
      <c r="R157" s="518">
        <f>4*57.221</f>
        <v>228.88399999999999</v>
      </c>
      <c r="S157" s="518">
        <f>R157</f>
        <v>228.88399999999999</v>
      </c>
      <c r="T157" s="112"/>
      <c r="U157" s="518">
        <f>4*58.949205</f>
        <v>235.79682</v>
      </c>
      <c r="V157" s="518">
        <f>4*61.001105</f>
        <v>244.00442000000001</v>
      </c>
      <c r="W157" s="518">
        <f>4*61.6</f>
        <v>246.4</v>
      </c>
      <c r="X157" s="518">
        <f>4*59.241</f>
        <v>236.964</v>
      </c>
      <c r="Y157" s="518">
        <f>X157</f>
        <v>236.964</v>
      </c>
      <c r="Z157" s="112"/>
      <c r="AA157" s="518">
        <f>4*58.3</f>
        <v>233.2</v>
      </c>
      <c r="AB157" s="518">
        <f>4*57.6</f>
        <v>230.4</v>
      </c>
      <c r="AC157" s="518">
        <f>4*56.4</f>
        <v>225.6</v>
      </c>
      <c r="AD157" s="518">
        <f>4*54.714</f>
        <v>218.85599999999999</v>
      </c>
      <c r="AE157" s="518">
        <f>AD157</f>
        <v>218.85599999999999</v>
      </c>
      <c r="AF157" s="112"/>
      <c r="AG157" s="518">
        <f>4*53.9</f>
        <v>215.6</v>
      </c>
      <c r="AH157" s="518">
        <f>4*54.1</f>
        <v>216.4</v>
      </c>
      <c r="AI157" s="518">
        <f>4*54.8</f>
        <v>219.2</v>
      </c>
      <c r="AJ157" s="518">
        <f>2*111.287</f>
        <v>222.57400000000001</v>
      </c>
      <c r="AK157" s="518">
        <f>AJ157</f>
        <v>222.57400000000001</v>
      </c>
      <c r="AL157" s="112"/>
      <c r="AM157" s="518">
        <f>2*114.7</f>
        <v>229.4</v>
      </c>
      <c r="AN157" s="518">
        <f>2*112.5</f>
        <v>225</v>
      </c>
      <c r="AO157" s="518">
        <f>2*113.4</f>
        <v>226.8</v>
      </c>
      <c r="AP157" s="518">
        <f>2*112.264</f>
        <v>224.52799999999999</v>
      </c>
      <c r="AQ157" s="518">
        <f>AP157</f>
        <v>224.52799999999999</v>
      </c>
      <c r="AR157" s="112"/>
      <c r="AS157" s="518">
        <f>2*111.8</f>
        <v>223.6</v>
      </c>
      <c r="AT157" s="518">
        <f>2*110.6</f>
        <v>221.2</v>
      </c>
      <c r="AU157" s="518">
        <f>2*112.8</f>
        <v>225.6</v>
      </c>
      <c r="AV157" s="518">
        <f>2*111.72</f>
        <v>223.44</v>
      </c>
      <c r="AW157" s="518">
        <f>AV157</f>
        <v>223.44</v>
      </c>
      <c r="AX157" s="112"/>
      <c r="AY157" s="518">
        <f>2*113.5</f>
        <v>227</v>
      </c>
      <c r="AZ157" s="518">
        <f>2*115.6</f>
        <v>231.2</v>
      </c>
      <c r="BA157" s="518">
        <v>229.5</v>
      </c>
      <c r="BB157" s="518">
        <v>227.61099999999999</v>
      </c>
      <c r="BC157" s="518">
        <f>BB157</f>
        <v>227.61099999999999</v>
      </c>
      <c r="BD157" s="112"/>
      <c r="BE157" s="518">
        <v>228.6</v>
      </c>
      <c r="BF157" s="518">
        <v>228.4</v>
      </c>
      <c r="BG157" s="518">
        <v>230.8</v>
      </c>
      <c r="BH157" s="518">
        <v>229.6</v>
      </c>
      <c r="BI157" s="518">
        <f>BH157</f>
        <v>229.6</v>
      </c>
      <c r="BJ157" s="112"/>
      <c r="BK157" s="851">
        <v>231.7</v>
      </c>
      <c r="BL157" s="851">
        <v>231</v>
      </c>
      <c r="BM157" s="851">
        <v>231</v>
      </c>
      <c r="BN157" s="851">
        <v>231</v>
      </c>
      <c r="BO157" s="1283">
        <f>BN157</f>
        <v>231</v>
      </c>
      <c r="BP157" s="112"/>
      <c r="BQ157" s="851">
        <v>231.14895481519963</v>
      </c>
      <c r="BR157" s="851">
        <v>229</v>
      </c>
      <c r="BS157" s="851">
        <v>230.9</v>
      </c>
      <c r="BT157" s="851">
        <v>230</v>
      </c>
      <c r="BU157" s="1283">
        <f>BT157</f>
        <v>230</v>
      </c>
      <c r="BV157" s="112"/>
      <c r="BW157" s="518">
        <v>223.61600000000001</v>
      </c>
      <c r="BX157" s="518">
        <v>224.52799999999999</v>
      </c>
      <c r="BY157" s="518">
        <v>226.24799999999999</v>
      </c>
      <c r="BZ157" s="518">
        <v>226.35400000000001</v>
      </c>
      <c r="CA157" s="1283">
        <f>BZ157</f>
        <v>226.35400000000001</v>
      </c>
      <c r="CB157" s="112"/>
      <c r="CC157" s="518">
        <v>228.21899999999999</v>
      </c>
      <c r="CD157" s="1455">
        <v>229.4</v>
      </c>
      <c r="CE157" s="518">
        <v>229.6</v>
      </c>
      <c r="CF157" s="518">
        <v>229</v>
      </c>
      <c r="CG157" s="1283">
        <f>CF157</f>
        <v>229</v>
      </c>
      <c r="CH157" s="112"/>
      <c r="CI157" s="518">
        <v>229</v>
      </c>
      <c r="CJ157" s="518">
        <v>227.283469</v>
      </c>
      <c r="CK157" s="518">
        <v>226.01180695909221</v>
      </c>
      <c r="CL157" s="518">
        <v>225.24014491818443</v>
      </c>
      <c r="CM157" s="1283">
        <f>CL157</f>
        <v>225.24014491818443</v>
      </c>
      <c r="CN157" s="112"/>
      <c r="CO157" s="518">
        <v>229</v>
      </c>
      <c r="CP157" s="518">
        <v>229.5</v>
      </c>
      <c r="CQ157" s="518">
        <v>227.27500000000001</v>
      </c>
      <c r="CR157" s="518">
        <v>226.55</v>
      </c>
      <c r="CS157" s="1283">
        <f>CR157</f>
        <v>226.55</v>
      </c>
      <c r="CT157" s="112"/>
      <c r="CU157" s="518">
        <v>228</v>
      </c>
      <c r="CV157" s="518">
        <v>227</v>
      </c>
      <c r="CW157" s="518">
        <f>CV157+BS!CW140</f>
        <v>225.55</v>
      </c>
      <c r="CX157" s="518">
        <v>223.6</v>
      </c>
      <c r="CY157" s="1283">
        <f>CX157</f>
        <v>223.6</v>
      </c>
      <c r="CZ157" s="112"/>
      <c r="DA157" s="518">
        <v>224.8</v>
      </c>
      <c r="DB157" s="518">
        <v>223</v>
      </c>
      <c r="DC157" s="518">
        <v>225.6</v>
      </c>
      <c r="DD157" s="518">
        <v>226.7</v>
      </c>
      <c r="DE157" s="1283">
        <f>DD157</f>
        <v>226.7</v>
      </c>
      <c r="DF157" s="112"/>
      <c r="DG157" s="518">
        <v>227.86688000000001</v>
      </c>
      <c r="DH157" s="518">
        <v>227.23645300000001</v>
      </c>
      <c r="DI157" s="518">
        <v>227.52050399999999</v>
      </c>
      <c r="DJ157" s="518">
        <v>227</v>
      </c>
      <c r="DK157" s="1283">
        <f>DJ157</f>
        <v>227</v>
      </c>
      <c r="DL157" s="112"/>
      <c r="DM157" s="518">
        <v>226.9</v>
      </c>
      <c r="DN157" s="518">
        <f>DM157-0.1</f>
        <v>226.8</v>
      </c>
      <c r="DO157" s="518">
        <f>DN157-0.1</f>
        <v>226.70000000000002</v>
      </c>
      <c r="DP157" s="518">
        <f>DO157-0.1</f>
        <v>226.60000000000002</v>
      </c>
      <c r="DQ157" s="1283">
        <f>DP157</f>
        <v>226.60000000000002</v>
      </c>
      <c r="DR157" s="112"/>
      <c r="DS157" s="518">
        <f>DP157-0.75</f>
        <v>225.85000000000002</v>
      </c>
      <c r="DT157" s="518">
        <f>DS157-2</f>
        <v>223.85000000000002</v>
      </c>
      <c r="DU157" s="518">
        <f>DT157-2</f>
        <v>221.85000000000002</v>
      </c>
      <c r="DV157" s="518">
        <f>DU157-2</f>
        <v>219.85000000000002</v>
      </c>
      <c r="DW157" s="1283">
        <f>DV157</f>
        <v>219.85000000000002</v>
      </c>
      <c r="DX157" s="112"/>
      <c r="DY157" s="518">
        <f>DV157-0.75</f>
        <v>219.10000000000002</v>
      </c>
      <c r="DZ157" s="518">
        <v>219.19224800000001</v>
      </c>
      <c r="EA157" s="518">
        <f>DZ157-0.25</f>
        <v>218.94224800000001</v>
      </c>
      <c r="EB157" s="518">
        <f>EA157-2</f>
        <v>216.94224800000001</v>
      </c>
      <c r="EC157" s="1283">
        <f>EB157</f>
        <v>216.94224800000001</v>
      </c>
      <c r="ED157" s="112"/>
      <c r="EE157" s="518">
        <f>EB157-0.5</f>
        <v>216.44224800000001</v>
      </c>
      <c r="EF157" s="518">
        <f>EE157-0.5</f>
        <v>215.94224800000001</v>
      </c>
      <c r="EG157" s="518">
        <f>EF157-0.5</f>
        <v>215.44224800000001</v>
      </c>
      <c r="EH157" s="518">
        <f>EG157-0.5</f>
        <v>214.94224800000001</v>
      </c>
      <c r="EI157" s="1283">
        <f>EH157</f>
        <v>214.94224800000001</v>
      </c>
      <c r="EJ157" s="112"/>
      <c r="EK157" s="518">
        <f>EH157-2</f>
        <v>212.94224800000001</v>
      </c>
      <c r="EL157" s="518">
        <f>EK157-1</f>
        <v>211.94224800000001</v>
      </c>
      <c r="EM157" s="518">
        <f>EL157-1</f>
        <v>210.94224800000001</v>
      </c>
      <c r="EN157" s="518">
        <f>EM157-1</f>
        <v>209.94224800000001</v>
      </c>
      <c r="EO157" s="1283">
        <f>EN157</f>
        <v>209.94224800000001</v>
      </c>
      <c r="EP157" s="112"/>
      <c r="EQ157" s="518">
        <f>EN157-0.5</f>
        <v>209.44224800000001</v>
      </c>
      <c r="ER157" s="518">
        <f>EQ157-0.5</f>
        <v>208.94224800000001</v>
      </c>
      <c r="ES157" s="518">
        <f>ER157-0.5</f>
        <v>208.44224800000001</v>
      </c>
      <c r="ET157" s="518">
        <f>ES157-0.5</f>
        <v>207.94224800000001</v>
      </c>
      <c r="EU157" s="1283">
        <f>ET157</f>
        <v>207.94224800000001</v>
      </c>
      <c r="EV157" s="110"/>
    </row>
    <row r="158" spans="1:152" hidden="1" outlineLevel="1">
      <c r="A158" s="517"/>
      <c r="B158" s="524"/>
      <c r="C158" s="240"/>
      <c r="D158" s="240"/>
      <c r="E158" s="240"/>
      <c r="F158" s="518"/>
      <c r="G158" s="518"/>
      <c r="H158" s="110"/>
      <c r="I158" s="240"/>
      <c r="J158" s="240"/>
      <c r="K158" s="240"/>
      <c r="L158" s="518"/>
      <c r="M158" s="518"/>
      <c r="N158" s="110"/>
      <c r="O158" s="518"/>
      <c r="P158" s="518"/>
      <c r="Q158" s="518"/>
      <c r="R158" s="518"/>
      <c r="S158" s="518"/>
      <c r="T158" s="112"/>
      <c r="U158" s="518"/>
      <c r="V158" s="518"/>
      <c r="W158" s="518"/>
      <c r="X158" s="518"/>
      <c r="Y158" s="518"/>
      <c r="Z158" s="112"/>
      <c r="AA158" s="518"/>
      <c r="AB158" s="518"/>
      <c r="AC158" s="518"/>
      <c r="AD158" s="518"/>
      <c r="AE158" s="518"/>
      <c r="AF158" s="112"/>
      <c r="AG158" s="518"/>
      <c r="AH158" s="518"/>
      <c r="AI158" s="518"/>
      <c r="AJ158" s="518"/>
      <c r="AK158" s="518"/>
      <c r="AL158" s="112"/>
      <c r="AM158" s="518"/>
      <c r="AN158" s="518"/>
      <c r="AO158" s="518"/>
      <c r="AP158" s="518"/>
      <c r="AQ158" s="518"/>
      <c r="AR158" s="112"/>
      <c r="AS158" s="433">
        <f>AS157/AM157-1</f>
        <v>-2.5283347863993111E-2</v>
      </c>
      <c r="AT158" s="433">
        <f>AT157/AN157-1</f>
        <v>-1.6888888888888953E-2</v>
      </c>
      <c r="AU158" s="433">
        <f>AU157/AO157-1</f>
        <v>-5.2910052910053462E-3</v>
      </c>
      <c r="AV158" s="433">
        <f>AV157/AP157-1</f>
        <v>-4.8457208009691222E-3</v>
      </c>
      <c r="AW158" s="433">
        <f>AW157/AQ157-1</f>
        <v>-4.8457208009691222E-3</v>
      </c>
      <c r="AX158" s="112"/>
      <c r="AY158" s="433">
        <f>AY157/AS157-1</f>
        <v>1.5205724508050134E-2</v>
      </c>
      <c r="AZ158" s="433">
        <f>AZ157/AT157-1</f>
        <v>4.5207956600361587E-2</v>
      </c>
      <c r="BA158" s="433">
        <f>BA157/AU157-1</f>
        <v>1.7287234042553168E-2</v>
      </c>
      <c r="BB158" s="433">
        <f>BB157/AV157-1</f>
        <v>1.866720372359465E-2</v>
      </c>
      <c r="BC158" s="433">
        <f>BC157/AW157-1</f>
        <v>1.866720372359465E-2</v>
      </c>
      <c r="BD158" s="112"/>
      <c r="BE158" s="433">
        <f>BE157/AY157-1</f>
        <v>7.0484581497796128E-3</v>
      </c>
      <c r="BF158" s="433">
        <f>BF157/AZ157-1</f>
        <v>-1.2110726643598579E-2</v>
      </c>
      <c r="BG158" s="433">
        <f>BG157/BA157-1</f>
        <v>5.6644880174292478E-3</v>
      </c>
      <c r="BH158" s="433">
        <f>BH157/BB157-1</f>
        <v>8.7385934774681928E-3</v>
      </c>
      <c r="BI158" s="433">
        <f>BI157/BC157-1</f>
        <v>8.7385934774681928E-3</v>
      </c>
      <c r="BJ158" s="112"/>
      <c r="BK158" s="433">
        <f>BK157/BE157-1</f>
        <v>1.3560804899387602E-2</v>
      </c>
      <c r="BL158" s="433">
        <f>BL157/BF157-1</f>
        <v>1.138353765323985E-2</v>
      </c>
      <c r="BM158" s="433">
        <f>BM157/BG157-1</f>
        <v>8.6655112651645716E-4</v>
      </c>
      <c r="BN158" s="433">
        <f>BN157/BH157-1</f>
        <v>6.0975609756097615E-3</v>
      </c>
      <c r="BO158" s="1279">
        <f>BO157/BI157-1</f>
        <v>6.0975609756097615E-3</v>
      </c>
      <c r="BP158" s="112"/>
      <c r="BQ158" s="433">
        <f>BQ157/BK157-1</f>
        <v>-2.3782701113523874E-3</v>
      </c>
      <c r="BR158" s="433">
        <f>BR157/BL157-1</f>
        <v>-8.6580086580086979E-3</v>
      </c>
      <c r="BS158" s="433">
        <f>BS157/BM157-1</f>
        <v>-4.3290043290045155E-4</v>
      </c>
      <c r="BT158" s="433">
        <f>BT157/BN157-1</f>
        <v>-4.3290043290042934E-3</v>
      </c>
      <c r="BU158" s="1279">
        <f>BU157/BO157-1</f>
        <v>-4.3290043290042934E-3</v>
      </c>
      <c r="BV158" s="112"/>
      <c r="BW158" s="433">
        <f>BW157/BQ157-1</f>
        <v>-3.2589179653536027E-2</v>
      </c>
      <c r="BX158" s="433">
        <f>BX157/BR157-1</f>
        <v>-1.9528384279476008E-2</v>
      </c>
      <c r="BY158" s="433">
        <f>BY157/BS157-1</f>
        <v>-2.0147249891728114E-2</v>
      </c>
      <c r="BZ158" s="433">
        <f>BZ157/BT157-1</f>
        <v>-1.5852173913043388E-2</v>
      </c>
      <c r="CA158" s="1279">
        <f>CA157/BU157-1</f>
        <v>-1.5852173913043388E-2</v>
      </c>
      <c r="CB158" s="112"/>
      <c r="CC158" s="433">
        <f>CC157/BW157-1</f>
        <v>2.0584394676588458E-2</v>
      </c>
      <c r="CD158" s="433">
        <f>CD157/BX157-1</f>
        <v>2.1698852704339799E-2</v>
      </c>
      <c r="CE158" s="433">
        <f>CE157/BY157-1</f>
        <v>1.4815600579894728E-2</v>
      </c>
      <c r="CF158" s="433">
        <f>CF157/BZ157-1</f>
        <v>1.1689654258373983E-2</v>
      </c>
      <c r="CG158" s="1279">
        <f>CG157/CA157-1</f>
        <v>1.1689654258373983E-2</v>
      </c>
      <c r="CH158" s="112"/>
      <c r="CI158" s="433">
        <f>CI157/CC157-1</f>
        <v>3.4221515298902272E-3</v>
      </c>
      <c r="CJ158" s="433">
        <f>CJ157/CD157-1</f>
        <v>-9.2263775065388742E-3</v>
      </c>
      <c r="CK158" s="433">
        <f>CK157/CE157-1</f>
        <v>-1.5628018470852711E-2</v>
      </c>
      <c r="CL158" s="433">
        <f>CL157/CF157-1</f>
        <v>-1.6418581143299416E-2</v>
      </c>
      <c r="CM158" s="1279">
        <f>CM157/CG157-1</f>
        <v>-1.6418581143299416E-2</v>
      </c>
      <c r="CN158" s="112"/>
      <c r="CO158" s="433">
        <f>CO157/CI157-1</f>
        <v>0</v>
      </c>
      <c r="CP158" s="433">
        <f>CP157/CJ157-1</f>
        <v>9.7522754723529115E-3</v>
      </c>
      <c r="CQ158" s="433">
        <f>CQ157/CK157-1</f>
        <v>5.58905774836993E-3</v>
      </c>
      <c r="CR158" s="433">
        <f>CR157/CL157-1</f>
        <v>5.8153713330781898E-3</v>
      </c>
      <c r="CS158" s="1279">
        <f>CS157/CM157-1</f>
        <v>5.8153713330781898E-3</v>
      </c>
      <c r="CT158" s="112"/>
      <c r="CU158" s="433">
        <f>CU157/CO157-1</f>
        <v>-4.366812227074246E-3</v>
      </c>
      <c r="CV158" s="433">
        <f>CV157/CP157-1</f>
        <v>-1.089324618736387E-2</v>
      </c>
      <c r="CW158" s="433">
        <f>CW157/CQ157-1</f>
        <v>-7.5899241007589824E-3</v>
      </c>
      <c r="CX158" s="433">
        <f>CX157/CR157-1</f>
        <v>-1.3021408077687147E-2</v>
      </c>
      <c r="CY158" s="1279">
        <f>CY157/CS157-1</f>
        <v>-1.3021408077687147E-2</v>
      </c>
      <c r="CZ158" s="112"/>
      <c r="DA158" s="433">
        <f>DA157/CU157-1</f>
        <v>-1.4035087719298178E-2</v>
      </c>
      <c r="DB158" s="433">
        <f>DB157/CV157-1</f>
        <v>-1.7621145374449365E-2</v>
      </c>
      <c r="DC158" s="433">
        <f>DC157/CW157-1</f>
        <v>2.2168033695413314E-4</v>
      </c>
      <c r="DD158" s="433">
        <f>DD157/CX157-1</f>
        <v>1.3864042933810383E-2</v>
      </c>
      <c r="DE158" s="1279">
        <f>DE157/CY157-1</f>
        <v>1.3864042933810383E-2</v>
      </c>
      <c r="DF158" s="112"/>
      <c r="DG158" s="433">
        <f>DG157/DA157-1</f>
        <v>1.3642704626334545E-2</v>
      </c>
      <c r="DH158" s="433">
        <f>DH157/DB157-1</f>
        <v>1.8997547085201738E-2</v>
      </c>
      <c r="DI158" s="433">
        <f>DI157/DC157-1</f>
        <v>8.5128723404255258E-3</v>
      </c>
      <c r="DJ158" s="433">
        <f>DJ157/DD157-1</f>
        <v>1.3233348037053894E-3</v>
      </c>
      <c r="DK158" s="1279">
        <f>DK157/DE157-1</f>
        <v>1.3233348037053894E-3</v>
      </c>
      <c r="DL158" s="112"/>
      <c r="DM158" s="433">
        <f>DM157/DG157-1</f>
        <v>-4.2431791754905523E-3</v>
      </c>
      <c r="DN158" s="433">
        <f>DN157/DH157-1</f>
        <v>-1.9206997567419171E-3</v>
      </c>
      <c r="DO158" s="433">
        <f>DO157/DI157-1</f>
        <v>-3.6062859635717093E-3</v>
      </c>
      <c r="DP158" s="433">
        <f>DP157/DJ157-1</f>
        <v>-1.7621145374447922E-3</v>
      </c>
      <c r="DQ158" s="1279">
        <f>DQ157/DK157-1</f>
        <v>-1.7621145374447922E-3</v>
      </c>
      <c r="DR158" s="112"/>
      <c r="DS158" s="433">
        <f>DS157/DM157-1</f>
        <v>-4.6275892463639723E-3</v>
      </c>
      <c r="DT158" s="433">
        <f>DT157/DN157-1</f>
        <v>-1.3007054673721319E-2</v>
      </c>
      <c r="DU158" s="433">
        <f>DU157/DO157-1</f>
        <v>-2.1393912659902981E-2</v>
      </c>
      <c r="DV158" s="433">
        <f>DV157/DP157-1</f>
        <v>-2.9788172992056494E-2</v>
      </c>
      <c r="DW158" s="1279">
        <f>DW157/DQ157-1</f>
        <v>-2.9788172992056494E-2</v>
      </c>
      <c r="DX158" s="112"/>
      <c r="DY158" s="433">
        <f>DY157/DS157-1</f>
        <v>-2.9887093203453619E-2</v>
      </c>
      <c r="DZ158" s="433">
        <f>DZ157/DT157-1</f>
        <v>-2.0807469287469349E-2</v>
      </c>
      <c r="EA158" s="433">
        <f>EA157/DU157-1</f>
        <v>-1.3106837953572259E-2</v>
      </c>
      <c r="EB158" s="433">
        <f>EB157/DV157-1</f>
        <v>-1.3226072322037874E-2</v>
      </c>
      <c r="EC158" s="1279">
        <f>EC157/DW157-1</f>
        <v>-1.3226072322037874E-2</v>
      </c>
      <c r="ED158" s="112"/>
      <c r="EE158" s="433">
        <f>EE157/DY157-1</f>
        <v>-1.2130314924691965E-2</v>
      </c>
      <c r="EF158" s="433">
        <f>EF157/DZ157-1</f>
        <v>-1.4827166697975569E-2</v>
      </c>
      <c r="EG158" s="433">
        <f>EG157/EA157-1</f>
        <v>-1.5985950779129676E-2</v>
      </c>
      <c r="EH158" s="433">
        <f>EH157/EB157-1</f>
        <v>-9.2190434018181167E-3</v>
      </c>
      <c r="EI158" s="1279">
        <f>EI157/EC157-1</f>
        <v>-9.2190434018181167E-3</v>
      </c>
      <c r="EJ158" s="112"/>
      <c r="EK158" s="433">
        <f>EK157/EE157-1</f>
        <v>-1.6170595308176661E-2</v>
      </c>
      <c r="EL158" s="433">
        <f>EL157/EF157-1</f>
        <v>-1.8523471145859283E-2</v>
      </c>
      <c r="EM158" s="433">
        <f>EM157/EG157-1</f>
        <v>-2.0887268127651515E-2</v>
      </c>
      <c r="EN158" s="433">
        <f>EN157/EH157-1</f>
        <v>-2.3262062468054179E-2</v>
      </c>
      <c r="EO158" s="1279">
        <f>EO157/EI157-1</f>
        <v>-2.3262062468054179E-2</v>
      </c>
      <c r="EP158" s="112"/>
      <c r="EQ158" s="433">
        <f>EQ157/EK157-1</f>
        <v>-1.6436381379800191E-2</v>
      </c>
      <c r="ER158" s="433">
        <f>ER157/EL157-1</f>
        <v>-1.4154799377234073E-2</v>
      </c>
      <c r="ES158" s="433">
        <f>ES157/EM157-1</f>
        <v>-1.1851585084084237E-2</v>
      </c>
      <c r="ET158" s="433">
        <f>ET157/EN157-1</f>
        <v>-9.5264293826176072E-3</v>
      </c>
      <c r="EU158" s="1279">
        <f>EU157/EO157-1</f>
        <v>-9.5264293826176072E-3</v>
      </c>
      <c r="EV158" s="110"/>
    </row>
    <row r="159" spans="1:152" hidden="1" outlineLevel="1">
      <c r="A159" s="249"/>
      <c r="B159" s="524"/>
      <c r="C159" s="240"/>
      <c r="D159" s="240"/>
      <c r="E159" s="240"/>
      <c r="F159" s="240"/>
      <c r="G159" s="240"/>
      <c r="H159" s="110"/>
      <c r="I159" s="240"/>
      <c r="J159" s="240"/>
      <c r="K159" s="240"/>
      <c r="L159" s="240"/>
      <c r="M159" s="240"/>
      <c r="N159" s="110"/>
      <c r="O159" s="240"/>
      <c r="P159" s="240"/>
      <c r="Q159" s="240"/>
      <c r="R159" s="240"/>
      <c r="S159" s="240"/>
      <c r="T159" s="110"/>
      <c r="U159" s="240"/>
      <c r="V159" s="240"/>
      <c r="W159" s="240"/>
      <c r="X159" s="240"/>
      <c r="Y159" s="240"/>
      <c r="Z159" s="110"/>
      <c r="AA159" s="240"/>
      <c r="AB159" s="240"/>
      <c r="AC159" s="240"/>
      <c r="AD159" s="240"/>
      <c r="AE159" s="240"/>
      <c r="AF159" s="110"/>
      <c r="AG159" s="240"/>
      <c r="AH159" s="240"/>
      <c r="AI159" s="240"/>
      <c r="AJ159" s="240"/>
      <c r="AK159" s="240"/>
      <c r="AL159" s="110"/>
      <c r="AM159" s="240"/>
      <c r="AN159" s="240"/>
      <c r="AO159" s="240"/>
      <c r="AP159" s="240"/>
      <c r="AQ159" s="240"/>
      <c r="AR159" s="110"/>
      <c r="AS159" s="240"/>
      <c r="AT159" s="240"/>
      <c r="AU159" s="240"/>
      <c r="AV159" s="240"/>
      <c r="AW159" s="321"/>
      <c r="AX159" s="110"/>
      <c r="AY159" s="240"/>
      <c r="AZ159" s="240"/>
      <c r="BA159" s="240"/>
      <c r="BB159" s="240"/>
      <c r="BC159" s="321"/>
      <c r="BD159" s="110"/>
      <c r="BE159" s="240"/>
      <c r="BF159" s="240"/>
      <c r="BG159" s="240"/>
      <c r="BH159" s="240"/>
      <c r="BI159" s="240"/>
      <c r="BJ159" s="110"/>
      <c r="BK159" s="240"/>
      <c r="BL159" s="240"/>
      <c r="BM159" s="240"/>
      <c r="BN159" s="240"/>
      <c r="BO159" s="1190"/>
      <c r="BP159" s="110"/>
      <c r="BQ159" s="240"/>
      <c r="BR159" s="240"/>
      <c r="BS159" s="240"/>
      <c r="BT159" s="240"/>
      <c r="BU159" s="1190"/>
      <c r="BV159" s="110"/>
      <c r="BW159" s="240"/>
      <c r="BX159" s="240"/>
      <c r="BY159" s="240"/>
      <c r="BZ159" s="240"/>
      <c r="CA159" s="1190"/>
      <c r="CB159" s="110"/>
      <c r="CC159" s="240"/>
      <c r="CD159" s="240"/>
      <c r="CE159" s="240"/>
      <c r="CF159" s="240"/>
      <c r="CG159" s="1190"/>
      <c r="CH159" s="110"/>
      <c r="CI159" s="240"/>
      <c r="CJ159" s="240"/>
      <c r="CK159" s="240"/>
      <c r="CL159" s="240"/>
      <c r="CM159" s="1190"/>
      <c r="CN159" s="110"/>
      <c r="CO159" s="240"/>
      <c r="CP159" s="240"/>
      <c r="CQ159" s="240"/>
      <c r="CR159" s="240"/>
      <c r="CS159" s="1190"/>
      <c r="CT159" s="110"/>
      <c r="CU159" s="240"/>
      <c r="CV159" s="240"/>
      <c r="CW159" s="240"/>
      <c r="CX159" s="240"/>
      <c r="CY159" s="1699"/>
      <c r="CZ159" s="110"/>
      <c r="DA159" s="240"/>
      <c r="DB159" s="240"/>
      <c r="DC159" s="240"/>
      <c r="DD159" s="240"/>
      <c r="DE159" s="1190"/>
      <c r="DF159" s="110"/>
      <c r="DG159" s="240"/>
      <c r="DH159" s="240"/>
      <c r="DI159" s="240"/>
      <c r="DJ159" s="240"/>
      <c r="DK159" s="1190"/>
      <c r="DL159" s="110"/>
      <c r="DM159" s="240"/>
      <c r="DN159" s="240"/>
      <c r="DO159" s="240"/>
      <c r="DP159" s="240"/>
      <c r="DQ159" s="1190"/>
      <c r="DR159" s="110"/>
      <c r="DS159" s="240"/>
      <c r="DT159" s="240"/>
      <c r="DU159" s="240"/>
      <c r="DV159" s="240"/>
      <c r="DW159" s="1190"/>
      <c r="DX159" s="110"/>
      <c r="DY159" s="240"/>
      <c r="DZ159" s="240"/>
      <c r="EA159" s="240"/>
      <c r="EB159" s="240"/>
      <c r="EC159" s="1190"/>
      <c r="ED159" s="110"/>
      <c r="EE159" s="240"/>
      <c r="EF159" s="240"/>
      <c r="EG159" s="240"/>
      <c r="EH159" s="240"/>
      <c r="EI159" s="1190"/>
      <c r="EJ159" s="110"/>
      <c r="EK159" s="240"/>
      <c r="EL159" s="240"/>
      <c r="EM159" s="240"/>
      <c r="EN159" s="240"/>
      <c r="EO159" s="1190"/>
      <c r="EP159" s="110"/>
      <c r="EQ159" s="240"/>
      <c r="ER159" s="240"/>
      <c r="ES159" s="240"/>
      <c r="ET159" s="240"/>
      <c r="EU159" s="1190"/>
      <c r="EV159" s="110"/>
    </row>
    <row r="160" spans="1:152" hidden="1" outlineLevel="1">
      <c r="A160" s="153" t="s">
        <v>3819</v>
      </c>
      <c r="B160" s="524"/>
      <c r="C160" s="240"/>
      <c r="D160" s="240"/>
      <c r="E160" s="240"/>
      <c r="F160" s="240"/>
      <c r="G160" s="240"/>
      <c r="H160" s="110"/>
      <c r="I160" s="240"/>
      <c r="J160" s="240"/>
      <c r="K160" s="240"/>
      <c r="L160" s="240"/>
      <c r="M160" s="240"/>
      <c r="N160" s="110"/>
      <c r="O160" s="240"/>
      <c r="P160" s="240"/>
      <c r="Q160" s="240"/>
      <c r="R160" s="240"/>
      <c r="S160" s="240"/>
      <c r="T160" s="110"/>
      <c r="U160" s="240"/>
      <c r="V160" s="240"/>
      <c r="W160" s="240"/>
      <c r="X160" s="240"/>
      <c r="Y160" s="240"/>
      <c r="Z160" s="110"/>
      <c r="AA160" s="240"/>
      <c r="AB160" s="240"/>
      <c r="AC160" s="240"/>
      <c r="AD160" s="240"/>
      <c r="AE160" s="240"/>
      <c r="AF160" s="110"/>
      <c r="AG160" s="240"/>
      <c r="AH160" s="240"/>
      <c r="AI160" s="240"/>
      <c r="AJ160" s="240"/>
      <c r="AK160" s="240"/>
      <c r="AL160" s="110"/>
      <c r="AM160" s="240"/>
      <c r="AN160" s="240"/>
      <c r="AO160" s="240"/>
      <c r="AP160" s="240"/>
      <c r="AQ160" s="240"/>
      <c r="AR160" s="110"/>
      <c r="AS160" s="240"/>
      <c r="AT160" s="240"/>
      <c r="AU160" s="240"/>
      <c r="AV160" s="240"/>
      <c r="AW160" s="240"/>
      <c r="AX160" s="110"/>
      <c r="AY160" s="471"/>
      <c r="AZ160" s="471"/>
      <c r="BA160" s="471"/>
      <c r="BB160" s="471"/>
      <c r="BC160" s="240"/>
      <c r="BD160" s="110"/>
      <c r="BE160" s="240"/>
      <c r="BF160" s="240"/>
      <c r="BG160" s="240"/>
      <c r="BH160" s="240"/>
      <c r="BI160" s="240"/>
      <c r="BJ160" s="110"/>
      <c r="BK160" s="240"/>
      <c r="BL160" s="240"/>
      <c r="BM160" s="240"/>
      <c r="BN160" s="240"/>
      <c r="BO160" s="1190"/>
      <c r="BP160" s="110"/>
      <c r="BQ160" s="240"/>
      <c r="BR160" s="240"/>
      <c r="BS160" s="240"/>
      <c r="BT160" s="240"/>
      <c r="BU160" s="1190"/>
      <c r="BV160" s="110"/>
      <c r="BW160" s="240"/>
      <c r="BX160" s="240"/>
      <c r="BY160" s="240"/>
      <c r="BZ160" s="240"/>
      <c r="CA160" s="1190"/>
      <c r="CB160" s="110"/>
      <c r="CC160" s="240"/>
      <c r="CD160" s="240"/>
      <c r="CE160" s="240"/>
      <c r="CF160" s="240"/>
      <c r="CG160" s="1190"/>
      <c r="CH160" s="110"/>
      <c r="CI160" s="240"/>
      <c r="CJ160" s="240"/>
      <c r="CK160" s="240"/>
      <c r="CL160" s="240"/>
      <c r="CM160" s="1190"/>
      <c r="CN160" s="110"/>
      <c r="CO160" s="240"/>
      <c r="CP160" s="240"/>
      <c r="CQ160" s="1656"/>
      <c r="CR160" s="240"/>
      <c r="CS160" s="1190"/>
      <c r="CT160" s="110"/>
      <c r="CU160" s="240"/>
      <c r="CV160" s="240"/>
      <c r="CW160" s="240"/>
      <c r="CX160" s="240"/>
      <c r="CY160" s="1190"/>
      <c r="CZ160" s="110"/>
      <c r="DA160" s="240"/>
      <c r="DB160" s="240"/>
      <c r="DC160" s="240"/>
      <c r="DD160" s="240"/>
      <c r="DE160" s="1190"/>
      <c r="DF160" s="110"/>
      <c r="DG160" s="240"/>
      <c r="DH160" s="240"/>
      <c r="DI160" s="240"/>
      <c r="DJ160" s="240"/>
      <c r="DK160" s="1190"/>
      <c r="DL160" s="110"/>
      <c r="DM160" s="240"/>
      <c r="DN160" s="240"/>
      <c r="DO160" s="240"/>
      <c r="DP160" s="240"/>
      <c r="DQ160" s="1190"/>
      <c r="DR160" s="110"/>
      <c r="DS160" s="240"/>
      <c r="DT160" s="240"/>
      <c r="DU160" s="240"/>
      <c r="DV160" s="240"/>
      <c r="DW160" s="1190"/>
      <c r="DX160" s="110"/>
      <c r="DY160" s="240"/>
      <c r="DZ160" s="240"/>
      <c r="EA160" s="240"/>
      <c r="EB160" s="240"/>
      <c r="EC160" s="1190"/>
      <c r="ED160" s="110"/>
      <c r="EE160" s="240"/>
      <c r="EF160" s="240"/>
      <c r="EG160" s="240"/>
      <c r="EH160" s="240"/>
      <c r="EI160" s="1190"/>
      <c r="EJ160" s="110"/>
      <c r="EK160" s="240"/>
      <c r="EL160" s="240"/>
      <c r="EM160" s="240"/>
      <c r="EN160" s="240"/>
      <c r="EO160" s="1190"/>
      <c r="EP160" s="110"/>
      <c r="EQ160" s="240"/>
      <c r="ER160" s="240"/>
      <c r="ES160" s="240"/>
      <c r="ET160" s="240"/>
      <c r="EU160" s="1190"/>
      <c r="EV160" s="110"/>
    </row>
    <row r="161" spans="1:152" hidden="1" outlineLevel="1">
      <c r="A161" s="460" t="s">
        <v>3820</v>
      </c>
      <c r="B161" s="524"/>
      <c r="C161" s="461"/>
      <c r="D161" s="461"/>
      <c r="E161" s="461"/>
      <c r="F161" s="461"/>
      <c r="G161" s="461"/>
      <c r="H161" s="462"/>
      <c r="I161" s="461"/>
      <c r="J161" s="461"/>
      <c r="K161" s="461"/>
      <c r="L161" s="461"/>
      <c r="M161" s="463"/>
      <c r="N161" s="462"/>
      <c r="O161" s="461"/>
      <c r="P161" s="461"/>
      <c r="Q161" s="461"/>
      <c r="R161" s="461"/>
      <c r="S161" s="463"/>
      <c r="T161" s="462"/>
      <c r="U161" s="461"/>
      <c r="V161" s="461"/>
      <c r="W161" s="461"/>
      <c r="X161" s="461"/>
      <c r="Y161" s="463"/>
      <c r="Z161" s="462"/>
      <c r="AA161" s="461"/>
      <c r="AB161" s="461"/>
      <c r="AC161" s="461"/>
      <c r="AD161" s="461"/>
      <c r="AE161" s="463"/>
      <c r="AF161" s="462"/>
      <c r="AG161" s="461"/>
      <c r="AH161" s="461"/>
      <c r="AI161" s="461"/>
      <c r="AJ161" s="461"/>
      <c r="AK161" s="463"/>
      <c r="AL161" s="462"/>
      <c r="AM161" s="463">
        <v>0.27700000000000002</v>
      </c>
      <c r="AN161" s="463">
        <v>0.64200000000000002</v>
      </c>
      <c r="AO161" s="463">
        <v>0.60399999999999998</v>
      </c>
      <c r="AP161" s="470">
        <f>AQ161-SUM(AM161:AO161)</f>
        <v>0.39399999999999991</v>
      </c>
      <c r="AQ161" s="463">
        <v>1.917</v>
      </c>
      <c r="AR161" s="462"/>
      <c r="AS161" s="463">
        <v>0.34699999999999998</v>
      </c>
      <c r="AT161" s="463">
        <v>0.34699999999999998</v>
      </c>
      <c r="AU161" s="463">
        <v>0.36799999999999999</v>
      </c>
      <c r="AV161" s="470">
        <f>AW161-SUM(AS161:AU161)</f>
        <v>0.18100000000000027</v>
      </c>
      <c r="AW161" s="463">
        <v>1.2430000000000001</v>
      </c>
      <c r="AX161" s="462"/>
      <c r="AY161" s="463">
        <v>0.15</v>
      </c>
      <c r="AZ161" s="463">
        <v>0.13600000000000001</v>
      </c>
      <c r="BA161" s="463">
        <v>2.0409999999999999</v>
      </c>
      <c r="BB161" s="470">
        <f>BC161-SUM(AY161:BA161)</f>
        <v>0.79999999999999982</v>
      </c>
      <c r="BC161" s="463">
        <v>3.1269999999999998</v>
      </c>
      <c r="BD161" s="462"/>
      <c r="BE161" s="463">
        <v>0.105</v>
      </c>
      <c r="BF161" s="463">
        <v>0.10299999999999999</v>
      </c>
      <c r="BG161" s="463">
        <v>0.106</v>
      </c>
      <c r="BH161" s="470">
        <f>BI161-SUM(BE161:BG161)</f>
        <v>8.6000000000000021E-2</v>
      </c>
      <c r="BI161" s="461">
        <v>0.4</v>
      </c>
      <c r="BJ161" s="462"/>
      <c r="BK161" s="461"/>
      <c r="BL161" s="461"/>
      <c r="BM161" s="461"/>
      <c r="BN161" s="461"/>
      <c r="BO161" s="1284"/>
      <c r="BP161" s="462"/>
      <c r="BQ161" s="461"/>
      <c r="BR161" s="461"/>
      <c r="BS161" s="461"/>
      <c r="BT161" s="461"/>
      <c r="BU161" s="1284"/>
      <c r="BV161" s="462"/>
      <c r="BW161" s="461"/>
      <c r="BX161" s="461"/>
      <c r="BY161" s="461"/>
      <c r="BZ161" s="461"/>
      <c r="CA161" s="1284"/>
      <c r="CB161" s="462"/>
      <c r="CC161" s="461"/>
      <c r="CD161" s="461"/>
      <c r="CE161" s="461"/>
      <c r="CF161" s="461"/>
      <c r="CG161" s="1284"/>
      <c r="CH161" s="462"/>
      <c r="CI161" s="461"/>
      <c r="CJ161" s="461"/>
      <c r="CK161" s="461"/>
      <c r="CL161" s="461"/>
      <c r="CM161" s="1284"/>
      <c r="CN161" s="462"/>
      <c r="CO161" s="461"/>
      <c r="CP161" s="461"/>
      <c r="CQ161" s="461"/>
      <c r="CR161" s="461"/>
      <c r="CS161" s="1284"/>
      <c r="CT161" s="462"/>
      <c r="CU161" s="461"/>
      <c r="CV161" s="461"/>
      <c r="CW161" s="461"/>
      <c r="CX161" s="461"/>
      <c r="CY161" s="1284"/>
      <c r="CZ161" s="462"/>
      <c r="DA161" s="461"/>
      <c r="DB161" s="461"/>
      <c r="DC161" s="461"/>
      <c r="DD161" s="461"/>
      <c r="DE161" s="1284"/>
      <c r="DF161" s="462"/>
      <c r="DG161" s="461"/>
      <c r="DH161" s="461"/>
      <c r="DI161" s="461"/>
      <c r="DJ161" s="461"/>
      <c r="DK161" s="1284"/>
      <c r="DL161" s="462"/>
      <c r="DM161" s="461"/>
      <c r="DN161" s="461"/>
      <c r="DO161" s="461"/>
      <c r="DP161" s="461"/>
      <c r="DQ161" s="1284"/>
      <c r="DR161" s="462"/>
      <c r="DS161" s="461"/>
      <c r="DT161" s="461"/>
      <c r="DU161" s="461"/>
      <c r="DV161" s="461"/>
      <c r="DW161" s="1284"/>
      <c r="DX161" s="462"/>
      <c r="DY161" s="461"/>
      <c r="DZ161" s="461"/>
      <c r="EA161" s="461"/>
      <c r="EB161" s="461"/>
      <c r="EC161" s="1284"/>
      <c r="ED161" s="462"/>
      <c r="EE161" s="461"/>
      <c r="EF161" s="461"/>
      <c r="EG161" s="461"/>
      <c r="EH161" s="461"/>
      <c r="EI161" s="1284"/>
      <c r="EJ161" s="462"/>
      <c r="EK161" s="461"/>
      <c r="EL161" s="461"/>
      <c r="EM161" s="461"/>
      <c r="EN161" s="461"/>
      <c r="EO161" s="1284"/>
      <c r="EP161" s="462"/>
      <c r="EQ161" s="461"/>
      <c r="ER161" s="461"/>
      <c r="ES161" s="461"/>
      <c r="ET161" s="461"/>
      <c r="EU161" s="1284"/>
      <c r="EV161" s="462"/>
    </row>
    <row r="162" spans="1:152" hidden="1" outlineLevel="1">
      <c r="A162" s="460" t="s">
        <v>3821</v>
      </c>
      <c r="B162" s="524"/>
      <c r="C162" s="461"/>
      <c r="D162" s="461"/>
      <c r="E162" s="461"/>
      <c r="F162" s="461"/>
      <c r="G162" s="461"/>
      <c r="H162" s="462"/>
      <c r="I162" s="461"/>
      <c r="J162" s="461"/>
      <c r="K162" s="461"/>
      <c r="L162" s="461"/>
      <c r="M162" s="463"/>
      <c r="N162" s="462"/>
      <c r="O162" s="461"/>
      <c r="P162" s="461"/>
      <c r="Q162" s="461"/>
      <c r="R162" s="461"/>
      <c r="S162" s="463"/>
      <c r="T162" s="462"/>
      <c r="U162" s="461"/>
      <c r="V162" s="461"/>
      <c r="W162" s="461"/>
      <c r="X162" s="461"/>
      <c r="Y162" s="463"/>
      <c r="Z162" s="462"/>
      <c r="AA162" s="461"/>
      <c r="AB162" s="461"/>
      <c r="AC162" s="461"/>
      <c r="AD162" s="461"/>
      <c r="AE162" s="463"/>
      <c r="AF162" s="462"/>
      <c r="AG162" s="461"/>
      <c r="AH162" s="461"/>
      <c r="AI162" s="461"/>
      <c r="AJ162" s="461"/>
      <c r="AK162" s="463"/>
      <c r="AL162" s="462"/>
      <c r="AM162" s="463">
        <v>-14.215999999999999</v>
      </c>
      <c r="AN162" s="463">
        <v>-10.611000000000001</v>
      </c>
      <c r="AO162" s="463">
        <v>-13.877000000000001</v>
      </c>
      <c r="AP162" s="470">
        <f>AQ162-SUM(AM162:AO162)</f>
        <v>-13.921999999999997</v>
      </c>
      <c r="AQ162" s="463">
        <v>-52.625999999999998</v>
      </c>
      <c r="AR162" s="462"/>
      <c r="AS162" s="463">
        <v>-11.805999999999999</v>
      </c>
      <c r="AT162" s="463">
        <v>-9.0739999999999998</v>
      </c>
      <c r="AU162" s="463">
        <v>-10.951000000000001</v>
      </c>
      <c r="AV162" s="470">
        <f>AW162-SUM(AS162:AU162)</f>
        <v>-16.915000000000003</v>
      </c>
      <c r="AW162" s="463">
        <v>-48.746000000000002</v>
      </c>
      <c r="AX162" s="462"/>
      <c r="AY162" s="463">
        <v>-12.521000000000001</v>
      </c>
      <c r="AZ162" s="463">
        <v>-13.244</v>
      </c>
      <c r="BA162" s="463">
        <v>-16.577000000000002</v>
      </c>
      <c r="BB162" s="470">
        <f>BC162-SUM(AY162:BA162)</f>
        <v>-19.234000000000002</v>
      </c>
      <c r="BC162" s="463">
        <v>-61.576000000000001</v>
      </c>
      <c r="BD162" s="462"/>
      <c r="BE162" s="463">
        <v>-19.138999999999999</v>
      </c>
      <c r="BF162" s="463">
        <v>-18.266999999999999</v>
      </c>
      <c r="BG162" s="463">
        <v>-16.45</v>
      </c>
      <c r="BH162" s="470">
        <f>BI162-SUM(BE162:BG162)</f>
        <v>-17.944000000000003</v>
      </c>
      <c r="BI162" s="461">
        <v>-71.8</v>
      </c>
      <c r="BJ162" s="462"/>
      <c r="BK162" s="461"/>
      <c r="BL162" s="461"/>
      <c r="BM162" s="461"/>
      <c r="BN162" s="461"/>
      <c r="BO162" s="1284"/>
      <c r="BP162" s="462"/>
      <c r="BQ162" s="461"/>
      <c r="BR162" s="461"/>
      <c r="BS162" s="461"/>
      <c r="BT162" s="461"/>
      <c r="BU162" s="1284"/>
      <c r="BV162" s="462"/>
      <c r="BW162" s="461"/>
      <c r="BX162" s="461"/>
      <c r="BY162" s="461"/>
      <c r="BZ162" s="461"/>
      <c r="CA162" s="1284"/>
      <c r="CB162" s="462"/>
      <c r="CC162" s="461"/>
      <c r="CD162" s="461"/>
      <c r="CE162" s="461"/>
      <c r="CF162" s="461"/>
      <c r="CG162" s="1284"/>
      <c r="CH162" s="462"/>
      <c r="CI162" s="461"/>
      <c r="CJ162" s="461"/>
      <c r="CK162" s="461"/>
      <c r="CL162" s="461"/>
      <c r="CM162" s="1284"/>
      <c r="CN162" s="462"/>
      <c r="CO162" s="461"/>
      <c r="CP162" s="461"/>
      <c r="CQ162" s="461"/>
      <c r="CR162" s="461"/>
      <c r="CS162" s="1284"/>
      <c r="CT162" s="462"/>
      <c r="CU162" s="461"/>
      <c r="CV162" s="461"/>
      <c r="CW162" s="461"/>
      <c r="CX162" s="461"/>
      <c r="CY162" s="1284"/>
      <c r="CZ162" s="462"/>
      <c r="DA162" s="461"/>
      <c r="DB162" s="461"/>
      <c r="DC162" s="461"/>
      <c r="DD162" s="461"/>
      <c r="DE162" s="1284"/>
      <c r="DF162" s="462"/>
      <c r="DG162" s="461"/>
      <c r="DH162" s="461"/>
      <c r="DI162" s="461"/>
      <c r="DJ162" s="461"/>
      <c r="DK162" s="1284"/>
      <c r="DL162" s="462"/>
      <c r="DM162" s="461"/>
      <c r="DN162" s="461"/>
      <c r="DO162" s="461"/>
      <c r="DP162" s="461"/>
      <c r="DQ162" s="1284"/>
      <c r="DR162" s="462"/>
      <c r="DS162" s="461"/>
      <c r="DT162" s="461"/>
      <c r="DU162" s="461"/>
      <c r="DV162" s="461"/>
      <c r="DW162" s="1284"/>
      <c r="DX162" s="462"/>
      <c r="DY162" s="461"/>
      <c r="DZ162" s="461"/>
      <c r="EA162" s="461"/>
      <c r="EB162" s="461"/>
      <c r="EC162" s="1284"/>
      <c r="ED162" s="462"/>
      <c r="EE162" s="461"/>
      <c r="EF162" s="461"/>
      <c r="EG162" s="461"/>
      <c r="EH162" s="461"/>
      <c r="EI162" s="1284"/>
      <c r="EJ162" s="462"/>
      <c r="EK162" s="461"/>
      <c r="EL162" s="461"/>
      <c r="EM162" s="461"/>
      <c r="EN162" s="461"/>
      <c r="EO162" s="1284"/>
      <c r="EP162" s="462"/>
      <c r="EQ162" s="461"/>
      <c r="ER162" s="461"/>
      <c r="ES162" s="461"/>
      <c r="ET162" s="461"/>
      <c r="EU162" s="1284"/>
      <c r="EV162" s="462"/>
    </row>
    <row r="163" spans="1:152" hidden="1" outlineLevel="1">
      <c r="A163" s="460" t="s">
        <v>3822</v>
      </c>
      <c r="B163" s="524"/>
      <c r="C163" s="461"/>
      <c r="D163" s="461"/>
      <c r="E163" s="461"/>
      <c r="F163" s="461"/>
      <c r="G163" s="461"/>
      <c r="H163" s="462"/>
      <c r="I163" s="463"/>
      <c r="J163" s="463"/>
      <c r="K163" s="463"/>
      <c r="L163" s="463"/>
      <c r="M163" s="464"/>
      <c r="N163" s="462"/>
      <c r="O163" s="463"/>
      <c r="P163" s="463"/>
      <c r="Q163" s="463"/>
      <c r="R163" s="463"/>
      <c r="S163" s="463">
        <v>52.2</v>
      </c>
      <c r="T163" s="462"/>
      <c r="U163" s="463"/>
      <c r="V163" s="463"/>
      <c r="W163" s="463"/>
      <c r="X163" s="463"/>
      <c r="Y163" s="463">
        <v>-44.7</v>
      </c>
      <c r="Z163" s="462"/>
      <c r="AA163" s="463"/>
      <c r="AB163" s="463"/>
      <c r="AC163" s="463"/>
      <c r="AD163" s="463"/>
      <c r="AE163" s="463">
        <v>39.1</v>
      </c>
      <c r="AF163" s="462"/>
      <c r="AG163" s="463"/>
      <c r="AH163" s="463"/>
      <c r="AI163" s="463"/>
      <c r="AJ163" s="463"/>
      <c r="AK163" s="463">
        <v>27.5</v>
      </c>
      <c r="AL163" s="463"/>
      <c r="AM163" s="463">
        <f>AM147+AM161+AM162</f>
        <v>3.7020000000000213</v>
      </c>
      <c r="AN163" s="465">
        <f>AN147+AN161+AN162</f>
        <v>1.7910000000000146</v>
      </c>
      <c r="AO163" s="463">
        <f>AO147+AO161+AO162</f>
        <v>-17.183000000000028</v>
      </c>
      <c r="AP163" s="463">
        <f>AP147+AP161+AP162</f>
        <v>-7.1149999999999851</v>
      </c>
      <c r="AQ163" s="463">
        <f>AQ147+AQ161+AQ162</f>
        <v>-18.804999999999957</v>
      </c>
      <c r="AR163" s="462"/>
      <c r="AS163" s="463">
        <f>AS147+AS161+AS162</f>
        <v>-3.9510000000000005</v>
      </c>
      <c r="AT163" s="463">
        <f>AT147+AT161+AT162</f>
        <v>23.874999999999979</v>
      </c>
      <c r="AU163" s="463">
        <f>AU147+AU161+AU162</f>
        <v>12.022999999999996</v>
      </c>
      <c r="AV163" s="463">
        <f>AV147+AV161+AV162</f>
        <v>40.866000000000071</v>
      </c>
      <c r="AW163" s="463">
        <f>AW147+AW161+AW162</f>
        <v>72.813000000000073</v>
      </c>
      <c r="AX163" s="462"/>
      <c r="AY163" s="463">
        <f>AY147+AY161+AY162</f>
        <v>29.745000000000033</v>
      </c>
      <c r="AZ163" s="463">
        <f>AZ147+AZ161+AZ162</f>
        <v>25.89200000000001</v>
      </c>
      <c r="BA163" s="463">
        <f>BA147+BA161+BA162</f>
        <v>60.341999999999985</v>
      </c>
      <c r="BB163" s="463">
        <f>BB147+BB161+BB162</f>
        <v>46.754999999999932</v>
      </c>
      <c r="BC163" s="463">
        <f>BC147+BC161+BC162</f>
        <v>162.73400000000001</v>
      </c>
      <c r="BD163" s="462"/>
      <c r="BE163" s="463">
        <f>BE147+BE161+BE162</f>
        <v>58.765999999999977</v>
      </c>
      <c r="BF163" s="463">
        <f>BF147+BF161+BF162</f>
        <v>58.535999999999959</v>
      </c>
      <c r="BG163" s="463">
        <f>BG147+BG161+BG162</f>
        <v>79.356000000000009</v>
      </c>
      <c r="BH163" s="463">
        <f>BH147+BH161+BH162</f>
        <v>65.542000000000002</v>
      </c>
      <c r="BI163" s="463">
        <f>BI147+BI161+BI162</f>
        <v>262.19999999999993</v>
      </c>
      <c r="BJ163" s="462"/>
      <c r="BK163" s="461"/>
      <c r="BL163" s="461"/>
      <c r="BM163" s="461"/>
      <c r="BN163" s="461"/>
      <c r="BO163" s="1284"/>
      <c r="BP163" s="462"/>
      <c r="BQ163" s="461"/>
      <c r="BR163" s="461"/>
      <c r="BS163" s="461"/>
      <c r="BT163" s="461"/>
      <c r="BU163" s="1284"/>
      <c r="BV163" s="462"/>
      <c r="BW163" s="461"/>
      <c r="BX163" s="461"/>
      <c r="BY163" s="461"/>
      <c r="BZ163" s="461"/>
      <c r="CA163" s="1284"/>
      <c r="CB163" s="462"/>
      <c r="CC163" s="461"/>
      <c r="CD163" s="461"/>
      <c r="CE163" s="461"/>
      <c r="CF163" s="461"/>
      <c r="CG163" s="1284"/>
      <c r="CH163" s="462"/>
      <c r="CI163" s="461"/>
      <c r="CJ163" s="461"/>
      <c r="CK163" s="461"/>
      <c r="CL163" s="461"/>
      <c r="CM163" s="1284"/>
      <c r="CN163" s="462"/>
      <c r="CO163" s="461"/>
      <c r="CP163" s="461"/>
      <c r="CQ163" s="461"/>
      <c r="CR163" s="461"/>
      <c r="CS163" s="1284"/>
      <c r="CT163" s="462"/>
      <c r="CU163" s="461"/>
      <c r="CV163" s="461"/>
      <c r="CW163" s="461"/>
      <c r="CX163" s="461"/>
      <c r="CY163" s="1284"/>
      <c r="CZ163" s="462"/>
      <c r="DA163" s="461"/>
      <c r="DB163" s="461"/>
      <c r="DC163" s="461"/>
      <c r="DD163" s="461"/>
      <c r="DE163" s="1284"/>
      <c r="DF163" s="462"/>
      <c r="DG163" s="461"/>
      <c r="DH163" s="461"/>
      <c r="DI163" s="461"/>
      <c r="DJ163" s="461"/>
      <c r="DK163" s="1284"/>
      <c r="DL163" s="462"/>
      <c r="DM163" s="461"/>
      <c r="DN163" s="461"/>
      <c r="DO163" s="461"/>
      <c r="DP163" s="461"/>
      <c r="DQ163" s="1284"/>
      <c r="DR163" s="462"/>
      <c r="DS163" s="461"/>
      <c r="DT163" s="461"/>
      <c r="DU163" s="461"/>
      <c r="DV163" s="461"/>
      <c r="DW163" s="1284"/>
      <c r="DX163" s="462"/>
      <c r="DY163" s="461"/>
      <c r="DZ163" s="461"/>
      <c r="EA163" s="461"/>
      <c r="EB163" s="461"/>
      <c r="EC163" s="1284"/>
      <c r="ED163" s="462"/>
      <c r="EE163" s="461"/>
      <c r="EF163" s="461"/>
      <c r="EG163" s="461"/>
      <c r="EH163" s="461"/>
      <c r="EI163" s="1284"/>
      <c r="EJ163" s="462"/>
      <c r="EK163" s="461"/>
      <c r="EL163" s="461"/>
      <c r="EM163" s="461"/>
      <c r="EN163" s="461"/>
      <c r="EO163" s="1284"/>
      <c r="EP163" s="462"/>
      <c r="EQ163" s="461"/>
      <c r="ER163" s="461"/>
      <c r="ES163" s="461"/>
      <c r="ET163" s="461"/>
      <c r="EU163" s="1284"/>
      <c r="EV163" s="462"/>
    </row>
    <row r="164" spans="1:152" hidden="1" outlineLevel="1">
      <c r="A164" s="460" t="s">
        <v>3823</v>
      </c>
      <c r="B164" s="524"/>
      <c r="C164" s="461"/>
      <c r="D164" s="461"/>
      <c r="E164" s="461"/>
      <c r="F164" s="461"/>
      <c r="G164" s="461"/>
      <c r="H164" s="462"/>
      <c r="I164" s="466"/>
      <c r="J164" s="466"/>
      <c r="K164" s="466"/>
      <c r="L164" s="466"/>
      <c r="M164" s="467"/>
      <c r="N164" s="462"/>
      <c r="O164" s="466">
        <f>O163/O155</f>
        <v>0</v>
      </c>
      <c r="P164" s="466">
        <f>P163/P155</f>
        <v>0</v>
      </c>
      <c r="Q164" s="466">
        <f>Q163/Q155</f>
        <v>0</v>
      </c>
      <c r="R164" s="466">
        <f>R163/R155</f>
        <v>0</v>
      </c>
      <c r="S164" s="466">
        <f>S163/S155</f>
        <v>0.23140759655282478</v>
      </c>
      <c r="T164" s="462"/>
      <c r="U164" s="466">
        <f>U163/U155</f>
        <v>0</v>
      </c>
      <c r="V164" s="466">
        <f>V163/V155</f>
        <v>0</v>
      </c>
      <c r="W164" s="466">
        <f>W163/W155</f>
        <v>0</v>
      </c>
      <c r="X164" s="466">
        <f>X163/X155</f>
        <v>0</v>
      </c>
      <c r="Y164" s="466">
        <f>Y163/Y155</f>
        <v>-0.18523736904919771</v>
      </c>
      <c r="Z164" s="462"/>
      <c r="AA164" s="466">
        <f>AA163/AA155</f>
        <v>0</v>
      </c>
      <c r="AB164" s="466">
        <f>AB163/AB155</f>
        <v>0</v>
      </c>
      <c r="AC164" s="466">
        <f>AC163/AC155</f>
        <v>0</v>
      </c>
      <c r="AD164" s="466">
        <f>AD163/AD155</f>
        <v>0</v>
      </c>
      <c r="AE164" s="466">
        <f>AE163/AE155</f>
        <v>0.17092746730083233</v>
      </c>
      <c r="AF164" s="462"/>
      <c r="AG164" s="466">
        <f>AG163/AG155</f>
        <v>0</v>
      </c>
      <c r="AH164" s="466">
        <f>AH163/AH155</f>
        <v>0</v>
      </c>
      <c r="AI164" s="466">
        <f>AI163/AI155</f>
        <v>0</v>
      </c>
      <c r="AJ164" s="466">
        <f>AJ163/AJ155</f>
        <v>0</v>
      </c>
      <c r="AK164" s="466">
        <f>AK163/AK155</f>
        <v>0.12637533704876824</v>
      </c>
      <c r="AL164" s="466"/>
      <c r="AM164" s="466">
        <f>AM163/AM155</f>
        <v>1.6343288523938907E-2</v>
      </c>
      <c r="AN164" s="466">
        <f>AN163/AN155</f>
        <v>7.9004481772947666E-3</v>
      </c>
      <c r="AO164" s="466">
        <f>AO163/AO155</f>
        <v>-7.6159366010841417E-2</v>
      </c>
      <c r="AP164" s="466">
        <f>AP163/AP155</f>
        <v>-3.1588948529770795E-2</v>
      </c>
      <c r="AQ164" s="466">
        <f>AQ163/AQ155</f>
        <v>-8.320179809682228E-2</v>
      </c>
      <c r="AR164" s="466"/>
      <c r="AS164" s="466">
        <f>AS163/AS155</f>
        <v>-1.7673977517233361E-2</v>
      </c>
      <c r="AT164" s="466">
        <f>AT163/AT155</f>
        <v>0.10708246807709031</v>
      </c>
      <c r="AU164" s="466">
        <f>AU163/AU155</f>
        <v>5.4050530480129456E-2</v>
      </c>
      <c r="AV164" s="466">
        <f>AV163/AV155</f>
        <v>0.18331396991867396</v>
      </c>
      <c r="AW164" s="466">
        <f>AW163/AW155</f>
        <v>0.32656072530180763</v>
      </c>
      <c r="AX164" s="466"/>
      <c r="AY164" s="466">
        <f>AY163/AY155</f>
        <v>0.13273092369477926</v>
      </c>
      <c r="AZ164" s="466">
        <f>AZ163/AZ155</f>
        <v>0.11355941123839937</v>
      </c>
      <c r="BA164" s="466">
        <f>BA163/BA155</f>
        <v>0.264862349884121</v>
      </c>
      <c r="BB164" s="466">
        <f>BB163/BB155</f>
        <v>0.20524582967515334</v>
      </c>
      <c r="BC164" s="466">
        <f>BC163/BC155</f>
        <v>0.7167761940837577</v>
      </c>
      <c r="BD164" s="462"/>
      <c r="BE164" s="466">
        <f>BE163/BE155</f>
        <v>0.25808519982433015</v>
      </c>
      <c r="BF164" s="466">
        <f>BF163/BF155</f>
        <v>0.25595102754700466</v>
      </c>
      <c r="BG164" s="466">
        <f>BG163/BG155</f>
        <v>0.34562717770034845</v>
      </c>
      <c r="BH164" s="466">
        <f>BH163/BH155</f>
        <v>0.28533739660426644</v>
      </c>
      <c r="BI164" s="466">
        <f>BI163/BI155</f>
        <v>1.145353281642459</v>
      </c>
      <c r="BJ164" s="462"/>
      <c r="BK164" s="461"/>
      <c r="BL164" s="461"/>
      <c r="BM164" s="461"/>
      <c r="BN164" s="461"/>
      <c r="BO164" s="1284"/>
      <c r="BP164" s="462"/>
      <c r="BQ164" s="461"/>
      <c r="BR164" s="461"/>
      <c r="BS164" s="461"/>
      <c r="BT164" s="461"/>
      <c r="BU164" s="1298">
        <f>BU66/BU153</f>
        <v>0.4098816951123464</v>
      </c>
      <c r="BV164" s="462"/>
      <c r="BW164" s="461"/>
      <c r="BX164" s="461"/>
      <c r="BY164" s="461"/>
      <c r="BZ164" s="461"/>
      <c r="CA164" s="1284"/>
      <c r="CB164" s="462"/>
      <c r="CC164" s="461"/>
      <c r="CD164" s="461"/>
      <c r="CE164" s="461"/>
      <c r="CF164" s="461"/>
      <c r="CG164" s="1284"/>
      <c r="CH164" s="462"/>
      <c r="CI164" s="461"/>
      <c r="CJ164" s="461"/>
      <c r="CK164" s="461"/>
      <c r="CL164" s="461"/>
      <c r="CM164" s="1284"/>
      <c r="CN164" s="462"/>
      <c r="CO164" s="461"/>
      <c r="CP164" s="461"/>
      <c r="CQ164" s="461"/>
      <c r="CR164" s="461"/>
      <c r="CS164" s="1284"/>
      <c r="CT164" s="462"/>
      <c r="CU164" s="461"/>
      <c r="CV164" s="461"/>
      <c r="CW164" s="461"/>
      <c r="CX164" s="461"/>
      <c r="CY164" s="1284"/>
      <c r="CZ164" s="462"/>
      <c r="DA164" s="461"/>
      <c r="DB164" s="461"/>
      <c r="DC164" s="461"/>
      <c r="DD164" s="461"/>
      <c r="DE164" s="1284"/>
      <c r="DF164" s="462"/>
      <c r="DG164" s="461"/>
      <c r="DH164" s="461"/>
      <c r="DI164" s="461"/>
      <c r="DJ164" s="461"/>
      <c r="DK164" s="1284"/>
      <c r="DL164" s="462"/>
      <c r="DM164" s="461"/>
      <c r="DN164" s="461"/>
      <c r="DO164" s="461"/>
      <c r="DP164" s="461"/>
      <c r="DQ164" s="1284"/>
      <c r="DR164" s="462"/>
      <c r="DS164" s="461"/>
      <c r="DT164" s="461"/>
      <c r="DU164" s="461"/>
      <c r="DV164" s="461"/>
      <c r="DW164" s="1284"/>
      <c r="DX164" s="462"/>
      <c r="DY164" s="461"/>
      <c r="DZ164" s="461"/>
      <c r="EA164" s="461"/>
      <c r="EB164" s="461"/>
      <c r="EC164" s="1284"/>
      <c r="ED164" s="462"/>
      <c r="EE164" s="461"/>
      <c r="EF164" s="461"/>
      <c r="EG164" s="461"/>
      <c r="EH164" s="461"/>
      <c r="EI164" s="1284"/>
      <c r="EJ164" s="462"/>
      <c r="EK164" s="461"/>
      <c r="EL164" s="461"/>
      <c r="EM164" s="461"/>
      <c r="EN164" s="461"/>
      <c r="EO164" s="1284"/>
      <c r="EP164" s="462"/>
      <c r="EQ164" s="461"/>
      <c r="ER164" s="461"/>
      <c r="ES164" s="461"/>
      <c r="ET164" s="461"/>
      <c r="EU164" s="1284"/>
      <c r="EV164" s="462"/>
    </row>
    <row r="165" spans="1:152" hidden="1" outlineLevel="1">
      <c r="A165" s="460" t="s">
        <v>3824</v>
      </c>
      <c r="B165" s="524"/>
      <c r="C165" s="461"/>
      <c r="D165" s="461"/>
      <c r="E165" s="461"/>
      <c r="F165" s="461"/>
      <c r="G165" s="461"/>
      <c r="H165" s="462"/>
      <c r="I165" s="468"/>
      <c r="J165" s="468"/>
      <c r="K165" s="468"/>
      <c r="L165" s="468"/>
      <c r="M165" s="469"/>
      <c r="N165" s="462"/>
      <c r="O165" s="468">
        <f>IF(O163&lt;0,O163/O155,O163/O153)</f>
        <v>0</v>
      </c>
      <c r="P165" s="468">
        <f>IF(P163&lt;0,P163/P155,P163/P153)</f>
        <v>0</v>
      </c>
      <c r="Q165" s="468">
        <f>IF(Q163&lt;0,Q163/Q155,Q163/Q153)</f>
        <v>0</v>
      </c>
      <c r="R165" s="468">
        <f>IF(R163&lt;0,R163/R155,R163/R153)</f>
        <v>0</v>
      </c>
      <c r="S165" s="468">
        <f>IF(S163&lt;0,S163/S155,S163/S153)</f>
        <v>0.2206591028220693</v>
      </c>
      <c r="T165" s="462"/>
      <c r="U165" s="468">
        <f>IF(U163&lt;0,U163/U155,U163/U153)</f>
        <v>0</v>
      </c>
      <c r="V165" s="468">
        <f>IF(V163&lt;0,V163/V155,V163/V153)</f>
        <v>0</v>
      </c>
      <c r="W165" s="468">
        <f>IF(W163&lt;0,W163/W155,W163/W153)</f>
        <v>0</v>
      </c>
      <c r="X165" s="468">
        <f>IF(X163&lt;0,X163/X155,X163/X153)</f>
        <v>0</v>
      </c>
      <c r="Y165" s="468">
        <f>IF(Y163&lt;0,Y163/Y155,Y163/Y153)</f>
        <v>-0.18523736904919771</v>
      </c>
      <c r="Z165" s="462"/>
      <c r="AA165" s="468">
        <f>IF(AA163&lt;0,AA163/AA155,AA163/AA153)</f>
        <v>0</v>
      </c>
      <c r="AB165" s="468">
        <f>IF(AB163&lt;0,AB163/AB155,AB163/AB153)</f>
        <v>0</v>
      </c>
      <c r="AC165" s="468">
        <f>IF(AC163&lt;0,AC163/AC155,AC163/AC153)</f>
        <v>0</v>
      </c>
      <c r="AD165" s="468">
        <f>IF(AD163&lt;0,AD163/AD155,AD163/AD153)</f>
        <v>0</v>
      </c>
      <c r="AE165" s="468">
        <f>IF(AE163&lt;0,AE163/AE155,AE163/AE153)</f>
        <v>0.16705403834979662</v>
      </c>
      <c r="AF165" s="462"/>
      <c r="AG165" s="468">
        <f>IF(AG163&lt;0,AG163/AG155,AG163/AG153)</f>
        <v>0</v>
      </c>
      <c r="AH165" s="468">
        <f>IF(AH163&lt;0,AH163/AH155,AH163/AH153)</f>
        <v>0</v>
      </c>
      <c r="AI165" s="468">
        <f>IF(AI163&lt;0,AI163/AI155,AI163/AI153)</f>
        <v>0</v>
      </c>
      <c r="AJ165" s="468">
        <f>IF(AJ163&lt;0,AJ163/AJ155,AJ163/AJ153)</f>
        <v>0</v>
      </c>
      <c r="AK165" s="468">
        <f>IF(AK163&lt;0,AK163/AK155,AK163/AK153)</f>
        <v>0.12242899118511263</v>
      </c>
      <c r="AL165" s="468"/>
      <c r="AM165" s="468">
        <f>IF(AM163&lt;0,AM163/AM155,AM163/AM153)</f>
        <v>1.5633181871927929E-2</v>
      </c>
      <c r="AN165" s="468">
        <f>IF(AN163&lt;0,AN163/AN155,AN163/AN153)</f>
        <v>7.8363939461560308E-3</v>
      </c>
      <c r="AO165" s="468">
        <f>IF(AO163&lt;0,AO163/AO155,AO163/AO153)</f>
        <v>-7.6159366010841417E-2</v>
      </c>
      <c r="AP165" s="468">
        <f>IF(AP163&lt;0,AP163/AP155,AP163/AP153)</f>
        <v>-3.1588948529770795E-2</v>
      </c>
      <c r="AQ165" s="468">
        <f>IF(AQ163&lt;0,AQ163/AQ155,AQ163/AQ153)</f>
        <v>-8.320179809682228E-2</v>
      </c>
      <c r="AR165" s="468"/>
      <c r="AS165" s="468">
        <f>IF(AS163&lt;0,AS163/AS155,AS163/AS153)</f>
        <v>-1.7673977517233361E-2</v>
      </c>
      <c r="AT165" s="468">
        <f>IF(AT163&lt;0,AT163/AT155,AT163/AT153)</f>
        <v>0.10521329102767486</v>
      </c>
      <c r="AU165" s="468">
        <f>IF(AU163&lt;0,AU163/AU155,AU163/AU153)</f>
        <v>5.265578193157331E-2</v>
      </c>
      <c r="AV165" s="468">
        <f>IF(AV163&lt;0,AV163/AV155,AV163/AV153)</f>
        <v>0.17050660480486021</v>
      </c>
      <c r="AW165" s="468">
        <f>IF(AW163&lt;0,AW163/AW155,AW163/AW153)</f>
        <v>0.31479351848649428</v>
      </c>
      <c r="AX165" s="468"/>
      <c r="AY165" s="468">
        <f>IF(AY163&lt;0,AY163/AY155,AY163/AY153)</f>
        <v>0.12466471081307642</v>
      </c>
      <c r="AZ165" s="468">
        <f>IF(AZ163&lt;0,AZ163/AZ155,AZ163/AZ153)</f>
        <v>0.10331714596958588</v>
      </c>
      <c r="BA165" s="468">
        <f>IF(BA163&lt;0,BA163/BA155,BA163/BA153)</f>
        <v>0.24327135508216277</v>
      </c>
      <c r="BB165" s="468">
        <f>IF(BB163&lt;0,BB163/BB155,BB163/BB153)</f>
        <v>0.18502176493866218</v>
      </c>
      <c r="BC165" s="468">
        <f>IF(BC163&lt;0,BC163/BC155,BC163/BC153)</f>
        <v>0.65890346064613303</v>
      </c>
      <c r="BD165" s="468"/>
      <c r="BE165" s="468">
        <f t="shared" ref="BE165:BU165" si="60">IF(BE163&lt;0,BE163/BE155,BE163/BE153)</f>
        <v>0.23572402727637373</v>
      </c>
      <c r="BF165" s="468">
        <f t="shared" si="60"/>
        <v>0.23386336396324392</v>
      </c>
      <c r="BG165" s="468">
        <f>IF(BG163&lt;0,BG163/BG155,BG163/BG153)</f>
        <v>0.31806012024048097</v>
      </c>
      <c r="BH165" s="468">
        <f>IF(BH163&lt;0,BH163/BH155,BH163/BH153)</f>
        <v>0.26332663720369626</v>
      </c>
      <c r="BI165" s="468">
        <f>IF(BI163&lt;0,BI163/BI155,BI163/BI153)</f>
        <v>1.0509018036072142</v>
      </c>
      <c r="BJ165" s="468"/>
      <c r="BK165" s="468">
        <f t="shared" si="60"/>
        <v>0</v>
      </c>
      <c r="BL165" s="468">
        <f t="shared" si="60"/>
        <v>0</v>
      </c>
      <c r="BM165" s="468">
        <f t="shared" si="60"/>
        <v>0</v>
      </c>
      <c r="BN165" s="468">
        <f t="shared" si="60"/>
        <v>0</v>
      </c>
      <c r="BO165" s="1285">
        <f t="shared" si="60"/>
        <v>0</v>
      </c>
      <c r="BP165" s="468"/>
      <c r="BQ165" s="468">
        <f t="shared" si="60"/>
        <v>0</v>
      </c>
      <c r="BR165" s="468">
        <f t="shared" si="60"/>
        <v>0</v>
      </c>
      <c r="BS165" s="468">
        <f t="shared" si="60"/>
        <v>0</v>
      </c>
      <c r="BT165" s="468">
        <f t="shared" si="60"/>
        <v>0</v>
      </c>
      <c r="BU165" s="1285">
        <f t="shared" si="60"/>
        <v>0</v>
      </c>
      <c r="BV165" s="468"/>
      <c r="BW165" s="468">
        <f>IF(BW163&lt;0,BW163/BW155,BW163/BW153)</f>
        <v>0</v>
      </c>
      <c r="BX165" s="468">
        <f>IF(BX163&lt;0,BX163/BX155,BX163/BX153)</f>
        <v>0</v>
      </c>
      <c r="BY165" s="468">
        <f>IF(BY163&lt;0,BY163/BY155,BY163/BY153)</f>
        <v>0</v>
      </c>
      <c r="BZ165" s="468">
        <f>IF(BZ163&lt;0,BZ163/BZ155,BZ163/BZ153)</f>
        <v>0</v>
      </c>
      <c r="CA165" s="1285">
        <f>IF(CA163&lt;0,CA163/CA155,CA163/CA153)</f>
        <v>0</v>
      </c>
      <c r="CB165" s="468"/>
      <c r="CC165" s="468">
        <f>IF(CC163&lt;0,CC163/CC155,CC163/CC153)</f>
        <v>0</v>
      </c>
      <c r="CD165" s="468">
        <f>IF(CD163&lt;0,CD163/CD155,CD163/CD153)</f>
        <v>0</v>
      </c>
      <c r="CE165" s="468">
        <f>IF(CE163&lt;0,CE163/CE155,CE163/CE153)</f>
        <v>0</v>
      </c>
      <c r="CF165" s="468">
        <f>IF(CF163&lt;0,CF163/CF155,CF163/CF153)</f>
        <v>0</v>
      </c>
      <c r="CG165" s="1285">
        <f>IF(CG163&lt;0,CG163/CG155,CG163/CG153)</f>
        <v>0</v>
      </c>
      <c r="CH165" s="468"/>
      <c r="CI165" s="468">
        <f>IF(CI163&lt;0,CI163/CI155,CI163/CI153)</f>
        <v>0</v>
      </c>
      <c r="CJ165" s="468">
        <f>IF(CJ163&lt;0,CJ163/CJ155,CJ163/CJ153)</f>
        <v>0</v>
      </c>
      <c r="CK165" s="468">
        <f>IF(CK163&lt;0,CK163/CK155,CK163/CK153)</f>
        <v>0</v>
      </c>
      <c r="CL165" s="468">
        <f>IF(CL163&lt;0,CL163/CL155,CL163/CL153)</f>
        <v>0</v>
      </c>
      <c r="CM165" s="1285">
        <f>IF(CM163&lt;0,CM163/CM155,CM163/CM153)</f>
        <v>0</v>
      </c>
      <c r="CN165" s="468"/>
      <c r="CO165" s="468">
        <f>IF(CO163&lt;0,CO163/CO155,CO163/CO153)</f>
        <v>0</v>
      </c>
      <c r="CP165" s="468">
        <f>IF(CP163&lt;0,CP163/CP155,CP163/CP153)</f>
        <v>0</v>
      </c>
      <c r="CQ165" s="468">
        <f>IF(CQ163&lt;0,CQ163/CQ155,CQ163/CQ153)</f>
        <v>0</v>
      </c>
      <c r="CR165" s="468">
        <f>IF(CR163&lt;0,CR163/CR155,CR163/CR153)</f>
        <v>0</v>
      </c>
      <c r="CS165" s="1285">
        <f>IF(CS163&lt;0,CS163/CS155,CS163/CS153)</f>
        <v>0</v>
      </c>
      <c r="CT165" s="468"/>
      <c r="CU165" s="468">
        <f>IF(CU163&lt;0,CU163/CU155,CU163/CU153)</f>
        <v>0</v>
      </c>
      <c r="CV165" s="468">
        <f>IF(CV163&lt;0,CV163/CV155,CV163/CV153)</f>
        <v>0</v>
      </c>
      <c r="CW165" s="468">
        <f>IF(CW163&lt;0,CW163/CW155,CW163/CW153)</f>
        <v>0</v>
      </c>
      <c r="CX165" s="468">
        <f>IF(CX163&lt;0,CX163/CX155,CX163/CX153)</f>
        <v>0</v>
      </c>
      <c r="CY165" s="1285">
        <f>IF(CY163&lt;0,CY163/CY155,CY163/CY153)</f>
        <v>0</v>
      </c>
      <c r="CZ165" s="468"/>
      <c r="DA165" s="468">
        <f>IF(DA163&lt;0,DA163/DA155,DA163/DA153)</f>
        <v>0</v>
      </c>
      <c r="DB165" s="468">
        <f>IF(DB163&lt;0,DB163/DB155,DB163/DB153)</f>
        <v>0</v>
      </c>
      <c r="DC165" s="468">
        <f>IF(DC163&lt;0,DC163/DC155,DC163/DC153)</f>
        <v>0</v>
      </c>
      <c r="DD165" s="468">
        <f>IF(DD163&lt;0,DD163/DD155,DD163/DD153)</f>
        <v>0</v>
      </c>
      <c r="DE165" s="1285">
        <f>IF(DE163&lt;0,DE163/DE155,DE163/DE153)</f>
        <v>0</v>
      </c>
      <c r="DF165" s="468"/>
      <c r="DG165" s="468">
        <f>IF(DG163&lt;0,DG163/DG155,DG163/DG153)</f>
        <v>0</v>
      </c>
      <c r="DH165" s="468">
        <f>IF(DH163&lt;0,DH163/DH155,DH163/DH153)</f>
        <v>0</v>
      </c>
      <c r="DI165" s="468">
        <f>IF(DI163&lt;0,DI163/DI155,DI163/DI153)</f>
        <v>0</v>
      </c>
      <c r="DJ165" s="468">
        <f>IF(DJ163&lt;0,DJ163/DJ155,DJ163/DJ153)</f>
        <v>0</v>
      </c>
      <c r="DK165" s="1285">
        <f>IF(DK163&lt;0,DK163/DK155,DK163/DK153)</f>
        <v>0</v>
      </c>
      <c r="DL165" s="468"/>
      <c r="DM165" s="468">
        <f>IF(DM163&lt;0,DM163/DM155,DM163/DM153)</f>
        <v>0</v>
      </c>
      <c r="DN165" s="468">
        <f>IF(DN163&lt;0,DN163/DN155,DN163/DN153)</f>
        <v>0</v>
      </c>
      <c r="DO165" s="468">
        <f>IF(DO163&lt;0,DO163/DO155,DO163/DO153)</f>
        <v>0</v>
      </c>
      <c r="DP165" s="468">
        <f>IF(DP163&lt;0,DP163/DP155,DP163/DP153)</f>
        <v>0</v>
      </c>
      <c r="DQ165" s="1285">
        <f>IF(DQ163&lt;0,DQ163/DQ155,DQ163/DQ153)</f>
        <v>0</v>
      </c>
      <c r="DR165" s="468"/>
      <c r="DS165" s="468">
        <f>IF(DS163&lt;0,DS163/DS155,DS163/DS153)</f>
        <v>0</v>
      </c>
      <c r="DT165" s="468">
        <f>IF(DT163&lt;0,DT163/DT155,DT163/DT153)</f>
        <v>0</v>
      </c>
      <c r="DU165" s="468">
        <f>IF(DU163&lt;0,DU163/DU155,DU163/DU153)</f>
        <v>0</v>
      </c>
      <c r="DV165" s="468">
        <f>IF(DV163&lt;0,DV163/DV155,DV163/DV153)</f>
        <v>0</v>
      </c>
      <c r="DW165" s="1285">
        <f>IF(DW163&lt;0,DW163/DW155,DW163/DW153)</f>
        <v>0</v>
      </c>
      <c r="DX165" s="468"/>
      <c r="DY165" s="468">
        <f>IF(DY163&lt;0,DY163/DY155,DY163/DY153)</f>
        <v>0</v>
      </c>
      <c r="DZ165" s="468">
        <f>IF(DZ163&lt;0,DZ163/DZ155,DZ163/DZ153)</f>
        <v>0</v>
      </c>
      <c r="EA165" s="468">
        <f>IF(EA163&lt;0,EA163/EA155,EA163/EA153)</f>
        <v>0</v>
      </c>
      <c r="EB165" s="468">
        <f>IF(EB163&lt;0,EB163/EB155,EB163/EB153)</f>
        <v>0</v>
      </c>
      <c r="EC165" s="1285">
        <f>IF(EC163&lt;0,EC163/EC155,EC163/EC153)</f>
        <v>0</v>
      </c>
      <c r="ED165" s="468"/>
      <c r="EE165" s="468">
        <f>IF(EE163&lt;0,EE163/EE155,EE163/EE153)</f>
        <v>0</v>
      </c>
      <c r="EF165" s="468">
        <f>IF(EF163&lt;0,EF163/EF155,EF163/EF153)</f>
        <v>0</v>
      </c>
      <c r="EG165" s="468">
        <f>IF(EG163&lt;0,EG163/EG155,EG163/EG153)</f>
        <v>0</v>
      </c>
      <c r="EH165" s="468">
        <f>IF(EH163&lt;0,EH163/EH155,EH163/EH153)</f>
        <v>0</v>
      </c>
      <c r="EI165" s="1285">
        <f>IF(EI163&lt;0,EI163/EI155,EI163/EI153)</f>
        <v>0</v>
      </c>
      <c r="EJ165" s="468"/>
      <c r="EK165" s="468">
        <f>IF(EK163&lt;0,EK163/EK155,EK163/EK153)</f>
        <v>0</v>
      </c>
      <c r="EL165" s="468">
        <f>IF(EL163&lt;0,EL163/EL155,EL163/EL153)</f>
        <v>0</v>
      </c>
      <c r="EM165" s="468">
        <f>IF(EM163&lt;0,EM163/EM155,EM163/EM153)</f>
        <v>0</v>
      </c>
      <c r="EN165" s="468">
        <f>IF(EN163&lt;0,EN163/EN155,EN163/EN153)</f>
        <v>0</v>
      </c>
      <c r="EO165" s="1285">
        <f>IF(EO163&lt;0,EO163/EO155,EO163/EO153)</f>
        <v>0</v>
      </c>
      <c r="EP165" s="468"/>
      <c r="EQ165" s="468">
        <f>IF(EQ163&lt;0,EQ163/EQ155,EQ163/EQ153)</f>
        <v>0</v>
      </c>
      <c r="ER165" s="468">
        <f>IF(ER163&lt;0,ER163/ER155,ER163/ER153)</f>
        <v>0</v>
      </c>
      <c r="ES165" s="468">
        <f>IF(ES163&lt;0,ES163/ES155,ES163/ES153)</f>
        <v>0</v>
      </c>
      <c r="ET165" s="468">
        <f>IF(ET163&lt;0,ET163/ET155,ET163/ET153)</f>
        <v>0</v>
      </c>
      <c r="EU165" s="1285">
        <f>IF(EU163&lt;0,EU163/EU155,EU163/EU153)</f>
        <v>0</v>
      </c>
      <c r="EV165" s="462"/>
    </row>
    <row r="166" spans="1:152" hidden="1" outlineLevel="1">
      <c r="A166" s="249"/>
      <c r="B166" s="524"/>
      <c r="C166" s="240"/>
      <c r="D166" s="240"/>
      <c r="E166" s="240"/>
      <c r="F166" s="240"/>
      <c r="G166" s="240"/>
      <c r="H166" s="110"/>
      <c r="I166" s="240"/>
      <c r="J166" s="240"/>
      <c r="K166" s="240"/>
      <c r="L166" s="240"/>
      <c r="M166" s="240"/>
      <c r="N166" s="110"/>
      <c r="O166" s="240"/>
      <c r="P166" s="240"/>
      <c r="Q166" s="240"/>
      <c r="R166" s="240"/>
      <c r="S166" s="240"/>
      <c r="T166" s="110"/>
      <c r="U166" s="240"/>
      <c r="V166" s="240"/>
      <c r="W166" s="240"/>
      <c r="X166" s="240"/>
      <c r="Y166" s="240"/>
      <c r="Z166" s="110"/>
      <c r="AA166" s="240"/>
      <c r="AB166" s="240"/>
      <c r="AC166" s="240"/>
      <c r="AD166" s="240"/>
      <c r="AE166" s="240"/>
      <c r="AF166" s="110"/>
      <c r="AG166" s="240"/>
      <c r="AH166" s="240"/>
      <c r="AI166" s="240"/>
      <c r="AJ166" s="240"/>
      <c r="AK166" s="240"/>
      <c r="AL166" s="110"/>
      <c r="AM166" s="240"/>
      <c r="AN166" s="240"/>
      <c r="AO166" s="240"/>
      <c r="AP166" s="240"/>
      <c r="AQ166" s="240"/>
      <c r="AR166" s="110"/>
      <c r="AS166" s="240"/>
      <c r="AT166" s="240"/>
      <c r="AU166" s="240"/>
      <c r="AV166" s="240"/>
      <c r="AW166" s="240"/>
      <c r="AX166" s="110"/>
      <c r="AY166" s="240"/>
      <c r="AZ166" s="240"/>
      <c r="BA166" s="240"/>
      <c r="BB166" s="240"/>
      <c r="BC166" s="240"/>
      <c r="BD166" s="110"/>
      <c r="BE166" s="240"/>
      <c r="BF166" s="240"/>
      <c r="BG166" s="240"/>
      <c r="BH166" s="240"/>
      <c r="BI166" s="240"/>
      <c r="BJ166" s="110"/>
      <c r="BK166" s="240"/>
      <c r="BL166" s="240"/>
      <c r="BM166" s="240"/>
      <c r="BN166" s="240"/>
      <c r="BO166" s="1190"/>
      <c r="BP166" s="110"/>
      <c r="BQ166" s="240"/>
      <c r="BR166" s="240"/>
      <c r="BS166" s="240"/>
      <c r="BT166" s="240"/>
      <c r="BU166" s="1190"/>
      <c r="BV166" s="110"/>
      <c r="BW166" s="240"/>
      <c r="BX166" s="240"/>
      <c r="BY166" s="240"/>
      <c r="BZ166" s="240"/>
      <c r="CA166" s="1190"/>
      <c r="CB166" s="110"/>
      <c r="CC166" s="240"/>
      <c r="CD166" s="240"/>
      <c r="CE166" s="240"/>
      <c r="CF166" s="240"/>
      <c r="CG166" s="1190"/>
      <c r="CH166" s="110"/>
      <c r="CI166" s="240"/>
      <c r="CJ166" s="240"/>
      <c r="CK166" s="240"/>
      <c r="CL166" s="240"/>
      <c r="CM166" s="1190"/>
      <c r="CN166" s="110"/>
      <c r="CO166" s="240"/>
      <c r="CP166" s="240"/>
      <c r="CQ166" s="240"/>
      <c r="CR166" s="240"/>
      <c r="CS166" s="1190"/>
      <c r="CT166" s="110"/>
      <c r="CU166" s="240"/>
      <c r="CV166" s="240"/>
      <c r="CW166" s="240"/>
      <c r="CX166" s="240"/>
      <c r="CY166" s="1190"/>
      <c r="CZ166" s="110"/>
      <c r="DA166" s="240"/>
      <c r="DB166" s="240"/>
      <c r="DC166" s="240"/>
      <c r="DD166" s="240"/>
      <c r="DE166" s="1190"/>
      <c r="DF166" s="110"/>
      <c r="DG166" s="240"/>
      <c r="DH166" s="240"/>
      <c r="DI166" s="240"/>
      <c r="DJ166" s="240"/>
      <c r="DK166" s="1190"/>
      <c r="DL166" s="110"/>
      <c r="DM166" s="240"/>
      <c r="DN166" s="240"/>
      <c r="DO166" s="240"/>
      <c r="DP166" s="240"/>
      <c r="DQ166" s="1190"/>
      <c r="DR166" s="110"/>
      <c r="DS166" s="240"/>
      <c r="DT166" s="240"/>
      <c r="DU166" s="240"/>
      <c r="DV166" s="240"/>
      <c r="DW166" s="1190"/>
      <c r="DX166" s="110"/>
      <c r="DY166" s="240"/>
      <c r="DZ166" s="240"/>
      <c r="EA166" s="240"/>
      <c r="EB166" s="240"/>
      <c r="EC166" s="1190"/>
      <c r="ED166" s="110"/>
      <c r="EE166" s="240"/>
      <c r="EF166" s="240"/>
      <c r="EG166" s="240"/>
      <c r="EH166" s="240"/>
      <c r="EI166" s="1190"/>
      <c r="EJ166" s="110"/>
      <c r="EK166" s="240"/>
      <c r="EL166" s="240"/>
      <c r="EM166" s="240"/>
      <c r="EN166" s="240"/>
      <c r="EO166" s="1190"/>
      <c r="EP166" s="110"/>
      <c r="EQ166" s="240"/>
      <c r="ER166" s="240"/>
      <c r="ES166" s="240"/>
      <c r="ET166" s="240"/>
      <c r="EU166" s="1190"/>
      <c r="EV166" s="110"/>
    </row>
    <row r="167" spans="1:152" ht="13.5" hidden="1" outlineLevel="1" thickBot="1">
      <c r="A167" s="249" t="s">
        <v>4758</v>
      </c>
      <c r="B167" s="524"/>
      <c r="C167" s="240"/>
      <c r="D167" s="240"/>
      <c r="E167" s="240"/>
      <c r="F167" s="240"/>
      <c r="G167" s="240"/>
      <c r="H167" s="110"/>
      <c r="I167" s="240"/>
      <c r="J167" s="240"/>
      <c r="K167" s="240"/>
      <c r="L167" s="240"/>
      <c r="M167" s="240"/>
      <c r="N167" s="110"/>
      <c r="O167" s="240"/>
      <c r="P167" s="240"/>
      <c r="Q167" s="240"/>
      <c r="R167" s="240"/>
      <c r="S167" s="240"/>
      <c r="T167" s="110"/>
      <c r="U167" s="240"/>
      <c r="V167" s="240"/>
      <c r="W167" s="240"/>
      <c r="X167" s="240"/>
      <c r="Y167" s="240"/>
      <c r="Z167" s="110"/>
      <c r="AA167" s="240"/>
      <c r="AB167" s="240"/>
      <c r="AC167" s="240"/>
      <c r="AD167" s="240"/>
      <c r="AE167" s="240"/>
      <c r="AF167" s="110"/>
      <c r="AG167" s="240"/>
      <c r="AH167" s="240"/>
      <c r="AI167" s="240"/>
      <c r="AJ167" s="240"/>
      <c r="AK167" s="240"/>
      <c r="AL167" s="110"/>
      <c r="AM167" s="240"/>
      <c r="AN167" s="240"/>
      <c r="AO167" s="240"/>
      <c r="AP167" s="240"/>
      <c r="AQ167" s="240"/>
      <c r="AR167" s="110"/>
      <c r="AS167" s="240"/>
      <c r="AT167" s="240"/>
      <c r="AU167" s="240"/>
      <c r="AV167" s="240"/>
      <c r="AW167" s="240"/>
      <c r="AX167" s="110"/>
      <c r="AY167" s="240"/>
      <c r="AZ167" s="240"/>
      <c r="BA167" s="240"/>
      <c r="BB167" s="240"/>
      <c r="BC167" s="240"/>
      <c r="BD167" s="110"/>
      <c r="BE167" s="240"/>
      <c r="BF167" s="240"/>
      <c r="BG167" s="240"/>
      <c r="BH167" s="240"/>
      <c r="BI167" s="240"/>
      <c r="BJ167" s="110"/>
      <c r="BK167" s="240"/>
      <c r="BL167" s="240"/>
      <c r="BM167" s="240"/>
      <c r="BN167" s="240"/>
      <c r="BO167" s="1190"/>
      <c r="BP167" s="110"/>
      <c r="BQ167" s="240"/>
      <c r="BR167" s="240"/>
      <c r="BS167" s="240"/>
      <c r="BT167" s="240"/>
      <c r="BU167" s="1190"/>
      <c r="BV167" s="110"/>
      <c r="BW167" s="240"/>
      <c r="BX167" s="240"/>
      <c r="BY167" s="240"/>
      <c r="BZ167" s="240"/>
      <c r="CA167" s="1190"/>
      <c r="CB167" s="110"/>
      <c r="CC167" s="240"/>
      <c r="CD167" s="240"/>
      <c r="CE167" s="240"/>
      <c r="CF167" s="240"/>
      <c r="CG167" s="1190"/>
      <c r="CH167" s="110"/>
      <c r="CI167" s="240"/>
      <c r="CJ167" s="240"/>
      <c r="CK167" s="240"/>
      <c r="CL167" s="240"/>
      <c r="CM167" s="1190"/>
      <c r="CN167" s="110"/>
      <c r="CO167" s="240"/>
      <c r="CP167" s="240"/>
      <c r="CQ167" s="240"/>
      <c r="CR167" s="240"/>
      <c r="CS167" s="1190"/>
      <c r="CT167" s="110"/>
      <c r="CU167" s="240"/>
      <c r="CV167" s="240"/>
      <c r="CW167" s="240"/>
      <c r="CX167" s="240"/>
      <c r="CY167" s="1190"/>
      <c r="CZ167" s="110"/>
      <c r="DA167" s="240"/>
      <c r="DB167" s="240"/>
      <c r="DC167" s="240"/>
      <c r="DD167" s="240"/>
      <c r="DE167" s="1190"/>
      <c r="DF167" s="110"/>
      <c r="DG167" s="240"/>
      <c r="DH167" s="240"/>
      <c r="DI167" s="240"/>
      <c r="DJ167" s="240"/>
      <c r="DK167" s="1190"/>
      <c r="DL167" s="110"/>
      <c r="DM167" s="240"/>
      <c r="DN167" s="240"/>
      <c r="DO167" s="240"/>
      <c r="DP167" s="240"/>
      <c r="DQ167" s="1190"/>
      <c r="DR167" s="110"/>
      <c r="DS167" s="240"/>
      <c r="DT167" s="240"/>
      <c r="DU167" s="240"/>
      <c r="DV167" s="240"/>
      <c r="DW167" s="1190"/>
      <c r="DX167" s="110"/>
      <c r="DY167" s="240"/>
      <c r="DZ167" s="240"/>
      <c r="EA167" s="240"/>
      <c r="EB167" s="240"/>
      <c r="EC167" s="1190"/>
      <c r="ED167" s="110"/>
      <c r="EE167" s="240"/>
      <c r="EF167" s="240"/>
      <c r="EG167" s="240"/>
      <c r="EH167" s="240"/>
      <c r="EI167" s="1190"/>
      <c r="EJ167" s="110"/>
      <c r="EK167" s="240"/>
      <c r="EL167" s="240"/>
      <c r="EM167" s="240"/>
      <c r="EN167" s="240"/>
      <c r="EO167" s="1190"/>
      <c r="EP167" s="110"/>
      <c r="EQ167" s="240"/>
      <c r="ER167" s="240"/>
      <c r="ES167" s="240"/>
      <c r="ET167" s="240"/>
      <c r="EU167" s="1190"/>
      <c r="EV167" s="110"/>
    </row>
    <row r="168" spans="1:152" hidden="1" outlineLevel="1">
      <c r="A168" s="795" t="s">
        <v>4757</v>
      </c>
      <c r="B168" s="796"/>
      <c r="C168" s="797"/>
      <c r="D168" s="797"/>
      <c r="E168" s="797"/>
      <c r="F168" s="797"/>
      <c r="G168" s="797"/>
      <c r="H168" s="793"/>
      <c r="I168" s="797"/>
      <c r="J168" s="797"/>
      <c r="K168" s="797"/>
      <c r="L168" s="797"/>
      <c r="M168" s="797"/>
      <c r="N168" s="793"/>
      <c r="O168" s="797"/>
      <c r="P168" s="797"/>
      <c r="Q168" s="797"/>
      <c r="R168" s="797"/>
      <c r="S168" s="797"/>
      <c r="T168" s="793"/>
      <c r="U168" s="797"/>
      <c r="V168" s="797"/>
      <c r="W168" s="797"/>
      <c r="X168" s="797"/>
      <c r="Y168" s="797"/>
      <c r="Z168" s="793"/>
      <c r="AA168" s="797"/>
      <c r="AB168" s="797"/>
      <c r="AC168" s="797"/>
      <c r="AD168" s="797"/>
      <c r="AE168" s="797"/>
      <c r="AF168" s="793"/>
      <c r="AG168" s="798"/>
      <c r="AH168" s="798"/>
      <c r="AI168" s="798"/>
      <c r="AJ168" s="798"/>
      <c r="AK168" s="798"/>
      <c r="AL168" s="793"/>
      <c r="AM168" s="798">
        <f>(-AM162/(1-AM101))</f>
        <v>19.531045746045315</v>
      </c>
      <c r="AN168" s="798">
        <f>(-AN162/(1-AN101))</f>
        <v>14.547788033715625</v>
      </c>
      <c r="AO168" s="798">
        <f>(-AO162/(1-AO101))</f>
        <v>19.032274299550352</v>
      </c>
      <c r="AP168" s="798">
        <f>(-AP162/(1-AP101))</f>
        <v>19.087660739059139</v>
      </c>
      <c r="AQ168" s="798">
        <f>SUM(AM168:AP168)</f>
        <v>72.198768818370439</v>
      </c>
      <c r="AR168" s="793"/>
      <c r="AS168" s="798">
        <f>(-AS162/(1-AS101))</f>
        <v>15.534293287160361</v>
      </c>
      <c r="AT168" s="798">
        <f>(-AT162/(1-AT101))</f>
        <v>11.939806157178223</v>
      </c>
      <c r="AU168" s="798">
        <f>(-AU162/(1-AU101))</f>
        <v>14.4093380076086</v>
      </c>
      <c r="AV168" s="798">
        <f>(-AV162/(1-AV101))</f>
        <v>22.25676370153759</v>
      </c>
      <c r="AW168" s="798">
        <f>SUM(AS168:AV168)</f>
        <v>64.140201153484782</v>
      </c>
      <c r="AX168" s="793"/>
      <c r="AY168" s="798">
        <f>(-AY162/(1-AY101))</f>
        <v>15.783187355257063</v>
      </c>
      <c r="AZ168" s="798">
        <f>(-AZ162/(1-AZ101))</f>
        <v>16.438824561403507</v>
      </c>
      <c r="BA168" s="798">
        <f>(-BA162/(1-BA101))</f>
        <v>20.901434782608696</v>
      </c>
      <c r="BB168" s="798">
        <f>(-BB162/(1-BB101))</f>
        <v>24.150200263504619</v>
      </c>
      <c r="BC168" s="798">
        <f>SUM(AY168:BB168)</f>
        <v>77.273646962773881</v>
      </c>
      <c r="BD168" s="793"/>
      <c r="BE168" s="798">
        <f>(-BE162/(1-BE101))</f>
        <v>24.165153945666237</v>
      </c>
      <c r="BF168" s="798">
        <f>(-BF162/(1-BF101))</f>
        <v>23.04489431968296</v>
      </c>
      <c r="BG168" s="798">
        <f>(-BG162/(1-BG101))</f>
        <v>20.718670886075948</v>
      </c>
      <c r="BH168" s="798">
        <f>(-BH162/(1-BH101))</f>
        <v>21.826393972012919</v>
      </c>
      <c r="BI168" s="798">
        <f>SUM(BE168:BH168)</f>
        <v>89.755113123438079</v>
      </c>
      <c r="BJ168" s="822"/>
      <c r="BK168" s="798">
        <v>21.140999999999998</v>
      </c>
      <c r="BL168" s="798">
        <v>20.7</v>
      </c>
      <c r="BM168" s="798">
        <v>34.200000000000003</v>
      </c>
      <c r="BN168" s="798">
        <v>17.7</v>
      </c>
      <c r="BO168" s="1286">
        <f>SUM(BK168:BN168)</f>
        <v>93.741</v>
      </c>
      <c r="BP168" s="822"/>
      <c r="BQ168" s="798">
        <v>14.8</v>
      </c>
      <c r="BR168" s="798">
        <v>22.1</v>
      </c>
      <c r="BS168" s="798">
        <v>37.299999999999997</v>
      </c>
      <c r="BT168" s="798">
        <v>26.2</v>
      </c>
      <c r="BU168" s="1286">
        <f>SUM(BQ168:BT168)</f>
        <v>100.4</v>
      </c>
      <c r="BV168" s="822"/>
      <c r="BW168" s="798">
        <f>BW76</f>
        <v>25.2</v>
      </c>
      <c r="BX168" s="798">
        <f>BX76</f>
        <v>23.2</v>
      </c>
      <c r="BY168" s="798">
        <f>BY76</f>
        <v>22.5</v>
      </c>
      <c r="BZ168" s="798">
        <f>BZ76</f>
        <v>18.7</v>
      </c>
      <c r="CA168" s="1286">
        <f>SUM(BW168:BZ168)</f>
        <v>89.600000000000009</v>
      </c>
      <c r="CB168" s="822"/>
      <c r="CC168" s="798">
        <f>CC76</f>
        <v>23</v>
      </c>
      <c r="CD168" s="798">
        <f>CD76</f>
        <v>21.2</v>
      </c>
      <c r="CE168" s="798">
        <f>CE76</f>
        <v>30.3</v>
      </c>
      <c r="CF168" s="798">
        <f>CF76</f>
        <v>18.899999999999999</v>
      </c>
      <c r="CG168" s="1301">
        <f>SUM(CC168:CF168)</f>
        <v>93.4</v>
      </c>
      <c r="CH168" s="822"/>
      <c r="CI168" s="798">
        <f>CI76</f>
        <v>24.3</v>
      </c>
      <c r="CJ168" s="798">
        <v>21</v>
      </c>
      <c r="CK168" s="798">
        <v>17</v>
      </c>
      <c r="CL168" s="798">
        <v>18.399999999999999</v>
      </c>
      <c r="CM168" s="1301">
        <f>SUM(CI168:CL168)</f>
        <v>80.699999999999989</v>
      </c>
      <c r="CN168" s="822"/>
      <c r="CO168" s="798">
        <f>CO76</f>
        <v>25.9</v>
      </c>
      <c r="CP168" s="798">
        <v>21</v>
      </c>
      <c r="CQ168" s="798">
        <v>25.6</v>
      </c>
      <c r="CR168" s="798">
        <v>30</v>
      </c>
      <c r="CS168" s="1693">
        <f>SUM(CO168:CR168)</f>
        <v>102.5</v>
      </c>
      <c r="CT168" s="822"/>
      <c r="CU168" s="798">
        <f>CU76</f>
        <v>33.4</v>
      </c>
      <c r="CV168" s="798">
        <f>CV76</f>
        <v>33.5</v>
      </c>
      <c r="CW168" s="798">
        <f>CW76</f>
        <v>51.8</v>
      </c>
      <c r="CX168" s="798">
        <f>CX76</f>
        <v>37.5</v>
      </c>
      <c r="CY168" s="1693">
        <f>SUM(CU168:CX168)</f>
        <v>156.19999999999999</v>
      </c>
      <c r="CZ168" s="822"/>
      <c r="DA168" s="798">
        <f>DA76</f>
        <v>32</v>
      </c>
      <c r="DB168" s="798">
        <f>DB76</f>
        <v>31</v>
      </c>
      <c r="DC168" s="798">
        <f>DC76</f>
        <v>31.6</v>
      </c>
      <c r="DD168" s="798">
        <f>DD76</f>
        <v>36.1</v>
      </c>
      <c r="DE168" s="1693">
        <f>SUM(DA168:DD168)</f>
        <v>130.69999999999999</v>
      </c>
      <c r="DF168" s="822"/>
      <c r="DG168" s="798">
        <f>DG76</f>
        <v>33.6</v>
      </c>
      <c r="DH168" s="798">
        <f>DH76</f>
        <v>39.799999999999997</v>
      </c>
      <c r="DI168" s="798">
        <f>DI76</f>
        <v>43.1</v>
      </c>
      <c r="DJ168" s="798">
        <v>49.1</v>
      </c>
      <c r="DK168" s="1693">
        <f>SUM(DG168:DJ168)</f>
        <v>165.6</v>
      </c>
      <c r="DL168" s="822"/>
      <c r="DM168" s="798">
        <f>DM76</f>
        <v>50.2</v>
      </c>
      <c r="DN168" s="798">
        <f>DN76</f>
        <v>40.700000000000003</v>
      </c>
      <c r="DO168" s="798">
        <f>DO76</f>
        <v>50.2</v>
      </c>
      <c r="DP168" s="798">
        <v>56.1</v>
      </c>
      <c r="DQ168" s="1301">
        <v>200</v>
      </c>
      <c r="DR168" s="822"/>
      <c r="DS168" s="798">
        <v>56.9</v>
      </c>
      <c r="DT168" s="798">
        <v>54.3</v>
      </c>
      <c r="DU168" s="798">
        <v>56.6</v>
      </c>
      <c r="DV168" s="798">
        <v>59.3</v>
      </c>
      <c r="DW168" s="1693">
        <f>SUM(DS168:DV168)</f>
        <v>227.09999999999997</v>
      </c>
      <c r="DX168" s="822"/>
      <c r="DY168" s="798">
        <v>59</v>
      </c>
      <c r="DZ168" s="798">
        <v>58.8</v>
      </c>
      <c r="EA168" s="798">
        <v>65.099999999999994</v>
      </c>
      <c r="EB168" s="798">
        <v>62.1</v>
      </c>
      <c r="EC168" s="1693">
        <f>SUM(DY168:EB168)</f>
        <v>244.99999999999997</v>
      </c>
      <c r="ED168" s="822"/>
      <c r="EE168" s="799">
        <f>EI168*0.25</f>
        <v>61</v>
      </c>
      <c r="EF168" s="799">
        <f>EI168*0.25</f>
        <v>61</v>
      </c>
      <c r="EG168" s="799">
        <f>EI168*0.25</f>
        <v>61</v>
      </c>
      <c r="EH168" s="799">
        <f>EI168*0.25</f>
        <v>61</v>
      </c>
      <c r="EI168" s="1301">
        <v>244</v>
      </c>
      <c r="EJ168" s="822"/>
      <c r="EK168" s="799">
        <f>EO168*0.25</f>
        <v>61</v>
      </c>
      <c r="EL168" s="799">
        <f>EO168*0.25</f>
        <v>61</v>
      </c>
      <c r="EM168" s="799">
        <f>EO168*0.25</f>
        <v>61</v>
      </c>
      <c r="EN168" s="799">
        <f>EO168*0.25</f>
        <v>61</v>
      </c>
      <c r="EO168" s="1301">
        <v>244</v>
      </c>
      <c r="EP168" s="822"/>
      <c r="EQ168" s="799">
        <f>EU168*0.25</f>
        <v>61</v>
      </c>
      <c r="ER168" s="799">
        <f>EU168*0.25</f>
        <v>61</v>
      </c>
      <c r="ES168" s="799">
        <f>EU168*0.25</f>
        <v>61</v>
      </c>
      <c r="ET168" s="799">
        <f>EU168*0.25</f>
        <v>61</v>
      </c>
      <c r="EU168" s="1301">
        <v>244</v>
      </c>
      <c r="EV168" s="110"/>
    </row>
    <row r="169" spans="1:152" hidden="1" outlineLevel="1">
      <c r="A169" s="800" t="s">
        <v>4759</v>
      </c>
      <c r="B169" s="801"/>
      <c r="C169" s="802"/>
      <c r="D169" s="802"/>
      <c r="E169" s="802"/>
      <c r="F169" s="802"/>
      <c r="G169" s="802"/>
      <c r="H169" s="803"/>
      <c r="I169" s="802"/>
      <c r="J169" s="802"/>
      <c r="K169" s="802"/>
      <c r="L169" s="802"/>
      <c r="M169" s="802"/>
      <c r="N169" s="803"/>
      <c r="O169" s="802"/>
      <c r="P169" s="802"/>
      <c r="Q169" s="802"/>
      <c r="R169" s="802"/>
      <c r="S169" s="804">
        <f>BS!S225*BS!S202</f>
        <v>32.521999999999998</v>
      </c>
      <c r="T169" s="803"/>
      <c r="U169" s="802"/>
      <c r="V169" s="802"/>
      <c r="W169" s="802"/>
      <c r="X169" s="802"/>
      <c r="Y169" s="804">
        <f>BS!Y225*BS!Y202</f>
        <v>69.653199999999998</v>
      </c>
      <c r="Z169" s="803"/>
      <c r="AA169" s="802"/>
      <c r="AB169" s="802"/>
      <c r="AC169" s="802"/>
      <c r="AD169" s="802"/>
      <c r="AE169" s="804">
        <f>BS!AE225*BS!AE202</f>
        <v>22.365000000000002</v>
      </c>
      <c r="AF169" s="803"/>
      <c r="AG169" s="802"/>
      <c r="AH169" s="802"/>
      <c r="AI169" s="802"/>
      <c r="AJ169" s="802"/>
      <c r="AK169" s="804">
        <f>BS!AK225*BS!AK202</f>
        <v>64.144189999999995</v>
      </c>
      <c r="AL169" s="803"/>
      <c r="AM169" s="802"/>
      <c r="AN169" s="802"/>
      <c r="AO169" s="802"/>
      <c r="AP169" s="802"/>
      <c r="AQ169" s="804">
        <f>BS!AQ225*BS!AQ202</f>
        <v>29.004379999999998</v>
      </c>
      <c r="AR169" s="803"/>
      <c r="AS169" s="802"/>
      <c r="AT169" s="802"/>
      <c r="AU169" s="802"/>
      <c r="AV169" s="802"/>
      <c r="AW169" s="804">
        <f>BS!AW225*BS!AW202</f>
        <v>27.82536</v>
      </c>
      <c r="AX169" s="803"/>
      <c r="AY169" s="802"/>
      <c r="AZ169" s="802"/>
      <c r="BA169" s="802"/>
      <c r="BB169" s="802"/>
      <c r="BC169" s="804">
        <f>BS!BC225*BS!BC202</f>
        <v>70.204657881678955</v>
      </c>
      <c r="BD169" s="803"/>
      <c r="BE169" s="802"/>
      <c r="BF169" s="802"/>
      <c r="BG169" s="802"/>
      <c r="BH169" s="802"/>
      <c r="BI169" s="802">
        <f>(BI172-BI177)*BI190</f>
        <v>59.868131954736221</v>
      </c>
      <c r="BJ169" s="803"/>
      <c r="BK169" s="802"/>
      <c r="BL169" s="802"/>
      <c r="BM169" s="802"/>
      <c r="BN169" s="802"/>
      <c r="BO169" s="1190">
        <f>(BO172-BO177)*BO190</f>
        <v>34.498553122847909</v>
      </c>
      <c r="BP169" s="803"/>
      <c r="BQ169" s="802"/>
      <c r="BR169" s="802"/>
      <c r="BS169" s="802"/>
      <c r="BT169" s="802"/>
      <c r="BU169" s="1190">
        <f>(BU172-BU177)*BU190</f>
        <v>180.85958254612689</v>
      </c>
      <c r="BV169" s="803"/>
      <c r="BW169" s="802"/>
      <c r="BX169" s="802"/>
      <c r="BY169" s="802"/>
      <c r="BZ169" s="802"/>
      <c r="CA169" s="1190">
        <f>(CA172-CA177)*CA190</f>
        <v>106.68845952416198</v>
      </c>
      <c r="CB169" s="803"/>
      <c r="CC169" s="802"/>
      <c r="CD169" s="802"/>
      <c r="CE169" s="802"/>
      <c r="CF169" s="802"/>
      <c r="CG169" s="1190">
        <f>(CG172-CG177)*CG190</f>
        <v>88.125048149610365</v>
      </c>
      <c r="CH169" s="803"/>
      <c r="CI169" s="802"/>
      <c r="CJ169" s="802"/>
      <c r="CK169" s="802"/>
      <c r="CL169" s="802"/>
      <c r="CM169" s="1190">
        <f>(CM172-CM177)*CM190</f>
        <v>74.807507423427978</v>
      </c>
      <c r="CN169" s="803"/>
      <c r="CO169" s="802"/>
      <c r="CP169" s="802"/>
      <c r="CQ169" s="808"/>
      <c r="CR169" s="802"/>
      <c r="CS169" s="1190">
        <f>(CS172-CS177)*CS190</f>
        <v>61.619519386901274</v>
      </c>
      <c r="CT169" s="803"/>
      <c r="CU169" s="802"/>
      <c r="CV169" s="802"/>
      <c r="CW169" s="802"/>
      <c r="CX169" s="802"/>
      <c r="CY169" s="1190">
        <f>(CY172-CY177)*CY190</f>
        <v>75.632181766526543</v>
      </c>
      <c r="CZ169" s="803"/>
      <c r="DA169" s="802"/>
      <c r="DB169" s="802"/>
      <c r="DC169" s="802"/>
      <c r="DD169" s="802"/>
      <c r="DE169" s="1190">
        <f>(DE172-DE177)*DE190</f>
        <v>90.92258833231034</v>
      </c>
      <c r="DF169" s="803"/>
      <c r="DG169" s="802"/>
      <c r="DH169" s="802"/>
      <c r="DI169" s="802"/>
      <c r="DJ169" s="802"/>
      <c r="DK169" s="1190">
        <f>(DK172-DK177)*DK190</f>
        <v>107.90067175591</v>
      </c>
      <c r="DL169" s="803"/>
      <c r="DM169" s="802"/>
      <c r="DN169" s="802"/>
      <c r="DO169" s="802"/>
      <c r="DP169" s="802"/>
      <c r="DQ169" s="1190">
        <f>(DQ172-DQ177)*DQ190</f>
        <v>126.99539567510953</v>
      </c>
      <c r="DR169" s="803"/>
      <c r="DS169" s="802"/>
      <c r="DT169" s="802"/>
      <c r="DU169" s="802"/>
      <c r="DV169" s="802"/>
      <c r="DW169" s="1190">
        <f>(DW172-DW177)*DW190</f>
        <v>148.6678944605936</v>
      </c>
      <c r="DX169" s="803"/>
      <c r="DY169" s="802"/>
      <c r="DZ169" s="802"/>
      <c r="EA169" s="802"/>
      <c r="EB169" s="802"/>
      <c r="EC169" s="1190">
        <f>(EC172-EC177)*EC190</f>
        <v>173.42445656223288</v>
      </c>
      <c r="ED169" s="803"/>
      <c r="EE169" s="802"/>
      <c r="EF169" s="802"/>
      <c r="EG169" s="802"/>
      <c r="EH169" s="802"/>
      <c r="EI169" s="1190">
        <f>(EI172-EI177)*EI190</f>
        <v>201.82982053769868</v>
      </c>
      <c r="EJ169" s="803"/>
      <c r="EK169" s="802"/>
      <c r="EL169" s="802"/>
      <c r="EM169" s="802"/>
      <c r="EN169" s="802"/>
      <c r="EO169" s="1190">
        <f>(EO172-EO177)*EO190</f>
        <v>234.52121806357832</v>
      </c>
      <c r="EP169" s="803"/>
      <c r="EQ169" s="802"/>
      <c r="ER169" s="802"/>
      <c r="ES169" s="802"/>
      <c r="ET169" s="802"/>
      <c r="EU169" s="1190">
        <f>(EU172-EU177)*EU190</f>
        <v>272.22358200107698</v>
      </c>
      <c r="EV169" s="110"/>
    </row>
    <row r="170" spans="1:152" hidden="1" outlineLevel="1">
      <c r="A170" s="805" t="s">
        <v>6880</v>
      </c>
      <c r="B170" s="801"/>
      <c r="C170" s="802"/>
      <c r="D170" s="802"/>
      <c r="E170" s="802"/>
      <c r="F170" s="802"/>
      <c r="G170" s="802"/>
      <c r="H170" s="803"/>
      <c r="I170" s="802"/>
      <c r="J170" s="802"/>
      <c r="K170" s="802"/>
      <c r="L170" s="802"/>
      <c r="M170" s="802"/>
      <c r="N170" s="803"/>
      <c r="O170" s="802"/>
      <c r="P170" s="802"/>
      <c r="Q170" s="802"/>
      <c r="R170" s="802"/>
      <c r="S170" s="804"/>
      <c r="T170" s="803"/>
      <c r="U170" s="802"/>
      <c r="V170" s="802"/>
      <c r="W170" s="802"/>
      <c r="X170" s="802"/>
      <c r="Y170" s="816">
        <f>Y169/(Y48+Y79)</f>
        <v>8.9080270873432538E-2</v>
      </c>
      <c r="Z170" s="803"/>
      <c r="AA170" s="802"/>
      <c r="AB170" s="802"/>
      <c r="AC170" s="802"/>
      <c r="AD170" s="802"/>
      <c r="AE170" s="816">
        <f>AE169/(AE48+AE79)</f>
        <v>2.9007217758409372E-2</v>
      </c>
      <c r="AF170" s="803"/>
      <c r="AG170" s="802"/>
      <c r="AH170" s="802"/>
      <c r="AI170" s="802"/>
      <c r="AJ170" s="802"/>
      <c r="AK170" s="816">
        <f>AK169/(AK48+AK79)</f>
        <v>8.0706443511696271E-2</v>
      </c>
      <c r="AL170" s="803"/>
      <c r="AM170" s="802"/>
      <c r="AN170" s="802"/>
      <c r="AO170" s="802"/>
      <c r="AP170" s="802"/>
      <c r="AQ170" s="816">
        <f>AQ169/(AQ48+AQ79)</f>
        <v>3.7468711891031604E-2</v>
      </c>
      <c r="AR170" s="803"/>
      <c r="AS170" s="802"/>
      <c r="AT170" s="802"/>
      <c r="AU170" s="802"/>
      <c r="AV170" s="802"/>
      <c r="AW170" s="816">
        <f>AW169/(AW48+AW79)</f>
        <v>3.3037995875201703E-2</v>
      </c>
      <c r="AX170" s="803"/>
      <c r="AY170" s="802"/>
      <c r="AZ170" s="802"/>
      <c r="BA170" s="802"/>
      <c r="BB170" s="802"/>
      <c r="BC170" s="816">
        <f>BC169/(BC48+BC79)</f>
        <v>7.2212155813288381E-2</v>
      </c>
      <c r="BD170" s="803"/>
      <c r="BE170" s="802"/>
      <c r="BF170" s="802"/>
      <c r="BG170" s="802"/>
      <c r="BH170" s="802"/>
      <c r="BI170" s="816">
        <f>BI169/(BI48+BI79)</f>
        <v>5.2295712748721371E-2</v>
      </c>
      <c r="BJ170" s="803"/>
      <c r="BK170" s="802"/>
      <c r="BL170" s="802"/>
      <c r="BM170" s="802"/>
      <c r="BN170" s="802"/>
      <c r="BO170" s="1171">
        <f>BO169/(BO48+BO79)</f>
        <v>2.5062006092755038E-2</v>
      </c>
      <c r="BP170" s="803"/>
      <c r="BQ170" s="802"/>
      <c r="BR170" s="802"/>
      <c r="BS170" s="802"/>
      <c r="BT170" s="802"/>
      <c r="BU170" s="1171">
        <f>BU169/(BU48+BU79)</f>
        <v>0.11391294485490136</v>
      </c>
      <c r="BV170" s="803"/>
      <c r="BW170" s="802"/>
      <c r="BX170" s="802"/>
      <c r="BY170" s="802"/>
      <c r="BZ170" s="802"/>
      <c r="CA170" s="1171">
        <f>CA169/(CA48+CA79)</f>
        <v>6.1368110166328434E-2</v>
      </c>
      <c r="CB170" s="803"/>
      <c r="CC170" s="802"/>
      <c r="CD170" s="802"/>
      <c r="CE170" s="802"/>
      <c r="CF170" s="802"/>
      <c r="CG170" s="1171">
        <f>CG169/(CG48+CG79)</f>
        <v>6.1755464715914761E-2</v>
      </c>
      <c r="CH170" s="803"/>
      <c r="CI170" s="802"/>
      <c r="CJ170" s="802"/>
      <c r="CK170" s="802"/>
      <c r="CL170" s="802"/>
      <c r="CM170" s="1171">
        <f>CM169/(CM48+CM79)</f>
        <v>4.8798113126828427E-2</v>
      </c>
      <c r="CN170" s="803"/>
      <c r="CO170" s="802"/>
      <c r="CP170" s="802"/>
      <c r="CQ170" s="802"/>
      <c r="CR170" s="802"/>
      <c r="CS170" s="1171">
        <f>CS169/(CS48+CS79)</f>
        <v>3.6630317076983283E-2</v>
      </c>
      <c r="CT170" s="803"/>
      <c r="CU170" s="802"/>
      <c r="CV170" s="802"/>
      <c r="CW170" s="802"/>
      <c r="CX170" s="802"/>
      <c r="CY170" s="1171">
        <f>CY169/(CY48+CY79)</f>
        <v>4.381934053680564E-2</v>
      </c>
      <c r="CZ170" s="803"/>
      <c r="DA170" s="802"/>
      <c r="DB170" s="802"/>
      <c r="DC170" s="802"/>
      <c r="DD170" s="802"/>
      <c r="DE170" s="1171">
        <f>DE169/(DE48+DE79)</f>
        <v>5.1560955161795582E-2</v>
      </c>
      <c r="DF170" s="803"/>
      <c r="DG170" s="802"/>
      <c r="DH170" s="802"/>
      <c r="DI170" s="802"/>
      <c r="DJ170" s="802"/>
      <c r="DK170" s="1171">
        <f>DK169/(DK48+DK79)</f>
        <v>5.0662349401779501E-2</v>
      </c>
      <c r="DL170" s="803"/>
      <c r="DM170" s="802"/>
      <c r="DN170" s="802"/>
      <c r="DO170" s="802"/>
      <c r="DP170" s="802"/>
      <c r="DQ170" s="1171">
        <f>DQ169/(DQ48+DQ79)</f>
        <v>5.7117655696280259E-2</v>
      </c>
      <c r="DR170" s="803"/>
      <c r="DS170" s="802"/>
      <c r="DT170" s="802"/>
      <c r="DU170" s="802"/>
      <c r="DV170" s="802"/>
      <c r="DW170" s="1171">
        <f>DW169/(DW48+DW79)</f>
        <v>6.8939436336931878E-2</v>
      </c>
      <c r="DX170" s="803"/>
      <c r="DY170" s="802"/>
      <c r="DZ170" s="802"/>
      <c r="EA170" s="802"/>
      <c r="EB170" s="802"/>
      <c r="EC170" s="1171">
        <f>EC169/(EC48+EC79)</f>
        <v>7.9970698405530241E-2</v>
      </c>
      <c r="ED170" s="803"/>
      <c r="EE170" s="802"/>
      <c r="EF170" s="802"/>
      <c r="EG170" s="802"/>
      <c r="EH170" s="802"/>
      <c r="EI170" s="1171">
        <f>EI169/(EI48+EI79)</f>
        <v>9.2185979442906713E-2</v>
      </c>
      <c r="EJ170" s="803"/>
      <c r="EK170" s="802"/>
      <c r="EL170" s="802"/>
      <c r="EM170" s="802"/>
      <c r="EN170" s="802"/>
      <c r="EO170" s="1171">
        <f>EO169/(EO48+EO79)</f>
        <v>0.10562226779546351</v>
      </c>
      <c r="EP170" s="803"/>
      <c r="EQ170" s="802"/>
      <c r="ER170" s="802"/>
      <c r="ES170" s="802"/>
      <c r="ET170" s="802"/>
      <c r="EU170" s="1171">
        <f>EU169/(EU48+EU79)</f>
        <v>0.11419753216839378</v>
      </c>
      <c r="EV170" s="110"/>
    </row>
    <row r="171" spans="1:152" hidden="1" outlineLevel="1">
      <c r="A171" s="805"/>
      <c r="B171" s="801"/>
      <c r="C171" s="802"/>
      <c r="D171" s="802"/>
      <c r="E171" s="802"/>
      <c r="F171" s="802"/>
      <c r="G171" s="802"/>
      <c r="H171" s="803"/>
      <c r="I171" s="802"/>
      <c r="J171" s="802"/>
      <c r="K171" s="802"/>
      <c r="L171" s="802"/>
      <c r="M171" s="802"/>
      <c r="N171" s="803"/>
      <c r="O171" s="802"/>
      <c r="P171" s="802"/>
      <c r="Q171" s="802"/>
      <c r="R171" s="802"/>
      <c r="S171" s="802"/>
      <c r="T171" s="803"/>
      <c r="U171" s="802"/>
      <c r="V171" s="802"/>
      <c r="W171" s="802"/>
      <c r="X171" s="802"/>
      <c r="Y171" s="802"/>
      <c r="Z171" s="803"/>
      <c r="AA171" s="802"/>
      <c r="AB171" s="802"/>
      <c r="AC171" s="802"/>
      <c r="AD171" s="802"/>
      <c r="AE171" s="802"/>
      <c r="AF171" s="803"/>
      <c r="AG171" s="802"/>
      <c r="AH171" s="802"/>
      <c r="AI171" s="802"/>
      <c r="AJ171" s="802"/>
      <c r="AK171" s="802"/>
      <c r="AL171" s="803"/>
      <c r="AM171" s="802"/>
      <c r="AN171" s="802"/>
      <c r="AO171" s="802"/>
      <c r="AP171" s="802"/>
      <c r="AQ171" s="802"/>
      <c r="AR171" s="803"/>
      <c r="AS171" s="802"/>
      <c r="AT171" s="802"/>
      <c r="AU171" s="802"/>
      <c r="AV171" s="802"/>
      <c r="AW171" s="802"/>
      <c r="AX171" s="803"/>
      <c r="AY171" s="802"/>
      <c r="AZ171" s="802"/>
      <c r="BA171" s="802"/>
      <c r="BB171" s="802"/>
      <c r="BC171" s="802"/>
      <c r="BD171" s="803"/>
      <c r="BE171" s="802"/>
      <c r="BF171" s="802"/>
      <c r="BG171" s="802"/>
      <c r="BH171" s="802"/>
      <c r="BI171" s="802"/>
      <c r="BJ171" s="803"/>
      <c r="BK171" s="802"/>
      <c r="BL171" s="802"/>
      <c r="BM171" s="802"/>
      <c r="BN171" s="802"/>
      <c r="BO171" s="1190"/>
      <c r="BP171" s="803"/>
      <c r="BQ171" s="802"/>
      <c r="BR171" s="802"/>
      <c r="BS171" s="802"/>
      <c r="BT171" s="802"/>
      <c r="BU171" s="1190"/>
      <c r="BV171" s="803"/>
      <c r="BW171" s="802"/>
      <c r="BX171" s="802"/>
      <c r="BY171" s="802"/>
      <c r="BZ171" s="802"/>
      <c r="CA171" s="1190"/>
      <c r="CB171" s="803"/>
      <c r="CC171" s="802"/>
      <c r="CD171" s="802"/>
      <c r="CE171" s="802"/>
      <c r="CF171" s="802"/>
      <c r="CG171" s="1190"/>
      <c r="CH171" s="803"/>
      <c r="CI171" s="802"/>
      <c r="CJ171" s="802"/>
      <c r="CK171" s="802"/>
      <c r="CL171" s="802"/>
      <c r="CM171" s="1190"/>
      <c r="CN171" s="803"/>
      <c r="CO171" s="802"/>
      <c r="CP171" s="802"/>
      <c r="CQ171" s="802"/>
      <c r="CR171" s="802"/>
      <c r="CS171" s="1190"/>
      <c r="CT171" s="803"/>
      <c r="CU171" s="802"/>
      <c r="CV171" s="802"/>
      <c r="CW171" s="802"/>
      <c r="CX171" s="802"/>
      <c r="CY171" s="1190"/>
      <c r="CZ171" s="803"/>
      <c r="DA171" s="802"/>
      <c r="DB171" s="802"/>
      <c r="DC171" s="802"/>
      <c r="DD171" s="802"/>
      <c r="DE171" s="1190"/>
      <c r="DF171" s="803"/>
      <c r="DG171" s="802"/>
      <c r="DH171" s="802"/>
      <c r="DI171" s="802"/>
      <c r="DJ171" s="802"/>
      <c r="DK171" s="1190"/>
      <c r="DL171" s="803"/>
      <c r="DM171" s="802"/>
      <c r="DN171" s="802"/>
      <c r="DO171" s="802"/>
      <c r="DP171" s="802"/>
      <c r="DQ171" s="1190"/>
      <c r="DR171" s="803"/>
      <c r="DS171" s="802"/>
      <c r="DT171" s="802"/>
      <c r="DU171" s="802"/>
      <c r="DV171" s="802"/>
      <c r="DW171" s="1190"/>
      <c r="DX171" s="803"/>
      <c r="DY171" s="802"/>
      <c r="DZ171" s="802"/>
      <c r="EA171" s="802"/>
      <c r="EB171" s="802"/>
      <c r="EC171" s="1190"/>
      <c r="ED171" s="803"/>
      <c r="EE171" s="802"/>
      <c r="EF171" s="802"/>
      <c r="EG171" s="802"/>
      <c r="EH171" s="802"/>
      <c r="EI171" s="1190"/>
      <c r="EJ171" s="803"/>
      <c r="EK171" s="802"/>
      <c r="EL171" s="802"/>
      <c r="EM171" s="802"/>
      <c r="EN171" s="802"/>
      <c r="EO171" s="1190"/>
      <c r="EP171" s="803"/>
      <c r="EQ171" s="802"/>
      <c r="ER171" s="802"/>
      <c r="ES171" s="802"/>
      <c r="ET171" s="802"/>
      <c r="EU171" s="1190"/>
      <c r="EV171" s="110"/>
    </row>
    <row r="172" spans="1:152" hidden="1" outlineLevel="1">
      <c r="A172" s="805" t="s">
        <v>4761</v>
      </c>
      <c r="B172" s="801"/>
      <c r="C172" s="802"/>
      <c r="D172" s="802"/>
      <c r="E172" s="802"/>
      <c r="F172" s="802"/>
      <c r="G172" s="802"/>
      <c r="H172" s="803"/>
      <c r="I172" s="802"/>
      <c r="J172" s="802"/>
      <c r="K172" s="802"/>
      <c r="L172" s="802"/>
      <c r="M172" s="802"/>
      <c r="N172" s="803"/>
      <c r="O172" s="802"/>
      <c r="P172" s="802"/>
      <c r="Q172" s="802"/>
      <c r="R172" s="802"/>
      <c r="S172" s="802"/>
      <c r="T172" s="803"/>
      <c r="U172" s="802"/>
      <c r="V172" s="802"/>
      <c r="W172" s="802"/>
      <c r="X172" s="802"/>
      <c r="Y172" s="804">
        <f>BS!Y201</f>
        <v>23.936</v>
      </c>
      <c r="Z172" s="803"/>
      <c r="AA172" s="802"/>
      <c r="AB172" s="802"/>
      <c r="AC172" s="802"/>
      <c r="AD172" s="802"/>
      <c r="AE172" s="804">
        <f>BS!AE201</f>
        <v>17.82</v>
      </c>
      <c r="AF172" s="803"/>
      <c r="AG172" s="802"/>
      <c r="AH172" s="802"/>
      <c r="AI172" s="802"/>
      <c r="AJ172" s="802"/>
      <c r="AK172" s="804">
        <f>BS!AK201</f>
        <v>17.448</v>
      </c>
      <c r="AL172" s="803"/>
      <c r="AM172" s="802"/>
      <c r="AN172" s="802"/>
      <c r="AO172" s="802"/>
      <c r="AP172" s="802"/>
      <c r="AQ172" s="804">
        <f>BS!AQ201</f>
        <v>15.222</v>
      </c>
      <c r="AR172" s="803"/>
      <c r="AS172" s="802"/>
      <c r="AT172" s="802"/>
      <c r="AU172" s="802"/>
      <c r="AV172" s="802"/>
      <c r="AW172" s="804">
        <f>BS!AW201</f>
        <v>12.92</v>
      </c>
      <c r="AX172" s="803"/>
      <c r="AY172" s="802"/>
      <c r="AZ172" s="802"/>
      <c r="BA172" s="802"/>
      <c r="BB172" s="802"/>
      <c r="BC172" s="804">
        <f>BS!BC201</f>
        <v>11.55</v>
      </c>
      <c r="BD172" s="803"/>
      <c r="BE172" s="802"/>
      <c r="BF172" s="802"/>
      <c r="BG172" s="802"/>
      <c r="BH172" s="802"/>
      <c r="BI172" s="804">
        <f>BS!BI201</f>
        <v>7.0220000000000002</v>
      </c>
      <c r="BJ172" s="803"/>
      <c r="BK172" s="802"/>
      <c r="BL172" s="802"/>
      <c r="BM172" s="802"/>
      <c r="BN172" s="802"/>
      <c r="BO172" s="1283">
        <f>(BO173*Metrics!BO419)/1000000</f>
        <v>5.1689999999999996</v>
      </c>
      <c r="BP172" s="803"/>
      <c r="BQ172" s="802"/>
      <c r="BR172" s="802"/>
      <c r="BS172" s="802"/>
      <c r="BT172" s="802"/>
      <c r="BU172" s="1283">
        <f>(BU173*Metrics!BU419)/1000000</f>
        <v>10.95</v>
      </c>
      <c r="BV172" s="803"/>
      <c r="BW172" s="802"/>
      <c r="BX172" s="802"/>
      <c r="BY172" s="802"/>
      <c r="BZ172" s="802"/>
      <c r="CA172" s="1283">
        <f>(CA173*Metrics!CA419)/1000000</f>
        <v>7.8</v>
      </c>
      <c r="CB172" s="803"/>
      <c r="CC172" s="802"/>
      <c r="CD172" s="802"/>
      <c r="CE172" s="802"/>
      <c r="CF172" s="802"/>
      <c r="CG172" s="1283">
        <f>(CG173*Metrics!CG419)/1000000</f>
        <v>6.8</v>
      </c>
      <c r="CH172" s="803"/>
      <c r="CI172" s="802"/>
      <c r="CJ172" s="802"/>
      <c r="CK172" s="802"/>
      <c r="CL172" s="802"/>
      <c r="CM172" s="1283">
        <f>(CM173*Metrics!CM419)/1000000</f>
        <v>5.44</v>
      </c>
      <c r="CN172" s="803"/>
      <c r="CO172" s="802"/>
      <c r="CP172" s="802"/>
      <c r="CQ172" s="802"/>
      <c r="CR172" s="802"/>
      <c r="CS172" s="1283">
        <f>(CS173*Metrics!CS419)/1000000</f>
        <v>4.2456643608000002</v>
      </c>
      <c r="CT172" s="803"/>
      <c r="CU172" s="802"/>
      <c r="CV172" s="802"/>
      <c r="CW172" s="802"/>
      <c r="CX172" s="802"/>
      <c r="CY172" s="1283">
        <f>(CY173*Metrics!CY419)/1000000</f>
        <v>4.4180553589625662</v>
      </c>
      <c r="CZ172" s="803"/>
      <c r="DA172" s="802"/>
      <c r="DB172" s="802"/>
      <c r="DC172" s="802"/>
      <c r="DD172" s="802"/>
      <c r="DE172" s="1283">
        <f>(DE173*Metrics!DE419)/1000000</f>
        <v>4.5974461229384378</v>
      </c>
      <c r="DF172" s="803"/>
      <c r="DG172" s="802"/>
      <c r="DH172" s="802"/>
      <c r="DI172" s="802"/>
      <c r="DJ172" s="802"/>
      <c r="DK172" s="1283">
        <f>(DK173*Metrics!DK419)/1000000</f>
        <v>4.7841208712886907</v>
      </c>
      <c r="DL172" s="803"/>
      <c r="DM172" s="802"/>
      <c r="DN172" s="802"/>
      <c r="DO172" s="802"/>
      <c r="DP172" s="802"/>
      <c r="DQ172" s="1283">
        <f>(DQ173*Metrics!DQ419)/1000000</f>
        <v>4.9783753629877054</v>
      </c>
      <c r="DR172" s="803"/>
      <c r="DS172" s="802"/>
      <c r="DT172" s="802"/>
      <c r="DU172" s="802"/>
      <c r="DV172" s="802"/>
      <c r="DW172" s="1283">
        <f>(DW173*Metrics!DW419)/1000000</f>
        <v>5.1805173660102133</v>
      </c>
      <c r="DX172" s="803"/>
      <c r="DY172" s="802"/>
      <c r="DZ172" s="802"/>
      <c r="EA172" s="802"/>
      <c r="EB172" s="802"/>
      <c r="EC172" s="1283">
        <f>(EC173*Metrics!EC419)/1000000</f>
        <v>5.390867144944866</v>
      </c>
      <c r="ED172" s="803"/>
      <c r="EE172" s="802"/>
      <c r="EF172" s="802"/>
      <c r="EG172" s="802"/>
      <c r="EH172" s="802"/>
      <c r="EI172" s="1283">
        <f>(EI173*Metrics!EI419)/1000000</f>
        <v>5.6097579684068792</v>
      </c>
      <c r="EJ172" s="803"/>
      <c r="EK172" s="802"/>
      <c r="EL172" s="802"/>
      <c r="EM172" s="802"/>
      <c r="EN172" s="802"/>
      <c r="EO172" s="1283">
        <f>(EO173*Metrics!EO419)/1000000</f>
        <v>5.8375366370536526</v>
      </c>
      <c r="EP172" s="803"/>
      <c r="EQ172" s="802"/>
      <c r="ER172" s="802"/>
      <c r="ES172" s="802"/>
      <c r="ET172" s="802"/>
      <c r="EU172" s="1283">
        <f>(EU173*Metrics!EU419)/1000000</f>
        <v>6.0745640330399473</v>
      </c>
      <c r="EV172" s="110"/>
    </row>
    <row r="173" spans="1:152" hidden="1" outlineLevel="1">
      <c r="A173" s="805" t="s">
        <v>6873</v>
      </c>
      <c r="B173" s="801"/>
      <c r="C173" s="802"/>
      <c r="D173" s="802"/>
      <c r="E173" s="802"/>
      <c r="F173" s="802"/>
      <c r="G173" s="802"/>
      <c r="H173" s="803"/>
      <c r="I173" s="802"/>
      <c r="J173" s="802"/>
      <c r="K173" s="802"/>
      <c r="L173" s="802"/>
      <c r="M173" s="802"/>
      <c r="N173" s="803"/>
      <c r="O173" s="802"/>
      <c r="P173" s="802"/>
      <c r="Q173" s="802"/>
      <c r="R173" s="802"/>
      <c r="S173" s="802"/>
      <c r="T173" s="803"/>
      <c r="U173" s="802"/>
      <c r="V173" s="802"/>
      <c r="W173" s="802"/>
      <c r="X173" s="802"/>
      <c r="Y173" s="802">
        <f>Y172/Metrics!Y419*1000000</f>
        <v>7915.3439153439149</v>
      </c>
      <c r="Z173" s="803"/>
      <c r="AA173" s="802"/>
      <c r="AB173" s="802"/>
      <c r="AC173" s="802"/>
      <c r="AD173" s="802"/>
      <c r="AE173" s="802">
        <f>AE172/Metrics!AE419*1000000</f>
        <v>5114.8105625717562</v>
      </c>
      <c r="AF173" s="803"/>
      <c r="AG173" s="802"/>
      <c r="AH173" s="802"/>
      <c r="AI173" s="802"/>
      <c r="AJ173" s="802"/>
      <c r="AK173" s="802">
        <f>AK172/Metrics!AK419*1000000</f>
        <v>4785.5183763027981</v>
      </c>
      <c r="AL173" s="803"/>
      <c r="AM173" s="802"/>
      <c r="AN173" s="802"/>
      <c r="AO173" s="802"/>
      <c r="AP173" s="802"/>
      <c r="AQ173" s="802">
        <f>AQ172/Metrics!AQ419*1000000</f>
        <v>4351.6295025728987</v>
      </c>
      <c r="AR173" s="803"/>
      <c r="AS173" s="802"/>
      <c r="AT173" s="802"/>
      <c r="AU173" s="802"/>
      <c r="AV173" s="802"/>
      <c r="AW173" s="802">
        <f>AW172/Metrics!AW419*1000000</f>
        <v>3698.8262238763236</v>
      </c>
      <c r="AX173" s="803"/>
      <c r="AY173" s="802"/>
      <c r="AZ173" s="802"/>
      <c r="BA173" s="802"/>
      <c r="BB173" s="802"/>
      <c r="BC173" s="802">
        <f>BC172/Metrics!BC419*1000000</f>
        <v>3321.8291630716135</v>
      </c>
      <c r="BD173" s="803"/>
      <c r="BE173" s="802"/>
      <c r="BF173" s="802"/>
      <c r="BG173" s="802"/>
      <c r="BH173" s="802"/>
      <c r="BI173" s="802">
        <f>BI172/Metrics!BI419*1000000</f>
        <v>1458.965302306254</v>
      </c>
      <c r="BJ173" s="803"/>
      <c r="BK173" s="802"/>
      <c r="BL173" s="802"/>
      <c r="BM173" s="802"/>
      <c r="BN173" s="802"/>
      <c r="BO173" s="1287">
        <v>1000</v>
      </c>
      <c r="BP173" s="803"/>
      <c r="BQ173" s="802"/>
      <c r="BR173" s="802"/>
      <c r="BS173" s="802"/>
      <c r="BT173" s="802"/>
      <c r="BU173" s="1287">
        <v>1500</v>
      </c>
      <c r="BV173" s="803"/>
      <c r="BW173" s="802"/>
      <c r="BX173" s="802"/>
      <c r="BY173" s="802"/>
      <c r="BZ173" s="802"/>
      <c r="CA173" s="1287">
        <v>1000</v>
      </c>
      <c r="CB173" s="803"/>
      <c r="CC173" s="802"/>
      <c r="CD173" s="802"/>
      <c r="CE173" s="802"/>
      <c r="CF173" s="802"/>
      <c r="CG173" s="1287">
        <v>1000</v>
      </c>
      <c r="CH173" s="803"/>
      <c r="CI173" s="802"/>
      <c r="CJ173" s="802"/>
      <c r="CK173" s="802"/>
      <c r="CL173" s="802"/>
      <c r="CM173" s="1287">
        <v>800</v>
      </c>
      <c r="CN173" s="803"/>
      <c r="CO173" s="802"/>
      <c r="CP173" s="802"/>
      <c r="CQ173" s="802"/>
      <c r="CR173" s="802"/>
      <c r="CS173" s="1287">
        <v>600</v>
      </c>
      <c r="CT173" s="803"/>
      <c r="CU173" s="802"/>
      <c r="CV173" s="802"/>
      <c r="CW173" s="802"/>
      <c r="CX173" s="802"/>
      <c r="CY173" s="1287">
        <v>600</v>
      </c>
      <c r="CZ173" s="803"/>
      <c r="DA173" s="802"/>
      <c r="DB173" s="802"/>
      <c r="DC173" s="802"/>
      <c r="DD173" s="802"/>
      <c r="DE173" s="1287">
        <v>600</v>
      </c>
      <c r="DF173" s="803"/>
      <c r="DG173" s="802"/>
      <c r="DH173" s="802"/>
      <c r="DI173" s="802"/>
      <c r="DJ173" s="802"/>
      <c r="DK173" s="1287">
        <v>600</v>
      </c>
      <c r="DL173" s="803"/>
      <c r="DM173" s="802"/>
      <c r="DN173" s="802"/>
      <c r="DO173" s="802"/>
      <c r="DP173" s="802"/>
      <c r="DQ173" s="1287">
        <v>600</v>
      </c>
      <c r="DR173" s="803"/>
      <c r="DS173" s="802"/>
      <c r="DT173" s="802"/>
      <c r="DU173" s="802"/>
      <c r="DV173" s="802"/>
      <c r="DW173" s="1287">
        <v>600</v>
      </c>
      <c r="DX173" s="803"/>
      <c r="DY173" s="802"/>
      <c r="DZ173" s="802"/>
      <c r="EA173" s="802"/>
      <c r="EB173" s="802"/>
      <c r="EC173" s="1287">
        <v>600</v>
      </c>
      <c r="ED173" s="803"/>
      <c r="EE173" s="802"/>
      <c r="EF173" s="802"/>
      <c r="EG173" s="802"/>
      <c r="EH173" s="802"/>
      <c r="EI173" s="1287">
        <v>600</v>
      </c>
      <c r="EJ173" s="803"/>
      <c r="EK173" s="802"/>
      <c r="EL173" s="802"/>
      <c r="EM173" s="802"/>
      <c r="EN173" s="802"/>
      <c r="EO173" s="1287">
        <v>600</v>
      </c>
      <c r="EP173" s="803"/>
      <c r="EQ173" s="802"/>
      <c r="ER173" s="802"/>
      <c r="ES173" s="802"/>
      <c r="ET173" s="802"/>
      <c r="EU173" s="1287">
        <v>600</v>
      </c>
      <c r="EV173" s="110"/>
    </row>
    <row r="174" spans="1:152" hidden="1" outlineLevel="1">
      <c r="A174" s="805" t="s">
        <v>6441</v>
      </c>
      <c r="B174" s="801"/>
      <c r="C174" s="802"/>
      <c r="D174" s="802"/>
      <c r="E174" s="802"/>
      <c r="F174" s="802"/>
      <c r="G174" s="802"/>
      <c r="H174" s="803"/>
      <c r="I174" s="802"/>
      <c r="J174" s="802"/>
      <c r="K174" s="802"/>
      <c r="L174" s="802"/>
      <c r="M174" s="802"/>
      <c r="N174" s="803"/>
      <c r="O174" s="802"/>
      <c r="P174" s="802"/>
      <c r="Q174" s="802"/>
      <c r="R174" s="802"/>
      <c r="S174" s="802"/>
      <c r="T174" s="803"/>
      <c r="U174" s="802"/>
      <c r="V174" s="802"/>
      <c r="W174" s="802"/>
      <c r="X174" s="802"/>
      <c r="Y174" s="816">
        <f>Y172/S157</f>
        <v>0.10457699096485557</v>
      </c>
      <c r="Z174" s="803"/>
      <c r="AA174" s="802"/>
      <c r="AB174" s="802"/>
      <c r="AC174" s="802"/>
      <c r="AD174" s="802"/>
      <c r="AE174" s="816">
        <f>AE172/Y157</f>
        <v>7.5201296399453083E-2</v>
      </c>
      <c r="AF174" s="803"/>
      <c r="AG174" s="802"/>
      <c r="AH174" s="802"/>
      <c r="AI174" s="802"/>
      <c r="AJ174" s="802"/>
      <c r="AK174" s="816">
        <f>AK172/AE157</f>
        <v>7.9723653909419892E-2</v>
      </c>
      <c r="AL174" s="803"/>
      <c r="AM174" s="802"/>
      <c r="AN174" s="802"/>
      <c r="AO174" s="802"/>
      <c r="AP174" s="802"/>
      <c r="AQ174" s="816">
        <f>AQ172/AK157</f>
        <v>6.8390737462596704E-2</v>
      </c>
      <c r="AR174" s="803"/>
      <c r="AS174" s="802"/>
      <c r="AT174" s="802"/>
      <c r="AU174" s="802"/>
      <c r="AV174" s="802"/>
      <c r="AW174" s="816">
        <f>AW172/AQ157</f>
        <v>5.7542934511508589E-2</v>
      </c>
      <c r="AX174" s="803"/>
      <c r="AY174" s="802"/>
      <c r="AZ174" s="802"/>
      <c r="BA174" s="802"/>
      <c r="BB174" s="802"/>
      <c r="BC174" s="816">
        <f>BC172/AW157</f>
        <v>5.1691729323308275E-2</v>
      </c>
      <c r="BD174" s="803"/>
      <c r="BE174" s="802"/>
      <c r="BF174" s="802"/>
      <c r="BG174" s="802"/>
      <c r="BH174" s="802"/>
      <c r="BI174" s="816">
        <f>BI172/BC157</f>
        <v>3.0850881547904101E-2</v>
      </c>
      <c r="BJ174" s="803"/>
      <c r="BK174" s="802"/>
      <c r="BL174" s="802"/>
      <c r="BM174" s="802"/>
      <c r="BN174" s="802"/>
      <c r="BO174" s="1171">
        <f>BO172/BI157</f>
        <v>2.2513066202090593E-2</v>
      </c>
      <c r="BP174" s="803"/>
      <c r="BQ174" s="802"/>
      <c r="BR174" s="802"/>
      <c r="BS174" s="802"/>
      <c r="BT174" s="802"/>
      <c r="BU174" s="1171">
        <f>BU172/BO157</f>
        <v>4.7402597402597398E-2</v>
      </c>
      <c r="BV174" s="803"/>
      <c r="BW174" s="802"/>
      <c r="BX174" s="802"/>
      <c r="BY174" s="802"/>
      <c r="BZ174" s="802"/>
      <c r="CA174" s="1171">
        <f>CA172/BU157</f>
        <v>3.3913043478260872E-2</v>
      </c>
      <c r="CB174" s="803"/>
      <c r="CC174" s="802"/>
      <c r="CD174" s="802"/>
      <c r="CE174" s="802"/>
      <c r="CF174" s="802"/>
      <c r="CG174" s="1171">
        <f>CG172/CA157</f>
        <v>3.004143951509582E-2</v>
      </c>
      <c r="CH174" s="803"/>
      <c r="CI174" s="802"/>
      <c r="CJ174" s="802"/>
      <c r="CK174" s="802"/>
      <c r="CL174" s="802"/>
      <c r="CM174" s="1171">
        <f>CM172/CG157</f>
        <v>2.3755458515283844E-2</v>
      </c>
      <c r="CN174" s="803"/>
      <c r="CO174" s="802"/>
      <c r="CP174" s="802"/>
      <c r="CQ174" s="802"/>
      <c r="CR174" s="802"/>
      <c r="CS174" s="1171">
        <f>CS172/CM157</f>
        <v>1.8849501106217911E-2</v>
      </c>
      <c r="CT174" s="803"/>
      <c r="CU174" s="802"/>
      <c r="CV174" s="802"/>
      <c r="CW174" s="802"/>
      <c r="CX174" s="802"/>
      <c r="CY174" s="1171">
        <f>CY172/CS157</f>
        <v>1.9501458216563964E-2</v>
      </c>
      <c r="CZ174" s="803"/>
      <c r="DA174" s="802"/>
      <c r="DB174" s="802"/>
      <c r="DC174" s="802"/>
      <c r="DD174" s="802"/>
      <c r="DE174" s="1171">
        <f>DE172/CY157</f>
        <v>2.0561029172354372E-2</v>
      </c>
      <c r="DF174" s="803"/>
      <c r="DG174" s="802"/>
      <c r="DH174" s="802"/>
      <c r="DI174" s="802"/>
      <c r="DJ174" s="802"/>
      <c r="DK174" s="1171">
        <f>DK172/DE157</f>
        <v>2.110331218036476E-2</v>
      </c>
      <c r="DL174" s="803"/>
      <c r="DM174" s="802"/>
      <c r="DN174" s="802"/>
      <c r="DO174" s="802"/>
      <c r="DP174" s="802"/>
      <c r="DQ174" s="1171">
        <f>DQ172/DK157</f>
        <v>2.1931168999945839E-2</v>
      </c>
      <c r="DR174" s="803"/>
      <c r="DS174" s="802"/>
      <c r="DT174" s="802"/>
      <c r="DU174" s="802"/>
      <c r="DV174" s="802"/>
      <c r="DW174" s="1171">
        <f>DW172/DQ157</f>
        <v>2.2861947775861487E-2</v>
      </c>
      <c r="DX174" s="803"/>
      <c r="DY174" s="802"/>
      <c r="DZ174" s="802"/>
      <c r="EA174" s="802"/>
      <c r="EB174" s="802"/>
      <c r="EC174" s="1171">
        <f>EC172/DW157</f>
        <v>2.4520660199885674E-2</v>
      </c>
      <c r="ED174" s="803"/>
      <c r="EE174" s="802"/>
      <c r="EF174" s="802"/>
      <c r="EG174" s="802"/>
      <c r="EH174" s="802"/>
      <c r="EI174" s="1171">
        <f>EI172/EC157</f>
        <v>2.5858301092219156E-2</v>
      </c>
      <c r="EJ174" s="803"/>
      <c r="EK174" s="802"/>
      <c r="EL174" s="802"/>
      <c r="EM174" s="802"/>
      <c r="EN174" s="802"/>
      <c r="EO174" s="1171">
        <f>EO172/EI157</f>
        <v>2.7158628382139432E-2</v>
      </c>
      <c r="EP174" s="803"/>
      <c r="EQ174" s="802"/>
      <c r="ER174" s="802"/>
      <c r="ES174" s="802"/>
      <c r="ET174" s="802"/>
      <c r="EU174" s="1171">
        <f>EU172/EO157</f>
        <v>2.893445264547204E-2</v>
      </c>
      <c r="EV174" s="110"/>
    </row>
    <row r="175" spans="1:152" ht="5.25" hidden="1" customHeight="1" outlineLevel="1">
      <c r="A175" s="805"/>
      <c r="B175" s="801"/>
      <c r="C175" s="802"/>
      <c r="D175" s="802"/>
      <c r="E175" s="802"/>
      <c r="F175" s="802"/>
      <c r="G175" s="802"/>
      <c r="H175" s="803"/>
      <c r="I175" s="802"/>
      <c r="J175" s="802"/>
      <c r="K175" s="802"/>
      <c r="L175" s="802"/>
      <c r="M175" s="802"/>
      <c r="N175" s="803"/>
      <c r="O175" s="802"/>
      <c r="P175" s="802"/>
      <c r="Q175" s="802"/>
      <c r="R175" s="802"/>
      <c r="S175" s="802"/>
      <c r="T175" s="803"/>
      <c r="U175" s="802"/>
      <c r="V175" s="802"/>
      <c r="W175" s="802"/>
      <c r="X175" s="802"/>
      <c r="Y175" s="802"/>
      <c r="Z175" s="803"/>
      <c r="AA175" s="802"/>
      <c r="AB175" s="802"/>
      <c r="AC175" s="802"/>
      <c r="AD175" s="802"/>
      <c r="AE175" s="802"/>
      <c r="AF175" s="803"/>
      <c r="AG175" s="802"/>
      <c r="AH175" s="802"/>
      <c r="AI175" s="802"/>
      <c r="AJ175" s="802"/>
      <c r="AK175" s="802"/>
      <c r="AL175" s="803"/>
      <c r="AM175" s="802"/>
      <c r="AN175" s="802"/>
      <c r="AO175" s="802"/>
      <c r="AP175" s="802"/>
      <c r="AQ175" s="802"/>
      <c r="AR175" s="803"/>
      <c r="AS175" s="802"/>
      <c r="AT175" s="802"/>
      <c r="AU175" s="802"/>
      <c r="AV175" s="802"/>
      <c r="AW175" s="802"/>
      <c r="AX175" s="803"/>
      <c r="AY175" s="802"/>
      <c r="AZ175" s="802"/>
      <c r="BA175" s="802"/>
      <c r="BB175" s="802"/>
      <c r="BC175" s="802"/>
      <c r="BD175" s="803"/>
      <c r="BE175" s="802"/>
      <c r="BF175" s="802"/>
      <c r="BG175" s="802"/>
      <c r="BH175" s="802"/>
      <c r="BI175" s="802"/>
      <c r="BJ175" s="803"/>
      <c r="BK175" s="802"/>
      <c r="BL175" s="802"/>
      <c r="BM175" s="802"/>
      <c r="BN175" s="802"/>
      <c r="BO175" s="1190"/>
      <c r="BP175" s="803"/>
      <c r="BQ175" s="802"/>
      <c r="BR175" s="802"/>
      <c r="BS175" s="802"/>
      <c r="BT175" s="802"/>
      <c r="BU175" s="1190"/>
      <c r="BV175" s="803"/>
      <c r="BW175" s="802"/>
      <c r="BX175" s="802"/>
      <c r="BY175" s="802"/>
      <c r="BZ175" s="802"/>
      <c r="CA175" s="1190"/>
      <c r="CB175" s="803"/>
      <c r="CC175" s="802"/>
      <c r="CD175" s="802"/>
      <c r="CE175" s="802"/>
      <c r="CF175" s="802"/>
      <c r="CG175" s="1190"/>
      <c r="CH175" s="803"/>
      <c r="CI175" s="802"/>
      <c r="CJ175" s="802"/>
      <c r="CK175" s="802"/>
      <c r="CL175" s="802"/>
      <c r="CM175" s="1190"/>
      <c r="CN175" s="803"/>
      <c r="CO175" s="802"/>
      <c r="CP175" s="802"/>
      <c r="CQ175" s="802"/>
      <c r="CR175" s="802"/>
      <c r="CS175" s="1190"/>
      <c r="CT175" s="803"/>
      <c r="CU175" s="802"/>
      <c r="CV175" s="802"/>
      <c r="CW175" s="802"/>
      <c r="CX175" s="802"/>
      <c r="CY175" s="1190"/>
      <c r="CZ175" s="803"/>
      <c r="DA175" s="802"/>
      <c r="DB175" s="802"/>
      <c r="DC175" s="802"/>
      <c r="DD175" s="802"/>
      <c r="DE175" s="1190"/>
      <c r="DF175" s="803"/>
      <c r="DG175" s="802"/>
      <c r="DH175" s="802"/>
      <c r="DI175" s="802"/>
      <c r="DJ175" s="802"/>
      <c r="DK175" s="1190"/>
      <c r="DL175" s="803"/>
      <c r="DM175" s="802"/>
      <c r="DN175" s="802"/>
      <c r="DO175" s="802"/>
      <c r="DP175" s="802"/>
      <c r="DQ175" s="1190"/>
      <c r="DR175" s="803"/>
      <c r="DS175" s="802"/>
      <c r="DT175" s="802"/>
      <c r="DU175" s="802"/>
      <c r="DV175" s="802"/>
      <c r="DW175" s="1190"/>
      <c r="DX175" s="803"/>
      <c r="DY175" s="802"/>
      <c r="DZ175" s="802"/>
      <c r="EA175" s="802"/>
      <c r="EB175" s="802"/>
      <c r="EC175" s="1190"/>
      <c r="ED175" s="803"/>
      <c r="EE175" s="802"/>
      <c r="EF175" s="802"/>
      <c r="EG175" s="802"/>
      <c r="EH175" s="802"/>
      <c r="EI175" s="1190"/>
      <c r="EJ175" s="803"/>
      <c r="EK175" s="802"/>
      <c r="EL175" s="802"/>
      <c r="EM175" s="802"/>
      <c r="EN175" s="802"/>
      <c r="EO175" s="1190"/>
      <c r="EP175" s="803"/>
      <c r="EQ175" s="802"/>
      <c r="ER175" s="802"/>
      <c r="ES175" s="802"/>
      <c r="ET175" s="802"/>
      <c r="EU175" s="1190"/>
      <c r="EV175" s="110"/>
    </row>
    <row r="176" spans="1:152" hidden="1" outlineLevel="1">
      <c r="A176" s="805" t="s">
        <v>4760</v>
      </c>
      <c r="B176" s="801"/>
      <c r="C176" s="802"/>
      <c r="D176" s="802"/>
      <c r="E176" s="802"/>
      <c r="F176" s="802"/>
      <c r="G176" s="802"/>
      <c r="H176" s="803"/>
      <c r="I176" s="802"/>
      <c r="J176" s="802"/>
      <c r="K176" s="802"/>
      <c r="L176" s="802"/>
      <c r="M176" s="802"/>
      <c r="N176" s="803"/>
      <c r="O176" s="802"/>
      <c r="P176" s="802"/>
      <c r="Q176" s="802"/>
      <c r="R176" s="802"/>
      <c r="S176" s="804">
        <f>BS!S204</f>
        <v>55.817999999999998</v>
      </c>
      <c r="T176" s="803"/>
      <c r="U176" s="802"/>
      <c r="V176" s="802"/>
      <c r="W176" s="802"/>
      <c r="X176" s="802"/>
      <c r="Y176" s="804">
        <f>BS!Y204</f>
        <v>63.798000000000002</v>
      </c>
      <c r="Z176" s="803"/>
      <c r="AA176" s="802"/>
      <c r="AB176" s="802"/>
      <c r="AC176" s="802"/>
      <c r="AD176" s="802"/>
      <c r="AE176" s="804">
        <f>BS!AE204</f>
        <v>54.125999999999998</v>
      </c>
      <c r="AF176" s="803"/>
      <c r="AG176" s="802"/>
      <c r="AH176" s="802"/>
      <c r="AI176" s="802"/>
      <c r="AJ176" s="802"/>
      <c r="AK176" s="804">
        <f>BS!AK204</f>
        <v>58.457999999999991</v>
      </c>
      <c r="AL176" s="803"/>
      <c r="AM176" s="802"/>
      <c r="AN176" s="802"/>
      <c r="AO176" s="802"/>
      <c r="AP176" s="802"/>
      <c r="AQ176" s="804">
        <f>BS!AQ204</f>
        <v>59.019999999999989</v>
      </c>
      <c r="AR176" s="803"/>
      <c r="AS176" s="802"/>
      <c r="AT176" s="802"/>
      <c r="AU176" s="802"/>
      <c r="AV176" s="802"/>
      <c r="AW176" s="804">
        <f>BS!AW204</f>
        <v>52.936</v>
      </c>
      <c r="AX176" s="803"/>
      <c r="AY176" s="802"/>
      <c r="AZ176" s="802"/>
      <c r="BA176" s="802"/>
      <c r="BB176" s="802"/>
      <c r="BC176" s="804">
        <f>BS!BC204</f>
        <v>36.405999999999999</v>
      </c>
      <c r="BD176" s="803"/>
      <c r="BE176" s="802"/>
      <c r="BF176" s="802"/>
      <c r="BG176" s="802"/>
      <c r="BH176" s="802"/>
      <c r="BI176" s="804">
        <f>BS!BI204</f>
        <v>30.042000000000002</v>
      </c>
      <c r="BJ176" s="803"/>
      <c r="BK176" s="802"/>
      <c r="BL176" s="802"/>
      <c r="BM176" s="802"/>
      <c r="BN176" s="802"/>
      <c r="BO176" s="1283">
        <f>BI176+BO172-BO177-BO180</f>
        <v>24.395879999999998</v>
      </c>
      <c r="BP176" s="803"/>
      <c r="BQ176" s="802"/>
      <c r="BR176" s="802"/>
      <c r="BS176" s="802"/>
      <c r="BT176" s="802"/>
      <c r="BU176" s="1283">
        <f>BO176+BU172-BU177-BU180</f>
        <v>28.027115999999992</v>
      </c>
      <c r="BV176" s="803"/>
      <c r="BW176" s="802"/>
      <c r="BX176" s="802"/>
      <c r="BY176" s="802"/>
      <c r="BZ176" s="802"/>
      <c r="CA176" s="1283">
        <f>BU176+CA172-CA177-CA180</f>
        <v>27.418981199999994</v>
      </c>
      <c r="CB176" s="803"/>
      <c r="CC176" s="802"/>
      <c r="CD176" s="802"/>
      <c r="CE176" s="802"/>
      <c r="CF176" s="802"/>
      <c r="CG176" s="1283">
        <f>CA176+CG172-CG177-CG180</f>
        <v>25.993286839999996</v>
      </c>
      <c r="CH176" s="803"/>
      <c r="CI176" s="802"/>
      <c r="CJ176" s="802"/>
      <c r="CK176" s="802"/>
      <c r="CL176" s="802"/>
      <c r="CM176" s="1283">
        <f>CG176+CM172-CM177-CM180</f>
        <v>23.635300787999999</v>
      </c>
      <c r="CN176" s="803"/>
      <c r="CO176" s="802"/>
      <c r="CP176" s="802"/>
      <c r="CQ176" s="802"/>
      <c r="CR176" s="802"/>
      <c r="CS176" s="1283">
        <f>CM176+CS172-CS177-CS180</f>
        <v>20.790374912400001</v>
      </c>
      <c r="CT176" s="803"/>
      <c r="CU176" s="802"/>
      <c r="CV176" s="802"/>
      <c r="CW176" s="802"/>
      <c r="CX176" s="802"/>
      <c r="CY176" s="1283">
        <f>CS176+CY172-CY177-CY180</f>
        <v>18.971317797642566</v>
      </c>
      <c r="CZ176" s="803"/>
      <c r="DA176" s="802"/>
      <c r="DB176" s="802"/>
      <c r="DC176" s="802"/>
      <c r="DD176" s="802"/>
      <c r="DE176" s="1283">
        <f>CY176+DE172-DE177-DE180</f>
        <v>17.877368581288234</v>
      </c>
      <c r="DF176" s="803"/>
      <c r="DG176" s="802"/>
      <c r="DH176" s="802"/>
      <c r="DI176" s="802"/>
      <c r="DJ176" s="802"/>
      <c r="DK176" s="1283">
        <f>DE176+DK172-DK177-DK180</f>
        <v>17.298278878190452</v>
      </c>
      <c r="DL176" s="803"/>
      <c r="DM176" s="802"/>
      <c r="DN176" s="802"/>
      <c r="DO176" s="802"/>
      <c r="DP176" s="802"/>
      <c r="DQ176" s="1283">
        <f>DK176+DQ172-DQ177-DQ180</f>
        <v>17.087170577721025</v>
      </c>
      <c r="DR176" s="803"/>
      <c r="DS176" s="802"/>
      <c r="DT176" s="802"/>
      <c r="DU176" s="802"/>
      <c r="DV176" s="802"/>
      <c r="DW176" s="1283">
        <f>DQ176+DW172-DW177-DW180</f>
        <v>17.14153677041493</v>
      </c>
      <c r="DX176" s="803"/>
      <c r="DY176" s="802"/>
      <c r="DZ176" s="802"/>
      <c r="EA176" s="802"/>
      <c r="EB176" s="802"/>
      <c r="EC176" s="1283">
        <f>DW176+EC172-EC177-EC180</f>
        <v>17.389942884235317</v>
      </c>
      <c r="ED176" s="803"/>
      <c r="EE176" s="802"/>
      <c r="EF176" s="802"/>
      <c r="EG176" s="802"/>
      <c r="EH176" s="802"/>
      <c r="EI176" s="1283">
        <f>EC176+EI172-EI177-EI180</f>
        <v>17.782717987371598</v>
      </c>
      <c r="EJ176" s="803"/>
      <c r="EK176" s="802"/>
      <c r="EL176" s="802"/>
      <c r="EM176" s="802"/>
      <c r="EN176" s="802"/>
      <c r="EO176" s="1283">
        <f>EI176+EO172-EO177-EO180</f>
        <v>18.285439228213772</v>
      </c>
      <c r="EP176" s="803"/>
      <c r="EQ176" s="802"/>
      <c r="ER176" s="802"/>
      <c r="ES176" s="802"/>
      <c r="ET176" s="802"/>
      <c r="EU176" s="1283">
        <f>EO176+EU172-EU177-EU180</f>
        <v>18.874371492789589</v>
      </c>
      <c r="EV176" s="110"/>
    </row>
    <row r="177" spans="1:152" hidden="1" outlineLevel="1">
      <c r="A177" s="805" t="s">
        <v>6874</v>
      </c>
      <c r="B177" s="801"/>
      <c r="C177" s="802"/>
      <c r="D177" s="802"/>
      <c r="E177" s="802"/>
      <c r="F177" s="802"/>
      <c r="G177" s="802"/>
      <c r="H177" s="803"/>
      <c r="I177" s="802"/>
      <c r="J177" s="802"/>
      <c r="K177" s="802"/>
      <c r="L177" s="802"/>
      <c r="M177" s="802"/>
      <c r="N177" s="803"/>
      <c r="O177" s="802"/>
      <c r="P177" s="802"/>
      <c r="Q177" s="802"/>
      <c r="R177" s="802"/>
      <c r="S177" s="802"/>
      <c r="T177" s="803"/>
      <c r="U177" s="802"/>
      <c r="V177" s="802"/>
      <c r="W177" s="802"/>
      <c r="X177" s="802"/>
      <c r="Y177" s="804">
        <f>BS!Y201-BS!Y202</f>
        <v>11.608000000000001</v>
      </c>
      <c r="Z177" s="803"/>
      <c r="AA177" s="802"/>
      <c r="AB177" s="802"/>
      <c r="AC177" s="802"/>
      <c r="AD177" s="802"/>
      <c r="AE177" s="804">
        <f>BS!AE201-BS!AE202</f>
        <v>12.708</v>
      </c>
      <c r="AF177" s="803"/>
      <c r="AG177" s="802"/>
      <c r="AH177" s="802"/>
      <c r="AI177" s="802"/>
      <c r="AJ177" s="802"/>
      <c r="AK177" s="804">
        <f>BS!AK201-BS!AK202</f>
        <v>3.0820000000000007</v>
      </c>
      <c r="AL177" s="803"/>
      <c r="AM177" s="802"/>
      <c r="AN177" s="802"/>
      <c r="AO177" s="802"/>
      <c r="AP177" s="802"/>
      <c r="AQ177" s="804">
        <f>BS!AQ201-BS!AQ202</f>
        <v>7.8040000000000003</v>
      </c>
      <c r="AR177" s="803"/>
      <c r="AS177" s="802"/>
      <c r="AT177" s="802"/>
      <c r="AU177" s="802"/>
      <c r="AV177" s="802"/>
      <c r="AW177" s="804">
        <f>BS!AW201-BS!AW202</f>
        <v>6.024</v>
      </c>
      <c r="AX177" s="803"/>
      <c r="AY177" s="802"/>
      <c r="AZ177" s="802"/>
      <c r="BA177" s="802"/>
      <c r="BB177" s="802"/>
      <c r="BC177" s="804">
        <f>BS!BC201-BS!BC202</f>
        <v>2.6349999999999998</v>
      </c>
      <c r="BD177" s="803"/>
      <c r="BE177" s="802"/>
      <c r="BF177" s="802"/>
      <c r="BG177" s="802"/>
      <c r="BH177" s="802"/>
      <c r="BI177" s="804">
        <f>BS!BI201-BS!BI202</f>
        <v>1.5110000000000001</v>
      </c>
      <c r="BJ177" s="803"/>
      <c r="BK177" s="802"/>
      <c r="BL177" s="802"/>
      <c r="BM177" s="802"/>
      <c r="BN177" s="802"/>
      <c r="BO177" s="1283">
        <f>BI176*BO178</f>
        <v>3.3046200000000003</v>
      </c>
      <c r="BP177" s="803"/>
      <c r="BQ177" s="802"/>
      <c r="BR177" s="802"/>
      <c r="BS177" s="802"/>
      <c r="BT177" s="802"/>
      <c r="BU177" s="1283">
        <f>BO176*BU178</f>
        <v>1.219794</v>
      </c>
      <c r="BV177" s="803"/>
      <c r="BW177" s="802"/>
      <c r="BX177" s="802"/>
      <c r="BY177" s="802"/>
      <c r="BZ177" s="802"/>
      <c r="CA177" s="1283">
        <f>BU176*CA178</f>
        <v>1.4013557999999997</v>
      </c>
      <c r="CB177" s="803"/>
      <c r="CC177" s="802"/>
      <c r="CD177" s="802"/>
      <c r="CE177" s="802"/>
      <c r="CF177" s="802"/>
      <c r="CG177" s="1283">
        <f>CA176*CG178</f>
        <v>1.3709490599999998</v>
      </c>
      <c r="CH177" s="803"/>
      <c r="CI177" s="802"/>
      <c r="CJ177" s="802"/>
      <c r="CK177" s="802"/>
      <c r="CL177" s="802"/>
      <c r="CM177" s="1283">
        <f>CG176*CM178</f>
        <v>1.2996643419999998</v>
      </c>
      <c r="CN177" s="803"/>
      <c r="CO177" s="802"/>
      <c r="CP177" s="802"/>
      <c r="CQ177" s="802"/>
      <c r="CR177" s="802"/>
      <c r="CS177" s="1283">
        <f>CM176*CS178</f>
        <v>1.1817650393999999</v>
      </c>
      <c r="CT177" s="803"/>
      <c r="CU177" s="802"/>
      <c r="CV177" s="802"/>
      <c r="CW177" s="802"/>
      <c r="CX177" s="802"/>
      <c r="CY177" s="1283">
        <f>CS176*CY178</f>
        <v>1.0395187456200001</v>
      </c>
      <c r="CZ177" s="803"/>
      <c r="DA177" s="802"/>
      <c r="DB177" s="802"/>
      <c r="DC177" s="802"/>
      <c r="DD177" s="802"/>
      <c r="DE177" s="1283">
        <f>CY176*DE178</f>
        <v>0.94856588988212831</v>
      </c>
      <c r="DF177" s="803"/>
      <c r="DG177" s="802"/>
      <c r="DH177" s="802"/>
      <c r="DI177" s="802"/>
      <c r="DJ177" s="802"/>
      <c r="DK177" s="1283">
        <f>DE176*DK178</f>
        <v>0.89386842906441177</v>
      </c>
      <c r="DL177" s="803"/>
      <c r="DM177" s="802"/>
      <c r="DN177" s="802"/>
      <c r="DO177" s="802"/>
      <c r="DP177" s="802"/>
      <c r="DQ177" s="1283">
        <f>DK176*DQ178</f>
        <v>0.86491394390952259</v>
      </c>
      <c r="DR177" s="803"/>
      <c r="DS177" s="802"/>
      <c r="DT177" s="802"/>
      <c r="DU177" s="802"/>
      <c r="DV177" s="802"/>
      <c r="DW177" s="1283">
        <f>DQ176*DW178</f>
        <v>0.85435852888605135</v>
      </c>
      <c r="DX177" s="803"/>
      <c r="DY177" s="802"/>
      <c r="DZ177" s="802"/>
      <c r="EA177" s="802"/>
      <c r="EB177" s="802"/>
      <c r="EC177" s="1283">
        <f>DW176*EC178</f>
        <v>0.85707683852074656</v>
      </c>
      <c r="ED177" s="803"/>
      <c r="EE177" s="802"/>
      <c r="EF177" s="802"/>
      <c r="EG177" s="802"/>
      <c r="EH177" s="802"/>
      <c r="EI177" s="1283">
        <f>EC176*EI178</f>
        <v>0.86949714421176594</v>
      </c>
      <c r="EJ177" s="803"/>
      <c r="EK177" s="802"/>
      <c r="EL177" s="802"/>
      <c r="EM177" s="802"/>
      <c r="EN177" s="802"/>
      <c r="EO177" s="1283">
        <f>EI176*EO178</f>
        <v>0.88913589936857995</v>
      </c>
      <c r="EP177" s="803"/>
      <c r="EQ177" s="802"/>
      <c r="ER177" s="802"/>
      <c r="ES177" s="802"/>
      <c r="ET177" s="802"/>
      <c r="EU177" s="1283">
        <f>EO176*EU178</f>
        <v>0.91427196141068867</v>
      </c>
      <c r="EV177" s="110"/>
    </row>
    <row r="178" spans="1:152" hidden="1" outlineLevel="1">
      <c r="A178" s="805" t="s">
        <v>6875</v>
      </c>
      <c r="B178" s="801"/>
      <c r="C178" s="802"/>
      <c r="D178" s="802"/>
      <c r="E178" s="802"/>
      <c r="F178" s="802"/>
      <c r="G178" s="802"/>
      <c r="H178" s="803"/>
      <c r="I178" s="802"/>
      <c r="J178" s="802"/>
      <c r="K178" s="802"/>
      <c r="L178" s="802"/>
      <c r="M178" s="802"/>
      <c r="N178" s="803"/>
      <c r="O178" s="802"/>
      <c r="P178" s="802"/>
      <c r="Q178" s="802"/>
      <c r="R178" s="802"/>
      <c r="S178" s="802"/>
      <c r="T178" s="803"/>
      <c r="U178" s="802"/>
      <c r="V178" s="802"/>
      <c r="W178" s="802"/>
      <c r="X178" s="802"/>
      <c r="Y178" s="331">
        <f>Y177/S176</f>
        <v>0.20796158945143145</v>
      </c>
      <c r="Z178" s="803"/>
      <c r="AA178" s="802"/>
      <c r="AB178" s="802"/>
      <c r="AC178" s="802"/>
      <c r="AD178" s="802"/>
      <c r="AE178" s="331">
        <f>AE177/Y176</f>
        <v>0.19919119721621367</v>
      </c>
      <c r="AF178" s="803"/>
      <c r="AG178" s="802"/>
      <c r="AH178" s="802"/>
      <c r="AI178" s="802"/>
      <c r="AJ178" s="802"/>
      <c r="AK178" s="331">
        <f>AK177/AE176</f>
        <v>5.6941211247829158E-2</v>
      </c>
      <c r="AL178" s="803"/>
      <c r="AM178" s="802"/>
      <c r="AN178" s="802"/>
      <c r="AO178" s="802"/>
      <c r="AP178" s="802"/>
      <c r="AQ178" s="331">
        <f>AQ177/AK176</f>
        <v>0.13349755379930894</v>
      </c>
      <c r="AR178" s="803"/>
      <c r="AS178" s="802"/>
      <c r="AT178" s="802"/>
      <c r="AU178" s="802"/>
      <c r="AV178" s="802"/>
      <c r="AW178" s="331">
        <f>AW177/AQ176</f>
        <v>0.10206709589969504</v>
      </c>
      <c r="AX178" s="803"/>
      <c r="AY178" s="802"/>
      <c r="AZ178" s="802"/>
      <c r="BA178" s="802"/>
      <c r="BB178" s="802"/>
      <c r="BC178" s="331">
        <f>BC177/AW176</f>
        <v>4.9777089315399724E-2</v>
      </c>
      <c r="BD178" s="803"/>
      <c r="BE178" s="802"/>
      <c r="BF178" s="802"/>
      <c r="BG178" s="802"/>
      <c r="BH178" s="802"/>
      <c r="BI178" s="331">
        <f>BI177/BC176</f>
        <v>4.1504147667966826E-2</v>
      </c>
      <c r="BJ178" s="803"/>
      <c r="BK178" s="802"/>
      <c r="BL178" s="802"/>
      <c r="BM178" s="802"/>
      <c r="BN178" s="802"/>
      <c r="BO178" s="1288">
        <v>0.11</v>
      </c>
      <c r="BP178" s="803"/>
      <c r="BQ178" s="802"/>
      <c r="BR178" s="802"/>
      <c r="BS178" s="802"/>
      <c r="BT178" s="802"/>
      <c r="BU178" s="1288">
        <v>0.05</v>
      </c>
      <c r="BV178" s="803"/>
      <c r="BW178" s="802"/>
      <c r="BX178" s="802"/>
      <c r="BY178" s="802"/>
      <c r="BZ178" s="802"/>
      <c r="CA178" s="1288">
        <v>0.05</v>
      </c>
      <c r="CB178" s="803"/>
      <c r="CC178" s="802"/>
      <c r="CD178" s="802"/>
      <c r="CE178" s="802"/>
      <c r="CF178" s="802"/>
      <c r="CG178" s="1288">
        <v>0.05</v>
      </c>
      <c r="CH178" s="803"/>
      <c r="CI178" s="802"/>
      <c r="CJ178" s="802"/>
      <c r="CK178" s="802"/>
      <c r="CL178" s="802"/>
      <c r="CM178" s="1288">
        <v>0.05</v>
      </c>
      <c r="CN178" s="803"/>
      <c r="CO178" s="802"/>
      <c r="CP178" s="802"/>
      <c r="CQ178" s="802"/>
      <c r="CR178" s="802"/>
      <c r="CS178" s="1288">
        <v>0.05</v>
      </c>
      <c r="CT178" s="803"/>
      <c r="CU178" s="802"/>
      <c r="CV178" s="802"/>
      <c r="CW178" s="802"/>
      <c r="CX178" s="802"/>
      <c r="CY178" s="1288">
        <v>0.05</v>
      </c>
      <c r="CZ178" s="803"/>
      <c r="DA178" s="802"/>
      <c r="DB178" s="802"/>
      <c r="DC178" s="802"/>
      <c r="DD178" s="802"/>
      <c r="DE178" s="1288">
        <v>0.05</v>
      </c>
      <c r="DF178" s="803"/>
      <c r="DG178" s="802"/>
      <c r="DH178" s="802"/>
      <c r="DI178" s="802"/>
      <c r="DJ178" s="802"/>
      <c r="DK178" s="1288">
        <v>0.05</v>
      </c>
      <c r="DL178" s="803"/>
      <c r="DM178" s="802"/>
      <c r="DN178" s="802"/>
      <c r="DO178" s="802"/>
      <c r="DP178" s="802"/>
      <c r="DQ178" s="1288">
        <v>0.05</v>
      </c>
      <c r="DR178" s="803"/>
      <c r="DS178" s="802"/>
      <c r="DT178" s="802"/>
      <c r="DU178" s="802"/>
      <c r="DV178" s="802"/>
      <c r="DW178" s="1288">
        <v>0.05</v>
      </c>
      <c r="DX178" s="803"/>
      <c r="DY178" s="802"/>
      <c r="DZ178" s="802"/>
      <c r="EA178" s="802"/>
      <c r="EB178" s="802"/>
      <c r="EC178" s="1288">
        <v>0.05</v>
      </c>
      <c r="ED178" s="803"/>
      <c r="EE178" s="802"/>
      <c r="EF178" s="802"/>
      <c r="EG178" s="802"/>
      <c r="EH178" s="802"/>
      <c r="EI178" s="1288">
        <v>0.05</v>
      </c>
      <c r="EJ178" s="803"/>
      <c r="EK178" s="802"/>
      <c r="EL178" s="802"/>
      <c r="EM178" s="802"/>
      <c r="EN178" s="802"/>
      <c r="EO178" s="1288">
        <v>0.05</v>
      </c>
      <c r="EP178" s="803"/>
      <c r="EQ178" s="802"/>
      <c r="ER178" s="802"/>
      <c r="ES178" s="802"/>
      <c r="ET178" s="802"/>
      <c r="EU178" s="1288">
        <v>0.05</v>
      </c>
      <c r="EV178" s="110"/>
    </row>
    <row r="179" spans="1:152" ht="6" hidden="1" customHeight="1" outlineLevel="1">
      <c r="A179" s="805"/>
      <c r="B179" s="801"/>
      <c r="C179" s="802"/>
      <c r="D179" s="802"/>
      <c r="E179" s="802"/>
      <c r="F179" s="802"/>
      <c r="G179" s="802"/>
      <c r="H179" s="803"/>
      <c r="I179" s="802"/>
      <c r="J179" s="802"/>
      <c r="K179" s="802"/>
      <c r="L179" s="802"/>
      <c r="M179" s="802"/>
      <c r="N179" s="803"/>
      <c r="O179" s="802"/>
      <c r="P179" s="802"/>
      <c r="Q179" s="802"/>
      <c r="R179" s="802"/>
      <c r="S179" s="802"/>
      <c r="T179" s="803"/>
      <c r="U179" s="802"/>
      <c r="V179" s="802"/>
      <c r="W179" s="802"/>
      <c r="X179" s="802"/>
      <c r="Y179" s="802"/>
      <c r="Z179" s="803"/>
      <c r="AA179" s="802"/>
      <c r="AB179" s="802"/>
      <c r="AC179" s="802"/>
      <c r="AD179" s="802"/>
      <c r="AE179" s="802"/>
      <c r="AF179" s="803"/>
      <c r="AG179" s="802"/>
      <c r="AH179" s="802"/>
      <c r="AI179" s="802"/>
      <c r="AJ179" s="802"/>
      <c r="AK179" s="802"/>
      <c r="AL179" s="803"/>
      <c r="AM179" s="802"/>
      <c r="AN179" s="802"/>
      <c r="AO179" s="802"/>
      <c r="AP179" s="802"/>
      <c r="AQ179" s="802"/>
      <c r="AR179" s="803"/>
      <c r="AS179" s="802"/>
      <c r="AT179" s="802"/>
      <c r="AU179" s="802"/>
      <c r="AV179" s="802"/>
      <c r="AW179" s="802"/>
      <c r="AX179" s="803"/>
      <c r="AY179" s="802"/>
      <c r="AZ179" s="802"/>
      <c r="BA179" s="802"/>
      <c r="BB179" s="802"/>
      <c r="BC179" s="802"/>
      <c r="BD179" s="803"/>
      <c r="BE179" s="802"/>
      <c r="BF179" s="802"/>
      <c r="BG179" s="802"/>
      <c r="BH179" s="802"/>
      <c r="BI179" s="802"/>
      <c r="BJ179" s="803"/>
      <c r="BK179" s="802"/>
      <c r="BL179" s="802"/>
      <c r="BM179" s="802"/>
      <c r="BN179" s="802"/>
      <c r="BO179" s="1190"/>
      <c r="BP179" s="803"/>
      <c r="BQ179" s="802"/>
      <c r="BR179" s="802"/>
      <c r="BS179" s="802"/>
      <c r="BT179" s="802"/>
      <c r="BU179" s="1190"/>
      <c r="BV179" s="803"/>
      <c r="BW179" s="802"/>
      <c r="BX179" s="802"/>
      <c r="BY179" s="802"/>
      <c r="BZ179" s="802"/>
      <c r="CA179" s="1190"/>
      <c r="CB179" s="803"/>
      <c r="CC179" s="802"/>
      <c r="CD179" s="802"/>
      <c r="CE179" s="802"/>
      <c r="CF179" s="802"/>
      <c r="CG179" s="1190"/>
      <c r="CH179" s="803"/>
      <c r="CI179" s="802"/>
      <c r="CJ179" s="802"/>
      <c r="CK179" s="802"/>
      <c r="CL179" s="802"/>
      <c r="CM179" s="1190"/>
      <c r="CN179" s="803"/>
      <c r="CO179" s="802"/>
      <c r="CP179" s="802"/>
      <c r="CQ179" s="802"/>
      <c r="CR179" s="802"/>
      <c r="CS179" s="1190"/>
      <c r="CT179" s="803"/>
      <c r="CU179" s="802"/>
      <c r="CV179" s="802"/>
      <c r="CW179" s="802"/>
      <c r="CX179" s="802"/>
      <c r="CY179" s="1190"/>
      <c r="CZ179" s="803"/>
      <c r="DA179" s="802"/>
      <c r="DB179" s="802"/>
      <c r="DC179" s="802"/>
      <c r="DD179" s="802"/>
      <c r="DE179" s="1190"/>
      <c r="DF179" s="803"/>
      <c r="DG179" s="802"/>
      <c r="DH179" s="802"/>
      <c r="DI179" s="802"/>
      <c r="DJ179" s="802"/>
      <c r="DK179" s="1190"/>
      <c r="DL179" s="803"/>
      <c r="DM179" s="802"/>
      <c r="DN179" s="802"/>
      <c r="DO179" s="802"/>
      <c r="DP179" s="802"/>
      <c r="DQ179" s="1190"/>
      <c r="DR179" s="803"/>
      <c r="DS179" s="802"/>
      <c r="DT179" s="802"/>
      <c r="DU179" s="802"/>
      <c r="DV179" s="802"/>
      <c r="DW179" s="1190"/>
      <c r="DX179" s="803"/>
      <c r="DY179" s="802"/>
      <c r="DZ179" s="802"/>
      <c r="EA179" s="802"/>
      <c r="EB179" s="802"/>
      <c r="EC179" s="1190"/>
      <c r="ED179" s="803"/>
      <c r="EE179" s="802"/>
      <c r="EF179" s="802"/>
      <c r="EG179" s="802"/>
      <c r="EH179" s="802"/>
      <c r="EI179" s="1190"/>
      <c r="EJ179" s="803"/>
      <c r="EK179" s="802"/>
      <c r="EL179" s="802"/>
      <c r="EM179" s="802"/>
      <c r="EN179" s="802"/>
      <c r="EO179" s="1190"/>
      <c r="EP179" s="803"/>
      <c r="EQ179" s="802"/>
      <c r="ER179" s="802"/>
      <c r="ES179" s="802"/>
      <c r="ET179" s="802"/>
      <c r="EU179" s="1190"/>
      <c r="EV179" s="110"/>
    </row>
    <row r="180" spans="1:152" ht="11.25" hidden="1" customHeight="1" outlineLevel="1">
      <c r="A180" s="805" t="s">
        <v>6876</v>
      </c>
      <c r="B180" s="801"/>
      <c r="C180" s="802"/>
      <c r="D180" s="802"/>
      <c r="E180" s="802"/>
      <c r="F180" s="802"/>
      <c r="G180" s="802"/>
      <c r="H180" s="803"/>
      <c r="I180" s="802"/>
      <c r="J180" s="802"/>
      <c r="K180" s="802"/>
      <c r="L180" s="802"/>
      <c r="M180" s="802"/>
      <c r="N180" s="803"/>
      <c r="O180" s="802"/>
      <c r="P180" s="802"/>
      <c r="Q180" s="802"/>
      <c r="R180" s="802"/>
      <c r="S180" s="802"/>
      <c r="T180" s="803"/>
      <c r="U180" s="802"/>
      <c r="V180" s="802"/>
      <c r="W180" s="802"/>
      <c r="X180" s="802"/>
      <c r="Y180" s="804">
        <f>-BS!Y203</f>
        <v>4.3479999999999999</v>
      </c>
      <c r="Z180" s="803"/>
      <c r="AA180" s="802"/>
      <c r="AB180" s="802"/>
      <c r="AC180" s="802"/>
      <c r="AD180" s="802"/>
      <c r="AE180" s="804">
        <f>-BS!AE203</f>
        <v>14.784000000000001</v>
      </c>
      <c r="AF180" s="803"/>
      <c r="AG180" s="802"/>
      <c r="AH180" s="802"/>
      <c r="AI180" s="802"/>
      <c r="AJ180" s="802"/>
      <c r="AK180" s="804">
        <f>-BS!AK203</f>
        <v>10.034000000000001</v>
      </c>
      <c r="AL180" s="803"/>
      <c r="AM180" s="802"/>
      <c r="AN180" s="802"/>
      <c r="AO180" s="802"/>
      <c r="AP180" s="802"/>
      <c r="AQ180" s="804">
        <f>-BS!AQ203</f>
        <v>6.8559999999999999</v>
      </c>
      <c r="AR180" s="803"/>
      <c r="AS180" s="802"/>
      <c r="AT180" s="802"/>
      <c r="AU180" s="802"/>
      <c r="AV180" s="802"/>
      <c r="AW180" s="804">
        <f>-BS!AW203</f>
        <v>12.85</v>
      </c>
      <c r="AX180" s="803"/>
      <c r="AY180" s="802"/>
      <c r="AZ180" s="802"/>
      <c r="BA180" s="802"/>
      <c r="BB180" s="802"/>
      <c r="BC180" s="804">
        <f>-BS!BC203</f>
        <v>25.445</v>
      </c>
      <c r="BD180" s="803"/>
      <c r="BE180" s="802"/>
      <c r="BF180" s="802"/>
      <c r="BG180" s="802"/>
      <c r="BH180" s="802"/>
      <c r="BI180" s="804">
        <f>-BS!BI203</f>
        <v>11.875</v>
      </c>
      <c r="BJ180" s="803"/>
      <c r="BK180" s="802"/>
      <c r="BL180" s="802"/>
      <c r="BM180" s="802"/>
      <c r="BN180" s="802"/>
      <c r="BO180" s="1283">
        <f>BI176*BO181</f>
        <v>7.5105000000000004</v>
      </c>
      <c r="BP180" s="803"/>
      <c r="BQ180" s="802"/>
      <c r="BR180" s="802"/>
      <c r="BS180" s="802"/>
      <c r="BT180" s="802"/>
      <c r="BU180" s="1283">
        <f>BO176*BU181</f>
        <v>6.0989699999999996</v>
      </c>
      <c r="BV180" s="803"/>
      <c r="BW180" s="802"/>
      <c r="BX180" s="802"/>
      <c r="BY180" s="802"/>
      <c r="BZ180" s="802"/>
      <c r="CA180" s="1283">
        <f>BU176*CA181</f>
        <v>7.0067789999999981</v>
      </c>
      <c r="CB180" s="803"/>
      <c r="CC180" s="802"/>
      <c r="CD180" s="802"/>
      <c r="CE180" s="802"/>
      <c r="CF180" s="802"/>
      <c r="CG180" s="1283">
        <f>CA176*CG181</f>
        <v>6.8547452999999985</v>
      </c>
      <c r="CH180" s="803"/>
      <c r="CI180" s="802"/>
      <c r="CJ180" s="802"/>
      <c r="CK180" s="802"/>
      <c r="CL180" s="802"/>
      <c r="CM180" s="1283">
        <f>CG176*CM181</f>
        <v>6.498321709999999</v>
      </c>
      <c r="CN180" s="803"/>
      <c r="CO180" s="802"/>
      <c r="CP180" s="802"/>
      <c r="CQ180" s="802"/>
      <c r="CR180" s="802"/>
      <c r="CS180" s="1283">
        <f>CM176*CS181</f>
        <v>5.9088251969999996</v>
      </c>
      <c r="CT180" s="803"/>
      <c r="CU180" s="802"/>
      <c r="CV180" s="802"/>
      <c r="CW180" s="802"/>
      <c r="CX180" s="802"/>
      <c r="CY180" s="1283">
        <f>CS176*CY181</f>
        <v>5.1975937281000002</v>
      </c>
      <c r="CZ180" s="803"/>
      <c r="DA180" s="802"/>
      <c r="DB180" s="802"/>
      <c r="DC180" s="802"/>
      <c r="DD180" s="802"/>
      <c r="DE180" s="1283">
        <f>CY176*DE181</f>
        <v>4.7428294494106416</v>
      </c>
      <c r="DF180" s="803"/>
      <c r="DG180" s="802"/>
      <c r="DH180" s="802"/>
      <c r="DI180" s="802"/>
      <c r="DJ180" s="802"/>
      <c r="DK180" s="1283">
        <f>DE176*DK181</f>
        <v>4.4693421453220585</v>
      </c>
      <c r="DL180" s="803"/>
      <c r="DM180" s="802"/>
      <c r="DN180" s="802"/>
      <c r="DO180" s="802"/>
      <c r="DP180" s="802"/>
      <c r="DQ180" s="1283">
        <f>DK176*DQ181</f>
        <v>4.3245697195476129</v>
      </c>
      <c r="DR180" s="803"/>
      <c r="DS180" s="802"/>
      <c r="DT180" s="802"/>
      <c r="DU180" s="802"/>
      <c r="DV180" s="802"/>
      <c r="DW180" s="1283">
        <f>DQ176*DW181</f>
        <v>4.2717926444302563</v>
      </c>
      <c r="DX180" s="803"/>
      <c r="DY180" s="802"/>
      <c r="DZ180" s="802"/>
      <c r="EA180" s="802"/>
      <c r="EB180" s="802"/>
      <c r="EC180" s="1283">
        <f>DW176*EC181</f>
        <v>4.2853841926037326</v>
      </c>
      <c r="ED180" s="803"/>
      <c r="EE180" s="802"/>
      <c r="EF180" s="802"/>
      <c r="EG180" s="802"/>
      <c r="EH180" s="802"/>
      <c r="EI180" s="1283">
        <f>EC176*EI181</f>
        <v>4.3474857210588294</v>
      </c>
      <c r="EJ180" s="803"/>
      <c r="EK180" s="802"/>
      <c r="EL180" s="802"/>
      <c r="EM180" s="802"/>
      <c r="EN180" s="802"/>
      <c r="EO180" s="1283">
        <f>EI176*EO181</f>
        <v>4.4456794968428994</v>
      </c>
      <c r="EP180" s="803"/>
      <c r="EQ180" s="802"/>
      <c r="ER180" s="802"/>
      <c r="ES180" s="802"/>
      <c r="ET180" s="802"/>
      <c r="EU180" s="1283">
        <f>EO176*EU181</f>
        <v>4.5713598070534429</v>
      </c>
      <c r="EV180" s="110"/>
    </row>
    <row r="181" spans="1:152" ht="11.25" hidden="1" customHeight="1" outlineLevel="1">
      <c r="A181" s="805" t="s">
        <v>6877</v>
      </c>
      <c r="B181" s="801"/>
      <c r="C181" s="802"/>
      <c r="D181" s="802"/>
      <c r="E181" s="802"/>
      <c r="F181" s="802"/>
      <c r="G181" s="802"/>
      <c r="H181" s="803"/>
      <c r="I181" s="802"/>
      <c r="J181" s="802"/>
      <c r="K181" s="802"/>
      <c r="L181" s="802"/>
      <c r="M181" s="802"/>
      <c r="N181" s="803"/>
      <c r="O181" s="802"/>
      <c r="P181" s="802"/>
      <c r="Q181" s="802"/>
      <c r="R181" s="802"/>
      <c r="S181" s="802"/>
      <c r="T181" s="803"/>
      <c r="U181" s="802"/>
      <c r="V181" s="802"/>
      <c r="W181" s="802"/>
      <c r="X181" s="802"/>
      <c r="Y181" s="331">
        <f>Y180/S176</f>
        <v>7.7896019205274281E-2</v>
      </c>
      <c r="Z181" s="803"/>
      <c r="AA181" s="802"/>
      <c r="AB181" s="802"/>
      <c r="AC181" s="802"/>
      <c r="AD181" s="802"/>
      <c r="AE181" s="331">
        <f>AE180/Y176</f>
        <v>0.23173140223831468</v>
      </c>
      <c r="AF181" s="803"/>
      <c r="AG181" s="802"/>
      <c r="AH181" s="802"/>
      <c r="AI181" s="802"/>
      <c r="AJ181" s="802"/>
      <c r="AK181" s="331">
        <f>AK180/AE176</f>
        <v>0.18538225621697524</v>
      </c>
      <c r="AL181" s="803"/>
      <c r="AM181" s="802"/>
      <c r="AN181" s="802"/>
      <c r="AO181" s="802"/>
      <c r="AP181" s="802"/>
      <c r="AQ181" s="331">
        <f>AQ180/AK176</f>
        <v>0.11728078278422116</v>
      </c>
      <c r="AR181" s="803"/>
      <c r="AS181" s="802"/>
      <c r="AT181" s="802"/>
      <c r="AU181" s="802"/>
      <c r="AV181" s="802"/>
      <c r="AW181" s="331">
        <f>AW180/AQ176</f>
        <v>0.21772280582853273</v>
      </c>
      <c r="AX181" s="803"/>
      <c r="AY181" s="802"/>
      <c r="AZ181" s="802"/>
      <c r="BA181" s="802"/>
      <c r="BB181" s="802"/>
      <c r="BC181" s="331">
        <f>BC180/AW176</f>
        <v>0.48067477708931539</v>
      </c>
      <c r="BD181" s="803"/>
      <c r="BE181" s="802"/>
      <c r="BF181" s="802"/>
      <c r="BG181" s="802"/>
      <c r="BH181" s="802"/>
      <c r="BI181" s="331">
        <f>BI180/BC176</f>
        <v>0.32618249739054</v>
      </c>
      <c r="BJ181" s="803"/>
      <c r="BK181" s="802"/>
      <c r="BL181" s="802"/>
      <c r="BM181" s="802"/>
      <c r="BN181" s="802"/>
      <c r="BO181" s="1288">
        <v>0.25</v>
      </c>
      <c r="BP181" s="803"/>
      <c r="BQ181" s="802"/>
      <c r="BR181" s="802"/>
      <c r="BS181" s="802"/>
      <c r="BT181" s="802"/>
      <c r="BU181" s="1288">
        <v>0.25</v>
      </c>
      <c r="BV181" s="803"/>
      <c r="BW181" s="802"/>
      <c r="BX181" s="802"/>
      <c r="BY181" s="802"/>
      <c r="BZ181" s="802"/>
      <c r="CA181" s="1288">
        <v>0.25</v>
      </c>
      <c r="CB181" s="803"/>
      <c r="CC181" s="802"/>
      <c r="CD181" s="802"/>
      <c r="CE181" s="802"/>
      <c r="CF181" s="802"/>
      <c r="CG181" s="1288">
        <v>0.25</v>
      </c>
      <c r="CH181" s="803"/>
      <c r="CI181" s="802"/>
      <c r="CJ181" s="802"/>
      <c r="CK181" s="802"/>
      <c r="CL181" s="802"/>
      <c r="CM181" s="1288">
        <v>0.25</v>
      </c>
      <c r="CN181" s="803"/>
      <c r="CO181" s="802"/>
      <c r="CP181" s="802"/>
      <c r="CQ181" s="802"/>
      <c r="CR181" s="802"/>
      <c r="CS181" s="1288">
        <v>0.25</v>
      </c>
      <c r="CT181" s="803"/>
      <c r="CU181" s="802"/>
      <c r="CV181" s="802"/>
      <c r="CW181" s="802"/>
      <c r="CX181" s="802"/>
      <c r="CY181" s="1288">
        <v>0.25</v>
      </c>
      <c r="CZ181" s="803"/>
      <c r="DA181" s="802"/>
      <c r="DB181" s="802"/>
      <c r="DC181" s="802"/>
      <c r="DD181" s="802"/>
      <c r="DE181" s="1288">
        <v>0.25</v>
      </c>
      <c r="DF181" s="803"/>
      <c r="DG181" s="802"/>
      <c r="DH181" s="802"/>
      <c r="DI181" s="802"/>
      <c r="DJ181" s="802"/>
      <c r="DK181" s="1288">
        <v>0.25</v>
      </c>
      <c r="DL181" s="803"/>
      <c r="DM181" s="802"/>
      <c r="DN181" s="802"/>
      <c r="DO181" s="802"/>
      <c r="DP181" s="802"/>
      <c r="DQ181" s="1288">
        <v>0.25</v>
      </c>
      <c r="DR181" s="803"/>
      <c r="DS181" s="802"/>
      <c r="DT181" s="802"/>
      <c r="DU181" s="802"/>
      <c r="DV181" s="802"/>
      <c r="DW181" s="1288">
        <v>0.25</v>
      </c>
      <c r="DX181" s="803"/>
      <c r="DY181" s="802"/>
      <c r="DZ181" s="802"/>
      <c r="EA181" s="802"/>
      <c r="EB181" s="802"/>
      <c r="EC181" s="1288">
        <v>0.25</v>
      </c>
      <c r="ED181" s="803"/>
      <c r="EE181" s="802"/>
      <c r="EF181" s="802"/>
      <c r="EG181" s="802"/>
      <c r="EH181" s="802"/>
      <c r="EI181" s="1288">
        <v>0.25</v>
      </c>
      <c r="EJ181" s="803"/>
      <c r="EK181" s="802"/>
      <c r="EL181" s="802"/>
      <c r="EM181" s="802"/>
      <c r="EN181" s="802"/>
      <c r="EO181" s="1288">
        <v>0.25</v>
      </c>
      <c r="EP181" s="803"/>
      <c r="EQ181" s="802"/>
      <c r="ER181" s="802"/>
      <c r="ES181" s="802"/>
      <c r="ET181" s="802"/>
      <c r="EU181" s="1288">
        <v>0.25</v>
      </c>
      <c r="EV181" s="110"/>
    </row>
    <row r="182" spans="1:152" hidden="1" outlineLevel="1">
      <c r="A182" s="805"/>
      <c r="B182" s="801"/>
      <c r="C182" s="802"/>
      <c r="D182" s="802"/>
      <c r="E182" s="802"/>
      <c r="F182" s="802"/>
      <c r="G182" s="802"/>
      <c r="H182" s="803"/>
      <c r="I182" s="802"/>
      <c r="J182" s="802"/>
      <c r="K182" s="802"/>
      <c r="L182" s="802"/>
      <c r="M182" s="802"/>
      <c r="N182" s="803"/>
      <c r="O182" s="802"/>
      <c r="P182" s="802"/>
      <c r="Q182" s="802"/>
      <c r="R182" s="802"/>
      <c r="S182" s="802"/>
      <c r="T182" s="803"/>
      <c r="U182" s="802"/>
      <c r="V182" s="802"/>
      <c r="W182" s="802"/>
      <c r="X182" s="802"/>
      <c r="Y182" s="802"/>
      <c r="Z182" s="803"/>
      <c r="AA182" s="802"/>
      <c r="AB182" s="802"/>
      <c r="AC182" s="802"/>
      <c r="AD182" s="802"/>
      <c r="AE182" s="802"/>
      <c r="AF182" s="803"/>
      <c r="AG182" s="802"/>
      <c r="AH182" s="802"/>
      <c r="AI182" s="802"/>
      <c r="AJ182" s="802"/>
      <c r="AK182" s="802"/>
      <c r="AL182" s="803"/>
      <c r="AM182" s="802"/>
      <c r="AN182" s="802"/>
      <c r="AO182" s="802"/>
      <c r="AP182" s="802"/>
      <c r="AQ182" s="802"/>
      <c r="AR182" s="803"/>
      <c r="AS182" s="802"/>
      <c r="AT182" s="802"/>
      <c r="AU182" s="802"/>
      <c r="AV182" s="802"/>
      <c r="AW182" s="802"/>
      <c r="AX182" s="803"/>
      <c r="AY182" s="802"/>
      <c r="AZ182" s="802"/>
      <c r="BA182" s="802"/>
      <c r="BB182" s="802"/>
      <c r="BC182" s="802"/>
      <c r="BD182" s="803"/>
      <c r="BE182" s="802"/>
      <c r="BF182" s="802"/>
      <c r="BG182" s="802"/>
      <c r="BH182" s="802"/>
      <c r="BI182" s="802"/>
      <c r="BJ182" s="803"/>
      <c r="BK182" s="802"/>
      <c r="BL182" s="802"/>
      <c r="BM182" s="802"/>
      <c r="BN182" s="802"/>
      <c r="BO182" s="1190"/>
      <c r="BP182" s="803"/>
      <c r="BQ182" s="802"/>
      <c r="BR182" s="802"/>
      <c r="BS182" s="802"/>
      <c r="BT182" s="802"/>
      <c r="BU182" s="1190"/>
      <c r="BV182" s="803"/>
      <c r="BW182" s="802"/>
      <c r="BX182" s="802"/>
      <c r="BY182" s="802"/>
      <c r="BZ182" s="802"/>
      <c r="CA182" s="1190"/>
      <c r="CB182" s="803"/>
      <c r="CC182" s="802"/>
      <c r="CD182" s="802"/>
      <c r="CE182" s="802"/>
      <c r="CF182" s="802"/>
      <c r="CG182" s="1190"/>
      <c r="CH182" s="803"/>
      <c r="CI182" s="802"/>
      <c r="CJ182" s="802"/>
      <c r="CK182" s="802"/>
      <c r="CL182" s="802"/>
      <c r="CM182" s="1190"/>
      <c r="CN182" s="803"/>
      <c r="CO182" s="802"/>
      <c r="CP182" s="802"/>
      <c r="CQ182" s="802"/>
      <c r="CR182" s="802"/>
      <c r="CS182" s="1190"/>
      <c r="CT182" s="803"/>
      <c r="CU182" s="802"/>
      <c r="CV182" s="802"/>
      <c r="CW182" s="802"/>
      <c r="CX182" s="802"/>
      <c r="CY182" s="1190"/>
      <c r="CZ182" s="803"/>
      <c r="DA182" s="802"/>
      <c r="DB182" s="802"/>
      <c r="DC182" s="802"/>
      <c r="DD182" s="802"/>
      <c r="DE182" s="1190"/>
      <c r="DF182" s="803"/>
      <c r="DG182" s="802"/>
      <c r="DH182" s="802"/>
      <c r="DI182" s="802"/>
      <c r="DJ182" s="802"/>
      <c r="DK182" s="1190"/>
      <c r="DL182" s="803"/>
      <c r="DM182" s="802"/>
      <c r="DN182" s="802"/>
      <c r="DO182" s="802"/>
      <c r="DP182" s="802"/>
      <c r="DQ182" s="1190"/>
      <c r="DR182" s="803"/>
      <c r="DS182" s="802"/>
      <c r="DT182" s="802"/>
      <c r="DU182" s="802"/>
      <c r="DV182" s="802"/>
      <c r="DW182" s="1190"/>
      <c r="DX182" s="803"/>
      <c r="DY182" s="802"/>
      <c r="DZ182" s="802"/>
      <c r="EA182" s="802"/>
      <c r="EB182" s="802"/>
      <c r="EC182" s="1190"/>
      <c r="ED182" s="803"/>
      <c r="EE182" s="802"/>
      <c r="EF182" s="802"/>
      <c r="EG182" s="802"/>
      <c r="EH182" s="802"/>
      <c r="EI182" s="1190"/>
      <c r="EJ182" s="803"/>
      <c r="EK182" s="802"/>
      <c r="EL182" s="802"/>
      <c r="EM182" s="802"/>
      <c r="EN182" s="802"/>
      <c r="EO182" s="1190"/>
      <c r="EP182" s="803"/>
      <c r="EQ182" s="802"/>
      <c r="ER182" s="802"/>
      <c r="ES182" s="802"/>
      <c r="ET182" s="802"/>
      <c r="EU182" s="1190"/>
      <c r="EV182" s="110"/>
    </row>
    <row r="183" spans="1:152" hidden="1" outlineLevel="1">
      <c r="A183" s="806" t="s">
        <v>1938</v>
      </c>
      <c r="B183" s="801"/>
      <c r="C183" s="802"/>
      <c r="D183" s="802"/>
      <c r="E183" s="802"/>
      <c r="F183" s="802"/>
      <c r="G183" s="802"/>
      <c r="H183" s="803"/>
      <c r="I183" s="802"/>
      <c r="J183" s="802"/>
      <c r="K183" s="802"/>
      <c r="L183" s="802"/>
      <c r="M183" s="802"/>
      <c r="N183" s="803"/>
      <c r="O183" s="802"/>
      <c r="P183" s="802"/>
      <c r="Q183" s="802"/>
      <c r="R183" s="802"/>
      <c r="S183" s="802"/>
      <c r="T183" s="803"/>
      <c r="U183" s="802"/>
      <c r="V183" s="802"/>
      <c r="W183" s="802"/>
      <c r="X183" s="802"/>
      <c r="Y183" s="802"/>
      <c r="Z183" s="803"/>
      <c r="AA183" s="802"/>
      <c r="AB183" s="802"/>
      <c r="AC183" s="802"/>
      <c r="AD183" s="802"/>
      <c r="AE183" s="802"/>
      <c r="AF183" s="803"/>
      <c r="AG183" s="802"/>
      <c r="AH183" s="802"/>
      <c r="AI183" s="802"/>
      <c r="AJ183" s="802"/>
      <c r="AK183" s="802"/>
      <c r="AL183" s="803"/>
      <c r="AM183" s="802"/>
      <c r="AN183" s="802"/>
      <c r="AO183" s="802"/>
      <c r="AP183" s="802"/>
      <c r="AQ183" s="802"/>
      <c r="AR183" s="803"/>
      <c r="AS183" s="802"/>
      <c r="AT183" s="802"/>
      <c r="AU183" s="802"/>
      <c r="AV183" s="802"/>
      <c r="AW183" s="802"/>
      <c r="AX183" s="803"/>
      <c r="AY183" s="802"/>
      <c r="AZ183" s="802"/>
      <c r="BA183" s="802"/>
      <c r="BB183" s="802"/>
      <c r="BC183" s="802"/>
      <c r="BD183" s="803"/>
      <c r="BE183" s="802"/>
      <c r="BF183" s="802"/>
      <c r="BG183" s="802"/>
      <c r="BH183" s="802"/>
      <c r="BI183" s="802"/>
      <c r="BJ183" s="803"/>
      <c r="BK183" s="802"/>
      <c r="BL183" s="802"/>
      <c r="BM183" s="802"/>
      <c r="BN183" s="802"/>
      <c r="BO183" s="1190"/>
      <c r="BP183" s="803"/>
      <c r="BQ183" s="802"/>
      <c r="BR183" s="802"/>
      <c r="BS183" s="802"/>
      <c r="BT183" s="802"/>
      <c r="BU183" s="1190"/>
      <c r="BV183" s="803"/>
      <c r="BW183" s="802"/>
      <c r="BX183" s="802"/>
      <c r="BY183" s="802"/>
      <c r="BZ183" s="802"/>
      <c r="CA183" s="1190"/>
      <c r="CB183" s="803"/>
      <c r="CC183" s="802"/>
      <c r="CD183" s="802"/>
      <c r="CE183" s="802"/>
      <c r="CF183" s="802"/>
      <c r="CG183" s="1190"/>
      <c r="CH183" s="803"/>
      <c r="CI183" s="802"/>
      <c r="CJ183" s="802"/>
      <c r="CK183" s="802"/>
      <c r="CL183" s="802"/>
      <c r="CM183" s="1190"/>
      <c r="CN183" s="803"/>
      <c r="CO183" s="802"/>
      <c r="CP183" s="802"/>
      <c r="CQ183" s="802"/>
      <c r="CR183" s="802"/>
      <c r="CS183" s="1190"/>
      <c r="CT183" s="803"/>
      <c r="CU183" s="802"/>
      <c r="CV183" s="802"/>
      <c r="CW183" s="802"/>
      <c r="CX183" s="802"/>
      <c r="CY183" s="1190"/>
      <c r="CZ183" s="803"/>
      <c r="DA183" s="802"/>
      <c r="DB183" s="802"/>
      <c r="DC183" s="802"/>
      <c r="DD183" s="802"/>
      <c r="DE183" s="1190"/>
      <c r="DF183" s="803"/>
      <c r="DG183" s="802"/>
      <c r="DH183" s="802"/>
      <c r="DI183" s="802"/>
      <c r="DJ183" s="802"/>
      <c r="DK183" s="1190"/>
      <c r="DL183" s="803"/>
      <c r="DM183" s="802"/>
      <c r="DN183" s="802"/>
      <c r="DO183" s="802"/>
      <c r="DP183" s="802"/>
      <c r="DQ183" s="1190"/>
      <c r="DR183" s="803"/>
      <c r="DS183" s="802"/>
      <c r="DT183" s="802"/>
      <c r="DU183" s="802"/>
      <c r="DV183" s="802"/>
      <c r="DW183" s="1190"/>
      <c r="DX183" s="803"/>
      <c r="DY183" s="802"/>
      <c r="DZ183" s="802"/>
      <c r="EA183" s="802"/>
      <c r="EB183" s="802"/>
      <c r="EC183" s="1190"/>
      <c r="ED183" s="803"/>
      <c r="EE183" s="802"/>
      <c r="EF183" s="802"/>
      <c r="EG183" s="802"/>
      <c r="EH183" s="802"/>
      <c r="EI183" s="1190"/>
      <c r="EJ183" s="803"/>
      <c r="EK183" s="802"/>
      <c r="EL183" s="802"/>
      <c r="EM183" s="802"/>
      <c r="EN183" s="802"/>
      <c r="EO183" s="1190"/>
      <c r="EP183" s="803"/>
      <c r="EQ183" s="802"/>
      <c r="ER183" s="802"/>
      <c r="ES183" s="802"/>
      <c r="ET183" s="802"/>
      <c r="EU183" s="1190"/>
      <c r="EV183" s="110"/>
    </row>
    <row r="184" spans="1:152" hidden="1" outlineLevel="1">
      <c r="A184" s="807" t="s">
        <v>6878</v>
      </c>
      <c r="B184" s="801"/>
      <c r="C184" s="802"/>
      <c r="D184" s="802"/>
      <c r="E184" s="802"/>
      <c r="F184" s="802"/>
      <c r="G184" s="802"/>
      <c r="H184" s="803"/>
      <c r="I184" s="802"/>
      <c r="J184" s="802"/>
      <c r="K184" s="802"/>
      <c r="L184" s="802"/>
      <c r="M184" s="802"/>
      <c r="N184" s="803"/>
      <c r="O184" s="802"/>
      <c r="P184" s="802"/>
      <c r="Q184" s="802"/>
      <c r="R184" s="802"/>
      <c r="S184" s="802"/>
      <c r="T184" s="803"/>
      <c r="U184" s="802"/>
      <c r="V184" s="802"/>
      <c r="W184" s="802"/>
      <c r="X184" s="802"/>
      <c r="Y184" s="808">
        <f>BS!Y285</f>
        <v>8.0675000000000008</v>
      </c>
      <c r="Z184" s="803"/>
      <c r="AA184" s="802"/>
      <c r="AB184" s="802"/>
      <c r="AC184" s="802"/>
      <c r="AD184" s="802"/>
      <c r="AE184" s="808">
        <f>BS!AE285</f>
        <v>8</v>
      </c>
      <c r="AF184" s="803"/>
      <c r="AG184" s="802"/>
      <c r="AH184" s="802"/>
      <c r="AI184" s="802"/>
      <c r="AJ184" s="802"/>
      <c r="AK184" s="808">
        <f>BS!AK285</f>
        <v>8.3849999999999998</v>
      </c>
      <c r="AL184" s="803"/>
      <c r="AM184" s="802"/>
      <c r="AN184" s="802"/>
      <c r="AO184" s="802"/>
      <c r="AP184" s="802"/>
      <c r="AQ184" s="808">
        <f>BS!AQ285</f>
        <v>7.7050000000000001</v>
      </c>
      <c r="AR184" s="803"/>
      <c r="AS184" s="802"/>
      <c r="AT184" s="802"/>
      <c r="AU184" s="802"/>
      <c r="AV184" s="802"/>
      <c r="AW184" s="808">
        <f>BS!AW285</f>
        <v>8.73</v>
      </c>
      <c r="AX184" s="803"/>
      <c r="AY184" s="802"/>
      <c r="AZ184" s="802"/>
      <c r="BA184" s="802"/>
      <c r="BB184" s="802"/>
      <c r="BC184" s="808">
        <f>BS!BC285</f>
        <v>17.52</v>
      </c>
      <c r="BD184" s="803"/>
      <c r="BE184" s="802"/>
      <c r="BF184" s="802"/>
      <c r="BG184" s="802"/>
      <c r="BH184" s="802"/>
      <c r="BI184" s="808">
        <f>BS!BI285</f>
        <v>32.39</v>
      </c>
      <c r="BJ184" s="803"/>
      <c r="BK184" s="802"/>
      <c r="BL184" s="802"/>
      <c r="BM184" s="802"/>
      <c r="BN184" s="802"/>
      <c r="BO184" s="1283">
        <f>AVERAGE(BO185,BI185)</f>
        <v>42.155000000000001</v>
      </c>
      <c r="BP184" s="803"/>
      <c r="BQ184" s="802"/>
      <c r="BR184" s="802"/>
      <c r="BS184" s="802"/>
      <c r="BT184" s="802"/>
      <c r="BU184" s="1283">
        <f>AVERAGE(BU185,BO185)</f>
        <v>42.344999999999999</v>
      </c>
      <c r="BV184" s="803"/>
      <c r="BW184" s="802"/>
      <c r="BX184" s="802"/>
      <c r="BY184" s="802"/>
      <c r="BZ184" s="802"/>
      <c r="CA184" s="1283">
        <f>AVERAGE(CA185,BU185)</f>
        <v>37.984999999999999</v>
      </c>
      <c r="CB184" s="803"/>
      <c r="CC184" s="802"/>
      <c r="CD184" s="802"/>
      <c r="CE184" s="802"/>
      <c r="CF184" s="802"/>
      <c r="CG184" s="1283">
        <f>AVERAGE(CG185,CA185)</f>
        <v>36.97925</v>
      </c>
      <c r="CH184" s="803"/>
      <c r="CI184" s="802"/>
      <c r="CJ184" s="802"/>
      <c r="CK184" s="802"/>
      <c r="CL184" s="802"/>
      <c r="CM184" s="1283">
        <f>AVERAGE(CM185,CG185)</f>
        <v>41.161603174999996</v>
      </c>
      <c r="CN184" s="803"/>
      <c r="CO184" s="802"/>
      <c r="CP184" s="802"/>
      <c r="CQ184" s="802"/>
      <c r="CR184" s="802"/>
      <c r="CS184" s="1283">
        <f>AVERAGE(CS185,CM185)</f>
        <v>45.816980494092498</v>
      </c>
      <c r="CT184" s="803"/>
      <c r="CU184" s="802"/>
      <c r="CV184" s="802"/>
      <c r="CW184" s="802"/>
      <c r="CX184" s="802"/>
      <c r="CY184" s="1283">
        <f>AVERAGE(CY185,CS185)</f>
        <v>50.99888098797436</v>
      </c>
      <c r="CZ184" s="803"/>
      <c r="DA184" s="802"/>
      <c r="DB184" s="802"/>
      <c r="DC184" s="802"/>
      <c r="DD184" s="802"/>
      <c r="DE184" s="1283">
        <f>AVERAGE(DE185,CY185)</f>
        <v>56.76685442771425</v>
      </c>
      <c r="DF184" s="803"/>
      <c r="DG184" s="802"/>
      <c r="DH184" s="802"/>
      <c r="DI184" s="802"/>
      <c r="DJ184" s="802"/>
      <c r="DK184" s="1283">
        <f>AVERAGE(DK185,DE185)</f>
        <v>63.187185663488734</v>
      </c>
      <c r="DL184" s="803"/>
      <c r="DM184" s="802"/>
      <c r="DN184" s="802"/>
      <c r="DO184" s="802"/>
      <c r="DP184" s="802"/>
      <c r="DQ184" s="1283">
        <f>AVERAGE(DQ185,DK185)</f>
        <v>70.333656362029316</v>
      </c>
      <c r="DR184" s="803"/>
      <c r="DS184" s="802"/>
      <c r="DT184" s="802"/>
      <c r="DU184" s="802"/>
      <c r="DV184" s="802"/>
      <c r="DW184" s="1283">
        <f>AVERAGE(DW185,DQ185)</f>
        <v>78.288392896574834</v>
      </c>
      <c r="DX184" s="803"/>
      <c r="DY184" s="802"/>
      <c r="DZ184" s="802"/>
      <c r="EA184" s="802"/>
      <c r="EB184" s="802"/>
      <c r="EC184" s="1283">
        <f>AVERAGE(EC185,DW185)</f>
        <v>87.142810133177449</v>
      </c>
      <c r="ED184" s="803"/>
      <c r="EE184" s="802"/>
      <c r="EF184" s="802"/>
      <c r="EG184" s="802"/>
      <c r="EH184" s="802"/>
      <c r="EI184" s="1283">
        <f>AVERAGE(EI185,EC185)</f>
        <v>96.998661959239826</v>
      </c>
      <c r="EJ184" s="803"/>
      <c r="EK184" s="802"/>
      <c r="EL184" s="802"/>
      <c r="EM184" s="802"/>
      <c r="EN184" s="802"/>
      <c r="EO184" s="1283">
        <f>AVERAGE(EO185,EI185)</f>
        <v>107.96921062682983</v>
      </c>
      <c r="EP184" s="803"/>
      <c r="EQ184" s="802"/>
      <c r="ER184" s="802"/>
      <c r="ES184" s="802"/>
      <c r="ET184" s="802"/>
      <c r="EU184" s="1283">
        <f>AVERAGE(EU185,EO185)</f>
        <v>120.18052834872429</v>
      </c>
      <c r="EV184" s="110"/>
    </row>
    <row r="185" spans="1:152" hidden="1" outlineLevel="1">
      <c r="A185" s="809" t="s">
        <v>6879</v>
      </c>
      <c r="B185" s="801"/>
      <c r="C185" s="810"/>
      <c r="D185" s="810"/>
      <c r="E185" s="810"/>
      <c r="F185" s="810"/>
      <c r="G185" s="810"/>
      <c r="H185" s="811"/>
      <c r="I185" s="810"/>
      <c r="J185" s="810"/>
      <c r="K185" s="810"/>
      <c r="L185" s="810"/>
      <c r="M185" s="810"/>
      <c r="N185" s="811"/>
      <c r="O185" s="810"/>
      <c r="P185" s="810"/>
      <c r="Q185" s="810"/>
      <c r="R185" s="810"/>
      <c r="S185" s="812">
        <v>11.046875</v>
      </c>
      <c r="T185" s="811"/>
      <c r="U185" s="810"/>
      <c r="V185" s="810"/>
      <c r="W185" s="810"/>
      <c r="X185" s="810"/>
      <c r="Y185" s="812">
        <v>7.640625</v>
      </c>
      <c r="Z185" s="811"/>
      <c r="AA185" s="810"/>
      <c r="AB185" s="810"/>
      <c r="AC185" s="810"/>
      <c r="AD185" s="810"/>
      <c r="AE185" s="812">
        <v>9.21875</v>
      </c>
      <c r="AF185" s="811"/>
      <c r="AG185" s="810"/>
      <c r="AH185" s="810"/>
      <c r="AI185" s="810"/>
      <c r="AJ185" s="810"/>
      <c r="AK185" s="812">
        <v>10.25</v>
      </c>
      <c r="AL185" s="811"/>
      <c r="AM185" s="810"/>
      <c r="AN185" s="810"/>
      <c r="AO185" s="810"/>
      <c r="AP185" s="810"/>
      <c r="AQ185" s="812" t="e">
        <v>#NAME?</v>
      </c>
      <c r="AR185" s="811"/>
      <c r="AS185" s="810"/>
      <c r="AT185" s="810"/>
      <c r="AU185" s="810"/>
      <c r="AV185" s="810"/>
      <c r="AW185" s="812">
        <v>12.845000000000001</v>
      </c>
      <c r="AX185" s="811"/>
      <c r="AY185" s="810"/>
      <c r="AZ185" s="810"/>
      <c r="BA185" s="810"/>
      <c r="BB185" s="810"/>
      <c r="BC185" s="812">
        <v>29.37</v>
      </c>
      <c r="BD185" s="811"/>
      <c r="BE185" s="810"/>
      <c r="BF185" s="810"/>
      <c r="BG185" s="810"/>
      <c r="BH185" s="810"/>
      <c r="BI185" s="812">
        <v>40.590000000000003</v>
      </c>
      <c r="BJ185" s="813"/>
      <c r="BK185" s="812"/>
      <c r="BL185" s="812"/>
      <c r="BM185" s="812"/>
      <c r="BN185" s="812"/>
      <c r="BO185" s="1289">
        <v>43.72</v>
      </c>
      <c r="BP185" s="811"/>
      <c r="BQ185" s="810"/>
      <c r="BR185" s="810"/>
      <c r="BS185" s="810"/>
      <c r="BT185" s="810"/>
      <c r="BU185" s="1289">
        <v>40.97</v>
      </c>
      <c r="BV185" s="811"/>
      <c r="BW185" s="810"/>
      <c r="BX185" s="810"/>
      <c r="BY185" s="810"/>
      <c r="BZ185" s="810"/>
      <c r="CA185" s="1404">
        <v>35</v>
      </c>
      <c r="CB185" s="811"/>
      <c r="CC185" s="810"/>
      <c r="CD185" s="810"/>
      <c r="CE185" s="810"/>
      <c r="CF185" s="810"/>
      <c r="CG185" s="1299">
        <v>38.958500000000001</v>
      </c>
      <c r="CH185" s="811"/>
      <c r="CI185" s="810"/>
      <c r="CJ185" s="810"/>
      <c r="CK185" s="810"/>
      <c r="CL185" s="810"/>
      <c r="CM185" s="1299">
        <v>43.364706349999999</v>
      </c>
      <c r="CN185" s="811"/>
      <c r="CO185" s="810"/>
      <c r="CP185" s="810"/>
      <c r="CQ185" s="810"/>
      <c r="CR185" s="810"/>
      <c r="CS185" s="1299">
        <v>48.269254638184997</v>
      </c>
      <c r="CT185" s="811"/>
      <c r="CU185" s="810"/>
      <c r="CV185" s="810"/>
      <c r="CW185" s="810"/>
      <c r="CX185" s="810"/>
      <c r="CY185" s="1299">
        <v>53.728507337763716</v>
      </c>
      <c r="CZ185" s="811"/>
      <c r="DA185" s="810"/>
      <c r="DB185" s="810"/>
      <c r="DC185" s="810"/>
      <c r="DD185" s="810"/>
      <c r="DE185" s="1299">
        <v>59.805201517664791</v>
      </c>
      <c r="DF185" s="811"/>
      <c r="DG185" s="810"/>
      <c r="DH185" s="810"/>
      <c r="DI185" s="810"/>
      <c r="DJ185" s="810"/>
      <c r="DK185" s="1299">
        <v>66.569169809312683</v>
      </c>
      <c r="DL185" s="811"/>
      <c r="DM185" s="810"/>
      <c r="DN185" s="810"/>
      <c r="DO185" s="810"/>
      <c r="DP185" s="810"/>
      <c r="DQ185" s="1299">
        <v>74.098142914745949</v>
      </c>
      <c r="DR185" s="811"/>
      <c r="DS185" s="810"/>
      <c r="DT185" s="810"/>
      <c r="DU185" s="810"/>
      <c r="DV185" s="810"/>
      <c r="DW185" s="1299">
        <v>82.478642878403718</v>
      </c>
      <c r="DX185" s="811"/>
      <c r="DY185" s="810"/>
      <c r="DZ185" s="810"/>
      <c r="EA185" s="810"/>
      <c r="EB185" s="810"/>
      <c r="EC185" s="1299">
        <v>91.806977387951179</v>
      </c>
      <c r="ED185" s="811"/>
      <c r="EE185" s="810"/>
      <c r="EF185" s="810"/>
      <c r="EG185" s="810"/>
      <c r="EH185" s="810"/>
      <c r="EI185" s="1299">
        <v>102.19034653052846</v>
      </c>
      <c r="EJ185" s="811"/>
      <c r="EK185" s="810"/>
      <c r="EL185" s="810"/>
      <c r="EM185" s="810"/>
      <c r="EN185" s="810"/>
      <c r="EO185" s="1299">
        <v>113.74807472313123</v>
      </c>
      <c r="EP185" s="811"/>
      <c r="EQ185" s="810"/>
      <c r="ER185" s="810"/>
      <c r="ES185" s="810"/>
      <c r="ET185" s="810"/>
      <c r="EU185" s="1299">
        <v>126.61298197431736</v>
      </c>
      <c r="EV185" s="110"/>
    </row>
    <row r="186" spans="1:152" ht="11.25" hidden="1" customHeight="1" outlineLevel="1">
      <c r="A186" s="814" t="s">
        <v>1939</v>
      </c>
      <c r="B186" s="801"/>
      <c r="C186" s="802"/>
      <c r="D186" s="802"/>
      <c r="E186" s="802"/>
      <c r="F186" s="802"/>
      <c r="G186" s="802"/>
      <c r="H186" s="803"/>
      <c r="I186" s="802"/>
      <c r="J186" s="802"/>
      <c r="K186" s="802"/>
      <c r="L186" s="802"/>
      <c r="M186" s="802"/>
      <c r="N186" s="803"/>
      <c r="O186" s="802"/>
      <c r="P186" s="802"/>
      <c r="Q186" s="802"/>
      <c r="R186" s="802"/>
      <c r="S186" s="802"/>
      <c r="T186" s="803"/>
      <c r="U186" s="802"/>
      <c r="V186" s="802"/>
      <c r="W186" s="802"/>
      <c r="X186" s="802"/>
      <c r="Y186" s="802">
        <f>BS!AE221</f>
        <v>5</v>
      </c>
      <c r="Z186" s="803"/>
      <c r="AA186" s="802"/>
      <c r="AB186" s="802"/>
      <c r="AC186" s="802"/>
      <c r="AD186" s="802"/>
      <c r="AE186" s="802">
        <f>BS!AK221</f>
        <v>5</v>
      </c>
      <c r="AF186" s="803"/>
      <c r="AG186" s="802"/>
      <c r="AH186" s="802"/>
      <c r="AI186" s="802"/>
      <c r="AJ186" s="802"/>
      <c r="AK186" s="802">
        <f>BS!AQ221</f>
        <v>5</v>
      </c>
      <c r="AL186" s="803"/>
      <c r="AM186" s="802"/>
      <c r="AN186" s="802"/>
      <c r="AO186" s="802"/>
      <c r="AP186" s="802"/>
      <c r="AQ186" s="802">
        <f>BS!AW221</f>
        <v>5</v>
      </c>
      <c r="AR186" s="803"/>
      <c r="AS186" s="802"/>
      <c r="AT186" s="802"/>
      <c r="AU186" s="802"/>
      <c r="AV186" s="802"/>
      <c r="AW186" s="802">
        <f>BS!BC221</f>
        <v>4.3</v>
      </c>
      <c r="AX186" s="803"/>
      <c r="AY186" s="802"/>
      <c r="AZ186" s="802"/>
      <c r="BA186" s="802"/>
      <c r="BB186" s="802"/>
      <c r="BC186" s="802">
        <f>BS!BI221</f>
        <v>4.2</v>
      </c>
      <c r="BD186" s="803"/>
      <c r="BE186" s="802"/>
      <c r="BF186" s="802"/>
      <c r="BG186" s="802"/>
      <c r="BH186" s="802"/>
      <c r="BI186" s="802">
        <f>BS!BO221</f>
        <v>3.45</v>
      </c>
      <c r="BJ186" s="803"/>
      <c r="BK186" s="802"/>
      <c r="BL186" s="802"/>
      <c r="BM186" s="802"/>
      <c r="BN186" s="802"/>
      <c r="BO186" s="1287">
        <v>4</v>
      </c>
      <c r="BP186" s="803"/>
      <c r="BQ186" s="802"/>
      <c r="BR186" s="802"/>
      <c r="BS186" s="802"/>
      <c r="BT186" s="802"/>
      <c r="BU186" s="1287">
        <v>4</v>
      </c>
      <c r="BV186" s="803"/>
      <c r="BW186" s="802"/>
      <c r="BX186" s="802"/>
      <c r="BY186" s="802"/>
      <c r="BZ186" s="802"/>
      <c r="CA186" s="1287">
        <v>4</v>
      </c>
      <c r="CB186" s="803"/>
      <c r="CC186" s="802"/>
      <c r="CD186" s="802"/>
      <c r="CE186" s="802"/>
      <c r="CF186" s="802"/>
      <c r="CG186" s="1287">
        <v>4</v>
      </c>
      <c r="CH186" s="803"/>
      <c r="CI186" s="802"/>
      <c r="CJ186" s="802"/>
      <c r="CK186" s="802"/>
      <c r="CL186" s="802"/>
      <c r="CM186" s="1287">
        <v>4</v>
      </c>
      <c r="CN186" s="803"/>
      <c r="CO186" s="802"/>
      <c r="CP186" s="802"/>
      <c r="CQ186" s="802"/>
      <c r="CR186" s="802"/>
      <c r="CS186" s="1287">
        <v>4</v>
      </c>
      <c r="CT186" s="803"/>
      <c r="CU186" s="802"/>
      <c r="CV186" s="802"/>
      <c r="CW186" s="802"/>
      <c r="CX186" s="802"/>
      <c r="CY186" s="1287">
        <v>4</v>
      </c>
      <c r="CZ186" s="803"/>
      <c r="DA186" s="802"/>
      <c r="DB186" s="802"/>
      <c r="DC186" s="802"/>
      <c r="DD186" s="802"/>
      <c r="DE186" s="1287">
        <v>4</v>
      </c>
      <c r="DF186" s="803"/>
      <c r="DG186" s="802"/>
      <c r="DH186" s="802"/>
      <c r="DI186" s="802"/>
      <c r="DJ186" s="802"/>
      <c r="DK186" s="1287">
        <v>4</v>
      </c>
      <c r="DL186" s="803"/>
      <c r="DM186" s="802"/>
      <c r="DN186" s="802"/>
      <c r="DO186" s="802"/>
      <c r="DP186" s="802"/>
      <c r="DQ186" s="1287">
        <v>4</v>
      </c>
      <c r="DR186" s="803"/>
      <c r="DS186" s="802"/>
      <c r="DT186" s="802"/>
      <c r="DU186" s="802"/>
      <c r="DV186" s="802"/>
      <c r="DW186" s="1287">
        <v>4</v>
      </c>
      <c r="DX186" s="803"/>
      <c r="DY186" s="802"/>
      <c r="DZ186" s="802"/>
      <c r="EA186" s="802"/>
      <c r="EB186" s="802"/>
      <c r="EC186" s="1287">
        <v>4</v>
      </c>
      <c r="ED186" s="803"/>
      <c r="EE186" s="802"/>
      <c r="EF186" s="802"/>
      <c r="EG186" s="802"/>
      <c r="EH186" s="802"/>
      <c r="EI186" s="1287">
        <v>4</v>
      </c>
      <c r="EJ186" s="803"/>
      <c r="EK186" s="802"/>
      <c r="EL186" s="802"/>
      <c r="EM186" s="802"/>
      <c r="EN186" s="802"/>
      <c r="EO186" s="1287">
        <v>4</v>
      </c>
      <c r="EP186" s="803"/>
      <c r="EQ186" s="802"/>
      <c r="ER186" s="802"/>
      <c r="ES186" s="802"/>
      <c r="ET186" s="802"/>
      <c r="EU186" s="1287">
        <v>4</v>
      </c>
      <c r="EV186" s="110"/>
    </row>
    <row r="187" spans="1:152" hidden="1" outlineLevel="1">
      <c r="A187" s="807" t="s">
        <v>6283</v>
      </c>
      <c r="B187" s="801"/>
      <c r="C187" s="802"/>
      <c r="D187" s="802"/>
      <c r="E187" s="802"/>
      <c r="F187" s="802"/>
      <c r="G187" s="802"/>
      <c r="H187" s="803"/>
      <c r="I187" s="802"/>
      <c r="J187" s="802"/>
      <c r="K187" s="802"/>
      <c r="L187" s="802"/>
      <c r="M187" s="802"/>
      <c r="N187" s="803"/>
      <c r="O187" s="802"/>
      <c r="P187" s="802"/>
      <c r="Q187" s="802"/>
      <c r="R187" s="802"/>
      <c r="S187" s="802"/>
      <c r="T187" s="803"/>
      <c r="U187" s="802"/>
      <c r="V187" s="802"/>
      <c r="W187" s="802"/>
      <c r="X187" s="802"/>
      <c r="Y187" s="815">
        <f>BS!AE222</f>
        <v>5.7000000000000002E-2</v>
      </c>
      <c r="Z187" s="803"/>
      <c r="AA187" s="802"/>
      <c r="AB187" s="802"/>
      <c r="AC187" s="802"/>
      <c r="AD187" s="802"/>
      <c r="AE187" s="815">
        <f>BS!AK222</f>
        <v>4.8000000000000001E-2</v>
      </c>
      <c r="AF187" s="803"/>
      <c r="AG187" s="802"/>
      <c r="AH187" s="802"/>
      <c r="AI187" s="802"/>
      <c r="AJ187" s="802"/>
      <c r="AK187" s="815">
        <f>BS!AQ222</f>
        <v>0.03</v>
      </c>
      <c r="AL187" s="803"/>
      <c r="AM187" s="802"/>
      <c r="AN187" s="802"/>
      <c r="AO187" s="802"/>
      <c r="AP187" s="802"/>
      <c r="AQ187" s="815">
        <f>BS!AW222</f>
        <v>3.2000000000000001E-2</v>
      </c>
      <c r="AR187" s="803"/>
      <c r="AS187" s="802"/>
      <c r="AT187" s="802"/>
      <c r="AU187" s="802"/>
      <c r="AV187" s="802"/>
      <c r="AW187" s="815">
        <f>BS!BC222</f>
        <v>3.5999999999999997E-2</v>
      </c>
      <c r="AX187" s="803"/>
      <c r="AY187" s="802"/>
      <c r="AZ187" s="802"/>
      <c r="BA187" s="802"/>
      <c r="BB187" s="802"/>
      <c r="BC187" s="815">
        <f>BS!BI222</f>
        <v>4.2000000000000003E-2</v>
      </c>
      <c r="BD187" s="803"/>
      <c r="BE187" s="802"/>
      <c r="BF187" s="802"/>
      <c r="BG187" s="802"/>
      <c r="BH187" s="802"/>
      <c r="BI187" s="815">
        <f>BS!BO222</f>
        <v>4.8549999999999996E-2</v>
      </c>
      <c r="BJ187" s="803"/>
      <c r="BK187" s="802"/>
      <c r="BL187" s="802"/>
      <c r="BM187" s="802"/>
      <c r="BN187" s="802"/>
      <c r="BO187" s="1290">
        <v>4.4999999999999998E-2</v>
      </c>
      <c r="BP187" s="803"/>
      <c r="BQ187" s="802"/>
      <c r="BR187" s="802"/>
      <c r="BS187" s="802"/>
      <c r="BT187" s="802"/>
      <c r="BU187" s="1290">
        <v>4.4999999999999998E-2</v>
      </c>
      <c r="BV187" s="803"/>
      <c r="BW187" s="802"/>
      <c r="BX187" s="802"/>
      <c r="BY187" s="802"/>
      <c r="BZ187" s="802"/>
      <c r="CA187" s="1290">
        <v>4.4999999999999998E-2</v>
      </c>
      <c r="CB187" s="803"/>
      <c r="CC187" s="802"/>
      <c r="CD187" s="802"/>
      <c r="CE187" s="802"/>
      <c r="CF187" s="802"/>
      <c r="CG187" s="1290">
        <v>4.4999999999999998E-2</v>
      </c>
      <c r="CH187" s="803"/>
      <c r="CI187" s="802"/>
      <c r="CJ187" s="802"/>
      <c r="CK187" s="802"/>
      <c r="CL187" s="802"/>
      <c r="CM187" s="1290">
        <v>4.4999999999999998E-2</v>
      </c>
      <c r="CN187" s="803"/>
      <c r="CO187" s="802"/>
      <c r="CP187" s="802"/>
      <c r="CQ187" s="802"/>
      <c r="CR187" s="802"/>
      <c r="CS187" s="1290">
        <v>4.4999999999999998E-2</v>
      </c>
      <c r="CT187" s="803"/>
      <c r="CU187" s="802"/>
      <c r="CV187" s="802"/>
      <c r="CW187" s="802"/>
      <c r="CX187" s="802"/>
      <c r="CY187" s="1290">
        <v>4.4999999999999998E-2</v>
      </c>
      <c r="CZ187" s="803"/>
      <c r="DA187" s="802"/>
      <c r="DB187" s="802"/>
      <c r="DC187" s="802"/>
      <c r="DD187" s="802"/>
      <c r="DE187" s="1290">
        <v>4.4999999999999998E-2</v>
      </c>
      <c r="DF187" s="803"/>
      <c r="DG187" s="802"/>
      <c r="DH187" s="802"/>
      <c r="DI187" s="802"/>
      <c r="DJ187" s="802"/>
      <c r="DK187" s="1290">
        <v>4.4999999999999998E-2</v>
      </c>
      <c r="DL187" s="803"/>
      <c r="DM187" s="802"/>
      <c r="DN187" s="802"/>
      <c r="DO187" s="802"/>
      <c r="DP187" s="802"/>
      <c r="DQ187" s="1290">
        <v>4.4999999999999998E-2</v>
      </c>
      <c r="DR187" s="803"/>
      <c r="DS187" s="802"/>
      <c r="DT187" s="802"/>
      <c r="DU187" s="802"/>
      <c r="DV187" s="802"/>
      <c r="DW187" s="1290">
        <v>4.4999999999999998E-2</v>
      </c>
      <c r="DX187" s="803"/>
      <c r="DY187" s="802"/>
      <c r="DZ187" s="802"/>
      <c r="EA187" s="802"/>
      <c r="EB187" s="802"/>
      <c r="EC187" s="1290">
        <v>4.4999999999999998E-2</v>
      </c>
      <c r="ED187" s="803"/>
      <c r="EE187" s="802"/>
      <c r="EF187" s="802"/>
      <c r="EG187" s="802"/>
      <c r="EH187" s="802"/>
      <c r="EI187" s="1290">
        <v>4.4999999999999998E-2</v>
      </c>
      <c r="EJ187" s="803"/>
      <c r="EK187" s="802"/>
      <c r="EL187" s="802"/>
      <c r="EM187" s="802"/>
      <c r="EN187" s="802"/>
      <c r="EO187" s="1290">
        <v>4.4999999999999998E-2</v>
      </c>
      <c r="EP187" s="803"/>
      <c r="EQ187" s="802"/>
      <c r="ER187" s="802"/>
      <c r="ES187" s="802"/>
      <c r="ET187" s="802"/>
      <c r="EU187" s="1290">
        <v>4.4999999999999998E-2</v>
      </c>
      <c r="EV187" s="110"/>
    </row>
    <row r="188" spans="1:152" hidden="1" outlineLevel="1">
      <c r="A188" s="814" t="s">
        <v>6284</v>
      </c>
      <c r="B188" s="801"/>
      <c r="C188" s="802"/>
      <c r="D188" s="802"/>
      <c r="E188" s="802"/>
      <c r="F188" s="802"/>
      <c r="G188" s="802"/>
      <c r="H188" s="803"/>
      <c r="I188" s="802"/>
      <c r="J188" s="802"/>
      <c r="K188" s="802"/>
      <c r="L188" s="802"/>
      <c r="M188" s="802"/>
      <c r="N188" s="803"/>
      <c r="O188" s="802"/>
      <c r="P188" s="802"/>
      <c r="Q188" s="802"/>
      <c r="R188" s="802"/>
      <c r="S188" s="802"/>
      <c r="T188" s="803"/>
      <c r="U188" s="802"/>
      <c r="V188" s="802"/>
      <c r="W188" s="802"/>
      <c r="X188" s="802"/>
      <c r="Y188" s="816">
        <f>BS!AE223</f>
        <v>0.6</v>
      </c>
      <c r="Z188" s="803"/>
      <c r="AA188" s="802"/>
      <c r="AB188" s="802"/>
      <c r="AC188" s="802"/>
      <c r="AD188" s="802"/>
      <c r="AE188" s="816">
        <f>BS!AK223</f>
        <v>0.6</v>
      </c>
      <c r="AF188" s="803"/>
      <c r="AG188" s="802"/>
      <c r="AH188" s="802"/>
      <c r="AI188" s="802"/>
      <c r="AJ188" s="802"/>
      <c r="AK188" s="816">
        <f>BS!AQ223</f>
        <v>0.6</v>
      </c>
      <c r="AL188" s="803"/>
      <c r="AM188" s="802"/>
      <c r="AN188" s="802"/>
      <c r="AO188" s="802"/>
      <c r="AP188" s="802"/>
      <c r="AQ188" s="816">
        <f>BS!AW223</f>
        <v>0.6</v>
      </c>
      <c r="AR188" s="803"/>
      <c r="AS188" s="802"/>
      <c r="AT188" s="802"/>
      <c r="AU188" s="802"/>
      <c r="AV188" s="802"/>
      <c r="AW188" s="816">
        <f>BS!BC223</f>
        <v>0.51</v>
      </c>
      <c r="AX188" s="803"/>
      <c r="AY188" s="802"/>
      <c r="AZ188" s="802"/>
      <c r="BA188" s="802"/>
      <c r="BB188" s="802"/>
      <c r="BC188" s="816">
        <f>BS!BI223</f>
        <v>0.43</v>
      </c>
      <c r="BD188" s="803"/>
      <c r="BE188" s="802"/>
      <c r="BF188" s="802"/>
      <c r="BG188" s="802"/>
      <c r="BH188" s="802"/>
      <c r="BI188" s="816">
        <f>BS!BO223</f>
        <v>0.375</v>
      </c>
      <c r="BJ188" s="803"/>
      <c r="BK188" s="802"/>
      <c r="BL188" s="802"/>
      <c r="BM188" s="802"/>
      <c r="BN188" s="802"/>
      <c r="BO188" s="1288">
        <v>0.5</v>
      </c>
      <c r="BP188" s="803"/>
      <c r="BQ188" s="802"/>
      <c r="BR188" s="802"/>
      <c r="BS188" s="802"/>
      <c r="BT188" s="802"/>
      <c r="BU188" s="1288">
        <v>0.5</v>
      </c>
      <c r="BV188" s="803"/>
      <c r="BW188" s="802"/>
      <c r="BX188" s="802"/>
      <c r="BY188" s="802"/>
      <c r="BZ188" s="802"/>
      <c r="CA188" s="1288">
        <v>0.5</v>
      </c>
      <c r="CB188" s="803"/>
      <c r="CC188" s="802"/>
      <c r="CD188" s="802"/>
      <c r="CE188" s="802"/>
      <c r="CF188" s="802"/>
      <c r="CG188" s="1288">
        <v>0.5</v>
      </c>
      <c r="CH188" s="803"/>
      <c r="CI188" s="802"/>
      <c r="CJ188" s="802"/>
      <c r="CK188" s="802"/>
      <c r="CL188" s="802"/>
      <c r="CM188" s="1288">
        <v>0.5</v>
      </c>
      <c r="CN188" s="803"/>
      <c r="CO188" s="802"/>
      <c r="CP188" s="802"/>
      <c r="CQ188" s="802"/>
      <c r="CR188" s="802"/>
      <c r="CS188" s="1288">
        <v>0.5</v>
      </c>
      <c r="CT188" s="803"/>
      <c r="CU188" s="802"/>
      <c r="CV188" s="802"/>
      <c r="CW188" s="802"/>
      <c r="CX188" s="802"/>
      <c r="CY188" s="1288">
        <v>0.5</v>
      </c>
      <c r="CZ188" s="803"/>
      <c r="DA188" s="802"/>
      <c r="DB188" s="802"/>
      <c r="DC188" s="802"/>
      <c r="DD188" s="802"/>
      <c r="DE188" s="1288">
        <v>0.5</v>
      </c>
      <c r="DF188" s="803"/>
      <c r="DG188" s="802"/>
      <c r="DH188" s="802"/>
      <c r="DI188" s="802"/>
      <c r="DJ188" s="802"/>
      <c r="DK188" s="1288">
        <v>0.5</v>
      </c>
      <c r="DL188" s="803"/>
      <c r="DM188" s="802"/>
      <c r="DN188" s="802"/>
      <c r="DO188" s="802"/>
      <c r="DP188" s="802"/>
      <c r="DQ188" s="1288">
        <v>0.5</v>
      </c>
      <c r="DR188" s="803"/>
      <c r="DS188" s="802"/>
      <c r="DT188" s="802"/>
      <c r="DU188" s="802"/>
      <c r="DV188" s="802"/>
      <c r="DW188" s="1288">
        <v>0.5</v>
      </c>
      <c r="DX188" s="803"/>
      <c r="DY188" s="802"/>
      <c r="DZ188" s="802"/>
      <c r="EA188" s="802"/>
      <c r="EB188" s="802"/>
      <c r="EC188" s="1288">
        <v>0.5</v>
      </c>
      <c r="ED188" s="803"/>
      <c r="EE188" s="802"/>
      <c r="EF188" s="802"/>
      <c r="EG188" s="802"/>
      <c r="EH188" s="802"/>
      <c r="EI188" s="1288">
        <v>0.5</v>
      </c>
      <c r="EJ188" s="803"/>
      <c r="EK188" s="802"/>
      <c r="EL188" s="802"/>
      <c r="EM188" s="802"/>
      <c r="EN188" s="802"/>
      <c r="EO188" s="1288">
        <v>0.5</v>
      </c>
      <c r="EP188" s="803"/>
      <c r="EQ188" s="802"/>
      <c r="ER188" s="802"/>
      <c r="ES188" s="802"/>
      <c r="ET188" s="802"/>
      <c r="EU188" s="1288">
        <v>0.5</v>
      </c>
      <c r="EV188" s="110"/>
    </row>
    <row r="189" spans="1:152" hidden="1" outlineLevel="1">
      <c r="A189" s="814" t="s">
        <v>6285</v>
      </c>
      <c r="B189" s="801"/>
      <c r="C189" s="802"/>
      <c r="D189" s="802"/>
      <c r="E189" s="802"/>
      <c r="F189" s="802"/>
      <c r="G189" s="802"/>
      <c r="H189" s="803"/>
      <c r="I189" s="802"/>
      <c r="J189" s="802"/>
      <c r="K189" s="802"/>
      <c r="L189" s="802"/>
      <c r="M189" s="802"/>
      <c r="N189" s="803"/>
      <c r="O189" s="802"/>
      <c r="P189" s="802"/>
      <c r="Q189" s="802"/>
      <c r="R189" s="802"/>
      <c r="S189" s="802"/>
      <c r="T189" s="803"/>
      <c r="U189" s="802"/>
      <c r="V189" s="802"/>
      <c r="W189" s="802"/>
      <c r="X189" s="802"/>
      <c r="Y189" s="816">
        <f>BS!AE224</f>
        <v>8.0000000000000002E-3</v>
      </c>
      <c r="Z189" s="803"/>
      <c r="AA189" s="802"/>
      <c r="AB189" s="802"/>
      <c r="AC189" s="802"/>
      <c r="AD189" s="802"/>
      <c r="AE189" s="816">
        <f>BS!AK224</f>
        <v>7.0000000000000001E-3</v>
      </c>
      <c r="AF189" s="803"/>
      <c r="AG189" s="802"/>
      <c r="AH189" s="802"/>
      <c r="AI189" s="802"/>
      <c r="AJ189" s="802"/>
      <c r="AK189" s="816">
        <f>BS!AQ224</f>
        <v>8.0000000000000002E-3</v>
      </c>
      <c r="AL189" s="803"/>
      <c r="AM189" s="802"/>
      <c r="AN189" s="802"/>
      <c r="AO189" s="802"/>
      <c r="AP189" s="802"/>
      <c r="AQ189" s="816">
        <f>BS!AW224</f>
        <v>7.0000000000000001E-3</v>
      </c>
      <c r="AR189" s="803"/>
      <c r="AS189" s="802"/>
      <c r="AT189" s="802"/>
      <c r="AU189" s="802"/>
      <c r="AV189" s="802"/>
      <c r="AW189" s="816">
        <f>BS!BC224</f>
        <v>3.0000000000000001E-3</v>
      </c>
      <c r="AX189" s="803"/>
      <c r="AY189" s="802"/>
      <c r="AZ189" s="802"/>
      <c r="BA189" s="802"/>
      <c r="BB189" s="802"/>
      <c r="BC189" s="816">
        <f>BS!BI224</f>
        <v>0</v>
      </c>
      <c r="BD189" s="803"/>
      <c r="BE189" s="802"/>
      <c r="BF189" s="802"/>
      <c r="BG189" s="802"/>
      <c r="BH189" s="802"/>
      <c r="BI189" s="816">
        <f>BS!BO224</f>
        <v>0</v>
      </c>
      <c r="BJ189" s="803"/>
      <c r="BK189" s="802"/>
      <c r="BL189" s="802"/>
      <c r="BM189" s="802"/>
      <c r="BN189" s="802"/>
      <c r="BO189" s="1288">
        <v>0</v>
      </c>
      <c r="BP189" s="803"/>
      <c r="BQ189" s="802"/>
      <c r="BR189" s="802"/>
      <c r="BS189" s="802"/>
      <c r="BT189" s="802"/>
      <c r="BU189" s="1288">
        <v>0</v>
      </c>
      <c r="BV189" s="803"/>
      <c r="BW189" s="802"/>
      <c r="BX189" s="802"/>
      <c r="BY189" s="802"/>
      <c r="BZ189" s="802"/>
      <c r="CA189" s="1288">
        <v>0</v>
      </c>
      <c r="CB189" s="803"/>
      <c r="CC189" s="802"/>
      <c r="CD189" s="802"/>
      <c r="CE189" s="802"/>
      <c r="CF189" s="802"/>
      <c r="CG189" s="1288">
        <v>0</v>
      </c>
      <c r="CH189" s="803"/>
      <c r="CI189" s="802"/>
      <c r="CJ189" s="802"/>
      <c r="CK189" s="802"/>
      <c r="CL189" s="802"/>
      <c r="CM189" s="1288">
        <v>0</v>
      </c>
      <c r="CN189" s="803"/>
      <c r="CO189" s="802"/>
      <c r="CP189" s="802"/>
      <c r="CQ189" s="802"/>
      <c r="CR189" s="802"/>
      <c r="CS189" s="1288">
        <v>0</v>
      </c>
      <c r="CT189" s="803"/>
      <c r="CU189" s="802"/>
      <c r="CV189" s="802"/>
      <c r="CW189" s="802"/>
      <c r="CX189" s="802"/>
      <c r="CY189" s="1288">
        <v>0</v>
      </c>
      <c r="CZ189" s="803"/>
      <c r="DA189" s="802"/>
      <c r="DB189" s="802"/>
      <c r="DC189" s="802"/>
      <c r="DD189" s="802"/>
      <c r="DE189" s="1288">
        <v>0</v>
      </c>
      <c r="DF189" s="803"/>
      <c r="DG189" s="802"/>
      <c r="DH189" s="802"/>
      <c r="DI189" s="802"/>
      <c r="DJ189" s="802"/>
      <c r="DK189" s="1288">
        <v>0</v>
      </c>
      <c r="DL189" s="803"/>
      <c r="DM189" s="802"/>
      <c r="DN189" s="802"/>
      <c r="DO189" s="802"/>
      <c r="DP189" s="802"/>
      <c r="DQ189" s="1288">
        <v>0</v>
      </c>
      <c r="DR189" s="803"/>
      <c r="DS189" s="802"/>
      <c r="DT189" s="802"/>
      <c r="DU189" s="802"/>
      <c r="DV189" s="802"/>
      <c r="DW189" s="1288">
        <v>0</v>
      </c>
      <c r="DX189" s="803"/>
      <c r="DY189" s="802"/>
      <c r="DZ189" s="802"/>
      <c r="EA189" s="802"/>
      <c r="EB189" s="802"/>
      <c r="EC189" s="1288">
        <v>0</v>
      </c>
      <c r="ED189" s="803"/>
      <c r="EE189" s="802"/>
      <c r="EF189" s="802"/>
      <c r="EG189" s="802"/>
      <c r="EH189" s="802"/>
      <c r="EI189" s="1288">
        <v>0</v>
      </c>
      <c r="EJ189" s="803"/>
      <c r="EK189" s="802"/>
      <c r="EL189" s="802"/>
      <c r="EM189" s="802"/>
      <c r="EN189" s="802"/>
      <c r="EO189" s="1288">
        <v>0</v>
      </c>
      <c r="EP189" s="803"/>
      <c r="EQ189" s="802"/>
      <c r="ER189" s="802"/>
      <c r="ES189" s="802"/>
      <c r="ET189" s="802"/>
      <c r="EU189" s="1288">
        <v>0</v>
      </c>
      <c r="EV189" s="110"/>
    </row>
    <row r="190" spans="1:152" ht="13.5" hidden="1" outlineLevel="1" thickBot="1">
      <c r="A190" s="817" t="s">
        <v>6043</v>
      </c>
      <c r="B190" s="818"/>
      <c r="C190" s="819"/>
      <c r="D190" s="819"/>
      <c r="E190" s="819"/>
      <c r="F190" s="819"/>
      <c r="G190" s="819"/>
      <c r="H190" s="820"/>
      <c r="I190" s="819"/>
      <c r="J190" s="819"/>
      <c r="K190" s="819"/>
      <c r="L190" s="819"/>
      <c r="M190" s="819"/>
      <c r="N190" s="820"/>
      <c r="O190" s="819"/>
      <c r="P190" s="819"/>
      <c r="Q190" s="819"/>
      <c r="R190" s="819"/>
      <c r="S190" s="819"/>
      <c r="T190" s="820"/>
      <c r="U190" s="819"/>
      <c r="V190" s="819"/>
      <c r="W190" s="819"/>
      <c r="X190" s="819"/>
      <c r="Y190" s="821">
        <f>BS!Y225</f>
        <v>5.65</v>
      </c>
      <c r="Z190" s="820"/>
      <c r="AA190" s="819"/>
      <c r="AB190" s="819"/>
      <c r="AC190" s="819"/>
      <c r="AD190" s="819"/>
      <c r="AE190" s="821">
        <f>BS!AE225</f>
        <v>4.375</v>
      </c>
      <c r="AF190" s="820"/>
      <c r="AG190" s="819"/>
      <c r="AH190" s="819"/>
      <c r="AI190" s="819"/>
      <c r="AJ190" s="819"/>
      <c r="AK190" s="821">
        <f>BS!AK225</f>
        <v>4.4649999999999999</v>
      </c>
      <c r="AL190" s="820"/>
      <c r="AM190" s="819"/>
      <c r="AN190" s="819"/>
      <c r="AO190" s="819"/>
      <c r="AP190" s="819"/>
      <c r="AQ190" s="821">
        <f>BS!AQ225</f>
        <v>3.91</v>
      </c>
      <c r="AR190" s="820"/>
      <c r="AS190" s="819"/>
      <c r="AT190" s="819"/>
      <c r="AU190" s="819"/>
      <c r="AV190" s="819"/>
      <c r="AW190" s="821">
        <f>BS!AW225</f>
        <v>4.0350000000000001</v>
      </c>
      <c r="AX190" s="820"/>
      <c r="AY190" s="819"/>
      <c r="AZ190" s="819"/>
      <c r="BA190" s="819"/>
      <c r="BB190" s="819"/>
      <c r="BC190" s="821">
        <f>BS!BC225</f>
        <v>7.8748915178551826</v>
      </c>
      <c r="BD190" s="820"/>
      <c r="BE190" s="819"/>
      <c r="BF190" s="819"/>
      <c r="BG190" s="819"/>
      <c r="BH190" s="819"/>
      <c r="BI190" s="821">
        <f>Call_Eur(BI184,BI184,BI186,BI187,BI188)</f>
        <v>10.863388124611907</v>
      </c>
      <c r="BJ190" s="820"/>
      <c r="BK190" s="819"/>
      <c r="BL190" s="819"/>
      <c r="BM190" s="819"/>
      <c r="BN190" s="819"/>
      <c r="BO190" s="1291">
        <f>Call_Eur(BO184,BO184,BO186,BO187,BO188)</f>
        <v>18.504035187487489</v>
      </c>
      <c r="BP190" s="820"/>
      <c r="BQ190" s="819"/>
      <c r="BR190" s="819"/>
      <c r="BS190" s="819"/>
      <c r="BT190" s="819"/>
      <c r="BU190" s="1291">
        <f>Call_Eur(BU184,BU184,BU186,BU187,BU188)</f>
        <v>18.587436128908976</v>
      </c>
      <c r="BV190" s="820"/>
      <c r="BW190" s="819"/>
      <c r="BX190" s="819"/>
      <c r="BY190" s="819"/>
      <c r="BZ190" s="819"/>
      <c r="CA190" s="1291">
        <f>Call_Eur(CA184,CA184,CA186,CA187,CA188)</f>
        <v>16.673603999447568</v>
      </c>
      <c r="CB190" s="820"/>
      <c r="CC190" s="819"/>
      <c r="CD190" s="819"/>
      <c r="CE190" s="819"/>
      <c r="CF190" s="819"/>
      <c r="CG190" s="1291">
        <f>Call_Eur(CG184,CG184,CG186,CG187,CG188)</f>
        <v>16.232127700317797</v>
      </c>
      <c r="CH190" s="820"/>
      <c r="CI190" s="819"/>
      <c r="CJ190" s="819"/>
      <c r="CK190" s="819"/>
      <c r="CL190" s="819"/>
      <c r="CM190" s="1291">
        <f>Call_Eur(CM184,CM184,CM186,CM187,CM188)</f>
        <v>18.067981343223735</v>
      </c>
      <c r="CN190" s="820"/>
      <c r="CO190" s="819"/>
      <c r="CP190" s="819"/>
      <c r="CQ190" s="819"/>
      <c r="CR190" s="819"/>
      <c r="CS190" s="1291">
        <f>Call_Eur(CS184,CS184,CS186,CS187,CS188)</f>
        <v>20.111470033142346</v>
      </c>
      <c r="CT190" s="820"/>
      <c r="CU190" s="819"/>
      <c r="CV190" s="819"/>
      <c r="CW190" s="819"/>
      <c r="CX190" s="819"/>
      <c r="CY190" s="1291">
        <f>Call_Eur(CY184,CY184,CY186,CY187,CY188)</f>
        <v>22.386077293890743</v>
      </c>
      <c r="CZ190" s="820"/>
      <c r="DA190" s="819"/>
      <c r="DB190" s="819"/>
      <c r="DC190" s="819"/>
      <c r="DD190" s="819"/>
      <c r="DE190" s="1291">
        <f>Call_Eur(DE184,DE184,DE186,DE187,DE188)</f>
        <v>24.917942635829785</v>
      </c>
      <c r="DF190" s="820"/>
      <c r="DG190" s="819"/>
      <c r="DH190" s="819"/>
      <c r="DI190" s="819"/>
      <c r="DJ190" s="819"/>
      <c r="DK190" s="1291">
        <f>Call_Eur(DK184,DK184,DK186,DK187,DK188)</f>
        <v>27.736161947942133</v>
      </c>
      <c r="DL190" s="820"/>
      <c r="DM190" s="819"/>
      <c r="DN190" s="819"/>
      <c r="DO190" s="819"/>
      <c r="DP190" s="819"/>
      <c r="DQ190" s="1291">
        <f>Call_Eur(DQ184,DQ184,DQ186,DQ187,DQ188)</f>
        <v>30.87312186425439</v>
      </c>
      <c r="DR190" s="820"/>
      <c r="DS190" s="819"/>
      <c r="DT190" s="819"/>
      <c r="DU190" s="819"/>
      <c r="DV190" s="819"/>
      <c r="DW190" s="1291">
        <f>Call_Eur(DW184,DW184,DW186,DW187,DW188)</f>
        <v>34.364871947101562</v>
      </c>
      <c r="DX190" s="820"/>
      <c r="DY190" s="819"/>
      <c r="DZ190" s="819"/>
      <c r="EA190" s="819"/>
      <c r="EB190" s="819"/>
      <c r="EC190" s="1291">
        <f>Call_Eur(EC184,EC184,EC186,EC187,EC188)</f>
        <v>38.251538964318755</v>
      </c>
      <c r="ED190" s="820"/>
      <c r="EE190" s="819"/>
      <c r="EF190" s="819"/>
      <c r="EG190" s="819"/>
      <c r="EH190" s="819"/>
      <c r="EI190" s="1291">
        <f>Call_Eur(EI184,EI184,EI186,EI187,EI188)</f>
        <v>42.577788021183196</v>
      </c>
      <c r="EJ190" s="820"/>
      <c r="EK190" s="819"/>
      <c r="EL190" s="819"/>
      <c r="EM190" s="819"/>
      <c r="EN190" s="819"/>
      <c r="EO190" s="1291">
        <f>Call_Eur(EO184,EO184,EO186,EO187,EO188)</f>
        <v>47.393335846379017</v>
      </c>
      <c r="EP190" s="820"/>
      <c r="EQ190" s="819"/>
      <c r="ER190" s="819"/>
      <c r="ES190" s="819"/>
      <c r="ET190" s="819"/>
      <c r="EU190" s="1291">
        <f>Call_Eur(EU184,EU184,EU186,EU187,EU188)</f>
        <v>52.75352213060448</v>
      </c>
      <c r="EV190" s="110"/>
    </row>
    <row r="191" spans="1:152" hidden="1" outlineLevel="1">
      <c r="A191" s="739"/>
      <c r="B191" s="524"/>
      <c r="C191" s="240"/>
      <c r="D191" s="240"/>
      <c r="E191" s="240"/>
      <c r="F191" s="240"/>
      <c r="G191" s="240"/>
      <c r="H191" s="110"/>
      <c r="I191" s="240"/>
      <c r="J191" s="240"/>
      <c r="K191" s="240"/>
      <c r="L191" s="240"/>
      <c r="M191" s="240"/>
      <c r="N191" s="110"/>
      <c r="O191" s="240"/>
      <c r="P191" s="240"/>
      <c r="Q191" s="240"/>
      <c r="R191" s="240"/>
      <c r="S191" s="240"/>
      <c r="T191" s="110"/>
      <c r="U191" s="240"/>
      <c r="V191" s="240"/>
      <c r="W191" s="240"/>
      <c r="X191" s="240"/>
      <c r="Y191" s="240"/>
      <c r="Z191" s="110"/>
      <c r="AA191" s="240"/>
      <c r="AB191" s="240"/>
      <c r="AC191" s="240"/>
      <c r="AD191" s="240"/>
      <c r="AE191" s="240"/>
      <c r="AF191" s="110"/>
      <c r="AG191" s="240"/>
      <c r="AH191" s="240"/>
      <c r="AI191" s="240"/>
      <c r="AJ191" s="240"/>
      <c r="AK191" s="240"/>
      <c r="AL191" s="110"/>
      <c r="AM191" s="240"/>
      <c r="AN191" s="240"/>
      <c r="AO191" s="240"/>
      <c r="AP191" s="240"/>
      <c r="AQ191" s="240"/>
      <c r="AR191" s="110"/>
      <c r="AS191" s="240"/>
      <c r="AT191" s="240"/>
      <c r="AU191" s="240"/>
      <c r="AV191" s="240"/>
      <c r="AW191" s="240"/>
      <c r="AX191" s="110"/>
      <c r="AY191" s="240"/>
      <c r="AZ191" s="240"/>
      <c r="BA191" s="240"/>
      <c r="BB191" s="240"/>
      <c r="BC191" s="240"/>
      <c r="BD191" s="110"/>
      <c r="BE191" s="240"/>
      <c r="BF191" s="240"/>
      <c r="BG191" s="240"/>
      <c r="BH191" s="240"/>
      <c r="BI191" s="240"/>
      <c r="BJ191" s="110"/>
      <c r="BK191" s="240"/>
      <c r="BL191" s="240"/>
      <c r="BM191" s="240"/>
      <c r="BN191" s="240"/>
      <c r="BO191" s="1190"/>
      <c r="BP191" s="110"/>
      <c r="BQ191" s="240"/>
      <c r="BR191" s="240"/>
      <c r="BS191" s="240"/>
      <c r="BT191" s="240"/>
      <c r="BU191" s="1190"/>
      <c r="BV191" s="110"/>
      <c r="BW191" s="240"/>
      <c r="BX191" s="240"/>
      <c r="BY191" s="240"/>
      <c r="BZ191" s="240"/>
      <c r="CA191" s="1190"/>
      <c r="CB191" s="110"/>
      <c r="CC191" s="240"/>
      <c r="CD191" s="240"/>
      <c r="CE191" s="240"/>
      <c r="CF191" s="240"/>
      <c r="CG191" s="1190"/>
      <c r="CH191" s="110"/>
      <c r="CI191" s="240"/>
      <c r="CJ191" s="240"/>
      <c r="CK191" s="240"/>
      <c r="CL191" s="240"/>
      <c r="CM191" s="1190"/>
      <c r="CN191" s="110"/>
      <c r="CO191" s="240"/>
      <c r="CP191" s="240"/>
      <c r="CQ191" s="240"/>
      <c r="CR191" s="240"/>
      <c r="CS191" s="1190"/>
      <c r="CT191" s="110"/>
      <c r="CU191" s="240"/>
      <c r="CV191" s="240"/>
      <c r="CW191" s="240"/>
      <c r="CX191" s="240"/>
      <c r="CY191" s="1190"/>
      <c r="CZ191" s="110"/>
      <c r="DA191" s="240"/>
      <c r="DB191" s="240"/>
      <c r="DC191" s="240"/>
      <c r="DD191" s="240"/>
      <c r="DE191" s="1190"/>
      <c r="DF191" s="110"/>
      <c r="DG191" s="240"/>
      <c r="DH191" s="240"/>
      <c r="DI191" s="240"/>
      <c r="DJ191" s="240"/>
      <c r="DK191" s="1190"/>
      <c r="DL191" s="110"/>
      <c r="DM191" s="240"/>
      <c r="DN191" s="240"/>
      <c r="DO191" s="240"/>
      <c r="DP191" s="240"/>
      <c r="DQ191" s="1190"/>
      <c r="DR191" s="110"/>
      <c r="DS191" s="240"/>
      <c r="DT191" s="240"/>
      <c r="DU191" s="240"/>
      <c r="DV191" s="240"/>
      <c r="DW191" s="1190"/>
      <c r="DX191" s="110"/>
      <c r="DY191" s="240"/>
      <c r="DZ191" s="240"/>
      <c r="EA191" s="240"/>
      <c r="EB191" s="240"/>
      <c r="EC191" s="1190"/>
      <c r="ED191" s="110"/>
      <c r="EE191" s="240"/>
      <c r="EF191" s="240"/>
      <c r="EG191" s="240"/>
      <c r="EH191" s="240"/>
      <c r="EI191" s="1190"/>
      <c r="EJ191" s="110"/>
      <c r="EK191" s="240"/>
      <c r="EL191" s="240"/>
      <c r="EM191" s="240"/>
      <c r="EN191" s="240"/>
      <c r="EO191" s="1190"/>
      <c r="EP191" s="110"/>
      <c r="EQ191" s="240"/>
      <c r="ER191" s="240"/>
      <c r="ES191" s="240"/>
      <c r="ET191" s="240"/>
      <c r="EU191" s="1190"/>
      <c r="EV191" s="110"/>
    </row>
    <row r="192" spans="1:152" hidden="1" outlineLevel="1">
      <c r="A192" s="41" t="s">
        <v>1439</v>
      </c>
      <c r="B192" s="522"/>
      <c r="C192" s="177"/>
      <c r="D192" s="177"/>
      <c r="E192" s="177"/>
      <c r="F192" s="177"/>
      <c r="G192" s="72"/>
      <c r="H192" s="121"/>
      <c r="I192" s="177"/>
      <c r="J192" s="177"/>
      <c r="K192" s="177"/>
      <c r="L192" s="177"/>
      <c r="M192" s="72"/>
      <c r="N192" s="121"/>
      <c r="O192" s="177">
        <f>P192</f>
        <v>0.35</v>
      </c>
      <c r="P192" s="177">
        <f>Q192</f>
        <v>0.35</v>
      </c>
      <c r="Q192" s="177">
        <f>R192</f>
        <v>0.35</v>
      </c>
      <c r="R192" s="177">
        <f>S192</f>
        <v>0.35</v>
      </c>
      <c r="S192" s="72">
        <v>0.35</v>
      </c>
      <c r="T192" s="121"/>
      <c r="U192" s="177">
        <f>V192</f>
        <v>0.35</v>
      </c>
      <c r="V192" s="177">
        <f>W192</f>
        <v>0.35</v>
      </c>
      <c r="W192" s="177">
        <f>X192</f>
        <v>0.35</v>
      </c>
      <c r="X192" s="177">
        <f>Y192</f>
        <v>0.35</v>
      </c>
      <c r="Y192" s="72">
        <v>0.35</v>
      </c>
      <c r="Z192" s="121"/>
      <c r="AA192" s="177">
        <f>AB192</f>
        <v>0.35</v>
      </c>
      <c r="AB192" s="177">
        <f>AC192</f>
        <v>0.35</v>
      </c>
      <c r="AC192" s="177">
        <f>AD192</f>
        <v>0.35</v>
      </c>
      <c r="AD192" s="177">
        <f>AE192</f>
        <v>0.35</v>
      </c>
      <c r="AE192" s="72">
        <v>0.35</v>
      </c>
      <c r="AF192" s="121"/>
      <c r="AG192" s="177">
        <f>AH192</f>
        <v>0.35</v>
      </c>
      <c r="AH192" s="177">
        <f>AI192</f>
        <v>0.35</v>
      </c>
      <c r="AI192" s="177">
        <f>AJ192</f>
        <v>0.35</v>
      </c>
      <c r="AJ192" s="177">
        <f>AK192</f>
        <v>0.35</v>
      </c>
      <c r="AK192" s="72">
        <v>0.35</v>
      </c>
      <c r="AL192" s="121"/>
      <c r="AM192" s="177">
        <f>AN192</f>
        <v>0.3209942326980938</v>
      </c>
      <c r="AN192" s="177">
        <f>AO192</f>
        <v>0.3209942326980938</v>
      </c>
      <c r="AO192" s="177">
        <f>AP192</f>
        <v>0.3209942326980938</v>
      </c>
      <c r="AP192" s="177">
        <f>AQ192</f>
        <v>0.3209942326980938</v>
      </c>
      <c r="AQ192" s="72">
        <v>0.3209942326980938</v>
      </c>
      <c r="AR192" s="177"/>
      <c r="AS192" s="177">
        <f>AT192</f>
        <v>0.33943947604641089</v>
      </c>
      <c r="AT192" s="177">
        <f>AU192</f>
        <v>0.33943947604641089</v>
      </c>
      <c r="AU192" s="177">
        <f>AV192</f>
        <v>0.33943947604641089</v>
      </c>
      <c r="AV192" s="177">
        <f>AW192</f>
        <v>0.33943947604641089</v>
      </c>
      <c r="AW192" s="72">
        <v>0.33943947604641089</v>
      </c>
      <c r="AX192" s="177"/>
      <c r="AY192" s="177">
        <f>AZ192</f>
        <v>0.26083831035839106</v>
      </c>
      <c r="AZ192" s="177">
        <f>BA192</f>
        <v>0.26083831035839106</v>
      </c>
      <c r="BA192" s="177">
        <f>BB192</f>
        <v>0.26083831035839106</v>
      </c>
      <c r="BB192" s="177">
        <f>BC192</f>
        <v>0.26083831035839106</v>
      </c>
      <c r="BC192" s="72">
        <v>0.26083831035839106</v>
      </c>
      <c r="BD192" s="177"/>
      <c r="BE192" s="177">
        <f>BF192</f>
        <v>0.26083831035839106</v>
      </c>
      <c r="BF192" s="177">
        <f>BG192</f>
        <v>0.26083831035839106</v>
      </c>
      <c r="BG192" s="177">
        <f>BH192</f>
        <v>0.26083831035839106</v>
      </c>
      <c r="BH192" s="177">
        <f>BI192</f>
        <v>0.26083831035839106</v>
      </c>
      <c r="BI192" s="72">
        <f>BC192</f>
        <v>0.26083831035839106</v>
      </c>
      <c r="BJ192" s="177"/>
      <c r="BK192" s="177">
        <f>BL192</f>
        <v>0.26083831035839106</v>
      </c>
      <c r="BL192" s="177">
        <f>BM192</f>
        <v>0.26083831035839106</v>
      </c>
      <c r="BM192" s="177">
        <f>BN192</f>
        <v>0.26083831035839106</v>
      </c>
      <c r="BN192" s="177">
        <f>BO192</f>
        <v>0.26083831035839106</v>
      </c>
      <c r="BO192" s="1161">
        <f>BI192</f>
        <v>0.26083831035839106</v>
      </c>
      <c r="BP192" s="121"/>
      <c r="BQ192" s="177">
        <f>BR192</f>
        <v>0.26083831035839106</v>
      </c>
      <c r="BR192" s="177">
        <f>BS192</f>
        <v>0.26083831035839106</v>
      </c>
      <c r="BS192" s="177">
        <f>BT192</f>
        <v>0.26083831035839106</v>
      </c>
      <c r="BT192" s="177">
        <f>BU192</f>
        <v>0.26083831035839106</v>
      </c>
      <c r="BU192" s="1161">
        <f>BO192</f>
        <v>0.26083831035839106</v>
      </c>
      <c r="BV192" s="121"/>
      <c r="BW192" s="177">
        <f>BX192</f>
        <v>0.26083831035839106</v>
      </c>
      <c r="BX192" s="177">
        <f>BY192</f>
        <v>0.26083831035839106</v>
      </c>
      <c r="BY192" s="177">
        <f>BZ192</f>
        <v>0.26083831035839106</v>
      </c>
      <c r="BZ192" s="177">
        <f>CA192</f>
        <v>0.26083831035839106</v>
      </c>
      <c r="CA192" s="1161">
        <f>BU192</f>
        <v>0.26083831035839106</v>
      </c>
      <c r="CB192" s="121"/>
      <c r="CC192" s="177">
        <f>CD192</f>
        <v>0.26083831035839106</v>
      </c>
      <c r="CD192" s="177">
        <f>CE192</f>
        <v>0.26083831035839106</v>
      </c>
      <c r="CE192" s="177">
        <f>CF192</f>
        <v>0.26083831035839106</v>
      </c>
      <c r="CF192" s="177">
        <f>CG192</f>
        <v>0.26083831035839106</v>
      </c>
      <c r="CG192" s="1161">
        <f>CA192</f>
        <v>0.26083831035839106</v>
      </c>
      <c r="CH192" s="121"/>
      <c r="CI192" s="177">
        <f>CJ192</f>
        <v>0.26083831035839106</v>
      </c>
      <c r="CJ192" s="177">
        <f>CK192</f>
        <v>0.26083831035839106</v>
      </c>
      <c r="CK192" s="177">
        <f>CL192</f>
        <v>0.26083831035839106</v>
      </c>
      <c r="CL192" s="177">
        <f>CM192</f>
        <v>0.26083831035839106</v>
      </c>
      <c r="CM192" s="1161">
        <f>CG192</f>
        <v>0.26083831035839106</v>
      </c>
      <c r="CN192" s="121"/>
      <c r="CO192" s="177">
        <f>CP192</f>
        <v>0.26083831035839106</v>
      </c>
      <c r="CP192" s="177">
        <f>CQ192</f>
        <v>0.26083831035839106</v>
      </c>
      <c r="CQ192" s="177">
        <f>CR192</f>
        <v>0.26083831035839106</v>
      </c>
      <c r="CR192" s="177">
        <f>CS192</f>
        <v>0.26083831035839106</v>
      </c>
      <c r="CS192" s="1161">
        <f>CM192</f>
        <v>0.26083831035839106</v>
      </c>
      <c r="CT192" s="121"/>
      <c r="CU192" s="177">
        <f>CV192</f>
        <v>0.26083831035839106</v>
      </c>
      <c r="CV192" s="177">
        <f>CW192</f>
        <v>0.26083831035839106</v>
      </c>
      <c r="CW192" s="177">
        <f>CX192</f>
        <v>0.26083831035839106</v>
      </c>
      <c r="CX192" s="177">
        <f>CY192</f>
        <v>0.26083831035839106</v>
      </c>
      <c r="CY192" s="1161">
        <f>CS192</f>
        <v>0.26083831035839106</v>
      </c>
      <c r="CZ192" s="121"/>
      <c r="DA192" s="177">
        <f>DB192</f>
        <v>0.26083831035839106</v>
      </c>
      <c r="DB192" s="177">
        <f>DC192</f>
        <v>0.26083831035839106</v>
      </c>
      <c r="DC192" s="177">
        <f>DD192</f>
        <v>0.26083831035839106</v>
      </c>
      <c r="DD192" s="177">
        <f>DE192</f>
        <v>0.26083831035839106</v>
      </c>
      <c r="DE192" s="1161">
        <f>CY192</f>
        <v>0.26083831035839106</v>
      </c>
      <c r="DF192" s="121"/>
      <c r="DG192" s="177">
        <f>DH192</f>
        <v>0.26083831035839106</v>
      </c>
      <c r="DH192" s="177">
        <f>DI192</f>
        <v>0.26083831035839106</v>
      </c>
      <c r="DI192" s="177">
        <f>DJ192</f>
        <v>0.26083831035839106</v>
      </c>
      <c r="DJ192" s="177">
        <f>DK192</f>
        <v>0.26083831035839106</v>
      </c>
      <c r="DK192" s="1161">
        <f>DE192</f>
        <v>0.26083831035839106</v>
      </c>
      <c r="DL192" s="121"/>
      <c r="DM192" s="177">
        <f>DN192</f>
        <v>0.26083831035839106</v>
      </c>
      <c r="DN192" s="177">
        <f>DO192</f>
        <v>0.26083831035839106</v>
      </c>
      <c r="DO192" s="177">
        <f>DP192</f>
        <v>0.26083831035839106</v>
      </c>
      <c r="DP192" s="177">
        <f>DQ192</f>
        <v>0.26083831035839106</v>
      </c>
      <c r="DQ192" s="1161">
        <f>DK192</f>
        <v>0.26083831035839106</v>
      </c>
      <c r="DR192" s="121"/>
      <c r="DS192" s="177">
        <f>DT192</f>
        <v>0.26083831035839106</v>
      </c>
      <c r="DT192" s="177">
        <f>DU192</f>
        <v>0.26083831035839106</v>
      </c>
      <c r="DU192" s="177">
        <f>DV192</f>
        <v>0.26083831035839106</v>
      </c>
      <c r="DV192" s="177">
        <f>DW192</f>
        <v>0.26083831035839106</v>
      </c>
      <c r="DW192" s="1161">
        <f>DQ192</f>
        <v>0.26083831035839106</v>
      </c>
      <c r="DX192" s="121"/>
      <c r="DY192" s="177">
        <f>DZ192</f>
        <v>0.26083831035839106</v>
      </c>
      <c r="DZ192" s="177">
        <f>EA192</f>
        <v>0.26083831035839106</v>
      </c>
      <c r="EA192" s="177">
        <f>EB192</f>
        <v>0.26083831035839106</v>
      </c>
      <c r="EB192" s="177">
        <f>EC192</f>
        <v>0.26083831035839106</v>
      </c>
      <c r="EC192" s="1161">
        <f>DW192</f>
        <v>0.26083831035839106</v>
      </c>
      <c r="ED192" s="121"/>
      <c r="EE192" s="177">
        <f>EF192</f>
        <v>0.26083831035839106</v>
      </c>
      <c r="EF192" s="177">
        <f>EG192</f>
        <v>0.26083831035839106</v>
      </c>
      <c r="EG192" s="177">
        <f>EH192</f>
        <v>0.26083831035839106</v>
      </c>
      <c r="EH192" s="177">
        <f>EI192</f>
        <v>0.26083831035839106</v>
      </c>
      <c r="EI192" s="1161">
        <f>EC192</f>
        <v>0.26083831035839106</v>
      </c>
      <c r="EJ192" s="121"/>
      <c r="EK192" s="177">
        <f>EL192</f>
        <v>0.26083831035839106</v>
      </c>
      <c r="EL192" s="177">
        <f>EM192</f>
        <v>0.26083831035839106</v>
      </c>
      <c r="EM192" s="177">
        <f>EN192</f>
        <v>0.26083831035839106</v>
      </c>
      <c r="EN192" s="177">
        <f>EO192</f>
        <v>0.26083831035839106</v>
      </c>
      <c r="EO192" s="1161">
        <f>EI192</f>
        <v>0.26083831035839106</v>
      </c>
      <c r="EP192" s="121"/>
      <c r="EQ192" s="177">
        <f>ER192</f>
        <v>0.26083831035839106</v>
      </c>
      <c r="ER192" s="177">
        <f>ES192</f>
        <v>0.26083831035839106</v>
      </c>
      <c r="ES192" s="177">
        <f>ET192</f>
        <v>0.26083831035839106</v>
      </c>
      <c r="ET192" s="177">
        <f>EU192</f>
        <v>0.26083831035839106</v>
      </c>
      <c r="EU192" s="1161">
        <f>EO192</f>
        <v>0.26083831035839106</v>
      </c>
      <c r="EV192" s="121"/>
    </row>
    <row r="193" spans="1:152" collapsed="1">
      <c r="A193" s="22"/>
      <c r="B193" s="520"/>
      <c r="C193" s="23"/>
      <c r="D193" s="24"/>
      <c r="E193" s="24"/>
      <c r="F193" s="24"/>
      <c r="G193" s="24"/>
      <c r="H193" s="24"/>
      <c r="I193" s="23"/>
      <c r="J193" s="24"/>
      <c r="K193" s="24"/>
      <c r="L193" s="24"/>
      <c r="M193" s="24"/>
      <c r="N193" s="24"/>
      <c r="O193" s="23"/>
      <c r="P193" s="24"/>
      <c r="Q193" s="24"/>
      <c r="R193" s="24"/>
      <c r="S193" s="24"/>
      <c r="T193" s="24"/>
      <c r="U193" s="23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3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  <c r="BC193" s="2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1292"/>
      <c r="BP193" s="24"/>
      <c r="BQ193" s="24"/>
      <c r="BR193" s="24"/>
      <c r="BS193" s="24"/>
      <c r="BT193" s="24"/>
      <c r="BU193" s="1292"/>
      <c r="BV193" s="24"/>
      <c r="BW193" s="24"/>
      <c r="BX193" s="24"/>
      <c r="BY193" s="24"/>
      <c r="BZ193" s="24"/>
      <c r="CA193" s="1292"/>
      <c r="CB193" s="24"/>
      <c r="CC193" s="24"/>
      <c r="CD193" s="24"/>
      <c r="CE193" s="24"/>
      <c r="CF193" s="24"/>
      <c r="CG193" s="1292"/>
      <c r="CH193" s="24"/>
      <c r="CI193" s="24"/>
      <c r="CJ193" s="24"/>
      <c r="CK193" s="24"/>
      <c r="CL193" s="24"/>
      <c r="CM193" s="1292"/>
      <c r="CN193" s="24"/>
      <c r="CO193" s="24"/>
      <c r="CP193" s="24"/>
      <c r="CQ193" s="24"/>
      <c r="CR193" s="24"/>
      <c r="CS193" s="1292"/>
      <c r="CT193" s="24"/>
      <c r="CU193" s="24"/>
      <c r="CV193" s="24"/>
      <c r="CW193" s="24"/>
      <c r="CX193" s="24"/>
      <c r="CY193" s="1292"/>
      <c r="CZ193" s="24"/>
      <c r="DA193" s="24"/>
      <c r="DB193" s="24"/>
      <c r="DC193" s="24"/>
      <c r="DD193" s="24"/>
      <c r="DE193" s="1292"/>
      <c r="DF193" s="24"/>
      <c r="DG193" s="24"/>
      <c r="DH193" s="24"/>
      <c r="DI193" s="24"/>
      <c r="DJ193" s="24"/>
      <c r="DK193" s="1292"/>
      <c r="DL193" s="24"/>
      <c r="DM193" s="24"/>
      <c r="DN193" s="24"/>
      <c r="DO193" s="24"/>
      <c r="DP193" s="24"/>
      <c r="DQ193" s="1292"/>
      <c r="DR193" s="24"/>
      <c r="DS193" s="24"/>
      <c r="DT193" s="24"/>
      <c r="DU193" s="24"/>
      <c r="DV193" s="24"/>
      <c r="DW193" s="1292"/>
      <c r="DX193" s="24"/>
      <c r="DY193" s="24"/>
      <c r="DZ193" s="24"/>
      <c r="EA193" s="24"/>
      <c r="EB193" s="24"/>
      <c r="EC193" s="1292"/>
      <c r="ED193" s="24"/>
      <c r="EE193" s="24"/>
      <c r="EF193" s="24"/>
      <c r="EG193" s="24"/>
      <c r="EH193" s="24"/>
      <c r="EI193" s="1292"/>
      <c r="EJ193" s="24"/>
      <c r="EK193" s="24"/>
      <c r="EL193" s="24"/>
      <c r="EM193" s="24"/>
      <c r="EN193" s="24"/>
      <c r="EO193" s="1292"/>
      <c r="EP193" s="24"/>
      <c r="EQ193" s="24"/>
      <c r="ER193" s="24"/>
      <c r="ES193" s="24"/>
      <c r="ET193" s="24"/>
      <c r="EU193" s="1292"/>
      <c r="EV193" s="24"/>
    </row>
    <row r="194" spans="1:152" hidden="1" outlineLevel="1">
      <c r="A194" s="22" t="s">
        <v>6588</v>
      </c>
      <c r="B194" s="519" t="s">
        <v>6063</v>
      </c>
      <c r="C194" s="141"/>
      <c r="D194" s="141"/>
      <c r="E194" s="141"/>
      <c r="F194" s="141"/>
      <c r="G194" s="141"/>
      <c r="H194" s="24"/>
      <c r="I194" s="141"/>
      <c r="J194" s="141"/>
      <c r="K194" s="141"/>
      <c r="L194" s="141"/>
      <c r="M194" s="141"/>
      <c r="N194" s="24"/>
      <c r="O194" s="175">
        <f>-CF!P131</f>
        <v>2.78</v>
      </c>
      <c r="P194" s="175">
        <f>-CF!Q131</f>
        <v>2.8040000000000003</v>
      </c>
      <c r="Q194" s="175">
        <f>-CF!R131</f>
        <v>3.3279999999999994</v>
      </c>
      <c r="R194" s="175">
        <v>3.4060000000000001</v>
      </c>
      <c r="S194" s="175">
        <f>SUM(O194:R194)</f>
        <v>12.318</v>
      </c>
      <c r="T194" s="169"/>
      <c r="U194" s="175">
        <f>-CF!V131</f>
        <v>3.4950000000000001</v>
      </c>
      <c r="V194" s="175">
        <f>-CF!W131</f>
        <v>3.9119999999999999</v>
      </c>
      <c r="W194" s="175">
        <f>-CF!X131</f>
        <v>3.5809999999999995</v>
      </c>
      <c r="X194" s="175">
        <v>3.4060000000000001</v>
      </c>
      <c r="Y194" s="175">
        <f>SUM(U194:X194)</f>
        <v>14.394</v>
      </c>
      <c r="Z194" s="169"/>
      <c r="AA194" s="175">
        <f>-CF!AB131</f>
        <v>3.4510000000000001</v>
      </c>
      <c r="AB194" s="175">
        <f>-CF!AC131</f>
        <v>3.3810000000000002</v>
      </c>
      <c r="AC194" s="175">
        <f>-CF!AD131</f>
        <v>3.2469999999999999</v>
      </c>
      <c r="AD194" s="175">
        <v>3.4060000000000001</v>
      </c>
      <c r="AE194" s="175">
        <f>SUM(AA194:AD194)</f>
        <v>13.485000000000001</v>
      </c>
      <c r="AF194" s="169"/>
      <c r="AG194" s="175">
        <f>-CF!AH131</f>
        <v>3.2470000000000003</v>
      </c>
      <c r="AH194" s="175">
        <f>-CF!AI131</f>
        <v>3.2759999999999998</v>
      </c>
      <c r="AI194" s="175">
        <f>-CF!AJ131</f>
        <v>3.3390000000000004</v>
      </c>
      <c r="AJ194" s="175">
        <v>3.4060000000000001</v>
      </c>
      <c r="AK194" s="175">
        <f>SUM(AG194:AJ194)</f>
        <v>13.268000000000001</v>
      </c>
      <c r="AL194" s="169"/>
      <c r="AM194" s="175">
        <f>-CF!AN131</f>
        <v>3.383</v>
      </c>
      <c r="AN194" s="175">
        <f>-CF!AO131</f>
        <v>3.4170000000000007</v>
      </c>
      <c r="AO194" s="175">
        <f>-CF!AP131</f>
        <v>3.343</v>
      </c>
      <c r="AP194" s="175">
        <v>3.4060000000000001</v>
      </c>
      <c r="AQ194" s="175">
        <f>SUM(AM194:AP194)</f>
        <v>13.549000000000001</v>
      </c>
      <c r="AR194" s="175"/>
      <c r="AS194" s="175">
        <f>-CF!AT131</f>
        <v>3.3329999999999997</v>
      </c>
      <c r="AT194" s="175">
        <f>-CF!AU131</f>
        <v>3.3960000000000008</v>
      </c>
      <c r="AU194" s="175">
        <f>-CF!AV131</f>
        <v>3.331999999999999</v>
      </c>
      <c r="AV194" s="175">
        <v>3.4060000000000001</v>
      </c>
      <c r="AW194" s="324">
        <f>SUM(AS194:AV194)</f>
        <v>13.467000000000001</v>
      </c>
      <c r="AX194" s="175"/>
      <c r="AY194" s="175">
        <f>-CF!AZ131</f>
        <v>3.3999999999999995</v>
      </c>
      <c r="AZ194" s="175">
        <f>-CF!BA131</f>
        <v>3.4000000000000004</v>
      </c>
      <c r="BA194" s="175">
        <f>-CF!BB131</f>
        <v>3.4000000000000004</v>
      </c>
      <c r="BB194" s="175">
        <f>13.566-SUM(AY194:BA194)</f>
        <v>3.3660000000000014</v>
      </c>
      <c r="BC194" s="175">
        <f>SUM(AY194:BB194)</f>
        <v>13.566000000000001</v>
      </c>
      <c r="BD194" s="175"/>
      <c r="BE194" s="175">
        <v>0</v>
      </c>
      <c r="BF194" s="175">
        <v>0</v>
      </c>
      <c r="BG194" s="175">
        <v>0</v>
      </c>
      <c r="BH194" s="175">
        <v>0</v>
      </c>
      <c r="BI194" s="175">
        <v>0</v>
      </c>
      <c r="BJ194" s="175"/>
      <c r="BK194" s="175">
        <v>0</v>
      </c>
      <c r="BL194" s="175">
        <v>0</v>
      </c>
      <c r="BM194" s="175">
        <v>0</v>
      </c>
      <c r="BN194" s="175">
        <v>0</v>
      </c>
      <c r="BO194" s="175">
        <v>0</v>
      </c>
      <c r="BP194" s="169"/>
      <c r="BQ194" s="175">
        <v>0</v>
      </c>
      <c r="BR194" s="175">
        <v>0</v>
      </c>
      <c r="BS194" s="175">
        <v>0</v>
      </c>
      <c r="BT194" s="175">
        <v>0</v>
      </c>
      <c r="BU194" s="175">
        <v>0</v>
      </c>
      <c r="BV194" s="169"/>
      <c r="BW194" s="175">
        <v>0</v>
      </c>
      <c r="BX194" s="175">
        <v>0</v>
      </c>
      <c r="BY194" s="175">
        <v>0</v>
      </c>
      <c r="BZ194" s="175">
        <v>0</v>
      </c>
      <c r="CA194" s="175">
        <v>0</v>
      </c>
      <c r="CB194" s="169"/>
      <c r="CC194" s="175">
        <v>0</v>
      </c>
      <c r="CD194" s="175">
        <v>0</v>
      </c>
      <c r="CE194" s="175">
        <v>0</v>
      </c>
      <c r="CF194" s="175">
        <v>0</v>
      </c>
      <c r="CG194" s="175">
        <v>0</v>
      </c>
      <c r="CH194" s="169"/>
      <c r="CI194" s="175">
        <v>0</v>
      </c>
      <c r="CJ194" s="175">
        <v>0</v>
      </c>
      <c r="CK194" s="175">
        <v>0</v>
      </c>
      <c r="CL194" s="175">
        <v>0</v>
      </c>
      <c r="CM194" s="175">
        <v>0</v>
      </c>
      <c r="CN194" s="169"/>
      <c r="CO194" s="175">
        <v>0</v>
      </c>
      <c r="CP194" s="175">
        <v>0</v>
      </c>
      <c r="CQ194" s="175">
        <v>0</v>
      </c>
      <c r="CR194" s="175">
        <v>0</v>
      </c>
      <c r="CS194" s="175">
        <v>0</v>
      </c>
      <c r="CT194" s="169"/>
      <c r="CU194" s="175">
        <v>0</v>
      </c>
      <c r="CV194" s="175">
        <v>0</v>
      </c>
      <c r="CW194" s="175">
        <v>0</v>
      </c>
      <c r="CX194" s="175">
        <v>0</v>
      </c>
      <c r="CY194" s="175">
        <v>0</v>
      </c>
      <c r="CZ194" s="169"/>
      <c r="DA194" s="175">
        <v>0</v>
      </c>
      <c r="DB194" s="175">
        <v>0</v>
      </c>
      <c r="DC194" s="175">
        <v>0</v>
      </c>
      <c r="DD194" s="175">
        <v>0</v>
      </c>
      <c r="DE194" s="175">
        <v>0</v>
      </c>
      <c r="DF194" s="169"/>
      <c r="DG194" s="175">
        <v>0</v>
      </c>
      <c r="DH194" s="175">
        <v>0</v>
      </c>
      <c r="DI194" s="175">
        <v>0</v>
      </c>
      <c r="DJ194" s="175">
        <v>0</v>
      </c>
      <c r="DK194" s="175">
        <v>0</v>
      </c>
      <c r="DL194" s="169"/>
      <c r="DM194" s="175">
        <v>0</v>
      </c>
      <c r="DN194" s="175">
        <v>0</v>
      </c>
      <c r="DO194" s="175">
        <v>0</v>
      </c>
      <c r="DP194" s="175">
        <v>0</v>
      </c>
      <c r="DQ194" s="175">
        <v>0</v>
      </c>
      <c r="DR194" s="169"/>
      <c r="DS194" s="175">
        <v>0</v>
      </c>
      <c r="DT194" s="175">
        <v>0</v>
      </c>
      <c r="DU194" s="175">
        <v>0</v>
      </c>
      <c r="DV194" s="175">
        <v>0</v>
      </c>
      <c r="DW194" s="175">
        <v>0</v>
      </c>
      <c r="DX194" s="169"/>
      <c r="DY194" s="175">
        <v>0</v>
      </c>
      <c r="DZ194" s="175">
        <v>0</v>
      </c>
      <c r="EA194" s="175">
        <v>0</v>
      </c>
      <c r="EB194" s="175">
        <v>0</v>
      </c>
      <c r="EC194" s="175">
        <v>0</v>
      </c>
      <c r="ED194" s="169"/>
      <c r="EE194" s="175">
        <v>0</v>
      </c>
      <c r="EF194" s="175">
        <v>0</v>
      </c>
      <c r="EG194" s="175">
        <v>0</v>
      </c>
      <c r="EH194" s="175">
        <v>0</v>
      </c>
      <c r="EI194" s="175">
        <v>0</v>
      </c>
      <c r="EJ194" s="169"/>
      <c r="EK194" s="175">
        <v>0</v>
      </c>
      <c r="EL194" s="175">
        <v>0</v>
      </c>
      <c r="EM194" s="175">
        <v>0</v>
      </c>
      <c r="EN194" s="175">
        <v>0</v>
      </c>
      <c r="EO194" s="175">
        <v>0</v>
      </c>
      <c r="EP194" s="169"/>
      <c r="EQ194" s="175">
        <v>0</v>
      </c>
      <c r="ER194" s="175">
        <v>0</v>
      </c>
      <c r="ES194" s="175">
        <v>0</v>
      </c>
      <c r="ET194" s="175">
        <v>0</v>
      </c>
      <c r="EU194" s="175">
        <v>0</v>
      </c>
      <c r="EV194" s="147"/>
    </row>
    <row r="195" spans="1:152" hidden="1" outlineLevel="1">
      <c r="A195" s="22" t="s">
        <v>3799</v>
      </c>
      <c r="B195" s="519"/>
      <c r="C195" s="23"/>
      <c r="D195" s="24"/>
      <c r="E195" s="24"/>
      <c r="F195" s="24"/>
      <c r="G195" s="24"/>
      <c r="H195" s="24"/>
      <c r="I195" s="23"/>
      <c r="J195" s="24"/>
      <c r="K195" s="24"/>
      <c r="L195" s="24"/>
      <c r="M195" s="24"/>
      <c r="N195" s="24"/>
      <c r="O195" s="376">
        <f>O194/O155</f>
        <v>1.2414261217490711E-2</v>
      </c>
      <c r="P195" s="376">
        <f>P194/P155</f>
        <v>1.243525154331938E-2</v>
      </c>
      <c r="Q195" s="376">
        <f>Q194/Q155</f>
        <v>1.4776662818577388E-2</v>
      </c>
      <c r="R195" s="376">
        <f>R194/R155</f>
        <v>1.4963009823044618E-2</v>
      </c>
      <c r="S195" s="324">
        <f>S194/S155</f>
        <v>5.4606873071603362E-2</v>
      </c>
      <c r="T195" s="24"/>
      <c r="U195" s="376">
        <f>U194/U155</f>
        <v>1.482691328695062E-2</v>
      </c>
      <c r="V195" s="376">
        <f>V194/V155</f>
        <v>1.6073629714849207E-2</v>
      </c>
      <c r="W195" s="376">
        <f>W194/W155</f>
        <v>1.4638553231845904E-2</v>
      </c>
      <c r="X195" s="376">
        <f>X194/X155</f>
        <v>1.4073217089496735E-2</v>
      </c>
      <c r="Y195" s="324">
        <f>Y194/Y155</f>
        <v>5.9648919241479907E-2</v>
      </c>
      <c r="Z195" s="24"/>
      <c r="AA195" s="376">
        <f>AA194/AA155</f>
        <v>1.4621642233709008E-2</v>
      </c>
      <c r="AB195" s="376">
        <f>AB194/AB155</f>
        <v>1.4635856766865216E-2</v>
      </c>
      <c r="AC195" s="376">
        <f>AC194/AC155</f>
        <v>1.4321377533917892E-2</v>
      </c>
      <c r="AD195" s="376">
        <f>AD194/AD155</f>
        <v>1.5406187805319341E-2</v>
      </c>
      <c r="AE195" s="324">
        <f>AE194/AE155</f>
        <v>5.8950304259634892E-2</v>
      </c>
      <c r="AF195" s="24"/>
      <c r="AG195" s="376">
        <f>AG194/AG155</f>
        <v>1.5023226546739956E-2</v>
      </c>
      <c r="AH195" s="376">
        <f>AH194/AH155</f>
        <v>1.5163367230278595E-2</v>
      </c>
      <c r="AI195" s="376">
        <f>AI194/AI155</f>
        <v>1.5353135920544421E-2</v>
      </c>
      <c r="AJ195" s="376">
        <f>AJ194/AJ155</f>
        <v>1.5428240111612401E-2</v>
      </c>
      <c r="AK195" s="324">
        <f>AK194/AK155</f>
        <v>6.097265352592935E-2</v>
      </c>
      <c r="AL195" s="24"/>
      <c r="AM195" s="376">
        <f>AM194/AM155</f>
        <v>1.4934993267554026E-2</v>
      </c>
      <c r="AN195" s="376">
        <f>AN194/AN155</f>
        <v>1.5073049370081523E-2</v>
      </c>
      <c r="AO195" s="376">
        <f>AO194/AO155</f>
        <v>1.481701452448597E-2</v>
      </c>
      <c r="AP195" s="376">
        <f>AP194/AP155</f>
        <v>1.5121849429711816E-2</v>
      </c>
      <c r="AQ195" s="324">
        <f>AQ194/AQ155</f>
        <v>5.9946884467633486E-2</v>
      </c>
      <c r="AR195" s="24"/>
      <c r="AS195" s="376">
        <f>AS194/AS155</f>
        <v>1.4909482932153575E-2</v>
      </c>
      <c r="AT195" s="376">
        <f>AT194/AT155</f>
        <v>1.5231499961876402E-2</v>
      </c>
      <c r="AU195" s="376">
        <f>AU194/AU155</f>
        <v>1.4979320266139179E-2</v>
      </c>
      <c r="AV195" s="376">
        <f>AV194/AV155</f>
        <v>1.5278407026452369E-2</v>
      </c>
      <c r="AW195" s="324">
        <f>AW194/AW155</f>
        <v>6.0398463016761279E-2</v>
      </c>
      <c r="AX195" s="24"/>
      <c r="AY195" s="376">
        <f>AY194/AY155</f>
        <v>1.5171798304328422E-2</v>
      </c>
      <c r="AZ195" s="376">
        <f>AZ194/AZ155</f>
        <v>1.4912019087384433E-2</v>
      </c>
      <c r="BA195" s="376">
        <f>BA194/BA155</f>
        <v>1.4923800828709883E-2</v>
      </c>
      <c r="BB195" s="376">
        <f>BB194/BB155</f>
        <v>1.477611940298508E-2</v>
      </c>
      <c r="BC195" s="376">
        <f>BC194/BC155</f>
        <v>5.975263834810339E-2</v>
      </c>
      <c r="BD195" s="24"/>
      <c r="BE195" s="175">
        <f>BE194/BE155</f>
        <v>0</v>
      </c>
      <c r="BF195" s="175">
        <f>BF194/BF155</f>
        <v>0</v>
      </c>
      <c r="BG195" s="175">
        <f>BG194/BG155</f>
        <v>0</v>
      </c>
      <c r="BH195" s="175">
        <f>BH194/BH155</f>
        <v>0</v>
      </c>
      <c r="BI195" s="175">
        <f>BI194/BI155</f>
        <v>0</v>
      </c>
      <c r="BJ195" s="169"/>
      <c r="BK195" s="175">
        <f>BK194/BK155</f>
        <v>0</v>
      </c>
      <c r="BL195" s="175">
        <f>BL194/BL155</f>
        <v>0</v>
      </c>
      <c r="BM195" s="175">
        <f>BM194/BM155</f>
        <v>0</v>
      </c>
      <c r="BN195" s="175">
        <f>BN194/BN155</f>
        <v>0</v>
      </c>
      <c r="BO195" s="175">
        <f>BO194/BO155</f>
        <v>0</v>
      </c>
      <c r="BP195" s="169"/>
      <c r="BQ195" s="175">
        <f>BQ194/BQ155</f>
        <v>0</v>
      </c>
      <c r="BR195" s="175">
        <f>BR194/BR155</f>
        <v>0</v>
      </c>
      <c r="BS195" s="175">
        <f>BS194/BS155</f>
        <v>0</v>
      </c>
      <c r="BT195" s="175">
        <f>BT194/BT155</f>
        <v>0</v>
      </c>
      <c r="BU195" s="175">
        <f>BU194/BU155</f>
        <v>0</v>
      </c>
      <c r="BV195" s="169"/>
      <c r="BW195" s="175">
        <f>BW194/BW155</f>
        <v>0</v>
      </c>
      <c r="BX195" s="175">
        <f>BX194/BX155</f>
        <v>0</v>
      </c>
      <c r="BY195" s="175">
        <f>BY194/BY155</f>
        <v>0</v>
      </c>
      <c r="BZ195" s="175">
        <f>BZ194/BZ155</f>
        <v>0</v>
      </c>
      <c r="CA195" s="175">
        <f>CA194/CA155</f>
        <v>0</v>
      </c>
      <c r="CB195" s="169"/>
      <c r="CC195" s="175">
        <f>CC194/CC155</f>
        <v>0</v>
      </c>
      <c r="CD195" s="175">
        <f>CD194/CD155</f>
        <v>0</v>
      </c>
      <c r="CE195" s="175">
        <f>CE194/CE155</f>
        <v>0</v>
      </c>
      <c r="CF195" s="175">
        <f>CF194/CF155</f>
        <v>0</v>
      </c>
      <c r="CG195" s="175">
        <f>CG194/CG155</f>
        <v>0</v>
      </c>
      <c r="CH195" s="169"/>
      <c r="CI195" s="175">
        <f>CI194/CI155</f>
        <v>0</v>
      </c>
      <c r="CJ195" s="175">
        <f>CJ194/CJ155</f>
        <v>0</v>
      </c>
      <c r="CK195" s="175">
        <f>CK194/CK155</f>
        <v>0</v>
      </c>
      <c r="CL195" s="175">
        <f>CL194/CL155</f>
        <v>0</v>
      </c>
      <c r="CM195" s="175">
        <f>CM194/CM155</f>
        <v>0</v>
      </c>
      <c r="CN195" s="169"/>
      <c r="CO195" s="175">
        <f>CO194/CO155</f>
        <v>0</v>
      </c>
      <c r="CP195" s="175">
        <f>CP194/CP155</f>
        <v>0</v>
      </c>
      <c r="CQ195" s="175">
        <f>CQ194/CQ155</f>
        <v>0</v>
      </c>
      <c r="CR195" s="175">
        <f>CR194/CR155</f>
        <v>0</v>
      </c>
      <c r="CS195" s="175">
        <f>CS194/CS155</f>
        <v>0</v>
      </c>
      <c r="CT195" s="169"/>
      <c r="CU195" s="175">
        <f>CU194/CU155</f>
        <v>0</v>
      </c>
      <c r="CV195" s="175">
        <f>CV194/CV155</f>
        <v>0</v>
      </c>
      <c r="CW195" s="175">
        <f>CW194/CW155</f>
        <v>0</v>
      </c>
      <c r="CX195" s="175">
        <f>CX194/CX155</f>
        <v>0</v>
      </c>
      <c r="CY195" s="175">
        <f>CY194/CY155</f>
        <v>0</v>
      </c>
      <c r="CZ195" s="169"/>
      <c r="DA195" s="175">
        <f>DA194/DA155</f>
        <v>0</v>
      </c>
      <c r="DB195" s="175">
        <f>DB194/DB155</f>
        <v>0</v>
      </c>
      <c r="DC195" s="175">
        <f>DC194/DC155</f>
        <v>0</v>
      </c>
      <c r="DD195" s="175">
        <f>DD194/DD155</f>
        <v>0</v>
      </c>
      <c r="DE195" s="175">
        <f>DE194/DE155</f>
        <v>0</v>
      </c>
      <c r="DF195" s="169"/>
      <c r="DG195" s="175">
        <f>DG194/DG155</f>
        <v>0</v>
      </c>
      <c r="DH195" s="175">
        <f>DH194/DH155</f>
        <v>0</v>
      </c>
      <c r="DI195" s="175">
        <f>DI194/DI155</f>
        <v>0</v>
      </c>
      <c r="DJ195" s="175">
        <f>DJ194/DJ155</f>
        <v>0</v>
      </c>
      <c r="DK195" s="175">
        <f>DK194/DK155</f>
        <v>0</v>
      </c>
      <c r="DL195" s="169"/>
      <c r="DM195" s="175">
        <f>DM194/DM155</f>
        <v>0</v>
      </c>
      <c r="DN195" s="175">
        <f>DN194/DN155</f>
        <v>0</v>
      </c>
      <c r="DO195" s="175">
        <f>DO194/DO155</f>
        <v>0</v>
      </c>
      <c r="DP195" s="175">
        <f>DP194/DP155</f>
        <v>0</v>
      </c>
      <c r="DQ195" s="175">
        <f>DQ194/DQ155</f>
        <v>0</v>
      </c>
      <c r="DR195" s="169"/>
      <c r="DS195" s="175">
        <f>DS194/DS155</f>
        <v>0</v>
      </c>
      <c r="DT195" s="175">
        <f>DT194/DT155</f>
        <v>0</v>
      </c>
      <c r="DU195" s="175">
        <f>DU194/DU155</f>
        <v>0</v>
      </c>
      <c r="DV195" s="175">
        <f>DV194/DV155</f>
        <v>0</v>
      </c>
      <c r="DW195" s="175">
        <f>DW194/DW155</f>
        <v>0</v>
      </c>
      <c r="DX195" s="169"/>
      <c r="DY195" s="175">
        <f>DY194/DY155</f>
        <v>0</v>
      </c>
      <c r="DZ195" s="175">
        <f>DZ194/DZ155</f>
        <v>0</v>
      </c>
      <c r="EA195" s="175">
        <f>EA194/EA155</f>
        <v>0</v>
      </c>
      <c r="EB195" s="175">
        <f>EB194/EB155</f>
        <v>0</v>
      </c>
      <c r="EC195" s="175">
        <f>EC194/EC155</f>
        <v>0</v>
      </c>
      <c r="ED195" s="169"/>
      <c r="EE195" s="175">
        <f>EE194/EE155</f>
        <v>0</v>
      </c>
      <c r="EF195" s="175">
        <f>EF194/EF155</f>
        <v>0</v>
      </c>
      <c r="EG195" s="175">
        <f>EG194/EG155</f>
        <v>0</v>
      </c>
      <c r="EH195" s="175">
        <f>EH194/EH155</f>
        <v>0</v>
      </c>
      <c r="EI195" s="175">
        <f>EI194/EI155</f>
        <v>0</v>
      </c>
      <c r="EJ195" s="169"/>
      <c r="EK195" s="175">
        <f>EK194/EK155</f>
        <v>0</v>
      </c>
      <c r="EL195" s="175">
        <f>EL194/EL155</f>
        <v>0</v>
      </c>
      <c r="EM195" s="175">
        <f>EM194/EM155</f>
        <v>0</v>
      </c>
      <c r="EN195" s="175">
        <f>EN194/EN155</f>
        <v>0</v>
      </c>
      <c r="EO195" s="175">
        <f>EO194/EO155</f>
        <v>0</v>
      </c>
      <c r="EP195" s="169"/>
      <c r="EQ195" s="175">
        <f>EQ194/EQ155</f>
        <v>0</v>
      </c>
      <c r="ER195" s="175">
        <f>ER194/ER155</f>
        <v>0</v>
      </c>
      <c r="ES195" s="175">
        <f>ES194/ES155</f>
        <v>0</v>
      </c>
      <c r="ET195" s="175">
        <f>ET194/ET155</f>
        <v>0</v>
      </c>
      <c r="EU195" s="175">
        <f>EU194/EU155</f>
        <v>0</v>
      </c>
      <c r="EV195" s="24"/>
    </row>
    <row r="196" spans="1:152" collapsed="1">
      <c r="A196" s="47" t="s">
        <v>4740</v>
      </c>
      <c r="B196" s="519"/>
      <c r="C196" s="23"/>
      <c r="D196" s="24"/>
      <c r="E196" s="24"/>
      <c r="F196" s="24"/>
      <c r="G196" s="24"/>
      <c r="H196" s="24"/>
      <c r="I196" s="23"/>
      <c r="J196" s="24"/>
      <c r="K196" s="24"/>
      <c r="L196" s="24"/>
      <c r="M196" s="24"/>
      <c r="N196" s="24"/>
      <c r="O196" s="23"/>
      <c r="P196" s="24"/>
      <c r="Q196" s="24"/>
      <c r="R196" s="24"/>
      <c r="S196" s="24"/>
      <c r="T196" s="24"/>
      <c r="U196" s="23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3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894"/>
      <c r="CB196" s="24"/>
      <c r="CC196" s="24"/>
      <c r="CD196" s="24"/>
      <c r="CE196" s="24"/>
      <c r="CF196" s="24"/>
      <c r="CG196" s="894"/>
      <c r="CH196" s="24"/>
      <c r="CI196" s="24"/>
      <c r="CJ196" s="24"/>
      <c r="CK196" s="24"/>
      <c r="CL196" s="24"/>
      <c r="CM196" s="23"/>
      <c r="CN196" s="24"/>
      <c r="CO196" s="24"/>
      <c r="CP196" s="24"/>
      <c r="CQ196" s="24"/>
      <c r="CR196" s="24"/>
      <c r="CS196" s="24"/>
      <c r="CT196" s="24"/>
      <c r="CU196" s="24"/>
      <c r="CV196" s="24"/>
      <c r="CW196" s="24"/>
      <c r="CX196" s="24"/>
      <c r="CY196" s="24"/>
      <c r="CZ196" s="24"/>
      <c r="DA196" s="24"/>
      <c r="DB196" s="24"/>
      <c r="DC196" s="24"/>
      <c r="DD196" s="24"/>
      <c r="DE196" s="24"/>
      <c r="DF196" s="24"/>
      <c r="DG196" s="24"/>
      <c r="DH196" s="24"/>
      <c r="DI196" s="24"/>
      <c r="DJ196" s="24"/>
      <c r="DK196" s="24"/>
      <c r="DL196" s="24"/>
      <c r="DM196" s="24"/>
      <c r="DN196" s="24"/>
      <c r="DO196" s="24"/>
      <c r="DP196" s="24"/>
      <c r="DQ196" s="24"/>
      <c r="DR196" s="24"/>
      <c r="DS196" s="24"/>
      <c r="DT196" s="24"/>
      <c r="DU196" s="24"/>
      <c r="DV196" s="24"/>
      <c r="DW196" s="24"/>
      <c r="DX196" s="24"/>
      <c r="DY196" s="24"/>
      <c r="DZ196" s="24"/>
      <c r="EA196" s="24"/>
      <c r="EB196" s="24"/>
      <c r="EC196" s="24"/>
      <c r="ED196" s="24"/>
      <c r="EE196" s="24"/>
      <c r="EF196" s="24"/>
      <c r="EG196" s="24"/>
      <c r="EH196" s="24"/>
      <c r="EI196" s="24"/>
      <c r="EJ196" s="24"/>
      <c r="EK196" s="24"/>
      <c r="EL196" s="24"/>
      <c r="EM196" s="24"/>
      <c r="EN196" s="24"/>
      <c r="EO196" s="24"/>
      <c r="EP196" s="24"/>
      <c r="EQ196" s="24"/>
      <c r="ER196" s="24"/>
      <c r="ES196" s="24"/>
      <c r="ET196" s="24"/>
      <c r="EU196" s="24"/>
      <c r="EV196" s="24"/>
    </row>
    <row r="197" spans="1:152" ht="12.75" hidden="1" customHeight="1">
      <c r="A197" s="47" t="s">
        <v>5644</v>
      </c>
      <c r="B197" s="519"/>
      <c r="C197" s="23"/>
      <c r="D197" s="24"/>
      <c r="E197" s="24"/>
      <c r="F197" s="24"/>
      <c r="G197" s="24"/>
      <c r="H197" s="24"/>
      <c r="I197" s="23"/>
      <c r="J197" s="24"/>
      <c r="K197" s="24"/>
      <c r="L197" s="24"/>
      <c r="M197" s="24"/>
      <c r="N197" s="24"/>
      <c r="O197" s="23"/>
      <c r="P197" s="24"/>
      <c r="Q197" s="24"/>
      <c r="R197" s="24"/>
      <c r="S197" s="24"/>
      <c r="T197" s="24"/>
      <c r="U197" s="23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3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  <c r="CO197" s="24"/>
      <c r="CP197" s="24"/>
      <c r="CQ197" s="24"/>
      <c r="CR197" s="24"/>
      <c r="CS197" s="24"/>
      <c r="CT197" s="24"/>
      <c r="CU197" s="24"/>
      <c r="CV197" s="24"/>
      <c r="CW197" s="24"/>
      <c r="CX197" s="24"/>
      <c r="CY197" s="24"/>
      <c r="CZ197" s="24"/>
      <c r="DA197" s="24"/>
      <c r="DB197" s="24"/>
      <c r="DC197" s="24"/>
      <c r="DD197" s="24"/>
      <c r="DE197" s="24"/>
      <c r="DF197" s="24"/>
      <c r="DG197" s="24"/>
      <c r="DH197" s="24"/>
      <c r="DI197" s="24"/>
      <c r="DJ197" s="24"/>
      <c r="DK197" s="24"/>
      <c r="DL197" s="24"/>
      <c r="DM197" s="24"/>
      <c r="DN197" s="24"/>
      <c r="DO197" s="24"/>
      <c r="DP197" s="24"/>
      <c r="DQ197" s="24"/>
      <c r="DR197" s="24"/>
      <c r="DS197" s="24"/>
      <c r="DT197" s="24"/>
      <c r="DU197" s="24"/>
      <c r="DV197" s="24"/>
      <c r="DW197" s="24"/>
      <c r="DX197" s="24"/>
      <c r="DY197" s="24"/>
      <c r="DZ197" s="24"/>
      <c r="EA197" s="24"/>
      <c r="EB197" s="24"/>
      <c r="EC197" s="24"/>
      <c r="ED197" s="24"/>
      <c r="EE197" s="24"/>
      <c r="EF197" s="24"/>
      <c r="EG197" s="24"/>
      <c r="EH197" s="24"/>
      <c r="EI197" s="24"/>
      <c r="EJ197" s="24"/>
      <c r="EK197" s="24"/>
      <c r="EL197" s="24"/>
      <c r="EM197" s="24"/>
      <c r="EN197" s="24"/>
      <c r="EO197" s="24"/>
      <c r="EP197" s="24"/>
      <c r="EQ197" s="24"/>
      <c r="ER197" s="24"/>
      <c r="ES197" s="24"/>
      <c r="ET197" s="24"/>
      <c r="EU197" s="24"/>
      <c r="EV197" s="24"/>
    </row>
    <row r="198" spans="1:152" ht="12.75" hidden="1" customHeight="1">
      <c r="A198" s="47" t="s">
        <v>5645</v>
      </c>
      <c r="B198" s="519"/>
      <c r="C198" s="23"/>
      <c r="D198" s="24"/>
      <c r="E198" s="24"/>
      <c r="F198" s="24"/>
      <c r="G198" s="24"/>
      <c r="H198" s="24"/>
      <c r="I198" s="23"/>
      <c r="J198" s="24"/>
      <c r="K198" s="24"/>
      <c r="L198" s="24"/>
      <c r="M198" s="24"/>
      <c r="N198" s="24"/>
      <c r="O198" s="23"/>
      <c r="P198" s="24"/>
      <c r="Q198" s="24"/>
      <c r="R198" s="24"/>
      <c r="S198" s="24"/>
      <c r="T198" s="24"/>
      <c r="U198" s="23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3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</row>
    <row r="199" spans="1:152" ht="5.25" customHeight="1">
      <c r="A199" s="22"/>
      <c r="B199" s="519"/>
      <c r="C199" s="23"/>
      <c r="D199" s="24"/>
      <c r="E199" s="24"/>
      <c r="F199" s="24"/>
      <c r="G199" s="24"/>
      <c r="H199" s="24"/>
      <c r="I199" s="23"/>
      <c r="J199" s="24"/>
      <c r="K199" s="24"/>
      <c r="L199" s="24"/>
      <c r="M199" s="24"/>
      <c r="N199" s="24"/>
      <c r="O199" s="23"/>
      <c r="P199" s="24"/>
      <c r="Q199" s="24"/>
      <c r="R199" s="24"/>
      <c r="S199" s="24"/>
      <c r="T199" s="24"/>
      <c r="U199" s="23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3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  <c r="CO199" s="1305"/>
      <c r="CP199" s="1305"/>
      <c r="CQ199" s="1305"/>
      <c r="CR199" s="1305"/>
      <c r="CS199" s="1305"/>
      <c r="CT199" s="24"/>
      <c r="CU199" s="24"/>
      <c r="CV199" s="24"/>
      <c r="CW199" s="24"/>
      <c r="CX199" s="24"/>
      <c r="CY199" s="24"/>
      <c r="CZ199" s="24"/>
      <c r="DA199" s="24"/>
      <c r="DB199" s="24"/>
      <c r="DC199" s="24"/>
      <c r="DD199" s="24"/>
      <c r="DE199" s="24"/>
      <c r="DF199" s="24"/>
      <c r="DG199" s="24"/>
      <c r="DH199" s="24"/>
      <c r="DI199" s="24"/>
      <c r="DJ199" s="24"/>
      <c r="DK199" s="24"/>
      <c r="DL199" s="24"/>
      <c r="DM199" s="24"/>
      <c r="DN199" s="24"/>
      <c r="DO199" s="24"/>
      <c r="DP199" s="24"/>
      <c r="DQ199" s="24"/>
      <c r="DR199" s="24"/>
      <c r="DS199" s="24"/>
      <c r="DT199" s="24"/>
      <c r="DU199" s="24"/>
      <c r="DV199" s="24"/>
      <c r="DW199" s="24"/>
      <c r="DX199" s="24"/>
      <c r="DY199" s="24"/>
      <c r="DZ199" s="24"/>
      <c r="EA199" s="24"/>
      <c r="EB199" s="24"/>
      <c r="EC199" s="24"/>
      <c r="ED199" s="24"/>
      <c r="EE199" s="24"/>
      <c r="EF199" s="24"/>
      <c r="EG199" s="24"/>
      <c r="EH199" s="24"/>
      <c r="EI199" s="24"/>
      <c r="EJ199" s="24"/>
      <c r="EK199" s="24"/>
      <c r="EL199" s="24"/>
      <c r="EM199" s="24"/>
      <c r="EN199" s="24"/>
      <c r="EO199" s="24"/>
      <c r="EP199" s="24"/>
      <c r="EQ199" s="24"/>
      <c r="ER199" s="24"/>
      <c r="ES199" s="24"/>
      <c r="ET199" s="24"/>
      <c r="EU199" s="24"/>
      <c r="EV199" s="24"/>
    </row>
    <row r="200" spans="1:152" ht="20.100000000000001" customHeight="1">
      <c r="A200" s="760" t="str">
        <f>A1</f>
        <v>Autodesk</v>
      </c>
      <c r="B200" s="767"/>
      <c r="C200" s="762"/>
      <c r="D200" s="764"/>
      <c r="E200" s="762"/>
      <c r="F200" s="762"/>
      <c r="G200" s="764"/>
      <c r="H200" s="764"/>
      <c r="I200" s="762"/>
      <c r="J200" s="764"/>
      <c r="K200" s="762"/>
      <c r="L200" s="762"/>
      <c r="M200" s="764"/>
      <c r="N200" s="764"/>
      <c r="O200" s="762"/>
      <c r="P200" s="764"/>
      <c r="Q200" s="762"/>
      <c r="R200" s="762"/>
      <c r="S200" s="764"/>
      <c r="T200" s="764"/>
      <c r="U200" s="762"/>
      <c r="V200" s="764"/>
      <c r="W200" s="762"/>
      <c r="X200" s="762"/>
      <c r="Y200" s="764"/>
      <c r="Z200" s="764"/>
      <c r="AA200" s="762"/>
      <c r="AB200" s="764"/>
      <c r="AC200" s="762"/>
      <c r="AD200" s="762"/>
      <c r="AE200" s="764"/>
      <c r="AF200" s="764"/>
      <c r="AG200" s="762"/>
      <c r="AH200" s="764"/>
      <c r="AI200" s="762"/>
      <c r="AJ200" s="762"/>
      <c r="AK200" s="764"/>
      <c r="AL200" s="764"/>
      <c r="AM200" s="764"/>
      <c r="AN200" s="764"/>
      <c r="AO200" s="764"/>
      <c r="AP200" s="764"/>
      <c r="AQ200" s="764"/>
      <c r="AR200" s="764"/>
      <c r="AS200" s="764"/>
      <c r="AT200" s="764"/>
      <c r="AU200" s="764"/>
      <c r="AV200" s="764"/>
      <c r="AW200" s="764"/>
      <c r="AX200" s="764"/>
      <c r="AY200" s="764"/>
      <c r="AZ200" s="764"/>
      <c r="BA200" s="764"/>
      <c r="BB200" s="764"/>
      <c r="BC200" s="764"/>
      <c r="BD200" s="764"/>
      <c r="BE200" s="764"/>
      <c r="BF200" s="764"/>
      <c r="BG200" s="764"/>
      <c r="BH200" s="764"/>
      <c r="BI200" s="764"/>
      <c r="BJ200" s="764"/>
      <c r="BK200" s="764"/>
      <c r="BL200" s="764"/>
      <c r="BM200" s="764"/>
      <c r="BN200" s="764"/>
      <c r="BO200" s="764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889"/>
      <c r="CK200" s="3"/>
      <c r="CL200" s="448"/>
      <c r="CM200" s="2"/>
      <c r="CN200" s="3"/>
      <c r="CO200" s="1472"/>
      <c r="CP200" s="1472"/>
      <c r="CQ200" s="1472"/>
      <c r="CR200" s="1472"/>
      <c r="CS200" s="1472"/>
      <c r="CT200" s="3"/>
      <c r="CU200" s="3"/>
      <c r="CV200" s="3"/>
      <c r="CW200" s="1712"/>
      <c r="CX200" s="3"/>
      <c r="CY200" s="3">
        <f>232.7</f>
        <v>232.7</v>
      </c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4"/>
    </row>
    <row r="201" spans="1:152" ht="20.100000000000001" customHeight="1">
      <c r="A201" s="171" t="s">
        <v>5640</v>
      </c>
      <c r="B201" s="576"/>
      <c r="C201" s="10"/>
      <c r="D201" s="10"/>
      <c r="E201" s="10"/>
      <c r="F201" s="10"/>
      <c r="G201" s="10"/>
      <c r="H201" s="4"/>
      <c r="I201" s="10"/>
      <c r="J201" s="10"/>
      <c r="K201" s="10"/>
      <c r="L201" s="10"/>
      <c r="M201" s="10"/>
      <c r="N201" s="4"/>
      <c r="O201" s="10"/>
      <c r="P201" s="10"/>
      <c r="Q201" s="10"/>
      <c r="R201" s="10"/>
      <c r="S201" s="10"/>
      <c r="T201" s="4"/>
      <c r="U201" s="10"/>
      <c r="V201" s="10"/>
      <c r="W201" s="10"/>
      <c r="X201" s="10"/>
      <c r="Y201" s="10"/>
      <c r="Z201" s="4"/>
      <c r="AA201" s="10"/>
      <c r="AB201" s="10"/>
      <c r="AC201" s="10"/>
      <c r="AD201" s="10"/>
      <c r="AE201" s="10"/>
      <c r="AF201" s="4"/>
      <c r="AG201" s="10"/>
      <c r="AH201" s="10"/>
      <c r="AI201" s="10"/>
      <c r="AJ201" s="10"/>
      <c r="AK201" s="10"/>
      <c r="AL201" s="4"/>
      <c r="AM201" s="268"/>
      <c r="AN201" s="4"/>
      <c r="AO201" s="10"/>
      <c r="AP201" s="4"/>
      <c r="AQ201" s="10"/>
      <c r="AR201" s="4"/>
      <c r="AS201" s="268"/>
      <c r="AT201" s="4"/>
      <c r="AU201" s="10"/>
      <c r="AV201" s="4"/>
      <c r="AW201" s="10"/>
      <c r="AX201" s="4"/>
      <c r="AY201" s="268"/>
      <c r="AZ201" s="4"/>
      <c r="BA201" s="10"/>
      <c r="BB201" s="4"/>
      <c r="BC201" s="10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7"/>
      <c r="CJ201" s="7"/>
      <c r="CK201" s="7"/>
      <c r="CL201" s="7"/>
      <c r="CM201" s="7"/>
      <c r="CN201" s="4"/>
      <c r="CO201" s="7"/>
      <c r="CP201" s="7"/>
      <c r="CQ201" s="7"/>
      <c r="CR201" s="1646"/>
      <c r="CS201" s="6"/>
      <c r="CT201" s="4"/>
      <c r="CU201" s="7"/>
      <c r="CV201" s="7"/>
      <c r="CW201" s="7"/>
      <c r="CX201" s="7"/>
      <c r="CY201" s="7"/>
      <c r="CZ201" s="4"/>
      <c r="DA201" s="7"/>
      <c r="DB201" s="7"/>
      <c r="DC201" s="7"/>
      <c r="DD201" s="7"/>
      <c r="DE201" s="7"/>
      <c r="DF201" s="4"/>
      <c r="DG201" s="7"/>
      <c r="DH201" s="7"/>
      <c r="DI201" s="7"/>
      <c r="DJ201" s="7"/>
      <c r="DK201" s="7"/>
      <c r="DL201" s="4"/>
      <c r="DM201" s="7"/>
      <c r="DN201" s="7"/>
      <c r="DO201" s="7"/>
      <c r="DP201" s="7"/>
      <c r="DQ201" s="7"/>
      <c r="DR201" s="4"/>
      <c r="DS201" s="7"/>
      <c r="DT201" s="7"/>
      <c r="DU201" s="7"/>
      <c r="DV201" s="7"/>
      <c r="DW201" s="7"/>
      <c r="DX201" s="4"/>
      <c r="DY201" s="7"/>
      <c r="DZ201" s="7"/>
      <c r="EA201" s="7"/>
      <c r="EB201" s="7"/>
      <c r="EC201" s="7"/>
      <c r="ED201" s="4"/>
      <c r="EE201" s="7"/>
      <c r="EF201" s="7"/>
      <c r="EG201" s="7"/>
      <c r="EH201" s="7"/>
      <c r="EI201" s="7"/>
      <c r="EJ201" s="4"/>
      <c r="EK201" s="7"/>
      <c r="EL201" s="7"/>
      <c r="EM201" s="7"/>
      <c r="EN201" s="7"/>
      <c r="EO201" s="7"/>
      <c r="EP201" s="4"/>
      <c r="EQ201" s="7"/>
      <c r="ER201" s="7"/>
      <c r="ES201" s="7"/>
      <c r="ET201" s="7"/>
      <c r="EU201" s="7"/>
      <c r="EV201" s="4"/>
    </row>
    <row r="202" spans="1:152" ht="11.25" customHeight="1">
      <c r="A202" s="768"/>
      <c r="B202" s="769"/>
      <c r="C202" s="770">
        <f>C6</f>
        <v>1997</v>
      </c>
      <c r="D202" s="771"/>
      <c r="E202" s="772"/>
      <c r="F202" s="771"/>
      <c r="G202" s="771"/>
      <c r="H202" s="773"/>
      <c r="I202" s="770">
        <f>I6</f>
        <v>1998</v>
      </c>
      <c r="J202" s="771"/>
      <c r="K202" s="772"/>
      <c r="L202" s="771"/>
      <c r="M202" s="771"/>
      <c r="N202" s="773"/>
      <c r="O202" s="770">
        <f>O6</f>
        <v>1999</v>
      </c>
      <c r="P202" s="771"/>
      <c r="Q202" s="772"/>
      <c r="R202" s="771"/>
      <c r="S202" s="771"/>
      <c r="T202" s="773"/>
      <c r="U202" s="770">
        <f>U6</f>
        <v>2000</v>
      </c>
      <c r="V202" s="771"/>
      <c r="W202" s="772"/>
      <c r="X202" s="771"/>
      <c r="Y202" s="771"/>
      <c r="Z202" s="773"/>
      <c r="AA202" s="770">
        <f>AA6</f>
        <v>2001</v>
      </c>
      <c r="AB202" s="771"/>
      <c r="AC202" s="772"/>
      <c r="AD202" s="771"/>
      <c r="AE202" s="771"/>
      <c r="AF202" s="773"/>
      <c r="AG202" s="770">
        <f>AG6</f>
        <v>2002</v>
      </c>
      <c r="AH202" s="771"/>
      <c r="AI202" s="772"/>
      <c r="AJ202" s="771"/>
      <c r="AK202" s="771"/>
      <c r="AL202" s="773"/>
      <c r="AM202" s="770">
        <f>AM6</f>
        <v>2003</v>
      </c>
      <c r="AN202" s="771"/>
      <c r="AO202" s="772"/>
      <c r="AP202" s="771"/>
      <c r="AQ202" s="771"/>
      <c r="AR202" s="773"/>
      <c r="AS202" s="770" t="str">
        <f>AS6</f>
        <v>2004</v>
      </c>
      <c r="AT202" s="771"/>
      <c r="AU202" s="772"/>
      <c r="AV202" s="771"/>
      <c r="AW202" s="771"/>
      <c r="AX202" s="773"/>
      <c r="AY202" s="770" t="str">
        <f>AY6</f>
        <v>2005</v>
      </c>
      <c r="AZ202" s="771"/>
      <c r="BA202" s="772"/>
      <c r="BB202" s="771"/>
      <c r="BC202" s="771"/>
      <c r="BD202" s="773"/>
      <c r="BE202" s="770" t="str">
        <f>BE6</f>
        <v>2006</v>
      </c>
      <c r="BF202" s="771"/>
      <c r="BG202" s="772"/>
      <c r="BH202" s="771"/>
      <c r="BI202" s="771"/>
      <c r="BJ202" s="773"/>
      <c r="BK202" s="770" t="str">
        <f>BK6</f>
        <v>2007</v>
      </c>
      <c r="BL202" s="771"/>
      <c r="BM202" s="772"/>
      <c r="BN202" s="771"/>
      <c r="BO202" s="771"/>
      <c r="BP202" s="773"/>
      <c r="BQ202" s="770" t="str">
        <f>BQ6</f>
        <v>2008</v>
      </c>
      <c r="BR202" s="771"/>
      <c r="BS202" s="772"/>
      <c r="BT202" s="771"/>
      <c r="BU202" s="771"/>
      <c r="BV202" s="773"/>
      <c r="BW202" s="770" t="str">
        <f>BW6</f>
        <v>2009</v>
      </c>
      <c r="BX202" s="771"/>
      <c r="BY202" s="771"/>
      <c r="BZ202" s="771"/>
      <c r="CA202" s="771"/>
      <c r="CB202" s="773"/>
      <c r="CC202" s="770" t="str">
        <f>CC6</f>
        <v>2010</v>
      </c>
      <c r="CD202" s="771"/>
      <c r="CE202" s="772"/>
      <c r="CF202" s="771"/>
      <c r="CG202" s="771"/>
      <c r="CH202" s="773"/>
      <c r="CI202" s="15" t="str">
        <f>CI6</f>
        <v>2011</v>
      </c>
      <c r="CJ202" s="16"/>
      <c r="CK202" s="17"/>
      <c r="CL202" s="16"/>
      <c r="CM202" s="16"/>
      <c r="CN202" s="773"/>
      <c r="CO202" s="15" t="str">
        <f>CO6</f>
        <v>2012</v>
      </c>
      <c r="CP202" s="16"/>
      <c r="CQ202" s="17"/>
      <c r="CR202" s="16"/>
      <c r="CS202" s="16"/>
      <c r="CT202" s="773"/>
      <c r="CU202" s="15" t="str">
        <f>CU6</f>
        <v>2013</v>
      </c>
      <c r="CV202" s="16"/>
      <c r="CW202" s="17"/>
      <c r="CX202" s="16"/>
      <c r="CY202" s="16"/>
      <c r="CZ202" s="773"/>
      <c r="DA202" s="15" t="str">
        <f>DA6</f>
        <v>2014</v>
      </c>
      <c r="DB202" s="16"/>
      <c r="DC202" s="16"/>
      <c r="DD202" s="16"/>
      <c r="DE202" s="16"/>
      <c r="DF202" s="773"/>
      <c r="DG202" s="15" t="str">
        <f>DG6</f>
        <v>2015</v>
      </c>
      <c r="DH202" s="16"/>
      <c r="DI202" s="17"/>
      <c r="DJ202" s="16"/>
      <c r="DK202" s="16"/>
      <c r="DL202" s="773"/>
      <c r="DM202" s="15" t="str">
        <f>DM6</f>
        <v>2016</v>
      </c>
      <c r="DN202" s="16"/>
      <c r="DO202" s="17"/>
      <c r="DP202" s="16"/>
      <c r="DQ202" s="16"/>
      <c r="DR202" s="773"/>
      <c r="DS202" s="15" t="str">
        <f>DS6</f>
        <v>2017</v>
      </c>
      <c r="DT202" s="16"/>
      <c r="DU202" s="17"/>
      <c r="DV202" s="16"/>
      <c r="DW202" s="16"/>
      <c r="DX202" s="773"/>
      <c r="DY202" s="15" t="str">
        <f>DY6</f>
        <v>2018</v>
      </c>
      <c r="DZ202" s="16"/>
      <c r="EA202" s="17"/>
      <c r="EB202" s="16"/>
      <c r="EC202" s="16"/>
      <c r="ED202" s="773"/>
      <c r="EE202" s="2020" t="str">
        <f>EE6</f>
        <v>2019e</v>
      </c>
      <c r="EF202" s="16"/>
      <c r="EG202" s="17"/>
      <c r="EH202" s="16"/>
      <c r="EI202" s="16"/>
      <c r="EJ202" s="773"/>
      <c r="EK202" s="2020" t="str">
        <f>EK6</f>
        <v>2020e</v>
      </c>
      <c r="EL202" s="16"/>
      <c r="EM202" s="17"/>
      <c r="EN202" s="16"/>
      <c r="EO202" s="16"/>
      <c r="EP202" s="773"/>
      <c r="EQ202" s="2020" t="str">
        <f>EQ6</f>
        <v>2021e</v>
      </c>
      <c r="ER202" s="16"/>
      <c r="ES202" s="17"/>
      <c r="ET202" s="16"/>
      <c r="EU202" s="16"/>
      <c r="EV202" s="19"/>
    </row>
    <row r="203" spans="1:152">
      <c r="A203" s="237"/>
      <c r="B203" s="525"/>
      <c r="C203" s="20" t="str">
        <f>C7</f>
        <v>4/96</v>
      </c>
      <c r="D203" s="20" t="str">
        <f>D7</f>
        <v>7/96</v>
      </c>
      <c r="E203" s="20" t="str">
        <f>E7</f>
        <v>10/96</v>
      </c>
      <c r="F203" s="20" t="str">
        <f>F7</f>
        <v>1/97</v>
      </c>
      <c r="G203" s="20" t="str">
        <f>G7</f>
        <v>FY97</v>
      </c>
      <c r="H203" s="20"/>
      <c r="I203" s="20" t="str">
        <f>I7</f>
        <v>4/97</v>
      </c>
      <c r="J203" s="20" t="str">
        <f>J7</f>
        <v>7/97</v>
      </c>
      <c r="K203" s="20" t="str">
        <f>K7</f>
        <v>10/97</v>
      </c>
      <c r="L203" s="20" t="str">
        <f>L7</f>
        <v>1/98</v>
      </c>
      <c r="M203" s="20" t="str">
        <f>M7</f>
        <v>FY98</v>
      </c>
      <c r="N203" s="20"/>
      <c r="O203" s="20" t="str">
        <f>O7</f>
        <v>4/98</v>
      </c>
      <c r="P203" s="20" t="str">
        <f>P7</f>
        <v>7/98</v>
      </c>
      <c r="Q203" s="20" t="str">
        <f>Q7</f>
        <v>10/98</v>
      </c>
      <c r="R203" s="20" t="str">
        <f>R7</f>
        <v>1/99</v>
      </c>
      <c r="S203" s="20" t="str">
        <f>S7</f>
        <v>FY99</v>
      </c>
      <c r="T203" s="20"/>
      <c r="U203" s="20" t="str">
        <f>U7</f>
        <v>4/99</v>
      </c>
      <c r="V203" s="20" t="str">
        <f>V7</f>
        <v>7/99</v>
      </c>
      <c r="W203" s="20" t="str">
        <f>W7</f>
        <v>10/99</v>
      </c>
      <c r="X203" s="20" t="str">
        <f>X7</f>
        <v>1/00</v>
      </c>
      <c r="Y203" s="20" t="str">
        <f>Y7</f>
        <v>FY00</v>
      </c>
      <c r="Z203" s="20"/>
      <c r="AA203" s="20" t="str">
        <f>AA7</f>
        <v>4/00</v>
      </c>
      <c r="AB203" s="20" t="str">
        <f>AB7</f>
        <v>7/00</v>
      </c>
      <c r="AC203" s="20" t="str">
        <f>AC7</f>
        <v>10/00</v>
      </c>
      <c r="AD203" s="20" t="str">
        <f>AD7</f>
        <v>1/01</v>
      </c>
      <c r="AE203" s="20" t="str">
        <f>AE7</f>
        <v>FY01</v>
      </c>
      <c r="AF203" s="20"/>
      <c r="AG203" s="20" t="str">
        <f>AG7</f>
        <v>4/01</v>
      </c>
      <c r="AH203" s="20" t="str">
        <f>AH7</f>
        <v>7/01</v>
      </c>
      <c r="AI203" s="20" t="str">
        <f>AI7</f>
        <v>10/01</v>
      </c>
      <c r="AJ203" s="20" t="str">
        <f>AJ7</f>
        <v>1/02</v>
      </c>
      <c r="AK203" s="20" t="str">
        <f>AK7</f>
        <v>FY02</v>
      </c>
      <c r="AL203" s="20"/>
      <c r="AM203" s="20" t="str">
        <f>AM7</f>
        <v>4/02</v>
      </c>
      <c r="AN203" s="20" t="str">
        <f>AN7</f>
        <v>7/02</v>
      </c>
      <c r="AO203" s="20" t="str">
        <f>AO7</f>
        <v>10/02</v>
      </c>
      <c r="AP203" s="20" t="str">
        <f>AP7</f>
        <v>1/03</v>
      </c>
      <c r="AQ203" s="20" t="str">
        <f>AQ7</f>
        <v>FY03</v>
      </c>
      <c r="AR203" s="20"/>
      <c r="AS203" s="20" t="str">
        <f>AS7</f>
        <v>4/03</v>
      </c>
      <c r="AT203" s="20" t="str">
        <f>AT7</f>
        <v>7/03</v>
      </c>
      <c r="AU203" s="20" t="str">
        <f>AU7</f>
        <v>10/03</v>
      </c>
      <c r="AV203" s="20" t="str">
        <f>AV7</f>
        <v xml:space="preserve"> 1/04</v>
      </c>
      <c r="AW203" s="20" t="str">
        <f>AW7</f>
        <v>FY04</v>
      </c>
      <c r="AX203" s="20"/>
      <c r="AY203" s="20" t="str">
        <f>AY7</f>
        <v xml:space="preserve"> 4/04</v>
      </c>
      <c r="AZ203" s="20" t="str">
        <f>AZ7</f>
        <v xml:space="preserve"> 07/04</v>
      </c>
      <c r="BA203" s="20" t="str">
        <f>BA7</f>
        <v>10/04</v>
      </c>
      <c r="BB203" s="20" t="str">
        <f>BB7</f>
        <v>1/05</v>
      </c>
      <c r="BC203" s="20" t="str">
        <f>BC7</f>
        <v>FY05</v>
      </c>
      <c r="BD203" s="20"/>
      <c r="BE203" s="20" t="str">
        <f>BE7</f>
        <v>4/05</v>
      </c>
      <c r="BF203" s="20" t="str">
        <f>BF7</f>
        <v>7/05</v>
      </c>
      <c r="BG203" s="20" t="str">
        <f>BG7</f>
        <v>10/05</v>
      </c>
      <c r="BH203" s="20" t="str">
        <f>BH7</f>
        <v>1/06</v>
      </c>
      <c r="BI203" s="20" t="str">
        <f>BI7</f>
        <v>FY06</v>
      </c>
      <c r="BJ203" s="20"/>
      <c r="BK203" s="20" t="str">
        <f>BK7</f>
        <v>4/06</v>
      </c>
      <c r="BL203" s="20" t="str">
        <f>BL7</f>
        <v>7/06</v>
      </c>
      <c r="BM203" s="20" t="str">
        <f>BM7</f>
        <v>10/06</v>
      </c>
      <c r="BN203" s="20" t="str">
        <f>BN7</f>
        <v>1/07</v>
      </c>
      <c r="BO203" s="20" t="str">
        <f>BO7</f>
        <v>FY07</v>
      </c>
      <c r="BP203" s="20"/>
      <c r="BQ203" s="20" t="str">
        <f>BQ7</f>
        <v>4/07</v>
      </c>
      <c r="BR203" s="20" t="str">
        <f>BR7</f>
        <v>7/07</v>
      </c>
      <c r="BS203" s="20" t="str">
        <f>BS7</f>
        <v>10/07</v>
      </c>
      <c r="BT203" s="20" t="str">
        <f>BT7</f>
        <v>1/08</v>
      </c>
      <c r="BU203" s="20" t="str">
        <f>BU7</f>
        <v>FY08</v>
      </c>
      <c r="BV203" s="20"/>
      <c r="BW203" s="20" t="str">
        <f>BW7</f>
        <v>4/08</v>
      </c>
      <c r="BX203" s="20" t="str">
        <f>BX7</f>
        <v>7/08</v>
      </c>
      <c r="BY203" s="20" t="str">
        <f>BY7</f>
        <v>10/08</v>
      </c>
      <c r="BZ203" s="20" t="str">
        <f>BZ7</f>
        <v>1/09</v>
      </c>
      <c r="CA203" s="20" t="str">
        <f>CA7</f>
        <v>FY09</v>
      </c>
      <c r="CB203" s="20"/>
      <c r="CC203" s="20" t="str">
        <f>CC7</f>
        <v>4/09</v>
      </c>
      <c r="CD203" s="20" t="str">
        <f>CD7</f>
        <v>7/09</v>
      </c>
      <c r="CE203" s="20" t="str">
        <f>CE7</f>
        <v>10/09</v>
      </c>
      <c r="CF203" s="20" t="str">
        <f>CF7</f>
        <v>1/10</v>
      </c>
      <c r="CG203" s="20" t="str">
        <f>CG7</f>
        <v>FY10</v>
      </c>
      <c r="CH203" s="20"/>
      <c r="CI203" s="20" t="str">
        <f>CI7</f>
        <v>4/10</v>
      </c>
      <c r="CJ203" s="20" t="str">
        <f>CJ7</f>
        <v>7/10</v>
      </c>
      <c r="CK203" s="20" t="str">
        <f>CK7</f>
        <v>10/10</v>
      </c>
      <c r="CL203" s="20" t="str">
        <f>CL7</f>
        <v>1/11</v>
      </c>
      <c r="CM203" s="20" t="str">
        <f>CM7</f>
        <v>FY11</v>
      </c>
      <c r="CN203" s="20"/>
      <c r="CO203" s="20" t="str">
        <f>CO7</f>
        <v>4/11</v>
      </c>
      <c r="CP203" s="20" t="str">
        <f>CP7</f>
        <v>7/11</v>
      </c>
      <c r="CQ203" s="20" t="str">
        <f>CQ7</f>
        <v>10/11</v>
      </c>
      <c r="CR203" s="20" t="str">
        <f>CR7</f>
        <v>1/12</v>
      </c>
      <c r="CS203" s="20" t="str">
        <f>CS7</f>
        <v>FY12</v>
      </c>
      <c r="CT203" s="20"/>
      <c r="CU203" s="20" t="str">
        <f>CU7</f>
        <v>4/12</v>
      </c>
      <c r="CV203" s="20" t="str">
        <f>CV7</f>
        <v>7/12</v>
      </c>
      <c r="CW203" s="20" t="str">
        <f>CW7</f>
        <v>10/12</v>
      </c>
      <c r="CX203" s="20" t="str">
        <f>CX7</f>
        <v>1/13</v>
      </c>
      <c r="CY203" s="20" t="str">
        <f>CY7</f>
        <v>FY13</v>
      </c>
      <c r="CZ203" s="20"/>
      <c r="DA203" s="20" t="str">
        <f>DA7</f>
        <v>4/13</v>
      </c>
      <c r="DB203" s="20" t="str">
        <f>DB7</f>
        <v>7/13</v>
      </c>
      <c r="DC203" s="20" t="str">
        <f>DC7</f>
        <v>10/13</v>
      </c>
      <c r="DD203" s="20" t="str">
        <f>DD7</f>
        <v>1/14</v>
      </c>
      <c r="DE203" s="20" t="str">
        <f>DE7</f>
        <v>FY14</v>
      </c>
      <c r="DF203" s="20"/>
      <c r="DG203" s="20" t="str">
        <f>DG7</f>
        <v>4/14</v>
      </c>
      <c r="DH203" s="20" t="str">
        <f>DH7</f>
        <v>7/14</v>
      </c>
      <c r="DI203" s="20" t="str">
        <f>DI7</f>
        <v>10/14</v>
      </c>
      <c r="DJ203" s="20" t="str">
        <f>DJ7</f>
        <v>1/15</v>
      </c>
      <c r="DK203" s="20" t="str">
        <f>DK7</f>
        <v>FY15</v>
      </c>
      <c r="DL203" s="20"/>
      <c r="DM203" s="20" t="str">
        <f>DM7</f>
        <v>4/15</v>
      </c>
      <c r="DN203" s="20" t="str">
        <f>DN7</f>
        <v>7/15</v>
      </c>
      <c r="DO203" s="20" t="str">
        <f>DO7</f>
        <v>10/15</v>
      </c>
      <c r="DP203" s="20" t="str">
        <f>DP7</f>
        <v>1/16</v>
      </c>
      <c r="DQ203" s="20" t="str">
        <f>DQ7</f>
        <v>FY16</v>
      </c>
      <c r="DR203" s="20"/>
      <c r="DS203" s="20" t="str">
        <f>DS7</f>
        <v>4/16</v>
      </c>
      <c r="DT203" s="20" t="str">
        <f>DT7</f>
        <v>7/16</v>
      </c>
      <c r="DU203" s="20" t="str">
        <f>DU7</f>
        <v>10/16</v>
      </c>
      <c r="DV203" s="20" t="str">
        <f>DV7</f>
        <v>1/17</v>
      </c>
      <c r="DW203" s="20" t="str">
        <f>DW7</f>
        <v>FY17</v>
      </c>
      <c r="DX203" s="20"/>
      <c r="DY203" s="20" t="str">
        <f>DY7</f>
        <v>4/17</v>
      </c>
      <c r="DZ203" s="20" t="str">
        <f>DZ7</f>
        <v>7/17</v>
      </c>
      <c r="EA203" s="20" t="str">
        <f>EA7</f>
        <v>10/17</v>
      </c>
      <c r="EB203" s="20" t="str">
        <f>EB7</f>
        <v>1/18</v>
      </c>
      <c r="EC203" s="20" t="str">
        <f>EC7</f>
        <v>FY18</v>
      </c>
      <c r="ED203" s="20"/>
      <c r="EE203" s="20" t="str">
        <f>EE7</f>
        <v>4/18e</v>
      </c>
      <c r="EF203" s="20" t="str">
        <f>EF7</f>
        <v>7/18e</v>
      </c>
      <c r="EG203" s="20" t="str">
        <f>EG7</f>
        <v>10/18e</v>
      </c>
      <c r="EH203" s="20" t="str">
        <f>EH7</f>
        <v>1/19e</v>
      </c>
      <c r="EI203" s="20" t="str">
        <f>EI7</f>
        <v>FY19e</v>
      </c>
      <c r="EJ203" s="20"/>
      <c r="EK203" s="20" t="str">
        <f>EK7</f>
        <v>4/19e</v>
      </c>
      <c r="EL203" s="20" t="str">
        <f>EL7</f>
        <v>7/19e</v>
      </c>
      <c r="EM203" s="20" t="str">
        <f>EM7</f>
        <v>10/19e</v>
      </c>
      <c r="EN203" s="20" t="str">
        <f>EN7</f>
        <v>1/20e</v>
      </c>
      <c r="EO203" s="20" t="str">
        <f>EO7</f>
        <v>FY20e</v>
      </c>
      <c r="EP203" s="20"/>
      <c r="EQ203" s="20" t="str">
        <f>EQ7</f>
        <v>4/20e</v>
      </c>
      <c r="ER203" s="20" t="str">
        <f>ER7</f>
        <v>7/20e</v>
      </c>
      <c r="ES203" s="20" t="str">
        <f>ES7</f>
        <v>10/20e</v>
      </c>
      <c r="ET203" s="20" t="str">
        <f>ET7</f>
        <v>1/21e</v>
      </c>
      <c r="EU203" s="20" t="str">
        <f>EU7</f>
        <v>FY21e</v>
      </c>
      <c r="EV203" s="21"/>
    </row>
    <row r="204" spans="1:152" ht="5.25" customHeight="1">
      <c r="A204" s="22"/>
      <c r="B204" s="519"/>
      <c r="C204" s="23"/>
      <c r="D204" s="24"/>
      <c r="E204" s="24"/>
      <c r="F204" s="24"/>
      <c r="G204" s="24"/>
      <c r="H204" s="24"/>
      <c r="I204" s="23"/>
      <c r="J204" s="24"/>
      <c r="K204" s="24"/>
      <c r="L204" s="24"/>
      <c r="M204" s="24"/>
      <c r="N204" s="24"/>
      <c r="O204" s="23"/>
      <c r="P204" s="24"/>
      <c r="Q204" s="24"/>
      <c r="R204" s="24"/>
      <c r="S204" s="24"/>
      <c r="T204" s="24"/>
      <c r="U204" s="23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3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  <c r="CO204" s="24"/>
      <c r="CP204" s="24"/>
      <c r="CQ204" s="24"/>
      <c r="CR204" s="24"/>
      <c r="CS204" s="24"/>
      <c r="CT204" s="24"/>
      <c r="CU204" s="24"/>
      <c r="CV204" s="24"/>
      <c r="CW204" s="24"/>
      <c r="CX204" s="24"/>
      <c r="CY204" s="24"/>
      <c r="CZ204" s="24"/>
      <c r="DA204" s="24"/>
      <c r="DB204" s="24"/>
      <c r="DC204" s="24"/>
      <c r="DD204" s="24"/>
      <c r="DE204" s="24"/>
      <c r="DF204" s="24"/>
      <c r="DG204" s="24"/>
      <c r="DH204" s="24"/>
      <c r="DI204" s="24"/>
      <c r="DJ204" s="24"/>
      <c r="DK204" s="24"/>
      <c r="DL204" s="24"/>
      <c r="DM204" s="24"/>
      <c r="DN204" s="24"/>
      <c r="DO204" s="24"/>
      <c r="DP204" s="24"/>
      <c r="DQ204" s="24"/>
      <c r="DR204" s="24"/>
      <c r="DS204" s="24"/>
      <c r="DT204" s="24"/>
      <c r="DU204" s="24"/>
      <c r="DV204" s="24"/>
      <c r="DW204" s="24"/>
      <c r="DX204" s="24"/>
      <c r="DY204" s="24"/>
      <c r="DZ204" s="24"/>
      <c r="EA204" s="24"/>
      <c r="EB204" s="24"/>
      <c r="EC204" s="24"/>
      <c r="ED204" s="24"/>
      <c r="EE204" s="24"/>
      <c r="EF204" s="24"/>
      <c r="EG204" s="24"/>
      <c r="EH204" s="24"/>
      <c r="EI204" s="24"/>
      <c r="EJ204" s="24"/>
      <c r="EK204" s="24"/>
      <c r="EL204" s="24"/>
      <c r="EM204" s="24"/>
      <c r="EN204" s="24"/>
      <c r="EO204" s="24"/>
      <c r="EP204" s="24"/>
      <c r="EQ204" s="24"/>
      <c r="ER204" s="24"/>
      <c r="ES204" s="24"/>
      <c r="ET204" s="24"/>
      <c r="EU204" s="24"/>
      <c r="EV204" s="24"/>
    </row>
    <row r="205" spans="1:152">
      <c r="A205" s="52" t="s">
        <v>92</v>
      </c>
      <c r="B205" s="520"/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52"/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/>
      <c r="BB205" s="52"/>
      <c r="BC205" s="52"/>
      <c r="BD205" s="52"/>
      <c r="BE205" s="52"/>
      <c r="BF205" s="52"/>
      <c r="BG205" s="52"/>
      <c r="BH205" s="52"/>
      <c r="BI205" s="52"/>
      <c r="BJ205" s="52"/>
      <c r="BK205" s="52"/>
      <c r="BL205" s="52"/>
      <c r="BM205" s="52"/>
      <c r="BN205" s="52"/>
      <c r="BO205" s="52"/>
      <c r="BP205" s="52"/>
      <c r="BQ205" s="52"/>
      <c r="BR205" s="52"/>
      <c r="BS205" s="52"/>
      <c r="BT205" s="52"/>
      <c r="BU205" s="52"/>
      <c r="BV205" s="52"/>
      <c r="BW205" s="52"/>
      <c r="BX205" s="52"/>
      <c r="BY205" s="52"/>
      <c r="BZ205" s="52"/>
      <c r="CA205" s="52"/>
      <c r="CB205" s="52"/>
      <c r="CC205" s="52"/>
      <c r="CD205" s="52"/>
      <c r="CE205" s="52"/>
      <c r="CF205" s="52"/>
      <c r="CG205" s="52"/>
      <c r="CH205" s="52"/>
      <c r="CI205" s="52"/>
      <c r="CJ205" s="52"/>
      <c r="CK205" s="52"/>
      <c r="CL205" s="52"/>
      <c r="CM205" s="52"/>
      <c r="CN205" s="52"/>
      <c r="CO205" s="52"/>
      <c r="CP205" s="52"/>
      <c r="CQ205" s="52"/>
      <c r="CR205" s="52"/>
      <c r="CS205" s="52"/>
      <c r="CT205" s="52"/>
      <c r="CU205" s="52"/>
      <c r="CV205" s="52"/>
      <c r="CW205" s="52"/>
      <c r="CX205" s="52"/>
      <c r="CY205" s="52"/>
      <c r="CZ205" s="52"/>
      <c r="DA205" s="52"/>
      <c r="DB205" s="52"/>
      <c r="DC205" s="52"/>
      <c r="DD205" s="52"/>
      <c r="DE205" s="52"/>
      <c r="DF205" s="52"/>
      <c r="DG205" s="52"/>
      <c r="DH205" s="52"/>
      <c r="DI205" s="52"/>
      <c r="DJ205" s="52"/>
      <c r="DK205" s="52"/>
      <c r="DL205" s="52"/>
      <c r="DM205" s="52"/>
      <c r="DN205" s="52"/>
      <c r="DO205" s="52"/>
      <c r="DP205" s="52"/>
      <c r="DQ205" s="52"/>
      <c r="DR205" s="52"/>
      <c r="DS205" s="52"/>
      <c r="DT205" s="52"/>
      <c r="DU205" s="52"/>
      <c r="DV205" s="52"/>
      <c r="DW205" s="52"/>
      <c r="DX205" s="52"/>
      <c r="DY205" s="52"/>
      <c r="DZ205" s="52"/>
      <c r="EA205" s="52"/>
      <c r="EB205" s="52"/>
      <c r="EC205" s="52"/>
      <c r="ED205" s="52"/>
      <c r="EE205" s="52"/>
      <c r="EF205" s="52"/>
      <c r="EG205" s="52"/>
      <c r="EH205" s="52"/>
      <c r="EI205" s="52"/>
      <c r="EJ205" s="52"/>
      <c r="EK205" s="52"/>
      <c r="EL205" s="52"/>
      <c r="EM205" s="52"/>
      <c r="EN205" s="52"/>
      <c r="EO205" s="52"/>
      <c r="EP205" s="52"/>
      <c r="EQ205" s="52"/>
      <c r="ER205" s="52"/>
      <c r="ES205" s="52"/>
      <c r="ET205" s="52"/>
      <c r="EU205" s="52"/>
      <c r="EV205" s="52"/>
    </row>
    <row r="206" spans="1:152">
      <c r="A206" s="90" t="s">
        <v>5187</v>
      </c>
      <c r="B206" s="526"/>
      <c r="C206" s="116"/>
      <c r="D206" s="116"/>
      <c r="E206" s="116"/>
      <c r="F206" s="116"/>
      <c r="G206" s="116" t="str">
        <f>IF(ISERROR(G10/A10),"-",G10/A10-1)</f>
        <v>-</v>
      </c>
      <c r="H206" s="90"/>
      <c r="I206" s="116" t="str">
        <f>IF(ISERROR(I10/C10),"-",I10/C10-1)</f>
        <v>-</v>
      </c>
      <c r="J206" s="116" t="str">
        <f>IF(ISERROR(J10/D10),"-",J10/D10-1)</f>
        <v>-</v>
      </c>
      <c r="K206" s="116" t="str">
        <f>IF(ISERROR(K10/E10),"-",K10/E10-1)</f>
        <v>-</v>
      </c>
      <c r="L206" s="116" t="str">
        <f>IF(ISERROR(L10/F10),"-",L10/F10-1)</f>
        <v>-</v>
      </c>
      <c r="M206" s="116" t="str">
        <f>IF(ISERROR(M10/G10),"-",M10/G10-1)</f>
        <v>-</v>
      </c>
      <c r="N206" s="90"/>
      <c r="O206" s="116" t="str">
        <f>IF(ISERROR(O10/I10),"-",O10/I10-1)</f>
        <v>-</v>
      </c>
      <c r="P206" s="116" t="str">
        <f>IF(ISERROR(P10/J10),"-",P10/J10-1)</f>
        <v>-</v>
      </c>
      <c r="Q206" s="116" t="str">
        <f>IF(ISERROR(Q10/K10),"-",Q10/K10-1)</f>
        <v>-</v>
      </c>
      <c r="R206" s="116" t="str">
        <f>IF(ISERROR(R10/L10),"-",R10/L10-1)</f>
        <v>-</v>
      </c>
      <c r="S206" s="116" t="str">
        <f>IF(ISERROR(S10/M10),"-",S10/M10-1)</f>
        <v>-</v>
      </c>
      <c r="T206" s="90"/>
      <c r="U206" s="116" t="str">
        <f>IF(ISERROR(U10/O10),"-",U10/O10-1)</f>
        <v>-</v>
      </c>
      <c r="V206" s="116" t="str">
        <f>IF(ISERROR(V10/P10),"-",V10/P10-1)</f>
        <v>-</v>
      </c>
      <c r="W206" s="116" t="str">
        <f>IF(ISERROR(W10/Q10),"-",W10/Q10-1)</f>
        <v>-</v>
      </c>
      <c r="X206" s="116" t="str">
        <f>IF(ISERROR(X10/R10),"-",X10/R10-1)</f>
        <v>-</v>
      </c>
      <c r="Y206" s="116" t="str">
        <f>IF(ISERROR(Y10/S10),"-",Y10/S10-1)</f>
        <v>-</v>
      </c>
      <c r="Z206" s="90"/>
      <c r="AA206" s="116" t="str">
        <f>IF(ISERROR(AA10/U10),"-",AA10/U10-1)</f>
        <v>-</v>
      </c>
      <c r="AB206" s="116" t="str">
        <f>IF(ISERROR(AB10/V10),"-",AB10/V10-1)</f>
        <v>-</v>
      </c>
      <c r="AC206" s="116" t="str">
        <f>IF(ISERROR(AC10/W10),"-",AC10/W10-1)</f>
        <v>-</v>
      </c>
      <c r="AD206" s="116" t="str">
        <f>IF(ISERROR(AD10/X10),"-",AD10/X10-1)</f>
        <v>-</v>
      </c>
      <c r="AE206" s="116" t="str">
        <f>IF(ISERROR(AE10/Y10),"-",AE10/Y10-1)</f>
        <v>-</v>
      </c>
      <c r="AF206" s="90"/>
      <c r="AG206" s="116" t="str">
        <f>IF(ISERROR(AG10/AA10),"-",AG10/AA10-1)</f>
        <v>-</v>
      </c>
      <c r="AH206" s="116" t="str">
        <f>IF(ISERROR(AH10/AB10),"-",AH10/AB10-1)</f>
        <v>-</v>
      </c>
      <c r="AI206" s="116" t="str">
        <f>IF(ISERROR(AI10/AC10),"-",AI10/AC10-1)</f>
        <v>-</v>
      </c>
      <c r="AJ206" s="116" t="str">
        <f>IF(ISERROR(AJ10/AD10),"-",AJ10/AD10-1)</f>
        <v>-</v>
      </c>
      <c r="AK206" s="116" t="str">
        <f>IF(ISERROR(AK10/AE10),"-",AK10/AE10-1)</f>
        <v>-</v>
      </c>
      <c r="AL206" s="90"/>
      <c r="AM206" s="116">
        <f>IF(ISERROR(AM10/AG10),"-",AM10/AG10-1)</f>
        <v>-9.7637921641334002E-2</v>
      </c>
      <c r="AN206" s="116">
        <f>IF(ISERROR(AN10/AH10),"-",AN10/AH10-1)</f>
        <v>-0.12212232665849332</v>
      </c>
      <c r="AO206" s="116">
        <f>IF(ISERROR(AO10/AI10),"-",AO10/AI10-1)</f>
        <v>-0.17732386171965531</v>
      </c>
      <c r="AP206" s="116">
        <f>IF(ISERROR(AP10/AJ10),"-",AP10/AJ10-1)</f>
        <v>-0.2771354127646114</v>
      </c>
      <c r="AQ206" s="116">
        <f>IF(ISERROR(AQ10/AK10),"-",AQ10/AK10-1)</f>
        <v>-0.16951204907452999</v>
      </c>
      <c r="AR206" s="90"/>
      <c r="AS206" s="116">
        <f>IF(ISERROR(AS10/AM10),"-",AS10/AM10-1)</f>
        <v>-0.12535101842144669</v>
      </c>
      <c r="AT206" s="116">
        <f>IF(ISERROR(AT10/AN10),"-",AT10/AN10-1)</f>
        <v>-5.1211627485969968E-2</v>
      </c>
      <c r="AU206" s="116">
        <f>IF(ISERROR(AU10/AO10),"-",AU10/AO10-1)</f>
        <v>0.21413077713925754</v>
      </c>
      <c r="AV206" s="116">
        <f>IF(ISERROR(AV10/AP10),"-",AV10/AP10-1)</f>
        <v>0.50925872611905065</v>
      </c>
      <c r="AW206" s="116">
        <f>IF(ISERROR(AW10/AQ10),"-",AW10/AQ10-1)</f>
        <v>0.1172223824478198</v>
      </c>
      <c r="AX206" s="90"/>
      <c r="AY206" s="116">
        <f>IF(ISERROR(AY10/AS10),"-",AY10/AS10-1)</f>
        <v>0.40089147639406897</v>
      </c>
      <c r="AZ206" s="116">
        <f>IF(ISERROR(AZ10/AT10),"-",AZ10/AT10-1)</f>
        <v>0.30946280406031601</v>
      </c>
      <c r="BA206" s="116">
        <f>IF(ISERROR(BA10/AU10),"-",BA10/AU10-1)</f>
        <v>0.25597764105275012</v>
      </c>
      <c r="BB206" s="116">
        <f>IF(ISERROR(BB10/AV10),"-",BB10/AV10-1)</f>
        <v>0.17007923881900955</v>
      </c>
      <c r="BC206" s="116">
        <f>IF(ISERROR(BC10/AW10),"-",BC10/AW10-1)</f>
        <v>0.27315990568123549</v>
      </c>
      <c r="BD206" s="90"/>
      <c r="BE206" s="116">
        <f>IF(ISERROR(BE10/AY10),"-",BE10/AY10-1)</f>
        <v>0.1436210847975552</v>
      </c>
      <c r="BF206" s="116">
        <f>IF(ISERROR(BF10/AZ10),"-",BF10/AZ10-1)</f>
        <v>0.30266444629475431</v>
      </c>
      <c r="BG206" s="116">
        <f>IF(ISERROR(BG10/BA10),"-",BG10/BA10-1)</f>
        <v>0.20303975058456736</v>
      </c>
      <c r="BH206" s="116">
        <f>IF(ISERROR(BH10/BB10),"-",BH10/BB10-1)</f>
        <v>0.11118356700358656</v>
      </c>
      <c r="BI206" s="116">
        <f>IF(ISERROR(BI10/BC10),"-",BI10/BC10-1)</f>
        <v>0.1844550830751901</v>
      </c>
      <c r="BJ206" s="90"/>
      <c r="BK206" s="116">
        <f>IF(ISERROR(BK10/BE10),"-",BK10/BE10-1)</f>
        <v>0.1670006680026721</v>
      </c>
      <c r="BL206" s="116">
        <f>IF(ISERROR(BL10/BF10),"-",BL10/BF10-1)</f>
        <v>0.1041866410993928</v>
      </c>
      <c r="BM206" s="116">
        <f>IF(ISERROR(BM10/BG10),"-",BM10/BG10-1)</f>
        <v>0.12180110139293832</v>
      </c>
      <c r="BN206" s="116">
        <f>IF(ISERROR(BN10/BH10),"-",BN10/BH10-1)</f>
        <v>9.9471830985915499E-2</v>
      </c>
      <c r="BO206" s="116">
        <f>IF(ISERROR(BO10/BI10),"-",BO10/BI10-1)</f>
        <v>0.12212711998731973</v>
      </c>
      <c r="BP206" s="90"/>
      <c r="BQ206" s="116">
        <f>IF(ISERROR(BQ10/BK10),"-",BQ10/BK10-1)</f>
        <v>9.6737263880938729E-2</v>
      </c>
      <c r="BR206" s="116">
        <f>IF(ISERROR(BR10/BL10),"-",BR10/BL10-1)</f>
        <v>0.13921852387843714</v>
      </c>
      <c r="BS206" s="116">
        <f>IF(ISERROR(BS10/BM10),"-",BS10/BM10-1)</f>
        <v>0.14293964770430256</v>
      </c>
      <c r="BT206" s="116">
        <f>IF(ISERROR(BT10/BN10),"-",BT10/BN10-1)</f>
        <v>0.19028556178275968</v>
      </c>
      <c r="BU206" s="116">
        <f>IF(ISERROR(BU10/BO10),"-",BU10/BO10-1)</f>
        <v>0.14315982767144564</v>
      </c>
      <c r="BV206" s="90"/>
      <c r="BW206" s="116">
        <f>IF(ISERROR(BW10/BQ10),"-",BW10/BQ10-1)</f>
        <v>0.12787056367432159</v>
      </c>
      <c r="BX206" s="116">
        <f>IF(ISERROR(BX10/BR10),"-",BX10/BR10-1)</f>
        <v>0.11839430894308944</v>
      </c>
      <c r="BY206" s="116">
        <f>IF(ISERROR(BY10/BS10),"-",BY10/BS10-1)</f>
        <v>6.3668519454269878E-2</v>
      </c>
      <c r="BZ206" s="116">
        <f>IF(ISERROR(BZ10/BT10),"-",BZ10/BT10-1)</f>
        <v>-0.30493273542600896</v>
      </c>
      <c r="CA206" s="116">
        <f>IF(ISERROR(CA10/BU10),"-",CA10/BU10-1)</f>
        <v>-9.3908315828492572E-3</v>
      </c>
      <c r="CB206" s="90"/>
      <c r="CC206" s="116">
        <f>IF(ISERROR(CC10/BW10),"-",CC10/BW10-1)</f>
        <v>-0.43637204997686252</v>
      </c>
      <c r="CD206" s="116">
        <f>IF(ISERROR(CD10/BX10),"-",CD10/BX10-1)</f>
        <v>-0.47523852794184462</v>
      </c>
      <c r="CE206" s="116">
        <f>IF(ISERROR(CE10/BY10),"-",CE10/BY10-1)</f>
        <v>-0.43919239904988128</v>
      </c>
      <c r="CF206" s="116">
        <f>IF(ISERROR(CF10/BZ10),"-",CF10/BZ10-1)</f>
        <v>-0.12903225806451613</v>
      </c>
      <c r="CG206" s="116">
        <f>IF(ISERROR(CG10/CA10),"-",CG10/CA10-1)</f>
        <v>-0.38836223026069605</v>
      </c>
      <c r="CH206" s="90"/>
      <c r="CI206" s="116">
        <f>IF(ISERROR(CI10/CC10),"-",CI10/CC10-1)</f>
        <v>0.14860426929392445</v>
      </c>
      <c r="CJ206" s="116">
        <f>IF(ISERROR(CJ10/CD10),"-",CJ10/CD10-1)</f>
        <v>0.21515151515151509</v>
      </c>
      <c r="CK206" s="116">
        <f>IF(ISERROR(CK10/CE10),"-",CK10/CE10-1)</f>
        <v>0.19440914866581949</v>
      </c>
      <c r="CL206" s="116">
        <f>IF(ISERROR(CL10/CF10),"-",CL10/CF10-1)</f>
        <v>0.2207407407407409</v>
      </c>
      <c r="CM206" s="116">
        <f>IF(ISERROR(CM10/CG10),"-",CM10/CG10-1)</f>
        <v>0.19516671765065752</v>
      </c>
      <c r="CN206" s="90"/>
      <c r="CO206" s="116">
        <f>IF(ISERROR(CO10/CI10),"-",CO10/CI10-1)</f>
        <v>0.15439599714081487</v>
      </c>
      <c r="CP206" s="116">
        <f>IF(ISERROR(CP10/CJ10),"-",CP10/CJ10-1)</f>
        <v>0.18631991449946561</v>
      </c>
      <c r="CQ206" s="116">
        <f>IF(ISERROR(CQ10/CK10),"-",CQ10/CK10-1)</f>
        <v>0.17517730496453887</v>
      </c>
      <c r="CR206" s="116">
        <f>IF(ISERROR(CR10/CL10),"-",CR10/CL10-1)</f>
        <v>0.1231796116504853</v>
      </c>
      <c r="CS206" s="116">
        <f>IF(ISERROR(CS10/CM10),"-",CS10/CM10-1)</f>
        <v>0.15826294684753872</v>
      </c>
      <c r="CT206" s="90"/>
      <c r="CU206" s="116">
        <f>IF(ISERROR(CU10/CO10),"-",CU10/CO10-1)</f>
        <v>0.10000000000000009</v>
      </c>
      <c r="CV206" s="116">
        <f>IF(ISERROR(CV10/CP10),"-",CV10/CP10-1)</f>
        <v>3.0030030030030463E-3</v>
      </c>
      <c r="CW206" s="116">
        <f>IF(ISERROR(CW10/CQ10),"-",CW10/CQ10-1)</f>
        <v>-6.4574532287266062E-2</v>
      </c>
      <c r="CX206" s="116">
        <f>IF(ISERROR(CX10/CR10),"-",CX10/CR10-1)</f>
        <v>-1.40464613722312E-2</v>
      </c>
      <c r="CY206" s="116">
        <f>IF(ISERROR(CY10/CS10),"-",CY10/CS10-1)</f>
        <v>4.9351797289334254E-3</v>
      </c>
      <c r="CZ206" s="90"/>
      <c r="DA206" s="116">
        <f>IF(ISERROR(DA10/CU10),"-",DA10/CU10-1)</f>
        <v>-8.9501829439909919E-2</v>
      </c>
      <c r="DB206" s="116">
        <f>IF(ISERROR(DB10/CV10),"-",DB10/CV10-1)</f>
        <v>-6.2275449101796387E-2</v>
      </c>
      <c r="DC206" s="116">
        <f>IF(ISERROR(DC10/CW10),"-",DC10/CW10-1)</f>
        <v>-4.0322580645161255E-2</v>
      </c>
      <c r="DD206" s="116">
        <f>IF(ISERROR(DD10/CX10),"-",DD10/CX10-1)</f>
        <v>-0.12136986301369868</v>
      </c>
      <c r="DE206" s="116">
        <f>IF(ISERROR(DE10/CY10),"-",DE10/CY10-1)</f>
        <v>-8.0187642014219684E-2</v>
      </c>
      <c r="DF206" s="90"/>
      <c r="DG206" s="116">
        <f>IF(ISERROR(DG10/DA10),"-",DG10/DA10-1)</f>
        <v>-2.256568778979906E-2</v>
      </c>
      <c r="DH206" s="116">
        <f>IF(ISERROR(DH10/DB10),"-",DH10/DB10-1)</f>
        <v>0.11877394636015315</v>
      </c>
      <c r="DI206" s="116">
        <f>IF(ISERROR(DI10/DC10),"-",DI10/DC10-1)</f>
        <v>7.7310924369747847E-2</v>
      </c>
      <c r="DJ206" s="116">
        <f>IF(ISERROR(DJ10/DD10),"-",DJ10/DD10-1)</f>
        <v>0.10477081384471476</v>
      </c>
      <c r="DK206" s="116">
        <f>IF(ISERROR(DK10/DE10),"-",DK10/DE10-1)</f>
        <v>6.8929795202804733E-2</v>
      </c>
      <c r="DL206" s="90"/>
      <c r="DM206" s="116">
        <f>IF(ISERROR(DM10/DG10),"-",DM10/DG10-1)</f>
        <v>3.3206831119544589E-2</v>
      </c>
      <c r="DN206" s="116">
        <f>IF(ISERROR(DN10/DH10),"-",DN10/DH10-1)</f>
        <v>-0.17094748858447484</v>
      </c>
      <c r="DO206" s="116">
        <f>IF(ISERROR(DO10/DI10),"-",DO10/DI10-1)</f>
        <v>-0.12355694227769121</v>
      </c>
      <c r="DP206" s="116">
        <f>IF(ISERROR(DP10/DJ10),"-",DP10/DJ10-1)</f>
        <v>-7.197290431837422E-2</v>
      </c>
      <c r="DQ206" s="116">
        <f>IF(ISERROR(DQ10/DK10),"-",DQ10/DK10-1)</f>
        <v>-8.5358580587445831E-2</v>
      </c>
      <c r="DR206" s="90"/>
      <c r="DS206" s="116">
        <f>IF(ISERROR(DS10/DM10),"-",DS10/DM10-1)</f>
        <v>-0.4309764309764309</v>
      </c>
      <c r="DT206" s="116">
        <f>IF(ISERROR(DT10/DN10),"-",DT10/DN10-1)</f>
        <v>-0.212736660929432</v>
      </c>
      <c r="DU206" s="116">
        <f>IF(ISERROR(DU10/DO10),"-",DU10/DO10-1)</f>
        <v>-0.39444642221431114</v>
      </c>
      <c r="DV206" s="116">
        <f>IF(ISERROR(DV10/DP10),"-",DV10/DP10-1)</f>
        <v>-0.52463503649635035</v>
      </c>
      <c r="DW206" s="116">
        <f>IF(ISERROR(DW10/DQ10),"-",DW10/DQ10-1)</f>
        <v>-0.39603879696796807</v>
      </c>
      <c r="DX206" s="90"/>
      <c r="DY206" s="116">
        <f>IF(ISERROR(DY10/DS10),"-",DY10/DS10-1)</f>
        <v>-1</v>
      </c>
      <c r="DZ206" s="116">
        <f>IF(ISERROR(DZ10/DT10),"-",DZ10/DT10-1)</f>
        <v>-1</v>
      </c>
      <c r="EA206" s="116">
        <f>IF(ISERROR(EA10/DU10),"-",EA10/DU10-1)</f>
        <v>-1</v>
      </c>
      <c r="EB206" s="116">
        <f>IF(ISERROR(EB10/DV10),"-",EB10/DV10-1)</f>
        <v>-1</v>
      </c>
      <c r="EC206" s="116">
        <f>IF(ISERROR(EC10/DW10),"-",EC10/DW10-1)</f>
        <v>-1</v>
      </c>
      <c r="ED206" s="90"/>
      <c r="EE206" s="116" t="str">
        <f>IF(ISERROR(EE10/DY10),"-",EE10/DY10-1)</f>
        <v>-</v>
      </c>
      <c r="EF206" s="116" t="str">
        <f>IF(ISERROR(EF10/DZ10),"-",EF10/DZ10-1)</f>
        <v>-</v>
      </c>
      <c r="EG206" s="116" t="str">
        <f>IF(ISERROR(EG10/EA10),"-",EG10/EA10-1)</f>
        <v>-</v>
      </c>
      <c r="EH206" s="116" t="str">
        <f>IF(ISERROR(EH10/EB10),"-",EH10/EB10-1)</f>
        <v>-</v>
      </c>
      <c r="EI206" s="116" t="str">
        <f>IF(ISERROR(EI10/EC10),"-",EI10/EC10-1)</f>
        <v>-</v>
      </c>
      <c r="EJ206" s="90"/>
      <c r="EK206" s="116" t="str">
        <f>IF(ISERROR(EK10/EE10),"-",EK10/EE10-1)</f>
        <v>-</v>
      </c>
      <c r="EL206" s="116" t="str">
        <f>IF(ISERROR(EL10/EF10),"-",EL10/EF10-1)</f>
        <v>-</v>
      </c>
      <c r="EM206" s="116" t="str">
        <f>IF(ISERROR(EM10/EG10),"-",EM10/EG10-1)</f>
        <v>-</v>
      </c>
      <c r="EN206" s="116" t="str">
        <f>IF(ISERROR(EN10/EH10),"-",EN10/EH10-1)</f>
        <v>-</v>
      </c>
      <c r="EO206" s="116" t="str">
        <f>IF(ISERROR(EO10/EI10),"-",EO10/EI10-1)</f>
        <v>-</v>
      </c>
      <c r="EP206" s="90"/>
      <c r="EQ206" s="116" t="str">
        <f>IF(ISERROR(EQ10/EK10),"-",EQ10/EK10-1)</f>
        <v>-</v>
      </c>
      <c r="ER206" s="116" t="str">
        <f>IF(ISERROR(ER10/EL10),"-",ER10/EL10-1)</f>
        <v>-</v>
      </c>
      <c r="ES206" s="116" t="str">
        <f>IF(ISERROR(ES10/EM10),"-",ES10/EM10-1)</f>
        <v>-</v>
      </c>
      <c r="ET206" s="116" t="str">
        <f>IF(ISERROR(ET10/EN10),"-",ET10/EN10-1)</f>
        <v>-</v>
      </c>
      <c r="EU206" s="116" t="str">
        <f>IF(ISERROR(EU10/EO10),"-",EU10/EO10-1)</f>
        <v>-</v>
      </c>
      <c r="EV206" s="90"/>
    </row>
    <row r="207" spans="1:152">
      <c r="A207" s="90" t="s">
        <v>469</v>
      </c>
      <c r="B207" s="526"/>
      <c r="C207" s="116"/>
      <c r="D207" s="116"/>
      <c r="E207" s="116"/>
      <c r="F207" s="116"/>
      <c r="G207" s="116" t="str">
        <f>IF(ISERROR(G14/A14),"-",G14/A14-1)</f>
        <v>-</v>
      </c>
      <c r="H207" s="90"/>
      <c r="I207" s="116" t="str">
        <f>IF(ISERROR(I14/C14),"-",I14/C14-1)</f>
        <v>-</v>
      </c>
      <c r="J207" s="116" t="str">
        <f>IF(ISERROR(J14/D14),"-",J14/D14-1)</f>
        <v>-</v>
      </c>
      <c r="K207" s="116" t="str">
        <f>IF(ISERROR(K14/E14),"-",K14/E14-1)</f>
        <v>-</v>
      </c>
      <c r="L207" s="116" t="str">
        <f>IF(ISERROR(L14/F14),"-",L14/F14-1)</f>
        <v>-</v>
      </c>
      <c r="M207" s="116" t="str">
        <f>IF(ISERROR(M14/G14),"-",M14/G14-1)</f>
        <v>-</v>
      </c>
      <c r="N207" s="90"/>
      <c r="O207" s="116" t="str">
        <f>IF(ISERROR(O14/I14),"-",O14/I14-1)</f>
        <v>-</v>
      </c>
      <c r="P207" s="116" t="str">
        <f>IF(ISERROR(P14/J14),"-",P14/J14-1)</f>
        <v>-</v>
      </c>
      <c r="Q207" s="116" t="str">
        <f>IF(ISERROR(Q14/K14),"-",Q14/K14-1)</f>
        <v>-</v>
      </c>
      <c r="R207" s="116" t="str">
        <f>IF(ISERROR(R14/L14),"-",R14/L14-1)</f>
        <v>-</v>
      </c>
      <c r="S207" s="116" t="str">
        <f>IF(ISERROR(S14/M14),"-",S14/M14-1)</f>
        <v>-</v>
      </c>
      <c r="T207" s="90"/>
      <c r="U207" s="116" t="str">
        <f>IF(ISERROR(U14/O14),"-",U14/O14-1)</f>
        <v>-</v>
      </c>
      <c r="V207" s="116" t="str">
        <f>IF(ISERROR(V14/P14),"-",V14/P14-1)</f>
        <v>-</v>
      </c>
      <c r="W207" s="116" t="str">
        <f>IF(ISERROR(W14/Q14),"-",W14/Q14-1)</f>
        <v>-</v>
      </c>
      <c r="X207" s="116" t="str">
        <f>IF(ISERROR(X14/R14),"-",X14/R14-1)</f>
        <v>-</v>
      </c>
      <c r="Y207" s="116" t="str">
        <f>IF(ISERROR(Y14/S14),"-",Y14/S14-1)</f>
        <v>-</v>
      </c>
      <c r="Z207" s="90"/>
      <c r="AA207" s="116" t="str">
        <f>IF(ISERROR(AA14/U14),"-",AA14/U14-1)</f>
        <v>-</v>
      </c>
      <c r="AB207" s="116" t="str">
        <f>IF(ISERROR(AB14/V14),"-",AB14/V14-1)</f>
        <v>-</v>
      </c>
      <c r="AC207" s="116" t="str">
        <f>IF(ISERROR(AC14/W14),"-",AC14/W14-1)</f>
        <v>-</v>
      </c>
      <c r="AD207" s="116" t="str">
        <f>IF(ISERROR(AD14/X14),"-",AD14/X14-1)</f>
        <v>-</v>
      </c>
      <c r="AE207" s="116" t="str">
        <f>IF(ISERROR(AE14/Y14),"-",AE14/Y14-1)</f>
        <v>-</v>
      </c>
      <c r="AF207" s="90"/>
      <c r="AG207" s="116" t="str">
        <f>IF(ISERROR(AG14/AA14),"-",AG14/AA14-1)</f>
        <v>-</v>
      </c>
      <c r="AH207" s="116" t="str">
        <f>IF(ISERROR(AH14/AB14),"-",AH14/AB14-1)</f>
        <v>-</v>
      </c>
      <c r="AI207" s="116" t="str">
        <f>IF(ISERROR(AI14/AC14),"-",AI14/AC14-1)</f>
        <v>-</v>
      </c>
      <c r="AJ207" s="116" t="str">
        <f>IF(ISERROR(AJ14/AD14),"-",AJ14/AD14-1)</f>
        <v>-</v>
      </c>
      <c r="AK207" s="116" t="str">
        <f>IF(ISERROR(AK14/AE14),"-",AK14/AE14-1)</f>
        <v>-</v>
      </c>
      <c r="AL207" s="90"/>
      <c r="AM207" s="116">
        <f>IF(ISERROR(AM14/AG14),"-",AM14/AG14-1)</f>
        <v>0.74868817684492561</v>
      </c>
      <c r="AN207" s="116">
        <f>IF(ISERROR(AN14/AH14),"-",AN14/AH14-1)</f>
        <v>0.62318059299191364</v>
      </c>
      <c r="AO207" s="116">
        <f>IF(ISERROR(AO14/AI14),"-",AO14/AI14-1)</f>
        <v>0.72901150981719698</v>
      </c>
      <c r="AP207" s="116">
        <f>IF(ISERROR(AP14/AJ14),"-",AP14/AJ14-1)</f>
        <v>0.58551103368176527</v>
      </c>
      <c r="AQ207" s="116">
        <f>IF(ISERROR(AQ14/AK14),"-",AQ14/AK14-1)</f>
        <v>0.66380612535300698</v>
      </c>
      <c r="AR207" s="90"/>
      <c r="AS207" s="116">
        <f>IF(ISERROR(AS14/AM14),"-",AS14/AM14-1)</f>
        <v>0.52493136691566122</v>
      </c>
      <c r="AT207" s="116">
        <f>IF(ISERROR(AT14/AN14),"-",AT14/AN14-1)</f>
        <v>0.56487324255507598</v>
      </c>
      <c r="AU207" s="116">
        <f>IF(ISERROR(AU14/AO14),"-",AU14/AO14-1)</f>
        <v>0.44684287812041124</v>
      </c>
      <c r="AV207" s="116">
        <f>IF(ISERROR(AV14/AP14),"-",AV14/AP14-1)</f>
        <v>0.51959527515795267</v>
      </c>
      <c r="AW207" s="116">
        <f>IF(ISERROR(AW14/AQ14),"-",AW14/AQ14-1)</f>
        <v>0.51190115919527379</v>
      </c>
      <c r="AX207" s="90"/>
      <c r="AY207" s="116">
        <f>IF(ISERROR(AY14/AS14),"-",AY14/AS14-1)</f>
        <v>0.56164957086037237</v>
      </c>
      <c r="AZ207" s="116">
        <f>IF(ISERROR(AZ14/AT14),"-",AZ14/AT14-1)</f>
        <v>0.43610059778571686</v>
      </c>
      <c r="BA207" s="116">
        <f>IF(ISERROR(BA14/AU14),"-",BA14/AU14-1)</f>
        <v>0.51561284211238534</v>
      </c>
      <c r="BB207" s="116">
        <f>IF(ISERROR(BB14/AV14),"-",BB14/AV14-1)</f>
        <v>0.53354825103190606</v>
      </c>
      <c r="BC207" s="116">
        <f>IF(ISERROR(BC14/AW14),"-",BC14/AW14-1)</f>
        <v>0.51080013228203902</v>
      </c>
      <c r="BD207" s="90"/>
      <c r="BE207" s="116">
        <f>IF(ISERROR(BE14/AY14),"-",BE14/AY14-1)</f>
        <v>0.60053619302949079</v>
      </c>
      <c r="BF207" s="116">
        <f>IF(ISERROR(BF14/AZ14),"-",BF14/AZ14-1)</f>
        <v>0.57389162561576357</v>
      </c>
      <c r="BG207" s="116">
        <f>IF(ISERROR(BG14/BA14),"-",BG14/BA14-1)</f>
        <v>0.625</v>
      </c>
      <c r="BH207" s="116">
        <f>IF(ISERROR(BH14/BB14),"-",BH14/BB14-1)</f>
        <v>0.55206286836935181</v>
      </c>
      <c r="BI207" s="116">
        <f>IF(ISERROR(BI14/BC14),"-",BI14/BC14-1)</f>
        <v>0.58640552995391704</v>
      </c>
      <c r="BJ207" s="90"/>
      <c r="BK207" s="116">
        <f>IF(ISERROR(BK14/BE14),"-",BK14/BE14-1)</f>
        <v>0.45058626465661633</v>
      </c>
      <c r="BL207" s="116">
        <f>IF(ISERROR(BL14/BF14),"-",BL14/BF14-1)</f>
        <v>0.62910798122065725</v>
      </c>
      <c r="BM207" s="116">
        <f>IF(ISERROR(BM14/BG14),"-",BM14/BG14-1)</f>
        <v>0.51785714285714302</v>
      </c>
      <c r="BN207" s="116">
        <f>IF(ISERROR(BN14/BH14),"-",BN14/BH14-1)</f>
        <v>0.55316455696202538</v>
      </c>
      <c r="BO207" s="116">
        <f>IF(ISERROR(BO14/BI14),"-",BO14/BI14-1)</f>
        <v>0.53921568627450989</v>
      </c>
      <c r="BP207" s="90"/>
      <c r="BQ207" s="116">
        <f>IF(ISERROR(BQ14/BK14),"-",BQ14/BK14-1)</f>
        <v>0.44803695150115486</v>
      </c>
      <c r="BR207" s="116">
        <f>IF(ISERROR(BR14/BL14),"-",BR14/BL14-1)</f>
        <v>0.27089337175792516</v>
      </c>
      <c r="BS207" s="116">
        <f>IF(ISERROR(BS14/BM14),"-",BS14/BM14-1)</f>
        <v>0.29049773755656094</v>
      </c>
      <c r="BT207" s="116">
        <f>IF(ISERROR(BT14/BN14),"-",BT14/BN14-1)</f>
        <v>0.247758761206194</v>
      </c>
      <c r="BU207" s="116">
        <f>IF(ISERROR(BU14/BO14),"-",BU14/BO14-1)</f>
        <v>0.30549657938192998</v>
      </c>
      <c r="BV207" s="90"/>
      <c r="BW207" s="116">
        <f>IF(ISERROR(BW14/BQ14),"-",BW14/BQ14-1)</f>
        <v>0.32854864433811781</v>
      </c>
      <c r="BX207" s="116">
        <f>IF(ISERROR(BX14/BR14),"-",BX14/BR14-1)</f>
        <v>0.35525321239606944</v>
      </c>
      <c r="BY207" s="116">
        <f>IF(ISERROR(BY14/BS14),"-",BY14/BS14-1)</f>
        <v>0.30504908835904621</v>
      </c>
      <c r="BZ207" s="116">
        <f>IF(ISERROR(BZ14/BT14),"-",BZ14/BT14-1)</f>
        <v>0.17439581972566964</v>
      </c>
      <c r="CA207" s="116">
        <f>IF(ISERROR(CA14/BU14),"-",CA14/BU14-1)</f>
        <v>0.28623057462956236</v>
      </c>
      <c r="CB207" s="90"/>
      <c r="CC207" s="116">
        <f>IF(ISERROR(CC14/BW14),"-",CC14/BW14-1)</f>
        <v>9.3637454981992718E-2</v>
      </c>
      <c r="CD207" s="116">
        <f>IF(ISERROR(CD14/BX14),"-",CD14/BX14-1)</f>
        <v>2.5655326268823275E-2</v>
      </c>
      <c r="CE207" s="116">
        <f>IF(ISERROR(CE14/BY14),"-",CE14/BY14-1)</f>
        <v>-2.8479312197743023E-2</v>
      </c>
      <c r="CF207" s="116">
        <f>IF(ISERROR(CF14/BZ14),"-",CF14/BZ14-1)</f>
        <v>3.5038932146829627E-2</v>
      </c>
      <c r="CG207" s="116">
        <f>IF(ISERROR(CG14/CA14),"-",CG14/CA14-1)</f>
        <v>2.9783647091879972E-2</v>
      </c>
      <c r="CH207" s="90"/>
      <c r="CI207" s="116">
        <f>IF(ISERROR(CI14/CC14),"-",CI14/CC14-1)</f>
        <v>6.9154774972557842E-2</v>
      </c>
      <c r="CJ207" s="116">
        <f>IF(ISERROR(CJ14/CD14),"-",CJ14/CD14-1)</f>
        <v>4.4589450788471874E-2</v>
      </c>
      <c r="CK207" s="116">
        <f>IF(ISERROR(CK14/CE14),"-",CK14/CE14-1)</f>
        <v>7.6880530973451267E-2</v>
      </c>
      <c r="CL207" s="116">
        <f>IF(ISERROR(CL14/CF14),"-",CL14/CF14-1)</f>
        <v>6.4481461579795729E-2</v>
      </c>
      <c r="CM207" s="116">
        <f>IF(ISERROR(CM14/CG14),"-",CM14/CG14-1)</f>
        <v>6.3710777626193371E-2</v>
      </c>
      <c r="CN207" s="90"/>
      <c r="CO207" s="116">
        <f>IF(ISERROR(CO14/CI14),"-",CO14/CI14-1)</f>
        <v>5.3901437371663308E-2</v>
      </c>
      <c r="CP207" s="116">
        <f>IF(ISERROR(CP14/CJ14),"-",CP14/CJ14-1)</f>
        <v>0.11035918792295685</v>
      </c>
      <c r="CQ207" s="116">
        <f>IF(ISERROR(CQ14/CK14),"-",CQ14/CK14-1)</f>
        <v>0.11556240369799697</v>
      </c>
      <c r="CR207" s="116">
        <f>IF(ISERROR(CR14/CL14),"-",CR14/CL14-1)</f>
        <v>0.12165572942958103</v>
      </c>
      <c r="CS207" s="116">
        <f>IF(ISERROR(CS14/CM14),"-",CS14/CM14-1)</f>
        <v>0.10042323970757994</v>
      </c>
      <c r="CT207" s="90"/>
      <c r="CU207" s="116">
        <f>IF(ISERROR(CU14/CO14),"-",CU14/CO14-1)</f>
        <v>0.1363857769118364</v>
      </c>
      <c r="CV207" s="116">
        <f>IF(ISERROR(CV14/CP14),"-",CV14/CP14-1)</f>
        <v>0.1017346460384434</v>
      </c>
      <c r="CW207" s="116">
        <f>IF(ISERROR(CW14/CQ14),"-",CW14/CQ14-1)</f>
        <v>9.5764272559852648E-2</v>
      </c>
      <c r="CX207" s="116">
        <f>IF(ISERROR(CX14/CR14),"-",CX14/CR14-1)</f>
        <v>8.9108910891089188E-2</v>
      </c>
      <c r="CY207" s="116">
        <f>IF(ISERROR(CY14/CS14),"-",CY14/CS14-1)</f>
        <v>0.10524475524475529</v>
      </c>
      <c r="CZ207" s="90"/>
      <c r="DA207" s="116">
        <f>IF(ISERROR(DA14/CU14),"-",DA14/CU14-1)</f>
        <v>5.8294042006000746E-2</v>
      </c>
      <c r="DB207" s="116">
        <f>IF(ISERROR(DB14/CV14),"-",DB14/CV14-1)</f>
        <v>5.7446808510638325E-2</v>
      </c>
      <c r="DC207" s="116">
        <f>IF(ISERROR(DC14/CW14),"-",DC14/CW14-1)</f>
        <v>8.2773109243697407E-2</v>
      </c>
      <c r="DD207" s="116">
        <f>IF(ISERROR(DD14/CX14),"-",DD14/CX14-1)</f>
        <v>9.8760330578512301E-2</v>
      </c>
      <c r="DE207" s="116">
        <f>IF(ISERROR(DE14/CY14),"-",DE14/CY14-1)</f>
        <v>7.4554465886322863E-2</v>
      </c>
      <c r="DF207" s="90"/>
      <c r="DG207" s="116">
        <f>IF(ISERROR(DG14/DA14),"-",DG14/DA14-1)</f>
        <v>0.11907654921020661</v>
      </c>
      <c r="DH207" s="116">
        <f>IF(ISERROR(DH14/DB14),"-",DH14/DB14-1)</f>
        <v>0.15372233400402413</v>
      </c>
      <c r="DI207" s="116">
        <f>IF(ISERROR(DI14/DC14),"-",DI14/DC14-1)</f>
        <v>0.15444315095071803</v>
      </c>
      <c r="DJ207" s="116">
        <f>IF(ISERROR(DJ14/DD14),"-",DJ14/DD14-1)</f>
        <v>0.16698006769462226</v>
      </c>
      <c r="DK207" s="116">
        <f>IF(ISERROR(DK14/DE14),"-",DK14/DE14-1)</f>
        <v>0.14896957801766453</v>
      </c>
      <c r="DL207" s="90"/>
      <c r="DM207" s="116">
        <f>IF(ISERROR(DM14/DG14),"-",DM14/DG14-1)</f>
        <v>0.1574375678610207</v>
      </c>
      <c r="DN207" s="116">
        <f>IF(ISERROR(DN14/DH14),"-",DN14/DH14-1)</f>
        <v>0.11266131845134297</v>
      </c>
      <c r="DO207" s="116">
        <f>IF(ISERROR(DO14/DI14),"-",DO14/DI14-1)</f>
        <v>7.193277310924362E-2</v>
      </c>
      <c r="DP207" s="116">
        <f>IF(ISERROR(DP14/DJ14),"-",DP14/DJ14-1)</f>
        <v>2.9648727038349865E-2</v>
      </c>
      <c r="DQ207" s="116">
        <f>IF(ISERROR(DQ14/DK14),"-",DQ14/DK14-1)</f>
        <v>9.0878032114793283E-2</v>
      </c>
      <c r="DR207" s="90"/>
      <c r="DS207" s="116">
        <f>IF(ISERROR(DS14/DM14),"-",DS14/DM14-1)</f>
        <v>1.9387116948092586E-2</v>
      </c>
      <c r="DT207" s="116">
        <f>IF(ISERROR(DT14/DN14),"-",DT14/DN14-1)</f>
        <v>9.4043887147334804E-3</v>
      </c>
      <c r="DU207" s="116">
        <f>IF(ISERROR(DU14/DO14),"-",DU14/DO14-1)</f>
        <v>1.8814675446849893E-3</v>
      </c>
      <c r="DV207" s="116">
        <f>IF(ISERROR(DV14/DP14),"-",DV14/DP14-1)</f>
        <v>9.3896713615022609E-3</v>
      </c>
      <c r="DW207" s="116">
        <f>IF(ISERROR(DW14/DQ14),"-",DW14/DQ14-1)</f>
        <v>1.0021922956467311E-2</v>
      </c>
      <c r="DX207" s="90"/>
      <c r="DY207" s="116">
        <f>IF(ISERROR(DY14/DS14),"-",DY14/DS14-1)</f>
        <v>-1</v>
      </c>
      <c r="DZ207" s="116">
        <f>IF(ISERROR(DZ14/DT14),"-",DZ14/DT14-1)</f>
        <v>-1</v>
      </c>
      <c r="EA207" s="116">
        <f>IF(ISERROR(EA14/DU14),"-",EA14/DU14-1)</f>
        <v>-1</v>
      </c>
      <c r="EB207" s="116">
        <f>IF(ISERROR(EB14/DV14),"-",EB14/DV14-1)</f>
        <v>-1</v>
      </c>
      <c r="EC207" s="116">
        <f>IF(ISERROR(EC14/DW14),"-",EC14/DW14-1)</f>
        <v>-1</v>
      </c>
      <c r="ED207" s="90"/>
      <c r="EE207" s="116" t="str">
        <f>IF(ISERROR(EE14/DY14),"-",EE14/DY14-1)</f>
        <v>-</v>
      </c>
      <c r="EF207" s="116" t="str">
        <f>IF(ISERROR(EF14/DZ14),"-",EF14/DZ14-1)</f>
        <v>-</v>
      </c>
      <c r="EG207" s="116" t="str">
        <f>IF(ISERROR(EG14/EA14),"-",EG14/EA14-1)</f>
        <v>-</v>
      </c>
      <c r="EH207" s="116" t="str">
        <f>IF(ISERROR(EH14/EB14),"-",EH14/EB14-1)</f>
        <v>-</v>
      </c>
      <c r="EI207" s="116" t="str">
        <f>IF(ISERROR(EI14/EC14),"-",EI14/EC14-1)</f>
        <v>-</v>
      </c>
      <c r="EJ207" s="90"/>
      <c r="EK207" s="116" t="str">
        <f>IF(ISERROR(EK14/EE14),"-",EK14/EE14-1)</f>
        <v>-</v>
      </c>
      <c r="EL207" s="116" t="str">
        <f>IF(ISERROR(EL14/EF14),"-",EL14/EF14-1)</f>
        <v>-</v>
      </c>
      <c r="EM207" s="116" t="str">
        <f>IF(ISERROR(EM14/EG14),"-",EM14/EG14-1)</f>
        <v>-</v>
      </c>
      <c r="EN207" s="116" t="str">
        <f>IF(ISERROR(EN14/EH14),"-",EN14/EH14-1)</f>
        <v>-</v>
      </c>
      <c r="EO207" s="116" t="str">
        <f>IF(ISERROR(EO14/EI14),"-",EO14/EI14-1)</f>
        <v>-</v>
      </c>
      <c r="EP207" s="90"/>
      <c r="EQ207" s="116" t="str">
        <f>IF(ISERROR(EQ14/EK14),"-",EQ14/EK14-1)</f>
        <v>-</v>
      </c>
      <c r="ER207" s="116" t="str">
        <f>IF(ISERROR(ER14/EL14),"-",ER14/EL14-1)</f>
        <v>-</v>
      </c>
      <c r="ES207" s="116" t="str">
        <f>IF(ISERROR(ES14/EM14),"-",ES14/EM14-1)</f>
        <v>-</v>
      </c>
      <c r="ET207" s="116" t="str">
        <f>IF(ISERROR(ET14/EN14),"-",ET14/EN14-1)</f>
        <v>-</v>
      </c>
      <c r="EU207" s="116" t="str">
        <f>IF(ISERROR(EU14/EO14),"-",EU14/EO14-1)</f>
        <v>-</v>
      </c>
      <c r="EV207" s="90"/>
    </row>
    <row r="208" spans="1:152">
      <c r="A208" s="90" t="s">
        <v>5637</v>
      </c>
      <c r="B208" s="526"/>
      <c r="C208" s="116"/>
      <c r="D208" s="116"/>
      <c r="E208" s="116"/>
      <c r="F208" s="116"/>
      <c r="G208" s="116" t="str">
        <f>IF(ISERROR(G31/A31),"-",G31/A31-1)</f>
        <v>-</v>
      </c>
      <c r="H208" s="90"/>
      <c r="I208" s="116">
        <f>IF(ISERROR(I31/C31),"-",I31/C31-1)</f>
        <v>7.1166544387380792E-2</v>
      </c>
      <c r="J208" s="116">
        <f>IF(ISERROR(J31/D31),"-",J31/D31-1)</f>
        <v>0.46775446775446783</v>
      </c>
      <c r="K208" s="116">
        <f>IF(ISERROR(K31/E31),"-",K31/E31-1)</f>
        <v>0.72041166380789035</v>
      </c>
      <c r="L208" s="116">
        <f>IF(ISERROR(L31/F31),"-",L31/F31-1)</f>
        <v>0.90521739130434775</v>
      </c>
      <c r="M208" s="116">
        <f>IF(ISERROR(M31/G31),"-",M31/G31-1)</f>
        <v>0.51922689752365625</v>
      </c>
      <c r="N208" s="90"/>
      <c r="O208" s="116">
        <f>IF(ISERROR(O31/I31),"-",O31/I31-1)</f>
        <v>0.56083561643835611</v>
      </c>
      <c r="P208" s="116">
        <f>IF(ISERROR(P31/J31),"-",P31/J31-1)</f>
        <v>0.22999470619375328</v>
      </c>
      <c r="Q208" s="116">
        <f>IF(ISERROR(Q31/K31),"-",Q31/K31-1)</f>
        <v>4.8379860418743759E-2</v>
      </c>
      <c r="R208" s="116">
        <f>IF(ISERROR(R31/L31),"-",R31/L31-1)</f>
        <v>1.9164764947512625E-2</v>
      </c>
      <c r="S208" s="116">
        <f>IF(ISERROR(S31/M31),"-",S31/M31-1)</f>
        <v>0.18451099920487679</v>
      </c>
      <c r="T208" s="90"/>
      <c r="U208" s="116">
        <f>IF(ISERROR(U31/O31),"-",U31/O31-1)</f>
        <v>-0.11067570058188014</v>
      </c>
      <c r="V208" s="116">
        <f>IF(ISERROR(V31/P31),"-",V31/P31-1)</f>
        <v>-9.3670646363612886E-2</v>
      </c>
      <c r="W208" s="116">
        <f>IF(ISERROR(W31/Q31),"-",W31/Q31-1)</f>
        <v>-1.0337367157224109E-2</v>
      </c>
      <c r="X208" s="116">
        <f>IF(ISERROR(X31/R31),"-",X31/R31-1)</f>
        <v>1.5127698735775796E-2</v>
      </c>
      <c r="Y208" s="116">
        <f>IF(ISERROR(Y31/S31),"-",Y31/S31-1)</f>
        <v>-5.1218797268390404E-2</v>
      </c>
      <c r="Z208" s="90"/>
      <c r="AA208" s="116">
        <f>IF(ISERROR(AA31/U31),"-",AA31/U31-1)</f>
        <v>0.14111249821129856</v>
      </c>
      <c r="AB208" s="116">
        <f>IF(ISERROR(AB31/V31),"-",AB31/V31-1)</f>
        <v>0.10570229174383372</v>
      </c>
      <c r="AC208" s="116">
        <f>IF(ISERROR(AC31/W31),"-",AC31/W31-1)</f>
        <v>0.10111900677938412</v>
      </c>
      <c r="AD208" s="116">
        <f>IF(ISERROR(AD31/X31),"-",AD31/X31-1)</f>
        <v>7.2217295976212847E-2</v>
      </c>
      <c r="AE208" s="116">
        <f>IF(ISERROR(AE31/Y31),"-",AE31/Y31-1)</f>
        <v>0.1040892587827853</v>
      </c>
      <c r="AF208" s="90"/>
      <c r="AG208" s="116">
        <f>IF(ISERROR(AG31/AA31),"-",AG31/AA31-1)</f>
        <v>6.2618103511647094E-2</v>
      </c>
      <c r="AH208" s="116">
        <f>IF(ISERROR(AH31/AB31),"-",AH31/AB31-1)</f>
        <v>-6.3605636464368898E-3</v>
      </c>
      <c r="AI208" s="116">
        <f>IF(ISERROR(AI31/AC31),"-",AI31/AC31-1)</f>
        <v>-5.593929582811541E-2</v>
      </c>
      <c r="AJ208" s="116">
        <f>IF(ISERROR(AJ31/AD31),"-",AJ31/AD31-1)</f>
        <v>4.520524836759976E-2</v>
      </c>
      <c r="AK208" s="116">
        <f>IF(ISERROR(AK31/AE31),"-",AK31/AE31-1)</f>
        <v>1.1926427176917498E-2</v>
      </c>
      <c r="AL208" s="116"/>
      <c r="AM208" s="116">
        <f>IF(ISERROR(AM31/AG31),"-",AM31/AG31-1)</f>
        <v>-6.679010336127611E-2</v>
      </c>
      <c r="AN208" s="116">
        <f>IF(ISERROR(AN31/AH31),"-",AN31/AH31-1)</f>
        <v>-8.6268153526970814E-2</v>
      </c>
      <c r="AO208" s="116">
        <f>IF(ISERROR(AO31/AI31),"-",AO31/AI31-1)</f>
        <v>-0.12782576944586954</v>
      </c>
      <c r="AP208" s="116">
        <f>IF(ISERROR(AP31/AJ31),"-",AP31/AJ31-1)</f>
        <v>-0.23035499185148445</v>
      </c>
      <c r="AQ208" s="116">
        <f>IF(ISERROR(AQ31/AK31),"-",AQ31/AK31-1)</f>
        <v>-0.12933737629170095</v>
      </c>
      <c r="AR208" s="116"/>
      <c r="AS208" s="116">
        <f>IF(ISERROR(AS31/AM31),"-",AS31/AM31-1)</f>
        <v>-8.0936828197290311E-2</v>
      </c>
      <c r="AT208" s="116">
        <f>IF(ISERROR(AT31/AN31),"-",AT31/AN31-1)</f>
        <v>1.4380253641184115E-3</v>
      </c>
      <c r="AU208" s="116">
        <f>IF(ISERROR(AU31/AO31),"-",AU31/AO31-1)</f>
        <v>0.23932570574612755</v>
      </c>
      <c r="AV208" s="116">
        <f>IF(ISERROR(AV31/AP31),"-",AV31/AP31-1)</f>
        <v>0.51041346999734061</v>
      </c>
      <c r="AW208" s="116">
        <f>IF(ISERROR(AW31/AQ31),"-",AW31/AQ31-1)</f>
        <v>0.15358357223814934</v>
      </c>
      <c r="AX208" s="116"/>
      <c r="AY208" s="116">
        <f>IF(ISERROR(AY31/AS31),"-",AY31/AS31-1)</f>
        <v>0.41910934401184274</v>
      </c>
      <c r="AZ208" s="116">
        <f>IF(ISERROR(AZ31/AT31),"-",AZ31/AT31-1)</f>
        <v>0.32637396377034089</v>
      </c>
      <c r="BA208" s="116">
        <f>IF(ISERROR(BA31/AU31),"-",BA31/AU31-1)</f>
        <v>0.28879424617937088</v>
      </c>
      <c r="BB208" s="116">
        <f>IF(ISERROR(BB31/AV31),"-",BB31/AV31-1)</f>
        <v>0.21093088618739597</v>
      </c>
      <c r="BC208" s="116">
        <f>IF(ISERROR(BC31/AW31),"-",BC31/AW31-1)</f>
        <v>0.30185374137150167</v>
      </c>
      <c r="BD208" s="116"/>
      <c r="BE208" s="116">
        <f>IF(ISERROR(BE31/AY31),"-",BE31/AY31-1)</f>
        <v>0.20060180541624861</v>
      </c>
      <c r="BF208" s="116">
        <f>IF(ISERROR(BF31/AZ31),"-",BF31/AZ31-1)</f>
        <v>0.34188034188034155</v>
      </c>
      <c r="BG208" s="116">
        <f>IF(ISERROR(BG31/BA31),"-",BG31/BA31-1)</f>
        <v>0.26575978765759767</v>
      </c>
      <c r="BH208" s="116">
        <f>IF(ISERROR(BH31/BB31),"-",BH31/BB31-1)</f>
        <v>0.1739373601789711</v>
      </c>
      <c r="BI208" s="116">
        <f>IF(ISERROR(BI31/BC31),"-",BI31/BC31-1)</f>
        <v>0.24077810961336654</v>
      </c>
      <c r="BJ208" s="90"/>
      <c r="BK208" s="116">
        <f>IF(ISERROR(BK31/BE31),"-",BK31/BE31-1)</f>
        <v>0.2141464773043722</v>
      </c>
      <c r="BL208" s="116">
        <f>IF(ISERROR(BL31/BF31),"-",BL31/BF31-1)</f>
        <v>0.19320594479830167</v>
      </c>
      <c r="BM208" s="116">
        <f>IF(ISERROR(BM31/BG31),"-",BM31/BG31-1)</f>
        <v>0.19737876802096999</v>
      </c>
      <c r="BN208" s="116">
        <f>IF(ISERROR(BN31/BH31),"-",BN31/BH31-1)</f>
        <v>0.18484992853739857</v>
      </c>
      <c r="BO208" s="116">
        <f>IF(ISERROR(BO31/BI31),"-",BO31/BI31-1)</f>
        <v>0.19685141816289375</v>
      </c>
      <c r="BP208" s="90"/>
      <c r="BQ208" s="116">
        <f>IF(ISERROR(BQ31/BK31),"-",BQ31/BK31-1)</f>
        <v>0.16651376146788999</v>
      </c>
      <c r="BR208" s="116">
        <f>IF(ISERROR(BR31/BL31),"-",BR31/BL31-1)</f>
        <v>0.16970640569395035</v>
      </c>
      <c r="BS208" s="116">
        <f>IF(ISERROR(BS31/BM31),"-",BS31/BM31-1)</f>
        <v>0.17863397548161108</v>
      </c>
      <c r="BT208" s="116">
        <f>IF(ISERROR(BT31/BN31),"-",BT31/BN31-1)</f>
        <v>0.20446320868516299</v>
      </c>
      <c r="BU208" s="116">
        <f>IF(ISERROR(BU31/BO31),"-",BU31/BO31-1)</f>
        <v>0.1805631046852918</v>
      </c>
      <c r="BV208" s="90"/>
      <c r="BW208" s="116">
        <f>IF(ISERROR(BW31/BQ31),"-",BW31/BQ31-1)</f>
        <v>0.17734958710184801</v>
      </c>
      <c r="BX208" s="116">
        <f>IF(ISERROR(BX31/BR31),"-",BX31/BR31-1)</f>
        <v>0.17798060467769528</v>
      </c>
      <c r="BY208" s="116">
        <f>IF(ISERROR(BY31/BS31),"-",BY31/BS31-1)</f>
        <v>0.1276002971768202</v>
      </c>
      <c r="BZ208" s="116">
        <f>IF(ISERROR(BZ31/BT31),"-",BZ31/BT31-1)</f>
        <v>-0.18244032715740277</v>
      </c>
      <c r="CA208" s="116">
        <f>IF(ISERROR(CA31/BU31),"-",CA31/BU31-1)</f>
        <v>6.5930018416206382E-2</v>
      </c>
      <c r="CB208" s="90"/>
      <c r="CC208" s="116">
        <f>IF(ISERROR(CC31/BW31),"-",CC31/BW31-1)</f>
        <v>-0.28891115564462255</v>
      </c>
      <c r="CD208" s="116">
        <f>IF(ISERROR(CD31/BX31),"-",CD31/BX31-1)</f>
        <v>-0.33026634382566589</v>
      </c>
      <c r="CE208" s="116">
        <f>IF(ISERROR(CE31/BY31),"-",CE31/BY31-1)</f>
        <v>-0.31329270301433043</v>
      </c>
      <c r="CF208" s="116">
        <f>IF(ISERROR(CF31/BZ31),"-",CF31/BZ31-1)</f>
        <v>-6.8803593303389143E-2</v>
      </c>
      <c r="CG208" s="116">
        <f>IF(ISERROR(CG31/CA31),"-",CG31/CA31-1)</f>
        <v>-0.25980476848652401</v>
      </c>
      <c r="CH208" s="90"/>
      <c r="CI208" s="116">
        <f>IF(ISERROR(CI31/CC31),"-",CI31/CC31-1)</f>
        <v>0.11460779708783475</v>
      </c>
      <c r="CJ208" s="116">
        <f>IF(ISERROR(CJ31/CD31),"-",CJ31/CD31-1)</f>
        <v>0.13955169920462751</v>
      </c>
      <c r="CK208" s="116">
        <f>IF(ISERROR(CK31/CE31),"-",CK31/CE31-1)</f>
        <v>0.14343967378268174</v>
      </c>
      <c r="CL208" s="116">
        <f>IF(ISERROR(CL31/CF31),"-",CL31/CF31-1)</f>
        <v>0.15698311773733842</v>
      </c>
      <c r="CM208" s="116">
        <f>IF(ISERROR(CM31/CG31),"-",CM31/CG31-1)</f>
        <v>0.13893913753865905</v>
      </c>
      <c r="CN208" s="90"/>
      <c r="CO208" s="116">
        <f>IF(ISERROR(CO31/CI31),"-",CO31/CI31-1)</f>
        <v>0.11314791403286972</v>
      </c>
      <c r="CP208" s="116">
        <f>IF(ISERROR(CP31/CJ31),"-",CP31/CJ31-1)</f>
        <v>0.15545685279187826</v>
      </c>
      <c r="CQ208" s="116">
        <f>IF(ISERROR(CQ31/CK31),"-",CQ31/CK31-1)</f>
        <v>0.15082861338367937</v>
      </c>
      <c r="CR208" s="116">
        <f>IF(ISERROR(CR31/CL31),"-",CR31/CL31-1)</f>
        <v>0.12260754216410819</v>
      </c>
      <c r="CS208" s="116">
        <f>IF(ISERROR(CS31/CM31),"-",CS31/CM31-1)</f>
        <v>0.13515729070601501</v>
      </c>
      <c r="CT208" s="90"/>
      <c r="CU208" s="116">
        <f>IF(ISERROR(CU31/CO31),"-",CU31/CO31-1)</f>
        <v>0.1141396933560479</v>
      </c>
      <c r="CV208" s="116">
        <f>IF(ISERROR(CV31/CP31),"-",CV31/CP31-1)</f>
        <v>4.1552260662639728E-2</v>
      </c>
      <c r="CW208" s="116">
        <f>IF(ISERROR(CW31/CQ31),"-",CW31/CQ31-1)</f>
        <v>-1.0936930368208309E-3</v>
      </c>
      <c r="CX208" s="116">
        <f>IF(ISERROR(CX31/CR31),"-",CX31/CR31-1)</f>
        <v>2.4645509790681919E-2</v>
      </c>
      <c r="CY208" s="116">
        <f>IF(ISERROR(CY31/CS31),"-",CY31/CS31-1)</f>
        <v>4.3780465788048284E-2</v>
      </c>
      <c r="CZ208" s="90"/>
      <c r="DA208" s="116">
        <f>IF(ISERROR(DA31/CU31),"-",DA31/CU31-1)</f>
        <v>-3.0920829085966828E-2</v>
      </c>
      <c r="DB208" s="116">
        <f>IF(ISERROR(DB31/CV31),"-",DB31/CV31-1)</f>
        <v>-1.2829525483303961E-2</v>
      </c>
      <c r="DC208" s="116">
        <f>IF(ISERROR(DC31/CW31),"-",DC31/CW31-1)</f>
        <v>1.3138686131386912E-2</v>
      </c>
      <c r="DD208" s="116">
        <f>IF(ISERROR(DD31/CX31),"-",DD31/CX31-1)</f>
        <v>-3.3607907742998488E-2</v>
      </c>
      <c r="DE208" s="116">
        <f>IF(ISERROR(DE31/CY31),"-",DE31/CY31-1)</f>
        <v>-1.673441148490884E-2</v>
      </c>
      <c r="DF208" s="90"/>
      <c r="DG208" s="116">
        <f>IF(ISERROR(DG31/DA31),"-",DG31/DA31-1)</f>
        <v>3.8744740532959288E-2</v>
      </c>
      <c r="DH208" s="116">
        <f>IF(ISERROR(DH31/DB31),"-",DH31/DB31-1)</f>
        <v>0.13423535695210931</v>
      </c>
      <c r="DI208" s="116">
        <f>IF(ISERROR(DI31/DC31),"-",DI31/DC31-1)</f>
        <v>0.11311239193083567</v>
      </c>
      <c r="DJ208" s="116">
        <f>IF(ISERROR(DJ31/DD31),"-",DJ31/DD31-1)</f>
        <v>0.13296965564268692</v>
      </c>
      <c r="DK208" s="116">
        <f>IF(ISERROR(DK31/DE31),"-",DK31/DE31-1)</f>
        <v>0.10479792427107615</v>
      </c>
      <c r="DL208" s="90"/>
      <c r="DM208" s="116">
        <f>IF(ISERROR(DM31/DG31),"-",DM31/DG31-1)</f>
        <v>9.1139240506329156E-2</v>
      </c>
      <c r="DN208" s="116">
        <f>IF(ISERROR(DN31/DH31),"-",DN31/DH31-1)</f>
        <v>-4.3321299638989008E-2</v>
      </c>
      <c r="DO208" s="116">
        <f>IF(ISERROR(DO31/DI31),"-",DO31/DI31-1)</f>
        <v>-2.9449838187702304E-2</v>
      </c>
      <c r="DP208" s="116">
        <f>IF(ISERROR(DP31/DJ31),"-",DP31/DJ31-1)</f>
        <v>-2.4526030695155132E-2</v>
      </c>
      <c r="DQ208" s="116">
        <f>IF(ISERROR(DQ31/DK31),"-",DQ31/DK31-1)</f>
        <v>-3.224265583950281E-3</v>
      </c>
      <c r="DR208" s="90"/>
      <c r="DS208" s="116">
        <f>IF(ISERROR(DS31/DM31),"-",DS31/DM31-1)</f>
        <v>-0.20819798917246712</v>
      </c>
      <c r="DT208" s="116">
        <f>IF(ISERROR(DT31/DN31),"-",DT31/DN31-1)</f>
        <v>-9.6472518457752177E-2</v>
      </c>
      <c r="DU208" s="116">
        <f>IF(ISERROR(DU31/DO31),"-",DU31/DO31-1)</f>
        <v>-0.1837279093031009</v>
      </c>
      <c r="DV208" s="116">
        <f>IF(ISERROR(DV31/DP31),"-",DV31/DP31-1)</f>
        <v>-0.26145303100416462</v>
      </c>
      <c r="DW208" s="116">
        <f>IF(ISERROR(DW31/DQ31),"-",DW31/DQ31-1)</f>
        <v>-0.18893015454654372</v>
      </c>
      <c r="DX208" s="90"/>
      <c r="DY208" s="116">
        <f>IF(ISERROR(DY31/DS31),"-",DY31/DS31-1)</f>
        <v>-5.1181871459269335E-2</v>
      </c>
      <c r="DZ208" s="116">
        <f>IF(ISERROR(DZ31/DT31),"-",DZ31/DT31-1)</f>
        <v>-8.8796077719266564E-2</v>
      </c>
      <c r="EA208" s="116">
        <f>IF(ISERROR(EA31/DU31),"-",EA31/DU31-1)</f>
        <v>5.2491830065359402E-2</v>
      </c>
      <c r="EB208" s="116">
        <f>IF(ISERROR(EB31/DV31),"-",EB31/DV31-1)</f>
        <v>0.15664160401002492</v>
      </c>
      <c r="EC208" s="116">
        <f>IF(ISERROR(EC31/DW31),"-",EC31/DW31-1)</f>
        <v>1.2604628261940087E-2</v>
      </c>
      <c r="ED208" s="90"/>
      <c r="EE208" s="116">
        <f>IF(ISERROR(EE31/DY31),"-",EE31/DY31-1)</f>
        <v>0.14602332103228521</v>
      </c>
      <c r="EF208" s="116">
        <f>IF(ISERROR(EF31/DZ31),"-",EF31/DZ31-1)</f>
        <v>0.18485391747200608</v>
      </c>
      <c r="EG208" s="116">
        <f>IF(ISERROR(EG31/EA31),"-",EG31/EA31-1)</f>
        <v>0.23367769812459582</v>
      </c>
      <c r="EH208" s="116">
        <f>IF(ISERROR(EH31/EB31),"-",EH31/EB31-1)</f>
        <v>0.28689653884862265</v>
      </c>
      <c r="EI208" s="116">
        <f>IF(ISERROR(EI31/EC31),"-",EI31/EC31-1)</f>
        <v>0.21539465324847096</v>
      </c>
      <c r="EJ208" s="90"/>
      <c r="EK208" s="116">
        <f>IF(ISERROR(EK31/EE31),"-",EK31/EE31-1)</f>
        <v>0.24073792687749473</v>
      </c>
      <c r="EL208" s="116">
        <f>IF(ISERROR(EL31/EF31),"-",EL31/EF31-1)</f>
        <v>0.23254687595964341</v>
      </c>
      <c r="EM208" s="116">
        <f>IF(ISERROR(EM31/EG31),"-",EM31/EG31-1)</f>
        <v>0.23808425856240345</v>
      </c>
      <c r="EN208" s="116">
        <f>IF(ISERROR(EN31/EH31),"-",EN31/EH31-1)</f>
        <v>0.2560318886462698</v>
      </c>
      <c r="EO208" s="116">
        <f>IF(ISERROR(EO31/EI31),"-",EO31/EI31-1)</f>
        <v>0.24247530152446917</v>
      </c>
      <c r="EP208" s="90"/>
      <c r="EQ208" s="116">
        <f>IF(ISERROR(EQ31/EK31),"-",EQ31/EK31-1)</f>
        <v>0.11218875625011249</v>
      </c>
      <c r="ER208" s="116">
        <f>IF(ISERROR(ER31/EL31),"-",ER31/EL31-1)</f>
        <v>0.18165299654016764</v>
      </c>
      <c r="ES208" s="116">
        <f>IF(ISERROR(ES31/EM31),"-",ES31/EM31-1)</f>
        <v>0.22896612228891833</v>
      </c>
      <c r="ET208" s="116">
        <f>IF(ISERROR(ET31/EN31),"-",ET31/EN31-1)</f>
        <v>0.26857853355918526</v>
      </c>
      <c r="EU208" s="116">
        <f>IF(ISERROR(EU31/EO31),"-",EU31/EO31-1)</f>
        <v>0.20325113023107866</v>
      </c>
      <c r="EV208" s="90"/>
    </row>
    <row r="209" spans="1:152" ht="5.25" customHeight="1">
      <c r="A209" s="22"/>
      <c r="B209" s="101"/>
      <c r="C209" s="247"/>
      <c r="D209" s="247"/>
      <c r="E209" s="247"/>
      <c r="F209" s="247"/>
      <c r="G209" s="247"/>
      <c r="H209" s="24"/>
      <c r="I209" s="247"/>
      <c r="J209" s="247"/>
      <c r="K209" s="247"/>
      <c r="L209" s="247"/>
      <c r="M209" s="247"/>
      <c r="N209" s="24"/>
      <c r="O209" s="247"/>
      <c r="P209" s="247"/>
      <c r="Q209" s="247"/>
      <c r="R209" s="247"/>
      <c r="S209" s="247"/>
      <c r="T209" s="24"/>
      <c r="U209" s="247"/>
      <c r="V209" s="247"/>
      <c r="W209" s="247"/>
      <c r="X209" s="247"/>
      <c r="Y209" s="247"/>
      <c r="Z209" s="24"/>
      <c r="AA209" s="247"/>
      <c r="AB209" s="247"/>
      <c r="AC209" s="247"/>
      <c r="AD209" s="247"/>
      <c r="AE209" s="247"/>
      <c r="AF209" s="24"/>
      <c r="AG209" s="247"/>
      <c r="AH209" s="247"/>
      <c r="AI209" s="247"/>
      <c r="AJ209" s="247"/>
      <c r="AK209" s="247"/>
      <c r="AL209" s="24"/>
      <c r="AM209" s="247"/>
      <c r="AN209" s="247"/>
      <c r="AO209" s="247"/>
      <c r="AP209" s="247"/>
      <c r="AQ209" s="247"/>
      <c r="AR209" s="24"/>
      <c r="AS209" s="247"/>
      <c r="AT209" s="247"/>
      <c r="AU209" s="247"/>
      <c r="AV209" s="247"/>
      <c r="AW209" s="247"/>
      <c r="AX209" s="24"/>
      <c r="AY209" s="247"/>
      <c r="AZ209" s="247"/>
      <c r="BA209" s="247"/>
      <c r="BB209" s="247"/>
      <c r="BC209" s="247"/>
      <c r="BD209" s="24"/>
      <c r="BE209" s="247"/>
      <c r="BF209" s="247"/>
      <c r="BG209" s="247"/>
      <c r="BH209" s="247"/>
      <c r="BI209" s="247"/>
      <c r="BJ209" s="24"/>
      <c r="BK209" s="247"/>
      <c r="BL209" s="247"/>
      <c r="BM209" s="247"/>
      <c r="BN209" s="247"/>
      <c r="BO209" s="247"/>
      <c r="BP209" s="24"/>
      <c r="BQ209" s="247"/>
      <c r="BR209" s="247"/>
      <c r="BS209" s="247"/>
      <c r="BT209" s="247"/>
      <c r="BU209" s="247"/>
      <c r="BV209" s="24"/>
      <c r="BW209" s="247"/>
      <c r="BX209" s="247"/>
      <c r="BY209" s="247"/>
      <c r="BZ209" s="247"/>
      <c r="CA209" s="247"/>
      <c r="CB209" s="24"/>
      <c r="CC209" s="247"/>
      <c r="CD209" s="247"/>
      <c r="CE209" s="247"/>
      <c r="CF209" s="247"/>
      <c r="CG209" s="247"/>
      <c r="CH209" s="24"/>
      <c r="CI209" s="247"/>
      <c r="CJ209" s="247"/>
      <c r="CK209" s="247"/>
      <c r="CL209" s="247"/>
      <c r="CM209" s="247"/>
      <c r="CN209" s="24"/>
      <c r="CO209" s="247"/>
      <c r="CP209" s="247"/>
      <c r="CQ209" s="247"/>
      <c r="CR209" s="247"/>
      <c r="CS209" s="247"/>
      <c r="CT209" s="24"/>
      <c r="CU209" s="247"/>
      <c r="CV209" s="247"/>
      <c r="CW209" s="247"/>
      <c r="CX209" s="247"/>
      <c r="CY209" s="247"/>
      <c r="CZ209" s="24"/>
      <c r="DA209" s="247"/>
      <c r="DB209" s="247"/>
      <c r="DC209" s="247"/>
      <c r="DD209" s="247"/>
      <c r="DE209" s="247"/>
      <c r="DF209" s="24"/>
      <c r="DG209" s="247"/>
      <c r="DH209" s="247"/>
      <c r="DI209" s="247"/>
      <c r="DJ209" s="247"/>
      <c r="DK209" s="247"/>
      <c r="DL209" s="24"/>
      <c r="DM209" s="247"/>
      <c r="DN209" s="247"/>
      <c r="DO209" s="247"/>
      <c r="DP209" s="247"/>
      <c r="DQ209" s="247"/>
      <c r="DR209" s="24"/>
      <c r="DS209" s="247"/>
      <c r="DT209" s="247"/>
      <c r="DU209" s="247"/>
      <c r="DV209" s="247"/>
      <c r="DW209" s="247"/>
      <c r="DX209" s="24"/>
      <c r="DY209" s="247"/>
      <c r="DZ209" s="247"/>
      <c r="EA209" s="247"/>
      <c r="EB209" s="247"/>
      <c r="EC209" s="247"/>
      <c r="ED209" s="24"/>
      <c r="EE209" s="247"/>
      <c r="EF209" s="247"/>
      <c r="EG209" s="247"/>
      <c r="EH209" s="247"/>
      <c r="EI209" s="247"/>
      <c r="EJ209" s="24"/>
      <c r="EK209" s="247"/>
      <c r="EL209" s="247"/>
      <c r="EM209" s="247"/>
      <c r="EN209" s="247"/>
      <c r="EO209" s="247"/>
      <c r="EP209" s="24"/>
      <c r="EQ209" s="247"/>
      <c r="ER209" s="247"/>
      <c r="ES209" s="247"/>
      <c r="ET209" s="247"/>
      <c r="EU209" s="247"/>
      <c r="EV209" s="24"/>
    </row>
    <row r="210" spans="1:152">
      <c r="A210" s="90" t="s">
        <v>6041</v>
      </c>
      <c r="B210" s="526"/>
      <c r="C210" s="116"/>
      <c r="D210" s="116"/>
      <c r="E210" s="116"/>
      <c r="F210" s="116"/>
      <c r="G210" s="116" t="str">
        <f>IF(ISERROR(G36/A36),"-",G36/A36-1)</f>
        <v>-</v>
      </c>
      <c r="H210" s="90"/>
      <c r="I210" s="116" t="str">
        <f>IF(ISERROR(I36/C36),"-",I36/C36-1)</f>
        <v>-</v>
      </c>
      <c r="J210" s="116" t="str">
        <f>IF(ISERROR(J36/D36),"-",J36/D36-1)</f>
        <v>-</v>
      </c>
      <c r="K210" s="116" t="str">
        <f>IF(ISERROR(K36/E36),"-",K36/E36-1)</f>
        <v>-</v>
      </c>
      <c r="L210" s="116" t="str">
        <f>IF(ISERROR(L36/F36),"-",L36/F36-1)</f>
        <v>-</v>
      </c>
      <c r="M210" s="116" t="str">
        <f>IF(ISERROR(M36/G36),"-",M36/G36-1)</f>
        <v>-</v>
      </c>
      <c r="N210" s="90"/>
      <c r="O210" s="116" t="str">
        <f>IF(ISERROR(O36/I36),"-",O36/I36-1)</f>
        <v>-</v>
      </c>
      <c r="P210" s="116" t="str">
        <f>IF(ISERROR(P36/J36),"-",P36/J36-1)</f>
        <v>-</v>
      </c>
      <c r="Q210" s="116" t="str">
        <f>IF(ISERROR(Q36/K36),"-",Q36/K36-1)</f>
        <v>-</v>
      </c>
      <c r="R210" s="116" t="str">
        <f>IF(ISERROR(R36/L36),"-",R36/L36-1)</f>
        <v>-</v>
      </c>
      <c r="S210" s="116" t="str">
        <f>IF(ISERROR(S36/M36),"-",S36/M36-1)</f>
        <v>-</v>
      </c>
      <c r="T210" s="90"/>
      <c r="U210" s="116" t="str">
        <f>IF(ISERROR(U36/O36),"-",U36/O36-1)</f>
        <v>-</v>
      </c>
      <c r="V210" s="116" t="str">
        <f>IF(ISERROR(V36/P36),"-",V36/P36-1)</f>
        <v>-</v>
      </c>
      <c r="W210" s="116" t="str">
        <f>IF(ISERROR(W36/Q36),"-",W36/Q36-1)</f>
        <v>-</v>
      </c>
      <c r="X210" s="116" t="str">
        <f>IF(ISERROR(X36/R36),"-",X36/R36-1)</f>
        <v>-</v>
      </c>
      <c r="Y210" s="116" t="str">
        <f>IF(ISERROR(Y36/S36),"-",Y36/S36-1)</f>
        <v>-</v>
      </c>
      <c r="Z210" s="90"/>
      <c r="AA210" s="116" t="str">
        <f>IF(ISERROR(AA36/U36),"-",AA36/U36-1)</f>
        <v>-</v>
      </c>
      <c r="AB210" s="116" t="str">
        <f>IF(ISERROR(AB36/V36),"-",AB36/V36-1)</f>
        <v>-</v>
      </c>
      <c r="AC210" s="116" t="str">
        <f>IF(ISERROR(AC36/W36),"-",AC36/W36-1)</f>
        <v>-</v>
      </c>
      <c r="AD210" s="116" t="str">
        <f>IF(ISERROR(AD36/X36),"-",AD36/X36-1)</f>
        <v>-</v>
      </c>
      <c r="AE210" s="116" t="str">
        <f>IF(ISERROR(AE36/Y36),"-",AE36/Y36-1)</f>
        <v>-</v>
      </c>
      <c r="AF210" s="90"/>
      <c r="AG210" s="116" t="str">
        <f>IF(ISERROR(AG36/AA36),"-",AG36/AA36-1)</f>
        <v>-</v>
      </c>
      <c r="AH210" s="116" t="str">
        <f>IF(ISERROR(AH36/AB36),"-",AH36/AB36-1)</f>
        <v>-</v>
      </c>
      <c r="AI210" s="116" t="str">
        <f>IF(ISERROR(AI36/AC36),"-",AI36/AC36-1)</f>
        <v>-</v>
      </c>
      <c r="AJ210" s="116" t="str">
        <f>IF(ISERROR(AJ36/AD36),"-",AJ36/AD36-1)</f>
        <v>-</v>
      </c>
      <c r="AK210" s="116" t="str">
        <f>IF(ISERROR(AK36/AE36),"-",AK36/AE36-1)</f>
        <v>-</v>
      </c>
      <c r="AL210" s="90"/>
      <c r="AM210" s="116">
        <f>IF(ISERROR(AM36/AG36),"-",AM36/AG36-1)</f>
        <v>8.0103008945513698E-2</v>
      </c>
      <c r="AN210" s="116">
        <f>IF(ISERROR(AN36/AH36),"-",AN36/AH36-1)</f>
        <v>-5.6844316987989529E-2</v>
      </c>
      <c r="AO210" s="116">
        <f>IF(ISERROR(AO36/AI36),"-",AO36/AI36-1)</f>
        <v>-0.1524920233248982</v>
      </c>
      <c r="AP210" s="116">
        <f>IF(ISERROR(AP36/AJ36),"-",AP36/AJ36-1)</f>
        <v>-0.22120492545717152</v>
      </c>
      <c r="AQ210" s="116">
        <f>IF(ISERROR(AQ36/AK36),"-",AQ36/AK36-1)</f>
        <v>-9.1264047577588214E-2</v>
      </c>
      <c r="AR210" s="90"/>
      <c r="AS210" s="116">
        <f>IF(ISERROR(AS36/AM36),"-",AS36/AM36-1)</f>
        <v>-0.12041661438072537</v>
      </c>
      <c r="AT210" s="116">
        <f>IF(ISERROR(AT36/AN36),"-",AT36/AN36-1)</f>
        <v>-2.2940060812234764E-2</v>
      </c>
      <c r="AU210" s="116">
        <f>IF(ISERROR(AU36/AO36),"-",AU36/AO36-1)</f>
        <v>6.0950279112034211E-2</v>
      </c>
      <c r="AV210" s="116">
        <f>IF(ISERROR(AV36/AP36),"-",AV36/AP36-1)</f>
        <v>2.269512463458323E-2</v>
      </c>
      <c r="AW210" s="116">
        <f>IF(ISERROR(AW36/AQ36),"-",AW36/AQ36-1)</f>
        <v>-2.1814912261307384E-2</v>
      </c>
      <c r="AX210" s="90"/>
      <c r="AY210" s="116">
        <f>IF(ISERROR(AY36/AS36),"-",AY36/AS36-1)</f>
        <v>7.2845036665049934E-2</v>
      </c>
      <c r="AZ210" s="116">
        <f>IF(ISERROR(AZ36/AT36),"-",AZ36/AT36-1)</f>
        <v>0.11230935140964426</v>
      </c>
      <c r="BA210" s="116">
        <f>IF(ISERROR(BA36/AU36),"-",BA36/AU36-1)</f>
        <v>0.19914346895074964</v>
      </c>
      <c r="BB210" s="116">
        <f>IF(ISERROR(BB36/AV36),"-",BB36/AV36-1)</f>
        <v>0.21715076071922557</v>
      </c>
      <c r="BC210" s="116">
        <f>IF(ISERROR(BC36/AW36),"-",BC36/AW36-1)</f>
        <v>0.14897496364718577</v>
      </c>
      <c r="BD210" s="90"/>
      <c r="BE210" s="116">
        <f>IF(ISERROR(BE36/AY36),"-",BE36/AY36-1)</f>
        <v>2.9255319148936199E-2</v>
      </c>
      <c r="BF210" s="116">
        <f>IF(ISERROR(BF36/AZ36),"-",BF36/AZ36-1)</f>
        <v>0.10249307479224368</v>
      </c>
      <c r="BG210" s="116">
        <f>IF(ISERROR(BG36/BA36),"-",BG36/BA36-1)</f>
        <v>4.0816326530612068E-2</v>
      </c>
      <c r="BH210" s="116">
        <f>IF(ISERROR(BH36/BB36),"-",BH36/BB36-1)</f>
        <v>-3.5353535353535359E-2</v>
      </c>
      <c r="BI210" s="116">
        <f>IF(ISERROR(BI36/BC36),"-",BI36/BC36-1)</f>
        <v>3.2786885245901676E-2</v>
      </c>
      <c r="BJ210" s="90"/>
      <c r="BK210" s="116">
        <f>IF(ISERROR(BK36/BE36),"-",BK36/BE36-1)</f>
        <v>0.1653746770025839</v>
      </c>
      <c r="BL210" s="116">
        <f>IF(ISERROR(BL36/BF36),"-",BL36/BF36-1)</f>
        <v>0.27135678391959805</v>
      </c>
      <c r="BM210" s="116">
        <f>IF(ISERROR(BM36/BG36),"-",BM36/BG36-1)</f>
        <v>0.24754901960784315</v>
      </c>
      <c r="BN210" s="116">
        <f>IF(ISERROR(BN36/BH36),"-",BN36/BH36-1)</f>
        <v>0.2801047120418847</v>
      </c>
      <c r="BO210" s="116">
        <f>IF(ISERROR(BO36/BI36),"-",BO36/BI36-1)</f>
        <v>0.2412698412698413</v>
      </c>
      <c r="BP210" s="90"/>
      <c r="BQ210" s="116">
        <f>IF(ISERROR(BQ36/BK36),"-",BQ36/BK36-1)</f>
        <v>3.5476718403547602E-2</v>
      </c>
      <c r="BR210" s="116">
        <f>IF(ISERROR(BR36/BL36),"-",BR36/BL36-1)</f>
        <v>-8.3003952569170036E-2</v>
      </c>
      <c r="BS210" s="116">
        <f>IF(ISERROR(BS36/BM36),"-",BS36/BM36-1)</f>
        <v>-0.1257367387033399</v>
      </c>
      <c r="BT210" s="116">
        <f>IF(ISERROR(BT36/BN36),"-",BT36/BN36-1)</f>
        <v>-0.10224948875255624</v>
      </c>
      <c r="BU210" s="116">
        <f>IF(ISERROR(BU36/BO36),"-",BU36/BO36-1)</f>
        <v>-7.1611253196930957E-2</v>
      </c>
      <c r="BV210" s="90"/>
      <c r="BW210" s="116">
        <f>IF(ISERROR(BW36/BQ36),"-",BW36/BQ36-1)</f>
        <v>9.6359743040685286E-2</v>
      </c>
      <c r="BX210" s="116">
        <f>IF(ISERROR(BX36/BR36),"-",BX36/BR36-1)</f>
        <v>9.9137931034482873E-2</v>
      </c>
      <c r="BY210" s="116">
        <f>IF(ISERROR(BY36/BS36),"-",BY36/BS36-1)</f>
        <v>-3.5955056179775347E-2</v>
      </c>
      <c r="BZ210" s="116">
        <f>IF(ISERROR(BZ36/BT36),"-",BZ36/BT36-1)</f>
        <v>-0.14350797266514803</v>
      </c>
      <c r="CA210" s="116">
        <f>IF(ISERROR(CA36/BU36),"-",CA36/BU36-1)</f>
        <v>6.6115702479339067E-3</v>
      </c>
      <c r="CB210" s="90"/>
      <c r="CC210" s="116">
        <f>IF(ISERROR(CC36/BW36),"-",CC36/BW36-1)</f>
        <v>-0.20703125</v>
      </c>
      <c r="CD210" s="116">
        <f>IF(ISERROR(CD36/BX36),"-",CD36/BX36-1)</f>
        <v>-0.25294117647058834</v>
      </c>
      <c r="CE210" s="116">
        <f>IF(ISERROR(CE36/BY36),"-",CE36/BY36-1)</f>
        <v>-0.2494172494172493</v>
      </c>
      <c r="CF210" s="116">
        <f>IF(ISERROR(CF36/BZ36),"-",CF36/BZ36-1)</f>
        <v>-0.12234042553191515</v>
      </c>
      <c r="CG210" s="116">
        <f>IF(ISERROR(CG36/CA36),"-",CG36/CA36-1)</f>
        <v>-0.21237000547345386</v>
      </c>
      <c r="CH210" s="90"/>
      <c r="CI210" s="116">
        <f>IF(ISERROR(CI36/CC36),"-",CI36/CC36-1)</f>
        <v>-0.19458128078817716</v>
      </c>
      <c r="CJ210" s="116">
        <f>IF(ISERROR(CJ36/CD36),"-",CJ36/CD36-1)</f>
        <v>-0.15748031496062997</v>
      </c>
      <c r="CK210" s="116">
        <f>IF(ISERROR(CK36/CE36),"-",CK36/CE36-1)</f>
        <v>-2.795031055900643E-2</v>
      </c>
      <c r="CL210" s="116">
        <f>IF(ISERROR(CL36/CF36),"-",CL36/CF36-1)</f>
        <v>-5.1515151515151181E-2</v>
      </c>
      <c r="CM210" s="116">
        <f>IF(ISERROR(CM36/CG36),"-",CM36/CG36-1)</f>
        <v>-0.11466296038915891</v>
      </c>
      <c r="CN210" s="90"/>
      <c r="CO210" s="116">
        <f>IF(ISERROR(CO36/CI36),"-",CO36/CI36-1)</f>
        <v>2.7522935779816571E-2</v>
      </c>
      <c r="CP210" s="116">
        <f>IF(ISERROR(CP36/CJ36),"-",CP36/CJ36-1)</f>
        <v>0.12772585669781966</v>
      </c>
      <c r="CQ210" s="116">
        <f>IF(ISERROR(CQ36/CK36),"-",CQ36/CK36-1)</f>
        <v>0.23003194888178924</v>
      </c>
      <c r="CR210" s="116">
        <f>IF(ISERROR(CR36/CL36),"-",CR36/CL36-1)</f>
        <v>0.17891373801916921</v>
      </c>
      <c r="CS210" s="116">
        <f>IF(ISERROR(CS36/CM36),"-",CS36/CM36-1)</f>
        <v>0.13971742543171128</v>
      </c>
      <c r="CT210" s="90"/>
      <c r="CU210" s="116">
        <f>IF(ISERROR(CU36/CO36),"-",CU36/CO36-1)</f>
        <v>7.1428571428571397E-2</v>
      </c>
      <c r="CV210" s="116">
        <f>IF(ISERROR(CV36/CP36),"-",CV36/CP36-1)</f>
        <v>5.8011049723756702E-2</v>
      </c>
      <c r="CW210" s="116">
        <f>IF(ISERROR(CW36/CQ36),"-",CW36/CQ36-1)</f>
        <v>-2.5974025974024872E-3</v>
      </c>
      <c r="CX210" s="116">
        <f>IF(ISERROR(CX36/CR36),"-",CX36/CR36-1)</f>
        <v>0.10027100271002709</v>
      </c>
      <c r="CY210" s="116">
        <f>IF(ISERROR(CY36/CS36),"-",CY36/CS36-1)</f>
        <v>5.5785123966942018E-2</v>
      </c>
      <c r="CZ210" s="90"/>
      <c r="DA210" s="116">
        <f>IF(ISERROR(DA36/CU36),"-",DA36/CU36-1)</f>
        <v>-6.3888888888888773E-2</v>
      </c>
      <c r="DB210" s="116">
        <f>IF(ISERROR(DB36/CV36),"-",DB36/CV36-1)</f>
        <v>-0.16710182767624016</v>
      </c>
      <c r="DC210" s="116">
        <f>IF(ISERROR(DC36/CW36),"-",DC36/CW36-1)</f>
        <v>-0.14583333333333348</v>
      </c>
      <c r="DD210" s="116">
        <f>IF(ISERROR(DD36/CX36),"-",DD36/CX36-1)</f>
        <v>-0.10344827586206906</v>
      </c>
      <c r="DE210" s="116">
        <f>IF(ISERROR(DE36/CY36),"-",DE36/CY36-1)</f>
        <v>-0.12067840834964139</v>
      </c>
      <c r="DF210" s="90"/>
      <c r="DG210" s="116">
        <f>IF(ISERROR(DG36/DA36),"-",DG36/DA36-1)</f>
        <v>8.6053412462907763E-2</v>
      </c>
      <c r="DH210" s="116">
        <f>IF(ISERROR(DH36/DB36),"-",DH36/DB36-1)</f>
        <v>0.21943573667711602</v>
      </c>
      <c r="DI210" s="116">
        <f>IF(ISERROR(DI36/DC36),"-",DI36/DC36-1)</f>
        <v>0.18292682926829262</v>
      </c>
      <c r="DJ210" s="116">
        <f>IF(ISERROR(DJ36/DD36),"-",DJ36/DD36-1)</f>
        <v>0.12637362637362637</v>
      </c>
      <c r="DK210" s="116">
        <f>IF(ISERROR(DK36/DE36),"-",DK36/DE36-1)</f>
        <v>0.15207715133531186</v>
      </c>
      <c r="DL210" s="90"/>
      <c r="DM210" s="116">
        <f>IF(ISERROR(DM36/DG36),"-",DM36/DG36-1)</f>
        <v>7.1038251366120519E-2</v>
      </c>
      <c r="DN210" s="116">
        <f>IF(ISERROR(DN36/DH36),"-",DN36/DH36-1)</f>
        <v>4.3701799485861059E-2</v>
      </c>
      <c r="DO210" s="116">
        <f>IF(ISERROR(DO36/DI36),"-",DO36/DI36-1)</f>
        <v>3.6082474226803996E-2</v>
      </c>
      <c r="DP210" s="116">
        <f>IF(ISERROR(DP36/DJ36),"-",DP36/DJ36-1)</f>
        <v>3.4146341463414664E-2</v>
      </c>
      <c r="DQ210" s="116">
        <f>IF(ISERROR(DQ36/DK36),"-",DQ36/DK36-1)</f>
        <v>4.571796522858973E-2</v>
      </c>
      <c r="DR210" s="90"/>
      <c r="DS210" s="116">
        <f>IF(ISERROR(DS36/DM36),"-",DS36/DM36-1)</f>
        <v>3.0612244897959107E-2</v>
      </c>
      <c r="DT210" s="116">
        <f>IF(ISERROR(DT36/DN36),"-",DT36/DN36-1)</f>
        <v>-0.14778325123152714</v>
      </c>
      <c r="DU210" s="116">
        <f>IF(ISERROR(DU36/DO36),"-",DU36/DO36-1)</f>
        <v>-0.14427860696517392</v>
      </c>
      <c r="DV210" s="116">
        <f>IF(ISERROR(DV36/DP36),"-",DV36/DP36-1)</f>
        <v>-0.17924528301886777</v>
      </c>
      <c r="DW210" s="116">
        <f>IF(ISERROR(DW36/DQ36),"-",DW36/DQ36-1)</f>
        <v>-0.11206896551724133</v>
      </c>
      <c r="DX210" s="90"/>
      <c r="DY210" s="116">
        <f>IF(ISERROR(DY36/DS36),"-",DY36/DS36-1)</f>
        <v>-1</v>
      </c>
      <c r="DZ210" s="116">
        <f>IF(ISERROR(DZ36/DT36),"-",DZ36/DT36-1)</f>
        <v>-1</v>
      </c>
      <c r="EA210" s="116">
        <f>IF(ISERROR(EA36/DU36),"-",EA36/DU36-1)</f>
        <v>-1</v>
      </c>
      <c r="EB210" s="116">
        <f>IF(ISERROR(EB36/DV36),"-",EB36/DV36-1)</f>
        <v>-1</v>
      </c>
      <c r="EC210" s="116">
        <f>IF(ISERROR(EC36/DW36),"-",EC36/DW36-1)</f>
        <v>-1</v>
      </c>
      <c r="ED210" s="90"/>
      <c r="EE210" s="116" t="str">
        <f>IF(ISERROR(EE36/DY36),"-",EE36/DY36-1)</f>
        <v>-</v>
      </c>
      <c r="EF210" s="116" t="str">
        <f>IF(ISERROR(EF36/DZ36),"-",EF36/DZ36-1)</f>
        <v>-</v>
      </c>
      <c r="EG210" s="116" t="str">
        <f>IF(ISERROR(EG36/EA36),"-",EG36/EA36-1)</f>
        <v>-</v>
      </c>
      <c r="EH210" s="116" t="str">
        <f>IF(ISERROR(EH36/EB36),"-",EH36/EB36-1)</f>
        <v>-</v>
      </c>
      <c r="EI210" s="116" t="str">
        <f>IF(ISERROR(EI36/EC36),"-",EI36/EC36-1)</f>
        <v>-</v>
      </c>
      <c r="EJ210" s="90"/>
      <c r="EK210" s="116" t="str">
        <f>IF(ISERROR(EK36/EE36),"-",EK36/EE36-1)</f>
        <v>-</v>
      </c>
      <c r="EL210" s="116" t="str">
        <f>IF(ISERROR(EL36/EF36),"-",EL36/EF36-1)</f>
        <v>-</v>
      </c>
      <c r="EM210" s="116" t="str">
        <f>IF(ISERROR(EM36/EG36),"-",EM36/EG36-1)</f>
        <v>-</v>
      </c>
      <c r="EN210" s="116" t="str">
        <f>IF(ISERROR(EN36/EH36),"-",EN36/EH36-1)</f>
        <v>-</v>
      </c>
      <c r="EO210" s="116" t="str">
        <f>IF(ISERROR(EO36/EI36),"-",EO36/EI36-1)</f>
        <v>-</v>
      </c>
      <c r="EP210" s="90"/>
      <c r="EQ210" s="116" t="str">
        <f>IF(ISERROR(EQ36/EK36),"-",EQ36/EK36-1)</f>
        <v>-</v>
      </c>
      <c r="ER210" s="116" t="str">
        <f>IF(ISERROR(ER36/EL36),"-",ER36/EL36-1)</f>
        <v>-</v>
      </c>
      <c r="ES210" s="116" t="str">
        <f>IF(ISERROR(ES36/EM36),"-",ES36/EM36-1)</f>
        <v>-</v>
      </c>
      <c r="ET210" s="116" t="str">
        <f>IF(ISERROR(ET36/EN36),"-",ET36/EN36-1)</f>
        <v>-</v>
      </c>
      <c r="EU210" s="116" t="str">
        <f>IF(ISERROR(EU36/EO36),"-",EU36/EO36-1)</f>
        <v>-</v>
      </c>
      <c r="EV210" s="90"/>
    </row>
    <row r="211" spans="1:152">
      <c r="A211" s="90" t="s">
        <v>5611</v>
      </c>
      <c r="B211" s="526"/>
      <c r="C211" s="116"/>
      <c r="D211" s="116"/>
      <c r="E211" s="116"/>
      <c r="F211" s="116"/>
      <c r="G211" s="116" t="str">
        <f>IF(ISERROR(G39/A39),"-",G39/A39-1)</f>
        <v>-</v>
      </c>
      <c r="H211" s="90"/>
      <c r="I211" s="116" t="str">
        <f>IF(ISERROR(I39/C39),"-",I39/C39-1)</f>
        <v>-</v>
      </c>
      <c r="J211" s="116" t="str">
        <f>IF(ISERROR(J39/D39),"-",J39/D39-1)</f>
        <v>-</v>
      </c>
      <c r="K211" s="116" t="str">
        <f>IF(ISERROR(K39/E39),"-",K39/E39-1)</f>
        <v>-</v>
      </c>
      <c r="L211" s="116" t="str">
        <f>IF(ISERROR(L39/F39),"-",L39/F39-1)</f>
        <v>-</v>
      </c>
      <c r="M211" s="116" t="str">
        <f>IF(ISERROR(M39/G39),"-",M39/G39-1)</f>
        <v>-</v>
      </c>
      <c r="N211" s="90"/>
      <c r="O211" s="116" t="str">
        <f>IF(ISERROR(O39/I39),"-",O39/I39-1)</f>
        <v>-</v>
      </c>
      <c r="P211" s="116" t="str">
        <f>IF(ISERROR(P39/J39),"-",P39/J39-1)</f>
        <v>-</v>
      </c>
      <c r="Q211" s="116" t="str">
        <f>IF(ISERROR(Q39/K39),"-",Q39/K39-1)</f>
        <v>-</v>
      </c>
      <c r="R211" s="116" t="str">
        <f>IF(ISERROR(R39/L39),"-",R39/L39-1)</f>
        <v>-</v>
      </c>
      <c r="S211" s="116" t="str">
        <f>IF(ISERROR(S39/M39),"-",S39/M39-1)</f>
        <v>-</v>
      </c>
      <c r="T211" s="90"/>
      <c r="U211" s="116" t="str">
        <f>IF(ISERROR(U39/O39),"-",U39/O39-1)</f>
        <v>-</v>
      </c>
      <c r="V211" s="116" t="str">
        <f>IF(ISERROR(V39/P39),"-",V39/P39-1)</f>
        <v>-</v>
      </c>
      <c r="W211" s="116" t="str">
        <f>IF(ISERROR(W39/Q39),"-",W39/Q39-1)</f>
        <v>-</v>
      </c>
      <c r="X211" s="116" t="str">
        <f>IF(ISERROR(X39/R39),"-",X39/R39-1)</f>
        <v>-</v>
      </c>
      <c r="Y211" s="116" t="str">
        <f>IF(ISERROR(Y39/S39),"-",Y39/S39-1)</f>
        <v>-</v>
      </c>
      <c r="Z211" s="90"/>
      <c r="AA211" s="116" t="str">
        <f>IF(ISERROR(AA39/U39),"-",AA39/U39-1)</f>
        <v>-</v>
      </c>
      <c r="AB211" s="116" t="str">
        <f>IF(ISERROR(AB39/V39),"-",AB39/V39-1)</f>
        <v>-</v>
      </c>
      <c r="AC211" s="116" t="str">
        <f>IF(ISERROR(AC39/W39),"-",AC39/W39-1)</f>
        <v>-</v>
      </c>
      <c r="AD211" s="116" t="str">
        <f>IF(ISERROR(AD39/X39),"-",AD39/X39-1)</f>
        <v>-</v>
      </c>
      <c r="AE211" s="116" t="str">
        <f>IF(ISERROR(AE39/Y39),"-",AE39/Y39-1)</f>
        <v>-</v>
      </c>
      <c r="AF211" s="90"/>
      <c r="AG211" s="116" t="str">
        <f>IF(ISERROR(AG39/AA39),"-",AG39/AA39-1)</f>
        <v>-</v>
      </c>
      <c r="AH211" s="116" t="str">
        <f>IF(ISERROR(AH39/AB39),"-",AH39/AB39-1)</f>
        <v>-</v>
      </c>
      <c r="AI211" s="116" t="str">
        <f>IF(ISERROR(AI39/AC39),"-",AI39/AC39-1)</f>
        <v>-</v>
      </c>
      <c r="AJ211" s="116" t="str">
        <f>IF(ISERROR(AJ39/AD39),"-",AJ39/AD39-1)</f>
        <v>-</v>
      </c>
      <c r="AK211" s="116" t="str">
        <f>IF(ISERROR(AK39/AE39),"-",AK39/AE39-1)</f>
        <v>-</v>
      </c>
      <c r="AL211" s="90"/>
      <c r="AM211" s="116">
        <f>IF(ISERROR(AM39/AG39),"-",AM39/AG39-1)</f>
        <v>0.72301136363636376</v>
      </c>
      <c r="AN211" s="116">
        <f>IF(ISERROR(AN39/AH39),"-",AN39/AH39-1)</f>
        <v>0.5413385826771655</v>
      </c>
      <c r="AO211" s="116">
        <f>IF(ISERROR(AO39/AI39),"-",AO39/AI39-1)</f>
        <v>-0.21813403416557164</v>
      </c>
      <c r="AP211" s="116">
        <f>IF(ISERROR(AP39/AJ39),"-",AP39/AJ39-1)</f>
        <v>0.26946107784431139</v>
      </c>
      <c r="AQ211" s="116">
        <f>IF(ISERROR(AQ39/AK39),"-",AQ39/AK39-1)</f>
        <v>0.21758479672841013</v>
      </c>
      <c r="AR211" s="90"/>
      <c r="AS211" s="116">
        <f>IF(ISERROR(AS39/AM39),"-",AS39/AM39-1)</f>
        <v>0.31698268755152492</v>
      </c>
      <c r="AT211" s="116">
        <f>IF(ISERROR(AT39/AN39),"-",AT39/AN39-1)</f>
        <v>0.52873563218390807</v>
      </c>
      <c r="AU211" s="116">
        <f>IF(ISERROR(AU39/AO39),"-",AU39/AO39-1)</f>
        <v>0.64663865546218502</v>
      </c>
      <c r="AV211" s="116">
        <f>IF(ISERROR(AV39/AP39),"-",AV39/AP39-1)</f>
        <v>0.58221024258760101</v>
      </c>
      <c r="AW211" s="116">
        <f>IF(ISERROR(AW39/AQ39),"-",AW39/AQ39-1)</f>
        <v>0.52138694063024782</v>
      </c>
      <c r="AX211" s="90"/>
      <c r="AY211" s="116">
        <f>IF(ISERROR(AY39/AS39),"-",AY39/AS39-1)</f>
        <v>0.3458528951486699</v>
      </c>
      <c r="AZ211" s="116">
        <f>IF(ISERROR(AZ39/AT39),"-",AZ39/AT39-1)</f>
        <v>0.14174324700640484</v>
      </c>
      <c r="BA211" s="116">
        <f>IF(ISERROR(BA39/AU39),"-",BA39/AU39-1)</f>
        <v>7.1701964786935468E-2</v>
      </c>
      <c r="BB211" s="116">
        <f>IF(ISERROR(BB39/AV39),"-",BB39/AV39-1)</f>
        <v>-6.3032367972742587E-2</v>
      </c>
      <c r="BC211" s="116">
        <f>IF(ISERROR(BC39/AW39),"-",BC39/AW39-1)</f>
        <v>0.10382442698526062</v>
      </c>
      <c r="BD211" s="90"/>
      <c r="BE211" s="116">
        <f>IF(ISERROR(BE39/AY39),"-",BE39/AY39-1)</f>
        <v>0.11627906976744184</v>
      </c>
      <c r="BF211" s="116">
        <f>IF(ISERROR(BF39/AZ39),"-",BF39/AZ39-1)</f>
        <v>0.14634146341463428</v>
      </c>
      <c r="BG211" s="116">
        <f>IF(ISERROR(BG39/BA39),"-",BG39/BA39-1)</f>
        <v>-0.61904761904761907</v>
      </c>
      <c r="BH211" s="116">
        <f>IF(ISERROR(BH39/BB39),"-",BH39/BB39-1)</f>
        <v>-0.54545454545454541</v>
      </c>
      <c r="BI211" s="116">
        <f>IF(ISERROR(BI39/BC39),"-",BI39/BC39-1)</f>
        <v>-0.22941176470588243</v>
      </c>
      <c r="BJ211" s="90"/>
      <c r="BK211" s="116">
        <f>IF(ISERROR(BK39/BE39),"-",BK39/BE39-1)</f>
        <v>-0.49416666666666664</v>
      </c>
      <c r="BL211" s="116">
        <f>IF(ISERROR(BL39/BF39),"-",BL39/BF39-1)</f>
        <v>-0.53191489361702127</v>
      </c>
      <c r="BM211" s="116">
        <f>IF(ISERROR(BM39/BG39),"-",BM39/BG39-1)</f>
        <v>0.125</v>
      </c>
      <c r="BN211" s="116">
        <f>IF(ISERROR(BN39/BH39),"-",BN39/BH39-1)</f>
        <v>0.14999999999999991</v>
      </c>
      <c r="BO211" s="116">
        <f>IF(ISERROR(BO39/BI39),"-",BO39/BI39-1)</f>
        <v>-0.33374045801526719</v>
      </c>
      <c r="BP211" s="90"/>
      <c r="BQ211" s="116">
        <f>IF(ISERROR(BQ39/BK39),"-",BQ39/BK39-1)</f>
        <v>-9.3904448105436522E-2</v>
      </c>
      <c r="BR211" s="116">
        <f>IF(ISERROR(BR39/BL39),"-",BR39/BL39-1)</f>
        <v>4.5454545454545192E-2</v>
      </c>
      <c r="BS211" s="116">
        <f>IF(ISERROR(BS39/BM39),"-",BS39/BM39-1)</f>
        <v>5.555555555555558E-2</v>
      </c>
      <c r="BT211" s="116">
        <f>IF(ISERROR(BT39/BN39),"-",BT39/BN39-1)</f>
        <v>-4.3478260869565077E-2</v>
      </c>
      <c r="BU211" s="116">
        <f>IF(ISERROR(BU39/BO39),"-",BU39/BO39-1)</f>
        <v>-1.4665444546287598E-2</v>
      </c>
      <c r="BV211" s="90"/>
      <c r="BW211" s="116">
        <f>IF(ISERROR(BW39/BQ39),"-",BW39/BQ39-1)</f>
        <v>-9.0909090909090939E-2</v>
      </c>
      <c r="BX211" s="116">
        <f>IF(ISERROR(BX39/BR39),"-",BX39/BR39-1)</f>
        <v>-8.6956521739130377E-2</v>
      </c>
      <c r="BY211" s="116">
        <f>IF(ISERROR(BY39/BS39),"-",BY39/BS39-1)</f>
        <v>0.26315789473684204</v>
      </c>
      <c r="BZ211" s="116">
        <f>IF(ISERROR(BZ39/BT39),"-",BZ39/BT39-1)</f>
        <v>0.13636363636363624</v>
      </c>
      <c r="CA211" s="116">
        <f>IF(ISERROR(CA39/BU39),"-",CA39/BU39-1)</f>
        <v>4.6511627906976605E-2</v>
      </c>
      <c r="CB211" s="90"/>
      <c r="CC211" s="116">
        <f>IF(ISERROR(CC39/BW39),"-",CC39/BW39-1)</f>
        <v>0.39999999999999991</v>
      </c>
      <c r="CD211" s="116">
        <f>IF(ISERROR(CD39/BX39),"-",CD39/BX39-1)</f>
        <v>0.4285714285714286</v>
      </c>
      <c r="CE211" s="116">
        <f>IF(ISERROR(CE39/BY39),"-",CE39/BY39-1)</f>
        <v>0.25</v>
      </c>
      <c r="CF211" s="116">
        <f>IF(ISERROR(CF39/BZ39),"-",CF39/BZ39-1)</f>
        <v>0.24</v>
      </c>
      <c r="CG211" s="116">
        <f>IF(ISERROR(CG39/CA39),"-",CG39/CA39-1)</f>
        <v>0.32222222222222219</v>
      </c>
      <c r="CH211" s="90"/>
      <c r="CI211" s="116">
        <f>IF(ISERROR(CI39/CC39),"-",CI39/CC39-1)</f>
        <v>2.6071428571428572</v>
      </c>
      <c r="CJ211" s="116">
        <f>IF(ISERROR(CJ39/CD39),"-",CJ39/CD39-1)</f>
        <v>1.6333333333333333</v>
      </c>
      <c r="CK211" s="116">
        <f>IF(ISERROR(CK39/CE39),"-",CK39/CE39-1)</f>
        <v>1.7333333333333329</v>
      </c>
      <c r="CL211" s="116">
        <f>IF(ISERROR(CL39/CF39),"-",CL39/CF39-1)</f>
        <v>1.6451612903225805</v>
      </c>
      <c r="CM211" s="116">
        <f>IF(ISERROR(CM39/CG39),"-",CM39/CG39-1)</f>
        <v>1.8907563025210083</v>
      </c>
      <c r="CN211" s="90"/>
      <c r="CO211" s="116">
        <f>IF(ISERROR(CO39/CI39),"-",CO39/CI39-1)</f>
        <v>0.18811881188118806</v>
      </c>
      <c r="CP211" s="116">
        <f>IF(ISERROR(CP39/CJ39),"-",CP39/CJ39-1)</f>
        <v>0.481012658227848</v>
      </c>
      <c r="CQ211" s="116">
        <f>IF(ISERROR(CQ39/CK39),"-",CQ39/CK39-1)</f>
        <v>0.10975609756097571</v>
      </c>
      <c r="CR211" s="116">
        <f>IF(ISERROR(CR39/CL39),"-",CR39/CL39-1)</f>
        <v>0.12195121951219523</v>
      </c>
      <c r="CS211" s="116">
        <f>IF(ISERROR(CS39/CM39),"-",CS39/CM39-1)</f>
        <v>0.22093023255813948</v>
      </c>
      <c r="CT211" s="90"/>
      <c r="CU211" s="116">
        <f>IF(ISERROR(CU39/CO39),"-",CU39/CO39-1)</f>
        <v>-2.5000000000000022E-2</v>
      </c>
      <c r="CV211" s="116">
        <f>IF(ISERROR(CV39/CP39),"-",CV39/CP39-1)</f>
        <v>-8.54700854700855E-2</v>
      </c>
      <c r="CW211" s="116">
        <f>IF(ISERROR(CW39/CQ39),"-",CW39/CQ39-1)</f>
        <v>-7.6923076923076872E-2</v>
      </c>
      <c r="CX211" s="116">
        <f>IF(ISERROR(CX39/CR39),"-",CX39/CR39-1)</f>
        <v>4.3478260869565188E-2</v>
      </c>
      <c r="CY211" s="116">
        <f>IF(ISERROR(CY39/CS39),"-",CY39/CS39-1)</f>
        <v>-3.8095238095238182E-2</v>
      </c>
      <c r="CZ211" s="90"/>
      <c r="DA211" s="116">
        <f>IF(ISERROR(DA39/CU39),"-",DA39/CU39-1)</f>
        <v>0.83760683760683774</v>
      </c>
      <c r="DB211" s="116">
        <f>IF(ISERROR(DB39/CV39),"-",DB39/CV39-1)</f>
        <v>1.1962616822429908</v>
      </c>
      <c r="DC211" s="116">
        <f>IF(ISERROR(DC39/CW39),"-",DC39/CW39-1)</f>
        <v>1.6309523809523805</v>
      </c>
      <c r="DD211" s="116">
        <f>IF(ISERROR(DD39/CX39),"-",DD39/CX39-1)</f>
        <v>1.3125</v>
      </c>
      <c r="DE211" s="116">
        <f>IF(ISERROR(DE39/CY39),"-",DE39/CY39-1)</f>
        <v>1.2103960396039604</v>
      </c>
      <c r="DF211" s="90"/>
      <c r="DG211" s="116">
        <f>IF(ISERROR(DG39/DA39),"-",DG39/DA39-1)</f>
        <v>0.27441860465116275</v>
      </c>
      <c r="DH211" s="116">
        <f>IF(ISERROR(DH39/DB39),"-",DH39/DB39-1)</f>
        <v>0.37872340425531914</v>
      </c>
      <c r="DI211" s="116">
        <f>IF(ISERROR(DI39/DC39),"-",DI39/DC39-1)</f>
        <v>0.43891402714932148</v>
      </c>
      <c r="DJ211" s="116">
        <f>IF(ISERROR(DJ39/DD39),"-",DJ39/DD39-1)</f>
        <v>0.49099099099099108</v>
      </c>
      <c r="DK211" s="116">
        <f>IF(ISERROR(DK39/DE39),"-",DK39/DE39-1)</f>
        <v>0.3964165733482643</v>
      </c>
      <c r="DL211" s="90"/>
      <c r="DM211" s="116">
        <f>IF(ISERROR(DM39/DG39),"-",DM39/DG39-1)</f>
        <v>0.32116788321167911</v>
      </c>
      <c r="DN211" s="116">
        <f>IF(ISERROR(DN39/DH39),"-",DN39/DH39-1)</f>
        <v>0.17283950617283961</v>
      </c>
      <c r="DO211" s="116">
        <f>IF(ISERROR(DO39/DI39),"-",DO39/DI39-1)</f>
        <v>0.13207547169811318</v>
      </c>
      <c r="DP211" s="116">
        <f>IF(ISERROR(DP39/DJ39),"-",DP39/DJ39-1)</f>
        <v>0.12688821752265844</v>
      </c>
      <c r="DQ211" s="116">
        <f>IF(ISERROR(DQ39/DK39),"-",DQ39/DK39-1)</f>
        <v>0.18283881315156392</v>
      </c>
      <c r="DR211" s="90"/>
      <c r="DS211" s="116">
        <f>IF(ISERROR(DS39/DM39),"-",DS39/DM39-1)</f>
        <v>4.143646408839774E-2</v>
      </c>
      <c r="DT211" s="116">
        <f>IF(ISERROR(DT39/DN39),"-",DT39/DN39-1)</f>
        <v>-4.2105263157894757E-2</v>
      </c>
      <c r="DU211" s="116">
        <f>IF(ISERROR(DU39/DO39),"-",DU39/DO39-1)</f>
        <v>-7.7777777777777946E-2</v>
      </c>
      <c r="DV211" s="116">
        <f>IF(ISERROR(DV39/DP39),"-",DV39/DP39-1)</f>
        <v>-2.6809651474530627E-2</v>
      </c>
      <c r="DW211" s="116">
        <f>IF(ISERROR(DW39/DQ39),"-",DW39/DQ39-1)</f>
        <v>-2.6440677966101722E-2</v>
      </c>
      <c r="DX211" s="90"/>
      <c r="DY211" s="116">
        <f>IF(ISERROR(DY39/DS39),"-",DY39/DS39-1)</f>
        <v>-1</v>
      </c>
      <c r="DZ211" s="116">
        <f>IF(ISERROR(DZ39/DT39),"-",DZ39/DT39-1)</f>
        <v>-1</v>
      </c>
      <c r="EA211" s="116">
        <f>IF(ISERROR(EA39/DU39),"-",EA39/DU39-1)</f>
        <v>-1</v>
      </c>
      <c r="EB211" s="116">
        <f>IF(ISERROR(EB39/DV39),"-",EB39/DV39-1)</f>
        <v>-1</v>
      </c>
      <c r="EC211" s="116">
        <f>IF(ISERROR(EC39/DW39),"-",EC39/DW39-1)</f>
        <v>-1</v>
      </c>
      <c r="ED211" s="90"/>
      <c r="EE211" s="116" t="str">
        <f>IF(ISERROR(EE39/DY39),"-",EE39/DY39-1)</f>
        <v>-</v>
      </c>
      <c r="EF211" s="116" t="str">
        <f>IF(ISERROR(EF39/DZ39),"-",EF39/DZ39-1)</f>
        <v>-</v>
      </c>
      <c r="EG211" s="116" t="str">
        <f>IF(ISERROR(EG39/EA39),"-",EG39/EA39-1)</f>
        <v>-</v>
      </c>
      <c r="EH211" s="116" t="str">
        <f>IF(ISERROR(EH39/EB39),"-",EH39/EB39-1)</f>
        <v>-</v>
      </c>
      <c r="EI211" s="116" t="str">
        <f>IF(ISERROR(EI39/EC39),"-",EI39/EC39-1)</f>
        <v>-</v>
      </c>
      <c r="EJ211" s="90"/>
      <c r="EK211" s="116" t="str">
        <f>IF(ISERROR(EK39/EE39),"-",EK39/EE39-1)</f>
        <v>-</v>
      </c>
      <c r="EL211" s="116" t="str">
        <f>IF(ISERROR(EL39/EF39),"-",EL39/EF39-1)</f>
        <v>-</v>
      </c>
      <c r="EM211" s="116" t="str">
        <f>IF(ISERROR(EM39/EG39),"-",EM39/EG39-1)</f>
        <v>-</v>
      </c>
      <c r="EN211" s="116" t="str">
        <f>IF(ISERROR(EN39/EH39),"-",EN39/EH39-1)</f>
        <v>-</v>
      </c>
      <c r="EO211" s="116" t="str">
        <f>IF(ISERROR(EO39/EI39),"-",EO39/EI39-1)</f>
        <v>-</v>
      </c>
      <c r="EP211" s="90"/>
      <c r="EQ211" s="116" t="str">
        <f>IF(ISERROR(EQ39/EK39),"-",EQ39/EK39-1)</f>
        <v>-</v>
      </c>
      <c r="ER211" s="116" t="str">
        <f>IF(ISERROR(ER39/EL39),"-",ER39/EL39-1)</f>
        <v>-</v>
      </c>
      <c r="ES211" s="116" t="str">
        <f>IF(ISERROR(ES39/EM39),"-",ES39/EM39-1)</f>
        <v>-</v>
      </c>
      <c r="ET211" s="116" t="str">
        <f>IF(ISERROR(ET39/EN39),"-",ET39/EN39-1)</f>
        <v>-</v>
      </c>
      <c r="EU211" s="116" t="str">
        <f>IF(ISERROR(EU39/EO39),"-",EU39/EO39-1)</f>
        <v>-</v>
      </c>
      <c r="EV211" s="90"/>
    </row>
    <row r="212" spans="1:152">
      <c r="A212" s="90" t="s">
        <v>5188</v>
      </c>
      <c r="B212" s="526"/>
      <c r="C212" s="116"/>
      <c r="D212" s="116"/>
      <c r="E212" s="116"/>
      <c r="F212" s="116"/>
      <c r="G212" s="116" t="str">
        <f>IF(ISERROR(G54/A54),"-",G54/A54-1)</f>
        <v>-</v>
      </c>
      <c r="H212" s="90"/>
      <c r="I212" s="116">
        <f>IF(ISERROR(I54/C54),"-",I54/C54-1)</f>
        <v>0.19878296146044638</v>
      </c>
      <c r="J212" s="116">
        <f>IF(ISERROR(J54/D54),"-",J54/D54-1)</f>
        <v>0.28063241106719361</v>
      </c>
      <c r="K212" s="116">
        <f>IF(ISERROR(K54/E54),"-",K54/E54-1)</f>
        <v>0.34661354581673298</v>
      </c>
      <c r="L212" s="116">
        <f>IF(ISERROR(L54/F54),"-",L54/F54-1)</f>
        <v>0.48393574297188779</v>
      </c>
      <c r="M212" s="116">
        <f>IF(ISERROR(M54/G54),"-",M54/G54-1)</f>
        <v>0.32816408204102054</v>
      </c>
      <c r="N212" s="90"/>
      <c r="O212" s="116">
        <f>IF(ISERROR(O54/I54),"-",O54/I54-1)</f>
        <v>0.32196277495769876</v>
      </c>
      <c r="P212" s="116">
        <f>IF(ISERROR(P54/J54),"-",P54/J54-1)</f>
        <v>0.23899691358024699</v>
      </c>
      <c r="Q212" s="116">
        <f>IF(ISERROR(Q54/K54),"-",Q54/K54-1)</f>
        <v>0.13829881656804743</v>
      </c>
      <c r="R212" s="116">
        <f>IF(ISERROR(R54/L54),"-",R54/L54-1)</f>
        <v>8.2598105548037815E-2</v>
      </c>
      <c r="S212" s="116">
        <f>IF(ISERROR(S54/M54),"-",S54/M54-1)</f>
        <v>0.18782674199623361</v>
      </c>
      <c r="T212" s="90"/>
      <c r="U212" s="116">
        <f>IF(ISERROR(U54/O54),"-",U54/O54-1)</f>
        <v>0.20571370059389715</v>
      </c>
      <c r="V212" s="116">
        <f>IF(ISERROR(V54/P54),"-",V54/P54-1)</f>
        <v>0.1884738500628993</v>
      </c>
      <c r="W212" s="116">
        <f>IF(ISERROR(W54/Q54),"-",W54/Q54-1)</f>
        <v>0.12735708066381624</v>
      </c>
      <c r="X212" s="116">
        <f>IF(ISERROR(X54/R54),"-",X54/R54-1)</f>
        <v>7.439628018599076E-2</v>
      </c>
      <c r="Y212" s="116">
        <f>IF(ISERROR(Y54/S54),"-",Y54/S54-1)</f>
        <v>0.14889272215316685</v>
      </c>
      <c r="Z212" s="90"/>
      <c r="AA212" s="116">
        <f>IF(ISERROR(AA54/U54),"-",AA54/U54-1)</f>
        <v>-0.17726114649681535</v>
      </c>
      <c r="AB212" s="116">
        <f>IF(ISERROR(AB54/V54),"-",AB54/V54-1)</f>
        <v>-0.19339963738877997</v>
      </c>
      <c r="AC212" s="116">
        <f>IF(ISERROR(AC54/W54),"-",AC54/W54-1)</f>
        <v>-6.3574219875733418E-2</v>
      </c>
      <c r="AD212" s="116">
        <f>IF(ISERROR(AD54/X54),"-",AD54/X54-1)</f>
        <v>-4.4801991716692302E-2</v>
      </c>
      <c r="AE212" s="116">
        <f>IF(ISERROR(AE54/Y54),"-",AE54/Y54-1)</f>
        <v>-0.12286793036067178</v>
      </c>
      <c r="AF212" s="90"/>
      <c r="AG212" s="116">
        <f>IF(ISERROR(AG54/AA54),"-",AG54/AA54-1)</f>
        <v>0.19959484916518289</v>
      </c>
      <c r="AH212" s="116">
        <f>IF(ISERROR(AH54/AB54),"-",AH54/AB54-1)</f>
        <v>0.19883063730267003</v>
      </c>
      <c r="AI212" s="116">
        <f>IF(ISERROR(AI54/AC54),"-",AI54/AC54-1)</f>
        <v>7.8932466701135073E-2</v>
      </c>
      <c r="AJ212" s="116">
        <f>IF(ISERROR(AJ54/AD54),"-",AJ54/AD54-1)</f>
        <v>0.15760306924060652</v>
      </c>
      <c r="AK212" s="116">
        <f>IF(ISERROR(AK54/AE54),"-",AK54/AE54-1)</f>
        <v>0.1577188599334185</v>
      </c>
      <c r="AL212" s="90"/>
      <c r="AM212" s="116">
        <f>IF(ISERROR(AM54/AG54),"-",AM54/AG54-1)</f>
        <v>7.3463768271826435E-3</v>
      </c>
      <c r="AN212" s="116">
        <f>IF(ISERROR(AN54/AH54),"-",AN54/AH54-1)</f>
        <v>-4.3590410543200342E-2</v>
      </c>
      <c r="AO212" s="116">
        <f>IF(ISERROR(AO54/AI54),"-",AO54/AI54-1)</f>
        <v>9.7437418707071455E-3</v>
      </c>
      <c r="AP212" s="116">
        <f>IF(ISERROR(AP54/AJ54),"-",AP54/AJ54-1)</f>
        <v>-8.1834920300910108E-2</v>
      </c>
      <c r="AQ212" s="116">
        <f>IF(ISERROR(AQ54/AK54),"-",AQ54/AK54-1)</f>
        <v>-2.7893892860054947E-2</v>
      </c>
      <c r="AR212" s="90"/>
      <c r="AS212" s="116">
        <f>IF(ISERROR(AS54/AM54),"-",AS54/AM54-1)</f>
        <v>-1.3880880688491692E-2</v>
      </c>
      <c r="AT212" s="116">
        <f>IF(ISERROR(AT54/AN54),"-",AT54/AN54-1)</f>
        <v>1.8335108673481093E-2</v>
      </c>
      <c r="AU212" s="116">
        <f>IF(ISERROR(AU54/AO54),"-",AU54/AO54-1)</f>
        <v>7.755932203389837E-2</v>
      </c>
      <c r="AV212" s="116">
        <f>IF(ISERROR(AV54/AP54),"-",AV54/AP54-1)</f>
        <v>0.32526613725692433</v>
      </c>
      <c r="AW212" s="116">
        <f>IF(ISERROR(AW54/AQ54),"-",AW54/AQ54-1)</f>
        <v>9.944165942063421E-2</v>
      </c>
      <c r="AX212" s="90"/>
      <c r="AY212" s="116">
        <f>IF(ISERROR(AY54/AS54),"-",AY54/AS54-1)</f>
        <v>0.18348961604261871</v>
      </c>
      <c r="AZ212" s="116">
        <f>IF(ISERROR(AZ54/AT54),"-",AZ54/AT54-1)</f>
        <v>0.16843229769429358</v>
      </c>
      <c r="BA212" s="116">
        <f>IF(ISERROR(BA54/AU54),"-",BA54/AU54-1)</f>
        <v>0.18703074535464115</v>
      </c>
      <c r="BB212" s="116">
        <f>IF(ISERROR(BB54/AV54),"-",BB54/AV54-1)</f>
        <v>0.16210701068723421</v>
      </c>
      <c r="BC212" s="116">
        <f>IF(ISERROR(BC54/AW54),"-",BC54/AW54-1)</f>
        <v>0.17461867488569149</v>
      </c>
      <c r="BD212" s="90"/>
      <c r="BE212" s="116">
        <f>IF(ISERROR(BE54/AY54),"-",BE54/AY54-1)</f>
        <v>0.16559926806953329</v>
      </c>
      <c r="BF212" s="116">
        <f>IF(ISERROR(BF54/AZ54),"-",BF54/AZ54-1)</f>
        <v>0.2761904761904761</v>
      </c>
      <c r="BG212" s="116">
        <f>IF(ISERROR(BG54/BA54),"-",BG54/BA54-1)</f>
        <v>0.20494699646643122</v>
      </c>
      <c r="BH212" s="116">
        <f>IF(ISERROR(BH54/BB54),"-",BH54/BB54-1)</f>
        <v>0.16071428571428559</v>
      </c>
      <c r="BI212" s="116">
        <f>IF(ISERROR(BI54/BC54),"-",BI54/BC54-1)</f>
        <v>0.19896081402901067</v>
      </c>
      <c r="BJ212" s="90"/>
      <c r="BK212" s="116">
        <f>IF(ISERROR(BK54/BE54),"-",BK54/BE54-1)</f>
        <v>0.26609105180533765</v>
      </c>
      <c r="BL212" s="116">
        <f>IF(ISERROR(BL54/BF54),"-",BL54/BF54-1)</f>
        <v>0.17835820895522403</v>
      </c>
      <c r="BM212" s="116">
        <f>IF(ISERROR(BM54/BG54),"-",BM54/BG54-1)</f>
        <v>0.18621700879765379</v>
      </c>
      <c r="BN212" s="116">
        <f>IF(ISERROR(BN54/BH54),"-",BN54/BH54-1)</f>
        <v>0.11089743589743573</v>
      </c>
      <c r="BO212" s="116">
        <f>IF(ISERROR(BO54/BI54),"-",BO54/BI54-1)</f>
        <v>0.18147345612134336</v>
      </c>
      <c r="BP212" s="90"/>
      <c r="BQ212" s="116">
        <f>IF(ISERROR(BQ54/BK54),"-",BQ54/BK54-1)</f>
        <v>0.12461252324860483</v>
      </c>
      <c r="BR212" s="116">
        <f>IF(ISERROR(BR54/BL54),"-",BR54/BL54-1)</f>
        <v>0.20202659911336296</v>
      </c>
      <c r="BS212" s="116">
        <f>IF(ISERROR(BS54/BM54),"-",BS54/BM54-1)</f>
        <v>0.19097651421508055</v>
      </c>
      <c r="BT212" s="116">
        <f>IF(ISERROR(BT54/BN54),"-",BT54/BN54-1)</f>
        <v>0.32775533756491648</v>
      </c>
      <c r="BU212" s="116">
        <f>IF(ISERROR(BU54/BO54),"-",BU54/BO54-1)</f>
        <v>0.2135106220388201</v>
      </c>
      <c r="BV212" s="90"/>
      <c r="BW212" s="116">
        <f>IF(ISERROR(BW54/BQ54),"-",BW54/BQ54-1)</f>
        <v>0.17640573318632868</v>
      </c>
      <c r="BX212" s="116">
        <f>IF(ISERROR(BX54/BR54),"-",BX54/BR54-1)</f>
        <v>0.15279241306638558</v>
      </c>
      <c r="BY212" s="116">
        <f>IF(ISERROR(BY54/BS54),"-",BY54/BS54-1)</f>
        <v>0.1177996886351842</v>
      </c>
      <c r="BZ212" s="116">
        <f>IF(ISERROR(BZ54/BT54),"-",BZ54/BT54-1)</f>
        <v>-8.9960886571056053E-2</v>
      </c>
      <c r="CA212" s="116">
        <f>IF(ISERROR(CA54/BU54),"-",CA54/BU54-1)</f>
        <v>7.9345088161208999E-2</v>
      </c>
      <c r="CB212" s="90"/>
      <c r="CC212" s="116">
        <f>IF(ISERROR(CC54/BW54),"-",CC54/BW54-1)</f>
        <v>-0.1738519212746017</v>
      </c>
      <c r="CD212" s="116">
        <f>IF(ISERROR(CD54/BX54),"-",CD54/BX54-1)</f>
        <v>-0.23720292504570384</v>
      </c>
      <c r="CE212" s="116">
        <f>IF(ISERROR(CE54/BY54),"-",CE54/BY54-1)</f>
        <v>-0.22562674094707513</v>
      </c>
      <c r="CF212" s="116">
        <f>IF(ISERROR(CF54/BZ54),"-",CF54/BZ54-1)</f>
        <v>-0.1275071633237822</v>
      </c>
      <c r="CG212" s="116">
        <f>IF(ISERROR(CG54/CA54),"-",CG54/CA54-1)</f>
        <v>-0.19171528588098008</v>
      </c>
      <c r="CH212" s="90"/>
      <c r="CI212" s="116">
        <f>IF(ISERROR(CI54/CC54),"-",CI54/CC54-1)</f>
        <v>-2.2688598979013763E-3</v>
      </c>
      <c r="CJ212" s="116">
        <f>IF(ISERROR(CJ54/CD54),"-",CJ54/CD54-1)</f>
        <v>8.3882564409827332E-3</v>
      </c>
      <c r="CK212" s="116">
        <f>IF(ISERROR(CK54/CE54),"-",CK54/CE54-1)</f>
        <v>6.4148681055155699E-2</v>
      </c>
      <c r="CL212" s="116">
        <f>IF(ISERROR(CL54/CF54),"-",CL54/CF54-1)</f>
        <v>0.19759168035030106</v>
      </c>
      <c r="CM212" s="116">
        <f>IF(ISERROR(CM54/CG54),"-",CM54/CG54-1)</f>
        <v>6.9005341417641031E-2</v>
      </c>
      <c r="CN212" s="90"/>
      <c r="CO212" s="116">
        <f>IF(ISERROR(CO54/CI54),"-",CO54/CI54-1)</f>
        <v>8.0727686185332548E-2</v>
      </c>
      <c r="CP212" s="116">
        <f>IF(ISERROR(CP54/CJ54),"-",CP54/CJ54-1)</f>
        <v>0.1271538918597741</v>
      </c>
      <c r="CQ212" s="116">
        <f>IF(ISERROR(CQ54/CK54),"-",CQ54/CK54-1)</f>
        <v>9.5774647887324038E-2</v>
      </c>
      <c r="CR212" s="116">
        <f>IF(ISERROR(CR54/CL54),"-",CR54/CL54-1)</f>
        <v>5.4844606946982122E-3</v>
      </c>
      <c r="CS212" s="116">
        <f>IF(ISERROR(CS54/CM54),"-",CS54/CM54-1)</f>
        <v>7.2653612424037783E-2</v>
      </c>
      <c r="CT212" s="90"/>
      <c r="CU212" s="116">
        <f>IF(ISERROR(CU54/CO54),"-",CU54/CO54-1)</f>
        <v>9.7317201472908899E-2</v>
      </c>
      <c r="CV212" s="116">
        <f>IF(ISERROR(CV54/CP54),"-",CV54/CP54-1)</f>
        <v>3.4791776489193627E-2</v>
      </c>
      <c r="CW212" s="116">
        <f>IF(ISERROR(CW54/CQ54),"-",CW54/CQ54-1)</f>
        <v>-3.3419023136246784E-2</v>
      </c>
      <c r="CX212" s="116">
        <f>IF(ISERROR(CX54/CR54),"-",CX54/CR54-1)</f>
        <v>-4.090909090909145E-3</v>
      </c>
      <c r="CY212" s="116">
        <f>IF(ISERROR(CY54/CS54),"-",CY54/CS54-1)</f>
        <v>2.2283771874606728E-2</v>
      </c>
      <c r="CZ212" s="90"/>
      <c r="DA212" s="116">
        <f>IF(ISERROR(DA54/CU54),"-",DA54/CU54-1)</f>
        <v>-6.6634707574304786E-2</v>
      </c>
      <c r="DB212" s="116">
        <f>IF(ISERROR(DB54/CV54),"-",DB54/CV54-1)</f>
        <v>-6.1640346408558422E-2</v>
      </c>
      <c r="DC212" s="116">
        <f>IF(ISERROR(DC54/CW54),"-",DC54/CW54-1)</f>
        <v>4.7872340425532123E-3</v>
      </c>
      <c r="DD212" s="116">
        <f>IF(ISERROR(DD54/CX54),"-",DD54/CX54-1)</f>
        <v>-1.3235965312642484E-2</v>
      </c>
      <c r="DE212" s="116">
        <f>IF(ISERROR(DE54/CY54),"-",DE54/CY54-1)</f>
        <v>-3.4482758620689613E-2</v>
      </c>
      <c r="DF212" s="90"/>
      <c r="DG212" s="116">
        <f>IF(ISERROR(DG54/DA54),"-",DG54/DA54-1)</f>
        <v>8.577298407806877E-2</v>
      </c>
      <c r="DH212" s="116">
        <f>IF(ISERROR(DH54/DB54),"-",DH54/DB54-1)</f>
        <v>0.19435396308360486</v>
      </c>
      <c r="DI212" s="116">
        <f>IF(ISERROR(DI54/DC54),"-",DI54/DC54-1)</f>
        <v>0.19481206987824229</v>
      </c>
      <c r="DJ212" s="116">
        <f>IF(ISERROR(DJ54/DD54),"-",DJ54/DD54-1)</f>
        <v>0.24190564292321914</v>
      </c>
      <c r="DK212" s="116">
        <f>IF(ISERROR(DK54/DE54),"-",DK54/DE54-1)</f>
        <v>0.18061224489795902</v>
      </c>
      <c r="DL212" s="90"/>
      <c r="DM212" s="116">
        <f>IF(ISERROR(DM54/DG54),"-",DM54/DG54-1)</f>
        <v>9.8391674550615038E-2</v>
      </c>
      <c r="DN212" s="116">
        <f>IF(ISERROR(DN54/DH54),"-",DN54/DH54-1)</f>
        <v>1.5909090909090873E-2</v>
      </c>
      <c r="DO212" s="116">
        <f>IF(ISERROR(DO54/DI54),"-",DO54/DI54-1)</f>
        <v>-1.9937970757642809E-2</v>
      </c>
      <c r="DP212" s="116">
        <f>IF(ISERROR(DP54/DJ54),"-",DP54/DJ54-1)</f>
        <v>-5.6238361266294334E-2</v>
      </c>
      <c r="DQ212" s="116">
        <f>IF(ISERROR(DQ54/DK54),"-",DQ54/DK54-1)</f>
        <v>5.0777873811582719E-3</v>
      </c>
      <c r="DR212" s="90"/>
      <c r="DS212" s="116">
        <f>IF(ISERROR(DS54/DM54),"-",DS54/DM54-1)</f>
        <v>-5.555555555555558E-2</v>
      </c>
      <c r="DT212" s="116">
        <f>IF(ISERROR(DT54/DN54),"-",DT54/DN54-1)</f>
        <v>-1.655480984340052E-2</v>
      </c>
      <c r="DU212" s="116">
        <f>IF(ISERROR(DU54/DO54),"-",DU54/DO54-1)</f>
        <v>4.3399638336347079E-2</v>
      </c>
      <c r="DV212" s="116">
        <f>IF(ISERROR(DV54/DP54),"-",DV54/DP54-1)</f>
        <v>2.0126282557221931E-2</v>
      </c>
      <c r="DW212" s="116">
        <f>IF(ISERROR(DW54/DQ54),"-",DW54/DQ54-1)</f>
        <v>-2.0423519294850978E-3</v>
      </c>
      <c r="DX212" s="90"/>
      <c r="DY212" s="116">
        <f>IF(ISERROR(DY54/DS54),"-",DY54/DS54-1)</f>
        <v>4.5599635202918209E-2</v>
      </c>
      <c r="DZ212" s="116">
        <f>IF(ISERROR(DZ54/DT54),"-",DZ54/DT54-1)</f>
        <v>5.3685168334850042E-2</v>
      </c>
      <c r="EA212" s="116">
        <f>IF(ISERROR(EA54/DU54),"-",EA54/DU54-1)</f>
        <v>6.0658578856152445E-2</v>
      </c>
      <c r="EB212" s="116">
        <f>IF(ISERROR(EB54/DV54),"-",EB54/DV54-1)</f>
        <v>6.1121856866537705E-2</v>
      </c>
      <c r="EC212" s="116">
        <f>IF(ISERROR(EC54/DW54),"-",EC54/DW54-1)</f>
        <v>5.5579491598448882E-2</v>
      </c>
      <c r="ED212" s="90"/>
      <c r="EE212" s="116">
        <f>IF(ISERROR(EE54/DY54),"-",EE54/DY54-1)</f>
        <v>2.464880576290418E-2</v>
      </c>
      <c r="EF212" s="116">
        <f>IF(ISERROR(EF54/DZ54),"-",EF54/DZ54-1)</f>
        <v>5.1510733220851979E-3</v>
      </c>
      <c r="EG212" s="116">
        <f>IF(ISERROR(EG54/EA54),"-",EG54/EA54-1)</f>
        <v>-2.6009441517399368E-2</v>
      </c>
      <c r="EH212" s="116">
        <f>IF(ISERROR(EH54/EB54),"-",EH54/EB54-1)</f>
        <v>6.2921030223312968E-3</v>
      </c>
      <c r="EI212" s="116">
        <f>IF(ISERROR(EI54/EC54),"-",EI54/EC54-1)</f>
        <v>2.2487472636685268E-3</v>
      </c>
      <c r="EJ212" s="90"/>
      <c r="EK212" s="116">
        <f>IF(ISERROR(EK54/EE54),"-",EK54/EE54-1)</f>
        <v>-2.3810408598425981E-2</v>
      </c>
      <c r="EL212" s="116">
        <f>IF(ISERROR(EL54/EF54),"-",EL54/EF54-1)</f>
        <v>-3.5029606935328306E-2</v>
      </c>
      <c r="EM212" s="116">
        <f>IF(ISERROR(EM54/EG54),"-",EM54/EG54-1)</f>
        <v>-2.5995968451496876E-2</v>
      </c>
      <c r="EN212" s="116">
        <f>IF(ISERROR(EN54/EH54),"-",EN54/EH54-1)</f>
        <v>-1.9623383657123128E-2</v>
      </c>
      <c r="EO212" s="116">
        <f>IF(ISERROR(EO54/EI54),"-",EO54/EI54-1)</f>
        <v>-2.5823364247389513E-2</v>
      </c>
      <c r="EP212" s="90"/>
      <c r="EQ212" s="116">
        <f>IF(ISERROR(EQ54/EK54),"-",EQ54/EK54-1)</f>
        <v>7.8699395987333221E-2</v>
      </c>
      <c r="ER212" s="116">
        <f>IF(ISERROR(ER54/EL54),"-",ER54/EL54-1)</f>
        <v>6.6008161245145081E-2</v>
      </c>
      <c r="ES212" s="116">
        <f>IF(ISERROR(ES54/EM54),"-",ES54/EM54-1)</f>
        <v>8.3187749306125047E-2</v>
      </c>
      <c r="ET212" s="116">
        <f>IF(ISERROR(ET54/EN54),"-",ET54/EN54-1)</f>
        <v>3.7779236753018752E-2</v>
      </c>
      <c r="EU212" s="116">
        <f>IF(ISERROR(EU54/EO54),"-",EU54/EO54-1)</f>
        <v>6.5236365997690449E-2</v>
      </c>
      <c r="EV212" s="90"/>
    </row>
    <row r="213" spans="1:152">
      <c r="A213" s="90" t="s">
        <v>5638</v>
      </c>
      <c r="B213" s="526"/>
      <c r="C213" s="116"/>
      <c r="D213" s="116"/>
      <c r="E213" s="116"/>
      <c r="F213" s="116"/>
      <c r="G213" s="116" t="str">
        <f>IF(ISERROR(G58/A58),"-",G58/A58-1)</f>
        <v>-</v>
      </c>
      <c r="H213" s="90"/>
      <c r="I213" s="116">
        <f>IF(ISERROR(I58/C58),"-",I58/C58-1)</f>
        <v>0.32751091703056767</v>
      </c>
      <c r="J213" s="116">
        <f>IF(ISERROR(J58/D58),"-",J58/D58-1)</f>
        <v>0.4454148471615722</v>
      </c>
      <c r="K213" s="116">
        <f>IF(ISERROR(K58/E58),"-",K58/E58-1)</f>
        <v>0.54008438818565407</v>
      </c>
      <c r="L213" s="116">
        <f>IF(ISERROR(L58/F58),"-",L58/F58-1)</f>
        <v>0.45041322314049603</v>
      </c>
      <c r="M213" s="116">
        <f>IF(ISERROR(M58/G58),"-",M58/G58-1)</f>
        <v>0.44183564567769462</v>
      </c>
      <c r="N213" s="90"/>
      <c r="O213" s="116">
        <f>IF(ISERROR(O58/I58),"-",O58/I58-1)</f>
        <v>0.29210526315789487</v>
      </c>
      <c r="P213" s="116">
        <f>IF(ISERROR(P58/J58),"-",P58/J58-1)</f>
        <v>0.16033232628398775</v>
      </c>
      <c r="Q213" s="116">
        <f>IF(ISERROR(Q58/K58),"-",Q58/K58-1)</f>
        <v>0.12027397260273975</v>
      </c>
      <c r="R213" s="116">
        <f>IF(ISERROR(R58/L58),"-",R58/L58-1)</f>
        <v>9.6951566951566814E-2</v>
      </c>
      <c r="S213" s="116">
        <f>IF(ISERROR(S58/M58),"-",S58/M58-1)</f>
        <v>0.16269430051813472</v>
      </c>
      <c r="T213" s="90"/>
      <c r="U213" s="116">
        <f>IF(ISERROR(U58/O58),"-",U58/O58-1)</f>
        <v>0.12914969450101843</v>
      </c>
      <c r="V213" s="116">
        <f>IF(ISERROR(V58/P58),"-",V58/P58-1)</f>
        <v>0.2877079699013203</v>
      </c>
      <c r="W213" s="116">
        <f>IF(ISERROR(W58/Q58),"-",W58/Q58-1)</f>
        <v>0.1127415015896307</v>
      </c>
      <c r="X213" s="116">
        <f>IF(ISERROR(X58/R58),"-",X58/R58-1)</f>
        <v>0.13043139495623723</v>
      </c>
      <c r="Y213" s="116">
        <f>IF(ISERROR(Y58/S58),"-",Y58/S58-1)</f>
        <v>0.16396103896103909</v>
      </c>
      <c r="Z213" s="90"/>
      <c r="AA213" s="116">
        <f>IF(ISERROR(AA58/U58),"-",AA58/U58-1)</f>
        <v>-9.239510292426667E-2</v>
      </c>
      <c r="AB213" s="116">
        <f>IF(ISERROR(AB58/V58),"-",AB58/V58-1)</f>
        <v>-0.14527771599571349</v>
      </c>
      <c r="AC213" s="116">
        <f>IF(ISERROR(AC58/W58),"-",AC58/W58-1)</f>
        <v>-6.2461538461538457E-2</v>
      </c>
      <c r="AD213" s="116">
        <f>IF(ISERROR(AD58/X58),"-",AD58/X58-1)</f>
        <v>4.0827110855830018E-2</v>
      </c>
      <c r="AE213" s="116">
        <f>IF(ISERROR(AE58/Y58),"-",AE58/Y58-1)</f>
        <v>-6.7536303224218663E-2</v>
      </c>
      <c r="AF213" s="90"/>
      <c r="AG213" s="116">
        <f>IF(ISERROR(AG58/AA58),"-",AG58/AA58-1)</f>
        <v>0.24729847223947332</v>
      </c>
      <c r="AH213" s="116">
        <f>IF(ISERROR(AH58/AB58),"-",AH58/AB58-1)</f>
        <v>0.1243139666919002</v>
      </c>
      <c r="AI213" s="116">
        <f>IF(ISERROR(AI58/AC58),"-",AI58/AC58-1)</f>
        <v>2.5059777767358904E-2</v>
      </c>
      <c r="AJ213" s="116">
        <f>IF(ISERROR(AJ58/AD58),"-",AJ58/AD58-1)</f>
        <v>-3.7128603593660325E-2</v>
      </c>
      <c r="AK213" s="116">
        <f>IF(ISERROR(AK58/AE58),"-",AK58/AE58-1)</f>
        <v>8.5619431393596068E-2</v>
      </c>
      <c r="AL213" s="90"/>
      <c r="AM213" s="116">
        <f>IF(ISERROR(AM58/AG58),"-",AM58/AG58-1)</f>
        <v>-1.0296753634734146E-2</v>
      </c>
      <c r="AN213" s="116">
        <f>IF(ISERROR(AN58/AH58),"-",AN58/AH58-1)</f>
        <v>7.3537147305742012E-2</v>
      </c>
      <c r="AO213" s="116">
        <f>IF(ISERROR(AO58/AI58),"-",AO58/AI58-1)</f>
        <v>3.5675898186475319E-2</v>
      </c>
      <c r="AP213" s="116">
        <f>IF(ISERROR(AP58/AJ58),"-",AP58/AJ58-1)</f>
        <v>1.4442916093535096E-2</v>
      </c>
      <c r="AQ213" s="116">
        <f>IF(ISERROR(AQ58/AK58),"-",AQ58/AK58-1)</f>
        <v>2.7922456830412168E-2</v>
      </c>
      <c r="AR213" s="90"/>
      <c r="AS213" s="116">
        <f>IF(ISERROR(AS58/AM58),"-",AS58/AM58-1)</f>
        <v>3.7953031614110788E-2</v>
      </c>
      <c r="AT213" s="116">
        <f>IF(ISERROR(AT58/AN58),"-",AT58/AN58-1)</f>
        <v>-2.6615969581748944E-2</v>
      </c>
      <c r="AU213" s="116">
        <f>IF(ISERROR(AU58/AO58),"-",AU58/AO58-1)</f>
        <v>0.17040210214851936</v>
      </c>
      <c r="AV213" s="116">
        <f>IF(ISERROR(AV58/AP58),"-",AV58/AP58-1)</f>
        <v>0.24524293785310736</v>
      </c>
      <c r="AW213" s="116">
        <f>IF(ISERROR(AW58/AQ58),"-",AW58/AQ58-1)</f>
        <v>0.1003773941929651</v>
      </c>
      <c r="AX213" s="90"/>
      <c r="AY213" s="116">
        <f>IF(ISERROR(AY58/AS58),"-",AY58/AS58-1)</f>
        <v>0.12254987494910718</v>
      </c>
      <c r="AZ213" s="116">
        <f>IF(ISERROR(AZ58/AT58),"-",AZ58/AT58-1)</f>
        <v>0.17388853092783485</v>
      </c>
      <c r="BA213" s="116">
        <f>IF(ISERROR(BA58/AU58),"-",BA58/AU58-1)</f>
        <v>0.13010338842351521</v>
      </c>
      <c r="BB213" s="116">
        <f>IF(ISERROR(BB58/AV58),"-",BB58/AV58-1)</f>
        <v>0.14877862872491021</v>
      </c>
      <c r="BC213" s="116">
        <f>IF(ISERROR(BC58/AW58),"-",BC58/AW58-1)</f>
        <v>0.14354498946734884</v>
      </c>
      <c r="BD213" s="90"/>
      <c r="BE213" s="116">
        <f>IF(ISERROR(BE58/AY58),"-",BE58/AY58-1)</f>
        <v>0.13989637305699487</v>
      </c>
      <c r="BF213" s="116">
        <f>IF(ISERROR(BF58/AZ58),"-",BF58/AZ58-1)</f>
        <v>0.25214408233276164</v>
      </c>
      <c r="BG213" s="116">
        <f>IF(ISERROR(BG58/BA58),"-",BG58/BA58-1)</f>
        <v>0.23539232053422365</v>
      </c>
      <c r="BH213" s="116">
        <f>IF(ISERROR(BH58/BB58),"-",BH58/BB58-1)</f>
        <v>0.27646129541864117</v>
      </c>
      <c r="BI213" s="116">
        <f>IF(ISERROR(BI58/BC58),"-",BI58/BC58-1)</f>
        <v>0.22723475355054301</v>
      </c>
      <c r="BJ213" s="90"/>
      <c r="BK213" s="116">
        <f>IF(ISERROR(BK58/BE58),"-",BK58/BE58-1)</f>
        <v>0.4015151515151516</v>
      </c>
      <c r="BL213" s="116">
        <f>IF(ISERROR(BL58/BF58),"-",BL58/BF58-1)</f>
        <v>0.24657534246575352</v>
      </c>
      <c r="BM213" s="116">
        <f>IF(ISERROR(BM58/BG58),"-",BM58/BG58-1)</f>
        <v>0.32162162162162167</v>
      </c>
      <c r="BN213" s="116">
        <f>IF(ISERROR(BN58/BH58),"-",BN58/BH58-1)</f>
        <v>0.17450495049504955</v>
      </c>
      <c r="BO213" s="116">
        <f>IF(ISERROR(BO58/BI58),"-",BO58/BI58-1)</f>
        <v>0.28046289993192652</v>
      </c>
      <c r="BP213" s="90"/>
      <c r="BQ213" s="116">
        <f>IF(ISERROR(BQ58/BK58),"-",BQ58/BK58-1)</f>
        <v>0.14162162162162151</v>
      </c>
      <c r="BR213" s="116">
        <f>IF(ISERROR(BR58/BL58),"-",BR58/BL58-1)</f>
        <v>0.18021978021978025</v>
      </c>
      <c r="BS213" s="116">
        <f>IF(ISERROR(BS58/BM58),"-",BS58/BM58-1)</f>
        <v>0.10531697341513291</v>
      </c>
      <c r="BT213" s="116">
        <f>IF(ISERROR(BT58/BN58),"-",BT58/BN58-1)</f>
        <v>0.27818756585879867</v>
      </c>
      <c r="BU213" s="116">
        <f>IF(ISERROR(BU58/BO58),"-",BU58/BO58-1)</f>
        <v>0.17597022860180744</v>
      </c>
      <c r="BV213" s="90"/>
      <c r="BW213" s="116">
        <f>IF(ISERROR(BW58/BQ58),"-",BW58/BQ58-1)</f>
        <v>0.28125</v>
      </c>
      <c r="BX213" s="116">
        <f>IF(ISERROR(BX58/BR58),"-",BX58/BR58-1)</f>
        <v>0.19832402234636848</v>
      </c>
      <c r="BY213" s="116">
        <f>IF(ISERROR(BY58/BS58),"-",BY58/BS58-1)</f>
        <v>0.17298797409805711</v>
      </c>
      <c r="BZ213" s="116">
        <f>IF(ISERROR(BZ58/BT58),"-",BZ58/BT58-1)</f>
        <v>2.0610057708161378E-2</v>
      </c>
      <c r="CA213" s="116">
        <f>IF(ISERROR(CA58/BU58),"-",CA58/BU58-1)</f>
        <v>0.1632007233273054</v>
      </c>
      <c r="CB213" s="90"/>
      <c r="CC213" s="116">
        <f>IF(ISERROR(CC58/BW58),"-",CC58/BW58-1)</f>
        <v>-0.13451589061345148</v>
      </c>
      <c r="CD213" s="116">
        <f>IF(ISERROR(CD58/BX58),"-",CD58/BX58-1)</f>
        <v>-0.20124320124320116</v>
      </c>
      <c r="CE213" s="116">
        <f>IF(ISERROR(CE58/BY58),"-",CE58/BY58-1)</f>
        <v>-0.21293375394321756</v>
      </c>
      <c r="CF213" s="116">
        <f>IF(ISERROR(CF58/BZ58),"-",CF58/BZ58-1)</f>
        <v>-0.10743134087237471</v>
      </c>
      <c r="CG213" s="116">
        <f>IF(ISERROR(CG58/CA58),"-",CG58/CA58-1)</f>
        <v>-0.16401088223863181</v>
      </c>
      <c r="CH213" s="90"/>
      <c r="CI213" s="116">
        <f>IF(ISERROR(CI58/CC58),"-",CI58/CC58-1)</f>
        <v>1.5371477369769515E-2</v>
      </c>
      <c r="CJ213" s="116">
        <f>IF(ISERROR(CJ58/CD58),"-",CJ58/CD58-1)</f>
        <v>9.0466926070038811E-2</v>
      </c>
      <c r="CK213" s="116">
        <f>IF(ISERROR(CK58/CE58),"-",CK58/CE58-1)</f>
        <v>0.17334669338677355</v>
      </c>
      <c r="CL213" s="116">
        <f>IF(ISERROR(CL58/CF58),"-",CL58/CF58-1)</f>
        <v>9.2307692307692424E-2</v>
      </c>
      <c r="CM213" s="116">
        <f>IF(ISERROR(CM58/CG58),"-",CM58/CG58-1)</f>
        <v>8.9725708972570928E-2</v>
      </c>
      <c r="CN213" s="90"/>
      <c r="CO213" s="116">
        <f>IF(ISERROR(CO58/CI58),"-",CO58/CI58-1)</f>
        <v>7.4011774600504454E-2</v>
      </c>
      <c r="CP213" s="116">
        <f>IF(ISERROR(CP58/CJ58),"-",CP58/CJ58-1)</f>
        <v>0.1543264942016056</v>
      </c>
      <c r="CQ213" s="116">
        <f>IF(ISERROR(CQ58/CK58),"-",CQ58/CK58-1)</f>
        <v>0.12980358667805292</v>
      </c>
      <c r="CR213" s="116">
        <f>IF(ISERROR(CR58/CL58),"-",CR58/CL58-1)</f>
        <v>0.15161557580778795</v>
      </c>
      <c r="CS213" s="116">
        <f>IF(ISERROR(CS58/CM58),"-",CS58/CM58-1)</f>
        <v>0.12713310580204773</v>
      </c>
      <c r="CT213" s="90"/>
      <c r="CU213" s="116">
        <f>IF(ISERROR(CU58/CO58),"-",CU58/CO58-1)</f>
        <v>0.10884886452623332</v>
      </c>
      <c r="CV213" s="116">
        <f>IF(ISERROR(CV58/CP58),"-",CV58/CP58-1)</f>
        <v>3.9412673879443805E-2</v>
      </c>
      <c r="CW213" s="116">
        <f>IF(ISERROR(CW58/CQ58),"-",CW58/CQ58-1)</f>
        <v>-5.139833711262265E-2</v>
      </c>
      <c r="CX213" s="116">
        <f>IF(ISERROR(CX58/CR58),"-",CX58/CR58-1)</f>
        <v>-1.2949640287769681E-2</v>
      </c>
      <c r="CY213" s="116">
        <f>IF(ISERROR(CY58/CS58),"-",CY58/CS58-1)</f>
        <v>1.9682059046177258E-2</v>
      </c>
      <c r="CZ213" s="90"/>
      <c r="DA213" s="116">
        <f>IF(ISERROR(DA58/CU58),"-",DA58/CU58-1)</f>
        <v>-1.2005649717514055E-2</v>
      </c>
      <c r="DB213" s="116">
        <f>IF(ISERROR(DB58/CV58),"-",DB58/CV58-1)</f>
        <v>3.1226765799256651E-2</v>
      </c>
      <c r="DC213" s="116">
        <f>IF(ISERROR(DC58/CW58),"-",DC58/CW58-1)</f>
        <v>0.10597609561752996</v>
      </c>
      <c r="DD213" s="116">
        <f>IF(ISERROR(DD58/CX58),"-",DD58/CX58-1)</f>
        <v>9.3294460641399235E-2</v>
      </c>
      <c r="DE213" s="116">
        <f>IF(ISERROR(DE58/CY58),"-",DE58/CY58-1)</f>
        <v>5.3080920564216871E-2</v>
      </c>
      <c r="DF213" s="90"/>
      <c r="DG213" s="116">
        <f>IF(ISERROR(DG58/DA58),"-",DG58/DA58-1)</f>
        <v>0.14081486776268748</v>
      </c>
      <c r="DH213" s="116">
        <f>IF(ISERROR(DH58/DB58),"-",DH58/DB58-1)</f>
        <v>0.19394376351838494</v>
      </c>
      <c r="DI213" s="116">
        <f>IF(ISERROR(DI58/DC58),"-",DI58/DC58-1)</f>
        <v>0.21902017291066289</v>
      </c>
      <c r="DJ213" s="116">
        <f>IF(ISERROR(DJ58/DD58),"-",DJ58/DD58-1)</f>
        <v>0.16533333333333333</v>
      </c>
      <c r="DK213" s="116">
        <f>IF(ISERROR(DK58/DE58),"-",DK58/DE58-1)</f>
        <v>0.17941487486781793</v>
      </c>
      <c r="DL213" s="90"/>
      <c r="DM213" s="116">
        <f>IF(ISERROR(DM58/DG58),"-",DM58/DG58-1)</f>
        <v>0.10839598997493738</v>
      </c>
      <c r="DN213" s="116">
        <f>IF(ISERROR(DN58/DH58),"-",DN58/DH58-1)</f>
        <v>7.6690821256038433E-2</v>
      </c>
      <c r="DO213" s="116">
        <f>IF(ISERROR(DO58/DI58),"-",DO58/DI58-1)</f>
        <v>6.6193853427895855E-2</v>
      </c>
      <c r="DP213" s="116">
        <f>IF(ISERROR(DP58/DJ58),"-",DP58/DJ58-1)</f>
        <v>5.2631578947368363E-2</v>
      </c>
      <c r="DQ213" s="116">
        <f>IF(ISERROR(DQ58/DK58),"-",DQ58/DK58-1)</f>
        <v>7.5313807531380617E-2</v>
      </c>
      <c r="DR213" s="90"/>
      <c r="DS213" s="116">
        <f>IF(ISERROR(DS58/DM58),"-",DS58/DM58-1)</f>
        <v>-1.3001695873374852E-2</v>
      </c>
      <c r="DT213" s="116">
        <f>IF(ISERROR(DT58/DN58),"-",DT58/DN58-1)</f>
        <v>-3.0846887268648149E-2</v>
      </c>
      <c r="DU213" s="116">
        <f>IF(ISERROR(DU58/DO58),"-",DU58/DO58-1)</f>
        <v>-4.822616407982272E-2</v>
      </c>
      <c r="DV213" s="116">
        <f>IF(ISERROR(DV58/DP58),"-",DV58/DP58-1)</f>
        <v>-9.9456521739130443E-2</v>
      </c>
      <c r="DW213" s="116">
        <f>IF(ISERROR(DW58/DQ58),"-",DW58/DQ58-1)</f>
        <v>-4.8360200111172924E-2</v>
      </c>
      <c r="DX213" s="90"/>
      <c r="DY213" s="116">
        <f>IF(ISERROR(DY58/DS58),"-",DY58/DS58-1)</f>
        <v>-4.6391752577319534E-2</v>
      </c>
      <c r="DZ213" s="116">
        <f>IF(ISERROR(DZ58/DT58),"-",DZ58/DT58-1)</f>
        <v>3.4722222222220989E-3</v>
      </c>
      <c r="EA213" s="116">
        <f>IF(ISERROR(EA58/DU58),"-",EA58/DU58-1)</f>
        <v>2.2204460492503131E-16</v>
      </c>
      <c r="EB213" s="116">
        <f>IF(ISERROR(EB58/DV58),"-",EB58/DV58-1)</f>
        <v>-2.836451418225705E-2</v>
      </c>
      <c r="EC213" s="116">
        <f>IF(ISERROR(EC58/DW58),"-",EC58/DW58-1)</f>
        <v>-1.7815420560747586E-2</v>
      </c>
      <c r="ED213" s="90"/>
      <c r="EE213" s="116">
        <f>IF(ISERROR(EE58/DY58),"-",EE58/DY58-1)</f>
        <v>4.5730793640324618E-2</v>
      </c>
      <c r="EF213" s="116">
        <f>IF(ISERROR(EF58/DZ58),"-",EF58/DZ58-1)</f>
        <v>1.3412252020030158E-2</v>
      </c>
      <c r="EG213" s="116">
        <f>IF(ISERROR(EG58/EA58),"-",EG58/EA58-1)</f>
        <v>1.152949153976035E-2</v>
      </c>
      <c r="EH213" s="116">
        <f>IF(ISERROR(EH58/EB58),"-",EH58/EB58-1)</f>
        <v>6.5566320459067517E-2</v>
      </c>
      <c r="EI213" s="116">
        <f>IF(ISERROR(EI58/EC58),"-",EI58/EC58-1)</f>
        <v>3.3416076319765065E-2</v>
      </c>
      <c r="EJ213" s="90"/>
      <c r="EK213" s="116">
        <f>IF(ISERROR(EK58/EE58),"-",EK58/EE58-1)</f>
        <v>2.7479140092212528E-3</v>
      </c>
      <c r="EL213" s="116">
        <f>IF(ISERROR(EL58/EF58),"-",EL58/EF58-1)</f>
        <v>-1.7669032215077984E-2</v>
      </c>
      <c r="EM213" s="116">
        <f>IF(ISERROR(EM58/EG58),"-",EM58/EG58-1)</f>
        <v>1.1498182772456511E-2</v>
      </c>
      <c r="EN213" s="116">
        <f>IF(ISERROR(EN58/EH58),"-",EN58/EH58-1)</f>
        <v>4.7318225775575984E-2</v>
      </c>
      <c r="EO213" s="116">
        <f>IF(ISERROR(EO58/EI58),"-",EO58/EI58-1)</f>
        <v>1.0773333609440883E-2</v>
      </c>
      <c r="EP213" s="90"/>
      <c r="EQ213" s="116">
        <f>IF(ISERROR(EQ58/EK58),"-",EQ58/EK58-1)</f>
        <v>6.8194678789902374E-2</v>
      </c>
      <c r="ER213" s="116">
        <f>IF(ISERROR(ER58/EL58),"-",ER58/EL58-1)</f>
        <v>8.1324157152702803E-2</v>
      </c>
      <c r="ES213" s="116">
        <f>IF(ISERROR(ES58/EM58),"-",ES58/EM58-1)</f>
        <v>6.3785433482355991E-2</v>
      </c>
      <c r="ET213" s="116">
        <f>IF(ISERROR(ET58/EN58),"-",ET58/EN58-1)</f>
        <v>4.7372163203675877E-2</v>
      </c>
      <c r="EU213" s="116">
        <f>IF(ISERROR(EU58/EO58),"-",EU58/EO58-1)</f>
        <v>6.4992915679499053E-2</v>
      </c>
      <c r="EV213" s="90"/>
    </row>
    <row r="214" spans="1:152">
      <c r="A214" s="90" t="s">
        <v>5639</v>
      </c>
      <c r="B214" s="526"/>
      <c r="C214" s="116"/>
      <c r="D214" s="116"/>
      <c r="E214" s="116"/>
      <c r="F214" s="116"/>
      <c r="G214" s="116" t="str">
        <f>IF(ISERROR(G62/A62),"-",G62/A62-1)</f>
        <v>-</v>
      </c>
      <c r="H214" s="90"/>
      <c r="I214" s="116">
        <f>IF(ISERROR(I62/C62),"-",I62/C62-1)</f>
        <v>1.6042780748663166E-2</v>
      </c>
      <c r="J214" s="116">
        <f>IF(ISERROR(J62/D62),"-",J62/D62-1)</f>
        <v>0.12568306010928976</v>
      </c>
      <c r="K214" s="116">
        <f>IF(ISERROR(K62/E62),"-",K62/E62-1)</f>
        <v>0.13513513513513509</v>
      </c>
      <c r="L214" s="116">
        <f>IF(ISERROR(L62/F62),"-",L62/F62-1)</f>
        <v>0.20744680851063824</v>
      </c>
      <c r="M214" s="116">
        <f>IF(ISERROR(M62/G62),"-",M62/G62-1)</f>
        <v>0.11978465679676997</v>
      </c>
      <c r="N214" s="90"/>
      <c r="O214" s="116">
        <f>IF(ISERROR(O62/I62),"-",O62/I62-1)</f>
        <v>0.41952631578947375</v>
      </c>
      <c r="P214" s="116">
        <f>IF(ISERROR(P62/J62),"-",P62/J62-1)</f>
        <v>0.34082524271844639</v>
      </c>
      <c r="Q214" s="116">
        <f>IF(ISERROR(Q62/K62),"-",Q62/K62-1)</f>
        <v>0.34704761904761905</v>
      </c>
      <c r="R214" s="116">
        <f>IF(ISERROR(R62/L62),"-",R62/L62-1)</f>
        <v>0.31674008810572696</v>
      </c>
      <c r="S214" s="116">
        <f>IF(ISERROR(S62/M62),"-",S62/M62-1)</f>
        <v>0.35540865384615383</v>
      </c>
      <c r="T214" s="90"/>
      <c r="U214" s="116">
        <f>IF(ISERROR(U62/O62),"-",U62/O62-1)</f>
        <v>-0.23488191019984428</v>
      </c>
      <c r="V214" s="116">
        <f>IF(ISERROR(V62/P62),"-",V62/P62-1)</f>
        <v>-0.22721842076680787</v>
      </c>
      <c r="W214" s="116">
        <f>IF(ISERROR(W62/Q62),"-",W62/Q62-1)</f>
        <v>-0.27955316742081449</v>
      </c>
      <c r="X214" s="116">
        <f>IF(ISERROR(X62/R62),"-",X62/R62-1)</f>
        <v>-0.27778521244563403</v>
      </c>
      <c r="Y214" s="116">
        <f>IF(ISERROR(Y62/S62),"-",Y62/S62-1)</f>
        <v>-0.2555821583754545</v>
      </c>
      <c r="Z214" s="90"/>
      <c r="AA214" s="116">
        <f>IF(ISERROR(AA62/U62),"-",AA62/U62-1)</f>
        <v>0.5412386121341346</v>
      </c>
      <c r="AB214" s="116">
        <f>IF(ISERROR(AB62/V62),"-",AB62/V62-1)</f>
        <v>0.55179198875614888</v>
      </c>
      <c r="AC214" s="116">
        <f>IF(ISERROR(AC62/W62),"-",AC62/W62-1)</f>
        <v>0.58915603532875371</v>
      </c>
      <c r="AD214" s="116">
        <f>IF(ISERROR(AD62/X62),"-",AD62/X62-1)</f>
        <v>0.63102793347848252</v>
      </c>
      <c r="AE214" s="116">
        <f>IF(ISERROR(AE62/Y62),"-",AE62/Y62-1)</f>
        <v>0.57864392242816987</v>
      </c>
      <c r="AF214" s="90"/>
      <c r="AG214" s="116">
        <f>IF(ISERROR(AG62/AA62),"-",AG62/AA62-1)</f>
        <v>-0.29718597704763394</v>
      </c>
      <c r="AH214" s="116">
        <f>IF(ISERROR(AH62/AB62),"-",AH62/AB62-1)</f>
        <v>-0.38151737463394009</v>
      </c>
      <c r="AI214" s="116">
        <f>IF(ISERROR(AI62/AC62),"-",AI62/AC62-1)</f>
        <v>-0.37431685552845284</v>
      </c>
      <c r="AJ214" s="116">
        <f>IF(ISERROR(AJ62/AD62),"-",AJ62/AD62-1)</f>
        <v>-0.40245391803232133</v>
      </c>
      <c r="AK214" s="116">
        <f>IF(ISERROR(AK62/AE62),"-",AK62/AE62-1)</f>
        <v>-0.36508104192448165</v>
      </c>
      <c r="AL214" s="90"/>
      <c r="AM214" s="116">
        <f>IF(ISERROR(AM62/AG62),"-",AM62/AG62-1)</f>
        <v>-6.1468259294054639E-2</v>
      </c>
      <c r="AN214" s="116">
        <f>IF(ISERROR(AN62/AH62),"-",AN62/AH62-1)</f>
        <v>9.5333398418432136E-2</v>
      </c>
      <c r="AO214" s="116">
        <f>IF(ISERROR(AO62/AI62),"-",AO62/AI62-1)</f>
        <v>-0.19655546782471378</v>
      </c>
      <c r="AP214" s="116">
        <f>IF(ISERROR(AP62/AJ62),"-",AP62/AJ62-1)</f>
        <v>-1.7633917961880408E-2</v>
      </c>
      <c r="AQ214" s="116">
        <f>IF(ISERROR(AQ62/AK62),"-",AQ62/AK62-1)</f>
        <v>-4.4864633595588455E-2</v>
      </c>
      <c r="AR214" s="90"/>
      <c r="AS214" s="116">
        <f>IF(ISERROR(AS62/AM62),"-",AS62/AM62-1)</f>
        <v>4.7905047905048015E-2</v>
      </c>
      <c r="AT214" s="116">
        <f>IF(ISERROR(AT62/AN62),"-",AT62/AN62-1)</f>
        <v>-1.1096751192120835E-2</v>
      </c>
      <c r="AU214" s="116">
        <f>IF(ISERROR(AU62/AO62),"-",AU62/AO62-1)</f>
        <v>0.28646889011731469</v>
      </c>
      <c r="AV214" s="116">
        <f>IF(ISERROR(AV62/AP62),"-",AV62/AP62-1)</f>
        <v>0.27699825817689194</v>
      </c>
      <c r="AW214" s="116">
        <f>IF(ISERROR(AW62/AQ62),"-",AW62/AQ62-1)</f>
        <v>0.13867632237112271</v>
      </c>
      <c r="AX214" s="90"/>
      <c r="AY214" s="116">
        <f>IF(ISERROR(AY62/AS62),"-",AY62/AS62-1)</f>
        <v>0.23271470160116436</v>
      </c>
      <c r="AZ214" s="116">
        <f>IF(ISERROR(AZ62/AT62),"-",AZ62/AT62-1)</f>
        <v>3.199639477242E-2</v>
      </c>
      <c r="BA214" s="116">
        <f>IF(ISERROR(BA62/AU62),"-",BA62/AU62-1)</f>
        <v>0.27954165671998088</v>
      </c>
      <c r="BB214" s="116">
        <f>IF(ISERROR(BB62/AV62),"-",BB62/AV62-1)</f>
        <v>-6.7934679649907292E-2</v>
      </c>
      <c r="BC214" s="116">
        <f>IF(ISERROR(BC62/AW62),"-",BC62/AW62-1)</f>
        <v>0.10805140309467598</v>
      </c>
      <c r="BD214" s="90"/>
      <c r="BE214" s="116">
        <f>IF(ISERROR(BE62/AY62),"-",BE62/AY62-1)</f>
        <v>1.8450184501845213E-2</v>
      </c>
      <c r="BF214" s="116">
        <f>IF(ISERROR(BF62/AZ62),"-",BF62/AZ62-1)</f>
        <v>0.42358078602620042</v>
      </c>
      <c r="BG214" s="116">
        <f>IF(ISERROR(BG62/BA62),"-",BG62/BA62-1)</f>
        <v>0.20895522388059695</v>
      </c>
      <c r="BH214" s="116">
        <f>IF(ISERROR(BH62/BB62),"-",BH62/BB62-1)</f>
        <v>0.38211382113821157</v>
      </c>
      <c r="BI214" s="116">
        <f>IF(ISERROR(BI62/BC62),"-",BI62/BC62-1)</f>
        <v>0.24852071005917176</v>
      </c>
      <c r="BJ214" s="90"/>
      <c r="BK214" s="116">
        <f>IF(ISERROR(BK62/BE62),"-",BK62/BE62-1)</f>
        <v>0.22826086956521729</v>
      </c>
      <c r="BL214" s="116">
        <f>IF(ISERROR(BL62/BF62),"-",BL62/BF62-1)</f>
        <v>2.147239263803713E-2</v>
      </c>
      <c r="BM214" s="116">
        <f>IF(ISERROR(BM62/BG62),"-",BM62/BG62-1)</f>
        <v>0.17592592592592604</v>
      </c>
      <c r="BN214" s="116">
        <f>IF(ISERROR(BN62/BH62),"-",BN62/BH62-1)</f>
        <v>7.3529411764705843E-2</v>
      </c>
      <c r="BO214" s="116">
        <f>IF(ISERROR(BO62/BI62),"-",BO62/BI62-1)</f>
        <v>0.1200631911532386</v>
      </c>
      <c r="BP214" s="90"/>
      <c r="BQ214" s="116">
        <f>IF(ISERROR(BQ62/BK62),"-",BQ62/BK62-1)</f>
        <v>0.19469026548672552</v>
      </c>
      <c r="BR214" s="116">
        <f>IF(ISERROR(BR62/BL62),"-",BR62/BL62-1)</f>
        <v>0.18018018018017989</v>
      </c>
      <c r="BS214" s="116">
        <f>IF(ISERROR(BS62/BM62),"-",BS62/BM62-1)</f>
        <v>6.0367454068241511E-2</v>
      </c>
      <c r="BT214" s="116">
        <f>IF(ISERROR(BT62/BN62),"-",BT62/BN62-1)</f>
        <v>0.12328767123287676</v>
      </c>
      <c r="BU214" s="116">
        <f>IF(ISERROR(BU62/BO62),"-",BU62/BO62-1)</f>
        <v>0.13681241184767257</v>
      </c>
      <c r="BV214" s="90"/>
      <c r="BW214" s="116">
        <f>IF(ISERROR(BW62/BQ62),"-",BW62/BQ62-1)</f>
        <v>0.11851851851851891</v>
      </c>
      <c r="BX214" s="116">
        <f>IF(ISERROR(BX62/BR62),"-",BX62/BR62-1)</f>
        <v>0.2315521628498729</v>
      </c>
      <c r="BY214" s="116">
        <f>IF(ISERROR(BY62/BS62),"-",BY62/BS62-1)</f>
        <v>5.6930693069306759E-2</v>
      </c>
      <c r="BZ214" s="116">
        <f>IF(ISERROR(BZ62/BT62),"-",BZ62/BT62-1)</f>
        <v>-5.3658536585365901E-2</v>
      </c>
      <c r="CA214" s="116">
        <f>IF(ISERROR(CA62/BU62),"-",CA62/BU62-1)</f>
        <v>8.6848635235732052E-2</v>
      </c>
      <c r="CB214" s="90"/>
      <c r="CC214" s="116">
        <f>IF(ISERROR(CC62/BW62),"-",CC62/BW62-1)</f>
        <v>-0.26710816777041946</v>
      </c>
      <c r="CD214" s="116">
        <f>IF(ISERROR(CD62/BX62),"-",CD62/BX62-1)</f>
        <v>-0.19834710743801665</v>
      </c>
      <c r="CE214" s="116">
        <f>IF(ISERROR(CE62/BY62),"-",CE62/BY62-1)</f>
        <v>-9.8360655737704805E-2</v>
      </c>
      <c r="CF214" s="116">
        <f>IF(ISERROR(CF62/BZ62),"-",CF62/BZ62-1)</f>
        <v>-2.5773195876288457E-2</v>
      </c>
      <c r="CG214" s="116">
        <f>IF(ISERROR(CG62/CA62),"-",CG62/CA62-1)</f>
        <v>-0.15353881278538806</v>
      </c>
      <c r="CH214" s="90"/>
      <c r="CI214" s="116">
        <f>IF(ISERROR(CI62/CC62),"-",CI62/CC62-1)</f>
        <v>0.23192771084337327</v>
      </c>
      <c r="CJ214" s="116">
        <f>IF(ISERROR(CJ62/CD62),"-",CJ62/CD62-1)</f>
        <v>-6.9587628865979245E-2</v>
      </c>
      <c r="CK214" s="116">
        <f>IF(ISERROR(CK62/CE62),"-",CK62/CE62-1)</f>
        <v>9.8701298701298734E-2</v>
      </c>
      <c r="CL214" s="116">
        <f>IF(ISERROR(CL62/CF62),"-",CL62/CF62-1)</f>
        <v>0.12698412698412698</v>
      </c>
      <c r="CM214" s="116">
        <f>IF(ISERROR(CM62/CG62),"-",CM62/CG62-1)</f>
        <v>9.1706001348617727E-2</v>
      </c>
      <c r="CN214" s="90"/>
      <c r="CO214" s="116">
        <f>IF(ISERROR(CO62/CI62),"-",CO62/CI62-1)</f>
        <v>0.11980440097799527</v>
      </c>
      <c r="CP214" s="116">
        <f>IF(ISERROR(CP62/CJ62),"-",CP62/CJ62-1)</f>
        <v>0.12188365650969524</v>
      </c>
      <c r="CQ214" s="116">
        <f>IF(ISERROR(CQ62/CK62),"-",CQ62/CK62-1)</f>
        <v>-7.5650118203309802E-2</v>
      </c>
      <c r="CR214" s="116">
        <f>IF(ISERROR(CR62/CL62),"-",CR62/CL62-1)</f>
        <v>0.10093896713615025</v>
      </c>
      <c r="CS214" s="116">
        <f>IF(ISERROR(CS62/CM62),"-",CS62/CM62-1)</f>
        <v>6.4237183446572033E-2</v>
      </c>
      <c r="CT214" s="90"/>
      <c r="CU214" s="116">
        <f>IF(ISERROR(CU62/CO62),"-",CU62/CO62-1)</f>
        <v>-2.1834061135371785E-3</v>
      </c>
      <c r="CV214" s="116">
        <f>IF(ISERROR(CV62/CP62),"-",CV62/CP62-1)</f>
        <v>0.11111111111111138</v>
      </c>
      <c r="CW214" s="116">
        <f>IF(ISERROR(CW62/CQ62),"-",CW62/CQ62-1)</f>
        <v>9.2071611253197183E-2</v>
      </c>
      <c r="CX214" s="116">
        <f>IF(ISERROR(CX62/CR62),"-",CX62/CR62-1)</f>
        <v>2.5586353944562878E-2</v>
      </c>
      <c r="CY214" s="116">
        <f>IF(ISERROR(CY62/CS62),"-",CY62/CS62-1)</f>
        <v>5.3395240858967075E-2</v>
      </c>
      <c r="CZ214" s="90"/>
      <c r="DA214" s="116">
        <f>IF(ISERROR(DA62/CU62),"-",DA62/CU62-1)</f>
        <v>-4.3763676148796504E-2</v>
      </c>
      <c r="DB214" s="116">
        <f>IF(ISERROR(DB62/CV62),"-",DB62/CV62-1)</f>
        <v>3.9999999999999813E-2</v>
      </c>
      <c r="DC214" s="116">
        <f>IF(ISERROR(DC62/CW62),"-",DC62/CW62-1)</f>
        <v>0.17798594847775173</v>
      </c>
      <c r="DD214" s="116">
        <f>IF(ISERROR(DD62/CX62),"-",DD62/CX62-1)</f>
        <v>-2.0790020790020791E-2</v>
      </c>
      <c r="DE214" s="116">
        <f>IF(ISERROR(DE62/CY62),"-",DE62/CY62-1)</f>
        <v>3.526170798898054E-2</v>
      </c>
      <c r="DF214" s="90"/>
      <c r="DG214" s="116">
        <f>IF(ISERROR(DG62/DA62),"-",DG62/DA62-1)</f>
        <v>0.27002288329519453</v>
      </c>
      <c r="DH214" s="116">
        <f>IF(ISERROR(DH62/DB62),"-",DH62/DB62-1)</f>
        <v>0.39102564102564097</v>
      </c>
      <c r="DI214" s="116">
        <f>IF(ISERROR(DI62/DC62),"-",DI62/DC62-1)</f>
        <v>0.43538767395626232</v>
      </c>
      <c r="DJ214" s="116">
        <f>IF(ISERROR(DJ62/DD62),"-",DJ62/DD62-1)</f>
        <v>0.32059447983014855</v>
      </c>
      <c r="DK214" s="116">
        <f>IF(ISERROR(DK62/DE62),"-",DK62/DE62-1)</f>
        <v>0.35710484300159662</v>
      </c>
      <c r="DL214" s="90"/>
      <c r="DM214" s="116">
        <f>IF(ISERROR(DM62/DG62),"-",DM62/DG62-1)</f>
        <v>0.22342342342342336</v>
      </c>
      <c r="DN214" s="116">
        <f>IF(ISERROR(DN62/DH62),"-",DN62/DH62-1)</f>
        <v>-1.8433179723502335E-2</v>
      </c>
      <c r="DO214" s="116">
        <f>IF(ISERROR(DO62/DI62),"-",DO62/DI62-1)</f>
        <v>-7.3407202216066447E-2</v>
      </c>
      <c r="DP214" s="116">
        <f>IF(ISERROR(DP62/DJ62),"-",DP62/DJ62-1)</f>
        <v>4.3408360128617485E-2</v>
      </c>
      <c r="DQ214" s="116">
        <f>IF(ISERROR(DQ62/DK62),"-",DQ62/DK62-1)</f>
        <v>3.3725490196078622E-2</v>
      </c>
      <c r="DR214" s="90"/>
      <c r="DS214" s="116">
        <f>IF(ISERROR(DS62/DM62),"-",DS62/DM62-1)</f>
        <v>-1.4727540500736547E-2</v>
      </c>
      <c r="DT214" s="116">
        <f>IF(ISERROR(DT62/DN62),"-",DT62/DN62-1)</f>
        <v>-4.2253521126760507E-2</v>
      </c>
      <c r="DU214" s="116">
        <f>IF(ISERROR(DU62/DO62),"-",DU62/DO62-1)</f>
        <v>-6.7264573991031362E-2</v>
      </c>
      <c r="DV214" s="116">
        <f>IF(ISERROR(DV62/DP62),"-",DV62/DP62-1)</f>
        <v>1.5408320493064398E-3</v>
      </c>
      <c r="DW214" s="116">
        <f>IF(ISERROR(DW62/DQ62),"-",DW62/DQ62-1)</f>
        <v>-3.072837632776948E-2</v>
      </c>
      <c r="DX214" s="90"/>
      <c r="DY214" s="116">
        <f>IF(ISERROR(DY62/DS62),"-",DY62/DS62-1)</f>
        <v>-0.10612855007473831</v>
      </c>
      <c r="DZ214" s="116">
        <f>IF(ISERROR(DZ62/DT62),"-",DZ62/DT62-1)</f>
        <v>-3.9215686274509665E-2</v>
      </c>
      <c r="EA214" s="116">
        <f>IF(ISERROR(EA62/DU62),"-",EA62/DU62-1)</f>
        <v>-0.11217948717948734</v>
      </c>
      <c r="EB214" s="116">
        <f>IF(ISERROR(EB62/DV62),"-",EB62/DV62-1)</f>
        <v>9.0769230769230713E-2</v>
      </c>
      <c r="EC214" s="116">
        <f>IF(ISERROR(EC62/DW62),"-",EC62/DW62-1)</f>
        <v>-4.1487279843444358E-2</v>
      </c>
      <c r="ED214" s="90"/>
      <c r="EE214" s="116">
        <f>IF(ISERROR(EE62/DY62),"-",EE62/DY62-1)</f>
        <v>5.2942463670181183E-2</v>
      </c>
      <c r="EF214" s="116">
        <f>IF(ISERROR(EF62/DZ62),"-",EF62/DZ62-1)</f>
        <v>8.3738322950330568E-2</v>
      </c>
      <c r="EG214" s="116">
        <f>IF(ISERROR(EG62/EA62),"-",EG62/EA62-1)</f>
        <v>0.11892785735860234</v>
      </c>
      <c r="EH214" s="116">
        <f>IF(ISERROR(EH62/EB62),"-",EH62/EB62-1)</f>
        <v>-6.492173495254594E-2</v>
      </c>
      <c r="EI214" s="116">
        <f>IF(ISERROR(EI62/EC62),"-",EI62/EC62-1)</f>
        <v>4.114097593502386E-2</v>
      </c>
      <c r="EJ214" s="90"/>
      <c r="EK214" s="116">
        <f>IF(ISERROR(EK62/EE62),"-",EK62/EE62-1)</f>
        <v>2.1373709021025533E-2</v>
      </c>
      <c r="EL214" s="116">
        <f>IF(ISERROR(EL62/EF62),"-",EL62/EF62-1)</f>
        <v>2.5472395175070162E-3</v>
      </c>
      <c r="EM214" s="116">
        <f>IF(ISERROR(EM62/EG62),"-",EM62/EG62-1)</f>
        <v>0.11111452535699717</v>
      </c>
      <c r="EN214" s="116">
        <f>IF(ISERROR(EN62/EH62),"-",EN62/EH62-1)</f>
        <v>5.3499580884083242E-2</v>
      </c>
      <c r="EO214" s="116">
        <f>IF(ISERROR(EO62/EI62),"-",EO62/EI62-1)</f>
        <v>4.6839159013630338E-2</v>
      </c>
      <c r="EP214" s="90"/>
      <c r="EQ214" s="116">
        <f>IF(ISERROR(EQ62/EK62),"-",EQ62/EK62-1)</f>
        <v>-7.2456948566286261E-3</v>
      </c>
      <c r="ER214" s="116">
        <f>IF(ISERROR(ER62/EL62),"-",ER62/EL62-1)</f>
        <v>4.6108381337896187E-2</v>
      </c>
      <c r="ES214" s="116">
        <f>IF(ISERROR(ES62/EM62),"-",ES62/EM62-1)</f>
        <v>-5.1907715833882873E-2</v>
      </c>
      <c r="ET214" s="116">
        <f>IF(ISERROR(ET62/EN62),"-",ET62/EN62-1)</f>
        <v>-5.6595635329996452E-2</v>
      </c>
      <c r="EU214" s="116">
        <f>IF(ISERROR(EU62/EO62),"-",EU62/EO62-1)</f>
        <v>-1.8913567448661461E-2</v>
      </c>
      <c r="EV214" s="90"/>
    </row>
    <row r="215" spans="1:152">
      <c r="A215" s="41" t="s">
        <v>6050</v>
      </c>
      <c r="B215" s="526"/>
      <c r="C215" s="116"/>
      <c r="D215" s="116"/>
      <c r="E215" s="116"/>
      <c r="F215" s="116"/>
      <c r="G215" s="116" t="str">
        <f>IF(ISERROR(G79/A79),"-",G79/A79-1)</f>
        <v>-</v>
      </c>
      <c r="H215" s="90"/>
      <c r="I215" s="116">
        <f>IF(ISERROR(I79/C79),"-",I79/C79-1)</f>
        <v>0.19361936193619367</v>
      </c>
      <c r="J215" s="116">
        <f>IF(ISERROR(J79/D79),"-",J79/D79-1)</f>
        <v>0.29084967320261446</v>
      </c>
      <c r="K215" s="116">
        <f>IF(ISERROR(K79/E79),"-",K79/E79-1)</f>
        <v>0.35389610389610371</v>
      </c>
      <c r="L215" s="116">
        <f>IF(ISERROR(L79/F79),"-",L79/F79-1)</f>
        <v>0.41918103448275845</v>
      </c>
      <c r="M215" s="116">
        <f>IF(ISERROR(M79/G79),"-",M79/G79-1)</f>
        <v>0.31503125849415592</v>
      </c>
      <c r="N215" s="90"/>
      <c r="O215" s="116">
        <f>IF(ISERROR(O79/I79),"-",O79/I79-1)</f>
        <v>0.33068202764976951</v>
      </c>
      <c r="P215" s="116">
        <f>IF(ISERROR(P79/J79),"-",P79/J79-1)</f>
        <v>0.23472573839662436</v>
      </c>
      <c r="Q215" s="116">
        <f>IF(ISERROR(Q79/K79),"-",Q79/K79-1)</f>
        <v>0.16808153477218246</v>
      </c>
      <c r="R215" s="116">
        <f>IF(ISERROR(R79/L79),"-",R79/L79-1)</f>
        <v>0.12678056188306752</v>
      </c>
      <c r="S215" s="116">
        <f>IF(ISERROR(S79/M79),"-",S79/M79-1)</f>
        <v>0.20962794543199692</v>
      </c>
      <c r="T215" s="90"/>
      <c r="U215" s="116">
        <f>IF(ISERROR(U79/O79),"-",U79/O79-1)</f>
        <v>0.10257724461313633</v>
      </c>
      <c r="V215" s="116">
        <f>IF(ISERROR(V79/P79),"-",V79/P79-1)</f>
        <v>0.13604893551583919</v>
      </c>
      <c r="W215" s="116">
        <f>IF(ISERROR(W79/Q79),"-",W79/Q79-1)</f>
        <v>4.4495541549473883E-2</v>
      </c>
      <c r="X215" s="116">
        <f>IF(ISERROR(X79/R79),"-",X79/R79-1)</f>
        <v>1.7999016152617564E-2</v>
      </c>
      <c r="Y215" s="116">
        <f>IF(ISERROR(Y79/S79),"-",Y79/S79-1)</f>
        <v>7.4995984402393523E-2</v>
      </c>
      <c r="Z215" s="90"/>
      <c r="AA215" s="116">
        <f>IF(ISERROR(AA79/U79),"-",AA79/U79-1)</f>
        <v>-6.0475284096262794E-2</v>
      </c>
      <c r="AB215" s="116">
        <f>IF(ISERROR(AB79/V79),"-",AB79/V79-1)</f>
        <v>-8.3388982138237755E-2</v>
      </c>
      <c r="AC215" s="116">
        <f>IF(ISERROR(AC79/W79),"-",AC79/W79-1)</f>
        <v>2.3914197170917806E-2</v>
      </c>
      <c r="AD215" s="116">
        <f>IF(ISERROR(AD79/X79),"-",AD79/X79-1)</f>
        <v>7.6442396801440715E-2</v>
      </c>
      <c r="AE215" s="116">
        <f>IF(ISERROR(AE79/Y79),"-",AE79/Y79-1)</f>
        <v>-1.3177408612525365E-2</v>
      </c>
      <c r="AF215" s="90"/>
      <c r="AG215" s="116">
        <f>IF(ISERROR(AG79/AA79),"-",AG79/AA79-1)</f>
        <v>0.10679183214987775</v>
      </c>
      <c r="AH215" s="116">
        <f>IF(ISERROR(AH79/AB79),"-",AH79/AB79-1)</f>
        <v>5.1988710947755479E-2</v>
      </c>
      <c r="AI215" s="116">
        <f>IF(ISERROR(AI79/AC79),"-",AI79/AC79-1)</f>
        <v>-2.9703287069919759E-2</v>
      </c>
      <c r="AJ215" s="116">
        <f>IF(ISERROR(AJ79/AD79),"-",AJ79/AD79-1)</f>
        <v>-1.7907217002017028E-2</v>
      </c>
      <c r="AK215" s="116">
        <f>IF(ISERROR(AK79/AE79),"-",AK79/AE79-1)</f>
        <v>2.6318544756345208E-2</v>
      </c>
      <c r="AL215" s="90"/>
      <c r="AM215" s="116">
        <f>IF(ISERROR(AM79/AG79),"-",AM79/AG79-1)</f>
        <v>-7.2975944518953728E-3</v>
      </c>
      <c r="AN215" s="116">
        <f>IF(ISERROR(AN79/AH79),"-",AN79/AH79-1)</f>
        <v>8.896874863520754E-3</v>
      </c>
      <c r="AO215" s="116">
        <f>IF(ISERROR(AO79/AI79),"-",AO79/AI79-1)</f>
        <v>-1.0347078879165306E-2</v>
      </c>
      <c r="AP215" s="116">
        <f>IF(ISERROR(AP79/AJ79),"-",AP79/AJ79-1)</f>
        <v>-4.7080849571707661E-2</v>
      </c>
      <c r="AQ215" s="116">
        <f>IF(ISERROR(AQ79/AK79),"-",AQ79/AK79-1)</f>
        <v>-1.3921237499136763E-2</v>
      </c>
      <c r="AR215" s="90"/>
      <c r="AS215" s="116">
        <f>IF(ISERROR(AS79/AM79),"-",AS79/AM79-1)</f>
        <v>9.6819736377691257E-3</v>
      </c>
      <c r="AT215" s="116">
        <f>IF(ISERROR(AT79/AN79),"-",AT79/AN79-1)</f>
        <v>6.802426611107748E-5</v>
      </c>
      <c r="AU215" s="116">
        <f>IF(ISERROR(AU79/AO79),"-",AU79/AO79-1)</f>
        <v>0.12824186368846102</v>
      </c>
      <c r="AV215" s="116">
        <f>IF(ISERROR(AV79/AP79),"-",AV79/AP79-1)</f>
        <v>0.29544304629234142</v>
      </c>
      <c r="AW215" s="116">
        <f>IF(ISERROR(AW79/AQ79),"-",AW79/AQ79-1)</f>
        <v>0.10474369952537543</v>
      </c>
      <c r="AX215" s="90"/>
      <c r="AY215" s="116">
        <f>IF(ISERROR(AY79/AS79),"-",AY79/AS79-1)</f>
        <v>0.17106746144156415</v>
      </c>
      <c r="AZ215" s="116">
        <f>IF(ISERROR(AZ79/AT79),"-",AZ79/AT79-1)</f>
        <v>0.15138698227779224</v>
      </c>
      <c r="BA215" s="116">
        <f>IF(ISERROR(BA79/AU79),"-",BA79/AU79-1)</f>
        <v>0.18065358241836127</v>
      </c>
      <c r="BB215" s="116">
        <f>IF(ISERROR(BB79/AV79),"-",BB79/AV79-1)</f>
        <v>0.12758500002536199</v>
      </c>
      <c r="BC215" s="116">
        <f>IF(ISERROR(BC79/AW79),"-",BC79/AW79-1)</f>
        <v>0.15646993567162992</v>
      </c>
      <c r="BD215" s="90"/>
      <c r="BE215" s="116">
        <f>IF(ISERROR(BE79/AY79),"-",BE79/AY79-1)</f>
        <v>0.13741636644364386</v>
      </c>
      <c r="BF215" s="116">
        <f>IF(ISERROR(BF79/AZ79),"-",BF79/AZ79-1)</f>
        <v>0.2867883995703544</v>
      </c>
      <c r="BG215" s="116">
        <f>IF(ISERROR(BG79/BA79),"-",BG79/BA79-1)</f>
        <v>0.2146073036518259</v>
      </c>
      <c r="BH215" s="116">
        <f>IF(ISERROR(BH79/BB79),"-",BH79/BB79-1)</f>
        <v>0.21817363922627075</v>
      </c>
      <c r="BI215" s="116">
        <f>IF(ISERROR(BI79/BC79),"-",BI79/BC79-1)</f>
        <v>0.21365391802666012</v>
      </c>
      <c r="BJ215" s="90"/>
      <c r="BK215" s="116">
        <f>IF(ISERROR(BK79/BE79),"-",BK79/BE79-1)</f>
        <v>0.30180995475113126</v>
      </c>
      <c r="BL215" s="116">
        <f>IF(ISERROR(BL79/BF79),"-",BL79/BF79-1)</f>
        <v>0.17779632721201999</v>
      </c>
      <c r="BM215" s="116">
        <f>IF(ISERROR(BM79/BG79),"-",BM79/BG79-1)</f>
        <v>0.2261120263591434</v>
      </c>
      <c r="BN215" s="116">
        <f>IF(ISERROR(BN79/BH79),"-",BN79/BH79-1)</f>
        <v>0.12518463810930558</v>
      </c>
      <c r="BO215" s="116">
        <f>IF(ISERROR(BO79/BI79),"-",BO79/BI79-1)</f>
        <v>0.20334633545473202</v>
      </c>
      <c r="BP215" s="90"/>
      <c r="BQ215" s="116">
        <f>IF(ISERROR(BQ79/BK79),"-",BQ79/BK79-1)</f>
        <v>0.13833854709767124</v>
      </c>
      <c r="BR215" s="116">
        <f>IF(ISERROR(BR79/BL79),"-",BR79/BL79-1)</f>
        <v>0.19241672572643531</v>
      </c>
      <c r="BS215" s="116">
        <f>IF(ISERROR(BS79/BM79),"-",BS79/BM79-1)</f>
        <v>0.14612025529056094</v>
      </c>
      <c r="BT215" s="116">
        <f>IF(ISERROR(BT79/BN79),"-",BT79/BN79-1)</f>
        <v>0.28782408926813252</v>
      </c>
      <c r="BU215" s="116">
        <f>IF(ISERROR(BU79/BO79),"-",BU79/BO79-1)</f>
        <v>0.19218630043504237</v>
      </c>
      <c r="BV215" s="90"/>
      <c r="BW215" s="116">
        <f>IF(ISERROR(BW79/BQ79),"-",BW79/BQ79-1)</f>
        <v>0.20305343511450391</v>
      </c>
      <c r="BX215" s="116">
        <f>IF(ISERROR(BX79/BR79),"-",BX79/BR79-1)</f>
        <v>0.17652303120356594</v>
      </c>
      <c r="BY215" s="116">
        <f>IF(ISERROR(BY79/BS79),"-",BY79/BS79-1)</f>
        <v>0.12807737397420849</v>
      </c>
      <c r="BZ215" s="116">
        <f>IF(ISERROR(BZ79/BT79),"-",BZ79/BT79-1)</f>
        <v>-5.1987767584097844E-2</v>
      </c>
      <c r="CA215" s="116">
        <f>IF(ISERROR(CA79/BU79),"-",CA79/BU79-1)</f>
        <v>0.10675443617630198</v>
      </c>
      <c r="CB215" s="90"/>
      <c r="CC215" s="116">
        <f>IF(ISERROR(CC79/BW79),"-",CC79/BW79-1)</f>
        <v>-0.17106598984771582</v>
      </c>
      <c r="CD215" s="116">
        <f>IF(ISERROR(CD79/BX79),"-",CD79/BX79-1)</f>
        <v>-0.22076281889366001</v>
      </c>
      <c r="CE215" s="116">
        <f>IF(ISERROR(CE79/BY79),"-",CE79/BY79-1)</f>
        <v>-0.20732657833203416</v>
      </c>
      <c r="CF215" s="116">
        <f>IF(ISERROR(CF79/BZ79),"-",CF79/BZ79-1)</f>
        <v>-0.11021505376344076</v>
      </c>
      <c r="CG215" s="116">
        <f>IF(ISERROR(CG79/CA79),"-",CG79/CA79-1)</f>
        <v>-0.17817429531936901</v>
      </c>
      <c r="CH215" s="90"/>
      <c r="CI215" s="116">
        <f>IF(ISERROR(CI79/CC79),"-",CI79/CC79-1)</f>
        <v>2.786282914880589E-2</v>
      </c>
      <c r="CJ215" s="116">
        <f>IF(ISERROR(CJ79/CD79),"-",CJ79/CD79-1)</f>
        <v>2.5931928687196182E-2</v>
      </c>
      <c r="CK215" s="116">
        <f>IF(ISERROR(CK79/CE79),"-",CK79/CE79-1)</f>
        <v>0.10422812192723696</v>
      </c>
      <c r="CL215" s="116">
        <f>IF(ISERROR(CL79/CF79),"-",CL79/CF79-1)</f>
        <v>0.15438066465256783</v>
      </c>
      <c r="CM215" s="116">
        <f>IF(ISERROR(CM79/CG79),"-",CM79/CG79-1)</f>
        <v>7.8665827564506019E-2</v>
      </c>
      <c r="CN215" s="90"/>
      <c r="CO215" s="116">
        <f>IF(ISERROR(CO79/CI79),"-",CO79/CI79-1)</f>
        <v>8.310991957104541E-2</v>
      </c>
      <c r="CP215" s="116">
        <f>IF(ISERROR(CP79/CJ79),"-",CP79/CJ79-1)</f>
        <v>0.13617693522906782</v>
      </c>
      <c r="CQ215" s="116">
        <f>IF(ISERROR(CQ79/CK79),"-",CQ79/CK79-1)</f>
        <v>8.607895517957842E-2</v>
      </c>
      <c r="CR215" s="116">
        <f>IF(ISERROR(CR79/CL79),"-",CR79/CL79-1)</f>
        <v>6.2287359330018166E-2</v>
      </c>
      <c r="CS215" s="116">
        <f>IF(ISERROR(CS79/CM79),"-",CS79/CM79-1)</f>
        <v>9.0285880980163213E-2</v>
      </c>
      <c r="CT215" s="90"/>
      <c r="CU215" s="116">
        <f>IF(ISERROR(CU79/CO79),"-",CU79/CO79-1)</f>
        <v>8.8833883388338863E-2</v>
      </c>
      <c r="CV215" s="116">
        <f>IF(ISERROR(CV79/CP79),"-",CV79/CP79-1)</f>
        <v>4.5050055617352758E-2</v>
      </c>
      <c r="CW215" s="116">
        <f>IF(ISERROR(CW79/CQ79),"-",CW79/CQ79-1)</f>
        <v>-2.6509975403115615E-2</v>
      </c>
      <c r="CX215" s="116">
        <f>IF(ISERROR(CX79/CR79),"-",CX79/CR79-1)</f>
        <v>-3.6954915003694078E-3</v>
      </c>
      <c r="CY215" s="116">
        <f>IF(ISERROR(CY79/CS79),"-",CY79/CS79-1)</f>
        <v>2.4949832775920111E-2</v>
      </c>
      <c r="CZ215" s="90"/>
      <c r="DA215" s="116">
        <f>IF(ISERROR(DA79/CU79),"-",DA79/CU79-1)</f>
        <v>-4.4455670623894883E-2</v>
      </c>
      <c r="DB215" s="116">
        <f>IF(ISERROR(DB79/CV79),"-",DB79/CV79-1)</f>
        <v>-1.6232038318254483E-2</v>
      </c>
      <c r="DC215" s="116">
        <f>IF(ISERROR(DC79/CW79),"-",DC79/CW79-1)</f>
        <v>6.1201572150477501E-2</v>
      </c>
      <c r="DD215" s="116">
        <f>IF(ISERROR(DD79/CX79),"-",DD79/CX79-1)</f>
        <v>2.2007912957467957E-2</v>
      </c>
      <c r="DE215" s="116">
        <f>IF(ISERROR(DE79/CY79),"-",DE79/CY79-1)</f>
        <v>4.5682960255823968E-3</v>
      </c>
      <c r="DF215" s="90"/>
      <c r="DG215" s="116">
        <f>IF(ISERROR(DG79/DA79),"-",DG79/DA79-1)</f>
        <v>0.12741210679355008</v>
      </c>
      <c r="DH215" s="116">
        <f>IF(ISERROR(DH79/DB79),"-",DH79/DB79-1)</f>
        <v>0.21909656478225603</v>
      </c>
      <c r="DI215" s="116">
        <f>IF(ISERROR(DI79/DC79),"-",DI79/DC79-1)</f>
        <v>0.23571428571428554</v>
      </c>
      <c r="DJ215" s="116">
        <f>IF(ISERROR(DJ79/DD79),"-",DJ79/DD79-1)</f>
        <v>0.22308250665376228</v>
      </c>
      <c r="DK215" s="116">
        <f>IF(ISERROR(DK79/DE79),"-",DK79/DE79-1)</f>
        <v>0.20171506528941707</v>
      </c>
      <c r="DL215" s="90"/>
      <c r="DM215" s="116">
        <f>IF(ISERROR(DM79/DG79),"-",DM79/DG79-1)</f>
        <v>0.1184056271981242</v>
      </c>
      <c r="DN215" s="116">
        <f>IF(ISERROR(DN79/DH79),"-",DN79/DH79-1)</f>
        <v>3.3281562014643606E-2</v>
      </c>
      <c r="DO215" s="116">
        <f>IF(ISERROR(DO79/DI79),"-",DO79/DI79-1)</f>
        <v>2.9972168700493906E-3</v>
      </c>
      <c r="DP215" s="116">
        <f>IF(ISERROR(DP79/DJ79),"-",DP79/DJ79-1)</f>
        <v>-6.3303659742829366E-3</v>
      </c>
      <c r="DQ215" s="116">
        <f>IF(ISERROR(DQ79/DK79),"-",DQ79/DK79-1)</f>
        <v>3.4436155260028078E-2</v>
      </c>
      <c r="DR215" s="90"/>
      <c r="DS215" s="116">
        <f>IF(ISERROR(DS79/DM79),"-",DS79/DM79-1)</f>
        <v>-3.39622641509435E-2</v>
      </c>
      <c r="DT215" s="116">
        <f>IF(ISERROR(DT79/DN79),"-",DT79/DN79-1)</f>
        <v>-2.5552931071505136E-2</v>
      </c>
      <c r="DU215" s="116">
        <f>IF(ISERROR(DU79/DO79),"-",DU79/DO79-1)</f>
        <v>-7.6840981856990398E-3</v>
      </c>
      <c r="DV215" s="116">
        <f>IF(ISERROR(DV79/DP79),"-",DV79/DP79-1)</f>
        <v>-2.6080031853473962E-2</v>
      </c>
      <c r="DW215" s="116">
        <f>IF(ISERROR(DW79/DQ79),"-",DW79/DQ79-1)</f>
        <v>-2.3412594721714086E-2</v>
      </c>
      <c r="DX215" s="90"/>
      <c r="DY215" s="116">
        <f>IF(ISERROR(DY79/DS79),"-",DY79/DS79-1)</f>
        <v>-1.128472222222221E-2</v>
      </c>
      <c r="DZ215" s="116">
        <f>IF(ISERROR(DZ79/DT79),"-",DZ79/DT79-1)</f>
        <v>2.203613926840009E-2</v>
      </c>
      <c r="EA215" s="116">
        <f>IF(ISERROR(EA79/DU79),"-",EA79/DU79-1)</f>
        <v>1.5057001505700107E-2</v>
      </c>
      <c r="EB215" s="116">
        <f>IF(ISERROR(EB79/DV79),"-",EB79/DV79-1)</f>
        <v>3.4750613246116169E-2</v>
      </c>
      <c r="EC215" s="116">
        <f>IF(ISERROR(EC79/DW79),"-",EC79/DW79-1)</f>
        <v>1.5411783592871986E-2</v>
      </c>
      <c r="ED215" s="90"/>
      <c r="EE215" s="116">
        <f>IF(ISERROR(EE79/DY79),"-",EE79/DY79-1)</f>
        <v>3.6066961435524236E-2</v>
      </c>
      <c r="EF215" s="116">
        <f>IF(ISERROR(EF79/DZ79),"-",EF79/DZ79-1)</f>
        <v>1.8202860006786503E-2</v>
      </c>
      <c r="EG215" s="116">
        <f>IF(ISERROR(EG79/EA79),"-",EG79/EA79-1)</f>
        <v>4.664347767713739E-3</v>
      </c>
      <c r="EH215" s="116">
        <f>IF(ISERROR(EH79/EB79),"-",EH79/EB79-1)</f>
        <v>1.5170190527064031E-2</v>
      </c>
      <c r="EI215" s="116">
        <f>IF(ISERROR(EI79/EC79),"-",EI79/EC79-1)</f>
        <v>1.8316126617948125E-2</v>
      </c>
      <c r="EJ215" s="90"/>
      <c r="EK215" s="116">
        <f>IF(ISERROR(EK79/EE79),"-",EK79/EE79-1)</f>
        <v>-7.9868201631931868E-3</v>
      </c>
      <c r="EL215" s="116">
        <f>IF(ISERROR(EL79/EF79),"-",EL79/EF79-1)</f>
        <v>-2.3499007755551915E-2</v>
      </c>
      <c r="EM215" s="116">
        <f>IF(ISERROR(EM79/EG79),"-",EM79/EG79-1)</f>
        <v>5.6665978835859221E-3</v>
      </c>
      <c r="EN215" s="116">
        <f>IF(ISERROR(EN79/EH79),"-",EN79/EH79-1)</f>
        <v>1.2158570105236022E-2</v>
      </c>
      <c r="EO215" s="116">
        <f>IF(ISERROR(EO79/EI79),"-",EO79/EI79-1)</f>
        <v>-3.0703452019574806E-3</v>
      </c>
      <c r="EP215" s="90"/>
      <c r="EQ215" s="116">
        <f>IF(ISERROR(EQ79/EK79),"-",EQ79/EK79-1)</f>
        <v>6.2978866820077029E-2</v>
      </c>
      <c r="ER215" s="116">
        <f>IF(ISERROR(ER79/EL79),"-",ER79/EL79-1)</f>
        <v>6.8984531871909116E-2</v>
      </c>
      <c r="ES215" s="116">
        <f>IF(ISERROR(ES79/EM79),"-",ES79/EM79-1)</f>
        <v>5.6522990661834083E-2</v>
      </c>
      <c r="ET215" s="116">
        <f>IF(ISERROR(ET79/EN79),"-",ET79/EN79-1)</f>
        <v>2.8420157094436682E-2</v>
      </c>
      <c r="EU215" s="116">
        <f>IF(ISERROR(EU79/EO79),"-",EU79/EO79-1)</f>
        <v>5.3487452111649736E-2</v>
      </c>
      <c r="EV215" s="90"/>
    </row>
    <row r="216" spans="1:152">
      <c r="A216" s="22"/>
      <c r="B216" s="101"/>
      <c r="C216" s="247"/>
      <c r="D216" s="247"/>
      <c r="E216" s="247"/>
      <c r="F216" s="247"/>
      <c r="G216" s="247"/>
      <c r="H216" s="24"/>
      <c r="I216" s="247"/>
      <c r="J216" s="247"/>
      <c r="K216" s="247"/>
      <c r="L216" s="247"/>
      <c r="M216" s="247"/>
      <c r="N216" s="24"/>
      <c r="O216" s="247"/>
      <c r="P216" s="247"/>
      <c r="Q216" s="247"/>
      <c r="R216" s="247"/>
      <c r="S216" s="247"/>
      <c r="T216" s="24"/>
      <c r="U216" s="247"/>
      <c r="V216" s="247"/>
      <c r="W216" s="247"/>
      <c r="X216" s="247"/>
      <c r="Y216" s="247"/>
      <c r="Z216" s="24"/>
      <c r="AA216" s="247"/>
      <c r="AB216" s="247"/>
      <c r="AC216" s="247"/>
      <c r="AD216" s="247"/>
      <c r="AE216" s="247"/>
      <c r="AF216" s="24"/>
      <c r="AG216" s="247"/>
      <c r="AH216" s="247"/>
      <c r="AI216" s="247"/>
      <c r="AJ216" s="247"/>
      <c r="AK216" s="247"/>
      <c r="AL216" s="24"/>
      <c r="AM216" s="247"/>
      <c r="AN216" s="247"/>
      <c r="AO216" s="247"/>
      <c r="AP216" s="247"/>
      <c r="AQ216" s="247"/>
      <c r="AR216" s="24"/>
      <c r="AS216" s="247"/>
      <c r="AT216" s="247"/>
      <c r="AU216" s="247"/>
      <c r="AV216" s="247"/>
      <c r="AW216" s="247"/>
      <c r="AX216" s="24"/>
      <c r="AY216" s="247"/>
      <c r="AZ216" s="247"/>
      <c r="BA216" s="247"/>
      <c r="BB216" s="247"/>
      <c r="BC216" s="247"/>
      <c r="BD216" s="24"/>
      <c r="BE216" s="247"/>
      <c r="BF216" s="247"/>
      <c r="BG216" s="247"/>
      <c r="BH216" s="247"/>
      <c r="BI216" s="247"/>
      <c r="BJ216" s="24"/>
      <c r="BK216" s="247"/>
      <c r="BL216" s="247"/>
      <c r="BM216" s="247"/>
      <c r="BN216" s="247"/>
      <c r="BO216" s="247"/>
      <c r="BP216" s="24"/>
      <c r="BQ216" s="247"/>
      <c r="BR216" s="247"/>
      <c r="BS216" s="247"/>
      <c r="BT216" s="247"/>
      <c r="BU216" s="247"/>
      <c r="BV216" s="24"/>
      <c r="BW216" s="247"/>
      <c r="BX216" s="247"/>
      <c r="BY216" s="247"/>
      <c r="BZ216" s="247"/>
      <c r="CA216" s="247"/>
      <c r="CB216" s="24"/>
      <c r="CC216" s="247"/>
      <c r="CD216" s="247"/>
      <c r="CE216" s="247"/>
      <c r="CF216" s="247"/>
      <c r="CG216" s="247"/>
      <c r="CH216" s="24"/>
      <c r="CI216" s="247"/>
      <c r="CJ216" s="247"/>
      <c r="CK216" s="247"/>
      <c r="CL216" s="247"/>
      <c r="CM216" s="247"/>
      <c r="CN216" s="24"/>
      <c r="CO216" s="247"/>
      <c r="CP216" s="247"/>
      <c r="CQ216" s="247"/>
      <c r="CR216" s="247"/>
      <c r="CS216" s="247"/>
      <c r="CT216" s="24"/>
      <c r="CU216" s="247"/>
      <c r="CV216" s="247"/>
      <c r="CW216" s="247"/>
      <c r="CX216" s="247"/>
      <c r="CY216" s="247"/>
      <c r="CZ216" s="24"/>
      <c r="DA216" s="247"/>
      <c r="DB216" s="247"/>
      <c r="DC216" s="247"/>
      <c r="DD216" s="247"/>
      <c r="DE216" s="247"/>
      <c r="DF216" s="24"/>
      <c r="DG216" s="247"/>
      <c r="DH216" s="247"/>
      <c r="DI216" s="247"/>
      <c r="DJ216" s="247"/>
      <c r="DK216" s="247"/>
      <c r="DL216" s="24"/>
      <c r="DM216" s="247"/>
      <c r="DN216" s="247"/>
      <c r="DO216" s="247"/>
      <c r="DP216" s="247"/>
      <c r="DQ216" s="247"/>
      <c r="DR216" s="24"/>
      <c r="DS216" s="247"/>
      <c r="DT216" s="247"/>
      <c r="DU216" s="247"/>
      <c r="DV216" s="247"/>
      <c r="DW216" s="247"/>
      <c r="DX216" s="24"/>
      <c r="DY216" s="247"/>
      <c r="DZ216" s="247"/>
      <c r="EA216" s="247"/>
      <c r="EB216" s="247"/>
      <c r="EC216" s="247"/>
      <c r="ED216" s="24"/>
      <c r="EE216" s="247"/>
      <c r="EF216" s="247"/>
      <c r="EG216" s="247"/>
      <c r="EH216" s="247"/>
      <c r="EI216" s="247"/>
      <c r="EJ216" s="24"/>
      <c r="EK216" s="247"/>
      <c r="EL216" s="247"/>
      <c r="EM216" s="247"/>
      <c r="EN216" s="247"/>
      <c r="EO216" s="247"/>
      <c r="EP216" s="24"/>
      <c r="EQ216" s="247"/>
      <c r="ER216" s="247"/>
      <c r="ES216" s="247"/>
      <c r="ET216" s="247"/>
      <c r="EU216" s="247"/>
      <c r="EV216" s="24"/>
    </row>
    <row r="217" spans="1:152">
      <c r="A217" s="41" t="s">
        <v>6298</v>
      </c>
      <c r="B217" s="526"/>
      <c r="C217" s="116"/>
      <c r="D217" s="116"/>
      <c r="E217" s="116"/>
      <c r="F217" s="116"/>
      <c r="G217" s="116" t="str">
        <f>IF(ISERROR(G85/A85),"-",G85/A85-1)</f>
        <v>-</v>
      </c>
      <c r="H217" s="90"/>
      <c r="I217" s="116">
        <f>IF(ISERROR(I85/C85),"-",I85/C85-1)</f>
        <v>-0.6370106761565838</v>
      </c>
      <c r="J217" s="116">
        <f>IF(ISERROR(J85/D85),"-",J85/D85-1)</f>
        <v>0.74876847290640414</v>
      </c>
      <c r="K217" s="116">
        <f>IF(ISERROR(K85/E85),"-",K85/E85-1)</f>
        <v>3.5111111111111173</v>
      </c>
      <c r="L217" s="116">
        <f>IF(ISERROR(L85/F85),"-",L85/F85-1)</f>
        <v>6.7605633802816838</v>
      </c>
      <c r="M217" s="116">
        <f>IF(ISERROR(M85/G85),"-",M85/G85-1)</f>
        <v>1.1888544891640884</v>
      </c>
      <c r="N217" s="90"/>
      <c r="O217" s="116">
        <f>IF(ISERROR(O85/I85),"-",O85/I85-1)</f>
        <v>3.7864705882352956</v>
      </c>
      <c r="P217" s="116">
        <f>IF(ISERROR(P85/J85),"-",P85/J85-1)</f>
        <v>0.40411267605633805</v>
      </c>
      <c r="Q217" s="116">
        <f>IF(ISERROR(Q85/K85),"-",Q85/K85-1)</f>
        <v>-0.19709359605911292</v>
      </c>
      <c r="R217" s="116">
        <f>IF(ISERROR(R85/L85),"-",R85/L85-1)</f>
        <v>-0.26268602540834862</v>
      </c>
      <c r="S217" s="116">
        <f>IF(ISERROR(S85/M85),"-",S85/M85-1)</f>
        <v>0.21564356435643495</v>
      </c>
      <c r="T217" s="90"/>
      <c r="U217" s="116">
        <f>IF(ISERROR(U85/O85),"-",U85/O85-1)</f>
        <v>-0.81942566875588874</v>
      </c>
      <c r="V217" s="116">
        <f>IF(ISERROR(V85/P85),"-",V85/P85-1)</f>
        <v>-0.94894274365044362</v>
      </c>
      <c r="W217" s="116">
        <f>IF(ISERROR(W85/Q85),"-",W85/Q85-1)</f>
        <v>-0.44493527210258255</v>
      </c>
      <c r="X217" s="116">
        <f>IF(ISERROR(X85/R85),"-",X85/R85-1)</f>
        <v>-9.7105302023334672E-2</v>
      </c>
      <c r="Y217" s="116">
        <f>IF(ISERROR(Y85/S85),"-",Y85/S85-1)</f>
        <v>-0.61524678286365797</v>
      </c>
      <c r="Z217" s="90"/>
      <c r="AA217" s="116">
        <f>IF(ISERROR(AA85/U85),"-",AA85/U85-1)</f>
        <v>4.1010662431941878</v>
      </c>
      <c r="AB217" s="116">
        <f>IF(ISERROR(AB85/V85),"-",AB85/V85-1)</f>
        <v>15.216895874263347</v>
      </c>
      <c r="AC217" s="116">
        <f>IF(ISERROR(AC85/W85),"-",AC85/W85-1)</f>
        <v>0.93113739361113979</v>
      </c>
      <c r="AD217" s="116">
        <f>IF(ISERROR(AD85/X85),"-",AD85/X85-1)</f>
        <v>0.20291158910607621</v>
      </c>
      <c r="AE217" s="116">
        <f>IF(ISERROR(AE85/Y85),"-",AE85/Y85-1)</f>
        <v>1.4995312689004439</v>
      </c>
      <c r="AF217" s="90"/>
      <c r="AG217" s="116">
        <f>IF(ISERROR(AG85/AA85),"-",AG85/AA85-1)</f>
        <v>-6.8110560138756493E-2</v>
      </c>
      <c r="AH217" s="116">
        <f>IF(ISERROR(AH85/AB85),"-",AH85/AB85-1)</f>
        <v>-0.16805582477224346</v>
      </c>
      <c r="AI217" s="116">
        <f>IF(ISERROR(AI85/AC85),"-",AI85/AC85-1)</f>
        <v>-0.27537061416060937</v>
      </c>
      <c r="AJ217" s="116">
        <f>IF(ISERROR(AJ85/AD85),"-",AJ85/AD85-1)</f>
        <v>0.15907442661590143</v>
      </c>
      <c r="AK217" s="116">
        <f>IF(ISERROR(AK85/AE85),"-",AK85/AE85-1)</f>
        <v>-7.6232993968869622E-2</v>
      </c>
      <c r="AL217" s="90"/>
      <c r="AM217" s="116">
        <f>IF(ISERROR(AM85/AG85),"-",AM85/AG85-1)</f>
        <v>-0.45762145652381314</v>
      </c>
      <c r="AN217" s="116">
        <f>IF(ISERROR(AN85/AH85),"-",AN85/AH85-1)</f>
        <v>-0.58853681267474312</v>
      </c>
      <c r="AO217" s="116">
        <f>IF(ISERROR(AO85/AI85),"-",AO85/AI85-1)</f>
        <v>-0.7851105845181684</v>
      </c>
      <c r="AP217" s="116">
        <f>IF(ISERROR(AP85/AJ85),"-",AP85/AJ85-1)</f>
        <v>-0.83282169602878198</v>
      </c>
      <c r="AQ217" s="116">
        <f>IF(ISERROR(AQ85/AK85),"-",AQ85/AK85-1)</f>
        <v>-0.66701591937501226</v>
      </c>
      <c r="AR217" s="90"/>
      <c r="AS217" s="116">
        <f>IF(ISERROR(AS85/AM85),"-",AS85/AM85-1)</f>
        <v>-0.70932688077430739</v>
      </c>
      <c r="AT217" s="116">
        <f>IF(ISERROR(AT85/AN85),"-",AT85/AN85-1)</f>
        <v>-1.3236126840319939E-2</v>
      </c>
      <c r="AU217" s="116">
        <f>IF(ISERROR(AU85/AO85),"-",AU85/AO85-1)</f>
        <v>4.1350854622312312</v>
      </c>
      <c r="AV217" s="116">
        <f>IF(ISERROR(AV85/AP85),"-",AV85/AP85-1)</f>
        <v>6.1265497076023383</v>
      </c>
      <c r="AW217" s="116">
        <f>IF(ISERROR(AW85/AQ85),"-",AW85/AQ85-1)</f>
        <v>1.1518613935377289</v>
      </c>
      <c r="AX217" s="90"/>
      <c r="AY217" s="116">
        <f>IF(ISERROR(AY85/AS85),"-",AY85/AS85-1)</f>
        <v>8.5202058422884885</v>
      </c>
      <c r="AZ217" s="116">
        <f>IF(ISERROR(AZ85/AT85),"-",AZ85/AT85-1)</f>
        <v>2.9021590990603334</v>
      </c>
      <c r="BA217" s="116">
        <f>IF(ISERROR(BA85/AU85),"-",BA85/AU85-1)</f>
        <v>1.0794559770937724</v>
      </c>
      <c r="BB217" s="116">
        <f>IF(ISERROR(BB85/AV85),"-",BB85/AV85-1)</f>
        <v>0.49839164970786842</v>
      </c>
      <c r="BC217" s="116">
        <f>IF(ISERROR(BC85/AW85),"-",BC85/AW85-1)</f>
        <v>1.437397185158106</v>
      </c>
      <c r="BD217" s="90"/>
      <c r="BE217" s="116">
        <f>IF(ISERROR(BE85/AY85),"-",BE85/AY85-1)</f>
        <v>0.50397456279809094</v>
      </c>
      <c r="BF217" s="116">
        <f>IF(ISERROR(BF85/AZ85),"-",BF85/AZ85-1)</f>
        <v>0.70404411764705799</v>
      </c>
      <c r="BG217" s="116">
        <f>IF(ISERROR(BG85/BA85),"-",BG85/BA85-1)</f>
        <v>0.65748709122203142</v>
      </c>
      <c r="BH217" s="116">
        <f>IF(ISERROR(BH85/BB85),"-",BH85/BB85-1)</f>
        <v>0.19167579408543345</v>
      </c>
      <c r="BI217" s="116">
        <f>IF(ISERROR(BI85/BC85),"-",BI85/BC85-1)</f>
        <v>0.47131608548931281</v>
      </c>
      <c r="BJ217" s="90"/>
      <c r="BK217" s="116">
        <f>IF(ISERROR(BK85/BE85),"-",BK85/BE85-1)</f>
        <v>6.5243128964059593E-2</v>
      </c>
      <c r="BL217" s="116">
        <f>IF(ISERROR(BL85/BF85),"-",BL85/BF85-1)</f>
        <v>0.23624595469255749</v>
      </c>
      <c r="BM217" s="116">
        <f>IF(ISERROR(BM85/BG85),"-",BM85/BG85-1)</f>
        <v>0.10488058151609514</v>
      </c>
      <c r="BN217" s="116">
        <f>IF(ISERROR(BN85/BH85),"-",BN85/BH85-1)</f>
        <v>0.30055147058823506</v>
      </c>
      <c r="BO217" s="116">
        <f>IF(ISERROR(BO85/BI85),"-",BO85/BI85-1)</f>
        <v>0.18061162079510695</v>
      </c>
      <c r="BP217" s="90"/>
      <c r="BQ217" s="116">
        <f>IF(ISERROR(BQ85/BK85),"-",BQ85/BK85-1)</f>
        <v>0.31187234549279608</v>
      </c>
      <c r="BR217" s="116">
        <f>IF(ISERROR(BR85/BL85),"-",BR85/BL85-1)</f>
        <v>0.2277486910994766</v>
      </c>
      <c r="BS217" s="116">
        <f>IF(ISERROR(BS85/BM85),"-",BS85/BM85-1)</f>
        <v>0.4172932330827066</v>
      </c>
      <c r="BT217" s="116">
        <f>IF(ISERROR(BT85/BN85),"-",BT85/BN85-1)</f>
        <v>0.13498233215547728</v>
      </c>
      <c r="BU217" s="116">
        <f>IF(ISERROR(BU85/BO85),"-",BU85/BO85-1)</f>
        <v>0.26124609300799539</v>
      </c>
      <c r="BV217" s="90"/>
      <c r="BW217" s="116">
        <f>IF(ISERROR(BW85/BQ85),"-",BW85/BQ85-1)</f>
        <v>0.14674735249621684</v>
      </c>
      <c r="BX217" s="116">
        <f>IF(ISERROR(BX85/BR85),"-",BX85/BR85-1)</f>
        <v>0.2117981520966592</v>
      </c>
      <c r="BY217" s="116">
        <f>IF(ISERROR(BY85/BS85),"-",BY85/BS85-1)</f>
        <v>0.17307692307692402</v>
      </c>
      <c r="BZ217" s="116">
        <f>IF(ISERROR(BZ85/BT85),"-",BZ85/BT85-1)</f>
        <v>-0.51618929016189297</v>
      </c>
      <c r="CA217" s="116">
        <f>IF(ISERROR(CA85/BU85),"-",CA85/BU85-1)</f>
        <v>-1.3007016943350824E-2</v>
      </c>
      <c r="CB217" s="90"/>
      <c r="CC217" s="116">
        <f>IF(ISERROR(CC85/BW85),"-",CC85/BW85-1)</f>
        <v>-0.6319261213720313</v>
      </c>
      <c r="CD217" s="116">
        <f>IF(ISERROR(CD85/BX85),"-",CD85/BX85-1)</f>
        <v>-0.61700879765395922</v>
      </c>
      <c r="CE217" s="116">
        <f>IF(ISERROR(CE85/BY85),"-",CE85/BY85-1)</f>
        <v>-0.56698699830412702</v>
      </c>
      <c r="CF217" s="116">
        <f>IF(ISERROR(CF85/BZ85),"-",CF85/BZ85-1)</f>
        <v>0.14543114543114477</v>
      </c>
      <c r="CG217" s="116">
        <f>IF(ISERROR(CG85/CA85),"-",CG85/CA85-1)</f>
        <v>-0.50286110629443415</v>
      </c>
      <c r="CH217" s="90"/>
      <c r="CI217" s="116">
        <f>IF(ISERROR(CI85/CC85),"-",CI85/CC85-1)</f>
        <v>0.72222222222222232</v>
      </c>
      <c r="CJ217" s="116">
        <f>IF(ISERROR(CJ85/CD85),"-",CJ85/CD85-1)</f>
        <v>0.7810107197549776</v>
      </c>
      <c r="CK217" s="116">
        <f>IF(ISERROR(CK85/CE85),"-",CK85/CE85-1)</f>
        <v>0.30939947780678856</v>
      </c>
      <c r="CL217" s="116">
        <f>IF(ISERROR(CL85/CF85),"-",CL85/CF85-1)</f>
        <v>0.19213483146067523</v>
      </c>
      <c r="CM217" s="116">
        <f>IF(ISERROR(CM85/CG85),"-",CM85/CG85-1)</f>
        <v>0.4607603767003845</v>
      </c>
      <c r="CN217" s="90"/>
      <c r="CO217" s="116">
        <f>IF(ISERROR(CO85/CI85),"-",CO85/CI85-1)</f>
        <v>0.23933402705515028</v>
      </c>
      <c r="CP217" s="116">
        <f>IF(ISERROR(CP85/CJ85),"-",CP85/CJ85-1)</f>
        <v>0.1934651762682722</v>
      </c>
      <c r="CQ217" s="116">
        <f>IF(ISERROR(CQ85/CK85),"-",CQ85/CK85-1)</f>
        <v>0.34695912263210338</v>
      </c>
      <c r="CR217" s="116">
        <f>IF(ISERROR(CR85/CL85),"-",CR85/CL85-1)</f>
        <v>0.323279924599434</v>
      </c>
      <c r="CS217" s="116">
        <f>IF(ISERROR(CS85/CM85),"-",CS85/CM85-1)</f>
        <v>0.27363896848137581</v>
      </c>
      <c r="CT217" s="90"/>
      <c r="CU217" s="116">
        <f>IF(ISERROR(CU85/CO85),"-",CU85/CO85-1)</f>
        <v>0.21746431570109181</v>
      </c>
      <c r="CV217" s="116">
        <f>IF(ISERROR(CV85/CP85),"-",CV85/CP85-1)</f>
        <v>3.8904899135446591E-2</v>
      </c>
      <c r="CW217" s="116">
        <f>IF(ISERROR(CW85/CQ85),"-",CW85/CQ85-1)</f>
        <v>7.3279052553664625E-2</v>
      </c>
      <c r="CX217" s="116">
        <f>IF(ISERROR(CX85/CR85),"-",CX85/CR85-1)</f>
        <v>8.5470085470085166E-2</v>
      </c>
      <c r="CY217" s="116">
        <f>IF(ISERROR(CY85/CS85),"-",CY85/CS85-1)</f>
        <v>9.9737532808398699E-2</v>
      </c>
      <c r="CZ217" s="90"/>
      <c r="DA217" s="116">
        <f>IF(ISERROR(DA85/CU85),"-",DA85/CU85-1)</f>
        <v>-5.5862068965517819E-2</v>
      </c>
      <c r="DB217" s="116">
        <f>IF(ISERROR(DB85/CV85),"-",DB85/CV85-1)</f>
        <v>-5.2704576976421058E-2</v>
      </c>
      <c r="DC217" s="116">
        <f>IF(ISERROR(DC85/CW85),"-",DC85/CW85-1)</f>
        <v>-0.15655172413793095</v>
      </c>
      <c r="DD217" s="116">
        <f>IF(ISERROR(DD85/CX85),"-",DD85/CX85-1)</f>
        <v>-0.24737532808399032</v>
      </c>
      <c r="DE217" s="116">
        <f>IF(ISERROR(DE85/CY85),"-",DE85/CY85-1)</f>
        <v>-0.12973065121036464</v>
      </c>
      <c r="DF217" s="90"/>
      <c r="DG217" s="116">
        <f>IF(ISERROR(DG85/DA85),"-",DG85/DA85-1)</f>
        <v>-0.25493060628195718</v>
      </c>
      <c r="DH217" s="116">
        <f>IF(ISERROR(DH85/DB85),"-",DH85/DB85-1)</f>
        <v>-0.15739385065885914</v>
      </c>
      <c r="DI217" s="116">
        <f>IF(ISERROR(DI85/DC85),"-",DI85/DC85-1)</f>
        <v>-0.34341782502044149</v>
      </c>
      <c r="DJ217" s="116">
        <f>IF(ISERROR(DJ85/DD85),"-",DJ85/DD85-1)</f>
        <v>-0.25893635571054807</v>
      </c>
      <c r="DK217" s="116">
        <f>IF(ISERROR(DK85/DE85),"-",DK85/DE85-1)</f>
        <v>-0.25093046033300714</v>
      </c>
      <c r="DL217" s="90"/>
      <c r="DM217" s="116">
        <f>IF(ISERROR(DM85/DG85),"-",DM85/DG85-1)</f>
        <v>-7.7450980392156588E-2</v>
      </c>
      <c r="DN217" s="116">
        <f>IF(ISERROR(DN85/DH85),"-",DN85/DH85-1)</f>
        <v>-0.43353605560382191</v>
      </c>
      <c r="DO217" s="116">
        <f>IF(ISERROR(DO85/DI85),"-",DO85/DI85-1)</f>
        <v>-0.31382316313823289</v>
      </c>
      <c r="DP217" s="116">
        <f>IF(ISERROR(DP85/DJ85),"-",DP85/DJ85-1)</f>
        <v>-0.22000000000000053</v>
      </c>
      <c r="DQ217" s="116">
        <f>IF(ISERROR(DQ85/DK85),"-",DQ85/DK85-1)</f>
        <v>-0.26595188284518845</v>
      </c>
      <c r="DR217" s="90"/>
      <c r="DS217" s="116">
        <f>IF(ISERROR(DS85/DM85),"-",DS85/DM85-1)</f>
        <v>-1.2869287991498406</v>
      </c>
      <c r="DT217" s="116">
        <f>IF(ISERROR(DT85/DN85),"-",DT85/DN85-1)</f>
        <v>-0.60276073619631876</v>
      </c>
      <c r="DU217" s="116">
        <f>IF(ISERROR(DU85/DO85),"-",DU85/DO85-1)</f>
        <v>-1.7785843920145199</v>
      </c>
      <c r="DV217" s="116">
        <f>IF(ISERROR(DV85/DP85),"-",DV85/DP85-1)</f>
        <v>-2.229260935143289</v>
      </c>
      <c r="DW217" s="116">
        <f>IF(ISERROR(DW85/DQ85),"-",DW85/DQ85-1)</f>
        <v>-1.4470965443534025</v>
      </c>
      <c r="DX217" s="90"/>
      <c r="DY217" s="116">
        <f>IF(ISERROR(DY85/DS85),"-",DY85/DS85-1)</f>
        <v>0.4629629629629608</v>
      </c>
      <c r="DZ217" s="116">
        <f>IF(ISERROR(DZ85/DT85),"-",DZ85/DT85-1)</f>
        <v>-2.1119691119691133</v>
      </c>
      <c r="EA217" s="116">
        <f>IF(ISERROR(EA85/DU85),"-",EA85/DU85-1)</f>
        <v>-0.38927738927738786</v>
      </c>
      <c r="EB217" s="116">
        <f>IF(ISERROR(EB85/DV85),"-",EB85/DV85-1)</f>
        <v>-0.78527607361963114</v>
      </c>
      <c r="EC217" s="116">
        <f>IF(ISERROR(EC85/DW85),"-",EC85/DW85-1)</f>
        <v>-0.1075697211155342</v>
      </c>
      <c r="ED217" s="90"/>
      <c r="EE217" s="116">
        <f>IF(ISERROR(EE85/DY85),"-",EE85/DY85-1)</f>
        <v>-1.6567460332614421</v>
      </c>
      <c r="EF217" s="116">
        <f>IF(ISERROR(EF85/DZ85),"-",EF85/DZ85-1)</f>
        <v>-3.132696171208655</v>
      </c>
      <c r="EG217" s="116">
        <f>IF(ISERROR(EG85/EA85),"-",EG85/EA85-1)</f>
        <v>-4.6951589841768335</v>
      </c>
      <c r="EH217" s="116">
        <f>IF(ISERROR(EH85/EB85),"-",EH85/EB85-1)</f>
        <v>-8.2015898457919931</v>
      </c>
      <c r="EI217" s="116">
        <f>IF(ISERROR(EI85/EC85),"-",EI85/EC85-1)</f>
        <v>-3.7696795154591851</v>
      </c>
      <c r="EJ217" s="90"/>
      <c r="EK217" s="116">
        <f>IF(ISERROR(EK85/EE85),"-",EK85/EE85-1)</f>
        <v>4.9735871647536802</v>
      </c>
      <c r="EL217" s="116">
        <f>IF(ISERROR(EL85/EF85),"-",EL85/EF85-1)</f>
        <v>2.2803556709371025</v>
      </c>
      <c r="EM217" s="116">
        <f>IF(ISERROR(EM85/EG85),"-",EM85/EG85-1)</f>
        <v>1.4347614151379076</v>
      </c>
      <c r="EN217" s="116">
        <f>IF(ISERROR(EN85/EH85),"-",EN85/EH85-1)</f>
        <v>1.3258762334455167</v>
      </c>
      <c r="EO217" s="116">
        <f>IF(ISERROR(EO85/EI85),"-",EO85/EI85-1)</f>
        <v>1.8538969633594444</v>
      </c>
      <c r="EP217" s="90"/>
      <c r="EQ217" s="116">
        <f>IF(ISERROR(EQ85/EK85),"-",EQ85/EK85-1)</f>
        <v>0.24813624624126862</v>
      </c>
      <c r="ER217" s="116">
        <f>IF(ISERROR(ER85/EL85),"-",ER85/EL85-1)</f>
        <v>0.43660623039139135</v>
      </c>
      <c r="ES217" s="116">
        <f>IF(ISERROR(ES85/EM85),"-",ES85/EM85-1)</f>
        <v>0.57935557301960117</v>
      </c>
      <c r="ET217" s="116">
        <f>IF(ISERROR(ET85/EN85),"-",ET85/EN85-1)</f>
        <v>0.69876576652399125</v>
      </c>
      <c r="EU217" s="116">
        <f>IF(ISERROR(EU85/EO85),"-",EU85/EO85-1)</f>
        <v>0.52842692555987347</v>
      </c>
      <c r="EV217" s="90"/>
    </row>
    <row r="218" spans="1:152">
      <c r="A218" s="41" t="s">
        <v>6299</v>
      </c>
      <c r="B218" s="526"/>
      <c r="C218" s="116"/>
      <c r="D218" s="116"/>
      <c r="E218" s="116"/>
      <c r="F218" s="116"/>
      <c r="G218" s="116" t="str">
        <f>IF(ISERROR(G105/A105),"-",G105/A105-1)</f>
        <v>-</v>
      </c>
      <c r="H218" s="90"/>
      <c r="I218" s="116">
        <f>IF(ISERROR(I105/C105),"-",I105/C105-1)</f>
        <v>-0.57368421052631602</v>
      </c>
      <c r="J218" s="116">
        <f>IF(ISERROR(J105/D105),"-",J105/D105-1)</f>
        <v>0.76811594202898603</v>
      </c>
      <c r="K218" s="116">
        <f>IF(ISERROR(K105/E105),"-",K105/E105-1)</f>
        <v>2.8243243243243312</v>
      </c>
      <c r="L218" s="116">
        <f>IF(ISERROR(L105/F105),"-",L105/F105-1)</f>
        <v>5.2166666666666623</v>
      </c>
      <c r="M218" s="116">
        <f>IF(ISERROR(M105/G105),"-",M105/G105-1)</f>
        <v>1.1120689655172438</v>
      </c>
      <c r="N218" s="90"/>
      <c r="O218" s="116">
        <f>IF(ISERROR(O105/I105),"-",O105/I105-1)</f>
        <v>3.1592592592592608</v>
      </c>
      <c r="P218" s="116">
        <f>IF(ISERROR(P105/J105),"-",P105/J105-1)</f>
        <v>0.57327868852459041</v>
      </c>
      <c r="Q218" s="116">
        <f>IF(ISERROR(Q105/K105),"-",Q105/K105-1)</f>
        <v>-0.15176678445229619</v>
      </c>
      <c r="R218" s="116">
        <f>IF(ISERROR(R105/L105),"-",R105/L105-1)</f>
        <v>-0.22525469168900847</v>
      </c>
      <c r="S218" s="116">
        <f>IF(ISERROR(S105/M105),"-",S105/M105-1)</f>
        <v>0.27531632653061111</v>
      </c>
      <c r="T218" s="90"/>
      <c r="U218" s="116">
        <f>IF(ISERROR(U105/O105),"-",U105/O105-1)</f>
        <v>-0.73131493024636396</v>
      </c>
      <c r="V218" s="116">
        <f>IF(ISERROR(V105/P105),"-",V105/P105-1)</f>
        <v>-0.85182869646764647</v>
      </c>
      <c r="W218" s="116">
        <f>IF(ISERROR(W105/Q105),"-",W105/Q105-1)</f>
        <v>-0.3051614247031863</v>
      </c>
      <c r="X218" s="116">
        <f>IF(ISERROR(X105/R105),"-",X105/R105-1)</f>
        <v>1.2838258703024685E-2</v>
      </c>
      <c r="Y218" s="116">
        <f>IF(ISERROR(Y105/S105),"-",Y105/S105-1)</f>
        <v>-0.51442539265968357</v>
      </c>
      <c r="Z218" s="90"/>
      <c r="AA218" s="116">
        <f>IF(ISERROR(AA105/U105),"-",AA105/U105-1)</f>
        <v>2.3319708351745434</v>
      </c>
      <c r="AB218" s="116">
        <f>IF(ISERROR(AB105/V105),"-",AB105/V105-1)</f>
        <v>3.4528832630098591</v>
      </c>
      <c r="AC218" s="116">
        <f>IF(ISERROR(AC105/W105),"-",AC105/W105-1)</f>
        <v>0.31040312717331209</v>
      </c>
      <c r="AD218" s="116">
        <f>IF(ISERROR(AD105/X105),"-",AD105/X105-1)</f>
        <v>9.532269636817059E-2</v>
      </c>
      <c r="AE218" s="116">
        <f>IF(ISERROR(AE105/Y105),"-",AE105/Y105-1)</f>
        <v>0.80275707063716206</v>
      </c>
      <c r="AF218" s="90"/>
      <c r="AG218" s="116">
        <f>IF(ISERROR(AG105/AA105),"-",AG105/AA105-1)</f>
        <v>4.6616491495639512E-2</v>
      </c>
      <c r="AH218" s="116">
        <f>IF(ISERROR(AH105/AB105),"-",AH105/AB105-1)</f>
        <v>0.17008843967150833</v>
      </c>
      <c r="AI218" s="116">
        <f>IF(ISERROR(AI105/AC105),"-",AI105/AC105-1)</f>
        <v>-5.0601637919202802E-2</v>
      </c>
      <c r="AJ218" s="116">
        <f>IF(ISERROR(AJ105/AD105),"-",AJ105/AD105-1)</f>
        <v>0.15480832215602569</v>
      </c>
      <c r="AK218" s="116">
        <f>IF(ISERROR(AK105/AE105),"-",AK105/AE105-1)</f>
        <v>8.748229057173007E-2</v>
      </c>
      <c r="AL218" s="90"/>
      <c r="AM218" s="116">
        <f>IF(ISERROR(AM105/AG105),"-",AM105/AG105-1)</f>
        <v>-0.40722906833085049</v>
      </c>
      <c r="AN218" s="116">
        <f>IF(ISERROR(AN105/AH105),"-",AN105/AH105-1)</f>
        <v>-0.51160750438655622</v>
      </c>
      <c r="AO218" s="116">
        <f>IF(ISERROR(AO105/AI105),"-",AO105/AI105-1)</f>
        <v>-0.72136282588791012</v>
      </c>
      <c r="AP218" s="116">
        <f>IF(ISERROR(AP105/AJ105),"-",AP105/AJ105-1)</f>
        <v>-0.78583004699908154</v>
      </c>
      <c r="AQ218" s="116">
        <f>IF(ISERROR(AQ105/AK105),"-",AQ105/AK105-1)</f>
        <v>-0.6058280661646045</v>
      </c>
      <c r="AR218" s="90"/>
      <c r="AS218" s="116">
        <f>IF(ISERROR(AS105/AM105),"-",AS105/AM105-1)</f>
        <v>-0.59876015391192861</v>
      </c>
      <c r="AT218" s="116">
        <f>IF(ISERROR(AT105/AN105),"-",AT105/AN105-1)</f>
        <v>-0.10681221500622073</v>
      </c>
      <c r="AU218" s="116">
        <f>IF(ISERROR(AU105/AO105),"-",AU105/AO105-1)</f>
        <v>2.90971982013146</v>
      </c>
      <c r="AV218" s="116">
        <f>IF(ISERROR(AV105/AP105),"-",AV105/AP105-1)</f>
        <v>5.6849539664522633</v>
      </c>
      <c r="AW218" s="116">
        <f>IF(ISERROR(AW105/AQ105),"-",AW105/AQ105-1)</f>
        <v>1.0480414525449384</v>
      </c>
      <c r="AX218" s="90"/>
      <c r="AY218" s="116">
        <f>IF(ISERROR(AY105/AS105),"-",AY105/AS105-1)</f>
        <v>5.9014384656366587</v>
      </c>
      <c r="AZ218" s="116">
        <f>IF(ISERROR(AZ105/AT105),"-",AZ105/AT105-1)</f>
        <v>2.527227722772285</v>
      </c>
      <c r="BA218" s="116">
        <f>IF(ISERROR(BA105/AU105),"-",BA105/AU105-1)</f>
        <v>1.1366009024152879</v>
      </c>
      <c r="BB218" s="116">
        <f>IF(ISERROR(BB105/AV105),"-",BB105/AV105-1)</f>
        <v>0.43194038298273463</v>
      </c>
      <c r="BC218" s="116">
        <f>IF(ISERROR(BC105/AW105),"-",BC105/AW105-1)</f>
        <v>1.3073703499328451</v>
      </c>
      <c r="BD218" s="90"/>
      <c r="BE218" s="116">
        <f>IF(ISERROR(BE105/AY105),"-",BE105/AY105-1)</f>
        <v>0.49181719932067169</v>
      </c>
      <c r="BF218" s="116">
        <f>IF(ISERROR(BF105/AZ105),"-",BF105/AZ105-1)</f>
        <v>0.66008771929824439</v>
      </c>
      <c r="BG218" s="116">
        <f>IF(ISERROR(BG105/BA105),"-",BG105/BA105-1)</f>
        <v>0.63561076604554922</v>
      </c>
      <c r="BH218" s="116">
        <f>IF(ISERROR(BH105/BB105),"-",BH105/BB105-1)</f>
        <v>0.2239789196310944</v>
      </c>
      <c r="BI218" s="116">
        <f>IF(ISERROR(BI105/BC105),"-",BI105/BC105-1)</f>
        <v>0.46604938271604834</v>
      </c>
      <c r="BJ218" s="90"/>
      <c r="BK218" s="116">
        <f>IF(ISERROR(BK105/BE105),"-",BK105/BE105-1)</f>
        <v>3.4566623544631581E-2</v>
      </c>
      <c r="BL218" s="116">
        <f>IF(ISERROR(BL105/BF105),"-",BL105/BF105-1)</f>
        <v>0.26420079260237861</v>
      </c>
      <c r="BM218" s="116">
        <f>IF(ISERROR(BM105/BG105),"-",BM105/BG105-1)</f>
        <v>9.2405063291138845E-2</v>
      </c>
      <c r="BN218" s="116">
        <f>IF(ISERROR(BN105/BH105),"-",BN105/BH105-1)</f>
        <v>0.21313240043057036</v>
      </c>
      <c r="BO218" s="116">
        <f>IF(ISERROR(BO105/BI105),"-",BO105/BI105-1)</f>
        <v>0.1531917513080947</v>
      </c>
      <c r="BP218" s="90"/>
      <c r="BQ218" s="116">
        <f>IF(ISERROR(BQ105/BK105),"-",BQ105/BK105-1)</f>
        <v>0.33546741359475885</v>
      </c>
      <c r="BR218" s="116">
        <f>IF(ISERROR(BR105/BL105),"-",BR105/BL105-1)</f>
        <v>0.13270637408568464</v>
      </c>
      <c r="BS218" s="116">
        <f>IF(ISERROR(BS105/BM105),"-",BS105/BM105-1)</f>
        <v>0.35689455388180757</v>
      </c>
      <c r="BT218" s="116">
        <f>IF(ISERROR(BT105/BN105),"-",BT105/BN105-1)</f>
        <v>0.10204081632653095</v>
      </c>
      <c r="BU218" s="116">
        <f>IF(ISERROR(BU105/BO105),"-",BU105/BO105-1)</f>
        <v>0.21839902634837971</v>
      </c>
      <c r="BV218" s="90"/>
      <c r="BW218" s="116">
        <f>IF(ISERROR(BW105/BQ105),"-",BW105/BQ105-1)</f>
        <v>9.7378277153556514E-2</v>
      </c>
      <c r="BX218" s="116">
        <f>IF(ISERROR(BX105/BR105),"-",BX105/BR105-1)</f>
        <v>0.20202952029520249</v>
      </c>
      <c r="BY218" s="116">
        <f>IF(ISERROR(BY105/BS105),"-",BY105/BS105-1)</f>
        <v>0.11016225448334871</v>
      </c>
      <c r="BZ218" s="116">
        <f>IF(ISERROR(BZ105/BT105),"-",BZ105/BT105-1)</f>
        <v>-0.4339774557165863</v>
      </c>
      <c r="CA218" s="116">
        <f>IF(ISERROR(CA105/BU105),"-",CA105/BU105-1)</f>
        <v>-1.905805038335151E-2</v>
      </c>
      <c r="CB218" s="90"/>
      <c r="CC218" s="116">
        <f>IF(ISERROR(CC105/BW105),"-",CC105/BW105-1)</f>
        <v>-0.64249146757679143</v>
      </c>
      <c r="CD218" s="116">
        <f>IF(ISERROR(CD105/BX105),"-",CD105/BX105-1)</f>
        <v>-0.56485034535686918</v>
      </c>
      <c r="CE218" s="116">
        <f>IF(ISERROR(CE105/BY105),"-",CE105/BY105-1)</f>
        <v>-0.51461538461538514</v>
      </c>
      <c r="CF218" s="116">
        <f>IF(ISERROR(CF105/BZ105),"-",CF105/BZ105-1)</f>
        <v>-5.6899004267434439E-3</v>
      </c>
      <c r="CG218" s="116">
        <f>IF(ISERROR(CG105/CA105),"-",CG105/CA105-1)</f>
        <v>-0.48280482358195675</v>
      </c>
      <c r="CH218" s="90"/>
      <c r="CI218" s="116">
        <f>IF(ISERROR(CI105/CC105),"-",CI105/CC105-1)</f>
        <v>0.61575178997613356</v>
      </c>
      <c r="CJ218" s="116">
        <f>IF(ISERROR(CJ105/CD105),"-",CJ105/CD105-1)</f>
        <v>0.49911816578483248</v>
      </c>
      <c r="CK218" s="116">
        <f>IF(ISERROR(CK105/CE105),"-",CK105/CE105-1)</f>
        <v>0.18858954041204434</v>
      </c>
      <c r="CL218" s="116">
        <f>IF(ISERROR(CL105/CF105),"-",CL105/CF105-1)</f>
        <v>0.18311874105865678</v>
      </c>
      <c r="CM218" s="116">
        <f>IF(ISERROR(CM105/CG105),"-",CM105/CG105-1)</f>
        <v>0.34024179620034656</v>
      </c>
      <c r="CN218" s="90"/>
      <c r="CO218" s="116">
        <f>IF(ISERROR(CO105/CI105),"-",CO105/CI105-1)</f>
        <v>0.3840472673559816</v>
      </c>
      <c r="CP218" s="116">
        <f>IF(ISERROR(CP105/CJ105),"-",CP105/CJ105-1)</f>
        <v>0.21764705882353019</v>
      </c>
      <c r="CQ218" s="116">
        <f>IF(ISERROR(CQ105/CK105),"-",CQ105/CK105-1)</f>
        <v>0.36133333333333284</v>
      </c>
      <c r="CR218" s="116">
        <f>IF(ISERROR(CR105/CL105),"-",CR105/CL105-1)</f>
        <v>0.28295042321644415</v>
      </c>
      <c r="CS218" s="116">
        <f>IF(ISERROR(CS105/CM105),"-",CS105/CM105-1)</f>
        <v>0.30605670103092764</v>
      </c>
      <c r="CT218" s="90"/>
      <c r="CU218" s="116">
        <f>IF(ISERROR(CU105/CO105),"-",CU105/CO105-1)</f>
        <v>0.17289220917822878</v>
      </c>
      <c r="CV218" s="116">
        <f>IF(ISERROR(CV105/CP105),"-",CV105/CP105-1)</f>
        <v>7.6328502415458743E-2</v>
      </c>
      <c r="CW218" s="116">
        <f>IF(ISERROR(CW105/CQ105),"-",CW105/CQ105-1)</f>
        <v>5.5827619980412413E-2</v>
      </c>
      <c r="CX218" s="116">
        <f>IF(ISERROR(CX105/CR105),"-",CX105/CR105-1)</f>
        <v>0.1394910461828458</v>
      </c>
      <c r="CY218" s="116">
        <f>IF(ISERROR(CY105/CS105),"-",CY105/CS105-1)</f>
        <v>0.110014800197336</v>
      </c>
      <c r="CZ218" s="90"/>
      <c r="DA218" s="116">
        <f>IF(ISERROR(DA105/CU105),"-",DA105/CU105-1)</f>
        <v>-0.12374886260236651</v>
      </c>
      <c r="DB218" s="116">
        <f>IF(ISERROR(DB105/CV105),"-",DB105/CV105-1)</f>
        <v>-8.6175942549370665E-2</v>
      </c>
      <c r="DC218" s="116">
        <f>IF(ISERROR(DC105/CW105),"-",DC105/CW105-1)</f>
        <v>-0.12523191094619668</v>
      </c>
      <c r="DD218" s="116">
        <f>IF(ISERROR(DD105/CX105),"-",DD105/CX105-1)</f>
        <v>-0.22911497105045586</v>
      </c>
      <c r="DE218" s="116">
        <f>IF(ISERROR(DE105/CY105),"-",DE105/CY105-1)</f>
        <v>-0.1431111111111113</v>
      </c>
      <c r="DF218" s="90"/>
      <c r="DG218" s="116">
        <f>IF(ISERROR(DG105/DA105),"-",DG105/DA105-1)</f>
        <v>-0.23364485981308358</v>
      </c>
      <c r="DH218" s="116">
        <f>IF(ISERROR(DH105/DB105),"-",DH105/DB105-1)</f>
        <v>-0.19449901768173039</v>
      </c>
      <c r="DI218" s="116">
        <f>IF(ISERROR(DI105/DC105),"-",DI105/DC105-1)</f>
        <v>-0.38812301166489915</v>
      </c>
      <c r="DJ218" s="116">
        <f>IF(ISERROR(DJ105/DD105),"-",DJ105/DD105-1)</f>
        <v>-0.36909871244635073</v>
      </c>
      <c r="DK218" s="116">
        <f>IF(ISERROR(DK105/DE105),"-",DK105/DE105-1)</f>
        <v>-0.29382780082987547</v>
      </c>
      <c r="DL218" s="90"/>
      <c r="DM218" s="116">
        <f>IF(ISERROR(DM105/DG105),"-",DM105/DG105-1)</f>
        <v>-6.3685636856368188E-2</v>
      </c>
      <c r="DN218" s="116">
        <f>IF(ISERROR(DN105/DH105),"-",DN105/DH105-1)</f>
        <v>-0.46341463414634032</v>
      </c>
      <c r="DO218" s="116">
        <f>IF(ISERROR(DO105/DI105),"-",DO105/DI105-1)</f>
        <v>-0.42634315424610225</v>
      </c>
      <c r="DP218" s="116">
        <f>IF(ISERROR(DP105/DJ105),"-",DP105/DJ105-1)</f>
        <v>-0.18537414965986476</v>
      </c>
      <c r="DQ218" s="116">
        <f>IF(ISERROR(DQ105/DK105),"-",DQ105/DK105-1)</f>
        <v>-0.28718325376423071</v>
      </c>
      <c r="DR218" s="90"/>
      <c r="DS218" s="116">
        <f>IF(ISERROR(DS105/DM105),"-",DS105/DM105-1)</f>
        <v>-1.3327872648335743</v>
      </c>
      <c r="DT218" s="116">
        <f>IF(ISERROR(DT105/DN105),"-",DT105/DN105-1)</f>
        <v>-0.72954545454545405</v>
      </c>
      <c r="DU218" s="116">
        <f>IF(ISERROR(DU105/DO105),"-",DU105/DO105-1)</f>
        <v>-2.1782477341389752</v>
      </c>
      <c r="DV218" s="116">
        <f>IF(ISERROR(DV105/DP105),"-",DV105/DP105-1)</f>
        <v>-2.271398747390398</v>
      </c>
      <c r="DW218" s="116">
        <f>IF(ISERROR(DW105/DQ105),"-",DW105/DQ105-1)</f>
        <v>-1.5718475012879956</v>
      </c>
      <c r="DX218" s="90"/>
      <c r="DY218" s="116">
        <f>IF(ISERROR(DY105/DS105),"-",DY105/DS105-1)</f>
        <v>0.51333298544069073</v>
      </c>
      <c r="DZ218" s="116">
        <f>IF(ISERROR(DZ105/DT105),"-",DZ105/DT105-1)</f>
        <v>-3.1176470588235281</v>
      </c>
      <c r="EA218" s="116">
        <f>IF(ISERROR(EA105/DU105),"-",EA105/DU105-1)</f>
        <v>-0.32307692307692137</v>
      </c>
      <c r="EB218" s="116">
        <f>IF(ISERROR(EB105/DV105),"-",EB105/DV105-1)</f>
        <v>-0.67323481116584472</v>
      </c>
      <c r="EC218" s="116">
        <f>IF(ISERROR(EC105/DW105),"-",EC105/DW105-1)</f>
        <v>-4.2304379633064881E-2</v>
      </c>
      <c r="ED218" s="90"/>
      <c r="EE218" s="116">
        <f>IF(ISERROR(EE105/DY105),"-",EE105/DY105-1)</f>
        <v>-1.2508315900632134</v>
      </c>
      <c r="EF218" s="116">
        <f>IF(ISERROR(EF105/DZ105),"-",EF105/DZ105-1)</f>
        <v>-2.486820884204584</v>
      </c>
      <c r="EG218" s="116">
        <f>IF(ISERROR(EG105/EA105),"-",EG105/EA105-1)</f>
        <v>-3.5051141652348776</v>
      </c>
      <c r="EH218" s="116">
        <f>IF(ISERROR(EH105/EB105),"-",EH105/EB105-1)</f>
        <v>-5.5125068373920385</v>
      </c>
      <c r="EI218" s="116">
        <f>IF(ISERROR(EI105/EC105),"-",EI105/EC105-1)</f>
        <v>-2.9015120003994159</v>
      </c>
      <c r="EJ218" s="90"/>
      <c r="EK218" s="116">
        <f>IF(ISERROR(EK105/EE105),"-",EK105/EE105-1)</f>
        <v>12.587560153229523</v>
      </c>
      <c r="EL218" s="116">
        <f>IF(ISERROR(EL105/EF105),"-",EL105/EF105-1)</f>
        <v>3.1898549027875394</v>
      </c>
      <c r="EM218" s="116">
        <f>IF(ISERROR(EM105/EG105),"-",EM105/EG105-1)</f>
        <v>1.8007326306918867</v>
      </c>
      <c r="EN218" s="116">
        <f>IF(ISERROR(EN105/EH105),"-",EN105/EH105-1)</f>
        <v>1.5901014079947884</v>
      </c>
      <c r="EO218" s="116">
        <f>IF(ISERROR(EO105/EI105),"-",EO105/EI105-1)</f>
        <v>2.4304765194659286</v>
      </c>
      <c r="EP218" s="90"/>
      <c r="EQ218" s="116">
        <f>IF(ISERROR(EQ105/EK105),"-",EQ105/EK105-1)</f>
        <v>0.26746746450257963</v>
      </c>
      <c r="ER218" s="116">
        <f>IF(ISERROR(ER105/EL105),"-",ER105/EL105-1)</f>
        <v>0.46230449065839396</v>
      </c>
      <c r="ES218" s="116">
        <f>IF(ISERROR(ES105/EM105),"-",ES105/EM105-1)</f>
        <v>0.60825665216568914</v>
      </c>
      <c r="ET218" s="116">
        <f>IF(ISERROR(ET105/EN105),"-",ET105/EN105-1)</f>
        <v>0.72652553719728497</v>
      </c>
      <c r="EU218" s="116">
        <f>IF(ISERROR(EU105/EO105),"-",EU105/EO105-1)</f>
        <v>0.55659324594725845</v>
      </c>
      <c r="EV218" s="90"/>
    </row>
    <row r="219" spans="1:152">
      <c r="A219" s="37" t="s">
        <v>5630</v>
      </c>
      <c r="B219" s="526"/>
      <c r="C219" s="116"/>
      <c r="D219" s="116"/>
      <c r="E219" s="116"/>
      <c r="F219" s="116"/>
      <c r="G219" s="116" t="str">
        <f>IF(ISERROR(G107/A107),"-",G107/A107-1)</f>
        <v>-</v>
      </c>
      <c r="H219" s="90"/>
      <c r="I219" s="116">
        <f>IF(ISERROR(I107/C107),"-",I107/C107-1)</f>
        <v>-0.6430766079475625</v>
      </c>
      <c r="J219" s="116">
        <f>IF(ISERROR(J107/D107),"-",J107/D107-1)</f>
        <v>0.36369900771775088</v>
      </c>
      <c r="K219" s="116">
        <f>IF(ISERROR(K107/E107),"-",K107/E107-1)</f>
        <v>1.8184049079754598</v>
      </c>
      <c r="L219" s="116">
        <f>IF(ISERROR(L107/F107),"-",L107/F107-1)</f>
        <v>3.8610940381069447</v>
      </c>
      <c r="M219" s="116">
        <f>IF(ISERROR(M107/G107),"-",M107/G107-1)</f>
        <v>0.66845703125</v>
      </c>
      <c r="N219" s="90"/>
      <c r="O219" s="116">
        <f>IF(ISERROR(O107/I107),"-",O107/I107-1)</f>
        <v>2.9997130559540888</v>
      </c>
      <c r="P219" s="116">
        <f>IF(ISERROR(P107/J107),"-",P107/J107-1)</f>
        <v>0.62587165234967146</v>
      </c>
      <c r="Q219" s="116">
        <f>IF(ISERROR(Q107/K107),"-",Q107/K107-1)</f>
        <v>-9.1771876360470128E-2</v>
      </c>
      <c r="R219" s="116">
        <f>IF(ISERROR(R107/L107),"-",R107/L107-1)</f>
        <v>-0.24067518017448475</v>
      </c>
      <c r="S219" s="116">
        <f>IF(ISERROR(S107/M107),"-",S107/M107-1)</f>
        <v>0.28845966247195398</v>
      </c>
      <c r="T219" s="90"/>
      <c r="U219" s="116">
        <f>IF(ISERROR(U107/O107),"-",U107/O107-1)</f>
        <v>-0.72451395365521198</v>
      </c>
      <c r="V219" s="116">
        <f>IF(ISERROR(V107/P107),"-",V107/P107-1)</f>
        <v>-0.8563525609149677</v>
      </c>
      <c r="W219" s="116">
        <f>IF(ISERROR(W107/Q107),"-",W107/Q107-1)</f>
        <v>-0.34982264404179841</v>
      </c>
      <c r="X219" s="116">
        <f>IF(ISERROR(X107/R107),"-",X107/R107-1)</f>
        <v>-1.123969694446747E-2</v>
      </c>
      <c r="Y219" s="116">
        <f>IF(ISERROR(Y107/S107),"-",Y107/S107-1)</f>
        <v>-0.53232889158086016</v>
      </c>
      <c r="Z219" s="90"/>
      <c r="AA219" s="116">
        <f>IF(ISERROR(AA107/U107),"-",AA107/U107-1)</f>
        <v>2.1375000000000002</v>
      </c>
      <c r="AB219" s="116">
        <f>IF(ISERROR(AB107/V107),"-",AB107/V107-1)</f>
        <v>3.6382518390307226</v>
      </c>
      <c r="AC219" s="116">
        <f>IF(ISERROR(AC107/W107),"-",AC107/W107-1)</f>
        <v>0.41167797109997051</v>
      </c>
      <c r="AD219" s="116">
        <f>IF(ISERROR(AD107/X107),"-",AD107/X107-1)</f>
        <v>0.20200404176490383</v>
      </c>
      <c r="AE219" s="116">
        <f>IF(ISERROR(AE107/Y107),"-",AE107/Y107-1)</f>
        <v>0.89181641573579418</v>
      </c>
      <c r="AF219" s="90"/>
      <c r="AG219" s="116">
        <f>IF(ISERROR(AG107/AA107),"-",AG107/AA107-1)</f>
        <v>0.17629482071713154</v>
      </c>
      <c r="AH219" s="116">
        <f>IF(ISERROR(AH107/AB107),"-",AH107/AB107-1)</f>
        <v>0.24069409459837665</v>
      </c>
      <c r="AI219" s="116">
        <f>IF(ISERROR(AI107/AC107),"-",AI107/AC107-1)</f>
        <v>-3.2588259870482639E-2</v>
      </c>
      <c r="AJ219" s="116">
        <f>IF(ISERROR(AJ107/AD107),"-",AJ107/AD107-1)</f>
        <v>0.1332399299474607</v>
      </c>
      <c r="AK219" s="116">
        <f>IF(ISERROR(AK107/AE107),"-",AK107/AE107-1)</f>
        <v>0.13317502085873834</v>
      </c>
      <c r="AL219" s="90"/>
      <c r="AM219" s="116">
        <f>IF(ISERROR(AM107/AG107),"-",AM107/AG107-1)</f>
        <v>-0.44242167654530062</v>
      </c>
      <c r="AN219" s="116">
        <f>IF(ISERROR(AN107/AH107),"-",AN107/AH107-1)</f>
        <v>-0.52379878186329798</v>
      </c>
      <c r="AO219" s="116">
        <f>IF(ISERROR(AO107/AI107),"-",AO107/AI107-1)</f>
        <v>-0.72511336644353275</v>
      </c>
      <c r="AP219" s="116">
        <f>IF(ISERROR(AP107/AJ107),"-",AP107/AJ107-1)</f>
        <v>-0.78531248068245041</v>
      </c>
      <c r="AQ219" s="116">
        <f>IF(ISERROR(AQ107/AK107),"-",AQ107/AK107-1)</f>
        <v>-0.61539042440718927</v>
      </c>
      <c r="AR219" s="90"/>
      <c r="AS219" s="116">
        <f>IF(ISERROR(AS107/AM107),"-",AS107/AM107-1)</f>
        <v>-0.58124525436598329</v>
      </c>
      <c r="AT219" s="116">
        <f>IF(ISERROR(AT107/AN107),"-",AT107/AN107-1)</f>
        <v>-0.1004263382283278</v>
      </c>
      <c r="AU219" s="116">
        <f>IF(ISERROR(AU107/AO107),"-",AU107/AO107-1)</f>
        <v>2.8884524744697568</v>
      </c>
      <c r="AV219" s="116">
        <f>IF(ISERROR(AV107/AP107),"-",AV107/AP107-1)</f>
        <v>5.3676936366253969</v>
      </c>
      <c r="AW219" s="116">
        <f>IF(ISERROR(AW107/AQ107),"-",AW107/AQ107-1)</f>
        <v>1.0382878460632239</v>
      </c>
      <c r="AX219" s="90"/>
      <c r="AY219" s="116">
        <f>IF(ISERROR(AY107/AS107),"-",AY107/AS107-1)</f>
        <v>5.5630099728014502</v>
      </c>
      <c r="AZ219" s="116">
        <f>IF(ISERROR(AZ107/AT107),"-",AZ107/AT107-1)</f>
        <v>2.1939617342460944</v>
      </c>
      <c r="BA219" s="116">
        <f>IF(ISERROR(BA107/AU107),"-",BA107/AU107-1)</f>
        <v>0.96686868686868688</v>
      </c>
      <c r="BB219" s="116">
        <f>IF(ISERROR(BB107/AV107),"-",BB107/AV107-1)</f>
        <v>0.35817318562061939</v>
      </c>
      <c r="BC219" s="116">
        <f>IF(ISERROR(BC107/AW107),"-",BC107/AW107-1)</f>
        <v>1.1609430690684905</v>
      </c>
      <c r="BD219" s="90"/>
      <c r="BE219" s="116">
        <f>IF(ISERROR(BE107/AY107),"-",BE107/AY107-1)</f>
        <v>0.42777547543399175</v>
      </c>
      <c r="BF219" s="116">
        <f>IF(ISERROR(BF107/AZ107),"-",BF107/AZ107-1)</f>
        <v>0.66212354363596382</v>
      </c>
      <c r="BG219" s="116">
        <f>IF(ISERROR(BG107/BA107),"-",BG107/BA107-1)</f>
        <v>0.62607847165160235</v>
      </c>
      <c r="BH219" s="116">
        <f>IF(ISERROR(BH107/BB107),"-",BH107/BB107-1)</f>
        <v>0.24264216273804773</v>
      </c>
      <c r="BI219" s="116">
        <f>IF(ISERROR(BI107/BC107),"-",BI107/BC107-1)</f>
        <v>0.4512264434810711</v>
      </c>
      <c r="BJ219" s="90"/>
      <c r="BK219" s="116">
        <f>IF(ISERROR(BK107/BE107),"-",BK107/BE107-1)</f>
        <v>4.4602831618666849E-2</v>
      </c>
      <c r="BL219" s="116">
        <f>IF(ISERROR(BL107/BF107),"-",BL107/BF107-1)</f>
        <v>0.29364502049993391</v>
      </c>
      <c r="BM219" s="116">
        <f>IF(ISERROR(BM107/BG107),"-",BM107/BG107-1)</f>
        <v>0.12026655718030499</v>
      </c>
      <c r="BN219" s="116">
        <f>IF(ISERROR(BN107/BH107),"-",BN107/BH107-1)</f>
        <v>0.23044153895616759</v>
      </c>
      <c r="BO219" s="116">
        <f>IF(ISERROR(BO107/BI107),"-",BO107/BI107-1)</f>
        <v>0.18320534480110573</v>
      </c>
      <c r="BP219" s="90"/>
      <c r="BQ219" s="116">
        <f>IF(ISERROR(BQ107/BK107),"-",BQ107/BK107-1)</f>
        <v>0.34529175671503554</v>
      </c>
      <c r="BR219" s="116">
        <f>IF(ISERROR(BR107/BL107),"-",BR107/BL107-1)</f>
        <v>0.13410862619808306</v>
      </c>
      <c r="BS219" s="116">
        <f>IF(ISERROR(BS107/BM107),"-",BS107/BM107-1)</f>
        <v>0.36849820980519299</v>
      </c>
      <c r="BT219" s="116">
        <f>IF(ISERROR(BT107/BN107),"-",BT107/BN107-1)</f>
        <v>0.12966793685356559</v>
      </c>
      <c r="BU219" s="116">
        <f>IF(ISERROR(BU107/BO107),"-",BU107/BO107-1)</f>
        <v>0.22172679893819325</v>
      </c>
      <c r="BV219" s="90"/>
      <c r="BW219" s="116">
        <f>IF(ISERROR(BW107/BQ107),"-",BW107/BQ107-1)</f>
        <v>0.15486299169229345</v>
      </c>
      <c r="BX219" s="116">
        <f>IF(ISERROR(BX107/BR107),"-",BX107/BR107-1)</f>
        <v>0.27080140629225657</v>
      </c>
      <c r="BY219" s="116">
        <f>IF(ISERROR(BY107/BS107),"-",BY107/BS107-1)</f>
        <v>0.16237485064480239</v>
      </c>
      <c r="BZ219" s="116">
        <f>IF(ISERROR(BZ107/BT107),"-",BZ107/BT107-1)</f>
        <v>-0.40853893600616809</v>
      </c>
      <c r="CA219" s="116">
        <f>IF(ISERROR(CA107/BU107),"-",CA107/BU107-1)</f>
        <v>3.0397365065873316E-2</v>
      </c>
      <c r="CB219" s="90"/>
      <c r="CC219" s="116">
        <f>IF(ISERROR(CC107/BW107),"-",CC107/BW107-1)</f>
        <v>-0.63671952625094397</v>
      </c>
      <c r="CD219" s="116">
        <f>IF(ISERROR(CD107/BX107),"-",CD107/BX107-1)</f>
        <v>-0.56714194509470106</v>
      </c>
      <c r="CE219" s="116">
        <f>IF(ISERROR(CE107/BY107),"-",CE107/BY107-1)</f>
        <v>-0.52167517368495675</v>
      </c>
      <c r="CF219" s="116">
        <f>IF(ISERROR(CF107/BZ107),"-",CF107/BZ107-1)</f>
        <v>-2.3170930422030334E-2</v>
      </c>
      <c r="CG219" s="116">
        <f>IF(ISERROR(CG107/CA107),"-",CG107/CA107-1)</f>
        <v>-0.48560027221826951</v>
      </c>
      <c r="CH219" s="90"/>
      <c r="CI219" s="116">
        <f>IF(ISERROR(CI107/CC107),"-",CI107/CC107-1)</f>
        <v>0.5785788523603741</v>
      </c>
      <c r="CJ219" s="116">
        <f>IF(ISERROR(CJ107/CD107),"-",CJ107/CD107-1)</f>
        <v>0.48951163552933474</v>
      </c>
      <c r="CK219" s="116">
        <f>IF(ISERROR(CK107/CE107),"-",CK107/CE107-1)</f>
        <v>0.19574641520619496</v>
      </c>
      <c r="CL219" s="116">
        <f>IF(ISERROR(CL107/CF107),"-",CL107/CF107-1)</f>
        <v>0.17405084406485627</v>
      </c>
      <c r="CM219" s="116">
        <f>IF(ISERROR(CM107/CG107),"-",CM107/CG107-1)</f>
        <v>0.329785314811474</v>
      </c>
      <c r="CN219" s="90"/>
      <c r="CO219" s="116">
        <f>IF(ISERROR(CO107/CI107),"-",CO107/CI107-1)</f>
        <v>0.36942962090234932</v>
      </c>
      <c r="CP219" s="116">
        <f>IF(ISERROR(CP107/CJ107),"-",CP107/CJ107-1)</f>
        <v>0.20324018043789205</v>
      </c>
      <c r="CQ219" s="116">
        <f>IF(ISERROR(CQ107/CK107),"-",CQ107/CK107-1)</f>
        <v>0.37137456618740705</v>
      </c>
      <c r="CR219" s="116">
        <f>IF(ISERROR(CR107/CL107),"-",CR107/CL107-1)</f>
        <v>0.30237844903526478</v>
      </c>
      <c r="CS219" s="116">
        <f>IF(ISERROR(CS107/CM107),"-",CS107/CM107-1)</f>
        <v>0.30591356517282442</v>
      </c>
      <c r="CT219" s="90"/>
      <c r="CU219" s="116">
        <f>IF(ISERROR(CU107/CO107),"-",CU107/CO107-1)</f>
        <v>0.1879349173815128</v>
      </c>
      <c r="CV219" s="116">
        <f>IF(ISERROR(CV107/CP107),"-",CV107/CP107-1)</f>
        <v>9.719967996342449E-2</v>
      </c>
      <c r="CW219" s="116">
        <f>IF(ISERROR(CW107/CQ107),"-",CW107/CQ107-1)</f>
        <v>5.6736787400863076E-2</v>
      </c>
      <c r="CX219" s="116">
        <f>IF(ISERROR(CX107/CR107),"-",CX107/CR107-1)</f>
        <v>0.1489134229359399</v>
      </c>
      <c r="CY219" s="116">
        <f>IF(ISERROR(CY107/CS107),"-",CY107/CS107-1)</f>
        <v>0.12151835905486363</v>
      </c>
      <c r="CZ219" s="90"/>
      <c r="DA219" s="116">
        <f>IF(ISERROR(DA107/CU107),"-",DA107/CU107-1)</f>
        <v>-0.10541899203339999</v>
      </c>
      <c r="DB219" s="116">
        <f>IF(ISERROR(DB107/CV107),"-",DB107/CV107-1)</f>
        <v>-7.0983603141863028E-2</v>
      </c>
      <c r="DC219" s="116">
        <f>IF(ISERROR(DC107/CW107),"-",DC107/CW107-1)</f>
        <v>-0.11447998631542933</v>
      </c>
      <c r="DD219" s="116">
        <f>IF(ISERROR(DD107/CX107),"-",DD107/CX107-1)</f>
        <v>-0.23411892056136885</v>
      </c>
      <c r="DE219" s="116">
        <f>IF(ISERROR(DE107/CY107),"-",DE107/CY107-1)</f>
        <v>-0.13385069035256092</v>
      </c>
      <c r="DF219" s="90"/>
      <c r="DG219" s="116">
        <f>IF(ISERROR(DG107/DA107),"-",DG107/DA107-1)</f>
        <v>-0.24125532776150682</v>
      </c>
      <c r="DH219" s="116">
        <f>IF(ISERROR(DH107/DB107),"-",DH107/DB107-1)</f>
        <v>-0.20870150257905362</v>
      </c>
      <c r="DI219" s="116">
        <f>IF(ISERROR(DI107/DC107),"-",DI107/DC107-1)</f>
        <v>-0.39817453035205486</v>
      </c>
      <c r="DJ219" s="116">
        <f>IF(ISERROR(DJ107/DD107),"-",DJ107/DD107-1)</f>
        <v>-0.37208956334151599</v>
      </c>
      <c r="DK219" s="116">
        <f>IF(ISERROR(DK107/DE107),"-",DK107/DE107-1)</f>
        <v>-0.30242824295500592</v>
      </c>
      <c r="DL219" s="90"/>
      <c r="DM219" s="116">
        <f>IF(ISERROR(DM107/DG107),"-",DM107/DG107-1)</f>
        <v>-6.4082849521418517E-2</v>
      </c>
      <c r="DN219" s="116">
        <f>IF(ISERROR(DN107/DH107),"-",DN107/DH107-1)</f>
        <v>-0.46040698333522279</v>
      </c>
      <c r="DO219" s="116">
        <f>IF(ISERROR(DO107/DI107),"-",DO107/DI107-1)</f>
        <v>-0.41931471673888621</v>
      </c>
      <c r="DP219" s="116">
        <f>IF(ISERROR(DP107/DJ107),"-",DP107/DJ107-1)</f>
        <v>-0.17434743118903773</v>
      </c>
      <c r="DQ219" s="116">
        <f>IF(ISERROR(DQ107/DK107),"-",DQ107/DK107-1)</f>
        <v>-0.28169050072822366</v>
      </c>
      <c r="DR219" s="90"/>
      <c r="DS219" s="116">
        <f>IF(ISERROR(DS107/DM107),"-",DS107/DM107-1)</f>
        <v>-1.3436274016698522</v>
      </c>
      <c r="DT219" s="116">
        <f>IF(ISERROR(DT107/DN107),"-",DT107/DN107-1)</f>
        <v>-0.71994327433163507</v>
      </c>
      <c r="DU219" s="116">
        <f>IF(ISERROR(DU107/DO107),"-",DU107/DO107-1)</f>
        <v>-2.2121882125336834</v>
      </c>
      <c r="DV219" s="116">
        <f>IF(ISERROR(DV107/DP107),"-",DV107/DP107-1)</f>
        <v>-2.3173904725463936</v>
      </c>
      <c r="DW219" s="116">
        <f>IF(ISERROR(DW107/DQ107),"-",DW107/DQ107-1)</f>
        <v>-1.5908508821855436</v>
      </c>
      <c r="DX219" s="90"/>
      <c r="DY219" s="116">
        <f>IF(ISERROR(DY107/DS107),"-",DY107/DS107-1)</f>
        <v>0.54420374707259955</v>
      </c>
      <c r="DZ219" s="116">
        <f>IF(ISERROR(DZ107/DT107),"-",DZ107/DT107-1)</f>
        <v>-3.153225806451613</v>
      </c>
      <c r="EA219" s="116">
        <f>IF(ISERROR(EA107/DU107),"-",EA107/DU107-1)</f>
        <v>-0.31475148198814418</v>
      </c>
      <c r="EB219" s="116">
        <f>IF(ISERROR(EB107/DV107),"-",EB107/DV107-1)</f>
        <v>-0.67023671216961955</v>
      </c>
      <c r="EC219" s="116">
        <f>IF(ISERROR(EC107/DW107),"-",EC107/DW107-1)</f>
        <v>-2.823600240818791E-2</v>
      </c>
      <c r="ED219" s="90"/>
      <c r="EE219" s="116">
        <f>IF(ISERROR(EE107/DY107),"-",EE107/DY107-1)</f>
        <v>-1.2520063191153239</v>
      </c>
      <c r="EF219" s="116">
        <f>IF(ISERROR(EF107/DZ107),"-",EF107/DZ107-1)</f>
        <v>-2.4945562233254943</v>
      </c>
      <c r="EG219" s="116">
        <f>IF(ISERROR(EG107/EA107),"-",EG107/EA107-1)</f>
        <v>-3.5252037930460824</v>
      </c>
      <c r="EH219" s="116">
        <f>IF(ISERROR(EH107/EB107),"-",EH107/EB107-1)</f>
        <v>-5.5487173841241884</v>
      </c>
      <c r="EI219" s="116">
        <f>IF(ISERROR(EI107/EC107),"-",EI107/EC107-1)</f>
        <v>-2.9139045494909444</v>
      </c>
      <c r="EJ219" s="90"/>
      <c r="EK219" s="116">
        <f>IF(ISERROR(EK107/EE107),"-",EK107/EE107-1)</f>
        <v>12.79764292878636</v>
      </c>
      <c r="EL219" s="116">
        <f>IF(ISERROR(EL107/EF107),"-",EL107/EF107-1)</f>
        <v>3.2744332420304216</v>
      </c>
      <c r="EM219" s="116">
        <f>IF(ISERROR(EM107/EG107),"-",EM107/EG107-1)</f>
        <v>1.8641214836286975</v>
      </c>
      <c r="EN219" s="116">
        <f>IF(ISERROR(EN107/EH107),"-",EN107/EH107-1)</f>
        <v>1.6551699099622423</v>
      </c>
      <c r="EO219" s="116">
        <f>IF(ISERROR(EO107/EI107),"-",EO107/EI107-1)</f>
        <v>2.5018397229085965</v>
      </c>
      <c r="EP219" s="90"/>
      <c r="EQ219" s="116">
        <f>IF(ISERROR(EQ107/EK107),"-",EQ107/EK107-1)</f>
        <v>0.29637437528396182</v>
      </c>
      <c r="ER219" s="116">
        <f>IF(ISERROR(ER107/EL107),"-",ER107/EL107-1)</f>
        <v>0.48871770400163617</v>
      </c>
      <c r="ES219" s="116">
        <f>IF(ISERROR(ES107/EM107),"-",ES107/EM107-1)</f>
        <v>0.63350929855432492</v>
      </c>
      <c r="ET219" s="116">
        <f>IF(ISERROR(ET107/EN107),"-",ET107/EN107-1)</f>
        <v>0.7495191475009344</v>
      </c>
      <c r="EU219" s="116">
        <f>IF(ISERROR(EU107/EO107),"-",EU107/EO107-1)</f>
        <v>0.5838047698280644</v>
      </c>
      <c r="EV219" s="90"/>
    </row>
    <row r="220" spans="1:152">
      <c r="A220" s="22"/>
      <c r="B220" s="101"/>
      <c r="C220" s="23"/>
      <c r="D220" s="24"/>
      <c r="E220" s="24"/>
      <c r="F220" s="24"/>
      <c r="G220" s="24"/>
      <c r="H220" s="24"/>
      <c r="I220" s="23"/>
      <c r="J220" s="24"/>
      <c r="K220" s="24"/>
      <c r="L220" s="24"/>
      <c r="M220" s="24"/>
      <c r="N220" s="24"/>
      <c r="O220" s="23"/>
      <c r="P220" s="24"/>
      <c r="Q220" s="24"/>
      <c r="R220" s="24"/>
      <c r="S220" s="24"/>
      <c r="T220" s="24"/>
      <c r="U220" s="23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3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  <c r="AR220" s="24"/>
      <c r="AS220" s="24"/>
      <c r="AT220" s="24"/>
      <c r="AU220" s="24"/>
      <c r="AV220" s="24"/>
      <c r="AW220" s="24"/>
      <c r="AX220" s="24"/>
      <c r="AY220" s="24"/>
      <c r="AZ220" s="24"/>
      <c r="BA220" s="24"/>
      <c r="BB220" s="24"/>
      <c r="BC220" s="2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  <c r="CO220" s="24"/>
      <c r="CP220" s="24"/>
      <c r="CQ220" s="24"/>
      <c r="CR220" s="24"/>
      <c r="CS220" s="24"/>
      <c r="CT220" s="24"/>
      <c r="CU220" s="24"/>
      <c r="CV220" s="24"/>
      <c r="CW220" s="24"/>
      <c r="CX220" s="24"/>
      <c r="CY220" s="24"/>
      <c r="CZ220" s="24"/>
      <c r="DA220" s="24"/>
      <c r="DB220" s="24"/>
      <c r="DC220" s="24"/>
      <c r="DD220" s="24"/>
      <c r="DE220" s="24"/>
      <c r="DF220" s="24"/>
      <c r="DG220" s="24"/>
      <c r="DH220" s="24"/>
      <c r="DI220" s="24"/>
      <c r="DJ220" s="24"/>
      <c r="DK220" s="24"/>
      <c r="DL220" s="24"/>
      <c r="DM220" s="24"/>
      <c r="DN220" s="24"/>
      <c r="DO220" s="24"/>
      <c r="DP220" s="24"/>
      <c r="DQ220" s="24"/>
      <c r="DR220" s="24"/>
      <c r="DS220" s="24"/>
      <c r="DT220" s="24"/>
      <c r="DU220" s="24"/>
      <c r="DV220" s="24"/>
      <c r="DW220" s="24"/>
      <c r="DX220" s="24"/>
      <c r="DY220" s="24"/>
      <c r="DZ220" s="24"/>
      <c r="EA220" s="24"/>
      <c r="EB220" s="24"/>
      <c r="EC220" s="24"/>
      <c r="ED220" s="24"/>
      <c r="EE220" s="24"/>
      <c r="EF220" s="24"/>
      <c r="EG220" s="24"/>
      <c r="EH220" s="24"/>
      <c r="EI220" s="24"/>
      <c r="EJ220" s="24"/>
      <c r="EK220" s="24"/>
      <c r="EL220" s="24"/>
      <c r="EM220" s="24"/>
      <c r="EN220" s="24"/>
      <c r="EO220" s="24"/>
      <c r="EP220" s="24"/>
      <c r="EQ220" s="24"/>
      <c r="ER220" s="24"/>
      <c r="ES220" s="24"/>
      <c r="ET220" s="24"/>
      <c r="EU220" s="24"/>
      <c r="EV220" s="24"/>
    </row>
    <row r="221" spans="1:152">
      <c r="A221" s="52" t="s">
        <v>1066</v>
      </c>
      <c r="B221" s="526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</row>
    <row r="222" spans="1:152">
      <c r="A222" s="90" t="s">
        <v>5187</v>
      </c>
      <c r="B222" s="526"/>
      <c r="C222" s="116"/>
      <c r="D222" s="116" t="str">
        <f>IF(ISERROR(D10/C10),"-",D10/C10-1)</f>
        <v>-</v>
      </c>
      <c r="E222" s="116" t="str">
        <f>IF(ISERROR(E10/D10),"-",E10/D10-1)</f>
        <v>-</v>
      </c>
      <c r="F222" s="116" t="str">
        <f>IF(ISERROR(F10/E10),"-",F10/E10-1)</f>
        <v>-</v>
      </c>
      <c r="G222" s="116" t="s">
        <v>6442</v>
      </c>
      <c r="H222" s="90"/>
      <c r="I222" s="116" t="str">
        <f>IF(ISERROR(I10/F10),"-",I10/F10-1)</f>
        <v>-</v>
      </c>
      <c r="J222" s="116" t="str">
        <f>IF(ISERROR(J10/I10),"-",J10/I10-1)</f>
        <v>-</v>
      </c>
      <c r="K222" s="116" t="str">
        <f>IF(ISERROR(K10/J10),"-",K10/J10-1)</f>
        <v>-</v>
      </c>
      <c r="L222" s="116" t="str">
        <f>IF(ISERROR(L10/K10),"-",L10/K10-1)</f>
        <v>-</v>
      </c>
      <c r="M222" s="116" t="s">
        <v>6442</v>
      </c>
      <c r="N222" s="159"/>
      <c r="O222" s="116" t="str">
        <f>IF(ISERROR(O10/L10),"-",O10/L10-1)</f>
        <v>-</v>
      </c>
      <c r="P222" s="116" t="str">
        <f>IF(ISERROR(P10/O10),"-",P10/O10-1)</f>
        <v>-</v>
      </c>
      <c r="Q222" s="116" t="str">
        <f>IF(ISERROR(Q10/P10),"-",Q10/P10-1)</f>
        <v>-</v>
      </c>
      <c r="R222" s="116" t="str">
        <f>IF(ISERROR(R10/Q10),"-",R10/Q10-1)</f>
        <v>-</v>
      </c>
      <c r="S222" s="116" t="s">
        <v>6442</v>
      </c>
      <c r="T222" s="90"/>
      <c r="U222" s="116" t="str">
        <f>IF(ISERROR(U10/R10),"-",U10/R10-1)</f>
        <v>-</v>
      </c>
      <c r="V222" s="116" t="str">
        <f>IF(ISERROR(V10/U10),"-",V10/U10-1)</f>
        <v>-</v>
      </c>
      <c r="W222" s="116" t="str">
        <f>IF(ISERROR(W10/V10),"-",W10/V10-1)</f>
        <v>-</v>
      </c>
      <c r="X222" s="116" t="str">
        <f>IF(ISERROR(X10/W10),"-",X10/W10-1)</f>
        <v>-</v>
      </c>
      <c r="Y222" s="116" t="s">
        <v>6442</v>
      </c>
      <c r="Z222" s="104"/>
      <c r="AA222" s="116" t="str">
        <f>IF(ISERROR(AA10/X10),"-",AA10/X10-1)</f>
        <v>-</v>
      </c>
      <c r="AB222" s="116" t="str">
        <f>IF(ISERROR(AB10/AA10),"-",AB10/AA10-1)</f>
        <v>-</v>
      </c>
      <c r="AC222" s="116" t="str">
        <f>IF(ISERROR(AC10/AB10),"-",AC10/AB10-1)</f>
        <v>-</v>
      </c>
      <c r="AD222" s="116" t="str">
        <f>IF(ISERROR(AD10/AC10),"-",AD10/AC10-1)</f>
        <v>-</v>
      </c>
      <c r="AE222" s="116" t="s">
        <v>6442</v>
      </c>
      <c r="AF222" s="104"/>
      <c r="AG222" s="116" t="str">
        <f>IF(ISERROR(AG10/AD10),"-",AG10/AD10-1)</f>
        <v>-</v>
      </c>
      <c r="AH222" s="116">
        <f>IF(ISERROR(AH10/AG10),"-",AH10/AG10-1)</f>
        <v>-6.9907890346857626E-2</v>
      </c>
      <c r="AI222" s="116">
        <f>IF(ISERROR(AI10/AH10),"-",AI10/AH10-1)</f>
        <v>-7.1239159060981661E-2</v>
      </c>
      <c r="AJ222" s="116">
        <f>IF(ISERROR(AJ10/AI10),"-",AJ10/AI10-1)</f>
        <v>0.1746202472853855</v>
      </c>
      <c r="AK222" s="116" t="s">
        <v>6442</v>
      </c>
      <c r="AL222" s="90"/>
      <c r="AM222" s="116">
        <f>IF(ISERROR(AM10/AJ10),"-",AM10/AJ10-1)</f>
        <v>-0.11068934229037131</v>
      </c>
      <c r="AN222" s="116">
        <f>IF(ISERROR(AN10/AM10),"-",AN10/AM10-1)</f>
        <v>-9.5144713194548314E-2</v>
      </c>
      <c r="AO222" s="116">
        <f>IF(ISERROR(AO10/AN10),"-",AO10/AN10-1)</f>
        <v>-0.12964026172188181</v>
      </c>
      <c r="AP222" s="116">
        <f>IF(ISERROR(AP10/AO10),"-",AP10/AO10-1)</f>
        <v>3.2108919540503322E-2</v>
      </c>
      <c r="AQ222" s="116" t="s">
        <v>6442</v>
      </c>
      <c r="AR222" s="90"/>
      <c r="AS222" s="116">
        <f>IF(ISERROR(AS10/AP10),"-",AS10/AP10-1)</f>
        <v>7.6044773541232402E-2</v>
      </c>
      <c r="AT222" s="116">
        <f>IF(ISERROR(AT10/AS10),"-",AT10/AS10-1)</f>
        <v>-1.8444892739229779E-2</v>
      </c>
      <c r="AU222" s="116">
        <f>IF(ISERROR(AU10/AT10),"-",AU10/AT10-1)</f>
        <v>0.11376843987483243</v>
      </c>
      <c r="AV222" s="116">
        <f>IF(ISERROR(AV10/AU10),"-",AV10/AU10-1)</f>
        <v>0.28299143918591518</v>
      </c>
      <c r="AW222" s="116" t="s">
        <v>6442</v>
      </c>
      <c r="AX222" s="90"/>
      <c r="AY222" s="116">
        <f>IF(ISERROR(AY10/AV10),"-",AY10/AV10-1)</f>
        <v>-1.2170044903270227E-3</v>
      </c>
      <c r="AZ222" s="116">
        <f>IF(ISERROR(AZ10/AY10),"-",AZ10/AY10-1)</f>
        <v>-8.2505729564553154E-2</v>
      </c>
      <c r="BA222" s="116">
        <f>IF(ISERROR(BA10/AZ10),"-",BA10/AZ10-1)</f>
        <v>6.8276436303081001E-2</v>
      </c>
      <c r="BB222" s="116">
        <f>IF(ISERROR(BB10/BA10),"-",BB10/BA10-1)</f>
        <v>0.19524551831644565</v>
      </c>
      <c r="BC222" s="116" t="s">
        <v>6442</v>
      </c>
      <c r="BD222" s="90"/>
      <c r="BE222" s="116">
        <f>IF(ISERROR(BE10/BB10),"-",BE10/BB10-1)</f>
        <v>-2.3801760678187178E-2</v>
      </c>
      <c r="BF222" s="116">
        <f>IF(ISERROR(BF10/BE10),"-",BF10/BE10-1)</f>
        <v>4.5090180360721543E-2</v>
      </c>
      <c r="BG222" s="116">
        <f>IF(ISERROR(BG10/BF10),"-",BG10/BF10-1)</f>
        <v>-1.3422818791946289E-2</v>
      </c>
      <c r="BH222" s="116">
        <f>IF(ISERROR(BH10/BG10),"-",BH10/BG10-1)</f>
        <v>0.10398445092322661</v>
      </c>
      <c r="BI222" s="116" t="s">
        <v>6442</v>
      </c>
      <c r="BJ222" s="90"/>
      <c r="BK222" s="116">
        <f>IF(ISERROR(BK10/BH10),"-",BK10/BH10-1)</f>
        <v>2.5234741784037507E-2</v>
      </c>
      <c r="BL222" s="116">
        <f>IF(ISERROR(BL10/BK10),"-",BL10/BK10-1)</f>
        <v>-1.116199198626211E-2</v>
      </c>
      <c r="BM222" s="116">
        <f>IF(ISERROR(BM10/BL10),"-",BM10/BL10-1)</f>
        <v>2.3154848046309517E-3</v>
      </c>
      <c r="BN222" s="116">
        <f>IF(ISERROR(BN10/BM10),"-",BN10/BM10-1)</f>
        <v>8.2009818076811847E-2</v>
      </c>
      <c r="BO222" s="116" t="s">
        <v>6442</v>
      </c>
      <c r="BP222" s="90"/>
      <c r="BQ222" s="116">
        <f>IF(ISERROR(BQ10/BN10),"-",BQ10/BN10-1)</f>
        <v>2.2684814518281193E-2</v>
      </c>
      <c r="BR222" s="116">
        <f>IF(ISERROR(BR10/BQ10),"-",BR10/BQ10-1)</f>
        <v>2.7139874739039671E-2</v>
      </c>
      <c r="BS222" s="116">
        <f>IF(ISERROR(BS10/BR10),"-",BS10/BR10-1)</f>
        <v>5.5894308943089666E-3</v>
      </c>
      <c r="BT222" s="116">
        <f>IF(ISERROR(BT10/BS10),"-",BT10/BS10-1)</f>
        <v>0.12683173319858509</v>
      </c>
      <c r="BU222" s="116" t="s">
        <v>6442</v>
      </c>
      <c r="BV222" s="90"/>
      <c r="BW222" s="116">
        <f>IF(ISERROR(BW10/BT10),"-",BW10/BT10-1)</f>
        <v>-3.0941704035874484E-2</v>
      </c>
      <c r="BX222" s="116">
        <f>IF(ISERROR(BX10/BW10),"-",BX10/BW10-1)</f>
        <v>1.8509949097639922E-2</v>
      </c>
      <c r="BY222" s="116">
        <f>IF(ISERROR(BY10/BX10),"-",BY10/BX10-1)</f>
        <v>-4.3616537937301247E-2</v>
      </c>
      <c r="BZ222" s="116">
        <f>IF(ISERROR(BZ10/BY10),"-",BZ10/BY10-1)</f>
        <v>-0.26365795724465557</v>
      </c>
      <c r="CA222" s="116" t="s">
        <v>6442</v>
      </c>
      <c r="CB222" s="90"/>
      <c r="CC222" s="116">
        <f>IF(ISERROR(CC10/BZ10),"-",CC10/BZ10-1)</f>
        <v>-0.21419354838709681</v>
      </c>
      <c r="CD222" s="116">
        <f>IF(ISERROR(CD10/CC10),"-",CD10/CC10-1)</f>
        <v>-5.1724137931034475E-2</v>
      </c>
      <c r="CE222" s="116">
        <f>IF(ISERROR(CE10/CD10),"-",CE10/CD10-1)</f>
        <v>2.2077922077922141E-2</v>
      </c>
      <c r="CF222" s="116">
        <f>IF(ISERROR(CF10/CE10),"-",CF10/CE10-1)</f>
        <v>0.14358322744599739</v>
      </c>
      <c r="CG222" s="116" t="s">
        <v>6442</v>
      </c>
      <c r="CH222" s="90"/>
      <c r="CI222" s="116">
        <f>IF(ISERROR(CI10/CF10),"-",CI10/CF10-1)</f>
        <v>3.6296296296296271E-2</v>
      </c>
      <c r="CJ222" s="116">
        <f>IF(ISERROR(CJ10/CI10),"-",CJ10/CI10-1)</f>
        <v>3.2165832737669486E-3</v>
      </c>
      <c r="CK222" s="116">
        <f>IF(ISERROR(CK10/CJ10),"-",CK10/CJ10-1)</f>
        <v>4.6312789454934222E-3</v>
      </c>
      <c r="CL222" s="116">
        <f>IF(ISERROR(CL10/CK10),"-",CL10/CK10-1)</f>
        <v>0.16879432624113488</v>
      </c>
      <c r="CM222" s="116" t="s">
        <v>6442</v>
      </c>
      <c r="CN222" s="90"/>
      <c r="CO222" s="116">
        <f>IF(ISERROR(CO10/CL10),"-",CO10/CL10-1)</f>
        <v>-2.0024271844660269E-2</v>
      </c>
      <c r="CP222" s="116">
        <f>IF(ISERROR(CP10/CO10),"-",CP10/CO10-1)</f>
        <v>3.0959752321981338E-2</v>
      </c>
      <c r="CQ222" s="116">
        <f>IF(ISERROR(CQ10/CP10),"-",CQ10/CP10-1)</f>
        <v>-4.8048048048048297E-3</v>
      </c>
      <c r="CR222" s="116">
        <f>IF(ISERROR(CR10/CQ10),"-",CR10/CQ10-1)</f>
        <v>0.11707905853952938</v>
      </c>
      <c r="CS222" s="116" t="s">
        <v>6442</v>
      </c>
      <c r="CT222" s="90"/>
      <c r="CU222" s="116">
        <f>IF(ISERROR(CU10/CR10),"-",CU10/CR10-1)</f>
        <v>-4.0248514316585604E-2</v>
      </c>
      <c r="CV222" s="116">
        <f>IF(ISERROR(CV10/CU10),"-",CV10/CU10-1)</f>
        <v>-5.9949338587109491E-2</v>
      </c>
      <c r="CW222" s="116">
        <f>IF(ISERROR(CW10/CV10),"-",CW10/CV10-1)</f>
        <v>-7.1856287425149712E-2</v>
      </c>
      <c r="CX222" s="116">
        <f>IF(ISERROR(CX10/CW10),"-",CX10/CW10-1)</f>
        <v>0.17741935483870974</v>
      </c>
      <c r="CY222" s="116" t="s">
        <v>6442</v>
      </c>
      <c r="CZ222" s="90"/>
      <c r="DA222" s="116">
        <f>IF(ISERROR(DA10/CX10),"-",DA10/CX10-1)</f>
        <v>-0.11369863013698633</v>
      </c>
      <c r="DB222" s="116">
        <f>IF(ISERROR(DB10/DA10),"-",DB10/DA10-1)</f>
        <v>-3.1839258114374047E-2</v>
      </c>
      <c r="DC222" s="116">
        <f>IF(ISERROR(DC10/DB10),"-",DC10/DB10-1)</f>
        <v>-5.0127713920817385E-2</v>
      </c>
      <c r="DD222" s="116">
        <f>IF(ISERROR(DD10/DC10),"-",DD10/DC10-1)</f>
        <v>7.7983193277310958E-2</v>
      </c>
      <c r="DE222" s="116" t="s">
        <v>6442</v>
      </c>
      <c r="DF222" s="90"/>
      <c r="DG222" s="116">
        <f>IF(ISERROR(DG10/DD10),"-",DG10/DD10-1)</f>
        <v>-1.4031805425631427E-2</v>
      </c>
      <c r="DH222" s="116">
        <f>IF(ISERROR(DH10/DG10),"-",DH10/DG10-1)</f>
        <v>0.10815939278937381</v>
      </c>
      <c r="DI222" s="116">
        <f>IF(ISERROR(DI10/DH10),"-",DI10/DH10-1)</f>
        <v>-8.5331050228310446E-2</v>
      </c>
      <c r="DJ222" s="116">
        <f>IF(ISERROR(DJ10/DI10),"-",DJ10/DI10-1)</f>
        <v>0.10546021840873632</v>
      </c>
      <c r="DK222" s="116" t="s">
        <v>6442</v>
      </c>
      <c r="DL222" s="90"/>
      <c r="DM222" s="116">
        <f>IF(ISERROR(DM10/DJ10),"-",DM10/DJ10-1)</f>
        <v>-7.790008467400511E-2</v>
      </c>
      <c r="DN222" s="116">
        <f>IF(ISERROR(DN10/DM10),"-",DN10/DM10-1)</f>
        <v>-0.11080501989592895</v>
      </c>
      <c r="DO222" s="116">
        <f>IF(ISERROR(DO10/DN10),"-",DO10/DN10-1)</f>
        <v>-3.3046471600688521E-2</v>
      </c>
      <c r="DP222" s="116">
        <f>IF(ISERROR(DP10/DO10),"-",DP10/DO10-1)</f>
        <v>0.17052331790672848</v>
      </c>
      <c r="DQ222" s="116" t="s">
        <v>6442</v>
      </c>
      <c r="DR222" s="90"/>
      <c r="DS222" s="116">
        <f>IF(ISERROR(DS10/DP10),"-",DS10/DP10-1)</f>
        <v>-0.43461070559610704</v>
      </c>
      <c r="DT222" s="116">
        <f>IF(ISERROR(DT10/DS10),"-",DT10/DS10-1)</f>
        <v>0.230231307154384</v>
      </c>
      <c r="DU222" s="116">
        <f>IF(ISERROR(DU10/DT10),"-",DU10/DT10-1)</f>
        <v>-0.25623087013554879</v>
      </c>
      <c r="DV222" s="116">
        <f>IF(ISERROR(DV10/DU10),"-",DV10/DU10-1)</f>
        <v>-8.1128747795414347E-2</v>
      </c>
      <c r="DW222" s="116" t="s">
        <v>6442</v>
      </c>
      <c r="DX222" s="90"/>
      <c r="DY222" s="116">
        <f>IF(ISERROR(DY10/DV10),"-",DY10/DV10-1)</f>
        <v>-1</v>
      </c>
      <c r="DZ222" s="116" t="str">
        <f>IF(ISERROR(DZ10/DY10),"-",DZ10/DY10-1)</f>
        <v>-</v>
      </c>
      <c r="EA222" s="116" t="str">
        <f>IF(ISERROR(EA10/DZ10),"-",EA10/DZ10-1)</f>
        <v>-</v>
      </c>
      <c r="EB222" s="116" t="str">
        <f>IF(ISERROR(EB10/EA10),"-",EB10/EA10-1)</f>
        <v>-</v>
      </c>
      <c r="EC222" s="116" t="s">
        <v>6442</v>
      </c>
      <c r="ED222" s="90"/>
      <c r="EE222" s="116" t="str">
        <f>IF(ISERROR(EE10/EB10),"-",EE10/EB10-1)</f>
        <v>-</v>
      </c>
      <c r="EF222" s="116" t="str">
        <f>IF(ISERROR(EF10/EE10),"-",EF10/EE10-1)</f>
        <v>-</v>
      </c>
      <c r="EG222" s="116" t="str">
        <f>IF(ISERROR(EG10/EF10),"-",EG10/EF10-1)</f>
        <v>-</v>
      </c>
      <c r="EH222" s="116" t="str">
        <f>IF(ISERROR(EH10/EG10),"-",EH10/EG10-1)</f>
        <v>-</v>
      </c>
      <c r="EI222" s="116" t="s">
        <v>6442</v>
      </c>
      <c r="EJ222" s="90"/>
      <c r="EK222" s="116" t="str">
        <f>IF(ISERROR(EK10/EH10),"-",EK10/EH10-1)</f>
        <v>-</v>
      </c>
      <c r="EL222" s="116" t="str">
        <f>IF(ISERROR(EL10/EK10),"-",EL10/EK10-1)</f>
        <v>-</v>
      </c>
      <c r="EM222" s="116" t="str">
        <f>IF(ISERROR(EM10/EL10),"-",EM10/EL10-1)</f>
        <v>-</v>
      </c>
      <c r="EN222" s="116" t="str">
        <f>IF(ISERROR(EN10/EM10),"-",EN10/EM10-1)</f>
        <v>-</v>
      </c>
      <c r="EO222" s="116" t="s">
        <v>6442</v>
      </c>
      <c r="EP222" s="90"/>
      <c r="EQ222" s="116" t="str">
        <f>IF(ISERROR(EQ10/EN10),"-",EQ10/EN10-1)</f>
        <v>-</v>
      </c>
      <c r="ER222" s="116" t="str">
        <f>IF(ISERROR(ER10/EQ10),"-",ER10/EQ10-1)</f>
        <v>-</v>
      </c>
      <c r="ES222" s="116" t="str">
        <f>IF(ISERROR(ES10/ER10),"-",ES10/ER10-1)</f>
        <v>-</v>
      </c>
      <c r="ET222" s="116" t="str">
        <f>IF(ISERROR(ET10/ES10),"-",ET10/ES10-1)</f>
        <v>-</v>
      </c>
      <c r="EU222" s="116" t="s">
        <v>6442</v>
      </c>
      <c r="EV222" s="90"/>
    </row>
    <row r="223" spans="1:152">
      <c r="A223" s="90" t="s">
        <v>469</v>
      </c>
      <c r="B223" s="526"/>
      <c r="C223" s="116"/>
      <c r="D223" s="116" t="str">
        <f>IF(ISERROR(D14/C14),"-",D14/C14-1)</f>
        <v>-</v>
      </c>
      <c r="E223" s="116" t="str">
        <f>IF(ISERROR(E14/D14),"-",E14/D14-1)</f>
        <v>-</v>
      </c>
      <c r="F223" s="116" t="str">
        <f>IF(ISERROR(F14/E14),"-",F14/E14-1)</f>
        <v>-</v>
      </c>
      <c r="G223" s="116" t="s">
        <v>6442</v>
      </c>
      <c r="H223" s="90"/>
      <c r="I223" s="116" t="str">
        <f>IF(ISERROR(I14/F14),"-",I14/F14-1)</f>
        <v>-</v>
      </c>
      <c r="J223" s="116" t="str">
        <f>IF(ISERROR(J14/I14),"-",J14/I14-1)</f>
        <v>-</v>
      </c>
      <c r="K223" s="116" t="str">
        <f>IF(ISERROR(K14/J14),"-",K14/J14-1)</f>
        <v>-</v>
      </c>
      <c r="L223" s="116" t="str">
        <f>IF(ISERROR(L14/K14),"-",L14/K14-1)</f>
        <v>-</v>
      </c>
      <c r="M223" s="116" t="s">
        <v>6442</v>
      </c>
      <c r="N223" s="90"/>
      <c r="O223" s="116" t="str">
        <f>IF(ISERROR(O14/L14),"-",O14/L14-1)</f>
        <v>-</v>
      </c>
      <c r="P223" s="116" t="str">
        <f>IF(ISERROR(P14/O14),"-",P14/O14-1)</f>
        <v>-</v>
      </c>
      <c r="Q223" s="116" t="str">
        <f>IF(ISERROR(Q14/P14),"-",Q14/P14-1)</f>
        <v>-</v>
      </c>
      <c r="R223" s="116" t="str">
        <f>IF(ISERROR(R14/Q14),"-",R14/Q14-1)</f>
        <v>-</v>
      </c>
      <c r="S223" s="116" t="s">
        <v>6442</v>
      </c>
      <c r="T223" s="90"/>
      <c r="U223" s="116" t="str">
        <f>IF(ISERROR(U14/R14),"-",U14/R14-1)</f>
        <v>-</v>
      </c>
      <c r="V223" s="116" t="str">
        <f>IF(ISERROR(V14/U14),"-",V14/U14-1)</f>
        <v>-</v>
      </c>
      <c r="W223" s="116" t="str">
        <f>IF(ISERROR(W14/V14),"-",W14/V14-1)</f>
        <v>-</v>
      </c>
      <c r="X223" s="116" t="str">
        <f>IF(ISERROR(X14/W14),"-",X14/W14-1)</f>
        <v>-</v>
      </c>
      <c r="Y223" s="116" t="s">
        <v>6442</v>
      </c>
      <c r="Z223" s="104"/>
      <c r="AA223" s="116" t="str">
        <f>IF(ISERROR(AA14/X14),"-",AA14/X14-1)</f>
        <v>-</v>
      </c>
      <c r="AB223" s="116" t="str">
        <f>IF(ISERROR(AB14/AA14),"-",AB14/AA14-1)</f>
        <v>-</v>
      </c>
      <c r="AC223" s="116" t="str">
        <f>IF(ISERROR(AC14/AB14),"-",AC14/AB14-1)</f>
        <v>-</v>
      </c>
      <c r="AD223" s="116" t="str">
        <f>IF(ISERROR(AD14/AC14),"-",AD14/AC14-1)</f>
        <v>-</v>
      </c>
      <c r="AE223" s="116" t="s">
        <v>6442</v>
      </c>
      <c r="AF223" s="104"/>
      <c r="AG223" s="116" t="str">
        <f>IF(ISERROR(AG14/AD14),"-",AG14/AD14-1)</f>
        <v>-</v>
      </c>
      <c r="AH223" s="116">
        <f>IF(ISERROR(AH14/AG14),"-",AH14/AG14-1)</f>
        <v>0.24260355029585789</v>
      </c>
      <c r="AI223" s="116">
        <f>IF(ISERROR(AI14/AH14),"-",AI14/AH14-1)</f>
        <v>6.163522012578615E-2</v>
      </c>
      <c r="AJ223" s="116">
        <f>IF(ISERROR(AJ14/AI14),"-",AJ14/AI14-1)</f>
        <v>0.16587677725118466</v>
      </c>
      <c r="AK223" s="116" t="s">
        <v>6442</v>
      </c>
      <c r="AL223" s="90"/>
      <c r="AM223" s="116">
        <f>IF(ISERROR(AM14/AJ14),"-",AM14/AJ14-1)</f>
        <v>0.13697735191637639</v>
      </c>
      <c r="AN223" s="116">
        <f>IF(ISERROR(AN14/AM14),"-",AN14/AM14-1)</f>
        <v>0.15341888527102077</v>
      </c>
      <c r="AO223" s="116">
        <f>IF(ISERROR(AO14/AN14),"-",AO14/AN14-1)</f>
        <v>0.13085353703088676</v>
      </c>
      <c r="AP223" s="116">
        <f>IF(ISERROR(AP14/AO14),"-",AP14/AO14-1)</f>
        <v>6.9114047968673376E-2</v>
      </c>
      <c r="AQ223" s="116" t="s">
        <v>6442</v>
      </c>
      <c r="AR223" s="90"/>
      <c r="AS223" s="116">
        <f>IF(ISERROR(AS14/AP14),"-",AS14/AP14-1)</f>
        <v>9.353539053200266E-2</v>
      </c>
      <c r="AT223" s="116">
        <f>IF(ISERROR(AT14/AS14),"-",AT14/AS14-1)</f>
        <v>0.18362989323843415</v>
      </c>
      <c r="AU223" s="116">
        <f>IF(ISERROR(AU14/AT14),"-",AU14/AT14-1)</f>
        <v>4.5559053446995179E-2</v>
      </c>
      <c r="AV223" s="116">
        <f>IF(ISERROR(AV14/AU14),"-",AV14/AU14-1)</f>
        <v>0.12287289827125414</v>
      </c>
      <c r="AW223" s="116" t="s">
        <v>6442</v>
      </c>
      <c r="AX223" s="159"/>
      <c r="AY223" s="116">
        <f>IF(ISERROR(AY14/AV14),"-",AY14/AV14-1)</f>
        <v>0.12379862010786047</v>
      </c>
      <c r="AZ223" s="116">
        <f>IF(ISERROR(AZ14/AY14),"-",AZ14/AY14-1)</f>
        <v>8.8471849865951802E-2</v>
      </c>
      <c r="BA223" s="116">
        <f>IF(ISERROR(BA14/AZ14),"-",BA14/AZ14-1)</f>
        <v>0.10344827586206895</v>
      </c>
      <c r="BB223" s="116">
        <f>IF(ISERROR(BB14/BA14),"-",BB14/BA14-1)</f>
        <v>0.13616071428571441</v>
      </c>
      <c r="BC223" s="116" t="s">
        <v>6442</v>
      </c>
      <c r="BD223" s="90"/>
      <c r="BE223" s="116">
        <f>IF(ISERROR(BE14/BB14),"-",BE14/BB14-1)</f>
        <v>0.17288801571709245</v>
      </c>
      <c r="BF223" s="116">
        <f>IF(ISERROR(BF14/BE14),"-",BF14/BE14-1)</f>
        <v>7.035175879396971E-2</v>
      </c>
      <c r="BG223" s="116">
        <f>IF(ISERROR(BG14/BF14),"-",BG14/BF14-1)</f>
        <v>0.13928012519561817</v>
      </c>
      <c r="BH223" s="116">
        <f>IF(ISERROR(BH14/BG14),"-",BH14/BG14-1)</f>
        <v>8.5164835164835306E-2</v>
      </c>
      <c r="BI223" s="116" t="s">
        <v>6442</v>
      </c>
      <c r="BJ223" s="90"/>
      <c r="BK223" s="116">
        <f>IF(ISERROR(BK14/BH14),"-",BK14/BH14-1)</f>
        <v>9.6202531645569467E-2</v>
      </c>
      <c r="BL223" s="116">
        <f>IF(ISERROR(BL14/BK14),"-",BL14/BK14-1)</f>
        <v>0.2020785219399539</v>
      </c>
      <c r="BM223" s="116">
        <f>IF(ISERROR(BM14/BL14),"-",BM14/BL14-1)</f>
        <v>6.1479346781940558E-2</v>
      </c>
      <c r="BN223" s="116">
        <f>IF(ISERROR(BN14/BM14),"-",BN14/BM14-1)</f>
        <v>0.11040723981900458</v>
      </c>
      <c r="BO223" s="116" t="s">
        <v>6442</v>
      </c>
      <c r="BP223" s="90"/>
      <c r="BQ223" s="116">
        <f>IF(ISERROR(BQ14/BN14),"-",BQ14/BN14-1)</f>
        <v>2.2004889975550057E-2</v>
      </c>
      <c r="BR223" s="116">
        <f>IF(ISERROR(BR14/BQ14),"-",BR14/BQ14-1)</f>
        <v>5.5023923444976086E-2</v>
      </c>
      <c r="BS223" s="116">
        <f>IF(ISERROR(BS14/BR14),"-",BS14/BR14-1)</f>
        <v>7.7853363567649048E-2</v>
      </c>
      <c r="BT223" s="116">
        <f>IF(ISERROR(BT14/BS14),"-",BT14/BS14-1)</f>
        <v>7.3632538569424977E-2</v>
      </c>
      <c r="BU223" s="116" t="s">
        <v>6442</v>
      </c>
      <c r="BV223" s="90"/>
      <c r="BW223" s="116">
        <f>IF(ISERROR(BW14/BT14),"-",BW14/BT14-1)</f>
        <v>8.8177661659046391E-2</v>
      </c>
      <c r="BX223" s="116">
        <f>IF(ISERROR(BX14/BW14),"-",BX14/BW14-1)</f>
        <v>7.623049219687883E-2</v>
      </c>
      <c r="BY223" s="116">
        <f>IF(ISERROR(BY14/BX14),"-",BY14/BX14-1)</f>
        <v>3.7925264919129953E-2</v>
      </c>
      <c r="BZ223" s="116">
        <f>IF(ISERROR(BZ14/BY14),"-",BZ14/BY14-1)</f>
        <v>-3.3852767329392686E-2</v>
      </c>
      <c r="CA223" s="116" t="s">
        <v>6442</v>
      </c>
      <c r="CB223" s="90"/>
      <c r="CC223" s="116">
        <f>IF(ISERROR(CC14/BZ14),"-",CC14/BZ14-1)</f>
        <v>1.3348164627363657E-2</v>
      </c>
      <c r="CD223" s="116">
        <f>IF(ISERROR(CD14/CC14),"-",CD14/CC14-1)</f>
        <v>9.3304061470911304E-3</v>
      </c>
      <c r="CE223" s="116">
        <f>IF(ISERROR(CE14/CD14),"-",CE14/CD14-1)</f>
        <v>-1.6856987493202746E-2</v>
      </c>
      <c r="CF223" s="116">
        <f>IF(ISERROR(CF14/CE14),"-",CF14/CE14-1)</f>
        <v>2.9314159292035402E-2</v>
      </c>
      <c r="CG223" s="116" t="s">
        <v>6442</v>
      </c>
      <c r="CH223" s="90"/>
      <c r="CI223" s="116">
        <f>IF(ISERROR(CI14/CF14),"-",CI14/CF14-1)</f>
        <v>4.6749059645352142E-2</v>
      </c>
      <c r="CJ223" s="116">
        <f>IF(ISERROR(CJ14/CI14),"-",CJ14/CI14-1)</f>
        <v>-1.3860369609856371E-2</v>
      </c>
      <c r="CK223" s="116">
        <f>IF(ISERROR(CK14/CJ14),"-",CK14/CJ14-1)</f>
        <v>1.3534617386777636E-2</v>
      </c>
      <c r="CL223" s="116">
        <f>IF(ISERROR(CL14/CK14),"-",CL14/CK14-1)</f>
        <v>1.7462763225475131E-2</v>
      </c>
      <c r="CM223" s="116" t="s">
        <v>6442</v>
      </c>
      <c r="CN223" s="90"/>
      <c r="CO223" s="116">
        <f>IF(ISERROR(CO14/CL14),"-",CO14/CL14-1)</f>
        <v>3.634528016153471E-2</v>
      </c>
      <c r="CP223" s="116">
        <f>IF(ISERROR(CP14/CO14),"-",CP14/CO14-1)</f>
        <v>3.8967364831953288E-2</v>
      </c>
      <c r="CQ223" s="116">
        <f>IF(ISERROR(CQ14/CP14),"-",CQ14/CP14-1)</f>
        <v>1.8284106891701679E-2</v>
      </c>
      <c r="CR223" s="116">
        <f>IF(ISERROR(CR14/CQ14),"-",CR14/CQ14-1)</f>
        <v>2.3020257826887658E-2</v>
      </c>
      <c r="CS223" s="116" t="s">
        <v>6442</v>
      </c>
      <c r="CT223" s="90"/>
      <c r="CU223" s="116">
        <f>IF(ISERROR(CU14/CR14),"-",CU14/CR14-1)</f>
        <v>4.9954995499549959E-2</v>
      </c>
      <c r="CV223" s="116">
        <f>IF(ISERROR(CV14/CU14),"-",CV14/CU14-1)</f>
        <v>7.2867552507500655E-3</v>
      </c>
      <c r="CW223" s="116">
        <f>IF(ISERROR(CW14/CV14),"-",CW14/CV14-1)</f>
        <v>1.2765957446808418E-2</v>
      </c>
      <c r="CX223" s="116">
        <f>IF(ISERROR(CX14/CW14),"-",CX14/CW14-1)</f>
        <v>1.6806722689075571E-2</v>
      </c>
      <c r="CY223" s="116" t="s">
        <v>6442</v>
      </c>
      <c r="CZ223" s="90"/>
      <c r="DA223" s="116">
        <f>IF(ISERROR(DA14/CX14),"-",DA14/CX14-1)</f>
        <v>2.0247933884297575E-2</v>
      </c>
      <c r="DB223" s="116">
        <f>IF(ISERROR(DB14/DA14),"-",DB14/DA14-1)</f>
        <v>6.4803564196029839E-3</v>
      </c>
      <c r="DC223" s="116">
        <f>IF(ISERROR(DC14/DB14),"-",DC14/DB14-1)</f>
        <v>3.7022132796780571E-2</v>
      </c>
      <c r="DD223" s="116">
        <f>IF(ISERROR(DD14/DC14),"-",DD14/DC14-1)</f>
        <v>3.1819945673263517E-2</v>
      </c>
      <c r="DE223" s="116" t="s">
        <v>6442</v>
      </c>
      <c r="DF223" s="90"/>
      <c r="DG223" s="116">
        <f>IF(ISERROR(DG14/DD14),"-",DG14/DD14-1)</f>
        <v>3.9112448288830537E-2</v>
      </c>
      <c r="DH223" s="116">
        <f>IF(ISERROR(DH14/DG14),"-",DH14/DG14-1)</f>
        <v>3.7640246109301501E-2</v>
      </c>
      <c r="DI223" s="116">
        <f>IF(ISERROR(DI14/DH14),"-",DI14/DH14-1)</f>
        <v>3.7670038367631609E-2</v>
      </c>
      <c r="DJ223" s="116">
        <f>IF(ISERROR(DJ14/DI14),"-",DJ14/DI14-1)</f>
        <v>4.3025210084033594E-2</v>
      </c>
      <c r="DK223" s="116" t="s">
        <v>6442</v>
      </c>
      <c r="DL223" s="90"/>
      <c r="DM223" s="116">
        <f>IF(ISERROR(DM14/DJ14),"-",DM14/DJ14-1)</f>
        <v>3.0615533354817925E-2</v>
      </c>
      <c r="DN223" s="116">
        <f>IF(ISERROR(DN14/DM14),"-",DN14/DM14-1)</f>
        <v>-2.5015634771732298E-3</v>
      </c>
      <c r="DO223" s="116">
        <f>IF(ISERROR(DO14/DN14),"-",DO14/DN14-1)</f>
        <v>-3.1347962382455297E-4</v>
      </c>
      <c r="DP223" s="116">
        <f>IF(ISERROR(DP14/DO14),"-",DP14/DO14-1)</f>
        <v>1.8814675446849893E-3</v>
      </c>
      <c r="DQ223" s="116" t="s">
        <v>6442</v>
      </c>
      <c r="DR223" s="90"/>
      <c r="DS223" s="116">
        <f>IF(ISERROR(DS14/DP14),"-",DS14/DP14-1)</f>
        <v>2.0344287949921824E-2</v>
      </c>
      <c r="DT223" s="116">
        <f>IF(ISERROR(DT14/DS14),"-",DT14/DS14-1)</f>
        <v>-1.2269938650306789E-2</v>
      </c>
      <c r="DU223" s="116">
        <f>IF(ISERROR(DU14/DT14),"-",DU14/DT14-1)</f>
        <v>-7.76397515527949E-3</v>
      </c>
      <c r="DV223" s="116">
        <f>IF(ISERROR(DV14/DU14),"-",DV14/DU14-1)</f>
        <v>9.3896713615022609E-3</v>
      </c>
      <c r="DW223" s="116" t="s">
        <v>6442</v>
      </c>
      <c r="DX223" s="90"/>
      <c r="DY223" s="116">
        <f>IF(ISERROR(DY14/DV14),"-",DY14/DV14-1)</f>
        <v>-1</v>
      </c>
      <c r="DZ223" s="116" t="str">
        <f>IF(ISERROR(DZ14/DY14),"-",DZ14/DY14-1)</f>
        <v>-</v>
      </c>
      <c r="EA223" s="116" t="str">
        <f>IF(ISERROR(EA14/DZ14),"-",EA14/DZ14-1)</f>
        <v>-</v>
      </c>
      <c r="EB223" s="116" t="str">
        <f>IF(ISERROR(EB14/EA14),"-",EB14/EA14-1)</f>
        <v>-</v>
      </c>
      <c r="EC223" s="116" t="s">
        <v>6442</v>
      </c>
      <c r="ED223" s="90"/>
      <c r="EE223" s="116" t="str">
        <f>IF(ISERROR(EE14/EB14),"-",EE14/EB14-1)</f>
        <v>-</v>
      </c>
      <c r="EF223" s="116" t="str">
        <f>IF(ISERROR(EF14/EE14),"-",EF14/EE14-1)</f>
        <v>-</v>
      </c>
      <c r="EG223" s="116" t="str">
        <f>IF(ISERROR(EG14/EF14),"-",EG14/EF14-1)</f>
        <v>-</v>
      </c>
      <c r="EH223" s="116" t="str">
        <f>IF(ISERROR(EH14/EG14),"-",EH14/EG14-1)</f>
        <v>-</v>
      </c>
      <c r="EI223" s="116" t="s">
        <v>6442</v>
      </c>
      <c r="EJ223" s="90"/>
      <c r="EK223" s="116" t="str">
        <f>IF(ISERROR(EK14/EH14),"-",EK14/EH14-1)</f>
        <v>-</v>
      </c>
      <c r="EL223" s="116" t="str">
        <f>IF(ISERROR(EL14/EK14),"-",EL14/EK14-1)</f>
        <v>-</v>
      </c>
      <c r="EM223" s="116" t="str">
        <f>IF(ISERROR(EM14/EL14),"-",EM14/EL14-1)</f>
        <v>-</v>
      </c>
      <c r="EN223" s="116" t="str">
        <f>IF(ISERROR(EN14/EM14),"-",EN14/EM14-1)</f>
        <v>-</v>
      </c>
      <c r="EO223" s="116" t="s">
        <v>6442</v>
      </c>
      <c r="EP223" s="90"/>
      <c r="EQ223" s="116" t="str">
        <f>IF(ISERROR(EQ14/EN14),"-",EQ14/EN14-1)</f>
        <v>-</v>
      </c>
      <c r="ER223" s="116" t="str">
        <f>IF(ISERROR(ER14/EQ14),"-",ER14/EQ14-1)</f>
        <v>-</v>
      </c>
      <c r="ES223" s="116" t="str">
        <f>IF(ISERROR(ES14/ER14),"-",ES14/ER14-1)</f>
        <v>-</v>
      </c>
      <c r="ET223" s="116" t="str">
        <f>IF(ISERROR(ET14/ES14),"-",ET14/ES14-1)</f>
        <v>-</v>
      </c>
      <c r="EU223" s="116" t="s">
        <v>6442</v>
      </c>
      <c r="EV223" s="90"/>
    </row>
    <row r="224" spans="1:152">
      <c r="A224" s="90" t="s">
        <v>5637</v>
      </c>
      <c r="B224" s="526"/>
      <c r="C224" s="116"/>
      <c r="D224" s="116">
        <f>IF(ISERROR(D31/C31),"-",D31/C31-1)</f>
        <v>-5.5759354365370717E-2</v>
      </c>
      <c r="E224" s="116">
        <f>IF(ISERROR(E31/D31),"-",E31/D31-1)</f>
        <v>-9.4017094017094016E-2</v>
      </c>
      <c r="F224" s="116">
        <f>IF(ISERROR(F31/E31),"-",F31/E31-1)</f>
        <v>-1.3722126929674006E-2</v>
      </c>
      <c r="G224" s="104" t="s">
        <v>6442</v>
      </c>
      <c r="H224" s="90"/>
      <c r="I224" s="116">
        <f>IF(ISERROR(I31/C31),"-",I31/C31-1)</f>
        <v>7.1166544387380792E-2</v>
      </c>
      <c r="J224" s="116">
        <f>IF(ISERROR(J31/I31),"-",J31/I31-1)</f>
        <v>0.29383561643835621</v>
      </c>
      <c r="K224" s="116">
        <f>IF(ISERROR(K31/J31),"-",K31/J31-1)</f>
        <v>6.1937533086289021E-2</v>
      </c>
      <c r="L224" s="116">
        <f>IF(ISERROR(L31/K31),"-",L31/K31-1)</f>
        <v>9.2223330009970184E-2</v>
      </c>
      <c r="M224" s="104" t="s">
        <v>6442</v>
      </c>
      <c r="N224" s="90"/>
      <c r="O224" s="116">
        <f>IF(ISERROR(O31/I31),"-",O31/I31-1)</f>
        <v>0.56083561643835611</v>
      </c>
      <c r="P224" s="116">
        <f>IF(ISERROR(P31/O31),"-",P31/O31-1)</f>
        <v>1.9589085579378773E-2</v>
      </c>
      <c r="Q224" s="116">
        <f>IF(ISERROR(Q31/P31),"-",Q31/P31-1)</f>
        <v>-9.4862833877062624E-2</v>
      </c>
      <c r="R224" s="116">
        <f>IF(ISERROR(R31/Q31),"-",R31/Q31-1)</f>
        <v>6.1786453008725317E-2</v>
      </c>
      <c r="S224" s="104" t="s">
        <v>6442</v>
      </c>
      <c r="T224" s="90"/>
      <c r="U224" s="116">
        <f>IF(ISERROR(U31/O31),"-",U31/O31-1)</f>
        <v>-0.11067570058188014</v>
      </c>
      <c r="V224" s="116">
        <f>IF(ISERROR(V31/U31),"-",V31/U31-1)</f>
        <v>3.9084974415402929E-2</v>
      </c>
      <c r="W224" s="116">
        <f>IF(ISERROR(W31/V31),"-",W31/V31-1)</f>
        <v>-1.1639171439154272E-2</v>
      </c>
      <c r="X224" s="116">
        <f>IF(ISERROR(X31/W31),"-",X31/W31-1)</f>
        <v>8.9107341049627253E-2</v>
      </c>
      <c r="Y224" s="104" t="s">
        <v>6442</v>
      </c>
      <c r="Z224" s="104"/>
      <c r="AA224" s="116">
        <f>IF(ISERROR(AA31/U31),"-",AA31/U31-1)</f>
        <v>0.14111249821129856</v>
      </c>
      <c r="AB224" s="116">
        <f>IF(ISERROR(AB31/AA31),"-",AB31/AA31-1)</f>
        <v>6.8408148439629279E-3</v>
      </c>
      <c r="AC224" s="116">
        <f>IF(ISERROR(AC31/AB31),"-",AC31/AB31-1)</f>
        <v>-1.5736060229942339E-2</v>
      </c>
      <c r="AD224" s="116">
        <f>IF(ISERROR(AD31/AC31),"-",AD31/AC31-1)</f>
        <v>6.052090742090166E-2</v>
      </c>
      <c r="AE224" s="104" t="s">
        <v>6442</v>
      </c>
      <c r="AF224" s="104"/>
      <c r="AG224" s="116">
        <f>IF(ISERROR(AG31/AA31),"-",AG31/AA31-1)</f>
        <v>6.2618103511647094E-2</v>
      </c>
      <c r="AH224" s="116">
        <f>IF(ISERROR(AH31/AG31),"-",AH31/AG31-1)</f>
        <v>-5.8517131928054078E-2</v>
      </c>
      <c r="AI224" s="116">
        <f>IF(ISERROR(AI31/AH31),"-",AI31/AH31-1)</f>
        <v>-6.4846991701244749E-2</v>
      </c>
      <c r="AJ224" s="116">
        <f>IF(ISERROR(AJ31/AI31),"-",AJ31/AI31-1)</f>
        <v>0.17414273631081967</v>
      </c>
      <c r="AK224" s="104" t="s">
        <v>6442</v>
      </c>
      <c r="AL224" s="90"/>
      <c r="AM224" s="116">
        <f>IF(ISERROR(AM31/AG31),"-",AM31/AG31-1)</f>
        <v>-6.679010336127611E-2</v>
      </c>
      <c r="AN224" s="116">
        <f>IF(ISERROR(AN31/AM31),"-",AN31/AM31-1)</f>
        <v>-7.8167856379754652E-2</v>
      </c>
      <c r="AO224" s="116">
        <f>IF(ISERROR(AO31/AN31),"-",AO31/AN31-1)</f>
        <v>-0.10737886764963278</v>
      </c>
      <c r="AP224" s="116">
        <f>IF(ISERROR(AP31/AO31),"-",AP31/AO31-1)</f>
        <v>3.611533590177074E-2</v>
      </c>
      <c r="AQ224" s="104" t="s">
        <v>6442</v>
      </c>
      <c r="AR224" s="90"/>
      <c r="AS224" s="116">
        <f>IF(ISERROR(AS31/AM31),"-",AS31/AM31-1)</f>
        <v>-8.0936828197290311E-2</v>
      </c>
      <c r="AT224" s="116">
        <f>IF(ISERROR(AT31/AS31),"-",AT31/AS31-1)</f>
        <v>4.4551777800974079E-3</v>
      </c>
      <c r="AU224" s="116">
        <f>IF(ISERROR(AU31/AT31),"-",AU31/AT31-1)</f>
        <v>0.10465978602300385</v>
      </c>
      <c r="AV224" s="116">
        <f>IF(ISERROR(AV31/AU31),"-",AV31/AU31-1)</f>
        <v>0.26275324764177199</v>
      </c>
      <c r="AW224" s="104" t="s">
        <v>6442</v>
      </c>
      <c r="AX224" s="90"/>
      <c r="AY224" s="116">
        <f>IF(ISERROR(AY31/AS31),"-",AY31/AS31-1)</f>
        <v>0.41910934401184274</v>
      </c>
      <c r="AZ224" s="116">
        <f>IF(ISERROR(AZ31/AY31),"-",AZ31/AY31-1)</f>
        <v>-6.1183550651955909E-2</v>
      </c>
      <c r="BA224" s="116">
        <f>IF(ISERROR(BA31/AZ31),"-",BA31/AZ31-1)</f>
        <v>7.3361823361823397E-2</v>
      </c>
      <c r="BB224" s="116">
        <f>IF(ISERROR(BB31/BA31),"-",BB31/BA31-1)</f>
        <v>0.18646317186463146</v>
      </c>
      <c r="BC224" s="104" t="s">
        <v>6442</v>
      </c>
      <c r="BD224" s="90"/>
      <c r="BE224" s="116">
        <f>IF(ISERROR(BE31/AY31),"-",BE31/AY31-1)</f>
        <v>0.20060180541624861</v>
      </c>
      <c r="BF224" s="116">
        <f>IF(ISERROR(BF31/BE31),"-",BF31/BE31-1)</f>
        <v>4.9289891395154495E-2</v>
      </c>
      <c r="BG224" s="116">
        <f>IF(ISERROR(BG31/BF31),"-",BG31/BF31-1)</f>
        <v>1.247346072186839E-2</v>
      </c>
      <c r="BH224" s="116">
        <f>IF(ISERROR(BH31/BG31),"-",BH31/BG31-1)</f>
        <v>0.10039318479685466</v>
      </c>
      <c r="BI224" s="104" t="s">
        <v>6442</v>
      </c>
      <c r="BJ224" s="90"/>
      <c r="BK224" s="116">
        <f>IF(ISERROR(BK31/BE31),"-",BK31/BE31-1)</f>
        <v>0.2141464773043722</v>
      </c>
      <c r="BL224" s="116">
        <f>IF(ISERROR(BL31/BK31),"-",BL31/BK31-1)</f>
        <v>3.1192660550458662E-2</v>
      </c>
      <c r="BM224" s="116">
        <f>IF(ISERROR(BM31/BL31),"-",BM31/BL31-1)</f>
        <v>1.6014234875444844E-2</v>
      </c>
      <c r="BN224" s="116">
        <f>IF(ISERROR(BN31/BM31),"-",BN31/BM31-1)</f>
        <v>8.8879159369527061E-2</v>
      </c>
      <c r="BO224" s="104" t="s">
        <v>6442</v>
      </c>
      <c r="BP224" s="90"/>
      <c r="BQ224" s="116">
        <f>IF(ISERROR(BQ31/BK31),"-",BQ31/BK31-1)</f>
        <v>0.16651376146788999</v>
      </c>
      <c r="BR224" s="116">
        <f>IF(ISERROR(BR31/BQ31),"-",BR31/BQ31-1)</f>
        <v>3.4014942980731488E-2</v>
      </c>
      <c r="BS224" s="116">
        <f>IF(ISERROR(BS31/BR31),"-",BS31/BR31-1)</f>
        <v>2.3768777334093771E-2</v>
      </c>
      <c r="BT224" s="116">
        <f>IF(ISERROR(BT31/BS31),"-",BT31/BS31-1)</f>
        <v>0.11274145616641906</v>
      </c>
      <c r="BU224" s="104" t="s">
        <v>6442</v>
      </c>
      <c r="BV224" s="90"/>
      <c r="BW224" s="116">
        <f>IF(ISERROR(BW31/BQ31),"-",BW31/BQ31-1)</f>
        <v>0.17734958710184801</v>
      </c>
      <c r="BX224" s="116">
        <f>IF(ISERROR(BX31/BW31),"-",BX31/BW31-1)</f>
        <v>3.4569138276553169E-2</v>
      </c>
      <c r="BY224" s="116">
        <f>IF(ISERROR(BY31/BX31),"-",BY31/BX31-1)</f>
        <v>-2.001614205004032E-2</v>
      </c>
      <c r="BZ224" s="116">
        <f>IF(ISERROR(BZ31/BY31),"-",BZ31/BY31-1)</f>
        <v>-0.19321363860978424</v>
      </c>
      <c r="CA224" s="104" t="s">
        <v>6442</v>
      </c>
      <c r="CB224" s="90"/>
      <c r="CC224" s="116">
        <f>IF(ISERROR(CC31/BW31),"-",CC31/BW31-1)</f>
        <v>-0.28891115564462255</v>
      </c>
      <c r="CD224" s="116">
        <f>IF(ISERROR(CD31/CC31),"-",CD31/CC31-1)</f>
        <v>-2.5598872710192566E-2</v>
      </c>
      <c r="CE224" s="116">
        <f>IF(ISERROR(CE31/CD31),"-",CE31/CD31-1)</f>
        <v>4.8204386599179916E-3</v>
      </c>
      <c r="CF224" s="116">
        <f>IF(ISERROR(CF31/CE31),"-",CF31/CE31-1)</f>
        <v>9.4027344686975489E-2</v>
      </c>
      <c r="CG224" s="104" t="s">
        <v>6442</v>
      </c>
      <c r="CH224" s="90"/>
      <c r="CI224" s="116">
        <f>IF(ISERROR(CI31/CC31),"-",CI31/CC31-1)</f>
        <v>0.11460779708783475</v>
      </c>
      <c r="CJ224" s="116">
        <f>IF(ISERROR(CJ31/CI31),"-",CJ31/CI31-1)</f>
        <v>-3.7926675094818174E-3</v>
      </c>
      <c r="CK224" s="116">
        <f>IF(ISERROR(CK31/CJ31),"-",CK31/CJ31-1)</f>
        <v>8.2487309644669882E-3</v>
      </c>
      <c r="CL224" s="116">
        <f>IF(ISERROR(CL31/CK31),"-",CL31/CK31-1)</f>
        <v>0.10698552548772833</v>
      </c>
      <c r="CM224" s="104" t="s">
        <v>6442</v>
      </c>
      <c r="CN224" s="90"/>
      <c r="CO224" s="116">
        <f>IF(ISERROR(CO31/CI31),"-",CO31/CI31-1)</f>
        <v>0.11314791403286972</v>
      </c>
      <c r="CP224" s="116">
        <f>IF(ISERROR(CP31/CO31),"-",CP31/CO31-1)</f>
        <v>3.4071550255536653E-2</v>
      </c>
      <c r="CQ224" s="116">
        <f>IF(ISERROR(CQ31/CP31),"-",CQ31/CP31-1)</f>
        <v>4.2101409481969387E-3</v>
      </c>
      <c r="CR224" s="116">
        <f>IF(ISERROR(CR31/CQ31),"-",CR31/CQ31-1)</f>
        <v>7.9839591687933087E-2</v>
      </c>
      <c r="CS224" s="104" t="s">
        <v>6442</v>
      </c>
      <c r="CT224" s="90"/>
      <c r="CU224" s="116">
        <f>IF(ISERROR(CU31/CO31),"-",CU31/CO31-1)</f>
        <v>0.1141396933560479</v>
      </c>
      <c r="CV224" s="116">
        <f>IF(ISERROR(CV31/CU31),"-",CV31/CU31-1)</f>
        <v>-3.3299354400271874E-2</v>
      </c>
      <c r="CW224" s="116">
        <f>IF(ISERROR(CW31/CV31),"-",CW31/CV31-1)</f>
        <v>-3.690685413005268E-2</v>
      </c>
      <c r="CX224" s="116">
        <f>IF(ISERROR(CX31/CW31),"-",CX31/CW31-1)</f>
        <v>0.10766423357664223</v>
      </c>
      <c r="CY224" s="104" t="s">
        <v>6442</v>
      </c>
      <c r="CZ224" s="90"/>
      <c r="DA224" s="116">
        <f>IF(ISERROR(DA31/CU31),"-",DA31/CU31-1)</f>
        <v>-3.0920829085966828E-2</v>
      </c>
      <c r="DB224" s="116">
        <f>IF(ISERROR(DB31/DA31),"-",DB31/DA31-1)</f>
        <v>-1.5252454417952199E-2</v>
      </c>
      <c r="DC224" s="116">
        <f>IF(ISERROR(DC31/DB31),"-",DC31/DB31-1)</f>
        <v>-1.1572013530354308E-2</v>
      </c>
      <c r="DD224" s="116">
        <f>IF(ISERROR(DD31/DC31),"-",DD31/DC31-1)</f>
        <v>5.6556195965417722E-2</v>
      </c>
      <c r="DE224" s="104" t="s">
        <v>6442</v>
      </c>
      <c r="DF224" s="90"/>
      <c r="DG224" s="116">
        <f>IF(ISERROR(DG31/DA31),"-",DG31/DA31-1)</f>
        <v>3.8744740532959288E-2</v>
      </c>
      <c r="DH224" s="116">
        <f>IF(ISERROR(DH31/DG31),"-",DH31/DG31-1)</f>
        <v>7.527426160337547E-2</v>
      </c>
      <c r="DI224" s="116">
        <f>IF(ISERROR(DI31/DH31),"-",DI31/DH31-1)</f>
        <v>-2.9979595040025009E-2</v>
      </c>
      <c r="DJ224" s="116">
        <f>IF(ISERROR(DJ31/DI31),"-",DJ31/DI31-1)</f>
        <v>7.5404530744336506E-2</v>
      </c>
      <c r="DK224" s="104" t="s">
        <v>6442</v>
      </c>
      <c r="DL224" s="90"/>
      <c r="DM224" s="116">
        <f>IF(ISERROR(DM31/DG31),"-",DM31/DG31-1)</f>
        <v>9.1139240506329156E-2</v>
      </c>
      <c r="DN224" s="116">
        <f>IF(ISERROR(DN31/DM31),"-",DN31/DM31-1)</f>
        <v>-5.7231245166279976E-2</v>
      </c>
      <c r="DO224" s="116">
        <f>IF(ISERROR(DO31/DN31),"-",DO31/DN31-1)</f>
        <v>-1.5914684167350313E-2</v>
      </c>
      <c r="DP224" s="116">
        <f>IF(ISERROR(DP31/DO31),"-",DP31/DO31-1)</f>
        <v>8.0860286762254097E-2</v>
      </c>
      <c r="DQ224" s="104" t="s">
        <v>6442</v>
      </c>
      <c r="DR224" s="90"/>
      <c r="DS224" s="116">
        <f>IF(ISERROR(DS31/DM31),"-",DS31/DM31-1)</f>
        <v>-0.20819798917246712</v>
      </c>
      <c r="DT224" s="116">
        <f>IF(ISERROR(DT31/DS31),"-",DT31/DS31-1)</f>
        <v>7.5796053916780792E-2</v>
      </c>
      <c r="DU224" s="116">
        <f>IF(ISERROR(DU31/DT31),"-",DU31/DT31-1)</f>
        <v>-0.11094970038133289</v>
      </c>
      <c r="DV224" s="116">
        <f>IF(ISERROR(DV31/DU31),"-",DV31/DU31-1)</f>
        <v>-2.2058823529411797E-2</v>
      </c>
      <c r="DW224" s="104" t="s">
        <v>6442</v>
      </c>
      <c r="DX224" s="90"/>
      <c r="DY224" s="116">
        <f>IF(ISERROR(DY31/DS31),"-",DY31/DS31-1)</f>
        <v>-5.1181871459269335E-2</v>
      </c>
      <c r="DZ224" s="116">
        <f>IF(ISERROR(DZ31/DY31),"-",DZ31/DY31-1)</f>
        <v>3.3148033765698859E-2</v>
      </c>
      <c r="EA224" s="116">
        <f>IF(ISERROR(EA31/DZ31),"-",EA31/DZ31-1)</f>
        <v>2.6903148664806809E-2</v>
      </c>
      <c r="EB224" s="116">
        <f>IF(ISERROR(EB31/EA31),"-",EB31/EA31-1)</f>
        <v>7.471375897535415E-2</v>
      </c>
      <c r="EC224" s="104" t="s">
        <v>6442</v>
      </c>
      <c r="ED224" s="90"/>
      <c r="EE224" s="116">
        <f>IF(ISERROR(EE31/DY31),"-",EE31/DY31-1)</f>
        <v>0.14602332103228521</v>
      </c>
      <c r="EF224" s="116">
        <f>IF(ISERROR(EF31/EE31),"-",EF31/EE31-1)</f>
        <v>6.8154087853246503E-2</v>
      </c>
      <c r="EG224" s="116">
        <f>IF(ISERROR(EG31/EF31),"-",EG31/EF31-1)</f>
        <v>6.9218317938025464E-2</v>
      </c>
      <c r="EH224" s="116">
        <f>IF(ISERROR(EH31/EG31),"-",EH31/EG31-1)</f>
        <v>0.12107515502699373</v>
      </c>
      <c r="EI224" s="104" t="s">
        <v>6442</v>
      </c>
      <c r="EJ224" s="90"/>
      <c r="EK224" s="116">
        <f>IF(ISERROR(EK31/EE31),"-",EK31/EE31-1)</f>
        <v>0.24073792687749473</v>
      </c>
      <c r="EL224" s="116">
        <f>IF(ISERROR(EL31/EK31),"-",EL31/EK31-1)</f>
        <v>6.11023935895465E-2</v>
      </c>
      <c r="EM224" s="116">
        <f>IF(ISERROR(EM31/EL31),"-",EM31/EL31-1)</f>
        <v>7.402192502817595E-2</v>
      </c>
      <c r="EN224" s="116">
        <f>IF(ISERROR(EN31/EM31),"-",EN31/EM31-1)</f>
        <v>0.13732658705957634</v>
      </c>
      <c r="EO224" s="104" t="s">
        <v>6442</v>
      </c>
      <c r="EP224" s="90"/>
      <c r="EQ224" s="116">
        <f>IF(ISERROR(EQ31/EK31),"-",EQ31/EK31-1)</f>
        <v>0.11218875625011249</v>
      </c>
      <c r="ER224" s="116">
        <f>IF(ISERROR(ER31/EQ31),"-",ER31/EQ31-1)</f>
        <v>0.12737592065627856</v>
      </c>
      <c r="ES224" s="116">
        <f>IF(ISERROR(ES31/ER31),"-",ES31/ER31-1)</f>
        <v>0.11702552637692931</v>
      </c>
      <c r="ET224" s="116">
        <f>IF(ISERROR(ET31/ES31),"-",ET31/ES31-1)</f>
        <v>0.17398524485178979</v>
      </c>
      <c r="EU224" s="104" t="s">
        <v>6442</v>
      </c>
      <c r="EV224" s="90"/>
    </row>
    <row r="225" spans="1:152" ht="5.25" customHeight="1">
      <c r="A225" s="22"/>
      <c r="B225" s="519"/>
      <c r="C225" s="164"/>
      <c r="D225" s="164"/>
      <c r="E225" s="164"/>
      <c r="F225" s="164"/>
      <c r="G225" s="164"/>
      <c r="H225" s="24"/>
      <c r="I225" s="164"/>
      <c r="J225" s="164"/>
      <c r="K225" s="164"/>
      <c r="L225" s="164"/>
      <c r="M225" s="164"/>
      <c r="N225" s="24"/>
      <c r="O225" s="164"/>
      <c r="P225" s="164"/>
      <c r="Q225" s="164"/>
      <c r="R225" s="164"/>
      <c r="S225" s="164"/>
      <c r="T225" s="24"/>
      <c r="U225" s="164"/>
      <c r="V225" s="164"/>
      <c r="W225" s="164"/>
      <c r="X225" s="164"/>
      <c r="Y225" s="164"/>
      <c r="Z225" s="164"/>
      <c r="AA225" s="164"/>
      <c r="AB225" s="164"/>
      <c r="AC225" s="164"/>
      <c r="AD225" s="164"/>
      <c r="AE225" s="164"/>
      <c r="AF225" s="164"/>
      <c r="AG225" s="164"/>
      <c r="AH225" s="164"/>
      <c r="AI225" s="164"/>
      <c r="AJ225" s="164"/>
      <c r="AK225" s="164"/>
      <c r="AL225" s="24"/>
      <c r="AM225" s="164"/>
      <c r="AN225" s="164"/>
      <c r="AO225" s="164"/>
      <c r="AP225" s="164"/>
      <c r="AQ225" s="164"/>
      <c r="AR225" s="24"/>
      <c r="AS225" s="164"/>
      <c r="AT225" s="164"/>
      <c r="AU225" s="164"/>
      <c r="AV225" s="164"/>
      <c r="AW225" s="164"/>
      <c r="AX225" s="24"/>
      <c r="AY225" s="164"/>
      <c r="AZ225" s="164"/>
      <c r="BA225" s="164"/>
      <c r="BB225" s="164"/>
      <c r="BC225" s="164"/>
      <c r="BD225" s="24"/>
      <c r="BE225" s="164"/>
      <c r="BF225" s="164"/>
      <c r="BG225" s="164"/>
      <c r="BH225" s="164"/>
      <c r="BI225" s="164"/>
      <c r="BJ225" s="24"/>
      <c r="BK225" s="164"/>
      <c r="BL225" s="164"/>
      <c r="BM225" s="164"/>
      <c r="BN225" s="164"/>
      <c r="BO225" s="164"/>
      <c r="BP225" s="24"/>
      <c r="BQ225" s="164"/>
      <c r="BR225" s="164"/>
      <c r="BS225" s="164"/>
      <c r="BT225" s="164"/>
      <c r="BU225" s="164"/>
      <c r="BV225" s="24"/>
      <c r="BW225" s="164"/>
      <c r="BX225" s="164"/>
      <c r="BY225" s="164"/>
      <c r="BZ225" s="164"/>
      <c r="CA225" s="164"/>
      <c r="CB225" s="24"/>
      <c r="CC225" s="164"/>
      <c r="CD225" s="164"/>
      <c r="CE225" s="164"/>
      <c r="CF225" s="164"/>
      <c r="CG225" s="164"/>
      <c r="CH225" s="24"/>
      <c r="CI225" s="164"/>
      <c r="CJ225" s="164"/>
      <c r="CK225" s="164"/>
      <c r="CL225" s="164"/>
      <c r="CM225" s="164"/>
      <c r="CN225" s="24"/>
      <c r="CO225" s="164"/>
      <c r="CP225" s="164"/>
      <c r="CQ225" s="164"/>
      <c r="CR225" s="164"/>
      <c r="CS225" s="164"/>
      <c r="CT225" s="24"/>
      <c r="CU225" s="164"/>
      <c r="CV225" s="164"/>
      <c r="CW225" s="164"/>
      <c r="CX225" s="164"/>
      <c r="CY225" s="164"/>
      <c r="CZ225" s="24"/>
      <c r="DA225" s="164"/>
      <c r="DB225" s="164"/>
      <c r="DC225" s="164"/>
      <c r="DD225" s="164"/>
      <c r="DE225" s="164"/>
      <c r="DF225" s="24"/>
      <c r="DG225" s="164"/>
      <c r="DH225" s="164"/>
      <c r="DI225" s="164"/>
      <c r="DJ225" s="164"/>
      <c r="DK225" s="164"/>
      <c r="DL225" s="24"/>
      <c r="DM225" s="164"/>
      <c r="DN225" s="164"/>
      <c r="DO225" s="164"/>
      <c r="DP225" s="164"/>
      <c r="DQ225" s="164"/>
      <c r="DR225" s="24"/>
      <c r="DS225" s="164"/>
      <c r="DT225" s="164"/>
      <c r="DU225" s="164"/>
      <c r="DV225" s="164"/>
      <c r="DW225" s="164"/>
      <c r="DX225" s="24"/>
      <c r="DY225" s="164"/>
      <c r="DZ225" s="164"/>
      <c r="EA225" s="164"/>
      <c r="EB225" s="164"/>
      <c r="EC225" s="164"/>
      <c r="ED225" s="24"/>
      <c r="EE225" s="164"/>
      <c r="EF225" s="164"/>
      <c r="EG225" s="164"/>
      <c r="EH225" s="164"/>
      <c r="EI225" s="164"/>
      <c r="EJ225" s="24"/>
      <c r="EK225" s="164"/>
      <c r="EL225" s="164"/>
      <c r="EM225" s="164"/>
      <c r="EN225" s="164"/>
      <c r="EO225" s="164"/>
      <c r="EP225" s="24"/>
      <c r="EQ225" s="164"/>
      <c r="ER225" s="164"/>
      <c r="ES225" s="164"/>
      <c r="ET225" s="164"/>
      <c r="EU225" s="164"/>
      <c r="EV225" s="24"/>
    </row>
    <row r="226" spans="1:152">
      <c r="A226" s="90" t="s">
        <v>6041</v>
      </c>
      <c r="B226" s="526"/>
      <c r="C226" s="116"/>
      <c r="D226" s="116" t="str">
        <f>IF(ISERROR(D36/C36),"-",D36/C36-1)</f>
        <v>-</v>
      </c>
      <c r="E226" s="116" t="str">
        <f>IF(ISERROR(E36/D36),"-",E36/D36-1)</f>
        <v>-</v>
      </c>
      <c r="F226" s="116" t="str">
        <f>IF(ISERROR(F36/E36),"-",F36/E36-1)</f>
        <v>-</v>
      </c>
      <c r="G226" s="104" t="s">
        <v>6442</v>
      </c>
      <c r="H226" s="90"/>
      <c r="I226" s="116" t="str">
        <f>IF(ISERROR(I36/F36),"-",I36/F36-1)</f>
        <v>-</v>
      </c>
      <c r="J226" s="116" t="str">
        <f>IF(ISERROR(J36/I36),"-",J36/I36-1)</f>
        <v>-</v>
      </c>
      <c r="K226" s="116" t="str">
        <f>IF(ISERROR(K36/J36),"-",K36/J36-1)</f>
        <v>-</v>
      </c>
      <c r="L226" s="116" t="str">
        <f>IF(ISERROR(L36/K36),"-",L36/K36-1)</f>
        <v>-</v>
      </c>
      <c r="M226" s="104" t="s">
        <v>6442</v>
      </c>
      <c r="N226" s="90"/>
      <c r="O226" s="116" t="str">
        <f>IF(ISERROR(O36/L36),"-",O36/L36-1)</f>
        <v>-</v>
      </c>
      <c r="P226" s="116" t="str">
        <f>IF(ISERROR(P36/O36),"-",P36/O36-1)</f>
        <v>-</v>
      </c>
      <c r="Q226" s="116" t="str">
        <f>IF(ISERROR(Q36/P36),"-",Q36/P36-1)</f>
        <v>-</v>
      </c>
      <c r="R226" s="116" t="str">
        <f>IF(ISERROR(R36/Q36),"-",R36/Q36-1)</f>
        <v>-</v>
      </c>
      <c r="S226" s="104" t="s">
        <v>6442</v>
      </c>
      <c r="T226" s="90"/>
      <c r="U226" s="116" t="str">
        <f>IF(ISERROR(U36/R36),"-",U36/R36-1)</f>
        <v>-</v>
      </c>
      <c r="V226" s="116" t="str">
        <f>IF(ISERROR(V36/U36),"-",V36/U36-1)</f>
        <v>-</v>
      </c>
      <c r="W226" s="116" t="str">
        <f>IF(ISERROR(W36/V36),"-",W36/V36-1)</f>
        <v>-</v>
      </c>
      <c r="X226" s="116" t="str">
        <f>IF(ISERROR(X36/W36),"-",X36/W36-1)</f>
        <v>-</v>
      </c>
      <c r="Y226" s="104" t="s">
        <v>6442</v>
      </c>
      <c r="Z226" s="104"/>
      <c r="AA226" s="116" t="str">
        <f>IF(ISERROR(AA36/X36),"-",AA36/X36-1)</f>
        <v>-</v>
      </c>
      <c r="AB226" s="116" t="str">
        <f>IF(ISERROR(AB36/AA36),"-",AB36/AA36-1)</f>
        <v>-</v>
      </c>
      <c r="AC226" s="116" t="str">
        <f>IF(ISERROR(AC36/AB36),"-",AC36/AB36-1)</f>
        <v>-</v>
      </c>
      <c r="AD226" s="116" t="str">
        <f>IF(ISERROR(AD36/AC36),"-",AD36/AC36-1)</f>
        <v>-</v>
      </c>
      <c r="AE226" s="104" t="s">
        <v>6442</v>
      </c>
      <c r="AF226" s="104"/>
      <c r="AG226" s="116" t="str">
        <f>IF(ISERROR(AG36/AD36),"-",AG36/AD36-1)</f>
        <v>-</v>
      </c>
      <c r="AH226" s="116">
        <f>IF(ISERROR(AH36/AG36),"-",AH36/AG36-1)</f>
        <v>-4.5296828408782797E-2</v>
      </c>
      <c r="AI226" s="116">
        <f>IF(ISERROR(AI36/AH36),"-",AI36/AH36-1)</f>
        <v>3.2283710497174933E-2</v>
      </c>
      <c r="AJ226" s="116">
        <f>IF(ISERROR(AJ36/AI36),"-",AJ36/AI36-1)</f>
        <v>0.12358345252503011</v>
      </c>
      <c r="AK226" s="104" t="s">
        <v>6442</v>
      </c>
      <c r="AL226" s="90"/>
      <c r="AM226" s="116">
        <f>IF(ISERROR(AM36/AJ36),"-",AM36/AJ36-1)</f>
        <v>-2.4578325050796823E-2</v>
      </c>
      <c r="AN226" s="116">
        <f>IF(ISERROR(AN36/AM36),"-",AN36/AM36-1)</f>
        <v>-0.16634458526791318</v>
      </c>
      <c r="AO226" s="116">
        <f>IF(ISERROR(AO36/AN36),"-",AO36/AN36-1)</f>
        <v>-7.240268537194805E-2</v>
      </c>
      <c r="AP226" s="116">
        <f>IF(ISERROR(AP36/AO36),"-",AP36/AO36-1)</f>
        <v>3.2487342593794599E-2</v>
      </c>
      <c r="AQ226" s="104" t="s">
        <v>6442</v>
      </c>
      <c r="AR226" s="90"/>
      <c r="AS226" s="116">
        <f>IF(ISERROR(AS36/AP36),"-",AS36/AP36-1)</f>
        <v>0.1016565554961808</v>
      </c>
      <c r="AT226" s="116">
        <f>IF(ISERROR(AT36/AS36),"-",AT36/AS36-1)</f>
        <v>-7.3957828059462938E-2</v>
      </c>
      <c r="AU226" s="116">
        <f>IF(ISERROR(AU36/AT36),"-",AU36/AT36-1)</f>
        <v>7.2407949468493715E-3</v>
      </c>
      <c r="AV226" s="116">
        <f>IF(ISERROR(AV36/AU36),"-",AV36/AU36-1)</f>
        <v>-4.7415111654940389E-3</v>
      </c>
      <c r="AW226" s="104" t="s">
        <v>6442</v>
      </c>
      <c r="AX226" s="90"/>
      <c r="AY226" s="116">
        <f>IF(ISERROR(AY36/AV36),"-",AY36/AV36-1)</f>
        <v>0.15567850007684059</v>
      </c>
      <c r="AZ226" s="116">
        <f>IF(ISERROR(AZ36/AY36),"-",AZ36/AY36-1)</f>
        <v>-3.9893617021276584E-2</v>
      </c>
      <c r="BA226" s="116">
        <f>IF(ISERROR(BA36/AZ36),"-",BA36/AZ36-1)</f>
        <v>8.5872576177285387E-2</v>
      </c>
      <c r="BB226" s="116">
        <f>IF(ISERROR(BB36/BA36),"-",BB36/BA36-1)</f>
        <v>1.0204081632652962E-2</v>
      </c>
      <c r="BC226" s="104" t="s">
        <v>6442</v>
      </c>
      <c r="BD226" s="90"/>
      <c r="BE226" s="116">
        <f>IF(ISERROR(BE36/BB36),"-",BE36/BB36-1)</f>
        <v>-2.2727272727272707E-2</v>
      </c>
      <c r="BF226" s="116">
        <f>IF(ISERROR(BF36/BE36),"-",BF36/BE36-1)</f>
        <v>2.8423772609818876E-2</v>
      </c>
      <c r="BG226" s="116">
        <f>IF(ISERROR(BG36/BF36),"-",BG36/BF36-1)</f>
        <v>2.5125628140703515E-2</v>
      </c>
      <c r="BH226" s="116">
        <f>IF(ISERROR(BH36/BG36),"-",BH36/BG36-1)</f>
        <v>-6.3725490196078316E-2</v>
      </c>
      <c r="BI226" s="104" t="s">
        <v>6442</v>
      </c>
      <c r="BJ226" s="90"/>
      <c r="BK226" s="116">
        <f>IF(ISERROR(BK36/BH36),"-",BK36/BH36-1)</f>
        <v>0.18062827225130884</v>
      </c>
      <c r="BL226" s="116">
        <f>IF(ISERROR(BL36/BK36),"-",BL36/BK36-1)</f>
        <v>0.12195121951219501</v>
      </c>
      <c r="BM226" s="116">
        <f>IF(ISERROR(BM36/BL36),"-",BM36/BL36-1)</f>
        <v>5.9288537549406772E-3</v>
      </c>
      <c r="BN226" s="116">
        <f>IF(ISERROR(BN36/BM36),"-",BN36/BM36-1)</f>
        <v>-3.9292730844793677E-2</v>
      </c>
      <c r="BO226" s="104" t="s">
        <v>6442</v>
      </c>
      <c r="BP226" s="90"/>
      <c r="BQ226" s="116">
        <f>IF(ISERROR(BQ36/BN36),"-",BQ36/BN36-1)</f>
        <v>-4.4989775051124781E-2</v>
      </c>
      <c r="BR226" s="116">
        <f>IF(ISERROR(BR36/BQ36),"-",BR36/BQ36-1)</f>
        <v>-6.4239828693789525E-3</v>
      </c>
      <c r="BS226" s="116">
        <f>IF(ISERROR(BS36/BR36),"-",BS36/BR36-1)</f>
        <v>-4.094827586206895E-2</v>
      </c>
      <c r="BT226" s="116">
        <f>IF(ISERROR(BT36/BS36),"-",BT36/BS36-1)</f>
        <v>-1.3483146067415741E-2</v>
      </c>
      <c r="BU226" s="104" t="s">
        <v>6442</v>
      </c>
      <c r="BV226" s="90"/>
      <c r="BW226" s="116">
        <f>IF(ISERROR(BW36/BT36),"-",BW36/BT36-1)</f>
        <v>0.16628701594533024</v>
      </c>
      <c r="BX226" s="116">
        <f>IF(ISERROR(BX36/BW36),"-",BX36/BW36-1)</f>
        <v>-3.906249999999889E-3</v>
      </c>
      <c r="BY226" s="116">
        <f>IF(ISERROR(BY36/BX36),"-",BY36/BX36-1)</f>
        <v>-0.1588235294117647</v>
      </c>
      <c r="BZ226" s="116">
        <f>IF(ISERROR(BZ36/BY36),"-",BZ36/BY36-1)</f>
        <v>-0.12354312354312347</v>
      </c>
      <c r="CA226" s="104" t="s">
        <v>6442</v>
      </c>
      <c r="CB226" s="90"/>
      <c r="CC226" s="116">
        <f>IF(ISERROR(CC36/BZ36),"-",CC36/BZ36-1)</f>
        <v>7.9787234042552946E-2</v>
      </c>
      <c r="CD226" s="116">
        <f>IF(ISERROR(CD36/CC36),"-",CD36/CC36-1)</f>
        <v>-6.1576354679802936E-2</v>
      </c>
      <c r="CE226" s="116">
        <f>IF(ISERROR(CE36/CD36),"-",CE36/CD36-1)</f>
        <v>-0.15485564304461918</v>
      </c>
      <c r="CF226" s="116">
        <f>IF(ISERROR(CF36/CE36),"-",CF36/CE36-1)</f>
        <v>2.4844720496894013E-2</v>
      </c>
      <c r="CG226" s="104" t="s">
        <v>6442</v>
      </c>
      <c r="CH226" s="90"/>
      <c r="CI226" s="116">
        <f>IF(ISERROR(CI36/CF36),"-",CI36/CF36-1)</f>
        <v>-9.0909090909088164E-3</v>
      </c>
      <c r="CJ226" s="116">
        <f>IF(ISERROR(CJ36/CI36),"-",CJ36/CI36-1)</f>
        <v>-1.8348623853211232E-2</v>
      </c>
      <c r="CK226" s="116">
        <f>IF(ISERROR(CK36/CJ36),"-",CK36/CJ36-1)</f>
        <v>-2.4922118380062197E-2</v>
      </c>
      <c r="CL226" s="116">
        <f>IF(ISERROR(CL36/CK36),"-",CL36/CK36-1)</f>
        <v>2.2204460492503131E-16</v>
      </c>
      <c r="CM226" s="104" t="s">
        <v>6442</v>
      </c>
      <c r="CN226" s="90"/>
      <c r="CO226" s="116">
        <f>IF(ISERROR(CO36/CL36),"-",CO36/CL36-1)</f>
        <v>7.348242811501593E-2</v>
      </c>
      <c r="CP226" s="116">
        <f>IF(ISERROR(CP36/CO36),"-",CP36/CO36-1)</f>
        <v>7.7380952380952328E-2</v>
      </c>
      <c r="CQ226" s="116">
        <f>IF(ISERROR(CQ36/CP36),"-",CQ36/CP36-1)</f>
        <v>6.3535911602209838E-2</v>
      </c>
      <c r="CR226" s="116">
        <f>IF(ISERROR(CR36/CQ36),"-",CR36/CQ36-1)</f>
        <v>-4.1558441558441572E-2</v>
      </c>
      <c r="CS226" s="104" t="s">
        <v>6442</v>
      </c>
      <c r="CT226" s="90"/>
      <c r="CU226" s="116">
        <f>IF(ISERROR(CU36/CR36),"-",CU36/CR36-1)</f>
        <v>-2.4390243902438935E-2</v>
      </c>
      <c r="CV226" s="116">
        <f>IF(ISERROR(CV36/CU36),"-",CV36/CU36-1)</f>
        <v>6.3888888888888884E-2</v>
      </c>
      <c r="CW226" s="116">
        <f>IF(ISERROR(CW36/CV36),"-",CW36/CV36-1)</f>
        <v>2.6109660574413773E-3</v>
      </c>
      <c r="CX226" s="116">
        <f>IF(ISERROR(CX36/CW36),"-",CX36/CW36-1)</f>
        <v>5.7291666666666519E-2</v>
      </c>
      <c r="CY226" s="104" t="s">
        <v>6442</v>
      </c>
      <c r="CZ226" s="90"/>
      <c r="DA226" s="116">
        <f>IF(ISERROR(DA36/CX36),"-",DA36/CX36-1)</f>
        <v>-0.16995073891625612</v>
      </c>
      <c r="DB226" s="116">
        <f>IF(ISERROR(DB36/DA36),"-",DB36/DA36-1)</f>
        <v>-5.3412462908011937E-2</v>
      </c>
      <c r="DC226" s="116">
        <f>IF(ISERROR(DC36/DB36),"-",DC36/DB36-1)</f>
        <v>2.8213166144200663E-2</v>
      </c>
      <c r="DD226" s="116">
        <f>IF(ISERROR(DD36/DC36),"-",DD36/DC36-1)</f>
        <v>0.10975609756097571</v>
      </c>
      <c r="DE226" s="104" t="s">
        <v>6442</v>
      </c>
      <c r="DF226" s="90"/>
      <c r="DG226" s="116">
        <f>IF(ISERROR(DG36/DD36),"-",DG36/DD36-1)</f>
        <v>5.494505494505475E-3</v>
      </c>
      <c r="DH226" s="116">
        <f>IF(ISERROR(DH36/DG36),"-",DH36/DG36-1)</f>
        <v>6.284153005464499E-2</v>
      </c>
      <c r="DI226" s="116">
        <f>IF(ISERROR(DI36/DH36),"-",DI36/DH36-1)</f>
        <v>-2.5706940874036244E-3</v>
      </c>
      <c r="DJ226" s="116">
        <f>IF(ISERROR(DJ36/DI36),"-",DJ36/DI36-1)</f>
        <v>5.6701030927835072E-2</v>
      </c>
      <c r="DK226" s="104" t="s">
        <v>6442</v>
      </c>
      <c r="DL226" s="90"/>
      <c r="DM226" s="116">
        <f>IF(ISERROR(DM36/DJ36),"-",DM36/DJ36-1)</f>
        <v>-4.3902439024390172E-2</v>
      </c>
      <c r="DN226" s="116">
        <f>IF(ISERROR(DN36/DM36),"-",DN36/DM36-1)</f>
        <v>3.5714285714285587E-2</v>
      </c>
      <c r="DO226" s="116">
        <f>IF(ISERROR(DO36/DN36),"-",DO36/DN36-1)</f>
        <v>-9.8522167487684609E-3</v>
      </c>
      <c r="DP226" s="116">
        <f>IF(ISERROR(DP36/DO36),"-",DP36/DO36-1)</f>
        <v>5.4726368159204064E-2</v>
      </c>
      <c r="DQ226" s="104" t="s">
        <v>6442</v>
      </c>
      <c r="DR226" s="90"/>
      <c r="DS226" s="116">
        <f>IF(ISERROR(DS36/DP36),"-",DS36/DP36-1)</f>
        <v>-4.7169811320754707E-2</v>
      </c>
      <c r="DT226" s="116">
        <f>IF(ISERROR(DT36/DS36),"-",DT36/DS36-1)</f>
        <v>-0.14356435643564369</v>
      </c>
      <c r="DU226" s="116">
        <f>IF(ISERROR(DU36/DT36),"-",DU36/DT36-1)</f>
        <v>-5.7803468208089681E-3</v>
      </c>
      <c r="DV226" s="116">
        <f>IF(ISERROR(DV36/DU36),"-",DV36/DU36-1)</f>
        <v>1.1627906976744207E-2</v>
      </c>
      <c r="DW226" s="104" t="s">
        <v>6442</v>
      </c>
      <c r="DX226" s="90"/>
      <c r="DY226" s="116">
        <f>IF(ISERROR(DY36/DV36),"-",DY36/DV36-1)</f>
        <v>-1</v>
      </c>
      <c r="DZ226" s="116" t="str">
        <f>IF(ISERROR(DZ36/DY36),"-",DZ36/DY36-1)</f>
        <v>-</v>
      </c>
      <c r="EA226" s="116" t="str">
        <f>IF(ISERROR(EA36/DZ36),"-",EA36/DZ36-1)</f>
        <v>-</v>
      </c>
      <c r="EB226" s="116" t="str">
        <f>IF(ISERROR(EB36/EA36),"-",EB36/EA36-1)</f>
        <v>-</v>
      </c>
      <c r="EC226" s="104" t="s">
        <v>6442</v>
      </c>
      <c r="ED226" s="90"/>
      <c r="EE226" s="116" t="str">
        <f>IF(ISERROR(EE36/EB36),"-",EE36/EB36-1)</f>
        <v>-</v>
      </c>
      <c r="EF226" s="116" t="str">
        <f>IF(ISERROR(EF36/EE36),"-",EF36/EE36-1)</f>
        <v>-</v>
      </c>
      <c r="EG226" s="116" t="str">
        <f>IF(ISERROR(EG36/EF36),"-",EG36/EF36-1)</f>
        <v>-</v>
      </c>
      <c r="EH226" s="116" t="str">
        <f>IF(ISERROR(EH36/EG36),"-",EH36/EG36-1)</f>
        <v>-</v>
      </c>
      <c r="EI226" s="104" t="s">
        <v>6442</v>
      </c>
      <c r="EJ226" s="90"/>
      <c r="EK226" s="116" t="str">
        <f>IF(ISERROR(EK36/EH36),"-",EK36/EH36-1)</f>
        <v>-</v>
      </c>
      <c r="EL226" s="116" t="str">
        <f>IF(ISERROR(EL36/EK36),"-",EL36/EK36-1)</f>
        <v>-</v>
      </c>
      <c r="EM226" s="116" t="str">
        <f>IF(ISERROR(EM36/EL36),"-",EM36/EL36-1)</f>
        <v>-</v>
      </c>
      <c r="EN226" s="116" t="str">
        <f>IF(ISERROR(EN36/EM36),"-",EN36/EM36-1)</f>
        <v>-</v>
      </c>
      <c r="EO226" s="104" t="s">
        <v>6442</v>
      </c>
      <c r="EP226" s="90"/>
      <c r="EQ226" s="116" t="str">
        <f>IF(ISERROR(EQ36/EN36),"-",EQ36/EN36-1)</f>
        <v>-</v>
      </c>
      <c r="ER226" s="116" t="str">
        <f>IF(ISERROR(ER36/EQ36),"-",ER36/EQ36-1)</f>
        <v>-</v>
      </c>
      <c r="ES226" s="116" t="str">
        <f>IF(ISERROR(ES36/ER36),"-",ES36/ER36-1)</f>
        <v>-</v>
      </c>
      <c r="ET226" s="116" t="str">
        <f>IF(ISERROR(ET36/ES36),"-",ET36/ES36-1)</f>
        <v>-</v>
      </c>
      <c r="EU226" s="104" t="s">
        <v>6442</v>
      </c>
      <c r="EV226" s="90"/>
    </row>
    <row r="227" spans="1:152">
      <c r="A227" s="90" t="s">
        <v>5611</v>
      </c>
      <c r="B227" s="526"/>
      <c r="C227" s="116"/>
      <c r="D227" s="116" t="str">
        <f>IF(ISERROR(D39/C39),"-",D39/C39-1)</f>
        <v>-</v>
      </c>
      <c r="E227" s="116" t="str">
        <f>IF(ISERROR(E39/D39),"-",E39/D39-1)</f>
        <v>-</v>
      </c>
      <c r="F227" s="116" t="str">
        <f>IF(ISERROR(F39/E39),"-",F39/E39-1)</f>
        <v>-</v>
      </c>
      <c r="G227" s="104" t="s">
        <v>6442</v>
      </c>
      <c r="H227" s="90"/>
      <c r="I227" s="116" t="str">
        <f>IF(ISERROR(I39/F39),"-",I39/F39-1)</f>
        <v>-</v>
      </c>
      <c r="J227" s="116" t="str">
        <f>IF(ISERROR(J39/I39),"-",J39/I39-1)</f>
        <v>-</v>
      </c>
      <c r="K227" s="116" t="str">
        <f>IF(ISERROR(K39/J39),"-",K39/J39-1)</f>
        <v>-</v>
      </c>
      <c r="L227" s="116" t="str">
        <f>IF(ISERROR(L39/K39),"-",L39/K39-1)</f>
        <v>-</v>
      </c>
      <c r="M227" s="104" t="s">
        <v>6442</v>
      </c>
      <c r="N227" s="90"/>
      <c r="O227" s="116" t="str">
        <f>IF(ISERROR(O39/L39),"-",O39/L39-1)</f>
        <v>-</v>
      </c>
      <c r="P227" s="116" t="str">
        <f>IF(ISERROR(P39/O39),"-",P39/O39-1)</f>
        <v>-</v>
      </c>
      <c r="Q227" s="116" t="str">
        <f>IF(ISERROR(Q39/P39),"-",Q39/P39-1)</f>
        <v>-</v>
      </c>
      <c r="R227" s="116" t="str">
        <f>IF(ISERROR(R39/Q39),"-",R39/Q39-1)</f>
        <v>-</v>
      </c>
      <c r="S227" s="104" t="s">
        <v>6442</v>
      </c>
      <c r="T227" s="90"/>
      <c r="U227" s="116" t="str">
        <f>IF(ISERROR(U39/R39),"-",U39/R39-1)</f>
        <v>-</v>
      </c>
      <c r="V227" s="116" t="str">
        <f>IF(ISERROR(V39/U39),"-",V39/U39-1)</f>
        <v>-</v>
      </c>
      <c r="W227" s="116" t="str">
        <f>IF(ISERROR(W39/V39),"-",W39/V39-1)</f>
        <v>-</v>
      </c>
      <c r="X227" s="116" t="str">
        <f>IF(ISERROR(X39/W39),"-",X39/W39-1)</f>
        <v>-</v>
      </c>
      <c r="Y227" s="104" t="s">
        <v>6442</v>
      </c>
      <c r="Z227" s="104"/>
      <c r="AA227" s="116" t="str">
        <f>IF(ISERROR(AA39/X39),"-",AA39/X39-1)</f>
        <v>-</v>
      </c>
      <c r="AB227" s="116" t="str">
        <f>IF(ISERROR(AB39/AA39),"-",AB39/AA39-1)</f>
        <v>-</v>
      </c>
      <c r="AC227" s="116" t="str">
        <f>IF(ISERROR(AC39/AB39),"-",AC39/AB39-1)</f>
        <v>-</v>
      </c>
      <c r="AD227" s="116" t="str">
        <f>IF(ISERROR(AD39/AC39),"-",AD39/AC39-1)</f>
        <v>-</v>
      </c>
      <c r="AE227" s="104" t="s">
        <v>6442</v>
      </c>
      <c r="AF227" s="104"/>
      <c r="AG227" s="116" t="str">
        <f>IF(ISERROR(AG39/AD39),"-",AG39/AD39-1)</f>
        <v>-</v>
      </c>
      <c r="AH227" s="116">
        <f>IF(ISERROR(AH39/AG39),"-",AH39/AG39-1)</f>
        <v>8.2386363636363757E-2</v>
      </c>
      <c r="AI227" s="116">
        <f>IF(ISERROR(AI39/AH39),"-",AI39/AH39-1)</f>
        <v>0.99737532808398943</v>
      </c>
      <c r="AJ227" s="116">
        <f>IF(ISERROR(AJ39/AI39),"-",AJ39/AI39-1)</f>
        <v>-0.23193166885676741</v>
      </c>
      <c r="AK227" s="104" t="s">
        <v>6442</v>
      </c>
      <c r="AL227" s="90"/>
      <c r="AM227" s="116">
        <f>IF(ISERROR(AM39/AJ39),"-",AM39/AJ39-1)</f>
        <v>3.763900769888795E-2</v>
      </c>
      <c r="AN227" s="116">
        <f>IF(ISERROR(AN39/AM39),"-",AN39/AM39-1)</f>
        <v>-3.1739488870568766E-2</v>
      </c>
      <c r="AO227" s="116">
        <f>IF(ISERROR(AO39/AN39),"-",AO39/AN39-1)</f>
        <v>1.319710515112793E-2</v>
      </c>
      <c r="AP227" s="116">
        <f>IF(ISERROR(AP39/AO39),"-",AP39/AO39-1)</f>
        <v>0.24705882352941178</v>
      </c>
      <c r="AQ227" s="104" t="s">
        <v>6442</v>
      </c>
      <c r="AR227" s="90"/>
      <c r="AS227" s="116">
        <f>IF(ISERROR(AS39/AP39),"-",AS39/AP39-1)</f>
        <v>7.6482479784366619E-2</v>
      </c>
      <c r="AT227" s="116">
        <f>IF(ISERROR(AT39/AS39),"-",AT39/AS39-1)</f>
        <v>0.12394366197183104</v>
      </c>
      <c r="AU227" s="116">
        <f>IF(ISERROR(AU39/AT39),"-",AU39/AT39-1)</f>
        <v>9.1339459760512387E-2</v>
      </c>
      <c r="AV227" s="116">
        <f>IF(ISERROR(AV39/AU39),"-",AV39/AU39-1)</f>
        <v>0.19826486348558303</v>
      </c>
      <c r="AW227" s="104" t="s">
        <v>6442</v>
      </c>
      <c r="AX227" s="90"/>
      <c r="AY227" s="116">
        <f>IF(ISERROR(AY39/AV39),"-",AY39/AV39-1)</f>
        <v>-8.4327086882453162E-2</v>
      </c>
      <c r="AZ227" s="116">
        <f>IF(ISERROR(AZ39/AY39),"-",AZ39/AY39-1)</f>
        <v>-4.6511627906976827E-2</v>
      </c>
      <c r="BA227" s="116">
        <f>IF(ISERROR(BA39/AZ39),"-",BA39/AZ39-1)</f>
        <v>2.4390243902439046E-2</v>
      </c>
      <c r="BB227" s="116">
        <f>IF(ISERROR(BB39/BA39),"-",BB39/BA39-1)</f>
        <v>4.7619047619047672E-2</v>
      </c>
      <c r="BC227" s="104" t="s">
        <v>6442</v>
      </c>
      <c r="BD227" s="90"/>
      <c r="BE227" s="116">
        <f>IF(ISERROR(BE39/BB39),"-",BE39/BB39-1)</f>
        <v>9.0909090909090828E-2</v>
      </c>
      <c r="BF227" s="116">
        <f>IF(ISERROR(BF39/BE39),"-",BF39/BE39-1)</f>
        <v>-2.0833333333333259E-2</v>
      </c>
      <c r="BG227" s="116">
        <f>IF(ISERROR(BG39/BF39),"-",BG39/BF39-1)</f>
        <v>-0.65957446808510634</v>
      </c>
      <c r="BH227" s="116">
        <f>IF(ISERROR(BH39/BG39),"-",BH39/BG39-1)</f>
        <v>0.25</v>
      </c>
      <c r="BI227" s="104" t="s">
        <v>6442</v>
      </c>
      <c r="BJ227" s="90"/>
      <c r="BK227" s="116">
        <f>IF(ISERROR(BK39/BH39),"-",BK39/BH39-1)</f>
        <v>0.21399999999999997</v>
      </c>
      <c r="BL227" s="116">
        <f>IF(ISERROR(BL39/BK39),"-",BL39/BK39-1)</f>
        <v>-9.3904448105436522E-2</v>
      </c>
      <c r="BM227" s="116">
        <f>IF(ISERROR(BM39/BL39),"-",BM39/BL39-1)</f>
        <v>-0.18181818181818188</v>
      </c>
      <c r="BN227" s="116">
        <f>IF(ISERROR(BN39/BM39),"-",BN39/BM39-1)</f>
        <v>0.27777777777777768</v>
      </c>
      <c r="BO227" s="104" t="s">
        <v>6442</v>
      </c>
      <c r="BP227" s="90"/>
      <c r="BQ227" s="116">
        <f>IF(ISERROR(BQ39/BN39),"-",BQ39/BN39-1)</f>
        <v>-4.3478260869565077E-2</v>
      </c>
      <c r="BR227" s="116">
        <f>IF(ISERROR(BR39/BQ39),"-",BR39/BQ39-1)</f>
        <v>4.5454545454545192E-2</v>
      </c>
      <c r="BS227" s="116">
        <f>IF(ISERROR(BS39/BR39),"-",BS39/BR39-1)</f>
        <v>-0.17391304347826086</v>
      </c>
      <c r="BT227" s="116">
        <f>IF(ISERROR(BT39/BS39),"-",BT39/BS39-1)</f>
        <v>0.15789473684210531</v>
      </c>
      <c r="BU227" s="104" t="s">
        <v>6442</v>
      </c>
      <c r="BV227" s="90"/>
      <c r="BW227" s="116">
        <f>IF(ISERROR(BW39/BT39),"-",BW39/BT39-1)</f>
        <v>-9.0909090909090939E-2</v>
      </c>
      <c r="BX227" s="116">
        <f>IF(ISERROR(BX39/BW39),"-",BX39/BW39-1)</f>
        <v>5.0000000000000044E-2</v>
      </c>
      <c r="BY227" s="116">
        <f>IF(ISERROR(BY39/BX39),"-",BY39/BX39-1)</f>
        <v>0.14285714285714279</v>
      </c>
      <c r="BZ227" s="116">
        <f>IF(ISERROR(BZ39/BY39),"-",BZ39/BY39-1)</f>
        <v>4.1666666666666741E-2</v>
      </c>
      <c r="CA227" s="104" t="s">
        <v>6442</v>
      </c>
      <c r="CB227" s="90"/>
      <c r="CC227" s="116">
        <f>IF(ISERROR(CC39/BZ39),"-",CC39/BZ39-1)</f>
        <v>0.11999999999999988</v>
      </c>
      <c r="CD227" s="116">
        <f>IF(ISERROR(CD39/CC39),"-",CD39/CC39-1)</f>
        <v>7.1428571428571397E-2</v>
      </c>
      <c r="CE227" s="116">
        <f>IF(ISERROR(CE39/CD39),"-",CE39/CD39-1)</f>
        <v>0</v>
      </c>
      <c r="CF227" s="116">
        <f>IF(ISERROR(CF39/CE39),"-",CF39/CE39-1)</f>
        <v>3.3333333333333437E-2</v>
      </c>
      <c r="CG227" s="104" t="s">
        <v>6442</v>
      </c>
      <c r="CH227" s="90"/>
      <c r="CI227" s="116">
        <f>IF(ISERROR(CI39/CF39),"-",CI39/CF39-1)</f>
        <v>2.258064516129032</v>
      </c>
      <c r="CJ227" s="116">
        <f>IF(ISERROR(CJ39/CI39),"-",CJ39/CI39-1)</f>
        <v>-0.21782178217821779</v>
      </c>
      <c r="CK227" s="116">
        <f>IF(ISERROR(CK39/CJ39),"-",CK39/CJ39-1)</f>
        <v>3.7974683544303556E-2</v>
      </c>
      <c r="CL227" s="116">
        <f>IF(ISERROR(CL39/CK39),"-",CL39/CK39-1)</f>
        <v>0</v>
      </c>
      <c r="CM227" s="104" t="s">
        <v>6442</v>
      </c>
      <c r="CN227" s="90"/>
      <c r="CO227" s="116">
        <f>IF(ISERROR(CO39/CL39),"-",CO39/CL39-1)</f>
        <v>0.46341463414634165</v>
      </c>
      <c r="CP227" s="116">
        <f>IF(ISERROR(CP39/CO39),"-",CP39/CO39-1)</f>
        <v>-2.5000000000000022E-2</v>
      </c>
      <c r="CQ227" s="116">
        <f>IF(ISERROR(CQ39/CP39),"-",CQ39/CP39-1)</f>
        <v>-0.22222222222222221</v>
      </c>
      <c r="CR227" s="116">
        <f>IF(ISERROR(CR39/CQ39),"-",CR39/CQ39-1)</f>
        <v>1.098901098901095E-2</v>
      </c>
      <c r="CS227" s="104" t="s">
        <v>6442</v>
      </c>
      <c r="CT227" s="90"/>
      <c r="CU227" s="116">
        <f>IF(ISERROR(CU39/CR39),"-",CU39/CR39-1)</f>
        <v>0.27173913043478271</v>
      </c>
      <c r="CV227" s="116">
        <f>IF(ISERROR(CV39/CU39),"-",CV39/CU39-1)</f>
        <v>-8.54700854700855E-2</v>
      </c>
      <c r="CW227" s="116">
        <f>IF(ISERROR(CW39/CV39),"-",CW39/CV39-1)</f>
        <v>-0.2149532710280373</v>
      </c>
      <c r="CX227" s="116">
        <f>IF(ISERROR(CX39/CW39),"-",CX39/CW39-1)</f>
        <v>0.14285714285714279</v>
      </c>
      <c r="CY227" s="104" t="s">
        <v>6442</v>
      </c>
      <c r="CZ227" s="90"/>
      <c r="DA227" s="116">
        <f>IF(ISERROR(DA39/CX39),"-",DA39/CX39-1)</f>
        <v>1.2395833333333335</v>
      </c>
      <c r="DB227" s="116">
        <f>IF(ISERROR(DB39/DA39),"-",DB39/DA39-1)</f>
        <v>9.3023255813953432E-2</v>
      </c>
      <c r="DC227" s="116">
        <f>IF(ISERROR(DC39/DB39),"-",DC39/DB39-1)</f>
        <v>-5.9574468085106469E-2</v>
      </c>
      <c r="DD227" s="116">
        <f>IF(ISERROR(DD39/DC39),"-",DD39/DC39-1)</f>
        <v>4.5248868778280382E-3</v>
      </c>
      <c r="DE227" s="104" t="s">
        <v>6442</v>
      </c>
      <c r="DF227" s="90"/>
      <c r="DG227" s="116">
        <f>IF(ISERROR(DG39/DD39),"-",DG39/DD39-1)</f>
        <v>0.23423423423423428</v>
      </c>
      <c r="DH227" s="116">
        <f>IF(ISERROR(DH39/DG39),"-",DH39/DG39-1)</f>
        <v>0.18248175182481763</v>
      </c>
      <c r="DI227" s="116">
        <f>IF(ISERROR(DI39/DH39),"-",DI39/DH39-1)</f>
        <v>-1.851851851851849E-2</v>
      </c>
      <c r="DJ227" s="116">
        <f>IF(ISERROR(DJ39/DI39),"-",DJ39/DI39-1)</f>
        <v>4.088050314465419E-2</v>
      </c>
      <c r="DK227" s="104" t="s">
        <v>6442</v>
      </c>
      <c r="DL227" s="90"/>
      <c r="DM227" s="116">
        <f>IF(ISERROR(DM39/DJ39),"-",DM39/DJ39-1)</f>
        <v>9.3655589123867067E-2</v>
      </c>
      <c r="DN227" s="116">
        <f>IF(ISERROR(DN39/DM39),"-",DN39/DM39-1)</f>
        <v>4.9723756906077332E-2</v>
      </c>
      <c r="DO227" s="116">
        <f>IF(ISERROR(DO39/DN39),"-",DO39/DN39-1)</f>
        <v>-5.2631578947368474E-2</v>
      </c>
      <c r="DP227" s="116">
        <f>IF(ISERROR(DP39/DO39),"-",DP39/DO39-1)</f>
        <v>3.6111111111110983E-2</v>
      </c>
      <c r="DQ227" s="104" t="s">
        <v>6442</v>
      </c>
      <c r="DR227" s="90"/>
      <c r="DS227" s="116">
        <f>IF(ISERROR(DS39/DP39),"-",DS39/DP39-1)</f>
        <v>1.0723860589812562E-2</v>
      </c>
      <c r="DT227" s="116">
        <f>IF(ISERROR(DT39/DS39),"-",DT39/DS39-1)</f>
        <v>-3.4482758620689724E-2</v>
      </c>
      <c r="DU227" s="116">
        <f>IF(ISERROR(DU39/DT39),"-",DU39/DT39-1)</f>
        <v>-8.7912087912088044E-2</v>
      </c>
      <c r="DV227" s="116">
        <f>IF(ISERROR(DV39/DU39),"-",DV39/DU39-1)</f>
        <v>9.3373493975903887E-2</v>
      </c>
      <c r="DW227" s="104" t="s">
        <v>6442</v>
      </c>
      <c r="DX227" s="90"/>
      <c r="DY227" s="116">
        <f>IF(ISERROR(DY39/DV39),"-",DY39/DV39-1)</f>
        <v>-1</v>
      </c>
      <c r="DZ227" s="116" t="str">
        <f>IF(ISERROR(DZ39/DY39),"-",DZ39/DY39-1)</f>
        <v>-</v>
      </c>
      <c r="EA227" s="116" t="str">
        <f>IF(ISERROR(EA39/DZ39),"-",EA39/DZ39-1)</f>
        <v>-</v>
      </c>
      <c r="EB227" s="116" t="str">
        <f>IF(ISERROR(EB39/EA39),"-",EB39/EA39-1)</f>
        <v>-</v>
      </c>
      <c r="EC227" s="104" t="s">
        <v>6442</v>
      </c>
      <c r="ED227" s="90"/>
      <c r="EE227" s="116" t="str">
        <f>IF(ISERROR(EE39/EB39),"-",EE39/EB39-1)</f>
        <v>-</v>
      </c>
      <c r="EF227" s="116" t="str">
        <f>IF(ISERROR(EF39/EE39),"-",EF39/EE39-1)</f>
        <v>-</v>
      </c>
      <c r="EG227" s="116" t="str">
        <f>IF(ISERROR(EG39/EF39),"-",EG39/EF39-1)</f>
        <v>-</v>
      </c>
      <c r="EH227" s="116" t="str">
        <f>IF(ISERROR(EH39/EG39),"-",EH39/EG39-1)</f>
        <v>-</v>
      </c>
      <c r="EI227" s="104" t="s">
        <v>6442</v>
      </c>
      <c r="EJ227" s="90"/>
      <c r="EK227" s="116" t="str">
        <f>IF(ISERROR(EK39/EH39),"-",EK39/EH39-1)</f>
        <v>-</v>
      </c>
      <c r="EL227" s="116" t="str">
        <f>IF(ISERROR(EL39/EK39),"-",EL39/EK39-1)</f>
        <v>-</v>
      </c>
      <c r="EM227" s="116" t="str">
        <f>IF(ISERROR(EM39/EL39),"-",EM39/EL39-1)</f>
        <v>-</v>
      </c>
      <c r="EN227" s="116" t="str">
        <f>IF(ISERROR(EN39/EM39),"-",EN39/EM39-1)</f>
        <v>-</v>
      </c>
      <c r="EO227" s="104" t="s">
        <v>6442</v>
      </c>
      <c r="EP227" s="90"/>
      <c r="EQ227" s="116" t="str">
        <f>IF(ISERROR(EQ39/EN39),"-",EQ39/EN39-1)</f>
        <v>-</v>
      </c>
      <c r="ER227" s="116" t="str">
        <f>IF(ISERROR(ER39/EQ39),"-",ER39/EQ39-1)</f>
        <v>-</v>
      </c>
      <c r="ES227" s="116" t="str">
        <f>IF(ISERROR(ES39/ER39),"-",ES39/ER39-1)</f>
        <v>-</v>
      </c>
      <c r="ET227" s="116" t="str">
        <f>IF(ISERROR(ET39/ES39),"-",ET39/ES39-1)</f>
        <v>-</v>
      </c>
      <c r="EU227" s="104" t="s">
        <v>6442</v>
      </c>
      <c r="EV227" s="90"/>
    </row>
    <row r="228" spans="1:152">
      <c r="A228" s="90" t="s">
        <v>5188</v>
      </c>
      <c r="B228" s="526"/>
      <c r="C228" s="116"/>
      <c r="D228" s="116">
        <f>IF(ISERROR(D54/C54),"-",D54/C54-1)</f>
        <v>2.6369168356997985E-2</v>
      </c>
      <c r="E228" s="116">
        <f>IF(ISERROR(E54/D54),"-",E54/D54-1)</f>
        <v>-7.905138339920903E-3</v>
      </c>
      <c r="F228" s="116">
        <f>IF(ISERROR(F54/E54),"-",F54/E54-1)</f>
        <v>-7.9681274900399446E-3</v>
      </c>
      <c r="G228" s="104" t="s">
        <v>6442</v>
      </c>
      <c r="H228" s="90"/>
      <c r="I228" s="116">
        <f>IF(ISERROR(I54/F54),"-",I54/F54-1)</f>
        <v>0.18674698795180733</v>
      </c>
      <c r="J228" s="116">
        <f>IF(ISERROR(J54/I54),"-",J54/I54-1)</f>
        <v>9.6446700507614169E-2</v>
      </c>
      <c r="K228" s="116">
        <f>IF(ISERROR(K54/J54),"-",K54/J54-1)</f>
        <v>4.3209876543209846E-2</v>
      </c>
      <c r="L228" s="116">
        <f>IF(ISERROR(L54/K54),"-",L54/K54-1)</f>
        <v>9.3195266272189548E-2</v>
      </c>
      <c r="M228" s="104" t="s">
        <v>6442</v>
      </c>
      <c r="N228" s="90"/>
      <c r="O228" s="116">
        <f>IF(ISERROR(O54/L54),"-",O54/L54-1)</f>
        <v>5.7212449255750863E-2</v>
      </c>
      <c r="P228" s="116">
        <f>IF(ISERROR(P54/O54),"-",P54/O54-1)</f>
        <v>2.7634138849068179E-2</v>
      </c>
      <c r="Q228" s="116">
        <f>IF(ISERROR(Q54/P54),"-",Q54/P54-1)</f>
        <v>-4.1575846650142689E-2</v>
      </c>
      <c r="R228" s="116">
        <f>IF(ISERROR(R54/Q54),"-",R54/Q54-1)</f>
        <v>3.9701620553873385E-2</v>
      </c>
      <c r="S228" s="104" t="s">
        <v>6442</v>
      </c>
      <c r="T228" s="90"/>
      <c r="U228" s="116">
        <f>IF(ISERROR(U54/R54),"-",U54/R54-1)</f>
        <v>0.17744112794360278</v>
      </c>
      <c r="V228" s="116">
        <f>IF(ISERROR(V54/U54),"-",V54/U54-1)</f>
        <v>1.2940552016985185E-2</v>
      </c>
      <c r="W228" s="116">
        <f>IF(ISERROR(W54/V54),"-",W54/V54-1)</f>
        <v>-9.0862406858172928E-2</v>
      </c>
      <c r="X228" s="116">
        <f>IF(ISERROR(X54/W54),"-",X54/W54-1)</f>
        <v>-9.1413157500374043E-3</v>
      </c>
      <c r="Y228" s="104" t="s">
        <v>6442</v>
      </c>
      <c r="Z228" s="104"/>
      <c r="AA228" s="116">
        <f>IF(ISERROR(AA54/X54),"-",AA54/X54-1)</f>
        <v>-9.8352645539578454E-2</v>
      </c>
      <c r="AB228" s="116">
        <f>IF(ISERROR(AB54/AA54),"-",AB54/AA54-1)</f>
        <v>-6.9288534489431175E-3</v>
      </c>
      <c r="AC228" s="116">
        <f>IF(ISERROR(AC54/AB54),"-",AC54/AB54-1)</f>
        <v>5.5466770610017369E-2</v>
      </c>
      <c r="AD228" s="116">
        <f>IF(ISERROR(AD54/AC54),"-",AD54/AC54-1)</f>
        <v>1.0722111431174186E-2</v>
      </c>
      <c r="AE228" s="104" t="s">
        <v>6442</v>
      </c>
      <c r="AF228" s="104"/>
      <c r="AG228" s="116">
        <f>IF(ISERROR(AG54/AD54),"-",AG54/AD54-1)</f>
        <v>0.13234273186773038</v>
      </c>
      <c r="AH228" s="116">
        <f>IF(ISERROR(AH54/AG54),"-",AH54/AG54-1)</f>
        <v>-7.5614976713168636E-3</v>
      </c>
      <c r="AI228" s="116">
        <f>IF(ISERROR(AI54/AH54),"-",AI54/AH54-1)</f>
        <v>-5.0093206745567276E-2</v>
      </c>
      <c r="AJ228" s="116">
        <f>IF(ISERROR(AJ54/AI54),"-",AJ54/AI54-1)</f>
        <v>8.4419140633913647E-2</v>
      </c>
      <c r="AK228" s="104" t="s">
        <v>6442</v>
      </c>
      <c r="AL228" s="90"/>
      <c r="AM228" s="116">
        <f>IF(ISERROR(AM54/AJ54),"-",AM54/AJ54-1)</f>
        <v>-1.4635172812878183E-2</v>
      </c>
      <c r="AN228" s="116">
        <f>IF(ISERROR(AN54/AM54),"-",AN54/AM54-1)</f>
        <v>-5.7744463664125445E-2</v>
      </c>
      <c r="AO228" s="116">
        <f>IF(ISERROR(AO54/AN54),"-",AO54/AN54-1)</f>
        <v>2.8783174308184556E-3</v>
      </c>
      <c r="AP228" s="116">
        <f>IF(ISERROR(AP54/AO54),"-",AP54/AO54-1)</f>
        <v>-1.3932203389830589E-2</v>
      </c>
      <c r="AQ228" s="104" t="s">
        <v>6442</v>
      </c>
      <c r="AR228" s="90"/>
      <c r="AS228" s="116">
        <f>IF(ISERROR(AS54/AP54),"-",AS54/AP54-1)</f>
        <v>5.8292367103257803E-2</v>
      </c>
      <c r="AT228" s="116">
        <f>IF(ISERROR(AT54/AS54),"-",AT54/AS54-1)</f>
        <v>-2.6961474327045876E-2</v>
      </c>
      <c r="AU228" s="116">
        <f>IF(ISERROR(AU54/AT54),"-",AU54/AT54-1)</f>
        <v>6.120359654589147E-2</v>
      </c>
      <c r="AV228" s="116">
        <f>IF(ISERROR(AV54/AU54),"-",AV54/AU54-1)</f>
        <v>0.21274275407910737</v>
      </c>
      <c r="AW228" s="104" t="s">
        <v>6442</v>
      </c>
      <c r="AX228" s="90"/>
      <c r="AY228" s="116">
        <f>IF(ISERROR(AY54/AV54),"-",AY54/AV54-1)</f>
        <v>-5.492339086224185E-2</v>
      </c>
      <c r="AZ228" s="116">
        <f>IF(ISERROR(AZ54/AY54),"-",AZ54/AY54-1)</f>
        <v>-3.9341262580054992E-2</v>
      </c>
      <c r="BA228" s="116">
        <f>IF(ISERROR(BA54/AZ54),"-",BA54/AZ54-1)</f>
        <v>7.8095238095238217E-2</v>
      </c>
      <c r="BB228" s="116">
        <f>IF(ISERROR(BB54/BA54),"-",BB54/BA54-1)</f>
        <v>0.1872791519434629</v>
      </c>
      <c r="BC228" s="104" t="s">
        <v>6442</v>
      </c>
      <c r="BD228" s="90"/>
      <c r="BE228" s="116">
        <f>IF(ISERROR(BE54/BB54),"-",BE54/BB54-1)</f>
        <v>-5.208333333333337E-2</v>
      </c>
      <c r="BF228" s="116">
        <f>IF(ISERROR(BF54/BE54),"-",BF54/BE54-1)</f>
        <v>5.180533751962324E-2</v>
      </c>
      <c r="BG228" s="116">
        <f>IF(ISERROR(BG54/BF54),"-",BG54/BF54-1)</f>
        <v>1.7910447761193993E-2</v>
      </c>
      <c r="BH228" s="116">
        <f>IF(ISERROR(BH54/BG54),"-",BH54/BG54-1)</f>
        <v>0.14369501466275647</v>
      </c>
      <c r="BI228" s="104" t="s">
        <v>6442</v>
      </c>
      <c r="BJ228" s="90"/>
      <c r="BK228" s="116">
        <f>IF(ISERROR(BK54/BH54),"-",BK54/BH54-1)</f>
        <v>3.3974358974359076E-2</v>
      </c>
      <c r="BL228" s="116">
        <f>IF(ISERROR(BL54/BK54),"-",BL54/BK54-1)</f>
        <v>-2.1078735275883442E-2</v>
      </c>
      <c r="BM228" s="116">
        <f>IF(ISERROR(BM54/BL54),"-",BM54/BL54-1)</f>
        <v>2.4699176694110037E-2</v>
      </c>
      <c r="BN228" s="116">
        <f>IF(ISERROR(BN54/BM54),"-",BN54/BM54-1)</f>
        <v>7.1075401730531507E-2</v>
      </c>
      <c r="BO228" s="104" t="s">
        <v>6442</v>
      </c>
      <c r="BP228" s="90"/>
      <c r="BQ228" s="116">
        <f>IF(ISERROR(BQ54/BN54),"-",BQ54/BN54-1)</f>
        <v>4.6739757645701152E-2</v>
      </c>
      <c r="BR228" s="116">
        <f>IF(ISERROR(BR54/BQ54),"-",BR54/BQ54-1)</f>
        <v>4.6306504961411532E-2</v>
      </c>
      <c r="BS228" s="116">
        <f>IF(ISERROR(BS54/BR54),"-",BS54/BR54-1)</f>
        <v>1.5279241306638491E-2</v>
      </c>
      <c r="BT228" s="116">
        <f>IF(ISERROR(BT54/BS54),"-",BT54/BS54-1)</f>
        <v>0.19408406850025939</v>
      </c>
      <c r="BU228" s="104" t="s">
        <v>6442</v>
      </c>
      <c r="BV228" s="90"/>
      <c r="BW228" s="116">
        <f>IF(ISERROR(BW54/BT54),"-",BW54/BT54-1)</f>
        <v>-7.2577140373750515E-2</v>
      </c>
      <c r="BX228" s="116">
        <f>IF(ISERROR(BX54/BW54),"-",BX54/BW54-1)</f>
        <v>2.5304592314901564E-2</v>
      </c>
      <c r="BY228" s="116">
        <f>IF(ISERROR(BY54/BX54),"-",BY54/BX54-1)</f>
        <v>-1.5539305301645379E-2</v>
      </c>
      <c r="BZ228" s="116">
        <f>IF(ISERROR(BZ54/BY54),"-",BZ54/BY54-1)</f>
        <v>-2.7855153203342642E-2</v>
      </c>
      <c r="CA228" s="104" t="s">
        <v>6442</v>
      </c>
      <c r="CB228" s="90"/>
      <c r="CC228" s="116">
        <f>IF(ISERROR(CC54/BZ54),"-",CC54/BZ54-1)</f>
        <v>-0.1580706781279847</v>
      </c>
      <c r="CD228" s="116">
        <f>IF(ISERROR(CD54/CC54),"-",CD54/CC54-1)</f>
        <v>-5.3318207600680734E-2</v>
      </c>
      <c r="CE228" s="116">
        <f>IF(ISERROR(CE54/CD54),"-",CE54/CD54-1)</f>
        <v>-5.9916117435587779E-4</v>
      </c>
      <c r="CF228" s="116">
        <f>IF(ISERROR(CF54/CE54),"-",CF54/CE54-1)</f>
        <v>9.5323741007194318E-2</v>
      </c>
      <c r="CG228" s="104" t="s">
        <v>6442</v>
      </c>
      <c r="CH228" s="90"/>
      <c r="CI228" s="116">
        <f>IF(ISERROR(CI54/CF54),"-",CI54/CF54-1)</f>
        <v>-3.7219485495347593E-2</v>
      </c>
      <c r="CJ228" s="116">
        <f>IF(ISERROR(CJ54/CI54),"-",CJ54/CI54-1)</f>
        <v>-4.3206367254121636E-2</v>
      </c>
      <c r="CK228" s="116">
        <f>IF(ISERROR(CK54/CJ54),"-",CK54/CJ54-1)</f>
        <v>5.4664289958407553E-2</v>
      </c>
      <c r="CL228" s="116">
        <f>IF(ISERROR(CL54/CK54),"-",CL54/CK54-1)</f>
        <v>0.23267605633802813</v>
      </c>
      <c r="CM228" s="104" t="s">
        <v>6442</v>
      </c>
      <c r="CN228" s="90"/>
      <c r="CO228" s="116">
        <f>IF(ISERROR(CO54/CL54),"-",CO54/CL54-1)</f>
        <v>-0.13117001828153574</v>
      </c>
      <c r="CP228" s="116">
        <f>IF(ISERROR(CP54/CO54),"-",CP54/CO54-1)</f>
        <v>-2.104155707522426E-3</v>
      </c>
      <c r="CQ228" s="116">
        <f>IF(ISERROR(CQ54/CP54),"-",CQ54/CP54-1)</f>
        <v>2.530311017395892E-2</v>
      </c>
      <c r="CR228" s="116">
        <f>IF(ISERROR(CR54/CQ54),"-",CR54/CQ54-1)</f>
        <v>0.13110539845758362</v>
      </c>
      <c r="CS228" s="104" t="s">
        <v>6442</v>
      </c>
      <c r="CT228" s="90"/>
      <c r="CU228" s="116">
        <f>IF(ISERROR(CU54/CR54),"-",CU54/CR54-1)</f>
        <v>-5.1818181818181874E-2</v>
      </c>
      <c r="CV228" s="116">
        <f>IF(ISERROR(CV54/CU54),"-",CV54/CU54-1)</f>
        <v>-5.8964525407478319E-2</v>
      </c>
      <c r="CW228" s="116">
        <f>IF(ISERROR(CW54/CV54),"-",CW54/CV54-1)</f>
        <v>-4.2282221090168215E-2</v>
      </c>
      <c r="CX228" s="116">
        <f>IF(ISERROR(CX54/CW54),"-",CX54/CW54-1)</f>
        <v>0.16542553191489362</v>
      </c>
      <c r="CY228" s="104" t="s">
        <v>6442</v>
      </c>
      <c r="CZ228" s="90"/>
      <c r="DA228" s="116">
        <f>IF(ISERROR(DA54/CX54),"-",DA54/CX54-1)</f>
        <v>-0.11136467366499303</v>
      </c>
      <c r="DB228" s="116">
        <f>IF(ISERROR(DB54/DA54),"-",DB54/DA54-1)</f>
        <v>-5.3929121725732054E-2</v>
      </c>
      <c r="DC228" s="116">
        <f>IF(ISERROR(DC54/DB54),"-",DC54/DB54-1)</f>
        <v>2.5515743756786113E-2</v>
      </c>
      <c r="DD228" s="116">
        <f>IF(ISERROR(DD54/DC54),"-",DD54/DC54-1)</f>
        <v>0.14452091053467453</v>
      </c>
      <c r="DE228" s="104" t="s">
        <v>6442</v>
      </c>
      <c r="DF228" s="90"/>
      <c r="DG228" s="116">
        <f>IF(ISERROR(DG54/DD54),"-",DG54/DD54-1)</f>
        <v>-2.2201665124884418E-2</v>
      </c>
      <c r="DH228" s="116">
        <f>IF(ISERROR(DH54/DG54),"-",DH54/DG54-1)</f>
        <v>4.0681173131504211E-2</v>
      </c>
      <c r="DI228" s="116">
        <f>IF(ISERROR(DI54/DH54),"-",DI54/DH54-1)</f>
        <v>2.5909090909090882E-2</v>
      </c>
      <c r="DJ228" s="116">
        <f>IF(ISERROR(DJ54/DI54),"-",DJ54/DI54-1)</f>
        <v>0.18963225520602567</v>
      </c>
      <c r="DK228" s="104" t="s">
        <v>6442</v>
      </c>
      <c r="DL228" s="90"/>
      <c r="DM228" s="116">
        <f>IF(ISERROR(DM54/DJ54),"-",DM54/DJ54-1)</f>
        <v>-0.1351955307262569</v>
      </c>
      <c r="DN228" s="116">
        <f>IF(ISERROR(DN54/DM54),"-",DN54/DM54-1)</f>
        <v>-3.7467700258397962E-2</v>
      </c>
      <c r="DO228" s="116">
        <f>IF(ISERROR(DO54/DN54),"-",DO54/DN54-1)</f>
        <v>-1.0290827740492059E-2</v>
      </c>
      <c r="DP228" s="116">
        <f>IF(ISERROR(DP54/DO54),"-",DP54/DO54-1)</f>
        <v>0.14556962025316444</v>
      </c>
      <c r="DQ228" s="104" t="s">
        <v>6442</v>
      </c>
      <c r="DR228" s="90"/>
      <c r="DS228" s="116">
        <f>IF(ISERROR(DS54/DP54),"-",DS54/DP54-1)</f>
        <v>-0.1345698500394632</v>
      </c>
      <c r="DT228" s="116">
        <f>IF(ISERROR(DT54/DS54),"-",DT54/DS54-1)</f>
        <v>2.2799817601457661E-3</v>
      </c>
      <c r="DU228" s="116">
        <f>IF(ISERROR(DU54/DT54),"-",DU54/DT54-1)</f>
        <v>5.0045495905368664E-2</v>
      </c>
      <c r="DV228" s="116">
        <f>IF(ISERROR(DV54/DU54),"-",DV54/DU54-1)</f>
        <v>0.12001733102253032</v>
      </c>
      <c r="DW228" s="104" t="s">
        <v>6442</v>
      </c>
      <c r="DX228" s="90"/>
      <c r="DY228" s="116">
        <f>IF(ISERROR(DY54/DV54),"-",DY54/DV54-1)</f>
        <v>-0.11295938104448744</v>
      </c>
      <c r="DZ228" s="116">
        <f>IF(ISERROR(DZ54/DY54),"-",DZ54/DY54-1)</f>
        <v>1.0030527692978852E-2</v>
      </c>
      <c r="EA228" s="116">
        <f>IF(ISERROR(EA54/DZ54),"-",EA54/DZ54-1)</f>
        <v>5.6994818652849721E-2</v>
      </c>
      <c r="EB228" s="116">
        <f>IF(ISERROR(EB54/EA54),"-",EB54/EA54-1)</f>
        <v>0.12050653594771243</v>
      </c>
      <c r="EC228" s="104" t="s">
        <v>6442</v>
      </c>
      <c r="ED228" s="90"/>
      <c r="EE228" s="116">
        <f>IF(ISERROR(EE54/EB54),"-",EE54/EB54-1)</f>
        <v>-0.14344888384457188</v>
      </c>
      <c r="EF228" s="116">
        <f>IF(ISERROR(EF54/EE54),"-",EF54/EE54-1)</f>
        <v>-9.189037952593071E-3</v>
      </c>
      <c r="EG228" s="116">
        <f>IF(ISERROR(EG54/EF54),"-",EG54/EF54-1)</f>
        <v>2.4227104817522216E-2</v>
      </c>
      <c r="EH228" s="116">
        <f>IF(ISERROR(EH54/EG54),"-",EH54/EG54-1)</f>
        <v>0.1576671546649635</v>
      </c>
      <c r="EI228" s="104" t="s">
        <v>6442</v>
      </c>
      <c r="EJ228" s="90"/>
      <c r="EK228" s="116">
        <f>IF(ISERROR(EK54/EH54),"-",EK54/EH54-1)</f>
        <v>-0.1690720004827726</v>
      </c>
      <c r="EL228" s="116">
        <f>IF(ISERROR(EL54/EK54),"-",EL54/EK54-1)</f>
        <v>-2.0576277476041294E-2</v>
      </c>
      <c r="EM228" s="116">
        <f>IF(ISERROR(EM54/EL54),"-",EM54/EL54-1)</f>
        <v>3.3815479193317843E-2</v>
      </c>
      <c r="EN228" s="116">
        <f>IF(ISERROR(EN54/EM54),"-",EN54/EM54-1)</f>
        <v>0.1652413862572446</v>
      </c>
      <c r="EO228" s="104" t="s">
        <v>6442</v>
      </c>
      <c r="EP228" s="90"/>
      <c r="EQ228" s="116">
        <f>IF(ISERROR(EQ54/EN54),"-",EQ54/EN54-1)</f>
        <v>-8.5737545911930613E-2</v>
      </c>
      <c r="ER228" s="116">
        <f>IF(ISERROR(ER54/EQ54),"-",ER54/EQ54-1)</f>
        <v>-3.2099502964864524E-2</v>
      </c>
      <c r="ES228" s="116">
        <f>IF(ISERROR(ES54/ER54),"-",ES54/ER54-1)</f>
        <v>5.0476256014070131E-2</v>
      </c>
      <c r="ET228" s="116">
        <f>IF(ISERROR(ET54/ES54),"-",ET54/ES54-1)</f>
        <v>0.11639308812134375</v>
      </c>
      <c r="EU228" s="104" t="s">
        <v>6442</v>
      </c>
      <c r="EV228" s="90"/>
    </row>
    <row r="229" spans="1:152">
      <c r="A229" s="90" t="s">
        <v>5638</v>
      </c>
      <c r="B229" s="526"/>
      <c r="C229" s="116"/>
      <c r="D229" s="116">
        <f>IF(ISERROR(D58/C58),"-",D58/C58-1)</f>
        <v>0</v>
      </c>
      <c r="E229" s="116">
        <f>IF(ISERROR(E58/D58),"-",E58/D58-1)</f>
        <v>3.4934497816593968E-2</v>
      </c>
      <c r="F229" s="116">
        <f>IF(ISERROR(F58/E58),"-",F58/E58-1)</f>
        <v>2.1097046413502074E-2</v>
      </c>
      <c r="G229" s="104" t="s">
        <v>6442</v>
      </c>
      <c r="H229" s="90"/>
      <c r="I229" s="116">
        <f>IF(ISERROR(I58/F58),"-",I58/F58-1)</f>
        <v>0.25619834710743805</v>
      </c>
      <c r="J229" s="116">
        <f>IF(ISERROR(J58/I58),"-",J58/I58-1)</f>
        <v>8.8815789473684292E-2</v>
      </c>
      <c r="K229" s="116">
        <f>IF(ISERROR(K58/J58),"-",K58/J58-1)</f>
        <v>0.10271903323262843</v>
      </c>
      <c r="L229" s="116">
        <f>IF(ISERROR(L58/K58),"-",L58/K58-1)</f>
        <v>-3.8356164383561597E-2</v>
      </c>
      <c r="M229" s="104" t="s">
        <v>6442</v>
      </c>
      <c r="N229" s="90"/>
      <c r="O229" s="116">
        <f>IF(ISERROR(O58/L58),"-",O58/L58-1)</f>
        <v>0.11908831908831918</v>
      </c>
      <c r="P229" s="116">
        <f>IF(ISERROR(P58/O58),"-",P58/O58-1)</f>
        <v>-2.2225050916497069E-2</v>
      </c>
      <c r="Q229" s="116">
        <f>IF(ISERROR(Q58/P58),"-",Q58/P58-1)</f>
        <v>6.4649673236649718E-2</v>
      </c>
      <c r="R229" s="116">
        <f>IF(ISERROR(R58/Q58),"-",R58/Q58-1)</f>
        <v>-5.8376131083394456E-2</v>
      </c>
      <c r="S229" s="104" t="s">
        <v>6442</v>
      </c>
      <c r="T229" s="90"/>
      <c r="U229" s="116">
        <f>IF(ISERROR(U58/R58),"-",U58/R58-1)</f>
        <v>0.1519362127626418</v>
      </c>
      <c r="V229" s="116">
        <f>IF(ISERROR(V58/U58),"-",V58/U58-1)</f>
        <v>0.11507677045521159</v>
      </c>
      <c r="W229" s="116">
        <f>IF(ISERROR(W58/V58),"-",W58/V58-1)</f>
        <v>-8.0008896617263514E-2</v>
      </c>
      <c r="X229" s="116">
        <f>IF(ISERROR(X58/W58),"-",X58/W58-1)</f>
        <v>-4.3406593406593474E-2</v>
      </c>
      <c r="Y229" s="104" t="s">
        <v>6442</v>
      </c>
      <c r="Z229" s="104"/>
      <c r="AA229" s="116">
        <f>IF(ISERROR(AA58/X58),"-",AA58/X58-1)</f>
        <v>-7.5129236071223349E-2</v>
      </c>
      <c r="AB229" s="116">
        <f>IF(ISERROR(AB58/AA58),"-",AB58/AA58-1)</f>
        <v>5.0105576946962938E-2</v>
      </c>
      <c r="AC229" s="116">
        <f>IF(ISERROR(AC58/AB58),"-",AC58/AB58-1)</f>
        <v>9.1313398940198187E-3</v>
      </c>
      <c r="AD229" s="116">
        <f>IF(ISERROR(AD58/AC58),"-",AD58/AC58-1)</f>
        <v>6.198133995967936E-2</v>
      </c>
      <c r="AE229" s="104" t="s">
        <v>6442</v>
      </c>
      <c r="AF229" s="104"/>
      <c r="AG229" s="116">
        <f>IF(ISERROR(AG58/AD58),"-",AG58/AD58-1)</f>
        <v>0.10833958765617413</v>
      </c>
      <c r="AH229" s="116">
        <f>IF(ISERROR(AH58/AG58),"-",AH58/AG58-1)</f>
        <v>-5.3435570603465488E-2</v>
      </c>
      <c r="AI229" s="116">
        <f>IF(ISERROR(AI58/AH58),"-",AI58/AH58-1)</f>
        <v>-7.9954552149304692E-2</v>
      </c>
      <c r="AJ229" s="116">
        <f>IF(ISERROR(AJ58/AI58),"-",AJ58/AI58-1)</f>
        <v>-2.4470007089441026E-3</v>
      </c>
      <c r="AK229" s="104" t="s">
        <v>6442</v>
      </c>
      <c r="AL229" s="90"/>
      <c r="AM229" s="116">
        <f>IF(ISERROR(AM58/AJ58),"-",AM58/AJ58-1)</f>
        <v>0.1392251260889501</v>
      </c>
      <c r="AN229" s="116">
        <f>IF(ISERROR(AN58/AM58),"-",AN58/AM58-1)</f>
        <v>2.6744209445998424E-2</v>
      </c>
      <c r="AO229" s="116">
        <f>IF(ISERROR(AO58/AN58),"-",AO58/AN58-1)</f>
        <v>-0.11240249304221706</v>
      </c>
      <c r="AP229" s="116">
        <f>IF(ISERROR(AP58/AO58),"-",AP58/AO58-1)</f>
        <v>-2.2898403515357546E-2</v>
      </c>
      <c r="AQ229" s="104" t="s">
        <v>6442</v>
      </c>
      <c r="AR229" s="90"/>
      <c r="AS229" s="116">
        <f>IF(ISERROR(AS58/AP58),"-",AS58/AP58-1)</f>
        <v>0.16562711864406787</v>
      </c>
      <c r="AT229" s="116">
        <f>IF(ISERROR(AT58/AS58),"-",AT58/AS58-1)</f>
        <v>-3.7127513135190693E-2</v>
      </c>
      <c r="AU229" s="116">
        <f>IF(ISERROR(AU58/AT58),"-",AU58/AT58-1)</f>
        <v>6.7251932989690566E-2</v>
      </c>
      <c r="AV229" s="116">
        <f>IF(ISERROR(AV58/AU58),"-",AV58/AU58-1)</f>
        <v>3.9581918345785283E-2</v>
      </c>
      <c r="AW229" s="104" t="s">
        <v>6442</v>
      </c>
      <c r="AX229" s="90"/>
      <c r="AY229" s="116">
        <f>IF(ISERROR(AY58/AV58),"-",AY58/AV58-1)</f>
        <v>5.0778556132263786E-2</v>
      </c>
      <c r="AZ229" s="116">
        <f>IF(ISERROR(AZ58/AY58),"-",AZ58/AY58-1)</f>
        <v>6.9084628670119663E-3</v>
      </c>
      <c r="BA229" s="116">
        <f>IF(ISERROR(BA58/AZ58),"-",BA58/AZ58-1)</f>
        <v>2.7444253859348233E-2</v>
      </c>
      <c r="BB229" s="116">
        <f>IF(ISERROR(BB58/BA58),"-",BB58/BA58-1)</f>
        <v>5.6761268781302165E-2</v>
      </c>
      <c r="BC229" s="104" t="s">
        <v>6442</v>
      </c>
      <c r="BD229" s="90"/>
      <c r="BE229" s="116">
        <f>IF(ISERROR(BE58/BB58),"-",BE58/BB58-1)</f>
        <v>4.2654028436018843E-2</v>
      </c>
      <c r="BF229" s="116">
        <f>IF(ISERROR(BF58/BE58),"-",BF58/BE58-1)</f>
        <v>0.10606060606060597</v>
      </c>
      <c r="BG229" s="116">
        <f>IF(ISERROR(BG58/BF58),"-",BG58/BF58-1)</f>
        <v>1.3698630136986356E-2</v>
      </c>
      <c r="BH229" s="116">
        <f>IF(ISERROR(BH58/BG58),"-",BH58/BG58-1)</f>
        <v>9.1891891891891841E-2</v>
      </c>
      <c r="BI229" s="104" t="s">
        <v>6442</v>
      </c>
      <c r="BJ229" s="90"/>
      <c r="BK229" s="116">
        <f>IF(ISERROR(BK58/BH58),"-",BK58/BH58-1)</f>
        <v>0.14480198019801982</v>
      </c>
      <c r="BL229" s="116">
        <f>IF(ISERROR(BL58/BK58),"-",BL58/BK58-1)</f>
        <v>-1.6216216216216162E-2</v>
      </c>
      <c r="BM229" s="116">
        <f>IF(ISERROR(BM58/BL58),"-",BM58/BL58-1)</f>
        <v>7.4725274725274904E-2</v>
      </c>
      <c r="BN229" s="116">
        <f>IF(ISERROR(BN58/BM58),"-",BN58/BM58-1)</f>
        <v>-2.9652351738241323E-2</v>
      </c>
      <c r="BO229" s="104" t="s">
        <v>6442</v>
      </c>
      <c r="BP229" s="90"/>
      <c r="BQ229" s="116">
        <f>IF(ISERROR(BQ58/BN58),"-",BQ58/BN58-1)</f>
        <v>0.1127502634351949</v>
      </c>
      <c r="BR229" s="116">
        <f>IF(ISERROR(BR58/BQ58),"-",BR58/BQ58-1)</f>
        <v>1.7045454545454586E-2</v>
      </c>
      <c r="BS229" s="116">
        <f>IF(ISERROR(BS58/BR58),"-",BS58/BR58-1)</f>
        <v>6.5176908752329066E-3</v>
      </c>
      <c r="BT229" s="116">
        <f>IF(ISERROR(BT58/BS58),"-",BT58/BS58-1)</f>
        <v>0.12210915818686385</v>
      </c>
      <c r="BU229" s="104" t="s">
        <v>6442</v>
      </c>
      <c r="BV229" s="90"/>
      <c r="BW229" s="116">
        <f>IF(ISERROR(BW58/BT58),"-",BW58/BT58-1)</f>
        <v>0.11541632316570483</v>
      </c>
      <c r="BX229" s="116">
        <f>IF(ISERROR(BX58/BW58),"-",BX58/BW58-1)</f>
        <v>-4.8780487804877981E-2</v>
      </c>
      <c r="BY229" s="116">
        <f>IF(ISERROR(BY58/BX58),"-",BY58/BX58-1)</f>
        <v>-1.4763014763014781E-2</v>
      </c>
      <c r="BZ229" s="116">
        <f>IF(ISERROR(BZ58/BY58),"-",BZ58/BY58-1)</f>
        <v>-2.3659305993690816E-2</v>
      </c>
      <c r="CA229" s="104" t="s">
        <v>6442</v>
      </c>
      <c r="CB229" s="90"/>
      <c r="CC229" s="116">
        <f>IF(ISERROR(CC58/BZ58),"-",CC58/BZ58-1)</f>
        <v>-5.4119547657512035E-2</v>
      </c>
      <c r="CD229" s="116">
        <f>IF(ISERROR(CD58/CC58),"-",CD58/CC58-1)</f>
        <v>-0.12211784799316816</v>
      </c>
      <c r="CE229" s="116">
        <f>IF(ISERROR(CE58/CD58),"-",CE58/CD58-1)</f>
        <v>-2.9182879377431914E-2</v>
      </c>
      <c r="CF229" s="116">
        <f>IF(ISERROR(CF58/CE58),"-",CF58/CE58-1)</f>
        <v>0.10721442885771548</v>
      </c>
      <c r="CG229" s="104" t="s">
        <v>6442</v>
      </c>
      <c r="CH229" s="90"/>
      <c r="CI229" s="116">
        <f>IF(ISERROR(CI58/CF58),"-",CI58/CF58-1)</f>
        <v>7.6018099547511264E-2</v>
      </c>
      <c r="CJ229" s="116">
        <f>IF(ISERROR(CJ58/CI58),"-",CJ58/CI58-1)</f>
        <v>-5.7190916736753694E-2</v>
      </c>
      <c r="CK229" s="116">
        <f>IF(ISERROR(CK58/CJ58),"-",CK58/CJ58-1)</f>
        <v>4.4603033006244353E-2</v>
      </c>
      <c r="CL229" s="116">
        <f>IF(ISERROR(CL58/CK58),"-",CL58/CK58-1)</f>
        <v>3.074295473953903E-2</v>
      </c>
      <c r="CM229" s="104" t="s">
        <v>6442</v>
      </c>
      <c r="CN229" s="90"/>
      <c r="CO229" s="116">
        <f>IF(ISERROR(CO58/CL58),"-",CO58/CL58-1)</f>
        <v>5.7995028997514408E-2</v>
      </c>
      <c r="CP229" s="116">
        <f>IF(ISERROR(CP58/CO58),"-",CP58/CO58-1)</f>
        <v>1.3312451057165164E-2</v>
      </c>
      <c r="CQ229" s="116">
        <f>IF(ISERROR(CQ58/CP58),"-",CQ58/CP58-1)</f>
        <v>2.2411128284389514E-2</v>
      </c>
      <c r="CR229" s="116">
        <f>IF(ISERROR(CR58/CQ58),"-",CR58/CQ58-1)</f>
        <v>5.0642479213907965E-2</v>
      </c>
      <c r="CS229" s="104" t="s">
        <v>6442</v>
      </c>
      <c r="CT229" s="90"/>
      <c r="CU229" s="116">
        <f>IF(ISERROR(CU58/CR58),"-",CU58/CR58-1)</f>
        <v>1.8705035971223083E-2</v>
      </c>
      <c r="CV229" s="116">
        <f>IF(ISERROR(CV58/CU58),"-",CV58/CU58-1)</f>
        <v>-5.0141242937853048E-2</v>
      </c>
      <c r="CW229" s="116">
        <f>IF(ISERROR(CW58/CV58),"-",CW58/CV58-1)</f>
        <v>-6.6914498141263934E-2</v>
      </c>
      <c r="CX229" s="116">
        <f>IF(ISERROR(CX58/CW58),"-",CX58/CW58-1)</f>
        <v>9.3227091633466319E-2</v>
      </c>
      <c r="CY229" s="104" t="s">
        <v>6442</v>
      </c>
      <c r="CZ229" s="90"/>
      <c r="DA229" s="116">
        <f>IF(ISERROR(DA58/CX58),"-",DA58/CX58-1)</f>
        <v>1.9679300291545188E-2</v>
      </c>
      <c r="DB229" s="116">
        <f>IF(ISERROR(DB58/DA58),"-",DB58/DA58-1)</f>
        <v>-8.5775553967119E-3</v>
      </c>
      <c r="DC229" s="116">
        <f>IF(ISERROR(DC58/DB58),"-",DC58/DB58-1)</f>
        <v>7.2098053352553926E-4</v>
      </c>
      <c r="DD229" s="116">
        <f>IF(ISERROR(DD58/DC58),"-",DD58/DC58-1)</f>
        <v>8.0691642651296691E-2</v>
      </c>
      <c r="DE229" s="104" t="s">
        <v>6442</v>
      </c>
      <c r="DF229" s="90"/>
      <c r="DG229" s="116">
        <f>IF(ISERROR(DG58/DD58),"-",DG58/DD58-1)</f>
        <v>6.4000000000000057E-2</v>
      </c>
      <c r="DH229" s="116">
        <f>IF(ISERROR(DH58/DG58),"-",DH58/DG58-1)</f>
        <v>3.7593984962406291E-2</v>
      </c>
      <c r="DI229" s="116">
        <f>IF(ISERROR(DI58/DH58),"-",DI58/DH58-1)</f>
        <v>2.1739130434782483E-2</v>
      </c>
      <c r="DJ229" s="116">
        <f>IF(ISERROR(DJ58/DI58),"-",DJ58/DI58-1)</f>
        <v>3.3096926713948038E-2</v>
      </c>
      <c r="DK229" s="104" t="s">
        <v>6442</v>
      </c>
      <c r="DL229" s="90"/>
      <c r="DM229" s="116">
        <f>IF(ISERROR(DM58/DJ58),"-",DM58/DJ58-1)</f>
        <v>1.2013729977116583E-2</v>
      </c>
      <c r="DN229" s="116">
        <f>IF(ISERROR(DN58/DM58),"-",DN58/DM58-1)</f>
        <v>7.9140757490105962E-3</v>
      </c>
      <c r="DO229" s="116">
        <f>IF(ISERROR(DO58/DN58),"-",DO58/DN58-1)</f>
        <v>1.1777902411665764E-2</v>
      </c>
      <c r="DP229" s="116">
        <f>IF(ISERROR(DP58/DO58),"-",DP58/DO58-1)</f>
        <v>1.9955654101995624E-2</v>
      </c>
      <c r="DQ229" s="104" t="s">
        <v>6442</v>
      </c>
      <c r="DR229" s="90"/>
      <c r="DS229" s="116">
        <f>IF(ISERROR(DS58/DP58),"-",DS58/DP58-1)</f>
        <v>-5.1086956521739113E-2</v>
      </c>
      <c r="DT229" s="116">
        <f>IF(ISERROR(DT58/DS58),"-",DT58/DS58-1)</f>
        <v>-1.0309278350515316E-2</v>
      </c>
      <c r="DU229" s="116">
        <f>IF(ISERROR(DU58/DT58),"-",DU58/DT58-1)</f>
        <v>-6.3657407407409217E-3</v>
      </c>
      <c r="DV229" s="116">
        <f>IF(ISERROR(DV58/DU58),"-",DV58/DU58-1)</f>
        <v>-3.4944670937682054E-2</v>
      </c>
      <c r="DW229" s="104" t="s">
        <v>6442</v>
      </c>
      <c r="DX229" s="90"/>
      <c r="DY229" s="116">
        <f>IF(ISERROR(DY58/DV58),"-",DY58/DV58-1)</f>
        <v>4.8280024140012756E-3</v>
      </c>
      <c r="DZ229" s="116">
        <f>IF(ISERROR(DZ58/DY58),"-",DZ58/DY58-1)</f>
        <v>4.1441441441441462E-2</v>
      </c>
      <c r="EA229" s="116">
        <f>IF(ISERROR(EA58/DZ58),"-",EA58/DZ58-1)</f>
        <v>-9.8039215686274161E-3</v>
      </c>
      <c r="EB229" s="116">
        <f>IF(ISERROR(EB58/EA58),"-",EB58/EA58-1)</f>
        <v>-6.2317996505533046E-2</v>
      </c>
      <c r="EC229" s="104" t="s">
        <v>6442</v>
      </c>
      <c r="ED229" s="90"/>
      <c r="EE229" s="116">
        <f>IF(ISERROR(EE58/EB58),"-",EE58/EB58-1)</f>
        <v>8.1454516404435129E-2</v>
      </c>
      <c r="EF229" s="116">
        <f>IF(ISERROR(EF58/EE58),"-",EF58/EE58-1)</f>
        <v>9.255463200179781E-3</v>
      </c>
      <c r="EG229" s="116">
        <f>IF(ISERROR(EG58/EF58),"-",EG58/EF58-1)</f>
        <v>-1.1643550051974039E-2</v>
      </c>
      <c r="EH229" s="116">
        <f>IF(ISERROR(EH58/EG58),"-",EH58/EG58-1)</f>
        <v>-1.2226167817064204E-2</v>
      </c>
      <c r="EI229" s="104" t="s">
        <v>6442</v>
      </c>
      <c r="EJ229" s="90"/>
      <c r="EK229" s="116">
        <f>IF(ISERROR(EK58/EH58),"-",EK58/EH58-1)</f>
        <v>1.7699452018345996E-2</v>
      </c>
      <c r="EL229" s="116">
        <f>IF(ISERROR(EL58/EK58),"-",EL58/EK58-1)</f>
        <v>-1.1293983206894675E-2</v>
      </c>
      <c r="EM229" s="116">
        <f>IF(ISERROR(EM58/EL58),"-",EM58/EL58-1)</f>
        <v>1.7702572594402888E-2</v>
      </c>
      <c r="EN229" s="116">
        <f>IF(ISERROR(EN58/EM58),"-",EN58/EM58-1)</f>
        <v>2.2753728092554493E-2</v>
      </c>
      <c r="EO229" s="104" t="s">
        <v>6442</v>
      </c>
      <c r="EP229" s="90"/>
      <c r="EQ229" s="116">
        <f>IF(ISERROR(EQ58/EN58),"-",EQ58/EN58-1)</f>
        <v>3.7985506695789706E-2</v>
      </c>
      <c r="ER229" s="116">
        <f>IF(ISERROR(ER58/EQ58),"-",ER58/EQ58-1)</f>
        <v>8.5847786823567418E-4</v>
      </c>
      <c r="ES229" s="116">
        <f>IF(ISERROR(ES58/ER58),"-",ES58/ER58-1)</f>
        <v>1.1957701880511706E-3</v>
      </c>
      <c r="ET229" s="116">
        <f>IF(ISERROR(ET58/ES58),"-",ET58/ES58-1)</f>
        <v>6.9735408110285224E-3</v>
      </c>
      <c r="EU229" s="104" t="s">
        <v>6442</v>
      </c>
      <c r="EV229" s="90"/>
    </row>
    <row r="230" spans="1:152">
      <c r="A230" s="90" t="s">
        <v>5639</v>
      </c>
      <c r="B230" s="526"/>
      <c r="C230" s="116"/>
      <c r="D230" s="116">
        <f>IF(ISERROR(D62/C62),"-",D62/C62-1)</f>
        <v>-2.1390374331550777E-2</v>
      </c>
      <c r="E230" s="116">
        <f>IF(ISERROR(E62/D62),"-",E62/D62-1)</f>
        <v>1.0928961748633892E-2</v>
      </c>
      <c r="F230" s="116">
        <f>IF(ISERROR(F62/E62),"-",F62/E62-1)</f>
        <v>1.6216216216216273E-2</v>
      </c>
      <c r="G230" s="104" t="s">
        <v>6442</v>
      </c>
      <c r="H230" s="90"/>
      <c r="I230" s="116">
        <f>IF(ISERROR(I62/F62),"-",I62/F62-1)</f>
        <v>1.0638297872340496E-2</v>
      </c>
      <c r="J230" s="116">
        <f>IF(ISERROR(J62/I62),"-",J62/I62-1)</f>
        <v>8.4210526315789513E-2</v>
      </c>
      <c r="K230" s="116">
        <f>IF(ISERROR(K62/J62),"-",K62/J62-1)</f>
        <v>1.9417475728155331E-2</v>
      </c>
      <c r="L230" s="116">
        <f>IF(ISERROR(L62/K62),"-",L62/K62-1)</f>
        <v>8.0952380952380887E-2</v>
      </c>
      <c r="M230" s="104" t="s">
        <v>6442</v>
      </c>
      <c r="N230" s="90"/>
      <c r="O230" s="116">
        <f>IF(ISERROR(O62/L62),"-",O62/L62-1)</f>
        <v>0.18814977973568281</v>
      </c>
      <c r="P230" s="116">
        <f>IF(ISERROR(P62/O62),"-",P62/O62-1)</f>
        <v>2.4099959215453604E-2</v>
      </c>
      <c r="Q230" s="116">
        <f>IF(ISERROR(Q62/P62),"-",Q62/P62-1)</f>
        <v>2.4148292965497253E-2</v>
      </c>
      <c r="R230" s="116">
        <f>IF(ISERROR(R62/Q62),"-",R62/Q62-1)</f>
        <v>5.6631787330316818E-2</v>
      </c>
      <c r="S230" s="104" t="s">
        <v>6442</v>
      </c>
      <c r="T230" s="90"/>
      <c r="U230" s="116">
        <f>IF(ISERROR(U62/R62),"-",U62/R62-1)</f>
        <v>-0.30960187353629975</v>
      </c>
      <c r="V230" s="116">
        <f>IF(ISERROR(V62/U62),"-",V62/U62-1)</f>
        <v>3.4357433611164945E-2</v>
      </c>
      <c r="W230" s="116">
        <f>IF(ISERROR(W62/V62),"-",W62/V62-1)</f>
        <v>-4.5209650972124593E-2</v>
      </c>
      <c r="X230" s="116">
        <f>IF(ISERROR(X62/W62),"-",X62/W62-1)</f>
        <v>5.922473012757612E-2</v>
      </c>
      <c r="Y230" s="104" t="s">
        <v>6442</v>
      </c>
      <c r="Z230" s="104"/>
      <c r="AA230" s="116">
        <f>IF(ISERROR(AA62/X62),"-",AA62/X62-1)</f>
        <v>0.47334043637374346</v>
      </c>
      <c r="AB230" s="116">
        <f>IF(ISERROR(AB62/AA62),"-",AB62/AA62-1)</f>
        <v>4.1440025153277826E-2</v>
      </c>
      <c r="AC230" s="116">
        <f>IF(ISERROR(AC62/AB62),"-",AC62/AB62-1)</f>
        <v>-2.2220209522084255E-2</v>
      </c>
      <c r="AD230" s="116">
        <f>IF(ISERROR(AD62/AC62),"-",AD62/AC62-1)</f>
        <v>8.7133726495198793E-2</v>
      </c>
      <c r="AE230" s="104" t="s">
        <v>6442</v>
      </c>
      <c r="AF230" s="104"/>
      <c r="AG230" s="116">
        <f>IF(ISERROR(AG62/AD62),"-",AG62/AD62-1)</f>
        <v>-0.36513391462410183</v>
      </c>
      <c r="AH230" s="116">
        <f>IF(ISERROR(AH62/AG62),"-",AH62/AG62-1)</f>
        <v>-8.3523464411935811E-2</v>
      </c>
      <c r="AI230" s="116">
        <f>IF(ISERROR(AI62/AH62),"-",AI62/AH62-1)</f>
        <v>-1.0836668944645189E-2</v>
      </c>
      <c r="AJ230" s="116">
        <f>IF(ISERROR(AJ62/AI62),"-",AJ62/AI62-1)</f>
        <v>3.8245163837347107E-2</v>
      </c>
      <c r="AK230" s="104" t="s">
        <v>6442</v>
      </c>
      <c r="AL230" s="90"/>
      <c r="AM230" s="116">
        <f>IF(ISERROR(AM62/AJ62),"-",AM62/AJ62-1)</f>
        <v>-2.8518465706546259E-3</v>
      </c>
      <c r="AN230" s="116">
        <f>IF(ISERROR(AN62/AM62),"-",AN62/AM62-1)</f>
        <v>6.9593402926736214E-2</v>
      </c>
      <c r="AO230" s="116">
        <f>IF(ISERROR(AO62/AN62),"-",AO62/AN62-1)</f>
        <v>-0.27443290699229028</v>
      </c>
      <c r="AP230" s="116">
        <f>IF(ISERROR(AP62/AO62),"-",AP62/AO62-1)</f>
        <v>0.2694551931699527</v>
      </c>
      <c r="AQ230" s="104" t="s">
        <v>6442</v>
      </c>
      <c r="AR230" s="90"/>
      <c r="AS230" s="116">
        <f>IF(ISERROR(AS62/AP62),"-",AS62/AP62-1)</f>
        <v>6.3673311399264687E-2</v>
      </c>
      <c r="AT230" s="116">
        <f>IF(ISERROR(AT62/AS62),"-",AT62/AS62-1)</f>
        <v>9.370451237263433E-3</v>
      </c>
      <c r="AU230" s="116">
        <f>IF(ISERROR(AU62/AT62),"-",AU62/AT62-1)</f>
        <v>-5.6106354213609766E-2</v>
      </c>
      <c r="AV230" s="116">
        <f>IF(ISERROR(AV62/AU62),"-",AV62/AU62-1)</f>
        <v>0.260109811410838</v>
      </c>
      <c r="AW230" s="104" t="s">
        <v>6442</v>
      </c>
      <c r="AX230" s="90"/>
      <c r="AY230" s="116">
        <f>IF(ISERROR(AY62/AV62),"-",AY62/AV62-1)</f>
        <v>2.678740575152494E-2</v>
      </c>
      <c r="AZ230" s="116">
        <f>IF(ISERROR(AZ62/AY62),"-",AZ62/AY62-1)</f>
        <v>-0.15498154981549805</v>
      </c>
      <c r="BA230" s="116">
        <f>IF(ISERROR(BA62/AZ62),"-",BA62/AZ62-1)</f>
        <v>0.17030567685589504</v>
      </c>
      <c r="BB230" s="116">
        <f>IF(ISERROR(BB62/BA62),"-",BB62/BA62-1)</f>
        <v>-8.2089552238806096E-2</v>
      </c>
      <c r="BC230" s="104" t="s">
        <v>6442</v>
      </c>
      <c r="BD230" s="90"/>
      <c r="BE230" s="116">
        <f>IF(ISERROR(BE62/BB62),"-",BE62/BB62-1)</f>
        <v>0.12195121951219523</v>
      </c>
      <c r="BF230" s="116">
        <f>IF(ISERROR(BF62/BE62),"-",BF62/BE62-1)</f>
        <v>0.18115942028985477</v>
      </c>
      <c r="BG230" s="116">
        <f>IF(ISERROR(BG62/BF62),"-",BG62/BF62-1)</f>
        <v>-6.1349693251532278E-3</v>
      </c>
      <c r="BH230" s="116">
        <f>IF(ISERROR(BH62/BG62),"-",BH62/BG62-1)</f>
        <v>4.9382716049382713E-2</v>
      </c>
      <c r="BI230" s="104" t="s">
        <v>6442</v>
      </c>
      <c r="BJ230" s="90"/>
      <c r="BK230" s="116">
        <f>IF(ISERROR(BK62/BH62),"-",BK62/BH62-1)</f>
        <v>-2.9411764705882248E-3</v>
      </c>
      <c r="BL230" s="116">
        <f>IF(ISERROR(BL62/BK62),"-",BL62/BK62-1)</f>
        <v>-1.7699115044247593E-2</v>
      </c>
      <c r="BM230" s="116">
        <f>IF(ISERROR(BM62/BL62),"-",BM62/BL62-1)</f>
        <v>0.144144144144144</v>
      </c>
      <c r="BN230" s="116">
        <f>IF(ISERROR(BN62/BM62),"-",BN62/BM62-1)</f>
        <v>-4.1994750656167978E-2</v>
      </c>
      <c r="BO230" s="104" t="s">
        <v>6442</v>
      </c>
      <c r="BP230" s="90"/>
      <c r="BQ230" s="116">
        <f>IF(ISERROR(BQ62/BN62),"-",BQ62/BN62-1)</f>
        <v>0.10958904109589018</v>
      </c>
      <c r="BR230" s="116">
        <f>IF(ISERROR(BR62/BQ62),"-",BR62/BQ62-1)</f>
        <v>-2.9629629629629561E-2</v>
      </c>
      <c r="BS230" s="116">
        <f>IF(ISERROR(BS62/BR62),"-",BS62/BR62-1)</f>
        <v>2.798982188295196E-2</v>
      </c>
      <c r="BT230" s="116">
        <f>IF(ISERROR(BT62/BS62),"-",BT62/BS62-1)</f>
        <v>1.4851485148514643E-2</v>
      </c>
      <c r="BU230" s="104" t="s">
        <v>6442</v>
      </c>
      <c r="BV230" s="90"/>
      <c r="BW230" s="116">
        <f>IF(ISERROR(BW62/BT62),"-",BW62/BT62-1)</f>
        <v>0.1048780487804879</v>
      </c>
      <c r="BX230" s="116">
        <f>IF(ISERROR(BX62/BW62),"-",BX62/BW62-1)</f>
        <v>6.8432671081677832E-2</v>
      </c>
      <c r="BY230" s="116">
        <f>IF(ISERROR(BY62/BX62),"-",BY62/BX62-1)</f>
        <v>-0.11776859504132253</v>
      </c>
      <c r="BZ230" s="116">
        <f>IF(ISERROR(BZ62/BY62),"-",BZ62/BY62-1)</f>
        <v>-9.1334894613583129E-2</v>
      </c>
      <c r="CA230" s="104" t="s">
        <v>6442</v>
      </c>
      <c r="CB230" s="90"/>
      <c r="CC230" s="116">
        <f>IF(ISERROR(CC62/BZ62),"-",CC62/BZ62-1)</f>
        <v>-0.14432989690721632</v>
      </c>
      <c r="CD230" s="116">
        <f>IF(ISERROR(CD62/CC62),"-",CD62/CC62-1)</f>
        <v>0.1686746987951806</v>
      </c>
      <c r="CE230" s="116">
        <f>IF(ISERROR(CE62/CD62),"-",CE62/CD62-1)</f>
        <v>-7.7319587628865705E-3</v>
      </c>
      <c r="CF230" s="116">
        <f>IF(ISERROR(CF62/CE62),"-",CF62/CE62-1)</f>
        <v>-1.8181818181818077E-2</v>
      </c>
      <c r="CG230" s="104" t="s">
        <v>6442</v>
      </c>
      <c r="CH230" s="90"/>
      <c r="CI230" s="116">
        <f>IF(ISERROR(CI62/CF62),"-",CI62/CF62-1)</f>
        <v>8.2010582010581867E-2</v>
      </c>
      <c r="CJ230" s="116">
        <f>IF(ISERROR(CJ62/CI62),"-",CJ62/CI62-1)</f>
        <v>-0.11735941320293397</v>
      </c>
      <c r="CK230" s="116">
        <f>IF(ISERROR(CK62/CJ62),"-",CK62/CJ62-1)</f>
        <v>0.17174515235457055</v>
      </c>
      <c r="CL230" s="116">
        <f>IF(ISERROR(CL62/CK62),"-",CL62/CK62-1)</f>
        <v>7.0921985815604049E-3</v>
      </c>
      <c r="CM230" s="104" t="s">
        <v>6442</v>
      </c>
      <c r="CN230" s="90"/>
      <c r="CO230" s="116">
        <f>IF(ISERROR(CO62/CL62),"-",CO62/CL62-1)</f>
        <v>7.5117370892018753E-2</v>
      </c>
      <c r="CP230" s="116">
        <f>IF(ISERROR(CP62/CO62),"-",CP62/CO62-1)</f>
        <v>-0.11572052401746735</v>
      </c>
      <c r="CQ230" s="116">
        <f>IF(ISERROR(CQ62/CP62),"-",CQ62/CP62-1)</f>
        <v>-3.4567901234567988E-2</v>
      </c>
      <c r="CR230" s="116">
        <f>IF(ISERROR(CR62/CQ62),"-",CR62/CQ62-1)</f>
        <v>0.19948849104859367</v>
      </c>
      <c r="CS230" s="104" t="s">
        <v>6442</v>
      </c>
      <c r="CT230" s="90"/>
      <c r="CU230" s="116">
        <f>IF(ISERROR(CU62/CR62),"-",CU62/CR62-1)</f>
        <v>-2.558635394456299E-2</v>
      </c>
      <c r="CV230" s="116">
        <f>IF(ISERROR(CV62/CU62),"-",CV62/CU62-1)</f>
        <v>-1.5317286652078654E-2</v>
      </c>
      <c r="CW230" s="116">
        <f>IF(ISERROR(CW62/CV62),"-",CW62/CV62-1)</f>
        <v>-5.1111111111111218E-2</v>
      </c>
      <c r="CX230" s="116">
        <f>IF(ISERROR(CX62/CW62),"-",CX62/CW62-1)</f>
        <v>0.12646370023419196</v>
      </c>
      <c r="CY230" s="104" t="s">
        <v>6442</v>
      </c>
      <c r="CZ230" s="90"/>
      <c r="DA230" s="116">
        <f>IF(ISERROR(DA62/CX62),"-",DA62/CX62-1)</f>
        <v>-9.1476091476091481E-2</v>
      </c>
      <c r="DB230" s="116">
        <f>IF(ISERROR(DB62/DA62),"-",DB62/DA62-1)</f>
        <v>7.0938215102974711E-2</v>
      </c>
      <c r="DC230" s="116">
        <f>IF(ISERROR(DC62/DB62),"-",DC62/DB62-1)</f>
        <v>7.4786324786324965E-2</v>
      </c>
      <c r="DD230" s="116">
        <f>IF(ISERROR(DD62/DC62),"-",DD62/DC62-1)</f>
        <v>-6.3618290258449339E-2</v>
      </c>
      <c r="DE230" s="104" t="s">
        <v>6442</v>
      </c>
      <c r="DF230" s="90"/>
      <c r="DG230" s="116">
        <f>IF(ISERROR(DG62/DD62),"-",DG62/DD62-1)</f>
        <v>0.17834394904458617</v>
      </c>
      <c r="DH230" s="116">
        <f>IF(ISERROR(DH62/DG62),"-",DH62/DG62-1)</f>
        <v>0.17297297297297276</v>
      </c>
      <c r="DI230" s="116">
        <f>IF(ISERROR(DI62/DH62),"-",DI62/DH62-1)</f>
        <v>0.10906298003072212</v>
      </c>
      <c r="DJ230" s="116">
        <f>IF(ISERROR(DJ62/DI62),"-",DJ62/DI62-1)</f>
        <v>-0.13850415512465375</v>
      </c>
      <c r="DK230" s="104" t="s">
        <v>6442</v>
      </c>
      <c r="DL230" s="90"/>
      <c r="DM230" s="116">
        <f>IF(ISERROR(DM62/DJ62),"-",DM62/DJ62-1)</f>
        <v>9.1639871382636739E-2</v>
      </c>
      <c r="DN230" s="116">
        <f>IF(ISERROR(DN62/DM62),"-",DN62/DM62-1)</f>
        <v>-5.8910162002945743E-2</v>
      </c>
      <c r="DO230" s="116">
        <f>IF(ISERROR(DO62/DN62),"-",DO62/DN62-1)</f>
        <v>4.6948356807511971E-2</v>
      </c>
      <c r="DP230" s="116">
        <f>IF(ISERROR(DP62/DO62),"-",DP62/DO62-1)</f>
        <v>-2.9895366218236186E-2</v>
      </c>
      <c r="DQ230" s="104" t="s">
        <v>6442</v>
      </c>
      <c r="DR230" s="90"/>
      <c r="DS230" s="116">
        <f>IF(ISERROR(DS62/DP62),"-",DS62/DP62-1)</f>
        <v>3.0816640986132349E-2</v>
      </c>
      <c r="DT230" s="116">
        <f>IF(ISERROR(DT62/DS62),"-",DT62/DS62-1)</f>
        <v>-8.5201793721973007E-2</v>
      </c>
      <c r="DU230" s="116">
        <f>IF(ISERROR(DU62/DT62),"-",DU62/DT62-1)</f>
        <v>1.9607843137255054E-2</v>
      </c>
      <c r="DV230" s="116">
        <f>IF(ISERROR(DV62/DU62),"-",DV62/DU62-1)</f>
        <v>4.1666666666666519E-2</v>
      </c>
      <c r="DW230" s="104" t="s">
        <v>6442</v>
      </c>
      <c r="DX230" s="90"/>
      <c r="DY230" s="116">
        <f>IF(ISERROR(DY62/DV62),"-",DY62/DV62-1)</f>
        <v>-8.0000000000000071E-2</v>
      </c>
      <c r="DZ230" s="116">
        <f>IF(ISERROR(DZ62/DY62),"-",DZ62/DY62-1)</f>
        <v>-1.6722408026755731E-2</v>
      </c>
      <c r="EA230" s="116">
        <f>IF(ISERROR(EA62/DZ62),"-",EA62/DZ62-1)</f>
        <v>-5.7823129251700744E-2</v>
      </c>
      <c r="EB230" s="116">
        <f>IF(ISERROR(EB62/EA62),"-",EB62/EA62-1)</f>
        <v>0.27978339350180503</v>
      </c>
      <c r="EC230" s="104" t="s">
        <v>6442</v>
      </c>
      <c r="ED230" s="90"/>
      <c r="EE230" s="116">
        <f>IF(ISERROR(EE62/EB62),"-",EE62/EB62-1)</f>
        <v>-0.11190466392839427</v>
      </c>
      <c r="EF230" s="116">
        <f>IF(ISERROR(EF62/EE62),"-",EF62/EE62-1)</f>
        <v>1.2035932908781799E-2</v>
      </c>
      <c r="EG230" s="116">
        <f>IF(ISERROR(EG62/EF62),"-",EG62/EF62-1)</f>
        <v>-2.7230167177963449E-2</v>
      </c>
      <c r="EH230" s="116">
        <f>IF(ISERROR(EH62/EG62),"-",EH62/EG62-1)</f>
        <v>6.9503835624573629E-2</v>
      </c>
      <c r="EI230" s="104" t="s">
        <v>6442</v>
      </c>
      <c r="EJ230" s="90"/>
      <c r="EK230" s="116">
        <f>IF(ISERROR(EK62/EH62),"-",EK62/EH62-1)</f>
        <v>-2.9945127297235308E-2</v>
      </c>
      <c r="EL230" s="116">
        <f>IF(ISERROR(EL62/EK62),"-",EL62/EK62-1)</f>
        <v>-6.6184180492373512E-3</v>
      </c>
      <c r="EM230" s="116">
        <f>IF(ISERROR(EM62/EL62),"-",EM62/EL62-1)</f>
        <v>7.811248036336349E-2</v>
      </c>
      <c r="EN230" s="116">
        <f>IF(ISERROR(EN62/EM62),"-",EN62/EM62-1)</f>
        <v>1.4046542342155188E-2</v>
      </c>
      <c r="EO230" s="104" t="s">
        <v>6442</v>
      </c>
      <c r="EP230" s="90"/>
      <c r="EQ230" s="116">
        <f>IF(ISERROR(EQ62/EN62),"-",EQ62/EN62-1)</f>
        <v>-8.5878942360076094E-2</v>
      </c>
      <c r="ER230" s="116">
        <f>IF(ISERROR(ER62/EQ62),"-",ER62/EQ62-1)</f>
        <v>4.6769370187031756E-2</v>
      </c>
      <c r="ES230" s="116">
        <f>IF(ISERROR(ES62/ER62),"-",ES62/ER62-1)</f>
        <v>-2.290227061516914E-2</v>
      </c>
      <c r="ET230" s="116">
        <f>IF(ISERROR(ET62/ES62),"-",ET62/ES62-1)</f>
        <v>9.0325066462593195E-3</v>
      </c>
      <c r="EU230" s="104" t="s">
        <v>6442</v>
      </c>
      <c r="EV230" s="90"/>
    </row>
    <row r="231" spans="1:152">
      <c r="A231" s="41" t="s">
        <v>6050</v>
      </c>
      <c r="B231" s="526"/>
      <c r="C231" s="116"/>
      <c r="D231" s="116">
        <f>IF(ISERROR(D79/C79),"-",D79/C79-1)</f>
        <v>9.9009900990099098E-3</v>
      </c>
      <c r="E231" s="116">
        <f>IF(ISERROR(E79/D79),"-",E79/D79-1)</f>
        <v>6.5359477124184995E-3</v>
      </c>
      <c r="F231" s="116">
        <f>IF(ISERROR(F79/E79),"-",F79/E79-1)</f>
        <v>4.3290043290042934E-3</v>
      </c>
      <c r="G231" s="104" t="s">
        <v>6442</v>
      </c>
      <c r="H231" s="90"/>
      <c r="I231" s="116">
        <f>IF(ISERROR(I79/F79),"-",I79/F79-1)</f>
        <v>0.16918103448275867</v>
      </c>
      <c r="J231" s="116">
        <f>IF(ISERROR(J79/I79),"-",J79/I79-1)</f>
        <v>9.2165898617511566E-2</v>
      </c>
      <c r="K231" s="116">
        <f>IF(ISERROR(K79/J79),"-",K79/J79-1)</f>
        <v>5.5696202531645422E-2</v>
      </c>
      <c r="L231" s="116">
        <f>IF(ISERROR(L79/K79),"-",L79/K79-1)</f>
        <v>5.2757793764987904E-2</v>
      </c>
      <c r="M231" s="104" t="s">
        <v>6442</v>
      </c>
      <c r="N231" s="90"/>
      <c r="O231" s="116">
        <f>IF(ISERROR(O79/L79),"-",O79/L79-1)</f>
        <v>9.627182991647687E-2</v>
      </c>
      <c r="P231" s="116">
        <f>IF(ISERROR(P79/O79),"-",P79/O79-1)</f>
        <v>1.3409152300542404E-2</v>
      </c>
      <c r="Q231" s="116">
        <f>IF(ISERROR(Q79/P79),"-",Q79/P79-1)</f>
        <v>-1.2848990192392273E-3</v>
      </c>
      <c r="R231" s="116">
        <f>IF(ISERROR(R79/Q79),"-",R79/Q79-1)</f>
        <v>1.5534432377315444E-2</v>
      </c>
      <c r="S231" s="104" t="s">
        <v>6442</v>
      </c>
      <c r="T231" s="90"/>
      <c r="U231" s="116">
        <f>IF(ISERROR(U79/R79),"-",U79/R79-1)</f>
        <v>7.2723842126188654E-2</v>
      </c>
      <c r="V231" s="116">
        <f>IF(ISERROR(V79/U79),"-",V79/U79-1)</f>
        <v>4.4173906488513826E-2</v>
      </c>
      <c r="W231" s="116">
        <f>IF(ISERROR(W79/V79),"-",W79/V79-1)</f>
        <v>-8.177065473075007E-2</v>
      </c>
      <c r="X231" s="116">
        <f>IF(ISERROR(X79/W79),"-",X79/W79-1)</f>
        <v>-1.0227414187343187E-2</v>
      </c>
      <c r="Y231" s="104" t="s">
        <v>6442</v>
      </c>
      <c r="Z231" s="104"/>
      <c r="AA231" s="116">
        <f>IF(ISERROR(AA79/X79),"-",AA79/X79-1)</f>
        <v>-9.9690205735163406E-3</v>
      </c>
      <c r="AB231" s="116">
        <f>IF(ISERROR(AB79/AA79),"-",AB79/AA79-1)</f>
        <v>1.8707960578221661E-2</v>
      </c>
      <c r="AC231" s="116">
        <f>IF(ISERROR(AC79/AB79),"-",AC79/AB79-1)</f>
        <v>2.57219742714625E-2</v>
      </c>
      <c r="AD231" s="116">
        <f>IF(ISERROR(AD79/AC79),"-",AD79/AC79-1)</f>
        <v>4.0549274054735518E-2</v>
      </c>
      <c r="AE231" s="104" t="s">
        <v>6442</v>
      </c>
      <c r="AF231" s="104"/>
      <c r="AG231" s="116">
        <f>IF(ISERROR(AG79/AD79),"-",AG79/AD79-1)</f>
        <v>1.7944113740345324E-2</v>
      </c>
      <c r="AH231" s="116">
        <f>IF(ISERROR(AH79/AG79),"-",AH79/AG79-1)</f>
        <v>-3.1733661966726001E-2</v>
      </c>
      <c r="AI231" s="116">
        <f>IF(ISERROR(AI79/AH79),"-",AI79/AH79-1)</f>
        <v>-5.3930284937079298E-2</v>
      </c>
      <c r="AJ231" s="116">
        <f>IF(ISERROR(AJ79/AI79),"-",AJ79/AI79-1)</f>
        <v>5.3199417028825469E-2</v>
      </c>
      <c r="AK231" s="104" t="s">
        <v>6442</v>
      </c>
      <c r="AL231" s="90"/>
      <c r="AM231" s="116">
        <f>IF(ISERROR(AM79/AJ79),"-",AM79/AJ79-1)</f>
        <v>2.8941040925712258E-2</v>
      </c>
      <c r="AN231" s="116">
        <f>IF(ISERROR(AN79/AM79),"-",AN79/AM79-1)</f>
        <v>-1.5937830897118976E-2</v>
      </c>
      <c r="AO231" s="116">
        <f>IF(ISERROR(AO79/AN79),"-",AO79/AN79-1)</f>
        <v>-7.1975857569554713E-2</v>
      </c>
      <c r="AP231" s="116">
        <f>IF(ISERROR(AP79/AO79),"-",AP79/AO79-1)</f>
        <v>1.4106938188021445E-2</v>
      </c>
      <c r="AQ231" s="104" t="s">
        <v>6442</v>
      </c>
      <c r="AR231" s="90"/>
      <c r="AS231" s="116">
        <f>IF(ISERROR(AS79/AP79),"-",AS79/AP79-1)</f>
        <v>9.023228307651876E-2</v>
      </c>
      <c r="AT231" s="116">
        <f>IF(ISERROR(AT79/AS79),"-",AT79/AS79-1)</f>
        <v>-2.5307834640211579E-2</v>
      </c>
      <c r="AU231" s="116">
        <f>IF(ISERROR(AU79/AT79),"-",AU79/AT79-1)</f>
        <v>4.696446901396234E-2</v>
      </c>
      <c r="AV231" s="116">
        <f>IF(ISERROR(AV79/AU79),"-",AV79/AU79-1)</f>
        <v>0.16439375594313499</v>
      </c>
      <c r="AW231" s="104" t="s">
        <v>6442</v>
      </c>
      <c r="AX231" s="90"/>
      <c r="AY231" s="116">
        <f>IF(ISERROR(AY79/AV79),"-",AY79/AV79-1)</f>
        <v>-1.4441000877517651E-2</v>
      </c>
      <c r="AZ231" s="116">
        <f>IF(ISERROR(AZ79/AY79),"-",AZ79/AY79-1)</f>
        <v>-4.1688111168296405E-2</v>
      </c>
      <c r="BA231" s="116">
        <f>IF(ISERROR(BA79/AZ79),"-",BA79/AZ79-1)</f>
        <v>7.3576799140708804E-2</v>
      </c>
      <c r="BB231" s="116">
        <f>IF(ISERROR(BB79/BA79),"-",BB79/BA79-1)</f>
        <v>0.11205602801400705</v>
      </c>
      <c r="BC231" s="104" t="s">
        <v>6442</v>
      </c>
      <c r="BD231" s="90"/>
      <c r="BE231" s="116">
        <f>IF(ISERROR(BE79/BB79),"-",BE79/BB79-1)</f>
        <v>-5.8479532163743242E-3</v>
      </c>
      <c r="BF231" s="116">
        <f>IF(ISERROR(BF79/BE79),"-",BF79/BE79-1)</f>
        <v>8.4162895927601733E-2</v>
      </c>
      <c r="BG231" s="116">
        <f>IF(ISERROR(BG79/BF79),"-",BG79/BF79-1)</f>
        <v>1.3355592654424209E-2</v>
      </c>
      <c r="BH231" s="116">
        <f>IF(ISERROR(BH79/BG79),"-",BH79/BG79-1)</f>
        <v>0.1153212520593081</v>
      </c>
      <c r="BI231" s="104" t="s">
        <v>6442</v>
      </c>
      <c r="BJ231" s="90"/>
      <c r="BK231" s="116">
        <f>IF(ISERROR(BK79/BH79),"-",BK79/BH79-1)</f>
        <v>6.2407680945347099E-2</v>
      </c>
      <c r="BL231" s="116">
        <f>IF(ISERROR(BL79/BK79),"-",BL79/BK79-1)</f>
        <v>-1.911713590545705E-2</v>
      </c>
      <c r="BM231" s="116">
        <f>IF(ISERROR(BM79/BL79),"-",BM79/BL79-1)</f>
        <v>5.4925584691708274E-2</v>
      </c>
      <c r="BN231" s="116">
        <f>IF(ISERROR(BN79/BM79),"-",BN79/BM79-1)</f>
        <v>2.3513604299630231E-2</v>
      </c>
      <c r="BO231" s="104" t="s">
        <v>6442</v>
      </c>
      <c r="BP231" s="90"/>
      <c r="BQ231" s="116">
        <f>IF(ISERROR(BQ79/BN79),"-",BQ79/BN79-1)</f>
        <v>7.4827699376435852E-2</v>
      </c>
      <c r="BR231" s="116">
        <f>IF(ISERROR(BR79/BQ79),"-",BR79/BQ79-1)</f>
        <v>2.7480916030534486E-2</v>
      </c>
      <c r="BS231" s="116">
        <f>IF(ISERROR(BS79/BR79),"-",BS79/BR79-1)</f>
        <v>1.3967310549777068E-2</v>
      </c>
      <c r="BT231" s="116">
        <f>IF(ISERROR(BT79/BS79),"-",BT79/BS79-1)</f>
        <v>0.15005861664712761</v>
      </c>
      <c r="BU231" s="104" t="s">
        <v>6442</v>
      </c>
      <c r="BV231" s="90"/>
      <c r="BW231" s="116">
        <f>IF(ISERROR(BW79/BT79),"-",BW79/BT79-1)</f>
        <v>4.0774719673801751E-3</v>
      </c>
      <c r="BX231" s="116">
        <f>IF(ISERROR(BX79/BW79),"-",BX79/BW79-1)</f>
        <v>4.822335025380653E-3</v>
      </c>
      <c r="BY231" s="116">
        <f>IF(ISERROR(BY79/BX79),"-",BY79/BX79-1)</f>
        <v>-2.7784794139934288E-2</v>
      </c>
      <c r="BZ231" s="116">
        <f>IF(ISERROR(BZ79/BY79),"-",BZ79/BY79-1)</f>
        <v>-3.3515198752922748E-2</v>
      </c>
      <c r="CA231" s="104" t="s">
        <v>6442</v>
      </c>
      <c r="CB231" s="90"/>
      <c r="CC231" s="116">
        <f>IF(ISERROR(CC79/BZ79),"-",CC79/BZ79-1)</f>
        <v>-0.12204301075268831</v>
      </c>
      <c r="CD231" s="116">
        <f>IF(ISERROR(CD79/CC79),"-",CD79/CC79-1)</f>
        <v>-5.5419473361910443E-2</v>
      </c>
      <c r="CE231" s="116">
        <f>IF(ISERROR(CE79/CD79),"-",CE79/CD79-1)</f>
        <v>-1.1021069692058294E-2</v>
      </c>
      <c r="CF231" s="116">
        <f>IF(ISERROR(CF79/CE79),"-",CF79/CE79-1)</f>
        <v>8.4890199934447796E-2</v>
      </c>
      <c r="CG231" s="104" t="s">
        <v>6442</v>
      </c>
      <c r="CH231" s="90"/>
      <c r="CI231" s="116">
        <f>IF(ISERROR(CI79/CF79),"-",CI79/CF79-1)</f>
        <v>1.4199395770392531E-2</v>
      </c>
      <c r="CJ231" s="116">
        <f>IF(ISERROR(CJ79/CI79),"-",CJ79/CI79-1)</f>
        <v>-5.7193923145665737E-2</v>
      </c>
      <c r="CK231" s="116">
        <f>IF(ISERROR(CK79/CJ79),"-",CK79/CJ79-1)</f>
        <v>6.4454976303317535E-2</v>
      </c>
      <c r="CL231" s="116">
        <f>IF(ISERROR(CL79/CK79),"-",CL79/CK79-1)</f>
        <v>0.13416444048679121</v>
      </c>
      <c r="CM231" s="104" t="s">
        <v>6442</v>
      </c>
      <c r="CN231" s="90"/>
      <c r="CO231" s="116">
        <f>IF(ISERROR(CO79/CL79),"-",CO79/CL79-1)</f>
        <v>-4.8416644857367297E-2</v>
      </c>
      <c r="CP231" s="116">
        <f>IF(ISERROR(CP79/CO79),"-",CP79/CO79-1)</f>
        <v>-1.1001100110010986E-2</v>
      </c>
      <c r="CQ231" s="116">
        <f>IF(ISERROR(CQ79/CP79),"-",CQ79/CP79-1)</f>
        <v>1.7519466073415035E-2</v>
      </c>
      <c r="CR231" s="116">
        <f>IF(ISERROR(CR79/CQ79),"-",CR79/CQ79-1)</f>
        <v>0.10931948619841481</v>
      </c>
      <c r="CS231" s="104" t="s">
        <v>6442</v>
      </c>
      <c r="CT231" s="90"/>
      <c r="CU231" s="116">
        <f>IF(ISERROR(CU79/CR79),"-",CU79/CR79-1)</f>
        <v>-2.4636610002463644E-2</v>
      </c>
      <c r="CV231" s="116">
        <f>IF(ISERROR(CV79/CU79),"-",CV79/CU79-1)</f>
        <v>-5.0770396564788989E-2</v>
      </c>
      <c r="CW231" s="116">
        <f>IF(ISERROR(CW79/CV79),"-",CW79/CV79-1)</f>
        <v>-5.2155401809473201E-2</v>
      </c>
      <c r="CX231" s="116">
        <f>IF(ISERROR(CX79/CW79),"-",CX79/CW79-1)</f>
        <v>0.13531723750701863</v>
      </c>
      <c r="CY231" s="104" t="s">
        <v>6442</v>
      </c>
      <c r="CZ231" s="90"/>
      <c r="DA231" s="116">
        <f>IF(ISERROR(DA79/CX79),"-",DA79/CX79-1)</f>
        <v>-6.45400593471811E-2</v>
      </c>
      <c r="DB231" s="116">
        <f>IF(ISERROR(DB79/DA79),"-",DB79/DA79-1)</f>
        <v>-2.2733280465239258E-2</v>
      </c>
      <c r="DC231" s="116">
        <f>IF(ISERROR(DC79/DB79),"-",DC79/DB79-1)</f>
        <v>2.2450635650527628E-2</v>
      </c>
      <c r="DD231" s="116">
        <f>IF(ISERROR(DD79/DC79),"-",DD79/DC79-1)</f>
        <v>9.3386243386243351E-2</v>
      </c>
      <c r="DE231" s="104" t="s">
        <v>6442</v>
      </c>
      <c r="DF231" s="90"/>
      <c r="DG231" s="116">
        <f>IF(ISERROR(DG79/DD79),"-",DG79/DD79-1)</f>
        <v>3.1938059520928874E-2</v>
      </c>
      <c r="DH231" s="116">
        <f>IF(ISERROR(DH79/DG79),"-",DH79/DG79-1)</f>
        <v>5.674091441969531E-2</v>
      </c>
      <c r="DI231" s="116">
        <f>IF(ISERROR(DI79/DH79),"-",DI79/DH79-1)</f>
        <v>3.6387841136010568E-2</v>
      </c>
      <c r="DJ231" s="116">
        <f>IF(ISERROR(DJ79/DI79),"-",DJ79/DI79-1)</f>
        <v>8.2209377007064877E-2</v>
      </c>
      <c r="DK231" s="104" t="s">
        <v>6442</v>
      </c>
      <c r="DL231" s="90"/>
      <c r="DM231" s="116">
        <f>IF(ISERROR(DM79/DJ79),"-",DM79/DJ79-1)</f>
        <v>-5.6379821958456922E-2</v>
      </c>
      <c r="DN231" s="116">
        <f>IF(ISERROR(DN79/DM79),"-",DN79/DM79-1)</f>
        <v>-2.3689727463312549E-2</v>
      </c>
      <c r="DO231" s="116">
        <f>IF(ISERROR(DO79/DN79),"-",DO79/DN79-1)</f>
        <v>6.0124543697661625E-3</v>
      </c>
      <c r="DP231" s="116">
        <f>IF(ISERROR(DP79/DO79),"-",DP79/DO79-1)</f>
        <v>7.2145144076840806E-2</v>
      </c>
      <c r="DQ231" s="104" t="s">
        <v>6442</v>
      </c>
      <c r="DR231" s="90"/>
      <c r="DS231" s="116">
        <f>IF(ISERROR(DS79/DP79),"-",DS79/DP79-1)</f>
        <v>-8.2619948238104701E-2</v>
      </c>
      <c r="DT231" s="116">
        <f>IF(ISERROR(DT79/DS79),"-",DT79/DS79-1)</f>
        <v>-1.5190972222222099E-2</v>
      </c>
      <c r="DU231" s="116">
        <f>IF(ISERROR(DU79/DT79),"-",DU79/DT79-1)</f>
        <v>2.4460114587924187E-2</v>
      </c>
      <c r="DV231" s="116">
        <f>IF(ISERROR(DV79/DU79),"-",DV79/DU79-1)</f>
        <v>5.2269305226930518E-2</v>
      </c>
      <c r="DW231" s="104" t="s">
        <v>6442</v>
      </c>
      <c r="DX231" s="90"/>
      <c r="DY231" s="116">
        <f>IF(ISERROR(DY79/DV79),"-",DY79/DV79-1)</f>
        <v>-6.8683565004088343E-2</v>
      </c>
      <c r="DZ231" s="116">
        <f>IF(ISERROR(DZ79/DY79),"-",DZ79/DY79-1)</f>
        <v>1.7998244073748948E-2</v>
      </c>
      <c r="EA231" s="116">
        <f>IF(ISERROR(EA79/DZ79),"-",EA79/DZ79-1)</f>
        <v>1.7464424320827954E-2</v>
      </c>
      <c r="EB231" s="116">
        <f>IF(ISERROR(EB79/EA79),"-",EB79/EA79-1)</f>
        <v>7.268489086670904E-2</v>
      </c>
      <c r="EC231" s="104" t="s">
        <v>6442</v>
      </c>
      <c r="ED231" s="90"/>
      <c r="EE231" s="116">
        <f>IF(ISERROR(EE79/EB79),"-",EE79/EB79-1)</f>
        <v>-6.7498799624605255E-2</v>
      </c>
      <c r="EF231" s="116">
        <f>IF(ISERROR(EF79/EE79),"-",EF79/EE79-1)</f>
        <v>4.4568756599860926E-4</v>
      </c>
      <c r="EG231" s="116">
        <f>IF(ISERROR(EG79/EF79),"-",EG79/EF79-1)</f>
        <v>3.9357306758336374E-3</v>
      </c>
      <c r="EH231" s="116">
        <f>IF(ISERROR(EH79/EG79),"-",EH79/EG79-1)</f>
        <v>8.3902029027146829E-2</v>
      </c>
      <c r="EI231" s="104" t="s">
        <v>6442</v>
      </c>
      <c r="EJ231" s="90"/>
      <c r="EK231" s="116">
        <f>IF(ISERROR(EK79/EH79),"-",EK79/EH79-1)</f>
        <v>-8.8770050954945612E-2</v>
      </c>
      <c r="EL231" s="116">
        <f>IF(ISERROR(EL79/EK79),"-",EL79/EK79-1)</f>
        <v>-1.5198359808496154E-2</v>
      </c>
      <c r="EM231" s="116">
        <f>IF(ISERROR(EM79/EL79),"-",EM79/EL79-1)</f>
        <v>3.3920742304579088E-2</v>
      </c>
      <c r="EN231" s="116">
        <f>IF(ISERROR(EN79/EM79),"-",EN79/EM79-1)</f>
        <v>9.0899041633753397E-2</v>
      </c>
      <c r="EO231" s="104" t="s">
        <v>6442</v>
      </c>
      <c r="EP231" s="90"/>
      <c r="EQ231" s="116">
        <f>IF(ISERROR(EQ79/EN79),"-",EQ79/EN79-1)</f>
        <v>-4.3017361847048075E-2</v>
      </c>
      <c r="ER231" s="116">
        <f>IF(ISERROR(ER79/EQ79),"-",ER79/EQ79-1)</f>
        <v>-9.6343839119875652E-3</v>
      </c>
      <c r="ES231" s="116">
        <f>IF(ISERROR(ES79/ER79),"-",ES79/ER79-1)</f>
        <v>2.1867952433411997E-2</v>
      </c>
      <c r="ET231" s="116">
        <f>IF(ISERROR(ET79/ES79),"-",ET79/ES79-1)</f>
        <v>6.1881827170050974E-2</v>
      </c>
      <c r="EU231" s="104" t="s">
        <v>6442</v>
      </c>
      <c r="EV231" s="90"/>
    </row>
    <row r="232" spans="1:152">
      <c r="A232" s="22"/>
      <c r="B232" s="101"/>
      <c r="C232" s="164"/>
      <c r="D232" s="164"/>
      <c r="E232" s="164"/>
      <c r="F232" s="164"/>
      <c r="G232" s="164"/>
      <c r="H232" s="24"/>
      <c r="I232" s="164"/>
      <c r="J232" s="164"/>
      <c r="K232" s="164"/>
      <c r="L232" s="164"/>
      <c r="M232" s="164"/>
      <c r="N232" s="24"/>
      <c r="O232" s="164"/>
      <c r="P232" s="164"/>
      <c r="Q232" s="164"/>
      <c r="R232" s="164"/>
      <c r="S232" s="164"/>
      <c r="T232" s="24"/>
      <c r="U232" s="164"/>
      <c r="V232" s="164"/>
      <c r="W232" s="164"/>
      <c r="X232" s="164"/>
      <c r="Y232" s="164"/>
      <c r="Z232" s="164"/>
      <c r="AA232" s="164"/>
      <c r="AB232" s="164"/>
      <c r="AC232" s="164"/>
      <c r="AD232" s="164"/>
      <c r="AE232" s="164"/>
      <c r="AF232" s="164"/>
      <c r="AG232" s="164"/>
      <c r="AH232" s="164"/>
      <c r="AI232" s="164"/>
      <c r="AJ232" s="164"/>
      <c r="AK232" s="164"/>
      <c r="AL232" s="24"/>
      <c r="AM232" s="164"/>
      <c r="AN232" s="164"/>
      <c r="AO232" s="164"/>
      <c r="AP232" s="164"/>
      <c r="AQ232" s="164"/>
      <c r="AR232" s="24"/>
      <c r="AS232" s="164"/>
      <c r="AT232" s="164"/>
      <c r="AU232" s="164"/>
      <c r="AV232" s="164"/>
      <c r="AW232" s="164"/>
      <c r="AX232" s="24"/>
      <c r="AY232" s="164"/>
      <c r="AZ232" s="164"/>
      <c r="BA232" s="164"/>
      <c r="BB232" s="164"/>
      <c r="BC232" s="164"/>
      <c r="BD232" s="24"/>
      <c r="BE232" s="164"/>
      <c r="BF232" s="164"/>
      <c r="BG232" s="164"/>
      <c r="BH232" s="164"/>
      <c r="BI232" s="164"/>
      <c r="BJ232" s="24"/>
      <c r="BK232" s="164"/>
      <c r="BL232" s="164"/>
      <c r="BM232" s="164"/>
      <c r="BN232" s="164"/>
      <c r="BO232" s="164"/>
      <c r="BP232" s="24"/>
      <c r="BQ232" s="164"/>
      <c r="BR232" s="164"/>
      <c r="BS232" s="164"/>
      <c r="BT232" s="164"/>
      <c r="BU232" s="164"/>
      <c r="BV232" s="24"/>
      <c r="BW232" s="164"/>
      <c r="BX232" s="164"/>
      <c r="BY232" s="164"/>
      <c r="BZ232" s="164"/>
      <c r="CA232" s="164"/>
      <c r="CB232" s="24"/>
      <c r="CC232" s="164"/>
      <c r="CD232" s="164"/>
      <c r="CE232" s="164"/>
      <c r="CF232" s="164"/>
      <c r="CG232" s="164"/>
      <c r="CH232" s="24"/>
      <c r="CI232" s="164"/>
      <c r="CJ232" s="164"/>
      <c r="CK232" s="164"/>
      <c r="CL232" s="164"/>
      <c r="CM232" s="164"/>
      <c r="CN232" s="24"/>
      <c r="CO232" s="164"/>
      <c r="CP232" s="164"/>
      <c r="CQ232" s="164"/>
      <c r="CR232" s="164"/>
      <c r="CS232" s="164"/>
      <c r="CT232" s="24"/>
      <c r="CU232" s="164"/>
      <c r="CV232" s="164"/>
      <c r="CW232" s="164"/>
      <c r="CX232" s="164"/>
      <c r="CY232" s="164"/>
      <c r="CZ232" s="24"/>
      <c r="DA232" s="164"/>
      <c r="DB232" s="164"/>
      <c r="DC232" s="164"/>
      <c r="DD232" s="164"/>
      <c r="DE232" s="164"/>
      <c r="DF232" s="24"/>
      <c r="DG232" s="164"/>
      <c r="DH232" s="164"/>
      <c r="DI232" s="164"/>
      <c r="DJ232" s="164"/>
      <c r="DK232" s="164"/>
      <c r="DL232" s="24"/>
      <c r="DM232" s="164"/>
      <c r="DN232" s="164"/>
      <c r="DO232" s="164"/>
      <c r="DP232" s="164"/>
      <c r="DQ232" s="164"/>
      <c r="DR232" s="24"/>
      <c r="DS232" s="164"/>
      <c r="DT232" s="164"/>
      <c r="DU232" s="164"/>
      <c r="DV232" s="164"/>
      <c r="DW232" s="164"/>
      <c r="DX232" s="24"/>
      <c r="DY232" s="164"/>
      <c r="DZ232" s="164"/>
      <c r="EA232" s="164"/>
      <c r="EB232" s="164"/>
      <c r="EC232" s="164"/>
      <c r="ED232" s="24"/>
      <c r="EE232" s="164"/>
      <c r="EF232" s="164"/>
      <c r="EG232" s="164"/>
      <c r="EH232" s="164"/>
      <c r="EI232" s="164"/>
      <c r="EJ232" s="24"/>
      <c r="EK232" s="164"/>
      <c r="EL232" s="164"/>
      <c r="EM232" s="164"/>
      <c r="EN232" s="164"/>
      <c r="EO232" s="164"/>
      <c r="EP232" s="24"/>
      <c r="EQ232" s="164"/>
      <c r="ER232" s="164"/>
      <c r="ES232" s="164"/>
      <c r="ET232" s="164"/>
      <c r="EU232" s="164"/>
      <c r="EV232" s="24"/>
    </row>
    <row r="233" spans="1:152">
      <c r="A233" s="41" t="s">
        <v>6298</v>
      </c>
      <c r="B233" s="526"/>
      <c r="C233" s="116"/>
      <c r="D233" s="116">
        <f>IF(ISERROR(D85/C85),"-",D85/C85-1)</f>
        <v>-0.27758007117437788</v>
      </c>
      <c r="E233" s="116">
        <f>IF(ISERROR(E85/D85),"-",E85/D85-1)</f>
        <v>-0.55665024630541937</v>
      </c>
      <c r="F233" s="116">
        <f>IF(ISERROR(F85/E85),"-",F85/E85-1)</f>
        <v>-0.21111111111110892</v>
      </c>
      <c r="G233" s="104" t="s">
        <v>6442</v>
      </c>
      <c r="H233" s="90"/>
      <c r="I233" s="116">
        <f>IF(ISERROR(I85/F85),"-",I85/F85-1)</f>
        <v>0.43661971830985791</v>
      </c>
      <c r="J233" s="116">
        <f>IF(ISERROR(J85/I85),"-",J85/I85-1)</f>
        <v>2.4803921568627443</v>
      </c>
      <c r="K233" s="116">
        <f>IF(ISERROR(K85/J85),"-",K85/J85-1)</f>
        <v>0.14366197183098572</v>
      </c>
      <c r="L233" s="116">
        <f>IF(ISERROR(L85/K85),"-",L85/K85-1)</f>
        <v>0.35714285714285787</v>
      </c>
      <c r="M233" s="104" t="s">
        <v>6442</v>
      </c>
      <c r="N233" s="90"/>
      <c r="O233" s="116">
        <f>IF(ISERROR(O85/L85),"-",O85/L85-1)</f>
        <v>-0.11393829401088906</v>
      </c>
      <c r="P233" s="116">
        <f>IF(ISERROR(P85/O85),"-",P85/O85-1)</f>
        <v>2.0974150997500551E-2</v>
      </c>
      <c r="Q233" s="116">
        <f>IF(ISERROR(Q85/P85),"-",Q85/P85-1)</f>
        <v>-0.34602575933876323</v>
      </c>
      <c r="R233" s="116">
        <f>IF(ISERROR(R85/Q85),"-",R85/Q85-1)</f>
        <v>0.24627277747101006</v>
      </c>
      <c r="S233" s="104" t="s">
        <v>6442</v>
      </c>
      <c r="T233" s="90"/>
      <c r="U233" s="116">
        <f>IF(ISERROR(U85/R85),"-",U85/R85-1)</f>
        <v>-0.78299611086496324</v>
      </c>
      <c r="V233" s="116">
        <f>IF(ISERROR(V85/U85),"-",V85/U85-1)</f>
        <v>-0.71132032667876732</v>
      </c>
      <c r="W233" s="116">
        <f>IF(ISERROR(W85/V85),"-",W85/V85-1)</f>
        <v>6.1096267190570179</v>
      </c>
      <c r="X233" s="116">
        <f>IF(ISERROR(X85/W85),"-",X85/W85-1)</f>
        <v>1.0272466010832302</v>
      </c>
      <c r="Y233" s="104" t="s">
        <v>6442</v>
      </c>
      <c r="Z233" s="104"/>
      <c r="AA233" s="116">
        <f>IF(ISERROR(AA85/X85),"-",AA85/X85-1)</f>
        <v>0.22600256263460539</v>
      </c>
      <c r="AB233" s="116">
        <f>IF(ISERROR(AB85/AA85),"-",AB85/AA85-1)</f>
        <v>-8.2253007493717223E-2</v>
      </c>
      <c r="AC233" s="116">
        <f>IF(ISERROR(AC85/AB85),"-",AC85/AB85-1)</f>
        <v>-0.15337274665632894</v>
      </c>
      <c r="AD233" s="116">
        <f>IF(ISERROR(AD85/AC85),"-",AD85/AC85-1)</f>
        <v>0.26277831835613252</v>
      </c>
      <c r="AE233" s="104" t="s">
        <v>6442</v>
      </c>
      <c r="AF233" s="104"/>
      <c r="AG233" s="116">
        <f>IF(ISERROR(AG85/AD85),"-",AG85/AD85-1)</f>
        <v>-5.0222101350739679E-2</v>
      </c>
      <c r="AH233" s="116">
        <f>IF(ISERROR(AH85/AG85),"-",AH85/AG85-1)</f>
        <v>-0.18068149279373824</v>
      </c>
      <c r="AI233" s="116">
        <f>IF(ISERROR(AI85/AH85),"-",AI85/AH85-1)</f>
        <v>-0.26258154706430559</v>
      </c>
      <c r="AJ233" s="116">
        <f>IF(ISERROR(AJ85/AI85),"-",AJ85/AI85-1)</f>
        <v>1.0198657187993696</v>
      </c>
      <c r="AK233" s="104" t="s">
        <v>6442</v>
      </c>
      <c r="AL233" s="90"/>
      <c r="AM233" s="116">
        <f>IF(ISERROR(AM85/AJ85),"-",AM85/AJ85-1)</f>
        <v>-0.55555990067066841</v>
      </c>
      <c r="AN233" s="116">
        <f>IF(ISERROR(AN85/AM85),"-",AN85/AM85-1)</f>
        <v>-0.37844258688957311</v>
      </c>
      <c r="AO233" s="116">
        <f>IF(ISERROR(AO85/AN85),"-",AO85/AN85-1)</f>
        <v>-0.61487825594564205</v>
      </c>
      <c r="AP233" s="116">
        <f>IF(ISERROR(AP85/AO85),"-",AP85/AO85-1)</f>
        <v>0.57140231575079059</v>
      </c>
      <c r="AQ233" s="104" t="s">
        <v>6442</v>
      </c>
      <c r="AR233" s="90"/>
      <c r="AS233" s="116">
        <f>IF(ISERROR(AS85/AP85),"-",AS85/AP85-1)</f>
        <v>-0.22725146198830515</v>
      </c>
      <c r="AT233" s="116">
        <f>IF(ISERROR(AT85/AS85),"-",AT85/AS85-1)</f>
        <v>1.1100348115634895</v>
      </c>
      <c r="AU233" s="116">
        <f>IF(ISERROR(AU85/AT85),"-",AU85/AT85-1)</f>
        <v>1.0041603902159135</v>
      </c>
      <c r="AV233" s="116">
        <f>IF(ISERROR(AV85/AU85),"-",AV85/AU85-1)</f>
        <v>1.1808160343593443</v>
      </c>
      <c r="AW233" s="104" t="s">
        <v>6442</v>
      </c>
      <c r="AX233" s="90"/>
      <c r="AY233" s="116">
        <f>IF(ISERROR(AY85/AV85),"-",AY85/AV85-1)</f>
        <v>3.2298299743976244E-2</v>
      </c>
      <c r="AZ233" s="116">
        <f>IF(ISERROR(AZ85/AY85),"-",AZ85/AY85-1)</f>
        <v>-0.13513513513513553</v>
      </c>
      <c r="BA233" s="116">
        <f>IF(ISERROR(BA85/AZ85),"-",BA85/AZ85-1)</f>
        <v>6.8014705882352811E-2</v>
      </c>
      <c r="BB233" s="116">
        <f>IF(ISERROR(BB85/BA85),"-",BB85/BA85-1)</f>
        <v>0.57142857142857073</v>
      </c>
      <c r="BC233" s="104" t="s">
        <v>6442</v>
      </c>
      <c r="BD233" s="90"/>
      <c r="BE233" s="116">
        <f>IF(ISERROR(BE85/BB85),"-",BE85/BB85-1)</f>
        <v>3.6144578313253239E-2</v>
      </c>
      <c r="BF233" s="116">
        <f>IF(ISERROR(BF85/BE85),"-",BF85/BE85-1)</f>
        <v>-2.008456659619462E-2</v>
      </c>
      <c r="BG233" s="116">
        <f>IF(ISERROR(BG85/BF85),"-",BG85/BF85-1)</f>
        <v>3.8834951456311328E-2</v>
      </c>
      <c r="BH233" s="116">
        <f>IF(ISERROR(BH85/BG85),"-",BH85/BG85-1)</f>
        <v>0.12980269989615789</v>
      </c>
      <c r="BI233" s="104" t="s">
        <v>6442</v>
      </c>
      <c r="BJ233" s="90"/>
      <c r="BK233" s="116">
        <f>IF(ISERROR(BK85/BH85),"-",BK85/BH85-1)</f>
        <v>-7.3786764705882524E-2</v>
      </c>
      <c r="BL233" s="116">
        <f>IF(ISERROR(BL85/BK85),"-",BL85/BK85-1)</f>
        <v>0.13722065653157656</v>
      </c>
      <c r="BM233" s="116">
        <f>IF(ISERROR(BM85/BL85),"-",BM85/BL85-1)</f>
        <v>-7.1553228621291876E-2</v>
      </c>
      <c r="BN233" s="116">
        <f>IF(ISERROR(BN85/BM85),"-",BN85/BM85-1)</f>
        <v>0.32988721804511312</v>
      </c>
      <c r="BO233" s="104" t="s">
        <v>6442</v>
      </c>
      <c r="BP233" s="90"/>
      <c r="BQ233" s="116">
        <f>IF(ISERROR(BQ85/BN85),"-",BQ85/BN85-1)</f>
        <v>-6.5724381625441364E-2</v>
      </c>
      <c r="BR233" s="116">
        <f>IF(ISERROR(BR85/BQ85),"-",BR85/BQ85-1)</f>
        <v>6.4296520423600567E-2</v>
      </c>
      <c r="BS233" s="116">
        <f>IF(ISERROR(BS85/BR85),"-",BS85/BR85-1)</f>
        <v>7.178393745557865E-2</v>
      </c>
      <c r="BT233" s="116">
        <f>IF(ISERROR(BT85/BS85),"-",BT85/BS85-1)</f>
        <v>6.4986737400531069E-2</v>
      </c>
      <c r="BU233" s="104" t="s">
        <v>6442</v>
      </c>
      <c r="BV233" s="90"/>
      <c r="BW233" s="116">
        <f>IF(ISERROR(BW85/BT85),"-",BW85/BT85-1)</f>
        <v>-5.6039850560399174E-2</v>
      </c>
      <c r="BX233" s="116">
        <f>IF(ISERROR(BX85/BW85),"-",BX85/BW85-1)</f>
        <v>0.12467018469657054</v>
      </c>
      <c r="BY233" s="116">
        <f>IF(ISERROR(BY85/BX85),"-",BY85/BX85-1)</f>
        <v>3.7536656891496101E-2</v>
      </c>
      <c r="BZ233" s="116">
        <f>IF(ISERROR(BZ85/BY85),"-",BZ85/BY85-1)</f>
        <v>-0.56076879592990414</v>
      </c>
      <c r="CA233" s="104" t="s">
        <v>6442</v>
      </c>
      <c r="CB233" s="90"/>
      <c r="CC233" s="116">
        <f>IF(ISERROR(CC85/BZ85),"-",CC85/BZ85-1)</f>
        <v>-0.28185328185328162</v>
      </c>
      <c r="CD233" s="116">
        <f>IF(ISERROR(CD85/CC85),"-",CD85/CC85-1)</f>
        <v>0.17025089605734656</v>
      </c>
      <c r="CE233" s="116">
        <f>IF(ISERROR(CE85/CD85),"-",CE85/CD85-1)</f>
        <v>0.17304747320061287</v>
      </c>
      <c r="CF233" s="116">
        <f>IF(ISERROR(CF85/CE85),"-",CF85/CE85-1)</f>
        <v>0.1618798955613574</v>
      </c>
      <c r="CG233" s="104" t="s">
        <v>6442</v>
      </c>
      <c r="CH233" s="90"/>
      <c r="CI233" s="116">
        <f>IF(ISERROR(CI85/CF85),"-",CI85/CF85-1)</f>
        <v>7.9775280898877421E-2</v>
      </c>
      <c r="CJ233" s="116">
        <f>IF(ISERROR(CJ85/CI85),"-",CJ85/CI85-1)</f>
        <v>0.21019771071800131</v>
      </c>
      <c r="CK233" s="116">
        <f>IF(ISERROR(CK85/CJ85),"-",CK85/CJ85-1)</f>
        <v>-0.13757523645743774</v>
      </c>
      <c r="CL233" s="116">
        <f>IF(ISERROR(CL85/CK85),"-",CL85/CK85-1)</f>
        <v>5.7826520438684748E-2</v>
      </c>
      <c r="CM233" s="104" t="s">
        <v>6442</v>
      </c>
      <c r="CN233" s="90"/>
      <c r="CO233" s="116">
        <f>IF(ISERROR(CO85/CL85),"-",CO85/CL85-1)</f>
        <v>0.12252591894439147</v>
      </c>
      <c r="CP233" s="116">
        <f>IF(ISERROR(CP85/CO85),"-",CP85/CO85-1)</f>
        <v>0.16540722082283832</v>
      </c>
      <c r="CQ233" s="116">
        <f>IF(ISERROR(CQ85/CP85),"-",CQ85/CP85-1)</f>
        <v>-2.6657060518732734E-2</v>
      </c>
      <c r="CR233" s="116">
        <f>IF(ISERROR(CR85/CQ85),"-",CR85/CQ85-1)</f>
        <v>3.9230199851961967E-2</v>
      </c>
      <c r="CS233" s="104" t="s">
        <v>6442</v>
      </c>
      <c r="CT233" s="90"/>
      <c r="CU233" s="116">
        <f>IF(ISERROR(CU85/CR85),"-",CU85/CR85-1)</f>
        <v>3.2763532763532943E-2</v>
      </c>
      <c r="CV233" s="116">
        <f>IF(ISERROR(CV85/CU85),"-",CV85/CU85-1)</f>
        <v>-5.5172413793104225E-3</v>
      </c>
      <c r="CW233" s="116">
        <f>IF(ISERROR(CW85/CV85),"-",CW85/CV85-1)</f>
        <v>5.5478502080443803E-3</v>
      </c>
      <c r="CX233" s="116">
        <f>IF(ISERROR(CX85/CW85),"-",CX85/CW85-1)</f>
        <v>5.1034482758620214E-2</v>
      </c>
      <c r="CY233" s="104" t="s">
        <v>6442</v>
      </c>
      <c r="CZ233" s="90"/>
      <c r="DA233" s="116">
        <f>IF(ISERROR(DA85/CX85),"-",DA85/CX85-1)</f>
        <v>-0.1017060367454069</v>
      </c>
      <c r="DB233" s="116">
        <f>IF(ISERROR(DB85/DA85),"-",DB85/DA85-1)</f>
        <v>-2.1913805697577615E-3</v>
      </c>
      <c r="DC233" s="116">
        <f>IF(ISERROR(DC85/DB85),"-",DC85/DB85-1)</f>
        <v>-0.10468521229868277</v>
      </c>
      <c r="DD233" s="116">
        <f>IF(ISERROR(DD85/DC85),"-",DD85/DC85-1)</f>
        <v>-6.2142273098938605E-2</v>
      </c>
      <c r="DE233" s="104" t="s">
        <v>6442</v>
      </c>
      <c r="DF233" s="90"/>
      <c r="DG233" s="116">
        <f>IF(ISERROR(DG85/DD85),"-",DG85/DD85-1)</f>
        <v>-0.11072362685265769</v>
      </c>
      <c r="DH233" s="116">
        <f>IF(ISERROR(DH85/DG85),"-",DH85/DG85-1)</f>
        <v>0.12843137254901871</v>
      </c>
      <c r="DI233" s="116">
        <f>IF(ISERROR(DI85/DH85),"-",DI85/DH85-1)</f>
        <v>-0.30234578627280562</v>
      </c>
      <c r="DJ233" s="116">
        <f>IF(ISERROR(DJ85/DI85),"-",DJ85/DI85-1)</f>
        <v>5.8530510585304896E-2</v>
      </c>
      <c r="DK233" s="104" t="s">
        <v>6442</v>
      </c>
      <c r="DL233" s="90"/>
      <c r="DM233" s="116">
        <f>IF(ISERROR(DM85/DJ85),"-",DM85/DJ85-1)</f>
        <v>0.10705882352941209</v>
      </c>
      <c r="DN233" s="116">
        <f>IF(ISERROR(DN85/DM85),"-",DN85/DM85-1)</f>
        <v>-0.30712008501594013</v>
      </c>
      <c r="DO233" s="116">
        <f>IF(ISERROR(DO85/DN85),"-",DO85/DN85-1)</f>
        <v>-0.15490797546012469</v>
      </c>
      <c r="DP233" s="116">
        <f>IF(ISERROR(DP85/DO85),"-",DP85/DO85-1)</f>
        <v>0.20326678765880324</v>
      </c>
      <c r="DQ233" s="104" t="s">
        <v>6442</v>
      </c>
      <c r="DR233" s="90"/>
      <c r="DS233" s="116">
        <f>IF(ISERROR(DS85/DP85),"-",DS85/DP85-1)</f>
        <v>-1.4072398190045252</v>
      </c>
      <c r="DT233" s="116">
        <f>IF(ISERROR(DT85/DS85),"-",DT85/DS85-1)</f>
        <v>-1.9592592592592606</v>
      </c>
      <c r="DU233" s="116">
        <f>IF(ISERROR(DU85/DT85),"-",DU85/DT85-1)</f>
        <v>-2.6563706563706533</v>
      </c>
      <c r="DV233" s="116">
        <f>IF(ISERROR(DV85/DU85),"-",DV85/DU85-1)</f>
        <v>0.89976689976690083</v>
      </c>
      <c r="DW233" s="104" t="s">
        <v>6442</v>
      </c>
      <c r="DX233" s="90"/>
      <c r="DY233" s="116">
        <f>IF(ISERROR(DY85/DV85),"-",DY85/DV85-1)</f>
        <v>-0.51533742331288412</v>
      </c>
      <c r="DZ233" s="116">
        <f>IF(ISERROR(DZ85/DY85),"-",DZ85/DY85-1)</f>
        <v>-0.27088607594936431</v>
      </c>
      <c r="EA233" s="116">
        <f>IF(ISERROR(EA85/DZ85),"-",EA85/DZ85-1)</f>
        <v>-9.0277777777778345E-2</v>
      </c>
      <c r="EB233" s="116">
        <f>IF(ISERROR(EB85/EA85),"-",EB85/EA85-1)</f>
        <v>-0.33206106870228902</v>
      </c>
      <c r="EC233" s="104" t="s">
        <v>6442</v>
      </c>
      <c r="ED233" s="90"/>
      <c r="EE233" s="116">
        <f>IF(ISERROR(EE85/EB85),"-",EE85/EB85-1)</f>
        <v>-2.4823696179329628</v>
      </c>
      <c r="EF233" s="116">
        <f>IF(ISERROR(EF85/EE85),"-",EF85/EE85-1)</f>
        <v>1.3677013570612488</v>
      </c>
      <c r="EG233" s="116">
        <f>IF(ISERROR(EG85/EF85),"-",EG85/EF85-1)</f>
        <v>0.57620587870454454</v>
      </c>
      <c r="EH233" s="116">
        <f>IF(ISERROR(EH85/EG85),"-",EH85/EG85-1)</f>
        <v>0.30176326535360687</v>
      </c>
      <c r="EI233" s="104" t="s">
        <v>6442</v>
      </c>
      <c r="EJ233" s="90"/>
      <c r="EK233" s="116">
        <f>IF(ISERROR(EK85/EH85),"-",EK85/EH85-1)</f>
        <v>0.22959850709622409</v>
      </c>
      <c r="EL233" s="116">
        <f>IF(ISERROR(EL85/EK85),"-",EL85/EK85-1)</f>
        <v>0.30020745650935976</v>
      </c>
      <c r="EM233" s="116">
        <f>IF(ISERROR(EM85/EL85),"-",EM85/EL85-1)</f>
        <v>0.16989913312877181</v>
      </c>
      <c r="EN233" s="116">
        <f>IF(ISERROR(EN85/EM85),"-",EN85/EM85-1)</f>
        <v>0.24354699463926277</v>
      </c>
      <c r="EO233" s="104" t="s">
        <v>6442</v>
      </c>
      <c r="EP233" s="90"/>
      <c r="EQ233" s="116">
        <f>IF(ISERROR(EQ85/EN85),"-",EQ85/EN85-1)</f>
        <v>-0.3401598748195388</v>
      </c>
      <c r="ER233" s="116">
        <f>IF(ISERROR(ER85/EQ85),"-",ER85/EQ85-1)</f>
        <v>0.49654025227436738</v>
      </c>
      <c r="ES233" s="116">
        <f>IF(ISERROR(ES85/ER85),"-",ES85/ER85-1)</f>
        <v>0.28614694596886103</v>
      </c>
      <c r="ET233" s="116">
        <f>IF(ISERROR(ET85/ES85),"-",ET85/ES85-1)</f>
        <v>0.33756773942808316</v>
      </c>
      <c r="EU233" s="104" t="s">
        <v>6442</v>
      </c>
      <c r="EV233" s="90"/>
    </row>
    <row r="234" spans="1:152">
      <c r="A234" s="41" t="s">
        <v>6299</v>
      </c>
      <c r="B234" s="526"/>
      <c r="C234" s="116"/>
      <c r="D234" s="116">
        <f>IF(ISERROR(D105/C105),"-",D105/C105-1)</f>
        <v>-0.27368421052631686</v>
      </c>
      <c r="E234" s="116">
        <f>IF(ISERROR(E105/D105),"-",E105/D105-1)</f>
        <v>-0.46376811594202982</v>
      </c>
      <c r="F234" s="116">
        <f>IF(ISERROR(F105/E105),"-",F105/E105-1)</f>
        <v>-0.18918918918918648</v>
      </c>
      <c r="G234" s="104" t="s">
        <v>6442</v>
      </c>
      <c r="H234" s="90"/>
      <c r="I234" s="116">
        <f>IF(ISERROR(I105/F105),"-",I105/F105-1)</f>
        <v>0.34999999999999876</v>
      </c>
      <c r="J234" s="116">
        <f>IF(ISERROR(J105/I105),"-",J105/I105-1)</f>
        <v>2.0123456790123444</v>
      </c>
      <c r="K234" s="116">
        <f>IF(ISERROR(K105/J105),"-",K105/J105-1)</f>
        <v>0.15983606557377028</v>
      </c>
      <c r="L234" s="116">
        <f>IF(ISERROR(L105/K105),"-",L105/K105-1)</f>
        <v>0.31802120141342871</v>
      </c>
      <c r="M234" s="104" t="s">
        <v>6442</v>
      </c>
      <c r="N234" s="90"/>
      <c r="O234" s="116">
        <f>IF(ISERROR(O105/L105),"-",O105/L105-1)</f>
        <v>-9.6782841823056187E-2</v>
      </c>
      <c r="P234" s="116">
        <f>IF(ISERROR(P105/O105),"-",P105/O105-1)</f>
        <v>0.1394479073909165</v>
      </c>
      <c r="Q234" s="116">
        <f>IF(ISERROR(Q105/P105),"-",Q105/P105-1)</f>
        <v>-0.37467437740960696</v>
      </c>
      <c r="R234" s="116">
        <f>IF(ISERROR(R105/Q105),"-",R105/Q105-1)</f>
        <v>0.20383253488856434</v>
      </c>
      <c r="S234" s="104" t="s">
        <v>6442</v>
      </c>
      <c r="T234" s="90"/>
      <c r="U234" s="116">
        <f>IF(ISERROR(U105/R105),"-",U105/R105-1)</f>
        <v>-0.68676032943456289</v>
      </c>
      <c r="V234" s="116">
        <f>IF(ISERROR(V105/U105),"-",V105/U105-1)</f>
        <v>-0.37163057887759765</v>
      </c>
      <c r="W234" s="116">
        <f>IF(ISERROR(W105/V105),"-",W105/V105-1)</f>
        <v>1.9324191279887581</v>
      </c>
      <c r="X234" s="116">
        <f>IF(ISERROR(X105/W105),"-",X105/W105-1)</f>
        <v>0.75477829204537117</v>
      </c>
      <c r="Y234" s="104" t="s">
        <v>6442</v>
      </c>
      <c r="Z234" s="104"/>
      <c r="AA234" s="116">
        <f>IF(ISERROR(AA105/X105),"-",AA105/X105-1)</f>
        <v>3.0475930165019705E-2</v>
      </c>
      <c r="AB234" s="116">
        <f>IF(ISERROR(AB105/AA105),"-",AB105/AA105-1)</f>
        <v>-0.16024004509134171</v>
      </c>
      <c r="AC234" s="116">
        <f>IF(ISERROR(AC105/AB105),"-",AC105/AB105-1)</f>
        <v>-0.13704200884396778</v>
      </c>
      <c r="AD234" s="116">
        <f>IF(ISERROR(AD105/AC105),"-",AD105/AC105-1)</f>
        <v>0.46676122066157233</v>
      </c>
      <c r="AE234" s="104" t="s">
        <v>6442</v>
      </c>
      <c r="AF234" s="104"/>
      <c r="AG234" s="116">
        <f>IF(ISERROR(AG105/AD105),"-",AG105/AD105-1)</f>
        <v>-1.5346704513554354E-2</v>
      </c>
      <c r="AH234" s="116">
        <f>IF(ISERROR(AH105/AG105),"-",AH105/AG105-1)</f>
        <v>-6.1171476541957426E-2</v>
      </c>
      <c r="AI234" s="116">
        <f>IF(ISERROR(AI105/AH105),"-",AI105/AH105-1)</f>
        <v>-0.29980429207720349</v>
      </c>
      <c r="AJ234" s="116">
        <f>IF(ISERROR(AJ105/AI105),"-",AJ105/AI105-1)</f>
        <v>0.78410679003421735</v>
      </c>
      <c r="AK234" s="104" t="s">
        <v>6442</v>
      </c>
      <c r="AL234" s="90"/>
      <c r="AM234" s="116">
        <f>IF(ISERROR(AM105/AJ105),"-",AM105/AJ105-1)</f>
        <v>-0.49457079574307161</v>
      </c>
      <c r="AN234" s="116">
        <f>IF(ISERROR(AN105/AM105),"-",AN105/AM105-1)</f>
        <v>-0.22648567764001704</v>
      </c>
      <c r="AO234" s="116">
        <f>IF(ISERROR(AO105/AN105),"-",AO105/AN105-1)</f>
        <v>-0.60052507945281419</v>
      </c>
      <c r="AP234" s="116">
        <f>IF(ISERROR(AP105/AO105),"-",AP105/AO105-1)</f>
        <v>0.3713248011068917</v>
      </c>
      <c r="AQ234" s="104" t="s">
        <v>6442</v>
      </c>
      <c r="AR234" s="90"/>
      <c r="AS234" s="116">
        <f>IF(ISERROR(AS105/AP105),"-",AS105/AP105-1)</f>
        <v>-5.3096229032666309E-2</v>
      </c>
      <c r="AT234" s="116">
        <f>IF(ISERROR(AT105/AS105),"-",AT105/AS105-1)</f>
        <v>0.72189664358017791</v>
      </c>
      <c r="AU234" s="116">
        <f>IF(ISERROR(AU105/AT105),"-",AU105/AT105-1)</f>
        <v>0.74860767326733013</v>
      </c>
      <c r="AV234" s="116">
        <f>IF(ISERROR(AV105/AU105),"-",AV105/AU105-1)</f>
        <v>1.3447314872157867</v>
      </c>
      <c r="AW234" s="104" t="s">
        <v>6442</v>
      </c>
      <c r="AX234" s="90"/>
      <c r="AY234" s="116">
        <f>IF(ISERROR(AY105/AV105),"-",AY105/AV105-1)</f>
        <v>-2.2431846052259896E-2</v>
      </c>
      <c r="AZ234" s="116">
        <f>IF(ISERROR(AZ105/AY105),"-",AZ105/AY105-1)</f>
        <v>-0.11996294580824496</v>
      </c>
      <c r="BA234" s="116">
        <f>IF(ISERROR(BA105/AZ105),"-",BA105/AZ105-1)</f>
        <v>5.9210526315789158E-2</v>
      </c>
      <c r="BB234" s="116">
        <f>IF(ISERROR(BB105/BA105),"-",BB105/BA105-1)</f>
        <v>0.57142857142857073</v>
      </c>
      <c r="BC234" s="104" t="s">
        <v>6442</v>
      </c>
      <c r="BD234" s="90"/>
      <c r="BE234" s="116">
        <f>IF(ISERROR(BE105/BB105),"-",BE105/BB105-1)</f>
        <v>1.8445322793149144E-2</v>
      </c>
      <c r="BF234" s="116">
        <f>IF(ISERROR(BF105/BE105),"-",BF105/BE105-1)</f>
        <v>-2.0698576972833282E-2</v>
      </c>
      <c r="BG234" s="116">
        <f>IF(ISERROR(BG105/BF105),"-",BG105/BF105-1)</f>
        <v>4.3593130779393086E-2</v>
      </c>
      <c r="BH234" s="116">
        <f>IF(ISERROR(BH105/BG105),"-",BH105/BG105-1)</f>
        <v>0.17594936708860742</v>
      </c>
      <c r="BI234" s="104" t="s">
        <v>6442</v>
      </c>
      <c r="BJ234" s="90"/>
      <c r="BK234" s="116">
        <f>IF(ISERROR(BK105/BH105),"-",BK105/BH105-1)</f>
        <v>-0.1391603875134555</v>
      </c>
      <c r="BL234" s="116">
        <f>IF(ISERROR(BL105/BK105),"-",BL105/BK105-1)</f>
        <v>0.19666883409193248</v>
      </c>
      <c r="BM234" s="116">
        <f>IF(ISERROR(BM105/BL105),"-",BM105/BL105-1)</f>
        <v>-9.822361546499514E-2</v>
      </c>
      <c r="BN234" s="116">
        <f>IF(ISERROR(BN105/BM105),"-",BN105/BM105-1)</f>
        <v>0.3059096176129783</v>
      </c>
      <c r="BO234" s="104" t="s">
        <v>6442</v>
      </c>
      <c r="BP234" s="90"/>
      <c r="BQ234" s="116">
        <f>IF(ISERROR(BQ105/BN105),"-",BQ105/BN105-1)</f>
        <v>-5.2351375332741368E-2</v>
      </c>
      <c r="BR234" s="116">
        <f>IF(ISERROR(BR105/BQ105),"-",BR105/BQ105-1)</f>
        <v>1.4981273408239737E-2</v>
      </c>
      <c r="BS234" s="116">
        <f>IF(ISERROR(BS105/BR105),"-",BS105/BR105-1)</f>
        <v>8.0258302583025021E-2</v>
      </c>
      <c r="BT234" s="116">
        <f>IF(ISERROR(BT105/BS105),"-",BT105/BS105-1)</f>
        <v>6.0631938514090988E-2</v>
      </c>
      <c r="BU234" s="104" t="s">
        <v>6442</v>
      </c>
      <c r="BV234" s="90"/>
      <c r="BW234" s="116">
        <f>IF(ISERROR(BW105/BT105),"-",BW105/BT105-1)</f>
        <v>-5.6360708534622606E-2</v>
      </c>
      <c r="BX234" s="116">
        <f>IF(ISERROR(BX105/BW105),"-",BX105/BW105-1)</f>
        <v>0.1117747440273047</v>
      </c>
      <c r="BY234" s="116">
        <f>IF(ISERROR(BY105/BX105),"-",BY105/BX105-1)</f>
        <v>-2.302379125095344E-3</v>
      </c>
      <c r="BZ234" s="116">
        <f>IF(ISERROR(BZ105/BY105),"-",BZ105/BY105-1)</f>
        <v>-0.45923076923076955</v>
      </c>
      <c r="CA234" s="104" t="s">
        <v>6442</v>
      </c>
      <c r="CB234" s="90"/>
      <c r="CC234" s="116">
        <f>IF(ISERROR(CC105/BZ105),"-",CC105/BZ105-1)</f>
        <v>-0.40398293029871957</v>
      </c>
      <c r="CD234" s="116">
        <f>IF(ISERROR(CD105/CC105),"-",CD105/CC105-1)</f>
        <v>0.35322195704057147</v>
      </c>
      <c r="CE234" s="116">
        <f>IF(ISERROR(CE105/CD105),"-",CE105/CD105-1)</f>
        <v>0.11287477954144642</v>
      </c>
      <c r="CF234" s="116">
        <f>IF(ISERROR(CF105/CE105),"-",CF105/CE105-1)</f>
        <v>0.10776545166402496</v>
      </c>
      <c r="CG234" s="104" t="s">
        <v>6442</v>
      </c>
      <c r="CH234" s="90"/>
      <c r="CI234" s="116">
        <f>IF(ISERROR(CI105/CF105),"-",CI105/CF105-1)</f>
        <v>-3.1473533619455263E-2</v>
      </c>
      <c r="CJ234" s="116">
        <f>IF(ISERROR(CJ105/CI105),"-",CJ105/CI105-1)</f>
        <v>0.2555391432791716</v>
      </c>
      <c r="CK234" s="116">
        <f>IF(ISERROR(CK105/CJ105),"-",CK105/CJ105-1)</f>
        <v>-0.11764705882352933</v>
      </c>
      <c r="CL234" s="116">
        <f>IF(ISERROR(CL105/CK105),"-",CL105/CK105-1)</f>
        <v>0.10266666666666779</v>
      </c>
      <c r="CM234" s="104" t="s">
        <v>6442</v>
      </c>
      <c r="CN234" s="90"/>
      <c r="CO234" s="116">
        <f>IF(ISERROR(CO105/CL105),"-",CO105/CL105-1)</f>
        <v>0.13301088270858452</v>
      </c>
      <c r="CP234" s="116">
        <f>IF(ISERROR(CP105/CO105),"-",CP105/CO105-1)</f>
        <v>0.10458911419423722</v>
      </c>
      <c r="CQ234" s="116">
        <f>IF(ISERROR(CQ105/CP105),"-",CQ105/CP105-1)</f>
        <v>-1.3526570048310038E-2</v>
      </c>
      <c r="CR234" s="116">
        <f>IF(ISERROR(CR105/CQ105),"-",CR105/CQ105-1)</f>
        <v>3.9177277179236691E-2</v>
      </c>
      <c r="CS234" s="104" t="s">
        <v>6442</v>
      </c>
      <c r="CT234" s="90"/>
      <c r="CU234" s="116">
        <f>IF(ISERROR(CU105/CR105),"-",CU105/CR105-1)</f>
        <v>3.5815268614515006E-2</v>
      </c>
      <c r="CV234" s="116">
        <f>IF(ISERROR(CV105/CU105),"-",CV105/CU105-1)</f>
        <v>1.3648771610554888E-2</v>
      </c>
      <c r="CW234" s="116">
        <f>IF(ISERROR(CW105/CV105),"-",CW105/CV105-1)</f>
        <v>-3.2315978456014083E-2</v>
      </c>
      <c r="CX234" s="116">
        <f>IF(ISERROR(CX105/CW105),"-",CX105/CW105-1)</f>
        <v>0.12152133580704905</v>
      </c>
      <c r="CY234" s="104" t="s">
        <v>6442</v>
      </c>
      <c r="CZ234" s="90"/>
      <c r="DA234" s="116">
        <f>IF(ISERROR(DA105/CX105),"-",DA105/CX105-1)</f>
        <v>-0.20347394540942931</v>
      </c>
      <c r="DB234" s="116">
        <f>IF(ISERROR(DB105/DA105),"-",DB105/DA105-1)</f>
        <v>5.7113187954311195E-2</v>
      </c>
      <c r="DC234" s="116">
        <f>IF(ISERROR(DC105/DB105),"-",DC105/DB105-1)</f>
        <v>-7.3673870333988867E-2</v>
      </c>
      <c r="DD234" s="116">
        <f>IF(ISERROR(DD105/DC105),"-",DD105/DC105-1)</f>
        <v>-1.166489925769032E-2</v>
      </c>
      <c r="DE234" s="104" t="s">
        <v>6442</v>
      </c>
      <c r="DF234" s="90"/>
      <c r="DG234" s="116">
        <f>IF(ISERROR(DG105/DD105),"-",DG105/DD105-1)</f>
        <v>-0.20815450643776667</v>
      </c>
      <c r="DH234" s="116">
        <f>IF(ISERROR(DH105/DG105),"-",DH105/DG105-1)</f>
        <v>0.11111111111111005</v>
      </c>
      <c r="DI234" s="116">
        <f>IF(ISERROR(DI105/DH105),"-",DI105/DH105-1)</f>
        <v>-0.29634146341463319</v>
      </c>
      <c r="DJ234" s="116">
        <f>IF(ISERROR(DJ105/DI105),"-",DJ105/DI105-1)</f>
        <v>1.9064124783361835E-2</v>
      </c>
      <c r="DK234" s="104" t="s">
        <v>6442</v>
      </c>
      <c r="DL234" s="90"/>
      <c r="DM234" s="116">
        <f>IF(ISERROR(DM105/DJ105),"-",DM105/DJ105-1)</f>
        <v>0.17517006802721125</v>
      </c>
      <c r="DN234" s="116">
        <f>IF(ISERROR(DN105/DM105),"-",DN105/DM105-1)</f>
        <v>-0.36324167872648283</v>
      </c>
      <c r="DO234" s="116">
        <f>IF(ISERROR(DO105/DN105),"-",DO105/DN105-1)</f>
        <v>-0.24772727272727568</v>
      </c>
      <c r="DP234" s="116">
        <f>IF(ISERROR(DP105/DO105),"-",DP105/DO105-1)</f>
        <v>0.44712990936556141</v>
      </c>
      <c r="DQ234" s="104" t="s">
        <v>6442</v>
      </c>
      <c r="DR234" s="90"/>
      <c r="DS234" s="116">
        <f>IF(ISERROR(DS105/DP105),"-",DS105/DP105-1)</f>
        <v>-1.4800751565762009</v>
      </c>
      <c r="DT234" s="116">
        <f>IF(ISERROR(DT105/DS105),"-",DT105/DS105-1)</f>
        <v>-1.5174903024926525</v>
      </c>
      <c r="DU234" s="116">
        <f>IF(ISERROR(DU105/DT105),"-",DU105/DT105-1)</f>
        <v>-4.2773109243697345</v>
      </c>
      <c r="DV234" s="116">
        <f>IF(ISERROR(DV105/DU105),"-",DV105/DU105-1)</f>
        <v>0.56153846153846265</v>
      </c>
      <c r="DW234" s="104" t="s">
        <v>6442</v>
      </c>
      <c r="DX234" s="90"/>
      <c r="DY234" s="116">
        <f>IF(ISERROR(DY105/DV105),"-",DY105/DV105-1)</f>
        <v>-0.42857142857142949</v>
      </c>
      <c r="DZ234" s="116">
        <f>IF(ISERROR(DZ105/DY105),"-",DZ105/DY105-1)</f>
        <v>-0.27586206896551413</v>
      </c>
      <c r="EA234" s="116">
        <f>IF(ISERROR(EA105/DZ105),"-",EA105/DZ105-1)</f>
        <v>4.7619047619046784E-2</v>
      </c>
      <c r="EB234" s="116">
        <f>IF(ISERROR(EB105/EA105),"-",EB105/EA105-1)</f>
        <v>-0.24621212121212044</v>
      </c>
      <c r="EC234" s="104" t="s">
        <v>6442</v>
      </c>
      <c r="ED234" s="90"/>
      <c r="EE234" s="116">
        <f>IF(ISERROR(EE105/EB105),"-",EE105/EB105-1)</f>
        <v>-1.4386401675477281</v>
      </c>
      <c r="EF234" s="116">
        <f>IF(ISERROR(EF105/EE105),"-",EF105/EE105-1)</f>
        <v>3.2923756080142725</v>
      </c>
      <c r="EG234" s="116">
        <f>IF(ISERROR(EG105/EF105),"-",EG105/EF105-1)</f>
        <v>0.76511195386143904</v>
      </c>
      <c r="EH234" s="116">
        <f>IF(ISERROR(EH105/EG105),"-",EH105/EG105-1)</f>
        <v>0.3578115537319746</v>
      </c>
      <c r="EI234" s="104" t="s">
        <v>6442</v>
      </c>
      <c r="EJ234" s="90"/>
      <c r="EK234" s="116">
        <f>IF(ISERROR(EK105/EH105),"-",EK105/EH105-1)</f>
        <v>0.32078462746928182</v>
      </c>
      <c r="EL234" s="116">
        <f>IF(ISERROR(EL105/EK105),"-",EL105/EK105-1)</f>
        <v>0.32359531682144294</v>
      </c>
      <c r="EM234" s="116">
        <f>IF(ISERROR(EM105/EL105),"-",EM105/EL105-1)</f>
        <v>0.17989924727823614</v>
      </c>
      <c r="EN234" s="116">
        <f>IF(ISERROR(EN105/EM105),"-",EN105/EM105-1)</f>
        <v>0.25569630552130906</v>
      </c>
      <c r="EO234" s="104" t="s">
        <v>6442</v>
      </c>
      <c r="EP234" s="90"/>
      <c r="EQ234" s="116">
        <f>IF(ISERROR(EQ105/EN105),"-",EQ105/EN105-1)</f>
        <v>-0.35367335897921603</v>
      </c>
      <c r="ER234" s="116">
        <f>IF(ISERROR(ER105/EQ105),"-",ER105/EQ105-1)</f>
        <v>0.52706040179264613</v>
      </c>
      <c r="ES234" s="116">
        <f>IF(ISERROR(ES105/ER105),"-",ES105/ER105-1)</f>
        <v>0.29766462829238671</v>
      </c>
      <c r="ET234" s="116">
        <f>IF(ISERROR(ET105/ES105),"-",ET105/ES105-1)</f>
        <v>0.34803840887422521</v>
      </c>
      <c r="EU234" s="104" t="s">
        <v>6442</v>
      </c>
      <c r="EV234" s="90"/>
    </row>
    <row r="235" spans="1:152">
      <c r="A235" s="37" t="s">
        <v>5630</v>
      </c>
      <c r="B235" s="526"/>
      <c r="C235" s="116"/>
      <c r="D235" s="116">
        <f>IF(ISERROR(D107/C107),"-",D107/C107-1)</f>
        <v>-0.25686194182712008</v>
      </c>
      <c r="E235" s="116">
        <f>IF(ISERROR(E107/D107),"-",E107/D107-1)</f>
        <v>-0.43839581036383679</v>
      </c>
      <c r="F235" s="116">
        <f>IF(ISERROR(F107/E107),"-",F107/E107-1)</f>
        <v>-0.20147239263803685</v>
      </c>
      <c r="G235" s="104" t="s">
        <v>6442</v>
      </c>
      <c r="H235" s="90"/>
      <c r="I235" s="116">
        <f>IF(ISERROR(I107/C107),"-",I107/C107-1)</f>
        <v>-0.6430766079475625</v>
      </c>
      <c r="J235" s="116">
        <f>IF(ISERROR(J107/I107),"-",J107/I107-1)</f>
        <v>1.8393113342898135</v>
      </c>
      <c r="K235" s="116">
        <f>IF(ISERROR(K107/J107),"-",K107/J107-1)</f>
        <v>0.16068721576553813</v>
      </c>
      <c r="L235" s="116">
        <f>IF(ISERROR(L107/K107),"-",L107/K107-1)</f>
        <v>0.37727470613844138</v>
      </c>
      <c r="M235" s="104" t="s">
        <v>6442</v>
      </c>
      <c r="N235" s="90"/>
      <c r="O235" s="116">
        <f>IF(ISERROR(O107/I107),"-",O107/I107-1)</f>
        <v>2.9997130559540888</v>
      </c>
      <c r="P235" s="116">
        <f>IF(ISERROR(P107/O107),"-",P107/O107-1)</f>
        <v>0.15417174833201819</v>
      </c>
      <c r="Q235" s="116">
        <f>IF(ISERROR(Q107/P107),"-",Q107/P107-1)</f>
        <v>-0.35162854301342616</v>
      </c>
      <c r="R235" s="116">
        <f>IF(ISERROR(R107/Q107),"-",R107/Q107-1)</f>
        <v>0.15147157511264497</v>
      </c>
      <c r="S235" s="104" t="s">
        <v>6442</v>
      </c>
      <c r="T235" s="90"/>
      <c r="U235" s="116">
        <f>IF(ISERROR(U107/O107),"-",U107/O107-1)</f>
        <v>-0.72451395365521198</v>
      </c>
      <c r="V235" s="116">
        <f>IF(ISERROR(V107/U107),"-",V107/U107-1)</f>
        <v>-0.39817708333333335</v>
      </c>
      <c r="W235" s="116">
        <f>IF(ISERROR(W107/V107),"-",W107/V107-1)</f>
        <v>1.9346603202077026</v>
      </c>
      <c r="X235" s="116">
        <f>IF(ISERROR(X107/W107),"-",X107/W107-1)</f>
        <v>0.75110586847537597</v>
      </c>
      <c r="Y235" s="104" t="s">
        <v>6442</v>
      </c>
      <c r="Z235" s="104"/>
      <c r="AA235" s="116">
        <f>IF(ISERROR(AA107/U107),"-",AA107/U107-1)</f>
        <v>2.1375000000000002</v>
      </c>
      <c r="AB235" s="116">
        <f>IF(ISERROR(AB107/AA107),"-",AB107/AA107-1)</f>
        <v>-0.11030876494023911</v>
      </c>
      <c r="AC235" s="116">
        <f>IF(ISERROR(AC107/AB107),"-",AC107/AB107-1)</f>
        <v>-0.10681966601362058</v>
      </c>
      <c r="AD235" s="116">
        <f>IF(ISERROR(AD107/AC107),"-",AD107/AC107-1)</f>
        <v>0.49101733862544372</v>
      </c>
      <c r="AE235" s="104" t="s">
        <v>6442</v>
      </c>
      <c r="AF235" s="104"/>
      <c r="AG235" s="116">
        <f>IF(ISERROR(AG107/AA107),"-",AG107/AA107-1)</f>
        <v>0.17629482071713154</v>
      </c>
      <c r="AH235" s="116">
        <f>IF(ISERROR(AH107/AG107),"-",AH107/AG107-1)</f>
        <v>-6.160033869602044E-2</v>
      </c>
      <c r="AI235" s="116">
        <f>IF(ISERROR(AI107/AH107),"-",AI107/AH107-1)</f>
        <v>-0.30355665839536805</v>
      </c>
      <c r="AJ235" s="116">
        <f>IF(ISERROR(AJ107/AI107),"-",AJ107/AI107-1)</f>
        <v>0.74659900669401869</v>
      </c>
      <c r="AK235" s="104" t="s">
        <v>6442</v>
      </c>
      <c r="AL235" s="90"/>
      <c r="AM235" s="116">
        <f>IF(ISERROR(AM107/AG107),"-",AM107/AG107-1)</f>
        <v>-0.44242167654530062</v>
      </c>
      <c r="AN235" s="116">
        <f>IF(ISERROR(AN107/AM107),"-",AN107/AM107-1)</f>
        <v>-0.19855732725892195</v>
      </c>
      <c r="AO235" s="116">
        <f>IF(ISERROR(AO107/AN107),"-",AO107/AN107-1)</f>
        <v>-0.59797884099163112</v>
      </c>
      <c r="AP235" s="116">
        <f>IF(ISERROR(AP107/AO107),"-",AP107/AO107-1)</f>
        <v>0.36410054988216789</v>
      </c>
      <c r="AQ235" s="104" t="s">
        <v>6442</v>
      </c>
      <c r="AR235" s="90"/>
      <c r="AS235" s="116">
        <f>IF(ISERROR(AS107/AM107),"-",AS107/AM107-1)</f>
        <v>-0.58124525436598329</v>
      </c>
      <c r="AT235" s="116">
        <f>IF(ISERROR(AT107/AS107),"-",AT107/AS107-1)</f>
        <v>0.72166817769718938</v>
      </c>
      <c r="AU235" s="116">
        <f>IF(ISERROR(AU107/AT107),"-",AU107/AT107-1)</f>
        <v>0.73775671406003163</v>
      </c>
      <c r="AV235" s="116">
        <f>IF(ISERROR(AV107/AU107),"-",AV107/AU107-1)</f>
        <v>1.2338383838383837</v>
      </c>
      <c r="AW235" s="104" t="s">
        <v>6442</v>
      </c>
      <c r="AX235" s="90"/>
      <c r="AY235" s="116">
        <f>IF(ISERROR(AY107/AS107),"-",AY107/AS107-1)</f>
        <v>5.5630099728014502</v>
      </c>
      <c r="AZ235" s="116">
        <f>IF(ISERROR(AZ107/AY107),"-",AZ107/AY107-1)</f>
        <v>-0.16213104940829759</v>
      </c>
      <c r="BA235" s="116">
        <f>IF(ISERROR(BA107/AZ107),"-",BA107/AZ107-1)</f>
        <v>7.0125302264233857E-2</v>
      </c>
      <c r="BB235" s="116">
        <f>IF(ISERROR(BB107/BA107),"-",BB107/BA107-1)</f>
        <v>0.54252259654889068</v>
      </c>
      <c r="BC235" s="104" t="s">
        <v>6442</v>
      </c>
      <c r="BD235" s="90"/>
      <c r="BE235" s="116">
        <f>IF(ISERROR(BE107/AY107),"-",BE107/AY107-1)</f>
        <v>0.42777547543399175</v>
      </c>
      <c r="BF235" s="116">
        <f>IF(ISERROR(BF107/BE107),"-",BF107/BE107-1)</f>
        <v>-2.460734672815823E-2</v>
      </c>
      <c r="BG235" s="116">
        <f>IF(ISERROR(BG107/BF107),"-",BG107/BF107-1)</f>
        <v>4.6918397037428949E-2</v>
      </c>
      <c r="BH235" s="116">
        <f>IF(ISERROR(BH107/BG107),"-",BH107/BG107-1)</f>
        <v>0.17878912295107852</v>
      </c>
      <c r="BI235" s="104" t="s">
        <v>6442</v>
      </c>
      <c r="BJ235" s="90"/>
      <c r="BK235" s="116">
        <f>IF(ISERROR(BK107/BE107),"-",BK107/BE107-1)</f>
        <v>4.4602831618666849E-2</v>
      </c>
      <c r="BL235" s="116">
        <f>IF(ISERROR(BL107/BK107),"-",BL107/BK107-1)</f>
        <v>0.20793454769990727</v>
      </c>
      <c r="BM235" s="116">
        <f>IF(ISERROR(BM107/BL107),"-",BM107/BL107-1)</f>
        <v>-9.3392971246006318E-2</v>
      </c>
      <c r="BN235" s="116">
        <f>IF(ISERROR(BN107/BM107),"-",BN107/BM107-1)</f>
        <v>0.29471963012037983</v>
      </c>
      <c r="BO235" s="104" t="s">
        <v>6442</v>
      </c>
      <c r="BP235" s="90"/>
      <c r="BQ235" s="116">
        <f>IF(ISERROR(BQ107/BK107),"-",BQ107/BK107-1)</f>
        <v>0.34529175671503554</v>
      </c>
      <c r="BR235" s="116">
        <f>IF(ISERROR(BR107/BQ107),"-",BR107/BQ107-1)</f>
        <v>1.8313673291412202E-2</v>
      </c>
      <c r="BS235" s="116">
        <f>IF(ISERROR(BS107/BR107),"-",BS107/BR107-1)</f>
        <v>9.3978184440638213E-2</v>
      </c>
      <c r="BT235" s="116">
        <f>IF(ISERROR(BT107/BS107),"-",BT107/BS107-1)</f>
        <v>6.876519302871742E-2</v>
      </c>
      <c r="BU235" s="104" t="s">
        <v>6442</v>
      </c>
      <c r="BV235" s="90"/>
      <c r="BW235" s="116">
        <f>IF(ISERROR(BW107/BQ107),"-",BW107/BQ107-1)</f>
        <v>0.15486299169229345</v>
      </c>
      <c r="BX235" s="116">
        <f>IF(ISERROR(BX107/BW107),"-",BX107/BW107-1)</f>
        <v>0.12054369858113767</v>
      </c>
      <c r="BY235" s="116">
        <f>IF(ISERROR(BY107/BX107),"-",BY107/BX107-1)</f>
        <v>6.3843370929972387E-4</v>
      </c>
      <c r="BZ235" s="116">
        <f>IF(ISERROR(BZ107/BY107),"-",BZ107/BY107-1)</f>
        <v>-0.45617113285126887</v>
      </c>
      <c r="CA235" s="104" t="s">
        <v>6442</v>
      </c>
      <c r="CB235" s="90"/>
      <c r="CC235" s="116">
        <f>IF(ISERROR(CC107/BW107),"-",CC107/BW107-1)</f>
        <v>-0.63671952625094397</v>
      </c>
      <c r="CD235" s="116">
        <f>IF(ISERROR(CD107/CC107),"-",CD107/CC107-1)</f>
        <v>0.33515672009189856</v>
      </c>
      <c r="CE235" s="116">
        <f>IF(ISERROR(CE107/CD107),"-",CE107/CD107-1)</f>
        <v>0.10574401835463787</v>
      </c>
      <c r="CF235" s="116">
        <f>IF(ISERROR(CF107/CE107),"-",CF107/CE107-1)</f>
        <v>0.11060061506539687</v>
      </c>
      <c r="CG235" s="104" t="s">
        <v>6442</v>
      </c>
      <c r="CH235" s="90"/>
      <c r="CI235" s="116">
        <f>IF(ISERROR(CI107/CC107),"-",CI107/CC107-1)</f>
        <v>0.5785788523603741</v>
      </c>
      <c r="CJ235" s="116">
        <f>IF(ISERROR(CJ107/CI107),"-",CJ107/CI107-1)</f>
        <v>0.25982396562478338</v>
      </c>
      <c r="CK235" s="116">
        <f>IF(ISERROR(CK107/CJ107),"-",CK107/CJ107-1)</f>
        <v>-0.1123335900539113</v>
      </c>
      <c r="CL235" s="116">
        <f>IF(ISERROR(CL107/CK107),"-",CL107/CK107-1)</f>
        <v>9.0449925632126948E-2</v>
      </c>
      <c r="CM235" s="104" t="s">
        <v>6442</v>
      </c>
      <c r="CN235" s="90"/>
      <c r="CO235" s="116">
        <f>IF(ISERROR(CO107/CI107),"-",CO107/CI107-1)</f>
        <v>0.36942962090234932</v>
      </c>
      <c r="CP235" s="116">
        <f>IF(ISERROR(CP107/CO107),"-",CP107/CO107-1)</f>
        <v>0.10693590424858934</v>
      </c>
      <c r="CQ235" s="116">
        <f>IF(ISERROR(CQ107/CP107),"-",CQ107/CP107-1)</f>
        <v>1.1704194765115972E-2</v>
      </c>
      <c r="CR235" s="116">
        <f>IF(ISERROR(CR107/CQ107),"-",CR107/CQ107-1)</f>
        <v>3.5587590663623825E-2</v>
      </c>
      <c r="CS235" s="104" t="s">
        <v>6442</v>
      </c>
      <c r="CT235" s="90"/>
      <c r="CU235" s="116">
        <f>IF(ISERROR(CU107/CO107),"-",CU107/CO107-1)</f>
        <v>0.1879349173815128</v>
      </c>
      <c r="CV235" s="116">
        <f>IF(ISERROR(CV107/CU107),"-",CV107/CU107-1)</f>
        <v>2.2387423848677201E-2</v>
      </c>
      <c r="CW235" s="116">
        <f>IF(ISERROR(CW107/CV107),"-",CW107/CV107-1)</f>
        <v>-2.560576702710593E-2</v>
      </c>
      <c r="CX235" s="116">
        <f>IF(ISERROR(CX107/CW107),"-",CX107/CW107-1)</f>
        <v>0.12591943209031808</v>
      </c>
      <c r="CY235" s="104" t="s">
        <v>6442</v>
      </c>
      <c r="CZ235" s="90"/>
      <c r="DA235" s="116">
        <f>IF(ISERROR(DA107/CU107),"-",DA107/CU107-1)</f>
        <v>-0.10541899203339999</v>
      </c>
      <c r="DB235" s="116">
        <f>IF(ISERROR(DB107/DA107),"-",DB107/DA107-1)</f>
        <v>6.1742505417053728E-2</v>
      </c>
      <c r="DC235" s="116">
        <f>IF(ISERROR(DC107/DB107),"-",DC107/DB107-1)</f>
        <v>-7.1226732451222241E-2</v>
      </c>
      <c r="DD235" s="116">
        <f>IF(ISERROR(DD107/DC107),"-",DD107/DC107-1)</f>
        <v>-2.619886994736087E-2</v>
      </c>
      <c r="DE235" s="104" t="s">
        <v>6442</v>
      </c>
      <c r="DF235" s="90"/>
      <c r="DG235" s="116">
        <f>IF(ISERROR(DG107/DA107),"-",DG107/DA107-1)</f>
        <v>-0.24125532776150682</v>
      </c>
      <c r="DH235" s="116">
        <f>IF(ISERROR(DH107/DG107),"-",DH107/DG107-1)</f>
        <v>0.1072964067158324</v>
      </c>
      <c r="DI235" s="116">
        <f>IF(ISERROR(DI107/DH107),"-",DI107/DH107-1)</f>
        <v>-0.29361750368438955</v>
      </c>
      <c r="DJ235" s="116">
        <f>IF(ISERROR(DJ107/DI107),"-",DJ107/DI107-1)</f>
        <v>1.6008666345691092E-2</v>
      </c>
      <c r="DK235" s="104" t="s">
        <v>6442</v>
      </c>
      <c r="DL235" s="90"/>
      <c r="DM235" s="116">
        <f>IF(ISERROR(DM107/DG107),"-",DM107/DG107-1)</f>
        <v>-6.4082849521418517E-2</v>
      </c>
      <c r="DN235" s="116">
        <f>IF(ISERROR(DN107/DM107),"-",DN107/DM107-1)</f>
        <v>-0.36160010729973513</v>
      </c>
      <c r="DO235" s="116">
        <f>IF(ISERROR(DO107/DN107),"-",DO107/DN107-1)</f>
        <v>-0.23982352014286468</v>
      </c>
      <c r="DP235" s="116">
        <f>IF(ISERROR(DP107/DO107),"-",DP107/DO107-1)</f>
        <v>0.44462101844814472</v>
      </c>
      <c r="DQ235" s="104" t="s">
        <v>6442</v>
      </c>
      <c r="DR235" s="90"/>
      <c r="DS235" s="116">
        <f>IF(ISERROR(DS107/DM107),"-",DS107/DM107-1)</f>
        <v>-1.3436274016698522</v>
      </c>
      <c r="DT235" s="116">
        <f>IF(ISERROR(DT107/DS107),"-",DT107/DS107-1)</f>
        <v>-1.5202966432474629</v>
      </c>
      <c r="DU235" s="116">
        <f>IF(ISERROR(DU107/DT107),"-",DU107/DT107-1)</f>
        <v>-4.2903225806451619</v>
      </c>
      <c r="DV235" s="116">
        <f>IF(ISERROR(DV107/DU107),"-",DV107/DU107-1)</f>
        <v>0.56999544003647973</v>
      </c>
      <c r="DW235" s="104" t="s">
        <v>6442</v>
      </c>
      <c r="DX235" s="90"/>
      <c r="DY235" s="116">
        <f>IF(ISERROR(DY107/DS107),"-",DY107/DS107-1)</f>
        <v>0.54420374707259955</v>
      </c>
      <c r="DZ235" s="116">
        <f>IF(ISERROR(DZ107/DY107),"-",DZ107/DY107-1)</f>
        <v>-0.27450236966824648</v>
      </c>
      <c r="EA235" s="116">
        <f>IF(ISERROR(EA107/DZ107),"-",EA107/DZ107-1)</f>
        <v>4.7121330894521307E-2</v>
      </c>
      <c r="EB235" s="116">
        <f>IF(ISERROR(EB107/EA107),"-",EB107/EA107-1)</f>
        <v>-0.24446847446348363</v>
      </c>
      <c r="EC235" s="104" t="s">
        <v>6442</v>
      </c>
      <c r="ED235" s="90"/>
      <c r="EE235" s="116">
        <f>IF(ISERROR(EE107/DY107),"-",EE107/DY107-1)</f>
        <v>-1.2520063191153239</v>
      </c>
      <c r="EF235" s="116">
        <f>IF(ISERROR(EF107/EE107),"-",EF107/EE107-1)</f>
        <v>3.3026579739217654</v>
      </c>
      <c r="EG235" s="116">
        <f>IF(ISERROR(EG107/EF107),"-",EG107/EF107-1)</f>
        <v>0.76921732035666435</v>
      </c>
      <c r="EH235" s="116">
        <f>IF(ISERROR(EH107/EG107),"-",EH107/EG107-1)</f>
        <v>0.36095921997496538</v>
      </c>
      <c r="EI235" s="104" t="s">
        <v>6442</v>
      </c>
      <c r="EJ235" s="90"/>
      <c r="EK235" s="116">
        <f>IF(ISERROR(EK107/EE107),"-",EK107/EE107-1)</f>
        <v>12.79764292878636</v>
      </c>
      <c r="EL235" s="116">
        <f>IF(ISERROR(EL107/EK107),"-",EL107/EK107-1)</f>
        <v>0.33293957292139931</v>
      </c>
      <c r="EM235" s="116">
        <f>IF(ISERROR(EM107/EL107),"-",EM107/EL107-1)</f>
        <v>0.1854795827936464</v>
      </c>
      <c r="EN235" s="116">
        <f>IF(ISERROR(EN107/EM107),"-",EN107/EM107-1)</f>
        <v>0.26167063450988515</v>
      </c>
      <c r="EO235" s="104" t="s">
        <v>6442</v>
      </c>
      <c r="EP235" s="90"/>
      <c r="EQ235" s="116">
        <f>IF(ISERROR(EQ107/EK107),"-",EQ107/EK107-1)</f>
        <v>0.29637437528396182</v>
      </c>
      <c r="ER235" s="116">
        <f>IF(ISERROR(ER107/EQ107),"-",ER107/EQ107-1)</f>
        <v>0.53070808742096931</v>
      </c>
      <c r="ES235" s="116">
        <f>IF(ISERROR(ES107/ER107),"-",ES107/ER107-1)</f>
        <v>0.30077845956589422</v>
      </c>
      <c r="ET235" s="116">
        <f>IF(ISERROR(ET107/ES107),"-",ET107/ES107-1)</f>
        <v>0.35127295257406788</v>
      </c>
      <c r="EU235" s="104" t="s">
        <v>6442</v>
      </c>
      <c r="EV235" s="90"/>
    </row>
    <row r="236" spans="1:152">
      <c r="A236" s="22"/>
      <c r="B236" s="519"/>
      <c r="C236" s="23"/>
      <c r="D236" s="24"/>
      <c r="E236" s="24"/>
      <c r="F236" s="24"/>
      <c r="G236" s="24"/>
      <c r="H236" s="24"/>
      <c r="I236" s="23"/>
      <c r="J236" s="24"/>
      <c r="K236" s="24"/>
      <c r="L236" s="24"/>
      <c r="M236" s="24"/>
      <c r="N236" s="24"/>
      <c r="O236" s="23"/>
      <c r="P236" s="24"/>
      <c r="Q236" s="24"/>
      <c r="R236" s="24"/>
      <c r="S236" s="24"/>
      <c r="T236" s="24"/>
      <c r="U236" s="23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3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  <c r="CO236" s="24"/>
      <c r="CP236" s="24"/>
      <c r="CQ236" s="24"/>
      <c r="CR236" s="24"/>
      <c r="CS236" s="24"/>
      <c r="CT236" s="24"/>
      <c r="CU236" s="24"/>
      <c r="CV236" s="24"/>
      <c r="CW236" s="24"/>
      <c r="CX236" s="24"/>
      <c r="CY236" s="24"/>
      <c r="CZ236" s="24"/>
      <c r="DA236" s="24"/>
      <c r="DB236" s="24"/>
      <c r="DC236" s="24"/>
      <c r="DD236" s="24"/>
      <c r="DE236" s="24"/>
      <c r="DF236" s="24"/>
      <c r="DG236" s="24"/>
      <c r="DH236" s="24"/>
      <c r="DI236" s="24"/>
      <c r="DJ236" s="24"/>
      <c r="DK236" s="24"/>
      <c r="DL236" s="24"/>
      <c r="DM236" s="24"/>
      <c r="DN236" s="24"/>
      <c r="DO236" s="24"/>
      <c r="DP236" s="24"/>
      <c r="DQ236" s="24"/>
      <c r="DR236" s="24"/>
      <c r="DS236" s="24"/>
      <c r="DT236" s="24"/>
      <c r="DU236" s="24"/>
      <c r="DV236" s="24"/>
      <c r="DW236" s="24"/>
      <c r="DX236" s="24"/>
      <c r="DY236" s="24"/>
      <c r="DZ236" s="24"/>
      <c r="EA236" s="24"/>
      <c r="EB236" s="24"/>
      <c r="EC236" s="24"/>
      <c r="ED236" s="24"/>
      <c r="EE236" s="24"/>
      <c r="EF236" s="24"/>
      <c r="EG236" s="24"/>
      <c r="EH236" s="24"/>
      <c r="EI236" s="24"/>
      <c r="EJ236" s="24"/>
      <c r="EK236" s="24"/>
      <c r="EL236" s="24"/>
      <c r="EM236" s="24"/>
      <c r="EN236" s="24"/>
      <c r="EO236" s="24"/>
      <c r="EP236" s="24"/>
      <c r="EQ236" s="24"/>
      <c r="ER236" s="24"/>
      <c r="ES236" s="24"/>
      <c r="ET236" s="24"/>
      <c r="EU236" s="24"/>
      <c r="EV236" s="24"/>
    </row>
    <row r="237" spans="1:152">
      <c r="A237" s="52" t="s">
        <v>6776</v>
      </c>
      <c r="B237" s="520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2"/>
      <c r="CO237" s="52"/>
      <c r="CP237" s="52"/>
      <c r="CQ237" s="52"/>
      <c r="CR237" s="52"/>
      <c r="CS237" s="52"/>
      <c r="CT237" s="52"/>
      <c r="CU237" s="52"/>
      <c r="CV237" s="52"/>
      <c r="CW237" s="52"/>
      <c r="CX237" s="52"/>
      <c r="CY237" s="52"/>
      <c r="CZ237" s="52"/>
      <c r="DA237" s="52"/>
      <c r="DB237" s="52"/>
      <c r="DC237" s="52"/>
      <c r="DD237" s="52"/>
      <c r="DE237" s="52"/>
      <c r="DF237" s="52"/>
      <c r="DG237" s="52"/>
      <c r="DH237" s="52"/>
      <c r="DI237" s="52"/>
      <c r="DJ237" s="52"/>
      <c r="DK237" s="52"/>
      <c r="DL237" s="52"/>
      <c r="DM237" s="52"/>
      <c r="DN237" s="52"/>
      <c r="DO237" s="52"/>
      <c r="DP237" s="52"/>
      <c r="DQ237" s="52"/>
      <c r="DR237" s="52"/>
      <c r="DS237" s="52"/>
      <c r="DT237" s="52"/>
      <c r="DU237" s="52"/>
      <c r="DV237" s="52"/>
      <c r="DW237" s="52"/>
      <c r="DX237" s="52"/>
      <c r="DY237" s="52"/>
      <c r="DZ237" s="52"/>
      <c r="EA237" s="52"/>
      <c r="EB237" s="52"/>
      <c r="EC237" s="52"/>
      <c r="ED237" s="52"/>
      <c r="EE237" s="52"/>
      <c r="EF237" s="52"/>
      <c r="EG237" s="52"/>
      <c r="EH237" s="52"/>
      <c r="EI237" s="52"/>
      <c r="EJ237" s="52"/>
      <c r="EK237" s="52"/>
      <c r="EL237" s="52"/>
      <c r="EM237" s="52"/>
      <c r="EN237" s="52"/>
      <c r="EO237" s="52"/>
      <c r="EP237" s="52"/>
      <c r="EQ237" s="52"/>
      <c r="ER237" s="52"/>
      <c r="ES237" s="52"/>
      <c r="ET237" s="52"/>
      <c r="EU237" s="52"/>
      <c r="EV237" s="52"/>
    </row>
    <row r="238" spans="1:152">
      <c r="A238" s="262" t="s">
        <v>5187</v>
      </c>
      <c r="B238" s="527"/>
      <c r="C238" s="284"/>
      <c r="D238" s="284" t="str">
        <f>IF(OR(D10="",ISERROR(D10/D$31)),"-",D10/D$31)</f>
        <v>-</v>
      </c>
      <c r="E238" s="284" t="str">
        <f>IF(OR(E10="",ISERROR(E10/E$31)),"-",E10/E$31)</f>
        <v>-</v>
      </c>
      <c r="F238" s="284" t="str">
        <f>IF(OR(F10="",ISERROR(F10/F$31)),"-",F10/F$31)</f>
        <v>-</v>
      </c>
      <c r="G238" s="284" t="str">
        <f>IF(OR(G10="",ISERROR(G10/G$31)),"-",G10/G$31)</f>
        <v>-</v>
      </c>
      <c r="H238" s="262"/>
      <c r="I238" s="284" t="str">
        <f>IF(OR(I10="",ISERROR(I10/I$31)),"-",I10/I$31)</f>
        <v>-</v>
      </c>
      <c r="J238" s="284" t="str">
        <f>IF(OR(J10="",ISERROR(J10/J$31)),"-",J10/J$31)</f>
        <v>-</v>
      </c>
      <c r="K238" s="284" t="str">
        <f>IF(OR(K10="",ISERROR(K10/K$31)),"-",K10/K$31)</f>
        <v>-</v>
      </c>
      <c r="L238" s="284" t="str">
        <f>IF(OR(L10="",ISERROR(L10/L$31)),"-",L10/L$31)</f>
        <v>-</v>
      </c>
      <c r="M238" s="284" t="str">
        <f>IF(OR(M10="",ISERROR(M10/M$31)),"-",M10/M$31)</f>
        <v>-</v>
      </c>
      <c r="N238" s="262"/>
      <c r="O238" s="284" t="str">
        <f>IF(OR(O10="",ISERROR(O10/O$31)),"-",O10/O$31)</f>
        <v>-</v>
      </c>
      <c r="P238" s="284" t="str">
        <f>IF(OR(P10="",ISERROR(P10/P$31)),"-",P10/P$31)</f>
        <v>-</v>
      </c>
      <c r="Q238" s="284" t="str">
        <f>IF(OR(Q10="",ISERROR(Q10/Q$31)),"-",Q10/Q$31)</f>
        <v>-</v>
      </c>
      <c r="R238" s="284" t="str">
        <f>IF(OR(R10="",ISERROR(R10/R$31)),"-",R10/R$31)</f>
        <v>-</v>
      </c>
      <c r="S238" s="284" t="str">
        <f>IF(OR(S10="",ISERROR(S10/S$31)),"-",S10/S$31)</f>
        <v>-</v>
      </c>
      <c r="T238" s="262"/>
      <c r="U238" s="284" t="str">
        <f>IF(OR(U10="",ISERROR(U10/U$31)),"-",U10/U$31)</f>
        <v>-</v>
      </c>
      <c r="V238" s="284" t="str">
        <f>IF(OR(V10="",ISERROR(V10/V$31)),"-",V10/V$31)</f>
        <v>-</v>
      </c>
      <c r="W238" s="284" t="str">
        <f>IF(OR(W10="",ISERROR(W10/W$31)),"-",W10/W$31)</f>
        <v>-</v>
      </c>
      <c r="X238" s="284" t="str">
        <f>IF(OR(X10="",ISERROR(X10/X$31)),"-",X10/X$31)</f>
        <v>-</v>
      </c>
      <c r="Y238" s="284" t="str">
        <f>IF(OR(Y10="",ISERROR(Y10/Y$31)),"-",Y10/Y$31)</f>
        <v>-</v>
      </c>
      <c r="Z238" s="286"/>
      <c r="AA238" s="284" t="str">
        <f>IF(OR(AA10="",ISERROR(AA10/AA$31)),"-",AA10/AA$31)</f>
        <v>-</v>
      </c>
      <c r="AB238" s="284" t="str">
        <f>IF(OR(AB10="",ISERROR(AB10/AB$31)),"-",AB10/AB$31)</f>
        <v>-</v>
      </c>
      <c r="AC238" s="284" t="str">
        <f>IF(OR(AC10="",ISERROR(AC10/AC$31)),"-",AC10/AC$31)</f>
        <v>-</v>
      </c>
      <c r="AD238" s="284" t="str">
        <f>IF(OR(AD10="",ISERROR(AD10/AD$31)),"-",AD10/AD$31)</f>
        <v>-</v>
      </c>
      <c r="AE238" s="284" t="str">
        <f>IF(OR(AE10="",ISERROR(AE10/AE$31)),"-",AE10/AE$31)</f>
        <v>-</v>
      </c>
      <c r="AF238" s="262"/>
      <c r="AG238" s="284">
        <f>IF(OR(AG10="",ISERROR(AG10/AG$31)),"-",AG10/AG$31)</f>
        <v>0.96355090746317251</v>
      </c>
      <c r="AH238" s="284">
        <f>IF(OR(AH10="",ISERROR(AH10/AH$31)),"-",AH10/AH$31)</f>
        <v>0.95189315352697101</v>
      </c>
      <c r="AI238" s="284">
        <f>IF(OR(AI10="",ISERROR(AI10/AI$31)),"-",AI10/AI$31)</f>
        <v>0.94538656017600542</v>
      </c>
      <c r="AJ238" s="284">
        <f>IF(OR(AJ10="",ISERROR(AJ10/AJ$31)),"-",AJ10/AJ$31)</f>
        <v>0.94577103852240252</v>
      </c>
      <c r="AK238" s="284">
        <f>IF(OR(AK10="",ISERROR(AK10/AK$31)),"-",AK10/AK$31)</f>
        <v>0.9517895156787769</v>
      </c>
      <c r="AL238" s="262"/>
      <c r="AM238" s="284">
        <f>IF(OR(AM10="",ISERROR(AM10/AM$31)),"-",AM10/AM$31)</f>
        <v>0.93170014869596685</v>
      </c>
      <c r="AN238" s="284">
        <f>IF(OR(AN10="",ISERROR(AN10/AN$31)),"-",AN10/AN$31)</f>
        <v>0.9145415584599883</v>
      </c>
      <c r="AO238" s="284">
        <f>IF(OR(AO10="",ISERROR(AO10/AO$31)),"-",AO10/AO$31)</f>
        <v>0.89173348312939515</v>
      </c>
      <c r="AP238" s="284">
        <f>IF(OR(AP10="",ISERROR(AP10/AP$31)),"-",AP10/AP$31)</f>
        <v>0.88828535772008421</v>
      </c>
      <c r="AQ238" s="284">
        <f>IF(OR(AQ10="",ISERROR(AQ10/AQ$31)),"-",AQ10/AQ$31)</f>
        <v>0.90787143385316604</v>
      </c>
      <c r="AR238" s="285"/>
      <c r="AS238" s="284">
        <f>IF(OR(AS10="",ISERROR(AS10/AS$31)),"-",AS10/AS$31)</f>
        <v>0.8866752702048718</v>
      </c>
      <c r="AT238" s="284">
        <f>IF(OR(AT10="",ISERROR(AT10/AT$31)),"-",AT10/AT$31)</f>
        <v>0.866460404808578</v>
      </c>
      <c r="AU238" s="284">
        <f>IF(OR(AU10="",ISERROR(AU10/AU$31)),"-",AU10/AU$31)</f>
        <v>0.87360494650691434</v>
      </c>
      <c r="AV238" s="284">
        <f>IF(OR(AV10="",ISERROR(AV10/AV$31)),"-",AV10/AV$31)</f>
        <v>0.88760624428566581</v>
      </c>
      <c r="AW238" s="284">
        <f>IF(OR(AW10="",ISERROR(AW10/AW$31)),"-",AW10/AW$31)</f>
        <v>0.87925514084588441</v>
      </c>
      <c r="AX238" s="285"/>
      <c r="AY238" s="284">
        <f>IF(OR(AY10="",ISERROR(AY10/AY$31)),"-",AY10/AY$31)</f>
        <v>0.87529254429956538</v>
      </c>
      <c r="AZ238" s="284">
        <f>IF(OR(AZ10="",ISERROR(AZ10/AZ$31)),"-",AZ10/AZ$31)</f>
        <v>0.85541310541310533</v>
      </c>
      <c r="BA238" s="284">
        <f>IF(OR(BA10="",ISERROR(BA10/BA$31)),"-",BA10/BA$31)</f>
        <v>0.85136031851360316</v>
      </c>
      <c r="BB238" s="284">
        <f>IF(OR(BB10="",ISERROR(BB10/BB$31)),"-",BB10/BB$31)</f>
        <v>0.85766219239373609</v>
      </c>
      <c r="BC238" s="284">
        <f>IF(OR(BC10="",ISERROR(BC10/BC$31)),"-",BC10/BC$31)</f>
        <v>0.85987569618209692</v>
      </c>
      <c r="BD238" s="285"/>
      <c r="BE238" s="284">
        <f>IF(OR(BE10="",ISERROR(BE10/BE$31)),"-",BE10/BE$31)</f>
        <v>0.83375104427736013</v>
      </c>
      <c r="BF238" s="284">
        <f>IF(OR(BF10="",ISERROR(BF10/BF$31)),"-",BF10/BF$31)</f>
        <v>0.83041401273885351</v>
      </c>
      <c r="BG238" s="284">
        <f>IF(OR(BG10="",ISERROR(BG10/BG$31)),"-",BG10/BG$31)</f>
        <v>0.80917431192660549</v>
      </c>
      <c r="BH238" s="284">
        <f>IF(OR(BH10="",ISERROR(BH10/BH$31)),"-",BH10/BH$31)</f>
        <v>0.81181515007146265</v>
      </c>
      <c r="BI238" s="284">
        <f>IF(OR(BI10="",ISERROR(BI10/BI$31)),"-",BI10/BI$31)</f>
        <v>0.82084309133489464</v>
      </c>
      <c r="BJ238" s="262"/>
      <c r="BK238" s="284">
        <f>IF(OR(BK10="",ISERROR(BK10/BK$31)),"-",BK10/BK$31)</f>
        <v>0.80137614678899083</v>
      </c>
      <c r="BL238" s="284">
        <f>IF(OR(BL10="",ISERROR(BL10/BL$31)),"-",BL10/BL$31)</f>
        <v>0.76846085409252662</v>
      </c>
      <c r="BM238" s="284">
        <f>IF(OR(BM10="",ISERROR(BM10/BM$31)),"-",BM10/BM$31)</f>
        <v>0.75809982486865146</v>
      </c>
      <c r="BN238" s="284">
        <f>IF(OR(BN10="",ISERROR(BN10/BN$31)),"-",BN10/BN$31)</f>
        <v>0.75331724969843183</v>
      </c>
      <c r="BO238" s="284">
        <f>IF(OR(BO10="",ISERROR(BO10/BO$31)),"-",BO10/BO$31)</f>
        <v>0.76959452114360249</v>
      </c>
      <c r="BP238" s="262"/>
      <c r="BQ238" s="284">
        <f>IF(OR(BQ10="",ISERROR(BQ10/BQ$31)),"-",BQ10/BQ$31)</f>
        <v>0.7534408179315768</v>
      </c>
      <c r="BR238" s="284">
        <f>IF(OR(BR10="",ISERROR(BR10/BR$31)),"-",BR10/BR$31)</f>
        <v>0.74843126069594967</v>
      </c>
      <c r="BS238" s="284">
        <f>IF(OR(BS10="",ISERROR(BS10/BS$31)),"-",BS10/BS$31)</f>
        <v>0.73514115898959886</v>
      </c>
      <c r="BT238" s="284">
        <f>IF(OR(BT10="",ISERROR(BT10/BT$31)),"-",BT10/BT$31)</f>
        <v>0.74445000834585207</v>
      </c>
      <c r="BU238" s="284">
        <f>IF(OR(BU10="",ISERROR(BU10/BU$31)),"-",BU10/BU$31)</f>
        <v>0.74521178637200736</v>
      </c>
      <c r="BV238" s="262"/>
      <c r="BW238" s="284">
        <f>IF(OR(BW10="",ISERROR(BW10/BW$31)),"-",BW10/BW$31)</f>
        <v>0.7217768871075485</v>
      </c>
      <c r="BX238" s="284">
        <f>IF(OR(BX10="",ISERROR(BX10/BX$31)),"-",BX10/BX$31)</f>
        <v>0.71057304277643263</v>
      </c>
      <c r="BY238" s="284">
        <f>IF(OR(BY10="",ISERROR(BY10/BY$31)),"-",BY10/BY$31)</f>
        <v>0.69346071487399108</v>
      </c>
      <c r="BZ238" s="284">
        <f>IF(OR(BZ10="",ISERROR(BZ10/BZ$31)),"-",BZ10/BZ$31)</f>
        <v>0.63291139240506322</v>
      </c>
      <c r="CA238" s="284">
        <f>IF(OR(CA10="",ISERROR(CA10/CA$31)),"-",CA10/CA$31)</f>
        <v>0.69255355908776772</v>
      </c>
      <c r="CB238" s="262"/>
      <c r="CC238" s="284">
        <f>IF(OR(CC10="",ISERROR(CC10/CC$31)),"-",CC10/CC$31)</f>
        <v>0.57209957726632221</v>
      </c>
      <c r="CD238" s="284">
        <f>IF(OR(CD10="",ISERROR(CD10/CD$31)),"-",CD10/CD$31)</f>
        <v>0.55676066522053513</v>
      </c>
      <c r="CE238" s="284">
        <f>IF(OR(CE10="",ISERROR(CE10/CE$31)),"-",CE10/CE$31)</f>
        <v>0.56632285919884862</v>
      </c>
      <c r="CF238" s="284">
        <f>IF(OR(CF10="",ISERROR(CF10/CF$31)),"-",CF10/CF$31)</f>
        <v>0.59197544398158297</v>
      </c>
      <c r="CG238" s="284">
        <f>IF(OR(CG10="",ISERROR(CG10/CG$31)),"-",CG10/CG$31)</f>
        <v>0.57227052576296911</v>
      </c>
      <c r="CH238" s="262"/>
      <c r="CI238" s="284">
        <f>IF(OR(CI10="",ISERROR(CI10/CI$31)),"-",CI10/CI$31)</f>
        <v>0.58954909397387278</v>
      </c>
      <c r="CJ238" s="284">
        <f>IF(OR(CJ10="",ISERROR(CJ10/CJ$31)),"-",CJ10/CJ$31)</f>
        <v>0.59369712351945858</v>
      </c>
      <c r="CK238" s="284">
        <f>IF(OR(CK10="",ISERROR(CK10/CK$31)),"-",CK10/CK$31)</f>
        <v>0.59156702328508493</v>
      </c>
      <c r="CL238" s="284">
        <f>IF(OR(CL10="",ISERROR(CL10/CL$31)),"-",CL10/CL$31)</f>
        <v>0.62459730907712718</v>
      </c>
      <c r="CM238" s="284">
        <f>IF(OR(CM10="",ISERROR(CM10/CM$31)),"-",CM10/CM$31)</f>
        <v>0.60052259452812784</v>
      </c>
      <c r="CN238" s="262"/>
      <c r="CO238" s="284">
        <f>IF(OR(CO10="",ISERROR(CO10/CO$31)),"-",CO10/CO$31)</f>
        <v>0.61139504069657402</v>
      </c>
      <c r="CP238" s="284">
        <f>IF(OR(CP10="",ISERROR(CP10/CP$31)),"-",CP10/CP$31)</f>
        <v>0.60955518945634268</v>
      </c>
      <c r="CQ238" s="284">
        <f>IF(OR(CQ10="",ISERROR(CQ10/CQ$31)),"-",CQ10/CQ$31)</f>
        <v>0.6040831206707985</v>
      </c>
      <c r="CR238" s="284">
        <f>IF(OR(CR10="",ISERROR(CR10/CR$31)),"-",CR10/CR$31)</f>
        <v>0.62491559756921</v>
      </c>
      <c r="CS238" s="284">
        <f>IF(OR(CS10="",ISERROR(CS10/CS$31)),"-",CS10/CS$31)</f>
        <v>0.61274598302942773</v>
      </c>
      <c r="CT238" s="262"/>
      <c r="CU238" s="284">
        <f>IF(OR(CU10="",ISERROR(CU10/CU$31)),"-",CU10/CU$31)</f>
        <v>0.60363574583758073</v>
      </c>
      <c r="CV238" s="284">
        <f>IF(OR(CV10="",ISERROR(CV10/CV$31)),"-",CV10/CV$31)</f>
        <v>0.58699472759226712</v>
      </c>
      <c r="CW238" s="284">
        <f>IF(OR(CW10="",ISERROR(CW10/CW$31)),"-",CW10/CW$31)</f>
        <v>0.56569343065693434</v>
      </c>
      <c r="CX238" s="284">
        <f>IF(OR(CX10="",ISERROR(CX10/CX$31)),"-",CX10/CX$31)</f>
        <v>0.60131795716639214</v>
      </c>
      <c r="CY238" s="284">
        <f>IF(OR(CY10="",ISERROR(CY10/CY$31)),"-",CY10/CY$31)</f>
        <v>0.58994205655971632</v>
      </c>
      <c r="CZ238" s="262"/>
      <c r="DA238" s="284">
        <f>IF(OR(DA10="",ISERROR(DA10/DA$31)),"-",DA10/DA$31)</f>
        <v>0.56714586255259469</v>
      </c>
      <c r="DB238" s="284">
        <f>IF(OR(DB10="",ISERROR(DB10/DB$31)),"-",DB10/DB$31)</f>
        <v>0.55759302118568621</v>
      </c>
      <c r="DC238" s="284">
        <f>IF(OR(DC10="",ISERROR(DC10/DC$31)),"-",DC10/DC$31)</f>
        <v>0.53584293948126793</v>
      </c>
      <c r="DD238" s="284">
        <f>IF(OR(DD10="",ISERROR(DD10/DD$31)),"-",DD10/DD$31)</f>
        <v>0.54670985339243106</v>
      </c>
      <c r="DE238" s="284">
        <f>IF(OR(DE10="",ISERROR(DE10/DE$31)),"-",DE10/DE$31)</f>
        <v>0.55187123444302755</v>
      </c>
      <c r="DF238" s="262"/>
      <c r="DG238" s="284">
        <f>IF(OR(DG10="",ISERROR(DG10/DG$31)),"-",DG10/DG$31)</f>
        <v>0.53367088607594937</v>
      </c>
      <c r="DH238" s="284">
        <f>IF(OR(DH10="",ISERROR(DH10/DH$31)),"-",DH10/DH$31)</f>
        <v>0.54999215193847129</v>
      </c>
      <c r="DI238" s="284">
        <f>IF(OR(DI10="",ISERROR(DI10/DI$31)),"-",DI10/DI$31)</f>
        <v>0.51860841423948223</v>
      </c>
      <c r="DJ238" s="284">
        <f>IF(OR(DJ10="",ISERROR(DJ10/DJ$31)),"-",DJ10/DJ$31)</f>
        <v>0.53310261811616011</v>
      </c>
      <c r="DK238" s="284">
        <f>IF(OR(DK10="",ISERROR(DK10/DK$31)),"-",DK10/DK$31)</f>
        <v>0.53395430300135338</v>
      </c>
      <c r="DL238" s="262"/>
      <c r="DM238" s="284">
        <f>IF(OR(DM10="",ISERROR(DM10/DM$31)),"-",DM10/DM$31)</f>
        <v>0.50533642691415315</v>
      </c>
      <c r="DN238" s="284">
        <f>IF(OR(DN10="",ISERROR(DN10/DN$31)),"-",DN10/DN$31)</f>
        <v>0.47662018047579985</v>
      </c>
      <c r="DO238" s="284">
        <f>IF(OR(DO10="",ISERROR(DO10/DO$31)),"-",DO10/DO$31)</f>
        <v>0.46832277425808605</v>
      </c>
      <c r="DP238" s="284">
        <f>IF(OR(DP10="",ISERROR(DP10/DP$31)),"-",DP10/DP$31)</f>
        <v>0.50717260527533559</v>
      </c>
      <c r="DQ238" s="284">
        <f>IF(OR(DQ10="",ISERROR(DQ10/DQ$31)),"-",DQ10/DQ$31)</f>
        <v>0.4899564713869255</v>
      </c>
      <c r="DR238" s="262"/>
      <c r="DS238" s="284">
        <f>IF(OR(DS10="",ISERROR(DS10/DS$31)),"-",DS10/DS$31)</f>
        <v>0.36315686657550306</v>
      </c>
      <c r="DT238" s="284">
        <f>IF(OR(DT10="",ISERROR(DT10/DT$31)),"-",DT10/DT$31)</f>
        <v>0.41528963137824582</v>
      </c>
      <c r="DU238" s="284">
        <f>IF(OR(DU10="",ISERROR(DU10/DU$31)),"-",DU10/DU$31)</f>
        <v>0.34742647058823528</v>
      </c>
      <c r="DV238" s="284">
        <f>IF(OR(DV10="",ISERROR(DV10/DV$31)),"-",DV10/DV$31)</f>
        <v>0.32644110275689225</v>
      </c>
      <c r="DW238" s="284">
        <f>IF(OR(DW10="",ISERROR(DW10/DW$31)),"-",DW10/DW$31)</f>
        <v>0.3648449039881832</v>
      </c>
      <c r="DX238" s="262"/>
      <c r="DY238" s="284" t="str">
        <f>IF(OR(DY10="",ISERROR(DY10/DY$31)),"-",DY10/DY$31)</f>
        <v>-</v>
      </c>
      <c r="DZ238" s="284" t="str">
        <f>IF(OR(DZ10="",ISERROR(DZ10/DZ$31)),"-",DZ10/DZ$31)</f>
        <v>-</v>
      </c>
      <c r="EA238" s="284" t="str">
        <f>IF(OR(EA10="",ISERROR(EA10/EA$31)),"-",EA10/EA$31)</f>
        <v>-</v>
      </c>
      <c r="EB238" s="284" t="str">
        <f>IF(OR(EB10="",ISERROR(EB10/EB$31)),"-",EB10/EB$31)</f>
        <v>-</v>
      </c>
      <c r="EC238" s="284" t="str">
        <f>IF(OR(EC10="",ISERROR(EC10/EC$31)),"-",EC10/EC$31)</f>
        <v>-</v>
      </c>
      <c r="ED238" s="262"/>
      <c r="EE238" s="116" t="str">
        <f>IF(OR(EE10="",ISERROR(EE10/EE$31)),"-",EE10/EE$31)</f>
        <v>-</v>
      </c>
      <c r="EF238" s="116" t="str">
        <f>IF(OR(EF10="",ISERROR(EF10/EF$31)),"-",EF10/EF$31)</f>
        <v>-</v>
      </c>
      <c r="EG238" s="116" t="str">
        <f>IF(OR(EG10="",ISERROR(EG10/EG$31)),"-",EG10/EG$31)</f>
        <v>-</v>
      </c>
      <c r="EH238" s="116" t="str">
        <f>IF(OR(EH10="",ISERROR(EH10/EH$31)),"-",EH10/EH$31)</f>
        <v>-</v>
      </c>
      <c r="EI238" s="116" t="str">
        <f>IF(OR(EI10="",ISERROR(EI10/EI$31)),"-",EI10/EI$31)</f>
        <v>-</v>
      </c>
      <c r="EJ238" s="262"/>
      <c r="EK238" s="116" t="str">
        <f>IF(OR(EK10="",ISERROR(EK10/EK$31)),"-",EK10/EK$31)</f>
        <v>-</v>
      </c>
      <c r="EL238" s="116" t="str">
        <f>IF(OR(EL10="",ISERROR(EL10/EL$31)),"-",EL10/EL$31)</f>
        <v>-</v>
      </c>
      <c r="EM238" s="116" t="str">
        <f>IF(OR(EM10="",ISERROR(EM10/EM$31)),"-",EM10/EM$31)</f>
        <v>-</v>
      </c>
      <c r="EN238" s="116" t="str">
        <f>IF(OR(EN10="",ISERROR(EN10/EN$31)),"-",EN10/EN$31)</f>
        <v>-</v>
      </c>
      <c r="EO238" s="116" t="str">
        <f>IF(OR(EO10="",ISERROR(EO10/EO$31)),"-",EO10/EO$31)</f>
        <v>-</v>
      </c>
      <c r="EP238" s="262"/>
      <c r="EQ238" s="116" t="str">
        <f>IF(OR(EQ10="",ISERROR(EQ10/EQ$31)),"-",EQ10/EQ$31)</f>
        <v>-</v>
      </c>
      <c r="ER238" s="116" t="str">
        <f>IF(OR(ER10="",ISERROR(ER10/ER$31)),"-",ER10/ER$31)</f>
        <v>-</v>
      </c>
      <c r="ES238" s="116" t="str">
        <f>IF(OR(ES10="",ISERROR(ES10/ES$31)),"-",ES10/ES$31)</f>
        <v>-</v>
      </c>
      <c r="ET238" s="116" t="str">
        <f>IF(OR(ET10="",ISERROR(ET10/ET$31)),"-",ET10/ET$31)</f>
        <v>-</v>
      </c>
      <c r="EU238" s="116" t="str">
        <f>IF(OR(EU10="",ISERROR(EU10/EU$31)),"-",EU10/EU$31)</f>
        <v>-</v>
      </c>
      <c r="EV238" s="262"/>
    </row>
    <row r="239" spans="1:152">
      <c r="A239" s="262" t="s">
        <v>469</v>
      </c>
      <c r="B239" s="527"/>
      <c r="C239" s="284"/>
      <c r="D239" s="284" t="str">
        <f>IF(OR(D14="",ISERROR(D14/D$31)),"-",D14/D$31)</f>
        <v>-</v>
      </c>
      <c r="E239" s="284" t="str">
        <f>IF(OR(E14="",ISERROR(E14/E$31)),"-",E14/E$31)</f>
        <v>-</v>
      </c>
      <c r="F239" s="284" t="str">
        <f>IF(OR(F14="",ISERROR(F14/F$31)),"-",F14/F$31)</f>
        <v>-</v>
      </c>
      <c r="G239" s="284" t="str">
        <f>IF(OR(G14="",ISERROR(G14/G$31)),"-",G14/G$31)</f>
        <v>-</v>
      </c>
      <c r="H239" s="262"/>
      <c r="I239" s="284" t="str">
        <f>IF(OR(I14="",ISERROR(I14/I$31)),"-",I14/I$31)</f>
        <v>-</v>
      </c>
      <c r="J239" s="284" t="str">
        <f>IF(OR(J14="",ISERROR(J14/J$31)),"-",J14/J$31)</f>
        <v>-</v>
      </c>
      <c r="K239" s="284" t="str">
        <f>IF(OR(K14="",ISERROR(K14/K$31)),"-",K14/K$31)</f>
        <v>-</v>
      </c>
      <c r="L239" s="284" t="str">
        <f>IF(OR(L14="",ISERROR(L14/L$31)),"-",L14/L$31)</f>
        <v>-</v>
      </c>
      <c r="M239" s="284" t="str">
        <f>IF(OR(M14="",ISERROR(M14/M$31)),"-",M14/M$31)</f>
        <v>-</v>
      </c>
      <c r="N239" s="262"/>
      <c r="O239" s="284" t="str">
        <f>IF(OR(O14="",ISERROR(O14/O$31)),"-",O14/O$31)</f>
        <v>-</v>
      </c>
      <c r="P239" s="284" t="str">
        <f>IF(OR(P14="",ISERROR(P14/P$31)),"-",P14/P$31)</f>
        <v>-</v>
      </c>
      <c r="Q239" s="284" t="str">
        <f>IF(OR(Q14="",ISERROR(Q14/Q$31)),"-",Q14/Q$31)</f>
        <v>-</v>
      </c>
      <c r="R239" s="284" t="str">
        <f>IF(OR(R14="",ISERROR(R14/R$31)),"-",R14/R$31)</f>
        <v>-</v>
      </c>
      <c r="S239" s="284" t="str">
        <f>IF(OR(S14="",ISERROR(S14/S$31)),"-",S14/S$31)</f>
        <v>-</v>
      </c>
      <c r="T239" s="262"/>
      <c r="U239" s="284" t="str">
        <f>IF(OR(U14="",ISERROR(U14/U$31)),"-",U14/U$31)</f>
        <v>-</v>
      </c>
      <c r="V239" s="284" t="str">
        <f>IF(OR(V14="",ISERROR(V14/V$31)),"-",V14/V$31)</f>
        <v>-</v>
      </c>
      <c r="W239" s="284" t="str">
        <f>IF(OR(W14="",ISERROR(W14/W$31)),"-",W14/W$31)</f>
        <v>-</v>
      </c>
      <c r="X239" s="284" t="str">
        <f>IF(OR(X14="",ISERROR(X14/X$31)),"-",X14/X$31)</f>
        <v>-</v>
      </c>
      <c r="Y239" s="284" t="str">
        <f>IF(OR(Y14="",ISERROR(Y14/Y$31)),"-",Y14/Y$31)</f>
        <v>-</v>
      </c>
      <c r="Z239" s="286"/>
      <c r="AA239" s="284" t="str">
        <f>IF(OR(AA14="",ISERROR(AA14/AA$31)),"-",AA14/AA$31)</f>
        <v>-</v>
      </c>
      <c r="AB239" s="284" t="str">
        <f>IF(OR(AB14="",ISERROR(AB14/AB$31)),"-",AB14/AB$31)</f>
        <v>-</v>
      </c>
      <c r="AC239" s="284" t="str">
        <f>IF(OR(AC14="",ISERROR(AC14/AC$31)),"-",AC14/AC$31)</f>
        <v>-</v>
      </c>
      <c r="AD239" s="284" t="str">
        <f>IF(OR(AD14="",ISERROR(AD14/AD$31)),"-",AD14/AD$31)</f>
        <v>-</v>
      </c>
      <c r="AE239" s="284" t="str">
        <f>IF(OR(AE14="",ISERROR(AE14/AE$31)),"-",AE14/AE$31)</f>
        <v>-</v>
      </c>
      <c r="AF239" s="262"/>
      <c r="AG239" s="284">
        <f>IF(OR(AG14="",ISERROR(AG14/AG$31)),"-",AG14/AG$31)</f>
        <v>3.644909253682755E-2</v>
      </c>
      <c r="AH239" s="284">
        <f>IF(OR(AH14="",ISERROR(AH14/AH$31)),"-",AH14/AH$31)</f>
        <v>4.8106846473029055E-2</v>
      </c>
      <c r="AI239" s="284">
        <f>IF(OR(AI14="",ISERROR(AI14/AI$31)),"-",AI14/AI$31)</f>
        <v>5.4613439823994608E-2</v>
      </c>
      <c r="AJ239" s="284">
        <f>IF(OR(AJ14="",ISERROR(AJ14/AJ$31)),"-",AJ14/AJ$31)</f>
        <v>5.4228961477597482E-2</v>
      </c>
      <c r="AK239" s="284">
        <f>IF(OR(AK14="",ISERROR(AK14/AK$31)),"-",AK14/AK$31)</f>
        <v>4.8210484321223109E-2</v>
      </c>
      <c r="AL239" s="262"/>
      <c r="AM239" s="284">
        <f>IF(OR(AM14="",ISERROR(AM14/AM$31)),"-",AM14/AM$31)</f>
        <v>6.8299851304033113E-2</v>
      </c>
      <c r="AN239" s="284">
        <f>IF(OR(AN14="",ISERROR(AN14/AN$31)),"-",AN14/AN$31)</f>
        <v>8.5458441540011629E-2</v>
      </c>
      <c r="AO239" s="284">
        <f>IF(OR(AO14="",ISERROR(AO14/AO$31)),"-",AO14/AO$31)</f>
        <v>0.10826651687060482</v>
      </c>
      <c r="AP239" s="284">
        <f>IF(OR(AP14="",ISERROR(AP14/AP$31)),"-",AP14/AP$31)</f>
        <v>0.11171464227991569</v>
      </c>
      <c r="AQ239" s="284">
        <f>IF(OR(AQ14="",ISERROR(AQ14/AQ$31)),"-",AQ14/AQ$31)</f>
        <v>9.212856614683404E-2</v>
      </c>
      <c r="AR239" s="285"/>
      <c r="AS239" s="284">
        <f>IF(OR(AS14="",ISERROR(AS14/AS$31)),"-",AS14/AS$31)</f>
        <v>0.11332472979512825</v>
      </c>
      <c r="AT239" s="284">
        <f>IF(OR(AT14="",ISERROR(AT14/AT$31)),"-",AT14/AT$31)</f>
        <v>0.13353959519142203</v>
      </c>
      <c r="AU239" s="284">
        <f>IF(OR(AU14="",ISERROR(AU14/AU$31)),"-",AU14/AU$31)</f>
        <v>0.12639505349308566</v>
      </c>
      <c r="AV239" s="284">
        <f>IF(OR(AV14="",ISERROR(AV14/AV$31)),"-",AV14/AV$31)</f>
        <v>0.11239375571433408</v>
      </c>
      <c r="AW239" s="284">
        <f>IF(OR(AW14="",ISERROR(AW14/AW$31)),"-",AW14/AW$31)</f>
        <v>0.12074485915411556</v>
      </c>
      <c r="AX239" s="285"/>
      <c r="AY239" s="284">
        <f>IF(OR(AY14="",ISERROR(AY14/AY$31)),"-",AY14/AY$31)</f>
        <v>0.12470745570043462</v>
      </c>
      <c r="AZ239" s="284">
        <f>IF(OR(AZ14="",ISERROR(AZ14/AZ$31)),"-",AZ14/AZ$31)</f>
        <v>0.14458689458689458</v>
      </c>
      <c r="BA239" s="284">
        <f>IF(OR(BA14="",ISERROR(BA14/BA$31)),"-",BA14/BA$31)</f>
        <v>0.14863968148639678</v>
      </c>
      <c r="BB239" s="284">
        <f>IF(OR(BB14="",ISERROR(BB14/BB$31)),"-",BB14/BB$31)</f>
        <v>0.14233780760626399</v>
      </c>
      <c r="BC239" s="284">
        <f>IF(OR(BC14="",ISERROR(BC14/BC$31)),"-",BC14/BC$31)</f>
        <v>0.14012430381790297</v>
      </c>
      <c r="BD239" s="285"/>
      <c r="BE239" s="284">
        <f>IF(OR(BE14="",ISERROR(BE14/BE$31)),"-",BE14/BE$31)</f>
        <v>0.16624895572263995</v>
      </c>
      <c r="BF239" s="284">
        <f>IF(OR(BF14="",ISERROR(BF14/BF$31)),"-",BF14/BF$31)</f>
        <v>0.16958598726114651</v>
      </c>
      <c r="BG239" s="284">
        <f>IF(OR(BG14="",ISERROR(BG14/BG$31)),"-",BG14/BG$31)</f>
        <v>0.19082568807339448</v>
      </c>
      <c r="BH239" s="284">
        <f>IF(OR(BH14="",ISERROR(BH14/BH$31)),"-",BH14/BH$31)</f>
        <v>0.1881848499285374</v>
      </c>
      <c r="BI239" s="284">
        <f>IF(OR(BI14="",ISERROR(BI14/BI$31)),"-",BI14/BI$31)</f>
        <v>0.17915690866510539</v>
      </c>
      <c r="BJ239" s="262"/>
      <c r="BK239" s="284">
        <f>IF(OR(BK14="",ISERROR(BK14/BK$31)),"-",BK14/BK$31)</f>
        <v>0.19862385321100917</v>
      </c>
      <c r="BL239" s="284">
        <f>IF(OR(BL14="",ISERROR(BL14/BL$31)),"-",BL14/BL$31)</f>
        <v>0.23153914590747329</v>
      </c>
      <c r="BM239" s="284">
        <f>IF(OR(BM14="",ISERROR(BM14/BM$31)),"-",BM14/BM$31)</f>
        <v>0.24190017513134851</v>
      </c>
      <c r="BN239" s="284">
        <f>IF(OR(BN14="",ISERROR(BN14/BN$31)),"-",BN14/BN$31)</f>
        <v>0.24668275030156817</v>
      </c>
      <c r="BO239" s="284">
        <f>IF(OR(BO14="",ISERROR(BO14/BO$31)),"-",BO14/BO$31)</f>
        <v>0.23040547885639739</v>
      </c>
      <c r="BP239" s="262"/>
      <c r="BQ239" s="284">
        <f>IF(OR(BQ14="",ISERROR(BQ14/BQ$31)),"-",BQ14/BQ$31)</f>
        <v>0.24655918206842312</v>
      </c>
      <c r="BR239" s="284">
        <f>IF(OR(BR14="",ISERROR(BR14/BR$31)),"-",BR14/BR$31)</f>
        <v>0.25156873930405016</v>
      </c>
      <c r="BS239" s="284">
        <f>IF(OR(BS14="",ISERROR(BS14/BS$31)),"-",BS14/BS$31)</f>
        <v>0.26485884101040119</v>
      </c>
      <c r="BT239" s="284">
        <f>IF(OR(BT14="",ISERROR(BT14/BT$31)),"-",BT14/BT$31)</f>
        <v>0.25554999165414788</v>
      </c>
      <c r="BU239" s="284">
        <f>IF(OR(BU14="",ISERROR(BU14/BU$31)),"-",BU14/BU$31)</f>
        <v>0.2547882136279927</v>
      </c>
      <c r="BV239" s="262"/>
      <c r="BW239" s="284">
        <f>IF(OR(BW14="",ISERROR(BW14/BW$31)),"-",BW14/BW$31)</f>
        <v>0.27822311289245161</v>
      </c>
      <c r="BX239" s="284">
        <f>IF(OR(BX14="",ISERROR(BX14/BX$31)),"-",BX14/BX$31)</f>
        <v>0.28942695722356743</v>
      </c>
      <c r="BY239" s="284">
        <f>IF(OR(BY14="",ISERROR(BY14/BY$31)),"-",BY14/BY$31)</f>
        <v>0.30653928512600886</v>
      </c>
      <c r="BZ239" s="284">
        <f>IF(OR(BZ14="",ISERROR(BZ14/BZ$31)),"-",BZ14/BZ$31)</f>
        <v>0.36708860759493672</v>
      </c>
      <c r="CA239" s="284">
        <f>IF(OR(CA14="",ISERROR(CA14/CA$31)),"-",CA14/CA$31)</f>
        <v>0.30744644091223217</v>
      </c>
      <c r="CB239" s="262"/>
      <c r="CC239" s="284">
        <f>IF(OR(CC14="",ISERROR(CC14/CC$31)),"-",CC14/CC$31)</f>
        <v>0.42790042273367779</v>
      </c>
      <c r="CD239" s="284">
        <f>IF(OR(CD14="",ISERROR(CD14/CD$31)),"-",CD14/CD$31)</f>
        <v>0.44323933477946498</v>
      </c>
      <c r="CE239" s="284">
        <f>IF(OR(CE14="",ISERROR(CE14/CE$31)),"-",CE14/CE$31)</f>
        <v>0.43367714080115138</v>
      </c>
      <c r="CF239" s="284">
        <f>IF(OR(CF14="",ISERROR(CF14/CF$31)),"-",CF14/CF$31)</f>
        <v>0.40802455601841697</v>
      </c>
      <c r="CG239" s="284">
        <f>IF(OR(CG14="",ISERROR(CG14/CG$31)),"-",CG14/CG$31)</f>
        <v>0.42772947423703112</v>
      </c>
      <c r="CH239" s="262"/>
      <c r="CI239" s="284">
        <f>IF(OR(CI14="",ISERROR(CI14/CI$31)),"-",CI14/CI$31)</f>
        <v>0.41045090602612727</v>
      </c>
      <c r="CJ239" s="284">
        <f>IF(OR(CJ14="",ISERROR(CJ14/CJ$31)),"-",CJ14/CJ$31)</f>
        <v>0.40630287648054147</v>
      </c>
      <c r="CK239" s="284">
        <f>IF(OR(CK14="",ISERROR(CK14/CK$31)),"-",CK14/CK$31)</f>
        <v>0.40843297671491502</v>
      </c>
      <c r="CL239" s="284">
        <f>IF(OR(CL14="",ISERROR(CL14/CL$31)),"-",CL14/CL$31)</f>
        <v>0.37540269092287282</v>
      </c>
      <c r="CM239" s="284">
        <f>IF(OR(CM14="",ISERROR(CM14/CM$31)),"-",CM14/CM$31)</f>
        <v>0.3994774054718721</v>
      </c>
      <c r="CN239" s="262"/>
      <c r="CO239" s="284">
        <f>IF(OR(CO14="",ISERROR(CO14/CO$31)),"-",CO14/CO$31)</f>
        <v>0.38860495930342615</v>
      </c>
      <c r="CP239" s="284">
        <f>IF(OR(CP14="",ISERROR(CP14/CP$31)),"-",CP14/CP$31)</f>
        <v>0.39044481054365737</v>
      </c>
      <c r="CQ239" s="284">
        <f>IF(OR(CQ14="",ISERROR(CQ14/CQ$31)),"-",CQ14/CQ$31)</f>
        <v>0.39591687932920167</v>
      </c>
      <c r="CR239" s="284">
        <f>IF(OR(CR14="",ISERROR(CR14/CR$31)),"-",CR14/CR$31)</f>
        <v>0.37508440243079</v>
      </c>
      <c r="CS239" s="284">
        <f>IF(OR(CS14="",ISERROR(CS14/CS$31)),"-",CS14/CS$31)</f>
        <v>0.38725401697057232</v>
      </c>
      <c r="CT239" s="262"/>
      <c r="CU239" s="284">
        <f>IF(OR(CU14="",ISERROR(CU14/CU$31)),"-",CU14/CU$31)</f>
        <v>0.39636425416241933</v>
      </c>
      <c r="CV239" s="284">
        <f>IF(OR(CV14="",ISERROR(CV14/CV$31)),"-",CV14/CV$31)</f>
        <v>0.41300527240773288</v>
      </c>
      <c r="CW239" s="284">
        <f>IF(OR(CW14="",ISERROR(CW14/CW$31)),"-",CW14/CW$31)</f>
        <v>0.43430656934306572</v>
      </c>
      <c r="CX239" s="284">
        <f>IF(OR(CX14="",ISERROR(CX14/CX$31)),"-",CX14/CX$31)</f>
        <v>0.39868204283360792</v>
      </c>
      <c r="CY239" s="284">
        <f>IF(OR(CY14="",ISERROR(CY14/CY$31)),"-",CY14/CY$31)</f>
        <v>0.41005794344028368</v>
      </c>
      <c r="CZ239" s="262"/>
      <c r="DA239" s="284">
        <f>IF(OR(DA14="",ISERROR(DA14/DA$31)),"-",DA14/DA$31)</f>
        <v>0.43285413744740536</v>
      </c>
      <c r="DB239" s="284">
        <f>IF(OR(DB14="",ISERROR(DB14/DB$31)),"-",DB14/DB$31)</f>
        <v>0.44240697881431368</v>
      </c>
      <c r="DC239" s="284">
        <f>IF(OR(DC14="",ISERROR(DC14/DC$31)),"-",DC14/DC$31)</f>
        <v>0.46415706051873196</v>
      </c>
      <c r="DD239" s="284">
        <f>IF(OR(DD14="",ISERROR(DD14/DD$31)),"-",DD14/DD$31)</f>
        <v>0.45329014660756906</v>
      </c>
      <c r="DE239" s="284">
        <f>IF(OR(DE14="",ISERROR(DE14/DE$31)),"-",DE14/DE$31)</f>
        <v>0.44812876555697262</v>
      </c>
      <c r="DF239" s="262"/>
      <c r="DG239" s="284">
        <f>IF(OR(DG14="",ISERROR(DG14/DG$31)),"-",DG14/DG$31)</f>
        <v>0.46632911392405063</v>
      </c>
      <c r="DH239" s="284">
        <f>IF(OR(DH14="",ISERROR(DH14/DH$31)),"-",DH14/DH$31)</f>
        <v>0.45000784806152883</v>
      </c>
      <c r="DI239" s="284">
        <f>IF(OR(DI14="",ISERROR(DI14/DI$31)),"-",DI14/DI$31)</f>
        <v>0.48139158576051783</v>
      </c>
      <c r="DJ239" s="284">
        <f>IF(OR(DJ14="",ISERROR(DJ14/DJ$31)),"-",DJ14/DJ$31)</f>
        <v>0.46689738188383989</v>
      </c>
      <c r="DK239" s="284">
        <f>IF(OR(DK14="",ISERROR(DK14/DK$31)),"-",DK14/DK$31)</f>
        <v>0.46604569699864662</v>
      </c>
      <c r="DL239" s="262"/>
      <c r="DM239" s="284">
        <f>IF(OR(DM14="",ISERROR(DM14/DM$31)),"-",DM14/DM$31)</f>
        <v>0.49466357308584691</v>
      </c>
      <c r="DN239" s="284">
        <f>IF(OR(DN14="",ISERROR(DN14/DN$31)),"-",DN14/DN$31)</f>
        <v>0.52337981952420021</v>
      </c>
      <c r="DO239" s="284">
        <f>IF(OR(DO14="",ISERROR(DO14/DO$31)),"-",DO14/DO$31)</f>
        <v>0.53167722574191401</v>
      </c>
      <c r="DP239" s="284">
        <f>IF(OR(DP14="",ISERROR(DP14/DP$31)),"-",DP14/DP$31)</f>
        <v>0.49282739472466452</v>
      </c>
      <c r="DQ239" s="284">
        <f>IF(OR(DQ14="",ISERROR(DQ14/DQ$31)),"-",DQ14/DQ$31)</f>
        <v>0.51004352861307445</v>
      </c>
      <c r="DR239" s="262"/>
      <c r="DS239" s="284">
        <f>IF(OR(DS14="",ISERROR(DS14/DS$31)),"-",DS14/DS$31)</f>
        <v>0.63684313342449705</v>
      </c>
      <c r="DT239" s="284">
        <f>IF(OR(DT14="",ISERROR(DT14/DT$31)),"-",DT14/DT$31)</f>
        <v>0.58471036862175407</v>
      </c>
      <c r="DU239" s="284">
        <f>IF(OR(DU14="",ISERROR(DU14/DU$31)),"-",DU14/DU$31)</f>
        <v>0.65257352941176472</v>
      </c>
      <c r="DV239" s="284">
        <f>IF(OR(DV14="",ISERROR(DV14/DV$31)),"-",DV14/DV$31)</f>
        <v>0.6735588972431078</v>
      </c>
      <c r="DW239" s="284">
        <f>IF(OR(DW14="",ISERROR(DW14/DW$31)),"-",DW14/DW$31)</f>
        <v>0.63515509601181686</v>
      </c>
      <c r="DX239" s="262"/>
      <c r="DY239" s="284" t="str">
        <f>IF(OR(DY14="",ISERROR(DY14/DY$31)),"-",DY14/DY$31)</f>
        <v>-</v>
      </c>
      <c r="DZ239" s="284" t="str">
        <f>IF(OR(DZ14="",ISERROR(DZ14/DZ$31)),"-",DZ14/DZ$31)</f>
        <v>-</v>
      </c>
      <c r="EA239" s="284" t="str">
        <f>IF(OR(EA14="",ISERROR(EA14/EA$31)),"-",EA14/EA$31)</f>
        <v>-</v>
      </c>
      <c r="EB239" s="284" t="str">
        <f>IF(OR(EB14="",ISERROR(EB14/EB$31)),"-",EB14/EB$31)</f>
        <v>-</v>
      </c>
      <c r="EC239" s="284" t="str">
        <f>IF(OR(EC14="",ISERROR(EC14/EC$31)),"-",EC14/EC$31)</f>
        <v>-</v>
      </c>
      <c r="ED239" s="262"/>
      <c r="EE239" s="116" t="str">
        <f>IF(OR(EE14="",ISERROR(EE14/EE$31)),"-",EE14/EE$31)</f>
        <v>-</v>
      </c>
      <c r="EF239" s="116" t="str">
        <f>IF(OR(EF14="",ISERROR(EF14/EF$31)),"-",EF14/EF$31)</f>
        <v>-</v>
      </c>
      <c r="EG239" s="116" t="str">
        <f>IF(OR(EG14="",ISERROR(EG14/EG$31)),"-",EG14/EG$31)</f>
        <v>-</v>
      </c>
      <c r="EH239" s="116" t="str">
        <f>IF(OR(EH14="",ISERROR(EH14/EH$31)),"-",EH14/EH$31)</f>
        <v>-</v>
      </c>
      <c r="EI239" s="116" t="str">
        <f>IF(OR(EI14="",ISERROR(EI14/EI$31)),"-",EI14/EI$31)</f>
        <v>-</v>
      </c>
      <c r="EJ239" s="262"/>
      <c r="EK239" s="116" t="str">
        <f>IF(OR(EK14="",ISERROR(EK14/EK$31)),"-",EK14/EK$31)</f>
        <v>-</v>
      </c>
      <c r="EL239" s="116" t="str">
        <f>IF(OR(EL14="",ISERROR(EL14/EL$31)),"-",EL14/EL$31)</f>
        <v>-</v>
      </c>
      <c r="EM239" s="116" t="str">
        <f>IF(OR(EM14="",ISERROR(EM14/EM$31)),"-",EM14/EM$31)</f>
        <v>-</v>
      </c>
      <c r="EN239" s="116" t="str">
        <f>IF(OR(EN14="",ISERROR(EN14/EN$31)),"-",EN14/EN$31)</f>
        <v>-</v>
      </c>
      <c r="EO239" s="116" t="str">
        <f>IF(OR(EO14="",ISERROR(EO14/EO$31)),"-",EO14/EO$31)</f>
        <v>-</v>
      </c>
      <c r="EP239" s="262"/>
      <c r="EQ239" s="116" t="str">
        <f>IF(OR(EQ14="",ISERROR(EQ14/EQ$31)),"-",EQ14/EQ$31)</f>
        <v>-</v>
      </c>
      <c r="ER239" s="116" t="str">
        <f>IF(OR(ER14="",ISERROR(ER14/ER$31)),"-",ER14/ER$31)</f>
        <v>-</v>
      </c>
      <c r="ES239" s="116" t="str">
        <f>IF(OR(ES14="",ISERROR(ES14/ES$31)),"-",ES14/ES$31)</f>
        <v>-</v>
      </c>
      <c r="ET239" s="116" t="str">
        <f>IF(OR(ET14="",ISERROR(ET14/ET$31)),"-",ET14/ET$31)</f>
        <v>-</v>
      </c>
      <c r="EU239" s="116" t="str">
        <f>IF(OR(EU14="",ISERROR(EU14/EU$31)),"-",EU14/EU$31)</f>
        <v>-</v>
      </c>
      <c r="EV239" s="262"/>
    </row>
    <row r="240" spans="1:152">
      <c r="A240" s="90" t="s">
        <v>5637</v>
      </c>
      <c r="B240" s="101"/>
      <c r="C240" s="284">
        <f>IF(OR(C31="",ISERROR(C31/C$31)),"-",C31/C$31)</f>
        <v>1</v>
      </c>
      <c r="D240" s="284">
        <f>IF(OR(D31="",ISERROR(D31/D$31)),"-",D31/D$31)</f>
        <v>1</v>
      </c>
      <c r="E240" s="284">
        <f>IF(OR(E31="",ISERROR(E31/E$31)),"-",E31/E$31)</f>
        <v>1</v>
      </c>
      <c r="F240" s="284">
        <f>IF(OR(F31="",ISERROR(F31/F$31)),"-",F31/F$31)</f>
        <v>1</v>
      </c>
      <c r="G240" s="284">
        <f>IF(OR(G31="",ISERROR(G31/G$31)),"-",G31/G$31)</f>
        <v>1</v>
      </c>
      <c r="H240" s="24"/>
      <c r="I240" s="284">
        <f>IF(OR(I31="",ISERROR(I31/I$31)),"-",I31/I$31)</f>
        <v>1</v>
      </c>
      <c r="J240" s="284">
        <f>IF(OR(J31="",ISERROR(J31/J$31)),"-",J31/J$31)</f>
        <v>1</v>
      </c>
      <c r="K240" s="284">
        <f>IF(OR(K31="",ISERROR(K31/K$31)),"-",K31/K$31)</f>
        <v>1</v>
      </c>
      <c r="L240" s="284">
        <f>IF(OR(L31="",ISERROR(L31/L$31)),"-",L31/L$31)</f>
        <v>1</v>
      </c>
      <c r="M240" s="284">
        <f>IF(OR(M31="",ISERROR(M31/M$31)),"-",M31/M$31)</f>
        <v>1</v>
      </c>
      <c r="N240" s="24"/>
      <c r="O240" s="284">
        <f>IF(OR(O31="",ISERROR(O31/O$31)),"-",O31/O$31)</f>
        <v>1</v>
      </c>
      <c r="P240" s="284">
        <f>IF(OR(P31="",ISERROR(P31/P$31)),"-",P31/P$31)</f>
        <v>1</v>
      </c>
      <c r="Q240" s="284">
        <f>IF(OR(Q31="",ISERROR(Q31/Q$31)),"-",Q31/Q$31)</f>
        <v>1</v>
      </c>
      <c r="R240" s="284">
        <f>IF(OR(R31="",ISERROR(R31/R$31)),"-",R31/R$31)</f>
        <v>1</v>
      </c>
      <c r="S240" s="284">
        <f>IF(OR(S31="",ISERROR(S31/S$31)),"-",S31/S$31)</f>
        <v>1</v>
      </c>
      <c r="T240" s="24"/>
      <c r="U240" s="284">
        <f>IF(OR(U31="",ISERROR(U31/U$31)),"-",U31/U$31)</f>
        <v>1</v>
      </c>
      <c r="V240" s="284">
        <f>IF(OR(V31="",ISERROR(V31/V$31)),"-",V31/V$31)</f>
        <v>1</v>
      </c>
      <c r="W240" s="284">
        <f>IF(OR(W31="",ISERROR(W31/W$31)),"-",W31/W$31)</f>
        <v>1</v>
      </c>
      <c r="X240" s="284">
        <f>IF(OR(X31="",ISERROR(X31/X$31)),"-",X31/X$31)</f>
        <v>1</v>
      </c>
      <c r="Y240" s="284">
        <f>IF(OR(Y31="",ISERROR(Y31/Y$31)),"-",Y31/Y$31)</f>
        <v>1</v>
      </c>
      <c r="Z240" s="104"/>
      <c r="AA240" s="284">
        <f>IF(OR(AA31="",ISERROR(AA31/AA$31)),"-",AA31/AA$31)</f>
        <v>1</v>
      </c>
      <c r="AB240" s="284">
        <f>IF(OR(AB31="",ISERROR(AB31/AB$31)),"-",AB31/AB$31)</f>
        <v>1</v>
      </c>
      <c r="AC240" s="284">
        <f>IF(OR(AC31="",ISERROR(AC31/AC$31)),"-",AC31/AC$31)</f>
        <v>1</v>
      </c>
      <c r="AD240" s="284">
        <f>IF(OR(AD31="",ISERROR(AD31/AD$31)),"-",AD31/AD$31)</f>
        <v>1</v>
      </c>
      <c r="AE240" s="284">
        <f>IF(OR(AE31="",ISERROR(AE31/AE$31)),"-",AE31/AE$31)</f>
        <v>1</v>
      </c>
      <c r="AF240" s="24"/>
      <c r="AG240" s="284">
        <f>IF(OR(AG31="",ISERROR(AG31/AG$31)),"-",AG31/AG$31)</f>
        <v>1</v>
      </c>
      <c r="AH240" s="284">
        <f>IF(OR(AH31="",ISERROR(AH31/AH$31)),"-",AH31/AH$31)</f>
        <v>1</v>
      </c>
      <c r="AI240" s="284">
        <f>IF(OR(AI31="",ISERROR(AI31/AI$31)),"-",AI31/AI$31)</f>
        <v>1</v>
      </c>
      <c r="AJ240" s="284">
        <f>IF(OR(AJ31="",ISERROR(AJ31/AJ$31)),"-",AJ31/AJ$31)</f>
        <v>1</v>
      </c>
      <c r="AK240" s="284">
        <f>IF(OR(AK31="",ISERROR(AK31/AK$31)),"-",AK31/AK$31)</f>
        <v>1</v>
      </c>
      <c r="AL240" s="24"/>
      <c r="AM240" s="284">
        <f>IF(OR(AM31="",ISERROR(AM31/AM$31)),"-",AM31/AM$31)</f>
        <v>1</v>
      </c>
      <c r="AN240" s="284">
        <f>IF(OR(AN31="",ISERROR(AN31/AN$31)),"-",AN31/AN$31)</f>
        <v>1</v>
      </c>
      <c r="AO240" s="284">
        <f>IF(OR(AO31="",ISERROR(AO31/AO$31)),"-",AO31/AO$31)</f>
        <v>1</v>
      </c>
      <c r="AP240" s="284">
        <f>IF(OR(AP31="",ISERROR(AP31/AP$31)),"-",AP31/AP$31)</f>
        <v>1</v>
      </c>
      <c r="AQ240" s="284">
        <f>IF(OR(AQ31="",ISERROR(AQ31/AQ$31)),"-",AQ31/AQ$31)</f>
        <v>1</v>
      </c>
      <c r="AR240" s="159"/>
      <c r="AS240" s="284">
        <f>IF(OR(AS31="",ISERROR(AS31/AS$31)),"-",AS31/AS$31)</f>
        <v>1</v>
      </c>
      <c r="AT240" s="284">
        <f>IF(OR(AT31="",ISERROR(AT31/AT$31)),"-",AT31/AT$31)</f>
        <v>1</v>
      </c>
      <c r="AU240" s="284">
        <f>IF(OR(AU31="",ISERROR(AU31/AU$31)),"-",AU31/AU$31)</f>
        <v>1</v>
      </c>
      <c r="AV240" s="284">
        <f>IF(OR(AV31="",ISERROR(AV31/AV$31)),"-",AV31/AV$31)</f>
        <v>1</v>
      </c>
      <c r="AW240" s="284">
        <f>IF(OR(AW31="",ISERROR(AW31/AW$31)),"-",AW31/AW$31)</f>
        <v>1</v>
      </c>
      <c r="AX240" s="159"/>
      <c r="AY240" s="284">
        <f>IF(OR(AY31="",ISERROR(AY31/AY$31)),"-",AY31/AY$31)</f>
        <v>1</v>
      </c>
      <c r="AZ240" s="284">
        <f>IF(OR(AZ31="",ISERROR(AZ31/AZ$31)),"-",AZ31/AZ$31)</f>
        <v>1</v>
      </c>
      <c r="BA240" s="284">
        <f>IF(OR(BA31="",ISERROR(BA31/BA$31)),"-",BA31/BA$31)</f>
        <v>1</v>
      </c>
      <c r="BB240" s="284">
        <f>IF(OR(BB31="",ISERROR(BB31/BB$31)),"-",BB31/BB$31)</f>
        <v>1</v>
      </c>
      <c r="BC240" s="284">
        <f>IF(OR(BC31="",ISERROR(BC31/BC$31)),"-",BC31/BC$31)</f>
        <v>1</v>
      </c>
      <c r="BD240" s="159"/>
      <c r="BE240" s="284">
        <f>IF(OR(BE31="",ISERROR(BE31/BE$31)),"-",BE31/BE$31)</f>
        <v>1</v>
      </c>
      <c r="BF240" s="284">
        <f>IF(OR(BF31="",ISERROR(BF31/BF$31)),"-",BF31/BF$31)</f>
        <v>1</v>
      </c>
      <c r="BG240" s="284">
        <f>IF(OR(BG31="",ISERROR(BG31/BG$31)),"-",BG31/BG$31)</f>
        <v>1</v>
      </c>
      <c r="BH240" s="284">
        <f>IF(OR(BH31="",ISERROR(BH31/BH$31)),"-",BH31/BH$31)</f>
        <v>1</v>
      </c>
      <c r="BI240" s="284">
        <f>IF(OR(BI31="",ISERROR(BI31/BI$31)),"-",BI31/BI$31)</f>
        <v>1</v>
      </c>
      <c r="BJ240" s="24"/>
      <c r="BK240" s="284">
        <f>IF(OR(BK31="",ISERROR(BK31/BK$31)),"-",BK31/BK$31)</f>
        <v>1</v>
      </c>
      <c r="BL240" s="284">
        <f>IF(OR(BL31="",ISERROR(BL31/BL$31)),"-",BL31/BL$31)</f>
        <v>1</v>
      </c>
      <c r="BM240" s="284">
        <f>IF(OR(BM31="",ISERROR(BM31/BM$31)),"-",BM31/BM$31)</f>
        <v>1</v>
      </c>
      <c r="BN240" s="284">
        <f>IF(OR(BN31="",ISERROR(BN31/BN$31)),"-",BN31/BN$31)</f>
        <v>1</v>
      </c>
      <c r="BO240" s="284">
        <f>IF(OR(BO31="",ISERROR(BO31/BO$31)),"-",BO31/BO$31)</f>
        <v>1</v>
      </c>
      <c r="BP240" s="24"/>
      <c r="BQ240" s="284">
        <f>IF(OR(BQ31="",ISERROR(BQ31/BQ$31)),"-",BQ31/BQ$31)</f>
        <v>1</v>
      </c>
      <c r="BR240" s="284">
        <f>IF(OR(BR31="",ISERROR(BR31/BR$31)),"-",BR31/BR$31)</f>
        <v>1</v>
      </c>
      <c r="BS240" s="284">
        <f>IF(OR(BS31="",ISERROR(BS31/BS$31)),"-",BS31/BS$31)</f>
        <v>1</v>
      </c>
      <c r="BT240" s="284">
        <f>IF(OR(BT31="",ISERROR(BT31/BT$31)),"-",BT31/BT$31)</f>
        <v>1</v>
      </c>
      <c r="BU240" s="284">
        <f>IF(OR(BU31="",ISERROR(BU31/BU$31)),"-",BU31/BU$31)</f>
        <v>1</v>
      </c>
      <c r="BV240" s="24"/>
      <c r="BW240" s="284">
        <f>IF(OR(BW31="",ISERROR(BW31/BW$31)),"-",BW31/BW$31)</f>
        <v>1</v>
      </c>
      <c r="BX240" s="284">
        <f>IF(OR(BX31="",ISERROR(BX31/BX$31)),"-",BX31/BX$31)</f>
        <v>1</v>
      </c>
      <c r="BY240" s="284">
        <f>IF(OR(BY31="",ISERROR(BY31/BY$31)),"-",BY31/BY$31)</f>
        <v>1</v>
      </c>
      <c r="BZ240" s="284">
        <f>IF(OR(BZ31="",ISERROR(BZ31/BZ$31)),"-",BZ31/BZ$31)</f>
        <v>1</v>
      </c>
      <c r="CA240" s="284">
        <f>IF(OR(CA31="",ISERROR(CA31/CA$31)),"-",CA31/CA$31)</f>
        <v>1</v>
      </c>
      <c r="CB240" s="24"/>
      <c r="CC240" s="284">
        <f>IF(OR(CC31="",ISERROR(CC31/CC$31)),"-",CC31/CC$31)</f>
        <v>1</v>
      </c>
      <c r="CD240" s="284">
        <f>IF(OR(CD31="",ISERROR(CD31/CD$31)),"-",CD31/CD$31)</f>
        <v>1</v>
      </c>
      <c r="CE240" s="284">
        <f>IF(OR(CE31="",ISERROR(CE31/CE$31)),"-",CE31/CE$31)</f>
        <v>1</v>
      </c>
      <c r="CF240" s="284">
        <f>IF(OR(CF31="",ISERROR(CF31/CF$31)),"-",CF31/CF$31)</f>
        <v>1</v>
      </c>
      <c r="CG240" s="284">
        <f>IF(OR(CG31="",ISERROR(CG31/CG$31)),"-",CG31/CG$31)</f>
        <v>1</v>
      </c>
      <c r="CH240" s="24"/>
      <c r="CI240" s="284">
        <f>IF(OR(CI31="",ISERROR(CI31/CI$31)),"-",CI31/CI$31)</f>
        <v>1</v>
      </c>
      <c r="CJ240" s="284">
        <f>IF(OR(CJ31="",ISERROR(CJ31/CJ$31)),"-",CJ31/CJ$31)</f>
        <v>1</v>
      </c>
      <c r="CK240" s="284">
        <f>IF(OR(CK31="",ISERROR(CK31/CK$31)),"-",CK31/CK$31)</f>
        <v>1</v>
      </c>
      <c r="CL240" s="284">
        <f>IF(OR(CL31="",ISERROR(CL31/CL$31)),"-",CL31/CL$31)</f>
        <v>1</v>
      </c>
      <c r="CM240" s="284">
        <f>IF(OR(CM31="",ISERROR(CM31/CM$31)),"-",CM31/CM$31)</f>
        <v>1</v>
      </c>
      <c r="CN240" s="24"/>
      <c r="CO240" s="284">
        <f>IF(OR(CO31="",ISERROR(CO31/CO$31)),"-",CO31/CO$31)</f>
        <v>1</v>
      </c>
      <c r="CP240" s="284">
        <f>IF(OR(CP31="",ISERROR(CP31/CP$31)),"-",CP31/CP$31)</f>
        <v>1</v>
      </c>
      <c r="CQ240" s="284">
        <f>IF(OR(CQ31="",ISERROR(CQ31/CQ$31)),"-",CQ31/CQ$31)</f>
        <v>1</v>
      </c>
      <c r="CR240" s="284">
        <f>IF(OR(CR31="",ISERROR(CR31/CR$31)),"-",CR31/CR$31)</f>
        <v>1</v>
      </c>
      <c r="CS240" s="284">
        <f>IF(OR(CS31="",ISERROR(CS31/CS$31)),"-",CS31/CS$31)</f>
        <v>1</v>
      </c>
      <c r="CT240" s="24"/>
      <c r="CU240" s="284">
        <f>IF(OR(CU31="",ISERROR(CU31/CU$31)),"-",CU31/CU$31)</f>
        <v>1</v>
      </c>
      <c r="CV240" s="284">
        <f>IF(OR(CV31="",ISERROR(CV31/CV$31)),"-",CV31/CV$31)</f>
        <v>1</v>
      </c>
      <c r="CW240" s="284">
        <f>IF(OR(CW31="",ISERROR(CW31/CW$31)),"-",CW31/CW$31)</f>
        <v>1</v>
      </c>
      <c r="CX240" s="284">
        <f>IF(OR(CX31="",ISERROR(CX31/CX$31)),"-",CX31/CX$31)</f>
        <v>1</v>
      </c>
      <c r="CY240" s="284">
        <f>IF(OR(CY31="",ISERROR(CY31/CY$31)),"-",CY31/CY$31)</f>
        <v>1</v>
      </c>
      <c r="CZ240" s="24"/>
      <c r="DA240" s="284">
        <f>IF(OR(DA31="",ISERROR(DA31/DA$31)),"-",DA31/DA$31)</f>
        <v>1</v>
      </c>
      <c r="DB240" s="284">
        <f>IF(OR(DB31="",ISERROR(DB31/DB$31)),"-",DB31/DB$31)</f>
        <v>1</v>
      </c>
      <c r="DC240" s="284">
        <f>IF(OR(DC31="",ISERROR(DC31/DC$31)),"-",DC31/DC$31)</f>
        <v>1</v>
      </c>
      <c r="DD240" s="284">
        <f>IF(OR(DD31="",ISERROR(DD31/DD$31)),"-",DD31/DD$31)</f>
        <v>1</v>
      </c>
      <c r="DE240" s="284">
        <f>IF(OR(DE31="",ISERROR(DE31/DE$31)),"-",DE31/DE$31)</f>
        <v>1</v>
      </c>
      <c r="DF240" s="24"/>
      <c r="DG240" s="284">
        <f>IF(OR(DG31="",ISERROR(DG31/DG$31)),"-",DG31/DG$31)</f>
        <v>1</v>
      </c>
      <c r="DH240" s="284">
        <f>IF(OR(DH31="",ISERROR(DH31/DH$31)),"-",DH31/DH$31)</f>
        <v>1</v>
      </c>
      <c r="DI240" s="284">
        <f>IF(OR(DI31="",ISERROR(DI31/DI$31)),"-",DI31/DI$31)</f>
        <v>1</v>
      </c>
      <c r="DJ240" s="284">
        <f>IF(OR(DJ31="",ISERROR(DJ31/DJ$31)),"-",DJ31/DJ$31)</f>
        <v>1</v>
      </c>
      <c r="DK240" s="284">
        <f>IF(OR(DK31="",ISERROR(DK31/DK$31)),"-",DK31/DK$31)</f>
        <v>1</v>
      </c>
      <c r="DL240" s="24"/>
      <c r="DM240" s="284">
        <f>IF(OR(DM31="",ISERROR(DM31/DM$31)),"-",DM31/DM$31)</f>
        <v>1</v>
      </c>
      <c r="DN240" s="284">
        <f>IF(OR(DN31="",ISERROR(DN31/DN$31)),"-",DN31/DN$31)</f>
        <v>1</v>
      </c>
      <c r="DO240" s="284">
        <f>IF(OR(DO31="",ISERROR(DO31/DO$31)),"-",DO31/DO$31)</f>
        <v>1</v>
      </c>
      <c r="DP240" s="284">
        <f>IF(OR(DP31="",ISERROR(DP31/DP$31)),"-",DP31/DP$31)</f>
        <v>1</v>
      </c>
      <c r="DQ240" s="284">
        <f>IF(OR(DQ31="",ISERROR(DQ31/DQ$31)),"-",DQ31/DQ$31)</f>
        <v>1</v>
      </c>
      <c r="DR240" s="24"/>
      <c r="DS240" s="284">
        <f>IF(OR(DS31="",ISERROR(DS31/DS$31)),"-",DS31/DS$31)</f>
        <v>1</v>
      </c>
      <c r="DT240" s="284">
        <f>IF(OR(DT31="",ISERROR(DT31/DT$31)),"-",DT31/DT$31)</f>
        <v>1</v>
      </c>
      <c r="DU240" s="284">
        <f>IF(OR(DU31="",ISERROR(DU31/DU$31)),"-",DU31/DU$31)</f>
        <v>1</v>
      </c>
      <c r="DV240" s="284">
        <f>IF(OR(DV31="",ISERROR(DV31/DV$31)),"-",DV31/DV$31)</f>
        <v>1</v>
      </c>
      <c r="DW240" s="284">
        <f>IF(OR(DW31="",ISERROR(DW31/DW$31)),"-",DW31/DW$31)</f>
        <v>1</v>
      </c>
      <c r="DX240" s="24"/>
      <c r="DY240" s="284">
        <f>IF(OR(DY31="",ISERROR(DY31/DY$31)),"-",DY31/DY$31)</f>
        <v>1</v>
      </c>
      <c r="DZ240" s="284">
        <f>IF(OR(DZ31="",ISERROR(DZ31/DZ$31)),"-",DZ31/DZ$31)</f>
        <v>1</v>
      </c>
      <c r="EA240" s="284">
        <f>IF(OR(EA31="",ISERROR(EA31/EA$31)),"-",EA31/EA$31)</f>
        <v>1</v>
      </c>
      <c r="EB240" s="284">
        <f>IF(OR(EB31="",ISERROR(EB31/EB$31)),"-",EB31/EB$31)</f>
        <v>1</v>
      </c>
      <c r="EC240" s="284">
        <f>IF(OR(EC31="",ISERROR(EC31/EC$31)),"-",EC31/EC$31)</f>
        <v>1</v>
      </c>
      <c r="ED240" s="24"/>
      <c r="EE240" s="116">
        <f>IF(OR(EE31="",ISERROR(EE31/EE$31)),"-",EE31/EE$31)</f>
        <v>1</v>
      </c>
      <c r="EF240" s="116">
        <f>IF(OR(EF31="",ISERROR(EF31/EF$31)),"-",EF31/EF$31)</f>
        <v>1</v>
      </c>
      <c r="EG240" s="116">
        <f>IF(OR(EG31="",ISERROR(EG31/EG$31)),"-",EG31/EG$31)</f>
        <v>1</v>
      </c>
      <c r="EH240" s="116">
        <f>IF(OR(EH31="",ISERROR(EH31/EH$31)),"-",EH31/EH$31)</f>
        <v>1</v>
      </c>
      <c r="EI240" s="116">
        <f>IF(OR(EI31="",ISERROR(EI31/EI$31)),"-",EI31/EI$31)</f>
        <v>1</v>
      </c>
      <c r="EJ240" s="24"/>
      <c r="EK240" s="116">
        <f>IF(OR(EK31="",ISERROR(EK31/EK$31)),"-",EK31/EK$31)</f>
        <v>1</v>
      </c>
      <c r="EL240" s="116">
        <f>IF(OR(EL31="",ISERROR(EL31/EL$31)),"-",EL31/EL$31)</f>
        <v>1</v>
      </c>
      <c r="EM240" s="116">
        <f>IF(OR(EM31="",ISERROR(EM31/EM$31)),"-",EM31/EM$31)</f>
        <v>1</v>
      </c>
      <c r="EN240" s="116">
        <f>IF(OR(EN31="",ISERROR(EN31/EN$31)),"-",EN31/EN$31)</f>
        <v>1</v>
      </c>
      <c r="EO240" s="116">
        <f>IF(OR(EO31="",ISERROR(EO31/EO$31)),"-",EO31/EO$31)</f>
        <v>1</v>
      </c>
      <c r="EP240" s="24"/>
      <c r="EQ240" s="116">
        <f>IF(OR(EQ31="",ISERROR(EQ31/EQ$31)),"-",EQ31/EQ$31)</f>
        <v>1</v>
      </c>
      <c r="ER240" s="116">
        <f>IF(OR(ER31="",ISERROR(ER31/ER$31)),"-",ER31/ER$31)</f>
        <v>1</v>
      </c>
      <c r="ES240" s="116">
        <f>IF(OR(ES31="",ISERROR(ES31/ES$31)),"-",ES31/ES$31)</f>
        <v>1</v>
      </c>
      <c r="ET240" s="116">
        <f>IF(OR(ET31="",ISERROR(ET31/ET$31)),"-",ET31/ET$31)</f>
        <v>1</v>
      </c>
      <c r="EU240" s="116">
        <f>IF(OR(EU31="",ISERROR(EU31/EU$31)),"-",EU31/EU$31)</f>
        <v>1</v>
      </c>
      <c r="EV240" s="24"/>
    </row>
    <row r="241" spans="1:152">
      <c r="A241" s="22"/>
      <c r="B241" s="526"/>
      <c r="C241" s="284"/>
      <c r="D241" s="164"/>
      <c r="E241" s="164"/>
      <c r="F241" s="164"/>
      <c r="G241" s="164"/>
      <c r="H241" s="90"/>
      <c r="I241" s="284"/>
      <c r="J241" s="164"/>
      <c r="K241" s="164"/>
      <c r="L241" s="164"/>
      <c r="M241" s="164"/>
      <c r="N241" s="90"/>
      <c r="O241" s="284"/>
      <c r="P241" s="164"/>
      <c r="Q241" s="164"/>
      <c r="R241" s="164"/>
      <c r="S241" s="164"/>
      <c r="T241" s="90"/>
      <c r="U241" s="284"/>
      <c r="V241" s="164"/>
      <c r="W241" s="164"/>
      <c r="X241" s="164"/>
      <c r="Y241" s="164"/>
      <c r="Z241" s="164"/>
      <c r="AA241" s="284"/>
      <c r="AB241" s="164"/>
      <c r="AC241" s="164"/>
      <c r="AD241" s="164"/>
      <c r="AE241" s="164"/>
      <c r="AF241" s="90"/>
      <c r="AG241" s="284"/>
      <c r="AH241" s="164"/>
      <c r="AI241" s="164"/>
      <c r="AJ241" s="164"/>
      <c r="AK241" s="164"/>
      <c r="AL241" s="90"/>
      <c r="AM241" s="284"/>
      <c r="AN241" s="164"/>
      <c r="AO241" s="164"/>
      <c r="AP241" s="164"/>
      <c r="AQ241" s="164"/>
      <c r="AR241" s="90"/>
      <c r="AS241" s="284"/>
      <c r="AT241" s="164"/>
      <c r="AU241" s="164"/>
      <c r="AV241" s="164"/>
      <c r="AW241" s="164"/>
      <c r="AX241" s="90"/>
      <c r="AY241" s="284"/>
      <c r="AZ241" s="164"/>
      <c r="BA241" s="164"/>
      <c r="BB241" s="164"/>
      <c r="BC241" s="164"/>
      <c r="BD241" s="90"/>
      <c r="BE241" s="284"/>
      <c r="BF241" s="164"/>
      <c r="BG241" s="164"/>
      <c r="BH241" s="164"/>
      <c r="BI241" s="164"/>
      <c r="BJ241" s="90"/>
      <c r="BK241" s="284"/>
      <c r="BL241" s="164"/>
      <c r="BM241" s="164"/>
      <c r="BN241" s="164"/>
      <c r="BO241" s="164"/>
      <c r="BP241" s="90"/>
      <c r="BQ241" s="284"/>
      <c r="BR241" s="164"/>
      <c r="BS241" s="164"/>
      <c r="BT241" s="164"/>
      <c r="BU241" s="164"/>
      <c r="BV241" s="90"/>
      <c r="BW241" s="284"/>
      <c r="BX241" s="164"/>
      <c r="BY241" s="164"/>
      <c r="BZ241" s="164"/>
      <c r="CA241" s="164"/>
      <c r="CB241" s="90"/>
      <c r="CC241" s="284"/>
      <c r="CD241" s="164"/>
      <c r="CE241" s="164"/>
      <c r="CF241" s="164"/>
      <c r="CG241" s="164"/>
      <c r="CH241" s="90"/>
      <c r="CI241" s="284"/>
      <c r="CJ241" s="164"/>
      <c r="CK241" s="164"/>
      <c r="CL241" s="164"/>
      <c r="CM241" s="164"/>
      <c r="CN241" s="90"/>
      <c r="CO241" s="284"/>
      <c r="CP241" s="164"/>
      <c r="CQ241" s="164"/>
      <c r="CR241" s="164"/>
      <c r="CS241" s="164"/>
      <c r="CT241" s="90"/>
      <c r="CU241" s="284"/>
      <c r="CV241" s="164"/>
      <c r="CW241" s="164"/>
      <c r="CX241" s="164"/>
      <c r="CY241" s="164"/>
      <c r="CZ241" s="90"/>
      <c r="DA241" s="284"/>
      <c r="DB241" s="164"/>
      <c r="DC241" s="164"/>
      <c r="DD241" s="164"/>
      <c r="DE241" s="164"/>
      <c r="DF241" s="90"/>
      <c r="DG241" s="284"/>
      <c r="DH241" s="164"/>
      <c r="DI241" s="164"/>
      <c r="DJ241" s="164"/>
      <c r="DK241" s="164"/>
      <c r="DL241" s="90"/>
      <c r="DM241" s="284"/>
      <c r="DN241" s="164"/>
      <c r="DO241" s="164"/>
      <c r="DP241" s="164"/>
      <c r="DQ241" s="164"/>
      <c r="DR241" s="90"/>
      <c r="DS241" s="284"/>
      <c r="DT241" s="164"/>
      <c r="DU241" s="164"/>
      <c r="DV241" s="164"/>
      <c r="DW241" s="164"/>
      <c r="DX241" s="90"/>
      <c r="DY241" s="284"/>
      <c r="DZ241" s="164"/>
      <c r="EA241" s="164"/>
      <c r="EB241" s="164"/>
      <c r="EC241" s="164"/>
      <c r="ED241" s="90"/>
      <c r="EE241" s="116"/>
      <c r="EF241" s="164"/>
      <c r="EG241" s="164"/>
      <c r="EH241" s="164"/>
      <c r="EI241" s="164"/>
      <c r="EJ241" s="90"/>
      <c r="EK241" s="116"/>
      <c r="EL241" s="164"/>
      <c r="EM241" s="164"/>
      <c r="EN241" s="164"/>
      <c r="EO241" s="164"/>
      <c r="EP241" s="90"/>
      <c r="EQ241" s="116"/>
      <c r="ER241" s="164"/>
      <c r="ES241" s="164"/>
      <c r="ET241" s="164"/>
      <c r="EU241" s="164"/>
      <c r="EV241" s="90"/>
    </row>
    <row r="242" spans="1:152">
      <c r="A242" s="90" t="s">
        <v>6041</v>
      </c>
      <c r="B242" s="526"/>
      <c r="C242" s="284" t="str">
        <f>IF(OR(C36="",ISERROR(C36/C$31)),"-",C36/C$31)</f>
        <v>-</v>
      </c>
      <c r="D242" s="284" t="str">
        <f>IF(OR(D36="",ISERROR(D36/D$31)),"-",D36/D$31)</f>
        <v>-</v>
      </c>
      <c r="E242" s="284" t="str">
        <f>IF(OR(E36="",ISERROR(E36/E$31)),"-",E36/E$31)</f>
        <v>-</v>
      </c>
      <c r="F242" s="284" t="str">
        <f>IF(OR(F36="",ISERROR(F36/F$31)),"-",F36/F$31)</f>
        <v>-</v>
      </c>
      <c r="G242" s="284" t="str">
        <f>IF(OR(G36="",ISERROR(G36/G$31)),"-",G36/G$31)</f>
        <v>-</v>
      </c>
      <c r="H242" s="90"/>
      <c r="I242" s="284" t="str">
        <f>IF(OR(I36="",ISERROR(I36/I$31)),"-",I36/I$31)</f>
        <v>-</v>
      </c>
      <c r="J242" s="284" t="str">
        <f>IF(OR(J36="",ISERROR(J36/J$31)),"-",J36/J$31)</f>
        <v>-</v>
      </c>
      <c r="K242" s="284" t="str">
        <f>IF(OR(K36="",ISERROR(K36/K$31)),"-",K36/K$31)</f>
        <v>-</v>
      </c>
      <c r="L242" s="284" t="str">
        <f>IF(OR(L36="",ISERROR(L36/L$31)),"-",L36/L$31)</f>
        <v>-</v>
      </c>
      <c r="M242" s="284" t="str">
        <f>IF(OR(M36="",ISERROR(M36/M$31)),"-",M36/M$31)</f>
        <v>-</v>
      </c>
      <c r="N242" s="90"/>
      <c r="O242" s="284" t="str">
        <f>IF(OR(O36="",ISERROR(O36/O$31)),"-",O36/O$31)</f>
        <v>-</v>
      </c>
      <c r="P242" s="284" t="str">
        <f>IF(OR(P36="",ISERROR(P36/P$31)),"-",P36/P$31)</f>
        <v>-</v>
      </c>
      <c r="Q242" s="284" t="str">
        <f>IF(OR(Q36="",ISERROR(Q36/Q$31)),"-",Q36/Q$31)</f>
        <v>-</v>
      </c>
      <c r="R242" s="284" t="str">
        <f>IF(OR(R36="",ISERROR(R36/R$31)),"-",R36/R$31)</f>
        <v>-</v>
      </c>
      <c r="S242" s="284" t="str">
        <f>IF(OR(S36="",ISERROR(S36/S$31)),"-",S36/S$31)</f>
        <v>-</v>
      </c>
      <c r="T242" s="90"/>
      <c r="U242" s="284" t="str">
        <f>IF(OR(U36="",ISERROR(U36/U$31)),"-",U36/U$31)</f>
        <v>-</v>
      </c>
      <c r="V242" s="284" t="str">
        <f>IF(OR(V36="",ISERROR(V36/V$31)),"-",V36/V$31)</f>
        <v>-</v>
      </c>
      <c r="W242" s="284" t="str">
        <f>IF(OR(W36="",ISERROR(W36/W$31)),"-",W36/W$31)</f>
        <v>-</v>
      </c>
      <c r="X242" s="284" t="str">
        <f>IF(OR(X36="",ISERROR(X36/X$31)),"-",X36/X$31)</f>
        <v>-</v>
      </c>
      <c r="Y242" s="284" t="str">
        <f>IF(OR(Y36="",ISERROR(Y36/Y$31)),"-",Y36/Y$31)</f>
        <v>-</v>
      </c>
      <c r="Z242" s="104"/>
      <c r="AA242" s="284" t="str">
        <f>IF(OR(AA36="",ISERROR(AA36/AA$31)),"-",AA36/AA$31)</f>
        <v>-</v>
      </c>
      <c r="AB242" s="284" t="str">
        <f>IF(OR(AB36="",ISERROR(AB36/AB$31)),"-",AB36/AB$31)</f>
        <v>-</v>
      </c>
      <c r="AC242" s="284" t="str">
        <f>IF(OR(AC36="",ISERROR(AC36/AC$31)),"-",AC36/AC$31)</f>
        <v>-</v>
      </c>
      <c r="AD242" s="284" t="str">
        <f>IF(OR(AD36="",ISERROR(AD36/AD$31)),"-",AD36/AD$31)</f>
        <v>-</v>
      </c>
      <c r="AE242" s="284" t="str">
        <f>IF(OR(AE36="",ISERROR(AE36/AE$31)),"-",AE36/AE$31)</f>
        <v>-</v>
      </c>
      <c r="AF242" s="90"/>
      <c r="AG242" s="284">
        <f>IF(OR(AG36="",ISERROR(AG36/AG$31)),"-",AG36/AG$31)</f>
        <v>0.15011801090583546</v>
      </c>
      <c r="AH242" s="284">
        <f>IF(OR(AH36="",ISERROR(AH36/AH$31)),"-",AH36/AH$31)</f>
        <v>0.15222596818810513</v>
      </c>
      <c r="AI242" s="284">
        <f>IF(OR(AI36="",ISERROR(AI36/AI$31)),"-",AI36/AI$31)</f>
        <v>0.16803708685182361</v>
      </c>
      <c r="AJ242" s="284">
        <f>IF(OR(AJ36="",ISERROR(AJ36/AJ$31)),"-",AJ36/AJ$31)</f>
        <v>0.16080131006085796</v>
      </c>
      <c r="AK242" s="284">
        <f>IF(OR(AK36="",ISERROR(AK36/AK$31)),"-",AK36/AK$31)</f>
        <v>0.15758883197835125</v>
      </c>
      <c r="AL242" s="90"/>
      <c r="AM242" s="284">
        <f>IF(OR(AM36="",ISERROR(AM36/AM$31)),"-",AM36/AM$31)</f>
        <v>0.1737475308184383</v>
      </c>
      <c r="AN242" s="284">
        <f>IF(OR(AN36="",ISERROR(AN36/AN$31)),"-",AN36/AN$31)</f>
        <v>0.15712792276290083</v>
      </c>
      <c r="AO242" s="284">
        <f>IF(OR(AO36="",ISERROR(AO36/AO$31)),"-",AO36/AO$31)</f>
        <v>0.16328477326564247</v>
      </c>
      <c r="AP242" s="284">
        <f>IF(OR(AP36="",ISERROR(AP36/AP$31)),"-",AP36/AP$31)</f>
        <v>0.16271302604390431</v>
      </c>
      <c r="AQ242" s="284">
        <f>IF(OR(AQ36="",ISERROR(AQ36/AQ$31)),"-",AQ36/AQ$31)</f>
        <v>0.16448005624617398</v>
      </c>
      <c r="AR242" s="159"/>
      <c r="AS242" s="284">
        <f>IF(OR(AS36="",ISERROR(AS36/AS$31)),"-",AS36/AS$31)</f>
        <v>0.16628393573916095</v>
      </c>
      <c r="AT242" s="284">
        <f>IF(OR(AT36="",ISERROR(AT36/AT$31)),"-",AT36/AT$31)</f>
        <v>0.15330294513592027</v>
      </c>
      <c r="AU242" s="284">
        <f>IF(OR(AU36="",ISERROR(AU36/AU$31)),"-",AU36/AU$31)</f>
        <v>0.1397832910006756</v>
      </c>
      <c r="AV242" s="284">
        <f>IF(OR(AV36="",ISERROR(AV36/AV$31)),"-",AV36/AV$31)</f>
        <v>0.11017236124750258</v>
      </c>
      <c r="AW242" s="284">
        <f>IF(OR(AW36="",ISERROR(AW36/AW$31)),"-",AW36/AW$31)</f>
        <v>0.1394714194293448</v>
      </c>
      <c r="AX242" s="159"/>
      <c r="AY242" s="284">
        <f>IF(OR(AY36="",ISERROR(AY36/AY$31)),"-",AY36/AY$31)</f>
        <v>0.12571046472751587</v>
      </c>
      <c r="AZ242" s="284">
        <f>IF(OR(AZ36="",ISERROR(AZ36/AZ$31)),"-",AZ36/AZ$31)</f>
        <v>0.12856125356125356</v>
      </c>
      <c r="BA242" s="284">
        <f>IF(OR(BA36="",ISERROR(BA36/BA$31)),"-",BA36/BA$31)</f>
        <v>0.1300597213005972</v>
      </c>
      <c r="BB242" s="284">
        <f>IF(OR(BB36="",ISERROR(BB36/BB$31)),"-",BB36/BB$31)</f>
        <v>0.11073825503355707</v>
      </c>
      <c r="BC242" s="284">
        <f>IF(OR(BC36="",ISERROR(BC36/BC$31)),"-",BC36/BC$31)</f>
        <v>0.12309306642989748</v>
      </c>
      <c r="BD242" s="159"/>
      <c r="BE242" s="284">
        <f>IF(OR(BE36="",ISERROR(BE36/BE$31)),"-",BE36/BE$31)</f>
        <v>0.10776942355889726</v>
      </c>
      <c r="BF242" s="284">
        <f>IF(OR(BF36="",ISERROR(BF36/BF$31)),"-",BF36/BF$31)</f>
        <v>0.10562632696390659</v>
      </c>
      <c r="BG242" s="284">
        <f>IF(OR(BG36="",ISERROR(BG36/BG$31)),"-",BG36/BG$31)</f>
        <v>0.10694626474442988</v>
      </c>
      <c r="BH242" s="284">
        <f>IF(OR(BH36="",ISERROR(BH36/BH$31)),"-",BH36/BH$31)</f>
        <v>9.0995712243925678E-2</v>
      </c>
      <c r="BI242" s="284">
        <f>IF(OR(BI36="",ISERROR(BI36/BI$31)),"-",BI36/BI$31)</f>
        <v>0.10245901639344264</v>
      </c>
      <c r="BJ242" s="90"/>
      <c r="BK242" s="284">
        <f>IF(OR(BK36="",ISERROR(BK36/BK$31)),"-",BK36/BK$31)</f>
        <v>0.10344036697247706</v>
      </c>
      <c r="BL242" s="284">
        <f>IF(OR(BL36="",ISERROR(BL36/BL$31)),"-",BL36/BL$31)</f>
        <v>0.11254448398576512</v>
      </c>
      <c r="BM242" s="284">
        <f>IF(OR(BM36="",ISERROR(BM36/BM$31)),"-",BM36/BM$31)</f>
        <v>0.11142732049036777</v>
      </c>
      <c r="BN242" s="284">
        <f>IF(OR(BN36="",ISERROR(BN36/BN$31)),"-",BN36/BN$31)</f>
        <v>9.8311218335343786E-2</v>
      </c>
      <c r="BO242" s="284">
        <f>IF(OR(BO36="",ISERROR(BO36/BO$31)),"-",BO36/BO$31)</f>
        <v>0.10626155016849656</v>
      </c>
      <c r="BP242" s="90"/>
      <c r="BQ242" s="284">
        <f>IF(OR(BQ36="",ISERROR(BQ36/BQ$31)),"-",BQ36/BQ$31)</f>
        <v>9.1820684231222957E-2</v>
      </c>
      <c r="BR242" s="284">
        <f>IF(OR(BR36="",ISERROR(BR36/BR$31)),"-",BR36/BR$31)</f>
        <v>8.8229701464156665E-2</v>
      </c>
      <c r="BS242" s="284">
        <f>IF(OR(BS36="",ISERROR(BS36/BS$31)),"-",BS36/BS$31)</f>
        <v>8.265230312035661E-2</v>
      </c>
      <c r="BT242" s="284">
        <f>IF(OR(BT36="",ISERROR(BT36/BT$31)),"-",BT36/BT$31)</f>
        <v>7.3276581538975122E-2</v>
      </c>
      <c r="BU242" s="284">
        <f>IF(OR(BU36="",ISERROR(BU36/BU$31)),"-",BU36/BU$31)</f>
        <v>8.3563535911602205E-2</v>
      </c>
      <c r="BV242" s="90"/>
      <c r="BW242" s="284">
        <f>IF(OR(BW36="",ISERROR(BW36/BW$31)),"-",BW36/BW$31)</f>
        <v>8.5504342017368062E-2</v>
      </c>
      <c r="BX242" s="284">
        <f>IF(OR(BX36="",ISERROR(BX36/BX$31)),"-",BX36/BX$31)</f>
        <v>8.2324455205811137E-2</v>
      </c>
      <c r="BY242" s="284">
        <f>IF(OR(BY36="",ISERROR(BY36/BY$31)),"-",BY36/BY$31)</f>
        <v>7.0663811563169157E-2</v>
      </c>
      <c r="BZ242" s="284">
        <f>IF(OR(BZ36="",ISERROR(BZ36/BZ$31)),"-",BZ36/BZ$31)</f>
        <v>7.6766026949775426E-2</v>
      </c>
      <c r="CA242" s="284">
        <f>IF(OR(CA36="",ISERROR(CA36/CA$31)),"-",CA36/CA$31)</f>
        <v>7.8913268832066327E-2</v>
      </c>
      <c r="CB242" s="90"/>
      <c r="CC242" s="284">
        <f>IF(OR(CC36="",ISERROR(CC36/CC$31)),"-",CC36/CC$31)</f>
        <v>9.5349929544387035E-2</v>
      </c>
      <c r="CD242" s="284">
        <f>IF(OR(CD36="",ISERROR(CD36/CD$31)),"-",CD36/CD$31)</f>
        <v>9.1829356471438889E-2</v>
      </c>
      <c r="CE242" s="284">
        <f>IF(OR(CE36="",ISERROR(CE36/CE$31)),"-",CE36/CE$31)</f>
        <v>7.7236747421443999E-2</v>
      </c>
      <c r="CF242" s="284">
        <f>IF(OR(CF36="",ISERROR(CF36/CF$31)),"-",CF36/CF$31)</f>
        <v>7.2352554264415683E-2</v>
      </c>
      <c r="CG242" s="284">
        <f>IF(OR(CG36="",ISERROR(CG36/CG$31)),"-",CG36/CG$31)</f>
        <v>8.3970356538483976E-2</v>
      </c>
      <c r="CH242" s="90"/>
      <c r="CI242" s="284">
        <f>IF(OR(CI36="",ISERROR(CI36/CI$31)),"-",CI36/CI$31)</f>
        <v>6.8900126422250324E-2</v>
      </c>
      <c r="CJ242" s="284">
        <f>IF(OR(CJ36="",ISERROR(CJ36/CJ$31)),"-",CJ36/CJ$31)</f>
        <v>6.7893401015228422E-2</v>
      </c>
      <c r="CK242" s="284">
        <f>IF(OR(CK36="",ISERROR(CK36/CK$31)),"-",CK36/CK$31)</f>
        <v>6.5659744073840981E-2</v>
      </c>
      <c r="CL242" s="284">
        <f>IF(OR(CL36="",ISERROR(CL36/CL$31)),"-",CL36/CL$31)</f>
        <v>5.9314004169035442E-2</v>
      </c>
      <c r="CM242" s="284">
        <f>IF(OR(CM36="",ISERROR(CM36/CM$31)),"-",CM36/CM$31)</f>
        <v>6.5273081258325649E-2</v>
      </c>
      <c r="CN242" s="90"/>
      <c r="CO242" s="284">
        <f>IF(OR(CO36="",ISERROR(CO36/CO$31)),"-",CO36/CO$31)</f>
        <v>6.3600227143668378E-2</v>
      </c>
      <c r="CP242" s="284">
        <f>IF(OR(CP36="",ISERROR(CP36/CP$31)),"-",CP36/CP$31)</f>
        <v>6.6263957532491313E-2</v>
      </c>
      <c r="CQ242" s="284">
        <f>IF(OR(CQ36="",ISERROR(CQ36/CQ$31)),"-",CQ36/CQ$31)</f>
        <v>7.0178636529347443E-2</v>
      </c>
      <c r="CR242" s="284">
        <f>IF(OR(CR36="",ISERROR(CR36/CR$31)),"-",CR36/CR$31)</f>
        <v>6.2288993923024984E-2</v>
      </c>
      <c r="CS242" s="284">
        <f>IF(OR(CS36="",ISERROR(CS36/CS$31)),"-",CS36/CS$31)</f>
        <v>6.5535295179635328E-2</v>
      </c>
      <c r="CT242" s="90"/>
      <c r="CU242" s="284">
        <f>IF(OR(CU36="",ISERROR(CU36/CU$31)),"-",CU36/CU$31)</f>
        <v>6.1162079510703363E-2</v>
      </c>
      <c r="CV242" s="284">
        <f>IF(OR(CV36="",ISERROR(CV36/CV$31)),"-",CV36/CV$31)</f>
        <v>6.7311072056239013E-2</v>
      </c>
      <c r="CW242" s="284">
        <f>IF(OR(CW36="",ISERROR(CW36/CW$31)),"-",CW36/CW$31)</f>
        <v>7.0072992700729933E-2</v>
      </c>
      <c r="CX242" s="284">
        <f>IF(OR(CX36="",ISERROR(CX36/CX$31)),"-",CX36/CX$31)</f>
        <v>6.6886326194398688E-2</v>
      </c>
      <c r="CY242" s="284">
        <f>IF(OR(CY36="",ISERROR(CY36/CY$31)),"-",CY36/CY$31)</f>
        <v>6.6289025339444793E-2</v>
      </c>
      <c r="CZ242" s="90"/>
      <c r="DA242" s="284">
        <f>IF(OR(DA36="",ISERROR(DA36/DA$31)),"-",DA36/DA$31)</f>
        <v>5.9081346423562421E-2</v>
      </c>
      <c r="DB242" s="284">
        <f>IF(OR(DB36="",ISERROR(DB36/DB$31)),"-",DB36/DB$31)</f>
        <v>5.6791881787431005E-2</v>
      </c>
      <c r="DC242" s="284">
        <f>IF(OR(DC36="",ISERROR(DC36/DC$31)),"-",DC36/DC$31)</f>
        <v>5.9077809798270882E-2</v>
      </c>
      <c r="DD242" s="284">
        <f>IF(OR(DD36="",ISERROR(DD36/DD$31)),"-",DD36/DD$31)</f>
        <v>6.2052505966587117E-2</v>
      </c>
      <c r="DE242" s="284">
        <f>IF(OR(DE36="",ISERROR(DE36/DE$31)),"-",DE36/DE$31)</f>
        <v>5.9281410792031315E-2</v>
      </c>
      <c r="DF242" s="90"/>
      <c r="DG242" s="284">
        <f>IF(OR(DG36="",ISERROR(DG36/DG$31)),"-",DG36/DG$31)</f>
        <v>6.1772151898734168E-2</v>
      </c>
      <c r="DH242" s="284">
        <f>IF(OR(DH36="",ISERROR(DH36/DH$31)),"-",DH36/DH$31)</f>
        <v>6.1057918694082565E-2</v>
      </c>
      <c r="DI242" s="284">
        <f>IF(OR(DI36="",ISERROR(DI36/DI$31)),"-",DI36/DI$31)</f>
        <v>6.2783171521035588E-2</v>
      </c>
      <c r="DJ242" s="284">
        <f>IF(OR(DJ36="",ISERROR(DJ36/DJ$31)),"-",DJ36/DJ$31)</f>
        <v>6.1691242852843817E-2</v>
      </c>
      <c r="DK242" s="284">
        <f>IF(OR(DK36="",ISERROR(DK36/DK$31)),"-",DK36/DK$31)</f>
        <v>6.1818326566356191E-2</v>
      </c>
      <c r="DL242" s="90"/>
      <c r="DM242" s="284">
        <f>IF(OR(DM36="",ISERROR(DM36/DM$31)),"-",DM36/DM$31)</f>
        <v>6.0634184068058782E-2</v>
      </c>
      <c r="DN242" s="284">
        <f>IF(OR(DN36="",ISERROR(DN36/DN$31)),"-",DN36/DN$31)</f>
        <v>6.6611977030352737E-2</v>
      </c>
      <c r="DO242" s="284">
        <f>IF(OR(DO36="",ISERROR(DO36/DO$31)),"-",DO36/DO$31)</f>
        <v>6.7022340780260078E-2</v>
      </c>
      <c r="DP242" s="284">
        <f>IF(OR(DP36="",ISERROR(DP36/DP$31)),"-",DP36/DP$31)</f>
        <v>6.5401820144994599E-2</v>
      </c>
      <c r="DQ242" s="284">
        <f>IF(OR(DQ36="",ISERROR(DQ36/DQ$31)),"-",DQ36/DQ$31)</f>
        <v>6.4853640030350226E-2</v>
      </c>
      <c r="DR242" s="90"/>
      <c r="DS242" s="284">
        <f>IF(OR(DS36="",ISERROR(DS36/DS$31)),"-",DS36/DS$31)</f>
        <v>7.8921664387575696E-2</v>
      </c>
      <c r="DT242" s="284">
        <f>IF(OR(DT36="",ISERROR(DT36/DT$31)),"-",DT36/DT$31)</f>
        <v>6.282912656618847E-2</v>
      </c>
      <c r="DU242" s="284">
        <f>IF(OR(DU36="",ISERROR(DU36/DU$31)),"-",DU36/DU$31)</f>
        <v>7.0261437908496746E-2</v>
      </c>
      <c r="DV242" s="284">
        <f>IF(OR(DV36="",ISERROR(DV36/DV$31)),"-",DV36/DV$31)</f>
        <v>7.2681704260651639E-2</v>
      </c>
      <c r="DW242" s="284">
        <f>IF(OR(DW36="",ISERROR(DW36/DW$31)),"-",DW36/DW$31)</f>
        <v>7.0999507631708536E-2</v>
      </c>
      <c r="DX242" s="90"/>
      <c r="DY242" s="284" t="str">
        <f>IF(OR(DY36="",ISERROR(DY36/DY$31)),"-",DY36/DY$31)</f>
        <v>-</v>
      </c>
      <c r="DZ242" s="284" t="str">
        <f>IF(OR(DZ36="",ISERROR(DZ36/DZ$31)),"-",DZ36/DZ$31)</f>
        <v>-</v>
      </c>
      <c r="EA242" s="284" t="str">
        <f>IF(OR(EA36="",ISERROR(EA36/EA$31)),"-",EA36/EA$31)</f>
        <v>-</v>
      </c>
      <c r="EB242" s="284" t="str">
        <f>IF(OR(EB36="",ISERROR(EB36/EB$31)),"-",EB36/EB$31)</f>
        <v>-</v>
      </c>
      <c r="EC242" s="284" t="str">
        <f>IF(OR(EC36="",ISERROR(EC36/EC$31)),"-",EC36/EC$31)</f>
        <v>-</v>
      </c>
      <c r="ED242" s="90"/>
      <c r="EE242" s="116" t="str">
        <f>IF(OR(EE36="",ISERROR(EE36/EE$31)),"-",EE36/EE$31)</f>
        <v>-</v>
      </c>
      <c r="EF242" s="116" t="str">
        <f>IF(OR(EF36="",ISERROR(EF36/EF$31)),"-",EF36/EF$31)</f>
        <v>-</v>
      </c>
      <c r="EG242" s="116" t="str">
        <f>IF(OR(EG36="",ISERROR(EG36/EG$31)),"-",EG36/EG$31)</f>
        <v>-</v>
      </c>
      <c r="EH242" s="116" t="str">
        <f>IF(OR(EH36="",ISERROR(EH36/EH$31)),"-",EH36/EH$31)</f>
        <v>-</v>
      </c>
      <c r="EI242" s="116" t="str">
        <f>IF(OR(EI36="",ISERROR(EI36/EI$31)),"-",EI36/EI$31)</f>
        <v>-</v>
      </c>
      <c r="EJ242" s="90"/>
      <c r="EK242" s="116" t="str">
        <f>IF(OR(EK36="",ISERROR(EK36/EK$31)),"-",EK36/EK$31)</f>
        <v>-</v>
      </c>
      <c r="EL242" s="116" t="str">
        <f>IF(OR(EL36="",ISERROR(EL36/EL$31)),"-",EL36/EL$31)</f>
        <v>-</v>
      </c>
      <c r="EM242" s="116" t="str">
        <f>IF(OR(EM36="",ISERROR(EM36/EM$31)),"-",EM36/EM$31)</f>
        <v>-</v>
      </c>
      <c r="EN242" s="116" t="str">
        <f>IF(OR(EN36="",ISERROR(EN36/EN$31)),"-",EN36/EN$31)</f>
        <v>-</v>
      </c>
      <c r="EO242" s="116" t="str">
        <f>IF(OR(EO36="",ISERROR(EO36/EO$31)),"-",EO36/EO$31)</f>
        <v>-</v>
      </c>
      <c r="EP242" s="90"/>
      <c r="EQ242" s="116" t="str">
        <f>IF(OR(EQ36="",ISERROR(EQ36/EQ$31)),"-",EQ36/EQ$31)</f>
        <v>-</v>
      </c>
      <c r="ER242" s="116" t="str">
        <f>IF(OR(ER36="",ISERROR(ER36/ER$31)),"-",ER36/ER$31)</f>
        <v>-</v>
      </c>
      <c r="ES242" s="116" t="str">
        <f>IF(OR(ES36="",ISERROR(ES36/ES$31)),"-",ES36/ES$31)</f>
        <v>-</v>
      </c>
      <c r="ET242" s="116" t="str">
        <f>IF(OR(ET36="",ISERROR(ET36/ET$31)),"-",ET36/ET$31)</f>
        <v>-</v>
      </c>
      <c r="EU242" s="116" t="str">
        <f>IF(OR(EU36="",ISERROR(EU36/EU$31)),"-",EU36/EU$31)</f>
        <v>-</v>
      </c>
      <c r="EV242" s="90"/>
    </row>
    <row r="243" spans="1:152">
      <c r="A243" s="90" t="s">
        <v>5611</v>
      </c>
      <c r="B243" s="526"/>
      <c r="C243" s="284" t="str">
        <f>IF(OR(C39="",ISERROR(C39/C$31)),"-",C39/C$31)</f>
        <v>-</v>
      </c>
      <c r="D243" s="284" t="str">
        <f>IF(OR(D39="",ISERROR(D39/D$31)),"-",D39/D$31)</f>
        <v>-</v>
      </c>
      <c r="E243" s="284" t="str">
        <f>IF(OR(E39="",ISERROR(E39/E$31)),"-",E39/E$31)</f>
        <v>-</v>
      </c>
      <c r="F243" s="284" t="str">
        <f>IF(OR(F39="",ISERROR(F39/F$31)),"-",F39/F$31)</f>
        <v>-</v>
      </c>
      <c r="G243" s="284" t="str">
        <f>IF(OR(G39="",ISERROR(G39/G$31)),"-",G39/G$31)</f>
        <v>-</v>
      </c>
      <c r="H243" s="90"/>
      <c r="I243" s="284" t="str">
        <f>IF(OR(I39="",ISERROR(I39/I$31)),"-",I39/I$31)</f>
        <v>-</v>
      </c>
      <c r="J243" s="284" t="str">
        <f>IF(OR(J39="",ISERROR(J39/J$31)),"-",J39/J$31)</f>
        <v>-</v>
      </c>
      <c r="K243" s="284" t="str">
        <f>IF(OR(K39="",ISERROR(K39/K$31)),"-",K39/K$31)</f>
        <v>-</v>
      </c>
      <c r="L243" s="284" t="str">
        <f>IF(OR(L39="",ISERROR(L39/L$31)),"-",L39/L$31)</f>
        <v>-</v>
      </c>
      <c r="M243" s="284" t="str">
        <f>IF(OR(M39="",ISERROR(M39/M$31)),"-",M39/M$31)</f>
        <v>-</v>
      </c>
      <c r="N243" s="90"/>
      <c r="O243" s="284" t="str">
        <f>IF(OR(O39="",ISERROR(O39/O$31)),"-",O39/O$31)</f>
        <v>-</v>
      </c>
      <c r="P243" s="284" t="str">
        <f>IF(OR(P39="",ISERROR(P39/P$31)),"-",P39/P$31)</f>
        <v>-</v>
      </c>
      <c r="Q243" s="284" t="str">
        <f>IF(OR(Q39="",ISERROR(Q39/Q$31)),"-",Q39/Q$31)</f>
        <v>-</v>
      </c>
      <c r="R243" s="284" t="str">
        <f>IF(OR(R39="",ISERROR(R39/R$31)),"-",R39/R$31)</f>
        <v>-</v>
      </c>
      <c r="S243" s="284" t="str">
        <f>IF(OR(S39="",ISERROR(S39/S$31)),"-",S39/S$31)</f>
        <v>-</v>
      </c>
      <c r="T243" s="90"/>
      <c r="U243" s="284" t="str">
        <f>IF(OR(U39="",ISERROR(U39/U$31)),"-",U39/U$31)</f>
        <v>-</v>
      </c>
      <c r="V243" s="284" t="str">
        <f>IF(OR(V39="",ISERROR(V39/V$31)),"-",V39/V$31)</f>
        <v>-</v>
      </c>
      <c r="W243" s="284" t="str">
        <f>IF(OR(W39="",ISERROR(W39/W$31)),"-",W39/W$31)</f>
        <v>-</v>
      </c>
      <c r="X243" s="284" t="str">
        <f>IF(OR(X39="",ISERROR(X39/X$31)),"-",X39/X$31)</f>
        <v>-</v>
      </c>
      <c r="Y243" s="284" t="str">
        <f>IF(OR(Y39="",ISERROR(Y39/Y$31)),"-",Y39/Y$31)</f>
        <v>-</v>
      </c>
      <c r="Z243" s="104"/>
      <c r="AA243" s="284" t="str">
        <f>IF(OR(AA39="",ISERROR(AA39/AA$31)),"-",AA39/AA$31)</f>
        <v>-</v>
      </c>
      <c r="AB243" s="284" t="str">
        <f>IF(OR(AB39="",ISERROR(AB39/AB$31)),"-",AB39/AB$31)</f>
        <v>-</v>
      </c>
      <c r="AC243" s="284" t="str">
        <f>IF(OR(AC39="",ISERROR(AC39/AC$31)),"-",AC39/AC$31)</f>
        <v>-</v>
      </c>
      <c r="AD243" s="284" t="str">
        <f>IF(OR(AD39="",ISERROR(AD39/AD$31)),"-",AD39/AD$31)</f>
        <v>-</v>
      </c>
      <c r="AE243" s="284" t="str">
        <f>IF(OR(AE39="",ISERROR(AE39/AE$31)),"-",AE39/AE$31)</f>
        <v>-</v>
      </c>
      <c r="AF243" s="90"/>
      <c r="AG243" s="284">
        <f>IF(OR(AG39="",ISERROR(AG39/AG$31)),"-",AG39/AG$31)</f>
        <v>5.7296329453894361E-3</v>
      </c>
      <c r="AH243" s="284">
        <f>IF(OR(AH39="",ISERROR(AH39/AH$31)),"-",AH39/AH$31)</f>
        <v>6.5871369294605818E-3</v>
      </c>
      <c r="AI243" s="284">
        <f>IF(OR(AI39="",ISERROR(AI39/AI$31)),"-",AI39/AI$31)</f>
        <v>1.4069339101577486E-2</v>
      </c>
      <c r="AJ243" s="284">
        <f>IF(OR(AJ39="",ISERROR(AJ39/AJ$31)),"-",AJ39/AJ$31)</f>
        <v>9.2034924458930696E-3</v>
      </c>
      <c r="AK243" s="284">
        <f>IF(OR(AK39="",ISERROR(AK39/AK$31)),"-",AK39/AK$31)</f>
        <v>8.774753533278945E-3</v>
      </c>
      <c r="AL243" s="90"/>
      <c r="AM243" s="284">
        <f>IF(OR(AM39="",ISERROR(AM39/AM$31)),"-",AM39/AM$31)</f>
        <v>1.0578780518648044E-2</v>
      </c>
      <c r="AN243" s="284">
        <f>IF(OR(AN39="",ISERROR(AN39/AN$31)),"-",AN39/AN$31)</f>
        <v>1.1111584145770362E-2</v>
      </c>
      <c r="AO243" s="284">
        <f>IF(OR(AO39="",ISERROR(AO39/AO$31)),"-",AO39/AO$31)</f>
        <v>1.2612545773472318E-2</v>
      </c>
      <c r="AP243" s="284">
        <f>IF(OR(AP39="",ISERROR(AP39/AP$31)),"-",AP39/AP$31)</f>
        <v>1.5180343296712287E-2</v>
      </c>
      <c r="AQ243" s="284">
        <f>IF(OR(AQ39="",ISERROR(AQ39/AQ$31)),"-",AQ39/AQ$31)</f>
        <v>1.2271121105043369E-2</v>
      </c>
      <c r="AR243" s="159"/>
      <c r="AS243" s="284">
        <f>IF(OR(AS39="",ISERROR(AS39/AS$31)),"-",AS39/AS$31)</f>
        <v>1.5158991488190695E-2</v>
      </c>
      <c r="AT243" s="284">
        <f>IF(OR(AT39="",ISERROR(AT39/AT$31)),"-",AT39/AT$31)</f>
        <v>1.6962282421293783E-2</v>
      </c>
      <c r="AU243" s="284">
        <f>IF(OR(AU39="",ISERROR(AU39/AU$31)),"-",AU39/AU$31)</f>
        <v>1.6757746021157777E-2</v>
      </c>
      <c r="AV243" s="284">
        <f>IF(OR(AV39="",ISERROR(AV39/AV$31)),"-",AV39/AV$31)</f>
        <v>1.5901933561342313E-2</v>
      </c>
      <c r="AW243" s="284">
        <f>IF(OR(AW39="",ISERROR(AW39/AW$31)),"-",AW39/AW$31)</f>
        <v>1.6183589854598834E-2</v>
      </c>
      <c r="AX243" s="159"/>
      <c r="AY243" s="284">
        <f>IF(OR(AY39="",ISERROR(AY39/AY$31)),"-",AY39/AY$31)</f>
        <v>1.4376462721497825E-2</v>
      </c>
      <c r="AZ243" s="284">
        <f>IF(OR(AZ39="",ISERROR(AZ39/AZ$31)),"-",AZ39/AZ$31)</f>
        <v>1.4601139601139599E-2</v>
      </c>
      <c r="BA243" s="284">
        <f>IF(OR(BA39="",ISERROR(BA39/BA$31)),"-",BA39/BA$31)</f>
        <v>1.39349701393497E-2</v>
      </c>
      <c r="BB243" s="284">
        <f>IF(OR(BB39="",ISERROR(BB39/BB$31)),"-",BB39/BB$31)</f>
        <v>1.2304250559284118E-2</v>
      </c>
      <c r="BC243" s="284">
        <f>IF(OR(BC39="",ISERROR(BC39/BC$31)),"-",BC39/BC$31)</f>
        <v>1.3721850028250866E-2</v>
      </c>
      <c r="BD243" s="159"/>
      <c r="BE243" s="284">
        <f>IF(OR(BE39="",ISERROR(BE39/BE$31)),"-",BE39/BE$31)</f>
        <v>1.3366750208855473E-2</v>
      </c>
      <c r="BF243" s="284">
        <f>IF(OR(BF39="",ISERROR(BF39/BF$31)),"-",BF39/BF$31)</f>
        <v>1.2473460721868368E-2</v>
      </c>
      <c r="BG243" s="284">
        <f>IF(OR(BG39="",ISERROR(BG39/BG$31)),"-",BG39/BG$31)</f>
        <v>4.1939711664482305E-3</v>
      </c>
      <c r="BH243" s="284">
        <f>IF(OR(BH39="",ISERROR(BH39/BH$31)),"-",BH39/BH$31)</f>
        <v>4.7641734159123393E-3</v>
      </c>
      <c r="BI243" s="284">
        <f>IF(OR(BI39="",ISERROR(BI39/BI$31)),"-",BI39/BI$31)</f>
        <v>8.5219880301847517E-3</v>
      </c>
      <c r="BJ243" s="90"/>
      <c r="BK243" s="284">
        <f>IF(OR(BK39="",ISERROR(BK39/BK$31)),"-",BK39/BK$31)</f>
        <v>5.5688073394495408E-3</v>
      </c>
      <c r="BL243" s="284">
        <f>IF(OR(BL39="",ISERROR(BL39/BL$31)),"-",BL39/BL$31)</f>
        <v>4.8932384341637009E-3</v>
      </c>
      <c r="BM243" s="284">
        <f>IF(OR(BM39="",ISERROR(BM39/BM$31)),"-",BM39/BM$31)</f>
        <v>3.9404553415061296E-3</v>
      </c>
      <c r="BN243" s="284">
        <f>IF(OR(BN39="",ISERROR(BN39/BN$31)),"-",BN39/BN$31)</f>
        <v>4.6240450341777243E-3</v>
      </c>
      <c r="BO243" s="284">
        <f>IF(OR(BO39="",ISERROR(BO39/BO$31)),"-",BO39/BO$31)</f>
        <v>4.7439939123817797E-3</v>
      </c>
      <c r="BP243" s="90"/>
      <c r="BQ243" s="284">
        <f>IF(OR(BQ39="",ISERROR(BQ39/BQ$31)),"-",BQ39/BQ$31)</f>
        <v>4.3255996854109323E-3</v>
      </c>
      <c r="BR243" s="284">
        <f>IF(OR(BR39="",ISERROR(BR39/BR$31)),"-",BR39/BR$31)</f>
        <v>4.3734550294732824E-3</v>
      </c>
      <c r="BS243" s="284">
        <f>IF(OR(BS39="",ISERROR(BS39/BS$31)),"-",BS39/BS$31)</f>
        <v>3.5289747399702824E-3</v>
      </c>
      <c r="BT243" s="284">
        <f>IF(OR(BT39="",ISERROR(BT39/BT$31)),"-",BT39/BT$31)</f>
        <v>3.6721749290602574E-3</v>
      </c>
      <c r="BU243" s="284">
        <f>IF(OR(BU39="",ISERROR(BU39/BU$31)),"-",BU39/BU$31)</f>
        <v>3.9594843462246784E-3</v>
      </c>
      <c r="BV243" s="90"/>
      <c r="BW243" s="284">
        <f>IF(OR(BW39="",ISERROR(BW39/BW$31)),"-",BW39/BW$31)</f>
        <v>3.3400133600534404E-3</v>
      </c>
      <c r="BX243" s="284">
        <f>IF(OR(BX39="",ISERROR(BX39/BX$31)),"-",BX39/BX$31)</f>
        <v>3.3898305084745766E-3</v>
      </c>
      <c r="BY243" s="284">
        <f>IF(OR(BY39="",ISERROR(BY39/BY$31)),"-",BY39/BY$31)</f>
        <v>3.9532202273101624E-3</v>
      </c>
      <c r="BZ243" s="284">
        <f>IF(OR(BZ39="",ISERROR(BZ39/BZ$31)),"-",BZ39/BZ$31)</f>
        <v>5.1041241322988973E-3</v>
      </c>
      <c r="CA243" s="284">
        <f>IF(OR(CA39="",ISERROR(CA39/CA$31)),"-",CA39/CA$31)</f>
        <v>3.8873531444367651E-3</v>
      </c>
      <c r="CB243" s="90"/>
      <c r="CC243" s="284">
        <f>IF(OR(CC39="",ISERROR(CC39/CC$31)),"-",CC39/CC$31)</f>
        <v>6.5758572099577266E-3</v>
      </c>
      <c r="CD243" s="284">
        <f>IF(OR(CD39="",ISERROR(CD39/CD$31)),"-",CD39/CD$31)</f>
        <v>7.2306579898770793E-3</v>
      </c>
      <c r="CE243" s="284">
        <f>IF(OR(CE39="",ISERROR(CE39/CE$31)),"-",CE39/CE$31)</f>
        <v>7.1959702566562729E-3</v>
      </c>
      <c r="CF243" s="284">
        <f>IF(OR(CF39="",ISERROR(CF39/CF$31)),"-",CF39/CF$31)</f>
        <v>6.7967550975663229E-3</v>
      </c>
      <c r="CG243" s="284">
        <f>IF(OR(CG39="",ISERROR(CG39/CG$31)),"-",CG39/CG$31)</f>
        <v>6.9440392133979121E-3</v>
      </c>
      <c r="CH243" s="90"/>
      <c r="CI243" s="284">
        <f>IF(OR(CI39="",ISERROR(CI39/CI$31)),"-",CI39/CI$31)</f>
        <v>2.1281078803202694E-2</v>
      </c>
      <c r="CJ243" s="284">
        <f>IF(OR(CJ39="",ISERROR(CJ39/CJ$31)),"-",CJ39/CJ$31)</f>
        <v>1.6708967851099835E-2</v>
      </c>
      <c r="CK243" s="284">
        <f>IF(OR(CK39="",ISERROR(CK39/CK$31)),"-",CK39/CK$31)</f>
        <v>1.7201594294105307E-2</v>
      </c>
      <c r="CL243" s="284">
        <f>IF(OR(CL39="",ISERROR(CL39/CL$31)),"-",CL39/CL$31)</f>
        <v>1.5539132082622699E-2</v>
      </c>
      <c r="CM243" s="284">
        <f>IF(OR(CM39="",ISERROR(CM39/CM$31)),"-",CM39/CM$31)</f>
        <v>1.7624756634901116E-2</v>
      </c>
      <c r="CN243" s="90"/>
      <c r="CO243" s="284">
        <f>IF(OR(CO39="",ISERROR(CO39/CO$31)),"-",CO39/CO$31)</f>
        <v>2.2714366837024418E-2</v>
      </c>
      <c r="CP243" s="284">
        <f>IF(OR(CP39="",ISERROR(CP39/CP$31)),"-",CP39/CP$31)</f>
        <v>2.1416803953871501E-2</v>
      </c>
      <c r="CQ243" s="284">
        <f>IF(OR(CQ39="",ISERROR(CQ39/CQ$31)),"-",CQ39/CQ$31)</f>
        <v>1.6587677725118485E-2</v>
      </c>
      <c r="CR243" s="284">
        <f>IF(OR(CR39="",ISERROR(CR39/CR$31)),"-",CR39/CR$31)</f>
        <v>1.5530047265361242E-2</v>
      </c>
      <c r="CS243" s="284">
        <f>IF(OR(CS39="",ISERROR(CS39/CS$31)),"-",CS39/CS$31)</f>
        <v>1.8956490341216829E-2</v>
      </c>
      <c r="CT243" s="90"/>
      <c r="CU243" s="284">
        <f>IF(OR(CU39="",ISERROR(CU39/CU$31)),"-",CU39/CU$31)</f>
        <v>1.987767584097859E-2</v>
      </c>
      <c r="CV243" s="284">
        <f>IF(OR(CV39="",ISERROR(CV39/CV$31)),"-",CV39/CV$31)</f>
        <v>1.8804920913884006E-2</v>
      </c>
      <c r="CW243" s="284">
        <f>IF(OR(CW39="",ISERROR(CW39/CW$31)),"-",CW39/CW$31)</f>
        <v>1.5328467153284672E-2</v>
      </c>
      <c r="CX243" s="284">
        <f>IF(OR(CX39="",ISERROR(CX39/CX$31)),"-",CX39/CX$31)</f>
        <v>1.5815485996705108E-2</v>
      </c>
      <c r="CY243" s="284">
        <f>IF(OR(CY39="",ISERROR(CY39/CY$31)),"-",CY39/CY$31)</f>
        <v>1.7469514831791058E-2</v>
      </c>
      <c r="CZ243" s="90"/>
      <c r="DA243" s="284">
        <f>IF(OR(DA39="",ISERROR(DA39/DA$31)),"-",DA39/DA$31)</f>
        <v>3.7692847124824687E-2</v>
      </c>
      <c r="DB243" s="284">
        <f>IF(OR(DB39="",ISERROR(DB39/DB$31)),"-",DB39/DB$31)</f>
        <v>4.1837279686665479E-2</v>
      </c>
      <c r="DC243" s="284">
        <f>IF(OR(DC39="",ISERROR(DC39/DC$31)),"-",DC39/DC$31)</f>
        <v>3.9805475504322757E-2</v>
      </c>
      <c r="DD243" s="284">
        <f>IF(OR(DD39="",ISERROR(DD39/DD$31)),"-",DD39/DD$31)</f>
        <v>3.7845209682918518E-2</v>
      </c>
      <c r="DE243" s="284">
        <f>IF(OR(DE39="",ISERROR(DE39/DE$31)),"-",DE39/DE$31)</f>
        <v>3.9271735784335286E-2</v>
      </c>
      <c r="DF243" s="90"/>
      <c r="DG243" s="284">
        <f>IF(OR(DG39="",ISERROR(DG39/DG$31)),"-",DG39/DG$31)</f>
        <v>4.6244725738396622E-2</v>
      </c>
      <c r="DH243" s="284">
        <f>IF(OR(DH39="",ISERROR(DH39/DH$31)),"-",DH39/DH$31)</f>
        <v>5.0855438706639465E-2</v>
      </c>
      <c r="DI243" s="284">
        <f>IF(OR(DI39="",ISERROR(DI39/DI$31)),"-",DI39/DI$31)</f>
        <v>5.145631067961165E-2</v>
      </c>
      <c r="DJ243" s="284">
        <f>IF(OR(DJ39="",ISERROR(DJ39/DJ$31)),"-",DJ39/DJ$31)</f>
        <v>4.9804393620222688E-2</v>
      </c>
      <c r="DK243" s="284">
        <f>IF(OR(DK39="",ISERROR(DK39/DK$31)),"-",DK39/DK$31)</f>
        <v>4.9637767693654966E-2</v>
      </c>
      <c r="DL243" s="90"/>
      <c r="DM243" s="284">
        <f>IF(OR(DM39="",ISERROR(DM39/DM$31)),"-",DM39/DM$31)</f>
        <v>5.5993812838360406E-2</v>
      </c>
      <c r="DN243" s="284">
        <f>IF(OR(DN39="",ISERROR(DN39/DN$31)),"-",DN39/DN$31)</f>
        <v>6.2346185397867106E-2</v>
      </c>
      <c r="DO243" s="284">
        <f>IF(OR(DO39="",ISERROR(DO39/DO$31)),"-",DO39/DO$31)</f>
        <v>6.0020006668889632E-2</v>
      </c>
      <c r="DP243" s="284">
        <f>IF(OR(DP39="",ISERROR(DP39/DP$31)),"-",DP39/DP$31)</f>
        <v>5.753509177849761E-2</v>
      </c>
      <c r="DQ243" s="284">
        <f>IF(OR(DQ39="",ISERROR(DQ39/DQ$31)),"-",DQ39/DQ$31)</f>
        <v>5.8903398426580413E-2</v>
      </c>
      <c r="DR243" s="90"/>
      <c r="DS243" s="284">
        <f>IF(OR(DS39="",ISERROR(DS39/DS$31)),"-",DS39/DS$31)</f>
        <v>7.3647196718109015E-2</v>
      </c>
      <c r="DT243" s="284">
        <f>IF(OR(DT39="",ISERROR(DT39/DT$31)),"-",DT39/DT$31)</f>
        <v>6.609769384419828E-2</v>
      </c>
      <c r="DU243" s="284">
        <f>IF(OR(DU39="",ISERROR(DU39/DU$31)),"-",DU39/DU$31)</f>
        <v>6.7810457516339864E-2</v>
      </c>
      <c r="DV243" s="284">
        <f>IF(OR(DV39="",ISERROR(DV39/DV$31)),"-",DV39/DV$31)</f>
        <v>7.581453634085214E-2</v>
      </c>
      <c r="DW243" s="284">
        <f>IF(OR(DW39="",ISERROR(DW39/DW$31)),"-",DW39/DW$31)</f>
        <v>7.0704086656819307E-2</v>
      </c>
      <c r="DX243" s="90"/>
      <c r="DY243" s="284" t="str">
        <f>IF(OR(DY39="",ISERROR(DY39/DY$31)),"-",DY39/DY$31)</f>
        <v>-</v>
      </c>
      <c r="DZ243" s="284" t="str">
        <f>IF(OR(DZ39="",ISERROR(DZ39/DZ$31)),"-",DZ39/DZ$31)</f>
        <v>-</v>
      </c>
      <c r="EA243" s="284" t="str">
        <f>IF(OR(EA39="",ISERROR(EA39/EA$31)),"-",EA39/EA$31)</f>
        <v>-</v>
      </c>
      <c r="EB243" s="284" t="str">
        <f>IF(OR(EB39="",ISERROR(EB39/EB$31)),"-",EB39/EB$31)</f>
        <v>-</v>
      </c>
      <c r="EC243" s="284" t="str">
        <f>IF(OR(EC39="",ISERROR(EC39/EC$31)),"-",EC39/EC$31)</f>
        <v>-</v>
      </c>
      <c r="ED243" s="90"/>
      <c r="EE243" s="116" t="str">
        <f>IF(OR(EE39="",ISERROR(EE39/EE$31)),"-",EE39/EE$31)</f>
        <v>-</v>
      </c>
      <c r="EF243" s="116" t="str">
        <f>IF(OR(EF39="",ISERROR(EF39/EF$31)),"-",EF39/EF$31)</f>
        <v>-</v>
      </c>
      <c r="EG243" s="116" t="str">
        <f>IF(OR(EG39="",ISERROR(EG39/EG$31)),"-",EG39/EG$31)</f>
        <v>-</v>
      </c>
      <c r="EH243" s="116" t="str">
        <f>IF(OR(EH39="",ISERROR(EH39/EH$31)),"-",EH39/EH$31)</f>
        <v>-</v>
      </c>
      <c r="EI243" s="116" t="str">
        <f>IF(OR(EI39="",ISERROR(EI39/EI$31)),"-",EI39/EI$31)</f>
        <v>-</v>
      </c>
      <c r="EJ243" s="90"/>
      <c r="EK243" s="116" t="str">
        <f>IF(OR(EK39="",ISERROR(EK39/EK$31)),"-",EK39/EK$31)</f>
        <v>-</v>
      </c>
      <c r="EL243" s="116" t="str">
        <f>IF(OR(EL39="",ISERROR(EL39/EL$31)),"-",EL39/EL$31)</f>
        <v>-</v>
      </c>
      <c r="EM243" s="116" t="str">
        <f>IF(OR(EM39="",ISERROR(EM39/EM$31)),"-",EM39/EM$31)</f>
        <v>-</v>
      </c>
      <c r="EN243" s="116" t="str">
        <f>IF(OR(EN39="",ISERROR(EN39/EN$31)),"-",EN39/EN$31)</f>
        <v>-</v>
      </c>
      <c r="EO243" s="116" t="str">
        <f>IF(OR(EO39="",ISERROR(EO39/EO$31)),"-",EO39/EO$31)</f>
        <v>-</v>
      </c>
      <c r="EP243" s="90"/>
      <c r="EQ243" s="116" t="str">
        <f>IF(OR(EQ39="",ISERROR(EQ39/EQ$31)),"-",EQ39/EQ$31)</f>
        <v>-</v>
      </c>
      <c r="ER243" s="116" t="str">
        <f>IF(OR(ER39="",ISERROR(ER39/ER$31)),"-",ER39/ER$31)</f>
        <v>-</v>
      </c>
      <c r="ES243" s="116" t="str">
        <f>IF(OR(ES39="",ISERROR(ES39/ES$31)),"-",ES39/ES$31)</f>
        <v>-</v>
      </c>
      <c r="ET243" s="116" t="str">
        <f>IF(OR(ET39="",ISERROR(ET39/ET$31)),"-",ET39/ET$31)</f>
        <v>-</v>
      </c>
      <c r="EU243" s="116" t="str">
        <f>IF(OR(EU39="",ISERROR(EU39/EU$31)),"-",EU39/EU$31)</f>
        <v>-</v>
      </c>
      <c r="EV243" s="90"/>
    </row>
    <row r="244" spans="1:152">
      <c r="A244" s="90" t="s">
        <v>5188</v>
      </c>
      <c r="B244" s="526"/>
      <c r="C244" s="284">
        <f>IF(OR(C54="",ISERROR(C54/C$31)),"-",C54/C$31)</f>
        <v>0.36170212765957444</v>
      </c>
      <c r="D244" s="284">
        <f>IF(OR(D54="",ISERROR(D54/D$31)),"-",D54/D$31)</f>
        <v>0.39316239316239321</v>
      </c>
      <c r="E244" s="284">
        <f>IF(OR(E54="",ISERROR(E54/E$31)),"-",E54/E$31)</f>
        <v>0.43053173241852494</v>
      </c>
      <c r="F244" s="284">
        <f>IF(OR(F54="",ISERROR(F54/F$31)),"-",F54/F$31)</f>
        <v>0.43304347826086953</v>
      </c>
      <c r="G244" s="284">
        <f>IF(OR(G54="",ISERROR(G54/G$31)),"-",G54/G$31)</f>
        <v>0.40245621099255086</v>
      </c>
      <c r="H244" s="90"/>
      <c r="I244" s="284">
        <f>IF(OR(I54="",ISERROR(I54/I$31)),"-",I54/I$31)</f>
        <v>0.40479452054794524</v>
      </c>
      <c r="J244" s="284">
        <f>IF(OR(J54="",ISERROR(J54/J$31)),"-",J54/J$31)</f>
        <v>0.34303864478560081</v>
      </c>
      <c r="K244" s="284">
        <f>IF(OR(K54="",ISERROR(K54/K$31)),"-",K54/K$31)</f>
        <v>0.33698903290129611</v>
      </c>
      <c r="L244" s="284">
        <f>IF(OR(L54="",ISERROR(L54/L$31)),"-",L54/L$31)</f>
        <v>0.33728890917389326</v>
      </c>
      <c r="M244" s="284">
        <f>IF(OR(M54="",ISERROR(M54/M$31)),"-",M54/M$31)</f>
        <v>0.35184203551550491</v>
      </c>
      <c r="N244" s="90"/>
      <c r="O244" s="284">
        <f>IF(OR(O54="",ISERROR(O54/O$31)),"-",O54/O$31)</f>
        <v>0.34284410352726408</v>
      </c>
      <c r="P244" s="284">
        <f>IF(OR(P54="",ISERROR(P54/P$31)),"-",P54/P$31)</f>
        <v>0.34554931008065559</v>
      </c>
      <c r="Q244" s="284">
        <f>IF(OR(Q54="",ISERROR(Q54/Q$31)),"-",Q54/Q$31)</f>
        <v>0.36589239437959153</v>
      </c>
      <c r="R244" s="284">
        <f>IF(OR(R54="",ISERROR(R54/R$31)),"-",R54/R$31)</f>
        <v>0.35828194483629572</v>
      </c>
      <c r="S244" s="284">
        <f>IF(OR(S54="",ISERROR(S54/S$31)),"-",S54/S$31)</f>
        <v>0.35282692944535443</v>
      </c>
      <c r="T244" s="90"/>
      <c r="U244" s="284">
        <f>IF(OR(U54="",ISERROR(U54/U$31)),"-",U54/U$31)</f>
        <v>0.46481562806854798</v>
      </c>
      <c r="V244" s="284">
        <f>IF(OR(V54="",ISERROR(V54/V$31)),"-",V54/V$31)</f>
        <v>0.45312039965429146</v>
      </c>
      <c r="W244" s="284">
        <f>IF(OR(W54="",ISERROR(W54/W$31)),"-",W54/W$31)</f>
        <v>0.41679999615626695</v>
      </c>
      <c r="X244" s="284">
        <f>IF(OR(X54="",ISERROR(X54/X$31)),"-",X54/X$31)</f>
        <v>0.37920035998358903</v>
      </c>
      <c r="Y244" s="284">
        <f>IF(OR(Y54="",ISERROR(Y54/Y$31)),"-",Y54/Y$31)</f>
        <v>0.42724317287521624</v>
      </c>
      <c r="Z244" s="104"/>
      <c r="AA244" s="284">
        <f>IF(OR(AA54="",ISERROR(AA54/AA$31)),"-",AA54/AA$31)</f>
        <v>0.3351307408576531</v>
      </c>
      <c r="AB244" s="284">
        <f>IF(OR(AB54="",ISERROR(AB54/AB$31)),"-",AB54/AB$31)</f>
        <v>0.33054745513032496</v>
      </c>
      <c r="AC244" s="284">
        <f>IF(OR(AC54="",ISERROR(AC54/AC$31)),"-",AC54/AC$31)</f>
        <v>0.35445965345562597</v>
      </c>
      <c r="AD244" s="284">
        <f>IF(OR(AD54="",ISERROR(AD54/AD$31)),"-",AD54/AD$31)</f>
        <v>0.33781531967068101</v>
      </c>
      <c r="AE244" s="284">
        <f>IF(OR(AE54="",ISERROR(AE54/AE$31)),"-",AE54/AE$31)</f>
        <v>0.33941883365159925</v>
      </c>
      <c r="AF244" s="90"/>
      <c r="AG244" s="284">
        <f>IF(OR(AG54="",ISERROR(AG54/AG$31)),"-",AG54/AG$31)</f>
        <v>0.37833075608366573</v>
      </c>
      <c r="AH244" s="284">
        <f>IF(OR(AH54="",ISERROR(AH54/AH$31)),"-",AH54/AH$31)</f>
        <v>0.39880705394190874</v>
      </c>
      <c r="AI244" s="284">
        <f>IF(OR(AI54="",ISERROR(AI54/AI$31)),"-",AI54/AI$31)</f>
        <v>0.40509897992669525</v>
      </c>
      <c r="AJ244" s="284">
        <f>IF(OR(AJ54="",ISERROR(AJ54/AJ$31)),"-",AJ54/AJ$31)</f>
        <v>0.37414283127455378</v>
      </c>
      <c r="AK244" s="284">
        <f>IF(OR(AK54="",ISERROR(AK54/AK$31)),"-",AK54/AK$31)</f>
        <v>0.3883203112219536</v>
      </c>
      <c r="AL244" s="90"/>
      <c r="AM244" s="284">
        <f>IF(OR(AM54="",ISERROR(AM54/AM$31)),"-",AM54/AM$31)</f>
        <v>0.40838627810942452</v>
      </c>
      <c r="AN244" s="284">
        <f>IF(OR(AN54="",ISERROR(AN54/AN$31)),"-",AN54/AN$31)</f>
        <v>0.41743416540129891</v>
      </c>
      <c r="AO244" s="284">
        <f>IF(OR(AO54="",ISERROR(AO54/AO$31)),"-",AO54/AO$31)</f>
        <v>0.46899592476987406</v>
      </c>
      <c r="AP244" s="284">
        <f>IF(OR(AP54="",ISERROR(AP54/AP$31)),"-",AP54/AP$31)</f>
        <v>0.44634198735653341</v>
      </c>
      <c r="AQ244" s="284">
        <f>IF(OR(AQ54="",ISERROR(AQ54/AQ$31)),"-",AQ54/AQ$31)</f>
        <v>0.43356466188655002</v>
      </c>
      <c r="AR244" s="159"/>
      <c r="AS244" s="284">
        <f>IF(OR(AS54="",ISERROR(AS54/AS$31)),"-",AS54/AS$31)</f>
        <v>0.43818262907679606</v>
      </c>
      <c r="AT244" s="284">
        <f>IF(OR(AT54="",ISERROR(AT54/AT$31)),"-",AT54/AT$31)</f>
        <v>0.42447745683852534</v>
      </c>
      <c r="AU244" s="284">
        <f>IF(OR(AU54="",ISERROR(AU54/AU$31)),"-",AU54/AU$31)</f>
        <v>0.40777894655822666</v>
      </c>
      <c r="AV244" s="284">
        <f>IF(OR(AV54="",ISERROR(AV54/AV$31)),"-",AV54/AV$31)</f>
        <v>0.39162913548474476</v>
      </c>
      <c r="AW244" s="284">
        <f>IF(OR(AW54="",ISERROR(AW54/AW$31)),"-",AW54/AW$31)</f>
        <v>0.41321588032486967</v>
      </c>
      <c r="AX244" s="159"/>
      <c r="AY244" s="284">
        <f>IF(OR(AY54="",ISERROR(AY54/AY$31)),"-",AY54/AY$31)</f>
        <v>0.36542962219993314</v>
      </c>
      <c r="AZ244" s="284">
        <f>IF(OR(AZ54="",ISERROR(AZ54/AZ$31)),"-",AZ54/AZ$31)</f>
        <v>0.37393162393162394</v>
      </c>
      <c r="BA244" s="284">
        <f>IF(OR(BA54="",ISERROR(BA54/BA$31)),"-",BA54/BA$31)</f>
        <v>0.3755806237558062</v>
      </c>
      <c r="BB244" s="284">
        <f>IF(OR(BB54="",ISERROR(BB54/BB$31)),"-",BB54/BB$31)</f>
        <v>0.37583892617449671</v>
      </c>
      <c r="BC244" s="284">
        <f>IF(OR(BC54="",ISERROR(BC54/BC$31)),"-",BC54/BC$31)</f>
        <v>0.37283073694406321</v>
      </c>
      <c r="BD244" s="159"/>
      <c r="BE244" s="284">
        <f>IF(OR(BE54="",ISERROR(BE54/BE$31)),"-",BE54/BE$31)</f>
        <v>0.35477582846003902</v>
      </c>
      <c r="BF244" s="284">
        <f>IF(OR(BF54="",ISERROR(BF54/BF$31)),"-",BF54/BF$31)</f>
        <v>0.35562632696390661</v>
      </c>
      <c r="BG244" s="284">
        <f>IF(OR(BG54="",ISERROR(BG54/BG$31)),"-",BG54/BG$31)</f>
        <v>0.35753604193971167</v>
      </c>
      <c r="BH244" s="284">
        <f>IF(OR(BH54="",ISERROR(BH54/BH$31)),"-",BH54/BH$31)</f>
        <v>0.37160552644116246</v>
      </c>
      <c r="BI244" s="284">
        <f>IF(OR(BI54="",ISERROR(BI54/BI$31)),"-",BI54/BI$31)</f>
        <v>0.36026541764246683</v>
      </c>
      <c r="BJ244" s="90"/>
      <c r="BK244" s="284">
        <f>IF(OR(BK54="",ISERROR(BK54/BK$31)),"-",BK54/BK$31)</f>
        <v>0.36995412844036701</v>
      </c>
      <c r="BL244" s="284">
        <f>IF(OR(BL54="",ISERROR(BL54/BL$31)),"-",BL54/BL$31)</f>
        <v>0.35120106761565834</v>
      </c>
      <c r="BM244" s="284">
        <f>IF(OR(BM54="",ISERROR(BM54/BM$31)),"-",BM54/BM$31)</f>
        <v>0.35420315236427313</v>
      </c>
      <c r="BN244" s="284">
        <f>IF(OR(BN54="",ISERROR(BN54/BN$31)),"-",BN54/BN$31)</f>
        <v>0.34841174105347805</v>
      </c>
      <c r="BO244" s="284">
        <f>IF(OR(BO54="",ISERROR(BO54/BO$31)),"-",BO54/BO$31)</f>
        <v>0.35563648222632888</v>
      </c>
      <c r="BP244" s="90"/>
      <c r="BQ244" s="284">
        <f>IF(OR(BQ54="",ISERROR(BQ54/BQ$31)),"-",BQ54/BQ$31)</f>
        <v>0.35666535587888315</v>
      </c>
      <c r="BR244" s="284">
        <f>IF(OR(BR54="",ISERROR(BR54/BR$31)),"-",BR54/BR$31)</f>
        <v>0.36090511504088224</v>
      </c>
      <c r="BS244" s="284">
        <f>IF(OR(BS54="",ISERROR(BS54/BS$31)),"-",BS54/BS$31)</f>
        <v>0.35791233283803869</v>
      </c>
      <c r="BT244" s="284">
        <f>IF(OR(BT54="",ISERROR(BT54/BT$31)),"-",BT54/BT$31)</f>
        <v>0.38407611417125687</v>
      </c>
      <c r="BU244" s="284">
        <f>IF(OR(BU54="",ISERROR(BU54/BU$31)),"-",BU54/BU$31)</f>
        <v>0.36556169429097607</v>
      </c>
      <c r="BV244" s="90"/>
      <c r="BW244" s="284">
        <f>IF(OR(BW54="",ISERROR(BW54/BW$31)),"-",BW54/BW$31)</f>
        <v>0.35637942551770213</v>
      </c>
      <c r="BX244" s="284">
        <f>IF(OR(BX54="",ISERROR(BX54/BX$31)),"-",BX54/BX$31)</f>
        <v>0.35318805488297017</v>
      </c>
      <c r="BY244" s="284">
        <f>IF(OR(BY54="",ISERROR(BY54/BY$31)),"-",BY54/BY$31)</f>
        <v>0.35480151540108712</v>
      </c>
      <c r="BZ244" s="284">
        <f>IF(OR(BZ54="",ISERROR(BZ54/BZ$31)),"-",BZ54/BZ$31)</f>
        <v>0.42752143732135567</v>
      </c>
      <c r="CA244" s="284">
        <f>IF(OR(CA54="",ISERROR(CA54/CA$31)),"-",CA54/CA$31)</f>
        <v>0.37016240497581199</v>
      </c>
      <c r="CB244" s="90"/>
      <c r="CC244" s="284">
        <f>IF(OR(CC54="",ISERROR(CC54/CC$31)),"-",CC54/CC$31)</f>
        <v>0.41404415218412405</v>
      </c>
      <c r="CD244" s="284">
        <f>IF(OR(CD54="",ISERROR(CD54/CD$31)),"-",CD54/CD$31)</f>
        <v>0.40226560617016149</v>
      </c>
      <c r="CE244" s="284">
        <f>IF(OR(CE54="",ISERROR(CE54/CE$31)),"-",CE54/CE$31)</f>
        <v>0.40009594627008882</v>
      </c>
      <c r="CF244" s="284">
        <f>IF(OR(CF54="",ISERROR(CF54/CF$31)),"-",CF54/CF$31)</f>
        <v>0.40057005042753785</v>
      </c>
      <c r="CG244" s="284">
        <f>IF(OR(CG54="",ISERROR(CG54/CG$31)),"-",CG54/CG$31)</f>
        <v>0.40421310614459949</v>
      </c>
      <c r="CH244" s="90"/>
      <c r="CI244" s="284">
        <f>IF(OR(CI54="",ISERROR(CI54/CI$31)),"-",CI54/CI$31)</f>
        <v>0.37062789717656974</v>
      </c>
      <c r="CJ244" s="284">
        <f>IF(OR(CJ54="",ISERROR(CJ54/CJ$31)),"-",CJ54/CJ$31)</f>
        <v>0.35596446700507622</v>
      </c>
      <c r="CK244" s="284">
        <f>IF(OR(CK54="",ISERROR(CK54/CK$31)),"-",CK54/CK$31)</f>
        <v>0.37235158380532829</v>
      </c>
      <c r="CL244" s="284">
        <f>IF(OR(CL54="",ISERROR(CL54/CL$31)),"-",CL54/CL$31)</f>
        <v>0.41462952435095696</v>
      </c>
      <c r="CM244" s="284">
        <f>IF(OR(CM54="",ISERROR(CM54/CM$31)),"-",CM54/CM$31)</f>
        <v>0.37939338046931037</v>
      </c>
      <c r="CN244" s="90"/>
      <c r="CO244" s="284">
        <f>IF(OR(CO54="",ISERROR(CO54/CO$31)),"-",CO54/CO$31)</f>
        <v>0.35983342797652851</v>
      </c>
      <c r="CP244" s="284">
        <f>IF(OR(CP54="",ISERROR(CP54/CP$31)),"-",CP54/CP$31)</f>
        <v>0.34724510342302767</v>
      </c>
      <c r="CQ244" s="284">
        <f>IF(OR(CQ54="",ISERROR(CQ54/CQ$31)),"-",CQ54/CQ$31)</f>
        <v>0.35453882610280718</v>
      </c>
      <c r="CR244" s="284">
        <f>IF(OR(CR54="",ISERROR(CR54/CR$31)),"-",CR54/CR$31)</f>
        <v>0.37137069547602974</v>
      </c>
      <c r="CS244" s="284">
        <f>IF(OR(CS54="",ISERROR(CS54/CS$31)),"-",CS54/CS$31)</f>
        <v>0.35850333995306011</v>
      </c>
      <c r="CT244" s="90"/>
      <c r="CU244" s="284">
        <f>IF(OR(CU54="",ISERROR(CU54/CU$31)),"-",CU54/CU$31)</f>
        <v>0.35440027183146444</v>
      </c>
      <c r="CV244" s="284">
        <f>IF(OR(CV54="",ISERROR(CV54/CV$31)),"-",CV54/CV$31)</f>
        <v>0.34499121265377858</v>
      </c>
      <c r="CW244" s="284">
        <f>IF(OR(CW54="",ISERROR(CW54/CW$31)),"-",CW54/CW$31)</f>
        <v>0.34306569343065696</v>
      </c>
      <c r="CX244" s="284">
        <f>IF(OR(CX54="",ISERROR(CX54/CX$31)),"-",CX54/CX$31)</f>
        <v>0.36095551894563427</v>
      </c>
      <c r="CY244" s="284">
        <f>IF(OR(CY54="",ISERROR(CY54/CY$31)),"-",CY54/CY$31)</f>
        <v>0.35111995156966186</v>
      </c>
      <c r="CZ244" s="90"/>
      <c r="DA244" s="284">
        <f>IF(OR(DA54="",ISERROR(DA54/DA$31)),"-",DA54/DA$31)</f>
        <v>0.3413394109396915</v>
      </c>
      <c r="DB244" s="284">
        <f>IF(OR(DB54="",ISERROR(DB54/DB$31)),"-",DB54/DB$31)</f>
        <v>0.3279330603525013</v>
      </c>
      <c r="DC244" s="284">
        <f>IF(OR(DC54="",ISERROR(DC54/DC$31)),"-",DC54/DC$31)</f>
        <v>0.34023775216138324</v>
      </c>
      <c r="DD244" s="284">
        <f>IF(OR(DD54="",ISERROR(DD54/DD$31)),"-",DD54/DD$31)</f>
        <v>0.36856460961472903</v>
      </c>
      <c r="DE244" s="284">
        <f>IF(OR(DE54="",ISERROR(DE54/DE$31)),"-",DE54/DE$31)</f>
        <v>0.34478209244030084</v>
      </c>
      <c r="DF244" s="90"/>
      <c r="DG244" s="284">
        <f>IF(OR(DG54="",ISERROR(DG54/DG$31)),"-",DG54/DG$31)</f>
        <v>0.35679324894514769</v>
      </c>
      <c r="DH244" s="284">
        <f>IF(OR(DH54="",ISERROR(DH54/DH$31)),"-",DH54/DH$31)</f>
        <v>0.34531470726730501</v>
      </c>
      <c r="DI244" s="284">
        <f>IF(OR(DI54="",ISERROR(DI54/DI$31)),"-",DI54/DI$31)</f>
        <v>0.36521035598705498</v>
      </c>
      <c r="DJ244" s="284">
        <f>IF(OR(DJ54="",ISERROR(DJ54/DJ$31)),"-",DJ54/DJ$31)</f>
        <v>0.4040024074631357</v>
      </c>
      <c r="DK244" s="284">
        <f>IF(OR(DK54="",ISERROR(DK54/DK$31)),"-",DK54/DK$31)</f>
        <v>0.36844200302523683</v>
      </c>
      <c r="DL244" s="90"/>
      <c r="DM244" s="284">
        <f>IF(OR(DM54="",ISERROR(DM54/DM$31)),"-",DM54/DM$31)</f>
        <v>0.35916473317865433</v>
      </c>
      <c r="DN244" s="284">
        <f>IF(OR(DN54="",ISERROR(DN54/DN$31)),"-",DN54/DN$31)</f>
        <v>0.36669401148482361</v>
      </c>
      <c r="DO244" s="284">
        <f>IF(OR(DO54="",ISERROR(DO54/DO$31)),"-",DO54/DO$31)</f>
        <v>0.36878959653217747</v>
      </c>
      <c r="DP244" s="284">
        <f>IF(OR(DP54="",ISERROR(DP54/DP$31)),"-",DP54/DP$31)</f>
        <v>0.39086842511183095</v>
      </c>
      <c r="DQ244" s="284">
        <f>IF(OR(DQ54="",ISERROR(DQ54/DQ$31)),"-",DQ54/DQ$31)</f>
        <v>0.37151072241523903</v>
      </c>
      <c r="DR244" s="90"/>
      <c r="DS244" s="284">
        <f>IF(OR(DS54="",ISERROR(DS54/DS$31)),"-",DS54/DS$31)</f>
        <v>0.42840398515335032</v>
      </c>
      <c r="DT244" s="284">
        <f>IF(OR(DT54="",ISERROR(DT54/DT$31)),"-",DT54/DT$31)</f>
        <v>0.39912838205919732</v>
      </c>
      <c r="DU244" s="284">
        <f>IF(OR(DU54="",ISERROR(DU54/DU$31)),"-",DU54/DU$31)</f>
        <v>0.47140522875816993</v>
      </c>
      <c r="DV244" s="284">
        <f>IF(OR(DV54="",ISERROR(DV54/DV$31)),"-",DV54/DV$31)</f>
        <v>0.53989139515455309</v>
      </c>
      <c r="DW244" s="284">
        <f>IF(OR(DW54="",ISERROR(DW54/DW$31)),"-",DW54/DW$31)</f>
        <v>0.45711472181191543</v>
      </c>
      <c r="DX244" s="90"/>
      <c r="DY244" s="284">
        <f>IF(OR(DY54="",ISERROR(DY54/DY$31)),"-",DY54/DY$31)</f>
        <v>0.47210212065060736</v>
      </c>
      <c r="DZ244" s="284">
        <f>IF(OR(DZ54="",ISERROR(DZ54/DZ$31)),"-",DZ54/DZ$31)</f>
        <v>0.46153846153846162</v>
      </c>
      <c r="EA244" s="284">
        <f>IF(OR(EA54="",ISERROR(EA54/EA$31)),"-",EA54/EA$31)</f>
        <v>0.47506307005627796</v>
      </c>
      <c r="EB244" s="284">
        <f>IF(OR(EB54="",ISERROR(EB54/EB$31)),"-",EB54/EB$31)</f>
        <v>0.49530516431924887</v>
      </c>
      <c r="EC244" s="284">
        <f>IF(OR(EC54="",ISERROR(EC54/EC$31)),"-",EC54/EC$31)</f>
        <v>0.47651463580667125</v>
      </c>
      <c r="ED244" s="90"/>
      <c r="EE244" s="116">
        <f>IF(OR(EE54="",ISERROR(EE54/EE$31)),"-",EE54/EE$31)</f>
        <v>0.42210212065060737</v>
      </c>
      <c r="EF244" s="116">
        <f>IF(OR(EF54="",ISERROR(EF54/EF$31)),"-",EF54/EF$31)</f>
        <v>0.39153846153846161</v>
      </c>
      <c r="EG244" s="116">
        <f>IF(OR(EG54="",ISERROR(EG54/EG$31)),"-",EG54/EG$31)</f>
        <v>0.37506307005627793</v>
      </c>
      <c r="EH244" s="116">
        <f>IF(OR(EH54="",ISERROR(EH54/EH$31)),"-",EH54/EH$31)</f>
        <v>0.38730516431924883</v>
      </c>
      <c r="EI244" s="116">
        <f>IF(OR(EI54="",ISERROR(EI54/EI$31)),"-",EI54/EI$31)</f>
        <v>0.3929474228914544</v>
      </c>
      <c r="EJ244" s="90"/>
      <c r="EK244" s="116">
        <f>IF(OR(EK54="",ISERROR(EK54/EK$31)),"-",EK54/EK$31)</f>
        <v>0.3321021206506074</v>
      </c>
      <c r="EL244" s="116">
        <f>IF(OR(EL54="",ISERROR(EL54/EL$31)),"-",EL54/EL$31)</f>
        <v>0.30653846153846159</v>
      </c>
      <c r="EM244" s="116">
        <f>IF(OR(EM54="",ISERROR(EM54/EM$31)),"-",EM54/EM$31)</f>
        <v>0.29506307005627791</v>
      </c>
      <c r="EN244" s="116">
        <f>IF(OR(EN54="",ISERROR(EN54/EN$31)),"-",EN54/EN$31)</f>
        <v>0.30230516431924892</v>
      </c>
      <c r="EO244" s="116">
        <f>IF(OR(EO54="",ISERROR(EO54/EO$31)),"-",EO54/EO$31)</f>
        <v>0.30809481523727211</v>
      </c>
      <c r="EP244" s="90"/>
      <c r="EQ244" s="116">
        <f>IF(OR(EQ54="",ISERROR(EQ54/EQ$31)),"-",EQ54/EQ$31)</f>
        <v>0.32210212065060739</v>
      </c>
      <c r="ER244" s="116">
        <f>IF(OR(ER54="",ISERROR(ER54/ER$31)),"-",ER54/ER$31)</f>
        <v>0.27653846153846162</v>
      </c>
      <c r="ES244" s="116">
        <f>IF(OR(ES54="",ISERROR(ES54/ES$31)),"-",ES54/ES$31)</f>
        <v>0.26006307005627793</v>
      </c>
      <c r="ET244" s="116">
        <f>IF(OR(ET54="",ISERROR(ET54/ET$31)),"-",ET54/ET$31)</f>
        <v>0.24730516431924884</v>
      </c>
      <c r="EU244" s="116">
        <f>IF(OR(EU54="",ISERROR(EU54/EU$31)),"-",EU54/EU$31)</f>
        <v>0.27275586377637862</v>
      </c>
      <c r="EV244" s="90"/>
    </row>
    <row r="245" spans="1:152">
      <c r="A245" s="90" t="s">
        <v>5638</v>
      </c>
      <c r="B245" s="526"/>
      <c r="C245" s="284">
        <f>IF(OR(C58="",ISERROR(C58/C$31)),"-",C58/C$31)</f>
        <v>0.16801173881144532</v>
      </c>
      <c r="D245" s="284">
        <f>IF(OR(D58="",ISERROR(D58/D$31)),"-",D58/D$31)</f>
        <v>0.17793317793317795</v>
      </c>
      <c r="E245" s="284">
        <f>IF(OR(E58="",ISERROR(E58/E$31)),"-",E58/E$31)</f>
        <v>0.20325900514579759</v>
      </c>
      <c r="F245" s="284">
        <f>IF(OR(F58="",ISERROR(F58/F$31)),"-",F58/F$31)</f>
        <v>0.21043478260869564</v>
      </c>
      <c r="G245" s="284">
        <f>IF(OR(G58="",ISERROR(G58/G$31)),"-",G58/G$31)</f>
        <v>0.18864505737869944</v>
      </c>
      <c r="H245" s="90"/>
      <c r="I245" s="284">
        <f>IF(OR(I58="",ISERROR(I58/I$31)),"-",I58/I$31)</f>
        <v>0.20821917808219176</v>
      </c>
      <c r="J245" s="284">
        <f>IF(OR(J58="",ISERROR(J58/J$31)),"-",J58/J$31)</f>
        <v>0.1752249867654844</v>
      </c>
      <c r="K245" s="284">
        <f>IF(OR(K58="",ISERROR(K58/K$31)),"-",K58/K$31)</f>
        <v>0.1819541375872383</v>
      </c>
      <c r="L245" s="284">
        <f>IF(OR(L58="",ISERROR(L58/L$31)),"-",L58/L$31)</f>
        <v>0.16020082154267459</v>
      </c>
      <c r="M245" s="284">
        <f>IF(OR(M58="",ISERROR(M58/M$31)),"-",M58/M$31)</f>
        <v>0.17903525046382188</v>
      </c>
      <c r="N245" s="90"/>
      <c r="O245" s="284">
        <f>IF(OR(O58="",ISERROR(O58/O$31)),"-",O58/O$31)</f>
        <v>0.17236991074327943</v>
      </c>
      <c r="P245" s="284">
        <f>IF(OR(P58="",ISERROR(P58/P$31)),"-",P58/P$31)</f>
        <v>0.16530088746954971</v>
      </c>
      <c r="Q245" s="284">
        <f>IF(OR(Q58="",ISERROR(Q58/Q$31)),"-",Q58/Q$31)</f>
        <v>0.19443189653122844</v>
      </c>
      <c r="R245" s="284">
        <f>IF(OR(R58="",ISERROR(R58/R$31)),"-",R58/R$31)</f>
        <v>0.17242800012539242</v>
      </c>
      <c r="S245" s="284">
        <f>IF(OR(S58="",ISERROR(S58/S$31)),"-",S58/S$31)</f>
        <v>0.17573772252503825</v>
      </c>
      <c r="T245" s="90"/>
      <c r="U245" s="284">
        <f>IF(OR(U58="",ISERROR(U58/U$31)),"-",U58/U$31)</f>
        <v>0.218853158723188</v>
      </c>
      <c r="V245" s="284">
        <f>IF(OR(V58="",ISERROR(V58/V$31)),"-",V58/V$31)</f>
        <v>0.23485862989239348</v>
      </c>
      <c r="W245" s="284">
        <f>IF(OR(W58="",ISERROR(W58/W$31)),"-",W58/W$31)</f>
        <v>0.21861231628157266</v>
      </c>
      <c r="X245" s="284">
        <f>IF(OR(X58="",ISERROR(X58/X$31)),"-",X58/X$31)</f>
        <v>0.19201330527578889</v>
      </c>
      <c r="Y245" s="284">
        <f>IF(OR(Y58="",ISERROR(Y58/Y$31)),"-",Y58/Y$31)</f>
        <v>0.21559434515141188</v>
      </c>
      <c r="Z245" s="104"/>
      <c r="AA245" s="284">
        <f>IF(OR(AA58="",ISERROR(AA58/AA$31)),"-",AA58/AA$31)</f>
        <v>0.17406890110222739</v>
      </c>
      <c r="AB245" s="284">
        <f>IF(OR(AB58="",ISERROR(AB58/AB$31)),"-",AB58/AB$31)</f>
        <v>0.18154878221619045</v>
      </c>
      <c r="AC245" s="284">
        <f>IF(OR(AC58="",ISERROR(AC58/AC$31)),"-",AC58/AC$31)</f>
        <v>0.18613560697626727</v>
      </c>
      <c r="AD245" s="284">
        <f>IF(OR(AD58="",ISERROR(AD58/AD$31)),"-",AD58/AD$31)</f>
        <v>0.18639193242459279</v>
      </c>
      <c r="AE245" s="284">
        <f>IF(OR(AE58="",ISERROR(AE58/AE$31)),"-",AE58/AE$31)</f>
        <v>0.18208120266061747</v>
      </c>
      <c r="AF245" s="90"/>
      <c r="AG245" s="284">
        <f>IF(OR(AG58="",ISERROR(AG58/AG$31)),"-",AG58/AG$31)</f>
        <v>0.2043216407585253</v>
      </c>
      <c r="AH245" s="284">
        <f>IF(OR(AH58="",ISERROR(AH58/AH$31)),"-",AH58/AH$31)</f>
        <v>0.20542444674965424</v>
      </c>
      <c r="AI245" s="284">
        <f>IF(OR(AI58="",ISERROR(AI58/AI$31)),"-",AI58/AI$31)</f>
        <v>0.20210577887473016</v>
      </c>
      <c r="AJ245" s="284">
        <f>IF(OR(AJ58="",ISERROR(AJ58/AJ$31)),"-",AJ58/AJ$31)</f>
        <v>0.17170929875528471</v>
      </c>
      <c r="AK245" s="284">
        <f>IF(OR(AK58="",ISERROR(AK58/AK$31)),"-",AK58/AK$31)</f>
        <v>0.19534116946757279</v>
      </c>
      <c r="AL245" s="90"/>
      <c r="AM245" s="284">
        <f>IF(OR(AM58="",ISERROR(AM58/AM$31)),"-",AM58/AM$31)</f>
        <v>0.21669057721070784</v>
      </c>
      <c r="AN245" s="284">
        <f>IF(OR(AN58="",ISERROR(AN58/AN$31)),"-",AN58/AN$31)</f>
        <v>0.24135174384227132</v>
      </c>
      <c r="AO245" s="284">
        <f>IF(OR(AO58="",ISERROR(AO58/AO$31)),"-",AO58/AO$31)</f>
        <v>0.23999342875766425</v>
      </c>
      <c r="AP245" s="284">
        <f>IF(OR(AP58="",ISERROR(AP58/AP$31)),"-",AP58/AP$31)</f>
        <v>0.22632418830172465</v>
      </c>
      <c r="AQ245" s="284">
        <f>IF(OR(AQ58="",ISERROR(AQ58/AQ$31)),"-",AQ58/AQ$31)</f>
        <v>0.23062385977246971</v>
      </c>
      <c r="AR245" s="159"/>
      <c r="AS245" s="284">
        <f>IF(OR(AS58="",ISERROR(AS58/AS$31)),"-",AS58/AS$31)</f>
        <v>0.24472163441921374</v>
      </c>
      <c r="AT245" s="284">
        <f>IF(OR(AT58="",ISERROR(AT58/AT$31)),"-",AT58/AT$31)</f>
        <v>0.23459058595687399</v>
      </c>
      <c r="AU245" s="284">
        <f>IF(OR(AU58="",ISERROR(AU58/AU$31)),"-",AU58/AU$31)</f>
        <v>0.22664648382379352</v>
      </c>
      <c r="AV245" s="284">
        <f>IF(OR(AV58="",ISERROR(AV58/AV$31)),"-",AV58/AV$31)</f>
        <v>0.18659036266973683</v>
      </c>
      <c r="AW245" s="284">
        <f>IF(OR(AW58="",ISERROR(AW58/AW$31)),"-",AW58/AW$31)</f>
        <v>0.2199869068547764</v>
      </c>
      <c r="AX245" s="159"/>
      <c r="AY245" s="284">
        <f>IF(OR(AY58="",ISERROR(AY58/AY$31)),"-",AY58/AY$31)</f>
        <v>0.19358074222668001</v>
      </c>
      <c r="AZ245" s="284">
        <f>IF(OR(AZ58="",ISERROR(AZ58/AZ$31)),"-",AZ58/AZ$31)</f>
        <v>0.20762108262108261</v>
      </c>
      <c r="BA245" s="284">
        <f>IF(OR(BA58="",ISERROR(BA58/BA$31)),"-",BA58/BA$31)</f>
        <v>0.19873921698739214</v>
      </c>
      <c r="BB245" s="284">
        <f>IF(OR(BB58="",ISERROR(BB58/BB$31)),"-",BB58/BB$31)</f>
        <v>0.17701342281879198</v>
      </c>
      <c r="BC245" s="284">
        <f>IF(OR(BC58="",ISERROR(BC58/BC$31)),"-",BC58/BC$31)</f>
        <v>0.19323593510372103</v>
      </c>
      <c r="BD245" s="159"/>
      <c r="BE245" s="284">
        <f>IF(OR(BE58="",ISERROR(BE58/BE$31)),"-",BE58/BE$31)</f>
        <v>0.18379281537176276</v>
      </c>
      <c r="BF245" s="284">
        <f>IF(OR(BF58="",ISERROR(BF58/BF$31)),"-",BF58/BF$31)</f>
        <v>0.1937367303609342</v>
      </c>
      <c r="BG245" s="284">
        <f>IF(OR(BG58="",ISERROR(BG58/BG$31)),"-",BG58/BG$31)</f>
        <v>0.19397116644823068</v>
      </c>
      <c r="BH245" s="284">
        <f>IF(OR(BH58="",ISERROR(BH58/BH$31)),"-",BH58/BH$31)</f>
        <v>0.19247260600285848</v>
      </c>
      <c r="BI245" s="284">
        <f>IF(OR(BI58="",ISERROR(BI58/BI$31)),"-",BI58/BI$31)</f>
        <v>0.19112672391360919</v>
      </c>
      <c r="BJ245" s="90"/>
      <c r="BK245" s="284">
        <f>IF(OR(BK58="",ISERROR(BK58/BK$31)),"-",BK58/BK$31)</f>
        <v>0.2121559633027523</v>
      </c>
      <c r="BL245" s="284">
        <f>IF(OR(BL58="",ISERROR(BL58/BL$31)),"-",BL58/BL$31)</f>
        <v>0.20240213523131673</v>
      </c>
      <c r="BM245" s="284">
        <f>IF(OR(BM58="",ISERROR(BM58/BM$31)),"-",BM58/BM$31)</f>
        <v>0.21409807355516638</v>
      </c>
      <c r="BN245" s="284">
        <f>IF(OR(BN58="",ISERROR(BN58/BN$31)),"-",BN58/BN$31)</f>
        <v>0.19079211901889828</v>
      </c>
      <c r="BO245" s="284">
        <f>IF(OR(BO58="",ISERROR(BO58/BO$31)),"-",BO58/BO$31)</f>
        <v>0.20447874768996629</v>
      </c>
      <c r="BP245" s="90"/>
      <c r="BQ245" s="284">
        <f>IF(OR(BQ58="",ISERROR(BQ58/BQ$31)),"-",BQ58/BQ$31)</f>
        <v>0.20762878489972472</v>
      </c>
      <c r="BR245" s="284">
        <f>IF(OR(BR58="",ISERROR(BR58/BR$31)),"-",BR58/BR$31)</f>
        <v>0.20422133485453506</v>
      </c>
      <c r="BS245" s="284">
        <f>IF(OR(BS58="",ISERROR(BS58/BS$31)),"-",BS58/BS$31)</f>
        <v>0.2007800891530461</v>
      </c>
      <c r="BT245" s="284">
        <f>IF(OR(BT58="",ISERROR(BT58/BT$31)),"-",BT58/BT$31)</f>
        <v>0.20247037222500416</v>
      </c>
      <c r="BU245" s="284">
        <f>IF(OR(BU58="",ISERROR(BU58/BU$31)),"-",BU58/BU$31)</f>
        <v>0.20368324125230206</v>
      </c>
      <c r="BV245" s="90"/>
      <c r="BW245" s="284">
        <f>IF(OR(BW58="",ISERROR(BW58/BW$31)),"-",BW58/BW$31)</f>
        <v>0.22595190380761521</v>
      </c>
      <c r="BX245" s="284">
        <f>IF(OR(BX58="",ISERROR(BX58/BX$31)),"-",BX58/BX$31)</f>
        <v>0.20774818401937045</v>
      </c>
      <c r="BY245" s="284">
        <f>IF(OR(BY58="",ISERROR(BY58/BY$31)),"-",BY58/BY$31)</f>
        <v>0.20886180200955359</v>
      </c>
      <c r="BZ245" s="284">
        <f>IF(OR(BZ58="",ISERROR(BZ58/BZ$31)),"-",BZ58/BZ$31)</f>
        <v>0.25275622703144135</v>
      </c>
      <c r="CA245" s="284">
        <f>IF(OR(CA58="",ISERROR(CA58/CA$31)),"-",CA58/CA$31)</f>
        <v>0.22227021423635102</v>
      </c>
      <c r="CB245" s="90"/>
      <c r="CC245" s="284">
        <f>IF(OR(CC58="",ISERROR(CC58/CC$31)),"-",CC58/CC$31)</f>
        <v>0.27501174260216066</v>
      </c>
      <c r="CD245" s="284">
        <f>IF(OR(CD58="",ISERROR(CD58/CD$31)),"-",CD58/CD$31)</f>
        <v>0.24777054711978791</v>
      </c>
      <c r="CE245" s="284">
        <f>IF(OR(CE58="",ISERROR(CE58/CE$31)),"-",CE58/CE$31)</f>
        <v>0.239385943871432</v>
      </c>
      <c r="CF245" s="284">
        <f>IF(OR(CF58="",ISERROR(CF58/CF$31)),"-",CF58/CF$31)</f>
        <v>0.24227143170357376</v>
      </c>
      <c r="CG245" s="284">
        <f>IF(OR(CG58="",ISERROR(CG58/CG$31)),"-",CG58/CG$31)</f>
        <v>0.25103577055493964</v>
      </c>
      <c r="CH245" s="90"/>
      <c r="CI245" s="284">
        <f>IF(OR(CI58="",ISERROR(CI58/CI$31)),"-",CI58/CI$31)</f>
        <v>0.25052675937631691</v>
      </c>
      <c r="CJ245" s="284">
        <f>IF(OR(CJ58="",ISERROR(CJ58/CJ$31)),"-",CJ58/CJ$31)</f>
        <v>0.23709813874788496</v>
      </c>
      <c r="CK245" s="284">
        <f>IF(OR(CK58="",ISERROR(CK58/CK$31)),"-",CK58/CK$31)</f>
        <v>0.24564715754143066</v>
      </c>
      <c r="CL245" s="284">
        <f>IF(OR(CL58="",ISERROR(CL58/CL$31)),"-",CL58/CL$31)</f>
        <v>0.22872844419177563</v>
      </c>
      <c r="CM245" s="284">
        <f>IF(OR(CM58="",ISERROR(CM58/CM$31)),"-",CM58/CM$31)</f>
        <v>0.24018854390818734</v>
      </c>
      <c r="CN245" s="90"/>
      <c r="CO245" s="284">
        <f>IF(OR(CO58="",ISERROR(CO58/CO$31)),"-",CO58/CO$31)</f>
        <v>0.24171872042400153</v>
      </c>
      <c r="CP245" s="284">
        <f>IF(OR(CP58="",ISERROR(CP58/CP$31)),"-",CP58/CP$31)</f>
        <v>0.23686619073768989</v>
      </c>
      <c r="CQ245" s="284">
        <f>IF(OR(CQ58="",ISERROR(CQ58/CQ$31)),"-",CQ58/CQ$31)</f>
        <v>0.24115931461903026</v>
      </c>
      <c r="CR245" s="284">
        <f>IF(OR(CR58="",ISERROR(CR58/CR$31)),"-",CR58/CR$31)</f>
        <v>0.23463875759621877</v>
      </c>
      <c r="CS245" s="284">
        <f>IF(OR(CS58="",ISERROR(CS58/CS$31)),"-",CS58/CS$31)</f>
        <v>0.23849070229283265</v>
      </c>
      <c r="CT245" s="90"/>
      <c r="CU245" s="284">
        <f>IF(OR(CU58="",ISERROR(CU58/CU$31)),"-",CU58/CU$31)</f>
        <v>0.24057084607543322</v>
      </c>
      <c r="CV245" s="284">
        <f>IF(OR(CV58="",ISERROR(CV58/CV$31)),"-",CV58/CV$31)</f>
        <v>0.23637961335676624</v>
      </c>
      <c r="CW245" s="284">
        <f>IF(OR(CW58="",ISERROR(CW58/CW$31)),"-",CW58/CW$31)</f>
        <v>0.229014598540146</v>
      </c>
      <c r="CX245" s="284">
        <f>IF(OR(CX58="",ISERROR(CX58/CX$31)),"-",CX58/CX$31)</f>
        <v>0.22602965403624384</v>
      </c>
      <c r="CY245" s="284">
        <f>IF(OR(CY58="",ISERROR(CY58/CY$31)),"-",CY58/CY$31)</f>
        <v>0.23298451958834215</v>
      </c>
      <c r="CZ245" s="90"/>
      <c r="DA245" s="284">
        <f>IF(OR(DA58="",ISERROR(DA58/DA$31)),"-",DA58/DA$31)</f>
        <v>0.24526647966339413</v>
      </c>
      <c r="DB245" s="284">
        <f>IF(OR(DB58="",ISERROR(DB58/DB$31)),"-",DB58/DB$31)</f>
        <v>0.24692896564002137</v>
      </c>
      <c r="DC245" s="284">
        <f>IF(OR(DC58="",ISERROR(DC58/DC$31)),"-",DC58/DC$31)</f>
        <v>0.25</v>
      </c>
      <c r="DD245" s="284">
        <f>IF(OR(DD58="",ISERROR(DD58/DD$31)),"-",DD58/DD$31)</f>
        <v>0.25571087623593597</v>
      </c>
      <c r="DE245" s="284">
        <f>IF(OR(DE58="",ISERROR(DE58/DE$31)),"-",DE58/DE$31)</f>
        <v>0.24952724394212594</v>
      </c>
      <c r="DF245" s="90"/>
      <c r="DG245" s="284">
        <f>IF(OR(DG58="",ISERROR(DG58/DG$31)),"-",DG58/DG$31)</f>
        <v>0.26936708860759495</v>
      </c>
      <c r="DH245" s="284">
        <f>IF(OR(DH58="",ISERROR(DH58/DH$31)),"-",DH58/DH$31)</f>
        <v>0.2599277978339351</v>
      </c>
      <c r="DI245" s="284">
        <f>IF(OR(DI58="",ISERROR(DI58/DI$31)),"-",DI58/DI$31)</f>
        <v>0.27378640776699031</v>
      </c>
      <c r="DJ245" s="284">
        <f>IF(OR(DJ58="",ISERROR(DJ58/DJ$31)),"-",DJ58/DJ$31)</f>
        <v>0.26301534757749023</v>
      </c>
      <c r="DK245" s="284">
        <f>IF(OR(DK58="",ISERROR(DK58/DK$31)),"-",DK58/DK$31)</f>
        <v>0.26638006528142666</v>
      </c>
      <c r="DL245" s="90"/>
      <c r="DM245" s="284">
        <f>IF(OR(DM58="",ISERROR(DM58/DM$31)),"-",DM58/DM$31)</f>
        <v>0.27362722351121421</v>
      </c>
      <c r="DN245" s="284">
        <f>IF(OR(DN58="",ISERROR(DN58/DN$31)),"-",DN58/DN$31)</f>
        <v>0.29253486464315009</v>
      </c>
      <c r="DO245" s="284">
        <f>IF(OR(DO58="",ISERROR(DO58/DO$31)),"-",DO58/DO$31)</f>
        <v>0.30076692230743585</v>
      </c>
      <c r="DP245" s="284">
        <f>IF(OR(DP58="",ISERROR(DP58/DP$31)),"-",DP58/DP$31)</f>
        <v>0.28381921949714639</v>
      </c>
      <c r="DQ245" s="284">
        <f>IF(OR(DQ58="",ISERROR(DQ58/DQ$31)),"-",DQ58/DQ$31)</f>
        <v>0.28736871530689673</v>
      </c>
      <c r="DR245" s="90"/>
      <c r="DS245" s="284">
        <f>IF(OR(DS58="",ISERROR(DS58/DS$31)),"-",DS58/DS$31)</f>
        <v>0.34108224262551279</v>
      </c>
      <c r="DT245" s="284">
        <f>IF(OR(DT58="",ISERROR(DT58/DT$31)),"-",DT58/DT$31)</f>
        <v>0.31378245868894133</v>
      </c>
      <c r="DU245" s="284">
        <f>IF(OR(DU58="",ISERROR(DU58/DU$31)),"-",DU58/DU$31)</f>
        <v>0.35069444444444442</v>
      </c>
      <c r="DV245" s="284">
        <f>IF(OR(DV58="",ISERROR(DV58/DV$31)),"-",DV58/DV$31)</f>
        <v>0.3460735171261487</v>
      </c>
      <c r="DW245" s="284">
        <f>IF(OR(DW58="",ISERROR(DW58/DW$31)),"-",DW58/DW$31)</f>
        <v>0.33717380600689317</v>
      </c>
      <c r="DX245" s="90"/>
      <c r="DY245" s="284">
        <f>IF(OR(DY58="",ISERROR(DY58/DY$31)),"-",DY58/DY$31)</f>
        <v>0.34280420012353308</v>
      </c>
      <c r="DZ245" s="284">
        <f>IF(OR(DZ58="",ISERROR(DZ58/DZ$31)),"-",DZ58/DZ$31)</f>
        <v>0.34555599840573936</v>
      </c>
      <c r="EA245" s="284">
        <f>IF(OR(EA58="",ISERROR(EA58/EA$31)),"-",EA58/EA$31)</f>
        <v>0.33320395885891718</v>
      </c>
      <c r="EB245" s="284">
        <f>IF(OR(EB58="",ISERROR(EB58/EB$31)),"-",EB58/EB$31)</f>
        <v>0.29071867100036114</v>
      </c>
      <c r="EC245" s="284">
        <f>IF(OR(EC58="",ISERROR(EC58/EC$31)),"-",EC58/EC$31)</f>
        <v>0.32704463677915008</v>
      </c>
      <c r="ED245" s="90"/>
      <c r="EE245" s="116">
        <f>IF(OR(EE58="",ISERROR(EE58/EE$31)),"-",EE58/EE$31)</f>
        <v>0.31280420012353305</v>
      </c>
      <c r="EF245" s="116">
        <f>IF(OR(EF58="",ISERROR(EF58/EF$31)),"-",EF58/EF$31)</f>
        <v>0.29555599840573937</v>
      </c>
      <c r="EG245" s="116">
        <f>IF(OR(EG58="",ISERROR(EG58/EG$31)),"-",EG58/EG$31)</f>
        <v>0.27320395885891718</v>
      </c>
      <c r="EH245" s="116">
        <f>IF(OR(EH58="",ISERROR(EH58/EH$31)),"-",EH58/EH$31)</f>
        <v>0.24071867100036115</v>
      </c>
      <c r="EI245" s="116">
        <f>IF(OR(EI58="",ISERROR(EI58/EI$31)),"-",EI58/EI$31)</f>
        <v>0.27807690647511679</v>
      </c>
      <c r="EJ245" s="90"/>
      <c r="EK245" s="116">
        <f>IF(OR(EK58="",ISERROR(EK58/EK$31)),"-",EK58/EK$31)</f>
        <v>0.25280420012353305</v>
      </c>
      <c r="EL245" s="116">
        <f>IF(OR(EL58="",ISERROR(EL58/EL$31)),"-",EL58/EL$31)</f>
        <v>0.23555599840573938</v>
      </c>
      <c r="EM245" s="116">
        <f>IF(OR(EM58="",ISERROR(EM58/EM$31)),"-",EM58/EM$31)</f>
        <v>0.2232039588589172</v>
      </c>
      <c r="EN245" s="116">
        <f>IF(OR(EN58="",ISERROR(EN58/EN$31)),"-",EN58/EN$31)</f>
        <v>0.20071867100036114</v>
      </c>
      <c r="EO245" s="116">
        <f>IF(OR(EO58="",ISERROR(EO58/EO$31)),"-",EO58/EO$31)</f>
        <v>0.22621996703901406</v>
      </c>
      <c r="EP245" s="90"/>
      <c r="EQ245" s="116">
        <f>IF(OR(EQ58="",ISERROR(EQ58/EQ$31)),"-",EQ58/EQ$31)</f>
        <v>0.24280420012353304</v>
      </c>
      <c r="ER245" s="116">
        <f>IF(OR(ER58="",ISERROR(ER58/ER$31)),"-",ER58/ER$31)</f>
        <v>0.21555599840573939</v>
      </c>
      <c r="ES245" s="116">
        <f>IF(OR(ES58="",ISERROR(ES58/ES$31)),"-",ES58/ES$31)</f>
        <v>0.19320395885891722</v>
      </c>
      <c r="ET245" s="116">
        <f>IF(OR(ET58="",ISERROR(ET58/ET$31)),"-",ET58/ET$31)</f>
        <v>0.16571867100036114</v>
      </c>
      <c r="EU245" s="116">
        <f>IF(OR(EU58="",ISERROR(EU58/EU$31)),"-",EU58/EU$31)</f>
        <v>0.20022641677097924</v>
      </c>
      <c r="EV245" s="90"/>
    </row>
    <row r="246" spans="1:152">
      <c r="A246" s="90" t="s">
        <v>5639</v>
      </c>
      <c r="B246" s="526"/>
      <c r="C246" s="284">
        <f>IF(OR(C62="",ISERROR(C62/C$31)),"-",C62/C$31)</f>
        <v>0.13719735876742478</v>
      </c>
      <c r="D246" s="284">
        <f>IF(OR(D62="",ISERROR(D62/D$31)),"-",D62/D$31)</f>
        <v>0.14219114219114221</v>
      </c>
      <c r="E246" s="284">
        <f>IF(OR(E62="",ISERROR(E62/E$31)),"-",E62/E$31)</f>
        <v>0.15866209262435679</v>
      </c>
      <c r="F246" s="284">
        <f>IF(OR(F62="",ISERROR(F62/F$31)),"-",F62/F$31)</f>
        <v>0.16347826086956521</v>
      </c>
      <c r="G246" s="284">
        <f>IF(OR(G62="",ISERROR(G62/G$31)),"-",G62/G$31)</f>
        <v>0.14958727602174351</v>
      </c>
      <c r="H246" s="90"/>
      <c r="I246" s="284">
        <f>IF(OR(I62="",ISERROR(I62/I$31)),"-",I62/I$31)</f>
        <v>0.13013698630136986</v>
      </c>
      <c r="J246" s="284">
        <f>IF(OR(J62="",ISERROR(J62/J$31)),"-",J62/J$31)</f>
        <v>0.10905240868184225</v>
      </c>
      <c r="K246" s="284">
        <f>IF(OR(K62="",ISERROR(K62/K$31)),"-",K62/K$31)</f>
        <v>0.10468594217347957</v>
      </c>
      <c r="L246" s="284">
        <f>IF(OR(L62="",ISERROR(L62/L$31)),"-",L62/L$31)</f>
        <v>0.10360565951620265</v>
      </c>
      <c r="M246" s="284">
        <f>IF(OR(M62="",ISERROR(M62/M$31)),"-",M62/M$31)</f>
        <v>0.11025708984892658</v>
      </c>
      <c r="N246" s="90"/>
      <c r="O246" s="284">
        <f>IF(OR(O62="",ISERROR(O62/O$31)),"-",O62/O$31)</f>
        <v>0.11835511361143047</v>
      </c>
      <c r="P246" s="284">
        <f>IF(OR(P62="",ISERROR(P62/P$31)),"-",P62/P$31)</f>
        <v>0.11887874118771143</v>
      </c>
      <c r="Q246" s="284">
        <f>IF(OR(Q62="",ISERROR(Q62/Q$31)),"-",Q62/Q$31)</f>
        <v>0.13450940300991418</v>
      </c>
      <c r="R246" s="284">
        <f>IF(OR(R62="",ISERROR(R62/R$31)),"-",R62/R$31)</f>
        <v>0.13385639881952002</v>
      </c>
      <c r="S246" s="284">
        <f>IF(OR(S62="",ISERROR(S62/S$31)),"-",S62/S$31)</f>
        <v>0.12616464839030153</v>
      </c>
      <c r="T246" s="90"/>
      <c r="U246" s="284">
        <f>IF(OR(U62="",ISERROR(U62/U$31)),"-",U62/U$31)</f>
        <v>0.10182521550767044</v>
      </c>
      <c r="V246" s="284">
        <f>IF(OR(V62="",ISERROR(V62/V$31)),"-",V62/V$31)</f>
        <v>0.10136193976693164</v>
      </c>
      <c r="W246" s="284">
        <f>IF(OR(W62="",ISERROR(W62/W$31)),"-",W62/W$31)</f>
        <v>9.7919099028976941E-2</v>
      </c>
      <c r="X246" s="284">
        <f>IF(OR(X62="",ISERROR(X62/X$31)),"-",X62/X$31)</f>
        <v>9.5232423227764623E-2</v>
      </c>
      <c r="Y246" s="284">
        <f>IF(OR(Y62="",ISERROR(Y62/Y$31)),"-",Y62/Y$31)</f>
        <v>9.8989329651164831E-2</v>
      </c>
      <c r="Z246" s="104"/>
      <c r="AA246" s="284">
        <f>IF(OR(AA62="",ISERROR(AA62/AA$31)),"-",AA62/AA$31)</f>
        <v>0.13752978262467624</v>
      </c>
      <c r="AB246" s="284">
        <f>IF(OR(AB62="",ISERROR(AB62/AB$31)),"-",AB62/AB$31)</f>
        <v>0.14225587418023455</v>
      </c>
      <c r="AC246" s="284">
        <f>IF(OR(AC62="",ISERROR(AC62/AC$31)),"-",AC62/AC$31)</f>
        <v>0.14131871871959228</v>
      </c>
      <c r="AD246" s="284">
        <f>IF(OR(AD62="",ISERROR(AD62/AD$31)),"-",AD62/AD$31)</f>
        <v>0.14486498496175637</v>
      </c>
      <c r="AE246" s="284">
        <f>IF(OR(AE62="",ISERROR(AE62/AE$31)),"-",AE62/AE$31)</f>
        <v>0.14153647668969288</v>
      </c>
      <c r="AF246" s="90"/>
      <c r="AG246" s="284">
        <f>IF(OR(AG62="",ISERROR(AG62/AG$31)),"-",AG62/AG$31)</f>
        <v>9.0961992349637838E-2</v>
      </c>
      <c r="AH246" s="284">
        <f>IF(OR(AH62="",ISERROR(AH62/AH$31)),"-",AH62/AH$31)</f>
        <v>8.8545988934993089E-2</v>
      </c>
      <c r="AI246" s="284">
        <f>IF(OR(AI62="",ISERROR(AI62/AI$31)),"-",AI62/AI$31)</f>
        <v>9.3660015622327911E-2</v>
      </c>
      <c r="AJ246" s="284">
        <f>IF(OR(AJ62="",ISERROR(AJ62/AJ$31)),"-",AJ62/AJ$31)</f>
        <v>8.2819622570207141E-2</v>
      </c>
      <c r="AK246" s="284">
        <f>IF(OR(AK62="",ISERROR(AK62/AK$31)),"-",AK62/AK$31)</f>
        <v>8.8805065166845915E-2</v>
      </c>
      <c r="AL246" s="90"/>
      <c r="AM246" s="284">
        <f>IF(OR(AM62="",ISERROR(AM62/AM$31)),"-",AM62/AM$31)</f>
        <v>9.1480724031622968E-2</v>
      </c>
      <c r="AN246" s="284">
        <f>IF(OR(AN62="",ISERROR(AN62/AN$31)),"-",AN62/AN$31)</f>
        <v>0.10614424718899153</v>
      </c>
      <c r="AO246" s="284">
        <f>IF(OR(AO62="",ISERROR(AO62/AO$31)),"-",AO62/AO$31)</f>
        <v>8.6279351990715472E-2</v>
      </c>
      <c r="AP246" s="284">
        <f>IF(OR(AP62="",ISERROR(AP62/AP$31)),"-",AP62/AP$31)</f>
        <v>0.10571001861740215</v>
      </c>
      <c r="AQ246" s="284">
        <f>IF(OR(AQ62="",ISERROR(AQ62/AQ$31)),"-",AQ62/AQ$31)</f>
        <v>9.7421040190558153E-2</v>
      </c>
      <c r="AR246" s="159"/>
      <c r="AS246" s="284">
        <f>IF(OR(AS62="",ISERROR(AS62/AS$31)),"-",AS62/AS$31)</f>
        <v>0.10430524847461167</v>
      </c>
      <c r="AT246" s="284">
        <f>IF(OR(AT62="",ISERROR(AT62/AT$31)),"-",AT62/AT$31)</f>
        <v>0.10481566330507075</v>
      </c>
      <c r="AU246" s="284">
        <f>IF(OR(AU62="",ISERROR(AU62/AU$31)),"-",AU62/AU$31)</f>
        <v>8.9561365249591643E-2</v>
      </c>
      <c r="AV246" s="284">
        <f>IF(OR(AV62="",ISERROR(AV62/AV$31)),"-",AV62/AV$31)</f>
        <v>8.93738782973824E-2</v>
      </c>
      <c r="AW246" s="284">
        <f>IF(OR(AW62="",ISERROR(AW62/AW$31)),"-",AW62/AW$31)</f>
        <v>9.6162111211872514E-2</v>
      </c>
      <c r="AX246" s="159"/>
      <c r="AY246" s="284">
        <f>IF(OR(AY62="",ISERROR(AY62/AY$31)),"-",AY62/AY$31)</f>
        <v>9.0605148779672337E-2</v>
      </c>
      <c r="AZ246" s="284">
        <f>IF(OR(AZ62="",ISERROR(AZ62/AZ$31)),"-",AZ62/AZ$31)</f>
        <v>8.1552706552706564E-2</v>
      </c>
      <c r="BA246" s="284">
        <f>IF(OR(BA62="",ISERROR(BA62/BA$31)),"-",BA62/BA$31)</f>
        <v>8.8918380889183801E-2</v>
      </c>
      <c r="BB246" s="284">
        <f>IF(OR(BB62="",ISERROR(BB62/BB$31)),"-",BB62/BB$31)</f>
        <v>6.879194630872483E-2</v>
      </c>
      <c r="BC246" s="284">
        <f>IF(OR(BC62="",ISERROR(BC62/BC$31)),"-",BC62/BC$31)</f>
        <v>8.1846799580272814E-2</v>
      </c>
      <c r="BD246" s="159"/>
      <c r="BE246" s="284">
        <f>IF(OR(BE62="",ISERROR(BE62/BE$31)),"-",BE62/BE$31)</f>
        <v>7.6858813700918974E-2</v>
      </c>
      <c r="BF246" s="284">
        <f>IF(OR(BF62="",ISERROR(BF62/BF$31)),"-",BF62/BF$31)</f>
        <v>8.6518046709129506E-2</v>
      </c>
      <c r="BG246" s="284">
        <f>IF(OR(BG62="",ISERROR(BG62/BG$31)),"-",BG62/BG$31)</f>
        <v>8.4927916120576666E-2</v>
      </c>
      <c r="BH246" s="284">
        <f>IF(OR(BH62="",ISERROR(BH62/BH$31)),"-",BH62/BH$31)</f>
        <v>8.0990948070509758E-2</v>
      </c>
      <c r="BI246" s="284">
        <f>IF(OR(BI62="",ISERROR(BI62/BI$31)),"-",BI62/BI$31)</f>
        <v>8.2357533177205317E-2</v>
      </c>
      <c r="BJ246" s="90"/>
      <c r="BK246" s="284">
        <f>IF(OR(BK62="",ISERROR(BK62/BK$31)),"-",BK62/BK$31)</f>
        <v>7.7752293577981649E-2</v>
      </c>
      <c r="BL246" s="284">
        <f>IF(OR(BL62="",ISERROR(BL62/BL$31)),"-",BL62/BL$31)</f>
        <v>7.4065836298932389E-2</v>
      </c>
      <c r="BM246" s="284">
        <f>IF(OR(BM62="",ISERROR(BM62/BM$31)),"-",BM62/BM$31)</f>
        <v>8.3406304728546404E-2</v>
      </c>
      <c r="BN246" s="284">
        <f>IF(OR(BN62="",ISERROR(BN62/BN$31)),"-",BN62/BN$31)</f>
        <v>7.3381584238037798E-2</v>
      </c>
      <c r="BO246" s="284">
        <f>IF(OR(BO62="",ISERROR(BO62/BO$31)),"-",BO62/BO$31)</f>
        <v>7.7073594955973476E-2</v>
      </c>
      <c r="BP246" s="90"/>
      <c r="BQ246" s="284">
        <f>IF(OR(BQ62="",ISERROR(BQ62/BQ$31)),"-",BQ62/BQ$31)</f>
        <v>7.9630357845064864E-2</v>
      </c>
      <c r="BR246" s="284">
        <f>IF(OR(BR62="",ISERROR(BR62/BR$31)),"-",BR62/BR$31)</f>
        <v>7.4729035938391308E-2</v>
      </c>
      <c r="BS246" s="284">
        <f>IF(OR(BS62="",ISERROR(BS62/BS$31)),"-",BS62/BS$31)</f>
        <v>7.5037147102526014E-2</v>
      </c>
      <c r="BT246" s="284">
        <f>IF(OR(BT62="",ISERROR(BT62/BT$31)),"-",BT62/BT$31)</f>
        <v>6.8435987314304794E-2</v>
      </c>
      <c r="BU246" s="284">
        <f>IF(OR(BU62="",ISERROR(BU62/BU$31)),"-",BU62/BU$31)</f>
        <v>7.4217311233885808E-2</v>
      </c>
      <c r="BV246" s="90"/>
      <c r="BW246" s="284">
        <f>IF(OR(BW62="",ISERROR(BW62/BW$31)),"-",BW62/BW$31)</f>
        <v>7.5651302605210427E-2</v>
      </c>
      <c r="BX246" s="284">
        <f>IF(OR(BX62="",ISERROR(BX62/BX$31)),"-",BX62/BX$31)</f>
        <v>7.8127522195318821E-2</v>
      </c>
      <c r="BY246" s="284">
        <f>IF(OR(BY62="",ISERROR(BY62/BY$31)),"-",BY62/BY$31)</f>
        <v>7.033437654422664E-2</v>
      </c>
      <c r="BZ246" s="284">
        <f>IF(OR(BZ62="",ISERROR(BZ62/BZ$31)),"-",BZ62/BZ$31)</f>
        <v>7.9216006533278885E-2</v>
      </c>
      <c r="CA246" s="284">
        <f>IF(OR(CA62="",ISERROR(CA62/CA$31)),"-",CA62/CA$31)</f>
        <v>7.5673807878369026E-2</v>
      </c>
      <c r="CB246" s="90"/>
      <c r="CC246" s="284">
        <f>IF(OR(CC62="",ISERROR(CC62/CC$31)),"-",CC62/CC$31)</f>
        <v>7.7970878346641626E-2</v>
      </c>
      <c r="CD246" s="284">
        <f>IF(OR(CD62="",ISERROR(CD62/CD$31)),"-",CD62/CD$31)</f>
        <v>9.3516510002410222E-2</v>
      </c>
      <c r="CE246" s="284">
        <f>IF(OR(CE62="",ISERROR(CE62/CE$31)),"-",CE62/CE$31)</f>
        <v>9.2348284960422175E-2</v>
      </c>
      <c r="CF246" s="284">
        <f>IF(OR(CF62="",ISERROR(CF62/CF$31)),"-",CF62/CF$31)</f>
        <v>8.2876562157421618E-2</v>
      </c>
      <c r="CG246" s="284">
        <f>IF(OR(CG62="",ISERROR(CG62/CG$31)),"-",CG62/CG$31)</f>
        <v>8.6537900449320207E-2</v>
      </c>
      <c r="CH246" s="90"/>
      <c r="CI246" s="284">
        <f>IF(OR(CI62="",ISERROR(CI62/CI$31)),"-",CI62/CI$31)</f>
        <v>8.6177833965444581E-2</v>
      </c>
      <c r="CJ246" s="284">
        <f>IF(OR(CJ62="",ISERROR(CJ62/CJ$31)),"-",CJ62/CJ$31)</f>
        <v>7.6353637901861268E-2</v>
      </c>
      <c r="CK246" s="284">
        <f>IF(OR(CK62="",ISERROR(CK62/CK$31)),"-",CK62/CK$31)</f>
        <v>8.8735053492762742E-2</v>
      </c>
      <c r="CL246" s="284">
        <f>IF(OR(CL62="",ISERROR(CL62/CL$31)),"-",CL62/CL$31)</f>
        <v>8.0727686185332576E-2</v>
      </c>
      <c r="CM246" s="284">
        <f>IF(OR(CM62="",ISERROR(CM62/CM$31)),"-",CM62/CM$31)</f>
        <v>8.2949072650886371E-2</v>
      </c>
      <c r="CN246" s="90"/>
      <c r="CO246" s="284">
        <f>IF(OR(CO62="",ISERROR(CO62/CO$31)),"-",CO62/CO$31)</f>
        <v>8.6693166761309878E-2</v>
      </c>
      <c r="CP246" s="284">
        <f>IF(OR(CP62="",ISERROR(CP62/CP$31)),"-",CP62/CP$31)</f>
        <v>7.4135090609555199E-2</v>
      </c>
      <c r="CQ246" s="284">
        <f>IF(OR(CQ62="",ISERROR(CQ62/CQ$31)),"-",CQ62/CQ$31)</f>
        <v>7.1272329566168427E-2</v>
      </c>
      <c r="CR246" s="284">
        <f>IF(OR(CR62="",ISERROR(CR62/CR$31)),"-",CR62/CR$31)</f>
        <v>7.9169480081026353E-2</v>
      </c>
      <c r="CS246" s="284">
        <f>IF(OR(CS62="",ISERROR(CS62/CS$31)),"-",CS62/CS$31)</f>
        <v>7.7766744899801413E-2</v>
      </c>
      <c r="CT246" s="90"/>
      <c r="CU246" s="284">
        <f>IF(OR(CU62="",ISERROR(CU62/CU$31)),"-",CU62/CU$31)</f>
        <v>7.7641862045531779E-2</v>
      </c>
      <c r="CV246" s="284">
        <f>IF(OR(CV62="",ISERROR(CV62/CV$31)),"-",CV62/CV$31)</f>
        <v>7.9086115992970135E-2</v>
      </c>
      <c r="CW246" s="284">
        <f>IF(OR(CW62="",ISERROR(CW62/CW$31)),"-",CW62/CW$31)</f>
        <v>7.791970802919708E-2</v>
      </c>
      <c r="CX246" s="284">
        <f>IF(OR(CX62="",ISERROR(CX62/CX$31)),"-",CX62/CX$31)</f>
        <v>7.9242174629324549E-2</v>
      </c>
      <c r="CY246" s="284">
        <f>IF(OR(CY62="",ISERROR(CY62/CY$31)),"-",CY62/CY$31)</f>
        <v>7.8483092623021722E-2</v>
      </c>
      <c r="CZ246" s="90"/>
      <c r="DA246" s="284">
        <f>IF(OR(DA62="",ISERROR(DA62/DA$31)),"-",DA62/DA$31)</f>
        <v>7.6612903225806453E-2</v>
      </c>
      <c r="DB246" s="284">
        <f>IF(OR(DB62="",ISERROR(DB62/DB$31)),"-",DB62/DB$31)</f>
        <v>8.331849741855081E-2</v>
      </c>
      <c r="DC246" s="284">
        <f>IF(OR(DC62="",ISERROR(DC62/DC$31)),"-",DC62/DC$31)</f>
        <v>9.0597982708933725E-2</v>
      </c>
      <c r="DD246" s="284">
        <f>IF(OR(DD62="",ISERROR(DD62/DD$31)),"-",DD62/DD$31)</f>
        <v>8.0293215138083893E-2</v>
      </c>
      <c r="DE246" s="284">
        <f>IF(OR(DE62="",ISERROR(DE62/DE$31)),"-",DE62/DE$31)</f>
        <v>8.2633361185628237E-2</v>
      </c>
      <c r="DF246" s="90"/>
      <c r="DG246" s="284">
        <f>IF(OR(DG62="",ISERROR(DG62/DG$31)),"-",DG62/DG$31)</f>
        <v>9.3670886075949381E-2</v>
      </c>
      <c r="DH246" s="284">
        <f>IF(OR(DH62="",ISERROR(DH62/DH$31)),"-",DH62/DH$31)</f>
        <v>0.10218176110500707</v>
      </c>
      <c r="DI246" s="284">
        <f>IF(OR(DI62="",ISERROR(DI62/DI$31)),"-",DI62/DI$31)</f>
        <v>0.11682847896440129</v>
      </c>
      <c r="DJ246" s="284">
        <f>IF(OR(DJ62="",ISERROR(DJ62/DJ$31)),"-",DJ62/DJ$31)</f>
        <v>9.3590129401143543E-2</v>
      </c>
      <c r="DK246" s="284">
        <f>IF(OR(DK62="",ISERROR(DK62/DK$31)),"-",DK62/DK$31)</f>
        <v>0.10150465727251015</v>
      </c>
      <c r="DL246" s="90"/>
      <c r="DM246" s="284">
        <f>IF(OR(DM62="",ISERROR(DM62/DM$31)),"-",DM62/DM$31)</f>
        <v>0.10502706883217325</v>
      </c>
      <c r="DN246" s="284">
        <f>IF(OR(DN62="",ISERROR(DN62/DN$31)),"-",DN62/DN$31)</f>
        <v>0.10484003281378178</v>
      </c>
      <c r="DO246" s="284">
        <f>IF(OR(DO62="",ISERROR(DO62/DO$31)),"-",DO62/DO$31)</f>
        <v>0.11153717905968658</v>
      </c>
      <c r="DP246" s="284">
        <f>IF(OR(DP62="",ISERROR(DP62/DP$31)),"-",DP62/DP$31)</f>
        <v>0.10010797470306958</v>
      </c>
      <c r="DQ246" s="284">
        <f>IF(OR(DQ62="",ISERROR(DQ62/DQ$31)),"-",DQ62/DQ$31)</f>
        <v>0.10526736152709558</v>
      </c>
      <c r="DR246" s="90"/>
      <c r="DS246" s="284">
        <f>IF(OR(DS62="",ISERROR(DS62/DS$31)),"-",DS62/DS$31)</f>
        <v>0.13068958781011916</v>
      </c>
      <c r="DT246" s="284">
        <f>IF(OR(DT62="",ISERROR(DT62/DT$31)),"-",DT62/DT$31)</f>
        <v>0.11113128745233337</v>
      </c>
      <c r="DU246" s="284">
        <f>IF(OR(DU62="",ISERROR(DU62/DU$31)),"-",DU62/DU$31)</f>
        <v>0.12745098039215688</v>
      </c>
      <c r="DV246" s="284">
        <f>IF(OR(DV62="",ISERROR(DV62/DV$31)),"-",DV62/DV$31)</f>
        <v>0.13575605680868838</v>
      </c>
      <c r="DW246" s="284">
        <f>IF(OR(DW62="",ISERROR(DW62/DW$31)),"-",DW62/DW$31)</f>
        <v>0.12580009847365831</v>
      </c>
      <c r="DX246" s="90"/>
      <c r="DY246" s="284">
        <f>IF(OR(DY62="",ISERROR(DY62/DY$31)),"-",DY62/DY$31)</f>
        <v>0.12312126827259624</v>
      </c>
      <c r="DZ246" s="284">
        <f>IF(OR(DZ62="",ISERROR(DZ62/DZ$31)),"-",DZ62/DZ$31)</f>
        <v>0.11717815862893585</v>
      </c>
      <c r="EA246" s="284">
        <f>IF(OR(EA62="",ISERROR(EA62/EA$31)),"-",EA62/EA$31)</f>
        <v>0.10751018823986028</v>
      </c>
      <c r="EB246" s="284">
        <f>IF(OR(EB62="",ISERROR(EB62/EB$31)),"-",EB62/EB$31)</f>
        <v>0.12802455760202239</v>
      </c>
      <c r="EC246" s="284">
        <f>IF(OR(EC62="",ISERROR(EC62/EC$31)),"-",EC62/EC$31)</f>
        <v>0.11908003500923854</v>
      </c>
      <c r="ED246" s="90"/>
      <c r="EE246" s="116">
        <f>IF(OR(EE62="",ISERROR(EE62/EE$31)),"-",EE62/EE$31)</f>
        <v>0.11312126827259625</v>
      </c>
      <c r="EF246" s="116">
        <f>IF(OR(EF62="",ISERROR(EF62/EF$31)),"-",EF62/EF$31)</f>
        <v>0.10717815862893586</v>
      </c>
      <c r="EG246" s="116">
        <f>IF(OR(EG62="",ISERROR(EG62/EG$31)),"-",EG62/EG$31)</f>
        <v>9.7510188239860282E-2</v>
      </c>
      <c r="EH246" s="116">
        <f>IF(OR(EH62="",ISERROR(EH62/EH$31)),"-",EH62/EH$31)</f>
        <v>9.3024557602022398E-2</v>
      </c>
      <c r="EI246" s="116">
        <f>IF(OR(EI62="",ISERROR(EI62/EI$31)),"-",EI62/EI$31)</f>
        <v>0.10200728095399117</v>
      </c>
      <c r="EJ246" s="90"/>
      <c r="EK246" s="116">
        <f>IF(OR(EK62="",ISERROR(EK62/EK$31)),"-",EK62/EK$31)</f>
        <v>9.3121268272596244E-2</v>
      </c>
      <c r="EL246" s="116">
        <f>IF(OR(EL62="",ISERROR(EL62/EL$31)),"-",EL62/EL$31)</f>
        <v>8.7178158628935853E-2</v>
      </c>
      <c r="EM246" s="116">
        <f>IF(OR(EM62="",ISERROR(EM62/EM$31)),"-",EM62/EM$31)</f>
        <v>8.7510188239860287E-2</v>
      </c>
      <c r="EN246" s="116">
        <f>IF(OR(EN62="",ISERROR(EN62/EN$31)),"-",EN62/EN$31)</f>
        <v>7.8024557602022385E-2</v>
      </c>
      <c r="EO246" s="116">
        <f>IF(OR(EO62="",ISERROR(EO62/EO$31)),"-",EO62/EO$31)</f>
        <v>8.5945544411323002E-2</v>
      </c>
      <c r="EP246" s="90"/>
      <c r="EQ246" s="116">
        <f>IF(OR(EQ62="",ISERROR(EQ62/EQ$31)),"-",EQ62/EQ$31)</f>
        <v>8.3121268272596249E-2</v>
      </c>
      <c r="ER246" s="116">
        <f>IF(OR(ER62="",ISERROR(ER62/ER$31)),"-",ER62/ER$31)</f>
        <v>7.7178158628935845E-2</v>
      </c>
      <c r="ES246" s="116">
        <f>IF(OR(ES62="",ISERROR(ES62/ES$31)),"-",ES62/ES$31)</f>
        <v>6.7510188239860283E-2</v>
      </c>
      <c r="ET246" s="116">
        <f>IF(OR(ET62="",ISERROR(ET62/ET$31)),"-",ET62/ET$31)</f>
        <v>5.8024557602022381E-2</v>
      </c>
      <c r="EU246" s="116">
        <f>IF(OR(EU62="",ISERROR(EU62/EU$31)),"-",EU62/EU$31)</f>
        <v>7.007681558877428E-2</v>
      </c>
      <c r="EV246" s="90"/>
    </row>
    <row r="247" spans="1:152">
      <c r="A247" s="41" t="s">
        <v>6050</v>
      </c>
      <c r="B247" s="526"/>
      <c r="C247" s="284">
        <f>IF(OR(C79="",ISERROR(C79/C$31)),"-",C79/C$31)</f>
        <v>0.66691122523844448</v>
      </c>
      <c r="D247" s="284">
        <f>IF(OR(D79="",ISERROR(D79/D$31)),"-",D79/D$31)</f>
        <v>0.71328671328671334</v>
      </c>
      <c r="E247" s="284">
        <f>IF(OR(E79="",ISERROR(E79/E$31)),"-",E79/E$31)</f>
        <v>0.79245283018867929</v>
      </c>
      <c r="F247" s="284">
        <f>IF(OR(F79="",ISERROR(F79/F$31)),"-",F79/F$31)</f>
        <v>0.80695652173913046</v>
      </c>
      <c r="G247" s="284">
        <f>IF(OR(G79="",ISERROR(G79/G$31)),"-",G79/G$31)</f>
        <v>0.74068854439299381</v>
      </c>
      <c r="H247" s="90"/>
      <c r="I247" s="284">
        <f>IF(OR(I79="",ISERROR(I79/I$31)),"-",I79/I$31)</f>
        <v>0.74315068493150682</v>
      </c>
      <c r="J247" s="284">
        <f>IF(OR(J79="",ISERROR(J79/J$31)),"-",J79/J$31)</f>
        <v>0.62731604023292742</v>
      </c>
      <c r="K247" s="284">
        <f>IF(OR(K79="",ISERROR(K79/K$31)),"-",K79/K$31)</f>
        <v>0.62362911266201393</v>
      </c>
      <c r="L247" s="284">
        <f>IF(OR(L79="",ISERROR(L79/L$31)),"-",L79/L$31)</f>
        <v>0.60109539023277037</v>
      </c>
      <c r="M247" s="284">
        <f>IF(OR(M79="",ISERROR(M79/M$31)),"-",M79/M$31)</f>
        <v>0.64113437582825339</v>
      </c>
      <c r="N247" s="90"/>
      <c r="O247" s="284">
        <f>IF(OR(O79="",ISERROR(O79/O$31)),"-",O79/O$31)</f>
        <v>0.63356912788197395</v>
      </c>
      <c r="P247" s="284">
        <f>IF(OR(P79="",ISERROR(P79/P$31)),"-",P79/P$31)</f>
        <v>0.62972893873791669</v>
      </c>
      <c r="Q247" s="284">
        <f>IF(OR(Q79="",ISERROR(Q79/Q$31)),"-",Q79/Q$31)</f>
        <v>0.69483369392073424</v>
      </c>
      <c r="R247" s="284">
        <f>IF(OR(R79="",ISERROR(R79/R$31)),"-",R79/R$31)</f>
        <v>0.66456634378120805</v>
      </c>
      <c r="S247" s="284">
        <f>IF(OR(S79="",ISERROR(S79/S$31)),"-",S79/S$31)</f>
        <v>0.65472930036069432</v>
      </c>
      <c r="T247" s="90"/>
      <c r="U247" s="284">
        <f>IF(OR(U79="",ISERROR(U79/U$31)),"-",U79/U$31)</f>
        <v>0.78549400229940636</v>
      </c>
      <c r="V247" s="284">
        <f>IF(OR(V79="",ISERROR(V79/V$31)),"-",V79/V$31)</f>
        <v>0.78934096931361664</v>
      </c>
      <c r="W247" s="284">
        <f>IF(OR(W79="",ISERROR(W79/W$31)),"-",W79/W$31)</f>
        <v>0.73333141146681657</v>
      </c>
      <c r="X247" s="284">
        <f>IF(OR(X79="",ISERROR(X79/X$31)),"-",X79/X$31)</f>
        <v>0.66644608848714249</v>
      </c>
      <c r="Y247" s="284">
        <f>IF(OR(Y79="",ISERROR(Y79/Y$31)),"-",Y79/Y$31)</f>
        <v>0.74182684767779294</v>
      </c>
      <c r="Z247" s="104"/>
      <c r="AA247" s="284">
        <f>IF(OR(AA79="",ISERROR(AA79/AA$31)),"-",AA79/AA$31)</f>
        <v>0.64672942458455684</v>
      </c>
      <c r="AB247" s="284">
        <f>IF(OR(AB79="",ISERROR(AB79/AB$31)),"-",AB79/AB$31)</f>
        <v>0.65435211152674988</v>
      </c>
      <c r="AC247" s="284">
        <f>IF(OR(AC79="",ISERROR(AC79/AC$31)),"-",AC79/AC$31)</f>
        <v>0.68191397915148555</v>
      </c>
      <c r="AD247" s="284">
        <f>IF(OR(AD79="",ISERROR(AD79/AD$31)),"-",AD79/AD$31)</f>
        <v>0.66907223705703023</v>
      </c>
      <c r="AE247" s="284">
        <f>IF(OR(AE79="",ISERROR(AE79/AE$31)),"-",AE79/AE$31)</f>
        <v>0.66303651300190969</v>
      </c>
      <c r="AF247" s="90"/>
      <c r="AG247" s="284">
        <f>IF(OR(AG79="",ISERROR(AG79/AG$31)),"-",AG79/AG$31)</f>
        <v>0.67361438919182892</v>
      </c>
      <c r="AH247" s="284">
        <f>IF(OR(AH79="",ISERROR(AH79/AH$31)),"-",AH79/AH$31)</f>
        <v>0.69277748962655605</v>
      </c>
      <c r="AI247" s="284">
        <f>IF(OR(AI79="",ISERROR(AI79/AI$31)),"-",AI79/AI$31)</f>
        <v>0.70086477442375339</v>
      </c>
      <c r="AJ247" s="284">
        <f>IF(OR(AJ79="",ISERROR(AJ79/AJ$31)),"-",AJ79/AJ$31)</f>
        <v>0.6286717526000456</v>
      </c>
      <c r="AK247" s="284">
        <f>IF(OR(AK79="",ISERROR(AK79/AK$31)),"-",AK79/AK$31)</f>
        <v>0.67246654585637222</v>
      </c>
      <c r="AL247" s="90"/>
      <c r="AM247" s="284">
        <f>IF(OR(AM79="",ISERROR(AM79/AM$31)),"-",AM79/AM$31)</f>
        <v>0.71655757935175524</v>
      </c>
      <c r="AN247" s="284">
        <f>IF(OR(AN79="",ISERROR(AN79/AN$31)),"-",AN79/AN$31)</f>
        <v>0.76493015643256179</v>
      </c>
      <c r="AO247" s="284">
        <f>IF(OR(AO79="",ISERROR(AO79/AO$31)),"-",AO79/AO$31)</f>
        <v>0.79526870551825379</v>
      </c>
      <c r="AP247" s="284">
        <f>IF(OR(AP79="",ISERROR(AP79/AP$31)),"-",AP79/AP$31)</f>
        <v>0.77837619427566018</v>
      </c>
      <c r="AQ247" s="284">
        <f>IF(OR(AQ79="",ISERROR(AQ79/AQ$31)),"-",AQ79/AQ$31)</f>
        <v>0.76160956184957784</v>
      </c>
      <c r="AR247" s="159"/>
      <c r="AS247" s="284">
        <f>IF(OR(AS79="",ISERROR(AS79/AS$31)),"-",AS79/AS$31)</f>
        <v>0.7872095119706215</v>
      </c>
      <c r="AT247" s="284">
        <f>IF(OR(AT79="",ISERROR(AT79/AT$31)),"-",AT79/AT$31)</f>
        <v>0.76388370610047018</v>
      </c>
      <c r="AU247" s="284">
        <f>IF(OR(AU79="",ISERROR(AU79/AU$31)),"-",AU79/AU$31)</f>
        <v>0.72398679563161172</v>
      </c>
      <c r="AV247" s="284">
        <f>IF(OR(AV79="",ISERROR(AV79/AV$31)),"-",AV79/AV$31)</f>
        <v>0.66759337645186401</v>
      </c>
      <c r="AW247" s="284">
        <f>IF(OR(AW79="",ISERROR(AW79/AW$31)),"-",AW79/AW$31)</f>
        <v>0.72936489839151863</v>
      </c>
      <c r="AX247" s="159"/>
      <c r="AY247" s="284">
        <f>IF(OR(AY79="",ISERROR(AY79/AY$31)),"-",AY79/AY$31)</f>
        <v>0.64961551320628552</v>
      </c>
      <c r="AZ247" s="284">
        <f>IF(OR(AZ79="",ISERROR(AZ79/AZ$31)),"-",AZ79/AZ$31)</f>
        <v>0.66310541310541316</v>
      </c>
      <c r="BA247" s="284">
        <f>IF(OR(BA79="",ISERROR(BA79/BA$31)),"-",BA79/BA$31)</f>
        <v>0.66323822163238211</v>
      </c>
      <c r="BB247" s="284">
        <f>IF(OR(BB79="",ISERROR(BB79/BB$31)),"-",BB79/BB$31)</f>
        <v>0.62164429530201348</v>
      </c>
      <c r="BC247" s="284">
        <f>IF(OR(BC79="",ISERROR(BC79/BC$31)),"-",BC79/BC$31)</f>
        <v>0.64791347162805701</v>
      </c>
      <c r="BD247" s="159"/>
      <c r="BE247" s="284">
        <f>IF(OR(BE79="",ISERROR(BE79/BE$31)),"-",BE79/BE$31)</f>
        <v>0.61542745753272077</v>
      </c>
      <c r="BF247" s="284">
        <f>IF(OR(BF79="",ISERROR(BF79/BF$31)),"-",BF79/BF$31)</f>
        <v>0.63588110403397036</v>
      </c>
      <c r="BG247" s="284">
        <f>IF(OR(BG79="",ISERROR(BG79/BG$31)),"-",BG79/BG$31)</f>
        <v>0.63643512450851902</v>
      </c>
      <c r="BH247" s="284">
        <f>IF(OR(BH79="",ISERROR(BH79/BH$31)),"-",BH79/BH$31)</f>
        <v>0.64506908051453071</v>
      </c>
      <c r="BI247" s="284">
        <f>IF(OR(BI79="",ISERROR(BI79/BI$31)),"-",BI79/BI$31)</f>
        <v>0.63374967473328137</v>
      </c>
      <c r="BJ247" s="90"/>
      <c r="BK247" s="284">
        <f>IF(OR(BK79="",ISERROR(BK79/BK$31)),"-",BK79/BK$31)</f>
        <v>0.65986238532110086</v>
      </c>
      <c r="BL247" s="284">
        <f>IF(OR(BL79="",ISERROR(BL79/BL$31)),"-",BL79/BL$31)</f>
        <v>0.62766903914590744</v>
      </c>
      <c r="BM247" s="284">
        <f>IF(OR(BM79="",ISERROR(BM79/BM$31)),"-",BM79/BM$31)</f>
        <v>0.65170753064798603</v>
      </c>
      <c r="BN247" s="284">
        <f>IF(OR(BN79="",ISERROR(BN79/BN$31)),"-",BN79/BN$31)</f>
        <v>0.61258544431041417</v>
      </c>
      <c r="BO247" s="284">
        <f>IF(OR(BO79="",ISERROR(BO79/BO$31)),"-",BO79/BO$31)</f>
        <v>0.63718882487226869</v>
      </c>
      <c r="BP247" s="90"/>
      <c r="BQ247" s="284">
        <f>IF(OR(BQ79="",ISERROR(BQ79/BQ$31)),"-",BQ79/BQ$31)</f>
        <v>0.64392449862367285</v>
      </c>
      <c r="BR247" s="284">
        <f>IF(OR(BR79="",ISERROR(BR79/BR$31)),"-",BR79/BR$31)</f>
        <v>0.63985548583380869</v>
      </c>
      <c r="BS247" s="284">
        <f>IF(OR(BS79="",ISERROR(BS79/BS$31)),"-",BS79/BS$31)</f>
        <v>0.63372956909361078</v>
      </c>
      <c r="BT247" s="284">
        <f>IF(OR(BT79="",ISERROR(BT79/BT$31)),"-",BT79/BT$31)</f>
        <v>0.65498247371056584</v>
      </c>
      <c r="BU247" s="284">
        <f>IF(OR(BU79="",ISERROR(BU79/BU$31)),"-",BU79/BU$31)</f>
        <v>0.64346224677716402</v>
      </c>
      <c r="BV247" s="90"/>
      <c r="BW247" s="284">
        <f>IF(OR(BW79="",ISERROR(BW79/BW$31)),"-",BW79/BW$31)</f>
        <v>0.65798263193052775</v>
      </c>
      <c r="BX247" s="284">
        <f>IF(OR(BX79="",ISERROR(BX79/BX$31)),"-",BX79/BX$31)</f>
        <v>0.63906376109765939</v>
      </c>
      <c r="BY247" s="284">
        <f>IF(OR(BY79="",ISERROR(BY79/BY$31)),"-",BY79/BY$31)</f>
        <v>0.63399769395486738</v>
      </c>
      <c r="BZ247" s="284">
        <f>IF(OR(BZ79="",ISERROR(BZ79/BZ$31)),"-",BZ79/BZ$31)</f>
        <v>0.75949367088607589</v>
      </c>
      <c r="CA247" s="284">
        <f>IF(OR(CA79="",ISERROR(CA79/CA$31)),"-",CA79/CA$31)</f>
        <v>0.66810642709053203</v>
      </c>
      <c r="CB247" s="90"/>
      <c r="CC247" s="284">
        <f>IF(OR(CC79="",ISERROR(CC79/CC$31)),"-",CC79/CC$31)</f>
        <v>0.76702677313292622</v>
      </c>
      <c r="CD247" s="284">
        <f>IF(OR(CD79="",ISERROR(CD79/CD$31)),"-",CD79/CD$31)</f>
        <v>0.74355266329235969</v>
      </c>
      <c r="CE247" s="284">
        <f>IF(OR(CE79="",ISERROR(CE79/CE$31)),"-",CE79/CE$31)</f>
        <v>0.73183017510194304</v>
      </c>
      <c r="CF247" s="284">
        <f>IF(OR(CF79="",ISERROR(CF79/CF$31)),"-",CF79/CF$31)</f>
        <v>0.72571804428853326</v>
      </c>
      <c r="CG247" s="284">
        <f>IF(OR(CG79="",ISERROR(CG79/CG$31)),"-",CG79/CG$31)</f>
        <v>0.74178677714885932</v>
      </c>
      <c r="CH247" s="90"/>
      <c r="CI247" s="284">
        <f>IF(OR(CI79="",ISERROR(CI79/CI$31)),"-",CI79/CI$31)</f>
        <v>0.70733249051833114</v>
      </c>
      <c r="CJ247" s="284">
        <f>IF(OR(CJ79="",ISERROR(CJ79/CJ$31)),"-",CJ79/CJ$31)</f>
        <v>0.66941624365482244</v>
      </c>
      <c r="CK247" s="284">
        <f>IF(OR(CK79="",ISERROR(CK79/CK$31)),"-",CK79/CK$31)</f>
        <v>0.70673379483952181</v>
      </c>
      <c r="CL247" s="284">
        <f>IF(OR(CL79="",ISERROR(CL79/CL$31)),"-",CL79/CL$31)</f>
        <v>0.72408565472806519</v>
      </c>
      <c r="CM247" s="284">
        <f>IF(OR(CM79="",ISERROR(CM79/CM$31)),"-",CM79/CM$31)</f>
        <v>0.70253099702838406</v>
      </c>
      <c r="CN247" s="90"/>
      <c r="CO247" s="284">
        <f>IF(OR(CO79="",ISERROR(CO79/CO$31)),"-",CO79/CO$31)</f>
        <v>0.68824531516183984</v>
      </c>
      <c r="CP247" s="284">
        <f>IF(OR(CP79="",ISERROR(CP79/CP$31)),"-",CP79/CP$31)</f>
        <v>0.65824638477027275</v>
      </c>
      <c r="CQ247" s="284">
        <f>IF(OR(CQ79="",ISERROR(CQ79/CQ$31)),"-",CQ79/CQ$31)</f>
        <v>0.66697047028800593</v>
      </c>
      <c r="CR247" s="284">
        <f>IF(OR(CR79="",ISERROR(CR79/CR$31)),"-",CR79/CR$31)</f>
        <v>0.68517893315327483</v>
      </c>
      <c r="CS247" s="284">
        <f>IF(OR(CS79="",ISERROR(CS79/CS$31)),"-",CS79/CS$31)</f>
        <v>0.6747607871456941</v>
      </c>
      <c r="CT247" s="90"/>
      <c r="CU247" s="284">
        <f>IF(OR(CU79="",ISERROR(CU79/CU$31)),"-",CU79/CU$31)</f>
        <v>0.67261297995242941</v>
      </c>
      <c r="CV247" s="284">
        <f>IF(OR(CV79="",ISERROR(CV79/CV$31)),"-",CV79/CV$31)</f>
        <v>0.66045694200351501</v>
      </c>
      <c r="CW247" s="284">
        <f>IF(OR(CW79="",ISERROR(CW79/CW$31)),"-",CW79/CW$31)</f>
        <v>0.65</v>
      </c>
      <c r="CX247" s="284">
        <f>IF(OR(CX79="",ISERROR(CX79/CX$31)),"-",CX79/CX$31)</f>
        <v>0.66622734761120272</v>
      </c>
      <c r="CY247" s="284">
        <f>IF(OR(CY79="",ISERROR(CY79/CY$31)),"-",CY79/CY$31)</f>
        <v>0.66258756378102579</v>
      </c>
      <c r="CZ247" s="90"/>
      <c r="DA247" s="284">
        <f>IF(OR(DA79="",ISERROR(DA79/DA$31)),"-",DA79/DA$31)</f>
        <v>0.66321879382889204</v>
      </c>
      <c r="DB247" s="284">
        <f>IF(OR(DB79="",ISERROR(DB79/DB$31)),"-",DB79/DB$31)</f>
        <v>0.65818052341107347</v>
      </c>
      <c r="DC247" s="284">
        <f>IF(OR(DC79="",ISERROR(DC79/DC$31)),"-",DC79/DC$31)</f>
        <v>0.68083573487031701</v>
      </c>
      <c r="DD247" s="284">
        <f>IF(OR(DD79="",ISERROR(DD79/DD$31)),"-",DD79/DD$31)</f>
        <v>0.70456870098874891</v>
      </c>
      <c r="DE247" s="284">
        <f>IF(OR(DE79="",ISERROR(DE79/DE$31)),"-",DE79/DE$31)</f>
        <v>0.67694269756805503</v>
      </c>
      <c r="DF247" s="90"/>
      <c r="DG247" s="284">
        <f>IF(OR(DG79="",ISERROR(DG79/DG$31)),"-",DG79/DG$31)</f>
        <v>0.71983122362869201</v>
      </c>
      <c r="DH247" s="284">
        <f>IF(OR(DH79="",ISERROR(DH79/DH$31)),"-",DH79/DH$31)</f>
        <v>0.70742426620624721</v>
      </c>
      <c r="DI247" s="284">
        <f>IF(OR(DI79="",ISERROR(DI79/DI$31)),"-",DI79/DI$31)</f>
        <v>0.75582524271844653</v>
      </c>
      <c r="DJ247" s="284">
        <f>IF(OR(DJ79="",ISERROR(DJ79/DJ$31)),"-",DJ79/DJ$31)</f>
        <v>0.76060788444176941</v>
      </c>
      <c r="DK247" s="284">
        <f>IF(OR(DK79="",ISERROR(DK79/DK$31)),"-",DK79/DK$31)</f>
        <v>0.73632672557917367</v>
      </c>
      <c r="DL247" s="90"/>
      <c r="DM247" s="284">
        <f>IF(OR(DM79="",ISERROR(DM79/DM$31)),"-",DM79/DM$31)</f>
        <v>0.73781902552204182</v>
      </c>
      <c r="DN247" s="284">
        <f>IF(OR(DN79="",ISERROR(DN79/DN$31)),"-",DN79/DN$31)</f>
        <v>0.76406890894175539</v>
      </c>
      <c r="DO247" s="284">
        <f>IF(OR(DO79="",ISERROR(DO79/DO$31)),"-",DO79/DO$31)</f>
        <v>0.78109369789929983</v>
      </c>
      <c r="DP247" s="284">
        <f>IF(OR(DP79="",ISERROR(DP79/DP$31)),"-",DP79/DP$31)</f>
        <v>0.77479561931204688</v>
      </c>
      <c r="DQ247" s="284">
        <f>IF(OR(DQ79="",ISERROR(DQ79/DQ$31)),"-",DQ79/DQ$31)</f>
        <v>0.76414679924923123</v>
      </c>
      <c r="DR247" s="90"/>
      <c r="DS247" s="284">
        <f>IF(OR(DS79="",ISERROR(DS79/DS$31)),"-",DS79/DS$31)</f>
        <v>0.90017581558898219</v>
      </c>
      <c r="DT247" s="284">
        <f>IF(OR(DT79="",ISERROR(DT79/DT$31)),"-",DT79/DT$31)</f>
        <v>0.82404212820047207</v>
      </c>
      <c r="DU247" s="284">
        <f>IF(OR(DU79="",ISERROR(DU79/DU$31)),"-",DU79/DU$31)</f>
        <v>0.9495506535947712</v>
      </c>
      <c r="DV247" s="284">
        <f>IF(OR(DV79="",ISERROR(DV79/DV$31)),"-",DV79/DV$31)</f>
        <v>1.02172096908939</v>
      </c>
      <c r="DW247" s="284">
        <f>IF(OR(DW79="",ISERROR(DW79/DW$31)),"-",DW79/DW$31)</f>
        <v>0.9200886262924669</v>
      </c>
      <c r="DX247" s="90"/>
      <c r="DY247" s="284">
        <f>IF(OR(DY79="",ISERROR(DY79/DY$31)),"-",DY79/DY$31)</f>
        <v>0.93802758904673667</v>
      </c>
      <c r="DZ247" s="284">
        <f>IF(OR(DZ79="",ISERROR(DZ79/DZ$31)),"-",DZ79/DZ$31)</f>
        <v>0.92427261857313681</v>
      </c>
      <c r="EA247" s="284">
        <f>IF(OR(EA79="",ISERROR(EA79/EA$31)),"-",EA79/EA$31)</f>
        <v>0.91577721715505533</v>
      </c>
      <c r="EB247" s="284">
        <f>IF(OR(EB79="",ISERROR(EB79/EB$31)),"-",EB79/EB$31)</f>
        <v>0.91404839292163242</v>
      </c>
      <c r="EC247" s="284">
        <f>IF(OR(EC79="",ISERROR(EC79/EC$31)),"-",EC79/EC$31)</f>
        <v>0.92263930759505985</v>
      </c>
      <c r="ED247" s="90"/>
      <c r="EE247" s="116">
        <f>IF(OR(EE79="",ISERROR(EE79/EE$31)),"-",EE79/EE$31)</f>
        <v>0.8480275890467367</v>
      </c>
      <c r="EF247" s="116">
        <f>IF(OR(EF79="",ISERROR(EF79/EF$31)),"-",EF79/EF$31)</f>
        <v>0.79427261857313691</v>
      </c>
      <c r="EG247" s="116">
        <f>IF(OR(EG79="",ISERROR(EG79/EG$31)),"-",EG79/EG$31)</f>
        <v>0.74577721715505541</v>
      </c>
      <c r="EH247" s="116">
        <f>IF(OR(EH79="",ISERROR(EH79/EH$31)),"-",EH79/EH$31)</f>
        <v>0.72104839292163236</v>
      </c>
      <c r="EI247" s="116">
        <f>IF(OR(EI79="",ISERROR(EI79/EI$31)),"-",EI79/EI$31)</f>
        <v>0.77303161032056233</v>
      </c>
      <c r="EJ247" s="90"/>
      <c r="EK247" s="116">
        <f>IF(OR(EK79="",ISERROR(EK79/EK$31)),"-",EK79/EK$31)</f>
        <v>0.67802758904673677</v>
      </c>
      <c r="EL247" s="116">
        <f>IF(OR(EL79="",ISERROR(EL79/EL$31)),"-",EL79/EL$31)</f>
        <v>0.62927261857313688</v>
      </c>
      <c r="EM247" s="116">
        <f>IF(OR(EM79="",ISERROR(EM79/EM$31)),"-",EM79/EM$31)</f>
        <v>0.60577721715505539</v>
      </c>
      <c r="EN247" s="116">
        <f>IF(OR(EN79="",ISERROR(EN79/EN$31)),"-",EN79/EN$31)</f>
        <v>0.58104839292163246</v>
      </c>
      <c r="EO247" s="116">
        <f>IF(OR(EO79="",ISERROR(EO79/EO$31)),"-",EO79/EO$31)</f>
        <v>0.62026032668760922</v>
      </c>
      <c r="EP247" s="90"/>
      <c r="EQ247" s="116">
        <f>IF(OR(EQ79="",ISERROR(EQ79/EQ$31)),"-",EQ79/EQ$31)</f>
        <v>0.64802758904673674</v>
      </c>
      <c r="ER247" s="116">
        <f>IF(OR(ER79="",ISERROR(ER79/ER$31)),"-",ER79/ER$31)</f>
        <v>0.56927261857313693</v>
      </c>
      <c r="ES247" s="116">
        <f>IF(OR(ES79="",ISERROR(ES79/ES$31)),"-",ES79/ES$31)</f>
        <v>0.52077721715505543</v>
      </c>
      <c r="ET247" s="116">
        <f>IF(OR(ET79="",ISERROR(ET79/ET$31)),"-",ET79/ET$31)</f>
        <v>0.47104839292163236</v>
      </c>
      <c r="EU247" s="116">
        <f>IF(OR(EU79="",ISERROR(EU79/EU$31)),"-",EU79/EU$31)</f>
        <v>0.54305909613613212</v>
      </c>
      <c r="EV247" s="90"/>
    </row>
    <row r="248" spans="1:152">
      <c r="A248" s="22"/>
      <c r="B248" s="526"/>
      <c r="C248" s="284"/>
      <c r="D248" s="164"/>
      <c r="E248" s="164"/>
      <c r="F248" s="164"/>
      <c r="G248" s="164"/>
      <c r="H248" s="90"/>
      <c r="I248" s="284"/>
      <c r="J248" s="164"/>
      <c r="K248" s="164"/>
      <c r="L248" s="164"/>
      <c r="M248" s="164"/>
      <c r="N248" s="90"/>
      <c r="O248" s="284"/>
      <c r="P248" s="164"/>
      <c r="Q248" s="164"/>
      <c r="R248" s="164"/>
      <c r="S248" s="164"/>
      <c r="T248" s="90"/>
      <c r="U248" s="284"/>
      <c r="V248" s="164"/>
      <c r="W248" s="164"/>
      <c r="X248" s="164"/>
      <c r="Y248" s="164"/>
      <c r="Z248" s="164"/>
      <c r="AA248" s="284"/>
      <c r="AB248" s="164"/>
      <c r="AC248" s="164"/>
      <c r="AD248" s="164"/>
      <c r="AE248" s="164"/>
      <c r="AF248" s="90"/>
      <c r="AG248" s="284"/>
      <c r="AH248" s="164"/>
      <c r="AI248" s="164"/>
      <c r="AJ248" s="164"/>
      <c r="AK248" s="164"/>
      <c r="AL248" s="90"/>
      <c r="AM248" s="284"/>
      <c r="AN248" s="164"/>
      <c r="AO248" s="164"/>
      <c r="AP248" s="164"/>
      <c r="AQ248" s="164"/>
      <c r="AR248" s="159"/>
      <c r="AS248" s="284"/>
      <c r="AT248" s="164"/>
      <c r="AU248" s="164"/>
      <c r="AV248" s="164"/>
      <c r="AW248" s="164"/>
      <c r="AX248" s="159"/>
      <c r="AY248" s="284"/>
      <c r="AZ248" s="164"/>
      <c r="BA248" s="164"/>
      <c r="BB248" s="164"/>
      <c r="BC248" s="164"/>
      <c r="BD248" s="159"/>
      <c r="BE248" s="284"/>
      <c r="BF248" s="164"/>
      <c r="BG248" s="164"/>
      <c r="BH248" s="164"/>
      <c r="BI248" s="164"/>
      <c r="BJ248" s="90"/>
      <c r="BK248" s="284"/>
      <c r="BL248" s="164"/>
      <c r="BM248" s="164"/>
      <c r="BN248" s="164"/>
      <c r="BO248" s="164"/>
      <c r="BP248" s="90"/>
      <c r="BQ248" s="284"/>
      <c r="BR248" s="164"/>
      <c r="BS248" s="164"/>
      <c r="BT248" s="164"/>
      <c r="BU248" s="164"/>
      <c r="BV248" s="90"/>
      <c r="BW248" s="284"/>
      <c r="BX248" s="164"/>
      <c r="BY248" s="164"/>
      <c r="BZ248" s="164"/>
      <c r="CA248" s="164"/>
      <c r="CB248" s="90"/>
      <c r="CC248" s="284"/>
      <c r="CD248" s="164"/>
      <c r="CE248" s="164"/>
      <c r="CF248" s="164"/>
      <c r="CG248" s="164"/>
      <c r="CH248" s="90"/>
      <c r="CI248" s="284"/>
      <c r="CJ248" s="164"/>
      <c r="CK248" s="164"/>
      <c r="CL248" s="164"/>
      <c r="CM248" s="164"/>
      <c r="CN248" s="90"/>
      <c r="CO248" s="284"/>
      <c r="CP248" s="164"/>
      <c r="CQ248" s="164"/>
      <c r="CR248" s="164"/>
      <c r="CS248" s="164"/>
      <c r="CT248" s="90"/>
      <c r="CU248" s="284"/>
      <c r="CV248" s="164"/>
      <c r="CW248" s="164"/>
      <c r="CX248" s="164"/>
      <c r="CY248" s="164"/>
      <c r="CZ248" s="90"/>
      <c r="DA248" s="284"/>
      <c r="DB248" s="164"/>
      <c r="DC248" s="164"/>
      <c r="DD248" s="164"/>
      <c r="DE248" s="164"/>
      <c r="DF248" s="90"/>
      <c r="DG248" s="284"/>
      <c r="DH248" s="164"/>
      <c r="DI248" s="164"/>
      <c r="DJ248" s="164"/>
      <c r="DK248" s="164"/>
      <c r="DL248" s="90"/>
      <c r="DM248" s="284"/>
      <c r="DN248" s="164"/>
      <c r="DO248" s="164"/>
      <c r="DP248" s="164"/>
      <c r="DQ248" s="164"/>
      <c r="DR248" s="90"/>
      <c r="DS248" s="284"/>
      <c r="DT248" s="164"/>
      <c r="DU248" s="164"/>
      <c r="DV248" s="164"/>
      <c r="DW248" s="164"/>
      <c r="DX248" s="90"/>
      <c r="DY248" s="284"/>
      <c r="DZ248" s="164"/>
      <c r="EA248" s="164"/>
      <c r="EB248" s="164"/>
      <c r="EC248" s="164"/>
      <c r="ED248" s="90"/>
      <c r="EE248" s="116"/>
      <c r="EF248" s="164"/>
      <c r="EG248" s="164"/>
      <c r="EH248" s="164"/>
      <c r="EI248" s="164"/>
      <c r="EJ248" s="90"/>
      <c r="EK248" s="116"/>
      <c r="EL248" s="164"/>
      <c r="EM248" s="164"/>
      <c r="EN248" s="164"/>
      <c r="EO248" s="164"/>
      <c r="EP248" s="90"/>
      <c r="EQ248" s="116"/>
      <c r="ER248" s="164"/>
      <c r="ES248" s="164"/>
      <c r="ET248" s="164"/>
      <c r="EU248" s="164"/>
      <c r="EV248" s="90"/>
    </row>
    <row r="249" spans="1:152">
      <c r="A249" s="41" t="s">
        <v>6298</v>
      </c>
      <c r="B249" s="526"/>
      <c r="C249" s="284">
        <f>IF(OR(C85="",ISERROR(C85/C$31)),"-",C85/C$31)</f>
        <v>0.20616287600880426</v>
      </c>
      <c r="D249" s="284">
        <f>IF(OR(D85="",ISERROR(D85/D$31)),"-",D85/D$31)</f>
        <v>0.15773115773115773</v>
      </c>
      <c r="E249" s="284">
        <f>IF(OR(E85="",ISERROR(E85/E$31)),"-",E85/E$31)</f>
        <v>7.7186963979416698E-2</v>
      </c>
      <c r="F249" s="284">
        <f>IF(OR(F85="",ISERROR(F85/F$31)),"-",F85/F$31)</f>
        <v>6.1739130434782685E-2</v>
      </c>
      <c r="G249" s="284">
        <f>IF(OR(G85="",ISERROR(G85/G$31)),"-",G85/G$31)</f>
        <v>0.1300583853432655</v>
      </c>
      <c r="H249" s="90"/>
      <c r="I249" s="284">
        <f>IF(OR(I85="",ISERROR(I85/I$31)),"-",I85/I$31)</f>
        <v>6.9863013698630155E-2</v>
      </c>
      <c r="J249" s="284">
        <f>IF(OR(J85="",ISERROR(J85/J$31)),"-",J85/J$31)</f>
        <v>0.18793012175754367</v>
      </c>
      <c r="K249" s="284">
        <f>IF(OR(K85="",ISERROR(K85/K$31)),"-",K85/K$31)</f>
        <v>0.20239282153539379</v>
      </c>
      <c r="L249" s="284">
        <f>IF(OR(L85="",ISERROR(L85/L$31)),"-",L85/L$31)</f>
        <v>0.25148334094021008</v>
      </c>
      <c r="M249" s="284">
        <f>IF(OR(M85="",ISERROR(M85/M$31)),"-",M85/M$31)</f>
        <v>0.18738404452690172</v>
      </c>
      <c r="N249" s="90"/>
      <c r="O249" s="284">
        <f>IF(OR(O85="",ISERROR(O85/O$31)),"-",O85/O$31)</f>
        <v>0.21424245881640511</v>
      </c>
      <c r="P249" s="284">
        <f>IF(OR(P85="",ISERROR(P85/P$31)),"-",P85/P$31)</f>
        <v>0.21453349745637973</v>
      </c>
      <c r="Q249" s="284">
        <f>IF(OR(Q85="",ISERROR(Q85/Q$31)),"-",Q85/Q$31)</f>
        <v>0.15500344737405203</v>
      </c>
      <c r="R249" s="284">
        <f>IF(OR(R85="",ISERROR(R85/R$31)),"-",R85/R$31)</f>
        <v>0.18193543186489866</v>
      </c>
      <c r="S249" s="284">
        <f>IF(OR(S85="",ISERROR(S85/S$31)),"-",S85/S$31)</f>
        <v>0.19230906926581276</v>
      </c>
      <c r="T249" s="90"/>
      <c r="U249" s="284">
        <f>IF(OR(U85="",ISERROR(U85/U$31)),"-",U85/U$31)</f>
        <v>4.350121631690361E-2</v>
      </c>
      <c r="V249" s="284">
        <f>IF(OR(V85="",ISERROR(V85/V$31)),"-",V85/V$31)</f>
        <v>1.2085553371133276E-2</v>
      </c>
      <c r="W249" s="284">
        <f>IF(OR(W85="",ISERROR(W85/W$31)),"-",W85/W$31)</f>
        <v>8.6935631885687481E-2</v>
      </c>
      <c r="X249" s="284">
        <f>IF(OR(X85="",ISERROR(X85/X$31)),"-",X85/X$31)</f>
        <v>0.16182056406252074</v>
      </c>
      <c r="Y249" s="284">
        <f>IF(OR(Y85="",ISERROR(Y85/Y$31)),"-",Y85/Y$31)</f>
        <v>7.7985875849447828E-2</v>
      </c>
      <c r="Z249" s="104"/>
      <c r="AA249" s="284">
        <f>IF(OR(AA85="",ISERROR(AA85/AA$31)),"-",AA85/AA$31)</f>
        <v>0.19446162095313038</v>
      </c>
      <c r="AB249" s="284">
        <f>IF(OR(AB85="",ISERROR(AB85/AB$31)),"-",AB85/AB$31)</f>
        <v>0.17725400595255997</v>
      </c>
      <c r="AC249" s="284">
        <f>IF(OR(AC85="",ISERROR(AC85/AC$31)),"-",AC85/AC$31)</f>
        <v>0.1524673069287058</v>
      </c>
      <c r="AD249" s="284">
        <f>IF(OR(AD85="",ISERROR(AD85/AD$31)),"-",AD85/AD$31)</f>
        <v>0.1815451332458331</v>
      </c>
      <c r="AE249" s="284">
        <f>IF(OR(AE85="",ISERROR(AE85/AE$31)),"-",AE85/AE$31)</f>
        <v>0.17655106565675982</v>
      </c>
      <c r="AF249" s="90"/>
      <c r="AG249" s="284">
        <f>IF(OR(AG85="",ISERROR(AG85/AG$31)),"-",AG85/AG$31)</f>
        <v>0.1705379669569462</v>
      </c>
      <c r="AH249" s="284">
        <f>IF(OR(AH85="",ISERROR(AH85/AH$31)),"-",AH85/AH$31)</f>
        <v>0.14840940525587823</v>
      </c>
      <c r="AI249" s="284">
        <f>IF(OR(AI85="",ISERROR(AI85/AI$31)),"-",AI85/AI$31)</f>
        <v>0.11702879962284554</v>
      </c>
      <c r="AJ249" s="284">
        <f>IF(OR(AJ85="",ISERROR(AJ85/AJ$31)),"-",AJ85/AJ$31)</f>
        <v>0.20132344489320336</v>
      </c>
      <c r="AK249" s="284">
        <f>IF(OR(AK85="",ISERROR(AK85/AK$31)),"-",AK85/AK$31)</f>
        <v>0.16116986863199767</v>
      </c>
      <c r="AL249" s="90"/>
      <c r="AM249" s="284">
        <f>IF(OR(AM85="",ISERROR(AM85/AM$31)),"-",AM85/AM$31)</f>
        <v>9.9116109311158385E-2</v>
      </c>
      <c r="AN249" s="284">
        <f>IF(OR(AN85="",ISERROR(AN85/AN$31)),"-",AN85/AN$31)</f>
        <v>6.6830336658767059E-2</v>
      </c>
      <c r="AO249" s="284">
        <f>IF(OR(AO85="",ISERROR(AO85/AO$31)),"-",AO85/AO$31)</f>
        <v>2.8833975442631329E-2</v>
      </c>
      <c r="AP249" s="284">
        <f>IF(OR(AP85="",ISERROR(AP85/AP$31)),"-",AP85/AP$31)</f>
        <v>4.3730436383723127E-2</v>
      </c>
      <c r="AQ249" s="284">
        <f>IF(OR(AQ85="",ISERROR(AQ85/AQ$31)),"-",AQ85/AQ$31)</f>
        <v>6.1639260799204856E-2</v>
      </c>
      <c r="AR249" s="159"/>
      <c r="AS249" s="284">
        <f>IF(OR(AS85="",ISERROR(AS85/AS$31)),"-",AS85/AS$31)</f>
        <v>3.1347560802026893E-2</v>
      </c>
      <c r="AT249" s="284">
        <f>IF(OR(AT85="",ISERROR(AT85/AT$31)),"-",AT85/AT$31)</f>
        <v>6.5851066342315842E-2</v>
      </c>
      <c r="AU249" s="284">
        <f>IF(OR(AU85="",ISERROR(AU85/AU$31)),"-",AU85/AU$31)</f>
        <v>0.1194721673465548</v>
      </c>
      <c r="AV249" s="284">
        <f>IF(OR(AV85="",ISERROR(AV85/AV$31)),"-",AV85/AV$31)</f>
        <v>0.20633232873929111</v>
      </c>
      <c r="AW249" s="284">
        <f>IF(OR(AW85="",ISERROR(AW85/AW$31)),"-",AW85/AW$31)</f>
        <v>0.11498009232453774</v>
      </c>
      <c r="AX249" s="159"/>
      <c r="AY249" s="284">
        <f>IF(OR(AY85="",ISERROR(AY85/AY$31)),"-",AY85/AY$31)</f>
        <v>0.21029755934470087</v>
      </c>
      <c r="AZ249" s="284">
        <f>IF(OR(AZ85="",ISERROR(AZ85/AZ$31)),"-",AZ85/AZ$31)</f>
        <v>0.19373219373219375</v>
      </c>
      <c r="BA249" s="284">
        <f>IF(OR(BA85="",ISERROR(BA85/BA$31)),"-",BA85/BA$31)</f>
        <v>0.19276708692767083</v>
      </c>
      <c r="BB249" s="284">
        <f>IF(OR(BB85="",ISERROR(BB85/BB$31)),"-",BB85/BB$31)</f>
        <v>0.25531319910514533</v>
      </c>
      <c r="BC249" s="284">
        <f>IF(OR(BC85="",ISERROR(BC85/BC$31)),"-",BC85/BC$31)</f>
        <v>0.2152716119137946</v>
      </c>
      <c r="BD249" s="159"/>
      <c r="BE249" s="284">
        <f>IF(OR(BE85="",ISERROR(BE85/BE$31)),"-",BE85/BE$31)</f>
        <v>0.26343636869952652</v>
      </c>
      <c r="BF249" s="284">
        <f>IF(OR(BF85="",ISERROR(BF85/BF$31)),"-",BF85/BF$31)</f>
        <v>0.24601910828025469</v>
      </c>
      <c r="BG249" s="284">
        <f>IF(OR(BG85="",ISERROR(BG85/BG$31)),"-",BG85/BG$31)</f>
        <v>0.25242463958060291</v>
      </c>
      <c r="BH249" s="284">
        <f>IF(OR(BH85="",ISERROR(BH85/BH$31)),"-",BH85/BH$31)</f>
        <v>0.25917103382563128</v>
      </c>
      <c r="BI249" s="284">
        <f>IF(OR(BI85="",ISERROR(BI85/BI$31)),"-",BI85/BI$31)</f>
        <v>0.25526932084309134</v>
      </c>
      <c r="BJ249" s="90"/>
      <c r="BK249" s="284">
        <f>IF(OR(BK85="",ISERROR(BK85/BK$31)),"-",BK85/BK$31)</f>
        <v>0.23112844036697247</v>
      </c>
      <c r="BL249" s="284">
        <f>IF(OR(BL85="",ISERROR(BL85/BL$31)),"-",BL85/BL$31)</f>
        <v>0.25489323843416373</v>
      </c>
      <c r="BM249" s="284">
        <f>IF(OR(BM85="",ISERROR(BM85/BM$31)),"-",BM85/BM$31)</f>
        <v>0.23292469352014006</v>
      </c>
      <c r="BN249" s="284">
        <f>IF(OR(BN85="",ISERROR(BN85/BN$31)),"-",BN85/BN$31)</f>
        <v>0.28447929232006436</v>
      </c>
      <c r="BO249" s="284">
        <f>IF(OR(BO85="",ISERROR(BO85/BO$31)),"-",BO85/BO$31)</f>
        <v>0.25180563104685288</v>
      </c>
      <c r="BP249" s="90"/>
      <c r="BQ249" s="284">
        <f>IF(OR(BQ85="",ISERROR(BQ85/BQ$31)),"-",BQ85/BQ$31)</f>
        <v>0.25992921745969333</v>
      </c>
      <c r="BR249" s="284">
        <f>IF(OR(BR85="",ISERROR(BR85/BR$31)),"-",BR85/BR$31)</f>
        <v>0.26754135767256138</v>
      </c>
      <c r="BS249" s="284">
        <f>IF(OR(BS85="",ISERROR(BS85/BS$31)),"-",BS85/BS$31)</f>
        <v>0.28008915304606236</v>
      </c>
      <c r="BT249" s="284">
        <f>IF(OR(BT85="",ISERROR(BT85/BT$31)),"-",BT85/BT$31)</f>
        <v>0.26806876982139877</v>
      </c>
      <c r="BU249" s="284">
        <f>IF(OR(BU85="",ISERROR(BU85/BU$31)),"-",BU85/BU$31)</f>
        <v>0.26901473296500916</v>
      </c>
      <c r="BV249" s="90"/>
      <c r="BW249" s="284">
        <f>IF(OR(BW85="",ISERROR(BW85/BW$31)),"-",BW85/BW$31)</f>
        <v>0.25317301269205061</v>
      </c>
      <c r="BX249" s="284">
        <f>IF(OR(BX85="",ISERROR(BX85/BX$31)),"-",BX85/BX$31)</f>
        <v>0.27522195318805487</v>
      </c>
      <c r="BY249" s="284">
        <f>IF(OR(BY85="",ISERROR(BY85/BY$31)),"-",BY85/BY$31)</f>
        <v>0.29138527425465338</v>
      </c>
      <c r="BZ249" s="284">
        <f>IF(OR(BZ85="",ISERROR(BZ85/BZ$31)),"-",BZ85/BZ$31)</f>
        <v>0.15863617803184971</v>
      </c>
      <c r="CA249" s="284">
        <f>IF(OR(CA85="",ISERROR(CA85/CA$31)),"-",CA85/CA$31)</f>
        <v>0.24909295093296474</v>
      </c>
      <c r="CB249" s="90"/>
      <c r="CC249" s="284">
        <f>IF(OR(CC85="",ISERROR(CC85/CC$31)),"-",CC85/CC$31)</f>
        <v>0.13104744011272901</v>
      </c>
      <c r="CD249" s="284">
        <f>IF(OR(CD85="",ISERROR(CD85/CD$31)),"-",CD85/CD$31)</f>
        <v>0.15738732224632432</v>
      </c>
      <c r="CE249" s="284">
        <f>IF(OR(CE85="",ISERROR(CE85/CE$31)),"-",CE85/CE$31)</f>
        <v>0.18373710721995676</v>
      </c>
      <c r="CF249" s="284">
        <f>IF(OR(CF85="",ISERROR(CF85/CF$31)),"-",CF85/CF$31)</f>
        <v>0.19513264634948463</v>
      </c>
      <c r="CG249" s="284">
        <f>IF(OR(CG85="",ISERROR(CG85/CG$31)),"-",CG85/CG$31)</f>
        <v>0.16729882709925883</v>
      </c>
      <c r="CH249" s="90"/>
      <c r="CI249" s="284">
        <f>IF(OR(CI85="",ISERROR(CI85/CI$31)),"-",CI85/CI$31)</f>
        <v>0.2024863042562158</v>
      </c>
      <c r="CJ249" s="284">
        <f>IF(OR(CJ85="",ISERROR(CJ85/CJ$31)),"-",CJ85/CJ$31)</f>
        <v>0.24598138747884934</v>
      </c>
      <c r="CK249" s="284">
        <f>IF(OR(CK85="",ISERROR(CK85/CK$31)),"-",CK85/CK$31)</f>
        <v>0.2104048667925319</v>
      </c>
      <c r="CL249" s="284">
        <f>IF(OR(CL85="",ISERROR(CL85/CL$31)),"-",CL85/CL$31)</f>
        <v>0.20106120902027669</v>
      </c>
      <c r="CM249" s="284">
        <f>IF(OR(CM85="",ISERROR(CM85/CM$31)),"-",CM85/CM$31)</f>
        <v>0.21457116507838916</v>
      </c>
      <c r="CN249" s="90"/>
      <c r="CO249" s="284">
        <f>IF(OR(CO85="",ISERROR(CO85/CO$31)),"-",CO85/CO$31)</f>
        <v>0.2254400908574673</v>
      </c>
      <c r="CP249" s="284">
        <f>IF(OR(CP85="",ISERROR(CP85/CP$31)),"-",CP85/CP$31)</f>
        <v>0.25407285374336447</v>
      </c>
      <c r="CQ249" s="284">
        <f>IF(OR(CQ85="",ISERROR(CQ85/CQ$31)),"-",CQ85/CQ$31)</f>
        <v>0.24626321545752813</v>
      </c>
      <c r="CR249" s="284">
        <f>IF(OR(CR85="",ISERROR(CR85/CR$31)),"-",CR85/CR$31)</f>
        <v>0.23700202565833894</v>
      </c>
      <c r="CS249" s="284">
        <f>IF(OR(CS85="",ISERROR(CS85/CS$31)),"-",CS85/CS$31)</f>
        <v>0.24074742733345375</v>
      </c>
      <c r="CT249" s="90"/>
      <c r="CU249" s="284">
        <f>IF(OR(CU85="",ISERROR(CU85/CU$31)),"-",CU85/CU$31)</f>
        <v>0.24634726469588855</v>
      </c>
      <c r="CV249" s="284">
        <f>IF(OR(CV85="",ISERROR(CV85/CV$31)),"-",CV85/CV$31)</f>
        <v>0.25342706502636203</v>
      </c>
      <c r="CW249" s="284">
        <f>IF(OR(CW85="",ISERROR(CW85/CW$31)),"-",CW85/CW$31)</f>
        <v>0.26459854014598538</v>
      </c>
      <c r="CX249" s="284">
        <f>IF(OR(CX85="",ISERROR(CX85/CX$31)),"-",CX85/CX$31)</f>
        <v>0.25107084019769343</v>
      </c>
      <c r="CY249" s="284">
        <f>IF(OR(CY85="",ISERROR(CY85/CY$31)),"-",CY85/CY$31)</f>
        <v>0.25365389604773847</v>
      </c>
      <c r="CZ249" s="90"/>
      <c r="DA249" s="284">
        <f>IF(OR(DA85="",ISERROR(DA85/DA$31)),"-",DA85/DA$31)</f>
        <v>0.24000701262272076</v>
      </c>
      <c r="DB249" s="284">
        <f>IF(OR(DB85="",ISERROR(DB85/DB$31)),"-",DB85/DB$31)</f>
        <v>0.24319031511483011</v>
      </c>
      <c r="DC249" s="284">
        <f>IF(OR(DC85="",ISERROR(DC85/DC$31)),"-",DC85/DC$31)</f>
        <v>0.22028097982708933</v>
      </c>
      <c r="DD249" s="284">
        <f>IF(OR(DD85="",ISERROR(DD85/DD$31)),"-",DD85/DD$31)</f>
        <v>0.19553358336174537</v>
      </c>
      <c r="DE249" s="284">
        <f>IF(OR(DE85="",ISERROR(DE85/DE$31)),"-",DE85/DE$31)</f>
        <v>0.22450415585557856</v>
      </c>
      <c r="DF249" s="90"/>
      <c r="DG249" s="284">
        <f>IF(OR(DG85="",ISERROR(DG85/DG$31)),"-",DG85/DG$31)</f>
        <v>0.17215189873417722</v>
      </c>
      <c r="DH249" s="284">
        <f>IF(OR(DH85="",ISERROR(DH85/DH$31)),"-",DH85/DH$31)</f>
        <v>0.18066237639303082</v>
      </c>
      <c r="DI249" s="284">
        <f>IF(OR(DI85="",ISERROR(DI85/DI$31)),"-",DI85/DI$31)</f>
        <v>0.12993527508090616</v>
      </c>
      <c r="DJ249" s="284">
        <f>IF(OR(DJ85="",ISERROR(DJ85/DJ$31)),"-",DJ85/DJ$31)</f>
        <v>0.12789647908516399</v>
      </c>
      <c r="DK249" s="284">
        <f>IF(OR(DK85="",ISERROR(DK85/DK$31)),"-",DK85/DK$31)</f>
        <v>0.15221718016081517</v>
      </c>
      <c r="DL249" s="90"/>
      <c r="DM249" s="284">
        <f>IF(OR(DM85="",ISERROR(DM85/DM$31)),"-",DM85/DM$31)</f>
        <v>0.14555297757153909</v>
      </c>
      <c r="DN249" s="284">
        <f>IF(OR(DN85="",ISERROR(DN85/DN$31)),"-",DN85/DN$31)</f>
        <v>0.10697292863002468</v>
      </c>
      <c r="DO249" s="284">
        <f>IF(OR(DO85="",ISERROR(DO85/DO$31)),"-",DO85/DO$31)</f>
        <v>9.1863954651550367E-2</v>
      </c>
      <c r="DP249" s="284">
        <f>IF(OR(DP85="",ISERROR(DP85/DP$31)),"-",DP85/DP$31)</f>
        <v>0.10226746876446083</v>
      </c>
      <c r="DQ249" s="284">
        <f>IF(OR(DQ85="",ISERROR(DQ85/DQ$31)),"-",DQ85/DQ$31)</f>
        <v>0.11209616229383804</v>
      </c>
      <c r="DR249" s="90"/>
      <c r="DS249" s="284">
        <f>IF(OR(DS85="",ISERROR(DS85/DS$31)),"-",DS85/DS$31)</f>
        <v>-5.2744676694666932E-2</v>
      </c>
      <c r="DT249" s="284">
        <f>IF(OR(DT85="",ISERROR(DT85/DT$31)),"-",DT85/DT$31)</f>
        <v>4.7031051389141154E-2</v>
      </c>
      <c r="DU249" s="284">
        <f>IF(OR(DU85="",ISERROR(DU85/DU$31)),"-",DU85/DU$31)</f>
        <v>-8.7622549019607796E-2</v>
      </c>
      <c r="DV249" s="284">
        <f>IF(OR(DV85="",ISERROR(DV85/DV$31)),"-",DV85/DV$31)</f>
        <v>-0.17021720969089391</v>
      </c>
      <c r="DW249" s="284">
        <f>IF(OR(DW85="",ISERROR(DW85/DW$31)),"-",DW85/DW$31)</f>
        <v>-6.1792220580994588E-2</v>
      </c>
      <c r="DX249" s="90"/>
      <c r="DY249" s="284">
        <f>IF(OR(DY85="",ISERROR(DY85/DY$31)),"-",DY85/DY$31)</f>
        <v>-8.1325921350627842E-2</v>
      </c>
      <c r="DZ249" s="284">
        <f>IF(OR(DZ85="",ISERROR(DZ85/DZ$31)),"-",DZ85/DZ$31)</f>
        <v>-5.7393383818254429E-2</v>
      </c>
      <c r="EA249" s="284">
        <f>IF(OR(EA85="",ISERROR(EA85/EA$31)),"-",EA85/EA$31)</f>
        <v>-5.0844168445565781E-2</v>
      </c>
      <c r="EB249" s="284">
        <f>IF(OR(EB85="",ISERROR(EB85/EB$31)),"-",EB85/EB$31)</f>
        <v>-3.1599855543517623E-2</v>
      </c>
      <c r="EC249" s="284">
        <f>IF(OR(EC85="",ISERROR(EC85/EC$31)),"-",EC85/EC$31)</f>
        <v>-5.4458815520762649E-2</v>
      </c>
      <c r="ED249" s="90"/>
      <c r="EE249" s="116">
        <f>IF(OR(EE85="",ISERROR(EE85/EE$31)),"-",EE85/EE$31)</f>
        <v>4.6605051806665826E-2</v>
      </c>
      <c r="EF249" s="116">
        <f>IF(OR(EF85="",ISERROR(EF85/EF$31)),"-",EF85/EF$31)</f>
        <v>0.10330611066641633</v>
      </c>
      <c r="EG249" s="116">
        <f>IF(OR(EG85="",ISERROR(EG85/EG$31)),"-",EG85/EG$31)</f>
        <v>0.15229041273116853</v>
      </c>
      <c r="EH249" s="116">
        <f>IF(OR(EH85="",ISERROR(EH85/EH$31)),"-",EH85/EH$31)</f>
        <v>0.17683566000907494</v>
      </c>
      <c r="EI249" s="116">
        <f>IF(OR(EI85="",ISERROR(EI85/EI$31)),"-",EI85/EI$31)</f>
        <v>0.12410245954339508</v>
      </c>
      <c r="EJ249" s="90"/>
      <c r="EK249" s="116">
        <f>IF(OR(EK85="",ISERROR(EK85/EK$31)),"-",EK85/EK$31)</f>
        <v>0.22438206590944909</v>
      </c>
      <c r="EL249" s="116">
        <f>IF(OR(EL85="",ISERROR(EL85/EL$31)),"-",EL85/EL$31)</f>
        <v>0.2749435275661925</v>
      </c>
      <c r="EM249" s="116">
        <f>IF(OR(EM85="",ISERROR(EM85/EM$31)),"-",EM85/EM$31)</f>
        <v>0.29948754961461038</v>
      </c>
      <c r="EN249" s="116">
        <f>IF(OR(EN85="",ISERROR(EN85/EN$31)),"-",EN85/EN$31)</f>
        <v>0.32745813427081788</v>
      </c>
      <c r="EO249" s="116">
        <f>IF(OR(EO85="",ISERROR(EO85/EO$31)),"-",EO85/EO$31)</f>
        <v>0.28505647718049093</v>
      </c>
      <c r="EP249" s="90"/>
      <c r="EQ249" s="116">
        <f>IF(OR(EQ85="",ISERROR(EQ85/EQ$31)),"-",EQ85/EQ$31)</f>
        <v>0.25180922563211033</v>
      </c>
      <c r="ER249" s="116">
        <f>IF(OR(ER85="",ISERROR(ER85/ER$31)),"-",ER85/ER$31)</f>
        <v>0.33426529265688093</v>
      </c>
      <c r="ES249" s="116">
        <f>IF(OR(ES85="",ISERROR(ES85/ES$31)),"-",ES85/ES$31)</f>
        <v>0.38487418160304832</v>
      </c>
      <c r="ET249" s="116">
        <f>IF(OR(ET85="",ISERROR(ET85/ET$31)),"-",ET85/ET$31)</f>
        <v>0.43850235027103207</v>
      </c>
      <c r="EU249" s="116">
        <f>IF(OR(EU85="",ISERROR(EU85/EU$31)),"-",EU85/EU$31)</f>
        <v>0.36209232144600956</v>
      </c>
      <c r="EV249" s="90"/>
    </row>
    <row r="250" spans="1:152">
      <c r="A250" s="41" t="s">
        <v>6299</v>
      </c>
      <c r="B250" s="526"/>
      <c r="C250" s="284">
        <f>IF(OR(C105="",ISERROR(C105/C$31)),"-",C105/C$31)</f>
        <v>0.1393983859134264</v>
      </c>
      <c r="D250" s="284">
        <f>IF(OR(D105="",ISERROR(D105/D$31)),"-",D105/D$31)</f>
        <v>0.1072261072261072</v>
      </c>
      <c r="E250" s="284">
        <f>IF(OR(E105="",ISERROR(E105/E$31)),"-",E105/E$31)</f>
        <v>6.3464837049742581E-2</v>
      </c>
      <c r="F250" s="284">
        <f>IF(OR(F105="",ISERROR(F105/F$31)),"-",F105/F$31)</f>
        <v>5.2173913043478327E-2</v>
      </c>
      <c r="G250" s="284">
        <f>IF(OR(G105="",ISERROR(G105/G$31)),"-",G105/G$31)</f>
        <v>9.3416549224884182E-2</v>
      </c>
      <c r="H250" s="90"/>
      <c r="I250" s="284">
        <f>IF(OR(I105="",ISERROR(I105/I$31)),"-",I105/I$31)</f>
        <v>5.5479452054794542E-2</v>
      </c>
      <c r="J250" s="284">
        <f>IF(OR(J105="",ISERROR(J105/J$31)),"-",J105/J$31)</f>
        <v>0.12916887241926944</v>
      </c>
      <c r="K250" s="284">
        <f>IF(OR(K105="",ISERROR(K105/K$31)),"-",K105/K$31)</f>
        <v>0.1410767696909272</v>
      </c>
      <c r="L250" s="284">
        <f>IF(OR(L105="",ISERROR(L105/L$31)),"-",L105/L$31)</f>
        <v>0.1702418986764036</v>
      </c>
      <c r="M250" s="284">
        <f>IF(OR(M105="",ISERROR(M105/M$31)),"-",M105/M$31)</f>
        <v>0.12987012987012991</v>
      </c>
      <c r="N250" s="90"/>
      <c r="O250" s="284">
        <f>IF(OR(O105="",ISERROR(O105/O$31)),"-",O105/O$31)</f>
        <v>0.14783967140888718</v>
      </c>
      <c r="P250" s="284">
        <f>IF(OR(P105="",ISERROR(P105/P$31)),"-",P105/P$31)</f>
        <v>0.16521911287476437</v>
      </c>
      <c r="Q250" s="284">
        <f>IF(OR(Q105="",ISERROR(Q105/Q$31)),"-",Q105/Q$31)</f>
        <v>0.11414374361047057</v>
      </c>
      <c r="R250" s="284">
        <f>IF(OR(R105="",ISERROR(R105/R$31)),"-",R105/R$31)</f>
        <v>0.12941392482724956</v>
      </c>
      <c r="S250" s="284">
        <f>IF(OR(S105="",ISERROR(S105/S$31)),"-",S105/S$31)</f>
        <v>0.13982605232303158</v>
      </c>
      <c r="T250" s="90"/>
      <c r="U250" s="284">
        <f>IF(OR(U105="",ISERROR(U105/U$31)),"-",U105/U$31)</f>
        <v>4.4665722561321633E-2</v>
      </c>
      <c r="V250" s="284">
        <f>IF(OR(V105="",ISERROR(V105/V$31)),"-",V105/V$31)</f>
        <v>2.7010855628686155E-2</v>
      </c>
      <c r="W250" s="284">
        <f>IF(OR(W105="",ISERROR(W105/W$31)),"-",W105/W$31)</f>
        <v>8.0139911882420312E-2</v>
      </c>
      <c r="X250" s="284">
        <f>IF(OR(X105="",ISERROR(X105/X$31)),"-",X105/X$31)</f>
        <v>0.12912205472985797</v>
      </c>
      <c r="Y250" s="284">
        <f>IF(OR(Y105="",ISERROR(Y105/Y$31)),"-",Y105/Y$31)</f>
        <v>7.1561262235408096E-2</v>
      </c>
      <c r="Z250" s="104"/>
      <c r="AA250" s="284">
        <f>IF(OR(AA105="",ISERROR(AA105/AA$31)),"-",AA105/AA$31)</f>
        <v>0.13042087010667683</v>
      </c>
      <c r="AB250" s="284">
        <f>IF(OR(AB105="",ISERROR(AB105/AB$31)),"-",AB105/AB$31)</f>
        <v>0.10877809320523457</v>
      </c>
      <c r="AC250" s="284">
        <f>IF(OR(AC105="",ISERROR(AC105/AC$31)),"-",AC105/AC$31)</f>
        <v>9.5371699603363363E-2</v>
      </c>
      <c r="AD250" s="284">
        <f>IF(OR(AD105="",ISERROR(AD105/AD$31)),"-",AD105/AD$31)</f>
        <v>0.13190452875369785</v>
      </c>
      <c r="AE250" s="284">
        <f>IF(OR(AE105="",ISERROR(AE105/AE$31)),"-",AE105/AE$31)</f>
        <v>0.11684523733237638</v>
      </c>
      <c r="AF250" s="90"/>
      <c r="AG250" s="284">
        <f>IF(OR(AG105="",ISERROR(AG105/AG$31)),"-",AG105/AG$31)</f>
        <v>0.12845690567266199</v>
      </c>
      <c r="AH250" s="284">
        <f>IF(OR(AH105="",ISERROR(AH105/AH$31)),"-",AH105/AH$31)</f>
        <v>0.12809474412171504</v>
      </c>
      <c r="AI250" s="284">
        <f>IF(OR(AI105="",ISERROR(AI105/AI$31)),"-",AI105/AI$31)</f>
        <v>9.5910924998960007E-2</v>
      </c>
      <c r="AJ250" s="284">
        <f>IF(OR(AJ105="",ISERROR(AJ105/AJ$31)),"-",AJ105/AJ$31)</f>
        <v>0.14573639749009984</v>
      </c>
      <c r="AK250" s="284">
        <f>IF(OR(AK105="",ISERROR(AK105/AK$31)),"-",AK105/AK$31)</f>
        <v>0.12556953047575134</v>
      </c>
      <c r="AL250" s="90"/>
      <c r="AM250" s="284">
        <f>IF(OR(AM105="",ISERROR(AM105/AM$31)),"-",AM105/AM$31)</f>
        <v>8.1595276613743772E-2</v>
      </c>
      <c r="AN250" s="284">
        <f>IF(OR(AN105="",ISERROR(AN105/AN$31)),"-",AN105/AN$31)</f>
        <v>6.8467036579770268E-2</v>
      </c>
      <c r="AO250" s="284">
        <f>IF(OR(AO105="",ISERROR(AO105/AO$31)),"-",AO105/AO$31)</f>
        <v>3.0641067084964963E-2</v>
      </c>
      <c r="AP250" s="284">
        <f>IF(OR(AP105="",ISERROR(AP105/AP$31)),"-",AP105/AP$31)</f>
        <v>4.0554225741115869E-2</v>
      </c>
      <c r="AQ250" s="284">
        <f>IF(OR(AQ105="",ISERROR(AQ105/AQ$31)),"-",AQ105/AQ$31)</f>
        <v>5.6848638394074821E-2</v>
      </c>
      <c r="AR250" s="159"/>
      <c r="AS250" s="284">
        <f>IF(OR(AS105="",ISERROR(AS105/AS$31)),"-",AS105/AS$31)</f>
        <v>3.5622443847679416E-2</v>
      </c>
      <c r="AT250" s="284">
        <f>IF(OR(AT105="",ISERROR(AT105/AT$31)),"-",AT105/AT$31)</f>
        <v>6.106610613825831E-2</v>
      </c>
      <c r="AU250" s="284">
        <f>IF(OR(AU105="",ISERROR(AU105/AU$31)),"-",AU105/AU$31)</f>
        <v>9.6663844489485243E-2</v>
      </c>
      <c r="AV250" s="284">
        <f>IF(OR(AV105="",ISERROR(AV105/AV$31)),"-",AV105/AV$31)</f>
        <v>0.17948935017439319</v>
      </c>
      <c r="AW250" s="284">
        <f>IF(OR(AW105="",ISERROR(AW105/AW$31)),"-",AW105/AW$31)</f>
        <v>0.10092755371499615</v>
      </c>
      <c r="AX250" s="159"/>
      <c r="AY250" s="284">
        <f>IF(OR(AY105="",ISERROR(AY105/AY$31)),"-",AY105/AY$31)</f>
        <v>0.17323971915747249</v>
      </c>
      <c r="AZ250" s="284">
        <f>IF(OR(AZ105="",ISERROR(AZ105/AZ$31)),"-",AZ105/AZ$31)</f>
        <v>0.16239316239316243</v>
      </c>
      <c r="BA250" s="284">
        <f>IF(OR(BA105="",ISERROR(BA105/BA$31)),"-",BA105/BA$31)</f>
        <v>0.16025215660252151</v>
      </c>
      <c r="BB250" s="284">
        <f>IF(OR(BB105="",ISERROR(BB105/BB$31)),"-",BB105/BB$31)</f>
        <v>0.21224832214765088</v>
      </c>
      <c r="BC250" s="284">
        <f>IF(OR(BC105="",ISERROR(BC105/BC$31)),"-",BC105/BC$31)</f>
        <v>0.1788812656388733</v>
      </c>
      <c r="BD250" s="159"/>
      <c r="BE250" s="284">
        <f>IF(OR(BE105="",ISERROR(BE105/BE$31)),"-",BE105/BE$31)</f>
        <v>0.21526037315510993</v>
      </c>
      <c r="BF250" s="284">
        <f>IF(OR(BF105="",ISERROR(BF105/BF$31)),"-",BF105/BF$31)</f>
        <v>0.20090233545647551</v>
      </c>
      <c r="BG250" s="284">
        <f>IF(OR(BG105="",ISERROR(BG105/BG$31)),"-",BG105/BG$31)</f>
        <v>0.20707732634338141</v>
      </c>
      <c r="BH250" s="284">
        <f>IF(OR(BH105="",ISERROR(BH105/BH$31)),"-",BH105/BH$31)</f>
        <v>0.22129585516912817</v>
      </c>
      <c r="BI250" s="284">
        <f>IF(OR(BI105="",ISERROR(BI105/BI$31)),"-",BI105/BI$31)</f>
        <v>0.21135831381733022</v>
      </c>
      <c r="BJ250" s="90"/>
      <c r="BK250" s="284">
        <f>IF(OR(BK105="",ISERROR(BK105/BK$31)),"-",BK105/BK$31)</f>
        <v>0.18342201834862384</v>
      </c>
      <c r="BL250" s="284">
        <f>IF(OR(BL105="",ISERROR(BL105/BL$31)),"-",BL105/BL$31)</f>
        <v>0.21285587188612101</v>
      </c>
      <c r="BM250" s="284">
        <f>IF(OR(BM105="",ISERROR(BM105/BM$31)),"-",BM105/BM$31)</f>
        <v>0.18892294220665495</v>
      </c>
      <c r="BN250" s="284">
        <f>IF(OR(BN105="",ISERROR(BN105/BN$31)),"-",BN105/BN$31)</f>
        <v>0.22657820667470849</v>
      </c>
      <c r="BO250" s="284">
        <f>IF(OR(BO105="",ISERROR(BO105/BO$31)),"-",BO105/BO$31)</f>
        <v>0.20364822263289484</v>
      </c>
      <c r="BP250" s="90"/>
      <c r="BQ250" s="284">
        <f>IF(OR(BQ105="",ISERROR(BQ105/BQ$31)),"-",BQ105/BQ$31)</f>
        <v>0.20998820290994896</v>
      </c>
      <c r="BR250" s="284">
        <f>IF(OR(BR105="",ISERROR(BR105/BR$31)),"-",BR105/BR$31)</f>
        <v>0.20612283704126266</v>
      </c>
      <c r="BS250" s="284">
        <f>IF(OR(BS105="",ISERROR(BS105/BS$31)),"-",BS105/BS$31)</f>
        <v>0.21749628528974735</v>
      </c>
      <c r="BT250" s="284">
        <f>IF(OR(BT105="",ISERROR(BT105/BT$31)),"-",BT105/BT$31)</f>
        <v>0.20731096644967456</v>
      </c>
      <c r="BU250" s="284">
        <f>IF(OR(BU105="",ISERROR(BU105/BU$31)),"-",BU105/BU$31)</f>
        <v>0.21017495395948438</v>
      </c>
      <c r="BV250" s="90"/>
      <c r="BW250" s="284">
        <f>IF(OR(BW105="",ISERROR(BW105/BW$31)),"-",BW105/BW$31)</f>
        <v>0.19572478289913145</v>
      </c>
      <c r="BX250" s="284">
        <f>IF(OR(BX105="",ISERROR(BX105/BX$31)),"-",BX105/BX$31)</f>
        <v>0.21033091202582729</v>
      </c>
      <c r="BY250" s="284">
        <f>IF(OR(BY105="",ISERROR(BY105/BY$31)),"-",BY105/BY$31)</f>
        <v>0.21413276231263398</v>
      </c>
      <c r="BZ250" s="284">
        <f>IF(OR(BZ105="",ISERROR(BZ105/BZ$31)),"-",BZ105/BZ$31)</f>
        <v>0.143527970600245</v>
      </c>
      <c r="CA250" s="284">
        <f>IF(OR(CA105="",ISERROR(CA105/CA$31)),"-",CA105/CA$31)</f>
        <v>0.19341741534208709</v>
      </c>
      <c r="CB250" s="90"/>
      <c r="CC250" s="284">
        <f>IF(OR(CC105="",ISERROR(CC105/CC$31)),"-",CC105/CC$31)</f>
        <v>9.8403006106153171E-2</v>
      </c>
      <c r="CD250" s="284">
        <f>IF(OR(CD105="",ISERROR(CD105/CD$31)),"-",CD105/CD$31)</f>
        <v>0.13665943600867669</v>
      </c>
      <c r="CE250" s="284">
        <f>IF(OR(CE105="",ISERROR(CE105/CE$31)),"-",CE105/CE$31)</f>
        <v>0.15135524106500353</v>
      </c>
      <c r="CF250" s="284">
        <f>IF(OR(CF105="",ISERROR(CF105/CF$31)),"-",CF105/CF$31)</f>
        <v>0.15325586494189855</v>
      </c>
      <c r="CG250" s="284">
        <f>IF(OR(CG105="",ISERROR(CG105/CG$31)),"-",CG105/CG$31)</f>
        <v>0.13514617494310546</v>
      </c>
      <c r="CH250" s="90"/>
      <c r="CI250" s="284">
        <f>IF(OR(CI105="",ISERROR(CI105/CI$31)),"-",CI105/CI$31)</f>
        <v>0.14264643910661612</v>
      </c>
      <c r="CJ250" s="284">
        <f>IF(OR(CJ105="",ISERROR(CJ105/CJ$31)),"-",CJ105/CJ$31)</f>
        <v>0.17978003384094746</v>
      </c>
      <c r="CK250" s="284">
        <f>IF(OR(CK105="",ISERROR(CK105/CK$31)),"-",CK105/CK$31)</f>
        <v>0.15733165512901187</v>
      </c>
      <c r="CL250" s="284">
        <f>IF(OR(CL105="",ISERROR(CL105/CL$31)),"-",CL105/CL$31)</f>
        <v>0.15671783210157292</v>
      </c>
      <c r="CM250" s="284">
        <f>IF(OR(CM105="",ISERROR(CM105/CM$31)),"-",CM105/CM$31)</f>
        <v>0.15903268777538682</v>
      </c>
      <c r="CN250" s="90"/>
      <c r="CO250" s="284">
        <f>IF(OR(CO105="",ISERROR(CO105/CO$31)),"-",CO105/CO$31)</f>
        <v>0.17736134771909898</v>
      </c>
      <c r="CP250" s="284">
        <f>IF(OR(CP105="",ISERROR(CP105/CP$31)),"-",CP105/CP$31)</f>
        <v>0.18945634266886327</v>
      </c>
      <c r="CQ250" s="284">
        <f>IF(OR(CQ105="",ISERROR(CQ105/CQ$31)),"-",CQ105/CQ$31)</f>
        <v>0.18611009843237317</v>
      </c>
      <c r="CR250" s="284">
        <f>IF(OR(CR105="",ISERROR(CR105/CR$31)),"-",CR105/CR$31)</f>
        <v>0.17910195813639429</v>
      </c>
      <c r="CS250" s="284">
        <f>IF(OR(CS105="",ISERROR(CS105/CS$31)),"-",CS105/CS$31)</f>
        <v>0.18297526629355476</v>
      </c>
      <c r="CT250" s="90"/>
      <c r="CU250" s="284">
        <f>IF(OR(CU105="",ISERROR(CU105/CU$31)),"-",CU105/CU$31)</f>
        <v>0.18671423717295277</v>
      </c>
      <c r="CV250" s="284">
        <f>IF(OR(CV105="",ISERROR(CV105/CV$31)),"-",CV105/CV$31)</f>
        <v>0.19578207381370821</v>
      </c>
      <c r="CW250" s="284">
        <f>IF(OR(CW105="",ISERROR(CW105/CW$31)),"-",CW105/CW$31)</f>
        <v>0.19671532846715331</v>
      </c>
      <c r="CX250" s="284">
        <f>IF(OR(CX105="",ISERROR(CX105/CX$31)),"-",CX105/CX$31)</f>
        <v>0.1991762767710048</v>
      </c>
      <c r="CY250" s="284">
        <f>IF(OR(CY105="",ISERROR(CY105/CY$31)),"-",CY105/CY$31)</f>
        <v>0.19458618005707859</v>
      </c>
      <c r="CZ250" s="90"/>
      <c r="DA250" s="284">
        <f>IF(OR(DA105="",ISERROR(DA105/DA$31)),"-",DA105/DA$31)</f>
        <v>0.16882889200560997</v>
      </c>
      <c r="DB250" s="284">
        <f>IF(OR(DB105="",ISERROR(DB105/DB$31)),"-",DB105/DB$31)</f>
        <v>0.1812355349830872</v>
      </c>
      <c r="DC250" s="284">
        <f>IF(OR(DC105="",ISERROR(DC105/DC$31)),"-",DC105/DC$31)</f>
        <v>0.16984870317002881</v>
      </c>
      <c r="DD250" s="284">
        <f>IF(OR(DD105="",ISERROR(DD105/DD$31)),"-",DD105/DD$31)</f>
        <v>0.15888169110126121</v>
      </c>
      <c r="DE250" s="284">
        <f>IF(OR(DE105="",ISERROR(DE105/DE$31)),"-",DE105/DE$31)</f>
        <v>0.16957649852676016</v>
      </c>
      <c r="DF250" s="90"/>
      <c r="DG250" s="284">
        <f>IF(OR(DG105="",ISERROR(DG105/DG$31)),"-",DG105/DG$31)</f>
        <v>0.12455696202531645</v>
      </c>
      <c r="DH250" s="284">
        <f>IF(OR(DH105="",ISERROR(DH105/DH$31)),"-",DH105/DH$31)</f>
        <v>0.12870820907235903</v>
      </c>
      <c r="DI250" s="284">
        <f>IF(OR(DI105="",ISERROR(DI105/DI$31)),"-",DI105/DI$31)</f>
        <v>9.3365695792880288E-2</v>
      </c>
      <c r="DJ250" s="284">
        <f>IF(OR(DJ105="",ISERROR(DJ105/DJ$31)),"-",DJ105/DJ$31)</f>
        <v>8.8474270237736977E-2</v>
      </c>
      <c r="DK250" s="284">
        <f>IF(OR(DK105="",ISERROR(DK105/DK$31)),"-",DK105/DK$31)</f>
        <v>0.10839105166786081</v>
      </c>
      <c r="DL250" s="90"/>
      <c r="DM250" s="284">
        <f>IF(OR(DM105="",ISERROR(DM105/DM$31)),"-",DM105/DM$31)</f>
        <v>0.10688321732405262</v>
      </c>
      <c r="DN250" s="284">
        <f>IF(OR(DN105="",ISERROR(DN105/DN$31)),"-",DN105/DN$31)</f>
        <v>7.2190319934372513E-2</v>
      </c>
      <c r="DO250" s="284">
        <f>IF(OR(DO105="",ISERROR(DO105/DO$31)),"-",DO105/DO$31)</f>
        <v>5.5185061687228927E-2</v>
      </c>
      <c r="DP250" s="284">
        <f>IF(OR(DP105="",ISERROR(DP105/DP$31)),"-",DP105/DP$31)</f>
        <v>7.3885546814746184E-2</v>
      </c>
      <c r="DQ250" s="284">
        <f>IF(OR(DQ105="",ISERROR(DQ105/DQ$31)),"-",DQ105/DQ$31)</f>
        <v>7.7512878878639002E-2</v>
      </c>
      <c r="DR250" s="90"/>
      <c r="DS250" s="284">
        <f>IF(OR(DS105="",ISERROR(DS105/DS$31)),"-",DS105/DS$31)</f>
        <v>-4.4922055088884541E-2</v>
      </c>
      <c r="DT250" s="284">
        <f>IF(OR(DT105="",ISERROR(DT105/DT$31)),"-",DT105/DT$31)</f>
        <v>2.1608861449064893E-2</v>
      </c>
      <c r="DU250" s="284">
        <f>IF(OR(DU105="",ISERROR(DU105/DU$31)),"-",DU105/DU$31)</f>
        <v>-7.9656862745097978E-2</v>
      </c>
      <c r="DV250" s="284">
        <f>IF(OR(DV105="",ISERROR(DV105/DV$31)),"-",DV105/DV$31)</f>
        <v>-0.12719298245614036</v>
      </c>
      <c r="DW250" s="284">
        <f>IF(OR(DW105="",ISERROR(DW105/DW$31)),"-",DW105/DW$31)</f>
        <v>-5.4650713934022613E-2</v>
      </c>
      <c r="DX250" s="90"/>
      <c r="DY250" s="284">
        <f>IF(OR(DY105="",ISERROR(DY105/DY$31)),"-",DY105/DY$31)</f>
        <v>-7.1649166151945526E-2</v>
      </c>
      <c r="DZ250" s="284">
        <f>IF(OR(DZ105="",ISERROR(DZ105/DZ$31)),"-",DZ105/DZ$31)</f>
        <v>-5.0219210840972639E-2</v>
      </c>
      <c r="EA250" s="284">
        <f>IF(OR(EA105="",ISERROR(EA105/EA$31)),"-",EA105/EA$31)</f>
        <v>-5.1232291868814381E-2</v>
      </c>
      <c r="EB250" s="284">
        <f>IF(OR(EB105="",ISERROR(EB105/EB$31)),"-",EB105/EB$31)</f>
        <v>-3.5933550018057162E-2</v>
      </c>
      <c r="EC250" s="284">
        <f>IF(OR(EC105="",ISERROR(EC105/EC$31)),"-",EC105/EC$31)</f>
        <v>-5.1687250802295102E-2</v>
      </c>
      <c r="ED250" s="90"/>
      <c r="EE250" s="116">
        <f>IF(OR(EE105="",ISERROR(EE105/EE$31)),"-",EE105/EE$31)</f>
        <v>1.5681944636525919E-2</v>
      </c>
      <c r="EF250" s="116">
        <f>IF(OR(EF105="",ISERROR(EF105/EF$31)),"-",EF105/EF$31)</f>
        <v>6.3017871119454255E-2</v>
      </c>
      <c r="EG250" s="116">
        <f>IF(OR(EG105="",ISERROR(EG105/EG$31)),"-",EG105/EG$31)</f>
        <v>0.10403263370418203</v>
      </c>
      <c r="EH250" s="116">
        <f>IF(OR(EH105="",ISERROR(EH105/EH$31)),"-",EH105/EH$31)</f>
        <v>0.12600110828903666</v>
      </c>
      <c r="EI250" s="116">
        <f>IF(OR(EI105="",ISERROR(EI105/EI$31)),"-",EI105/EI$31)</f>
        <v>8.0865854893740152E-2</v>
      </c>
      <c r="EJ250" s="90"/>
      <c r="EK250" s="116">
        <f>IF(OR(EK105="",ISERROR(EK105/EK$31)),"-",EK105/EK$31)</f>
        <v>0.17173599795136235</v>
      </c>
      <c r="EL250" s="116">
        <f>IF(OR(EL105="",ISERROR(EL105/EL$31)),"-",EL105/EL$31)</f>
        <v>0.2142196304440788</v>
      </c>
      <c r="EM250" s="116">
        <f>IF(OR(EM105="",ISERROR(EM105/EM$31)),"-",EM105/EM$31)</f>
        <v>0.23533744965826436</v>
      </c>
      <c r="EN250" s="116">
        <f>IF(OR(EN105="",ISERROR(EN105/EN$31)),"-",EN105/EN$31)</f>
        <v>0.25983070249918444</v>
      </c>
      <c r="EO250" s="116">
        <f>IF(OR(EO105="",ISERROR(EO105/EO$31)),"-",EO105/EO$31)</f>
        <v>0.22327076932567202</v>
      </c>
      <c r="EP250" s="90"/>
      <c r="EQ250" s="116">
        <f>IF(OR(EQ105="",ISERROR(EQ105/EQ$31)),"-",EQ105/EQ$31)</f>
        <v>0.1957129926588497</v>
      </c>
      <c r="ER250" s="116">
        <f>IF(OR(ER105="",ISERROR(ER105/ER$31)),"-",ER105/ER$31)</f>
        <v>0.26509840748743846</v>
      </c>
      <c r="ES250" s="116">
        <f>IF(OR(ES105="",ISERROR(ES105/ES$31)),"-",ES105/ES$31)</f>
        <v>0.30796863481614661</v>
      </c>
      <c r="ET250" s="116">
        <f>IF(OR(ET105="",ISERROR(ET105/ET$31)),"-",ET105/ET$31)</f>
        <v>0.35362756924013711</v>
      </c>
      <c r="EU250" s="116">
        <f>IF(OR(EU105="",ISERROR(EU105/EU$31)),"-",EU105/EU$31)</f>
        <v>0.28883560781118539</v>
      </c>
      <c r="EV250" s="90"/>
    </row>
    <row r="251" spans="1:152">
      <c r="A251" s="22"/>
      <c r="B251" s="519"/>
      <c r="C251" s="23"/>
      <c r="D251" s="24"/>
      <c r="E251" s="24"/>
      <c r="F251" s="24"/>
      <c r="G251" s="24"/>
      <c r="H251" s="24"/>
      <c r="I251" s="23"/>
      <c r="J251" s="24"/>
      <c r="K251" s="24"/>
      <c r="L251" s="24"/>
      <c r="M251" s="24"/>
      <c r="N251" s="24"/>
      <c r="O251" s="23"/>
      <c r="P251" s="24"/>
      <c r="Q251" s="24"/>
      <c r="R251" s="24"/>
      <c r="S251" s="24"/>
      <c r="T251" s="24"/>
      <c r="U251" s="23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3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  <c r="BW251" s="24"/>
      <c r="BX251" s="24"/>
      <c r="BY251" s="24"/>
      <c r="BZ251" s="24"/>
      <c r="CA251" s="24"/>
      <c r="CB251" s="24"/>
      <c r="CC251" s="24"/>
      <c r="CD251" s="24"/>
      <c r="CE251" s="24"/>
      <c r="CF251" s="24"/>
      <c r="CG251" s="24"/>
      <c r="CH251" s="24"/>
      <c r="CI251" s="24"/>
      <c r="CJ251" s="24"/>
      <c r="CK251" s="24"/>
      <c r="CL251" s="24"/>
      <c r="CM251" s="24"/>
      <c r="CN251" s="24"/>
      <c r="CO251" s="24"/>
      <c r="CP251" s="24"/>
      <c r="CQ251" s="24"/>
      <c r="CR251" s="24"/>
      <c r="CS251" s="24"/>
      <c r="CT251" s="24"/>
      <c r="CU251" s="24"/>
      <c r="CV251" s="24"/>
      <c r="CW251" s="24"/>
      <c r="CX251" s="24"/>
      <c r="CY251" s="24"/>
      <c r="CZ251" s="24"/>
      <c r="DA251" s="24"/>
      <c r="DB251" s="24"/>
      <c r="DC251" s="24"/>
      <c r="DD251" s="24"/>
      <c r="DE251" s="24"/>
      <c r="DF251" s="24"/>
      <c r="DG251" s="24"/>
      <c r="DH251" s="24"/>
      <c r="DI251" s="24"/>
      <c r="DJ251" s="24"/>
      <c r="DK251" s="24"/>
      <c r="DL251" s="24"/>
      <c r="DM251" s="24"/>
      <c r="DN251" s="24"/>
      <c r="DO251" s="24"/>
      <c r="DP251" s="24"/>
      <c r="DQ251" s="24"/>
      <c r="DR251" s="24"/>
      <c r="DS251" s="24"/>
      <c r="DT251" s="24"/>
      <c r="DU251" s="24"/>
      <c r="DV251" s="24"/>
      <c r="DW251" s="24"/>
      <c r="DX251" s="24"/>
      <c r="DY251" s="24"/>
      <c r="DZ251" s="24"/>
      <c r="EA251" s="24"/>
      <c r="EB251" s="24"/>
      <c r="EC251" s="24"/>
      <c r="ED251" s="24"/>
      <c r="EE251" s="24"/>
      <c r="EF251" s="24"/>
      <c r="EG251" s="24"/>
      <c r="EH251" s="24"/>
      <c r="EI251" s="24"/>
      <c r="EJ251" s="24"/>
      <c r="EK251" s="24"/>
      <c r="EL251" s="24"/>
      <c r="EM251" s="24"/>
      <c r="EN251" s="24"/>
      <c r="EO251" s="24"/>
      <c r="EP251" s="24"/>
      <c r="EQ251" s="24"/>
      <c r="ER251" s="24"/>
      <c r="ES251" s="24"/>
      <c r="ET251" s="24"/>
      <c r="EU251" s="24"/>
      <c r="EV251" s="24"/>
    </row>
    <row r="252" spans="1:152">
      <c r="A252" s="52" t="s">
        <v>6444</v>
      </c>
      <c r="B252" s="520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52"/>
      <c r="AE252" s="52"/>
      <c r="AF252" s="52"/>
      <c r="AG252" s="52"/>
      <c r="AH252" s="52"/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  <c r="AX252" s="52"/>
      <c r="AY252" s="52"/>
      <c r="AZ252" s="52"/>
      <c r="BA252" s="52"/>
      <c r="BB252" s="52"/>
      <c r="BC252" s="52"/>
      <c r="BD252" s="52"/>
      <c r="BE252" s="52"/>
      <c r="BF252" s="52"/>
      <c r="BG252" s="52"/>
      <c r="BH252" s="52"/>
      <c r="BI252" s="52"/>
      <c r="BJ252" s="52"/>
      <c r="BK252" s="52"/>
      <c r="BL252" s="52"/>
      <c r="BM252" s="52"/>
      <c r="BN252" s="52"/>
      <c r="BO252" s="52"/>
      <c r="BP252" s="52"/>
      <c r="BQ252" s="52"/>
      <c r="BR252" s="52"/>
      <c r="BS252" s="52"/>
      <c r="BT252" s="52"/>
      <c r="BU252" s="52"/>
      <c r="BV252" s="52"/>
      <c r="BW252" s="52"/>
      <c r="BX252" s="52"/>
      <c r="BY252" s="52"/>
      <c r="BZ252" s="52"/>
      <c r="CA252" s="52"/>
      <c r="CB252" s="52"/>
      <c r="CC252" s="52"/>
      <c r="CD252" s="52"/>
      <c r="CE252" s="52"/>
      <c r="CF252" s="52"/>
      <c r="CG252" s="52"/>
      <c r="CH252" s="52"/>
      <c r="CI252" s="52"/>
      <c r="CJ252" s="52"/>
      <c r="CK252" s="52"/>
      <c r="CL252" s="52"/>
      <c r="CM252" s="52"/>
      <c r="CN252" s="52"/>
      <c r="CO252" s="52"/>
      <c r="CP252" s="52"/>
      <c r="CQ252" s="52"/>
      <c r="CR252" s="52"/>
      <c r="CS252" s="52"/>
      <c r="CT252" s="52"/>
      <c r="CU252" s="52"/>
      <c r="CV252" s="52"/>
      <c r="CW252" s="52"/>
      <c r="CX252" s="52"/>
      <c r="CY252" s="52"/>
      <c r="CZ252" s="52"/>
      <c r="DA252" s="52"/>
      <c r="DB252" s="52"/>
      <c r="DC252" s="52"/>
      <c r="DD252" s="52"/>
      <c r="DE252" s="52"/>
      <c r="DF252" s="52"/>
      <c r="DG252" s="52"/>
      <c r="DH252" s="52"/>
      <c r="DI252" s="52"/>
      <c r="DJ252" s="52"/>
      <c r="DK252" s="52"/>
      <c r="DL252" s="52"/>
      <c r="DM252" s="52"/>
      <c r="DN252" s="52"/>
      <c r="DO252" s="52"/>
      <c r="DP252" s="52"/>
      <c r="DQ252" s="52"/>
      <c r="DR252" s="52"/>
      <c r="DS252" s="52"/>
      <c r="DT252" s="52"/>
      <c r="DU252" s="52"/>
      <c r="DV252" s="52"/>
      <c r="DW252" s="52"/>
      <c r="DX252" s="52"/>
      <c r="DY252" s="52"/>
      <c r="DZ252" s="52"/>
      <c r="EA252" s="52"/>
      <c r="EB252" s="52"/>
      <c r="EC252" s="52"/>
      <c r="ED252" s="52"/>
      <c r="EE252" s="52"/>
      <c r="EF252" s="52"/>
      <c r="EG252" s="52"/>
      <c r="EH252" s="52"/>
      <c r="EI252" s="52"/>
      <c r="EJ252" s="52"/>
      <c r="EK252" s="52"/>
      <c r="EL252" s="52"/>
      <c r="EM252" s="52"/>
      <c r="EN252" s="52"/>
      <c r="EO252" s="52"/>
      <c r="EP252" s="52"/>
      <c r="EQ252" s="52"/>
      <c r="ER252" s="52"/>
      <c r="ES252" s="52"/>
      <c r="ET252" s="52"/>
      <c r="EU252" s="52"/>
      <c r="EV252" s="52"/>
    </row>
    <row r="253" spans="1:152" ht="12.75" hidden="1" customHeight="1" outlineLevel="1">
      <c r="A253" s="90" t="s">
        <v>4735</v>
      </c>
      <c r="B253" s="520" t="s">
        <v>4736</v>
      </c>
      <c r="C253" s="62"/>
      <c r="D253" s="62"/>
      <c r="E253" s="62"/>
      <c r="F253" s="62"/>
      <c r="G253" s="62"/>
      <c r="H253" s="61"/>
      <c r="I253" s="62"/>
      <c r="J253" s="62"/>
      <c r="K253" s="62"/>
      <c r="L253" s="62"/>
      <c r="M253" s="62"/>
      <c r="N253" s="61"/>
      <c r="O253" s="62" t="s">
        <v>6442</v>
      </c>
      <c r="P253" s="62" t="s">
        <v>6442</v>
      </c>
      <c r="Q253" s="62" t="s">
        <v>6442</v>
      </c>
      <c r="R253" s="62" t="s">
        <v>6442</v>
      </c>
      <c r="S253" s="62">
        <v>435.6</v>
      </c>
      <c r="T253" s="61"/>
      <c r="U253" s="62" t="s">
        <v>6442</v>
      </c>
      <c r="V253" s="62" t="s">
        <v>6442</v>
      </c>
      <c r="W253" s="62" t="s">
        <v>6442</v>
      </c>
      <c r="X253" s="62" t="s">
        <v>6442</v>
      </c>
      <c r="Y253" s="62">
        <v>381</v>
      </c>
      <c r="Z253" s="61"/>
      <c r="AA253" s="62" t="s">
        <v>6442</v>
      </c>
      <c r="AB253" s="62" t="s">
        <v>6442</v>
      </c>
      <c r="AC253" s="62" t="s">
        <v>6442</v>
      </c>
      <c r="AD253" s="62" t="s">
        <v>6442</v>
      </c>
      <c r="AE253" s="62">
        <v>432.7</v>
      </c>
      <c r="AF253" s="61"/>
      <c r="AG253" s="62">
        <v>99.9</v>
      </c>
      <c r="AH253" s="62">
        <v>116.2</v>
      </c>
      <c r="AI253" s="62">
        <v>99.7</v>
      </c>
      <c r="AJ253" s="62">
        <v>117.9</v>
      </c>
      <c r="AK253" s="62">
        <v>433.70000000000005</v>
      </c>
      <c r="AL253" s="61"/>
      <c r="AM253" s="62">
        <v>106.667</v>
      </c>
      <c r="AN253" s="62">
        <v>92.694000000000003</v>
      </c>
      <c r="AO253" s="62">
        <v>87.471999999999994</v>
      </c>
      <c r="AP253" s="62">
        <v>87.3</v>
      </c>
      <c r="AQ253" s="62">
        <v>374.13299999999998</v>
      </c>
      <c r="AR253" s="62"/>
      <c r="AS253" s="62">
        <v>92.150999999999996</v>
      </c>
      <c r="AT253" s="62">
        <v>84.820999999999998</v>
      </c>
      <c r="AU253" s="62">
        <v>104.90900000000001</v>
      </c>
      <c r="AV253" s="62">
        <v>127.8</v>
      </c>
      <c r="AW253" s="62">
        <v>409.68099999999998</v>
      </c>
      <c r="AX253" s="62"/>
      <c r="AY253" s="62">
        <v>121.545</v>
      </c>
      <c r="AZ253" s="62">
        <v>115.08799999999999</v>
      </c>
      <c r="BA253" s="62">
        <v>137.001</v>
      </c>
      <c r="BB253" s="62">
        <v>137.30000000000001</v>
      </c>
      <c r="BC253" s="62">
        <v>510.93400000000003</v>
      </c>
      <c r="BD253" s="62"/>
      <c r="BE253" s="62">
        <v>130.52199999999999</v>
      </c>
      <c r="BF253" s="62">
        <v>141.19999999999999</v>
      </c>
      <c r="BG253" s="62">
        <v>160.30000000000001</v>
      </c>
      <c r="BH253" s="62">
        <v>177.1</v>
      </c>
      <c r="BI253" s="62">
        <v>609.12199999999996</v>
      </c>
      <c r="BJ253" s="61"/>
      <c r="BK253" s="62">
        <v>170.2</v>
      </c>
      <c r="BL253" s="62">
        <v>167.7</v>
      </c>
      <c r="BM253" s="62">
        <v>194</v>
      </c>
      <c r="BN253" s="62">
        <v>203</v>
      </c>
      <c r="BO253" s="62">
        <v>734.9</v>
      </c>
      <c r="BP253" s="61"/>
      <c r="BQ253" s="62">
        <v>184</v>
      </c>
      <c r="BR253" s="62">
        <v>195</v>
      </c>
      <c r="BS253" s="62">
        <v>218</v>
      </c>
      <c r="BT253" s="62">
        <v>206</v>
      </c>
      <c r="BU253" s="62">
        <v>803</v>
      </c>
      <c r="BV253" s="61"/>
      <c r="BW253" s="62">
        <v>191</v>
      </c>
      <c r="BX253" s="62">
        <v>203</v>
      </c>
      <c r="BY253" s="62">
        <v>216</v>
      </c>
      <c r="BZ253" s="62">
        <v>172</v>
      </c>
      <c r="CA253" s="62">
        <v>782</v>
      </c>
      <c r="CB253" s="61"/>
      <c r="CC253" s="62">
        <v>163</v>
      </c>
      <c r="CD253" s="62">
        <v>159</v>
      </c>
      <c r="CE253" s="62">
        <v>164</v>
      </c>
      <c r="CF253" s="62">
        <v>168</v>
      </c>
      <c r="CG253" s="62">
        <v>654</v>
      </c>
      <c r="CH253" s="61"/>
      <c r="CI253" s="62">
        <v>161.19999999999999</v>
      </c>
      <c r="CJ253" s="62">
        <v>168.4</v>
      </c>
      <c r="CK253" s="62">
        <v>179</v>
      </c>
      <c r="CL253" s="62">
        <v>193</v>
      </c>
      <c r="CM253" s="62">
        <v>701.6</v>
      </c>
      <c r="CN253" s="61"/>
      <c r="CO253" s="62">
        <v>181</v>
      </c>
      <c r="CP253" s="62">
        <v>191.1</v>
      </c>
      <c r="CQ253" s="62">
        <v>200</v>
      </c>
      <c r="CR253" s="62">
        <v>226</v>
      </c>
      <c r="CS253" s="62">
        <v>798.1</v>
      </c>
      <c r="CT253" s="61"/>
      <c r="CU253" s="62">
        <v>208</v>
      </c>
      <c r="CV253" s="62">
        <v>199</v>
      </c>
      <c r="CW253" s="62">
        <v>209</v>
      </c>
      <c r="CX253" s="62">
        <v>221</v>
      </c>
      <c r="CY253" s="62">
        <v>837</v>
      </c>
      <c r="CZ253" s="61"/>
      <c r="DA253" s="62"/>
      <c r="DB253" s="62"/>
      <c r="DC253" s="62"/>
      <c r="DD253" s="62"/>
      <c r="DE253" s="62"/>
      <c r="DF253" s="61"/>
      <c r="DG253" s="62"/>
      <c r="DH253" s="62"/>
      <c r="DI253" s="62"/>
      <c r="DJ253" s="62"/>
      <c r="DK253" s="62"/>
      <c r="DL253" s="61"/>
      <c r="DM253" s="62"/>
      <c r="DN253" s="62"/>
      <c r="DO253" s="62"/>
      <c r="DP253" s="62"/>
      <c r="DQ253" s="62"/>
      <c r="DR253" s="61"/>
      <c r="DS253" s="62"/>
      <c r="DT253" s="62"/>
      <c r="DU253" s="62"/>
      <c r="DV253" s="62"/>
      <c r="DW253" s="62"/>
      <c r="DX253" s="61"/>
      <c r="DY253" s="62"/>
      <c r="DZ253" s="62"/>
      <c r="EA253" s="62"/>
      <c r="EB253" s="62"/>
      <c r="EC253" s="62"/>
      <c r="ED253" s="61"/>
      <c r="EE253" s="62"/>
      <c r="EF253" s="62"/>
      <c r="EG253" s="62"/>
      <c r="EH253" s="62"/>
      <c r="EI253" s="62"/>
      <c r="EJ253" s="61"/>
      <c r="EK253" s="62"/>
      <c r="EL253" s="62"/>
      <c r="EM253" s="62"/>
      <c r="EN253" s="62"/>
      <c r="EO253" s="62"/>
      <c r="EP253" s="61"/>
      <c r="EQ253" s="62"/>
      <c r="ER253" s="62"/>
      <c r="ES253" s="62"/>
      <c r="ET253" s="62"/>
      <c r="EU253" s="62"/>
      <c r="EV253" s="90"/>
    </row>
    <row r="254" spans="1:152" ht="12.75" hidden="1" customHeight="1" outlineLevel="1">
      <c r="A254" s="90" t="s">
        <v>652</v>
      </c>
      <c r="B254" s="520" t="s">
        <v>4734</v>
      </c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1"/>
      <c r="O254" s="62" t="s">
        <v>6442</v>
      </c>
      <c r="P254" s="62" t="s">
        <v>6442</v>
      </c>
      <c r="Q254" s="62" t="s">
        <v>6442</v>
      </c>
      <c r="R254" s="62" t="s">
        <v>6442</v>
      </c>
      <c r="S254" s="62">
        <f>S255+S256</f>
        <v>458.20000000000005</v>
      </c>
      <c r="T254" s="61"/>
      <c r="U254" s="62" t="s">
        <v>6442</v>
      </c>
      <c r="V254" s="62" t="s">
        <v>6442</v>
      </c>
      <c r="W254" s="62" t="s">
        <v>6442</v>
      </c>
      <c r="X254" s="62" t="s">
        <v>6442</v>
      </c>
      <c r="Y254" s="62">
        <f>Y255+Y256</f>
        <v>467.09999999999997</v>
      </c>
      <c r="Z254" s="61"/>
      <c r="AA254" s="62" t="s">
        <v>6442</v>
      </c>
      <c r="AB254" s="62" t="s">
        <v>6442</v>
      </c>
      <c r="AC254" s="62" t="s">
        <v>6442</v>
      </c>
      <c r="AD254" s="62" t="s">
        <v>6442</v>
      </c>
      <c r="AE254" s="62">
        <f>AE255+AE256</f>
        <v>503.6</v>
      </c>
      <c r="AF254" s="61"/>
      <c r="AG254" s="62">
        <f>AG255+AG256</f>
        <v>145.80000000000001</v>
      </c>
      <c r="AH254" s="62">
        <f>AH255+AH256</f>
        <v>115.2</v>
      </c>
      <c r="AI254" s="62">
        <f>AI255+AI256</f>
        <v>116.7</v>
      </c>
      <c r="AJ254" s="62">
        <f>AJ255+AJ256</f>
        <v>136.10000000000002</v>
      </c>
      <c r="AK254" s="62">
        <f>AK255+AK256</f>
        <v>513.79999999999995</v>
      </c>
      <c r="AL254" s="62"/>
      <c r="AM254" s="62">
        <f>AM255+AM256</f>
        <v>122.66</v>
      </c>
      <c r="AN254" s="62">
        <f>AN255+AN256</f>
        <v>118.70700000000001</v>
      </c>
      <c r="AO254" s="62">
        <f>AO255+AO256</f>
        <v>101.229</v>
      </c>
      <c r="AP254" s="62">
        <f>AP255+AP256</f>
        <v>108.2</v>
      </c>
      <c r="AQ254" s="62">
        <f>AQ255+AQ256</f>
        <v>450.79599999999999</v>
      </c>
      <c r="AR254" s="62"/>
      <c r="AS254" s="62">
        <f>AS255+AS256</f>
        <v>118.61499999999999</v>
      </c>
      <c r="AT254" s="62">
        <f>AT255+AT256</f>
        <v>126.884</v>
      </c>
      <c r="AU254" s="62">
        <f>AU255+AU256</f>
        <v>128.953</v>
      </c>
      <c r="AV254" s="62">
        <f>AV255+AV256</f>
        <v>167.5</v>
      </c>
      <c r="AW254" s="62">
        <f>AW255+AW256</f>
        <v>541.952</v>
      </c>
      <c r="AX254" s="62"/>
      <c r="AY254" s="62">
        <f>AY255+AY256</f>
        <v>176.33099999999999</v>
      </c>
      <c r="AZ254" s="62">
        <f>AZ255+AZ256</f>
        <v>164.49</v>
      </c>
      <c r="BA254" s="62">
        <f>BA255+BA256</f>
        <v>163.15699999999998</v>
      </c>
      <c r="BB254" s="62">
        <f>BB255+BB256</f>
        <v>218.89999999999998</v>
      </c>
      <c r="BC254" s="62">
        <f>BC255+BC256</f>
        <v>722.87799999999993</v>
      </c>
      <c r="BD254" s="62"/>
      <c r="BE254" s="62">
        <f>BE255+BE256</f>
        <v>224.59699999999998</v>
      </c>
      <c r="BF254" s="62" t="s">
        <v>6442</v>
      </c>
      <c r="BG254" s="62" t="s">
        <v>6442</v>
      </c>
      <c r="BH254" s="62" t="s">
        <v>6442</v>
      </c>
      <c r="BI254" s="62">
        <f>BI255+BI256</f>
        <v>913.99699999999996</v>
      </c>
      <c r="BJ254" s="61"/>
      <c r="BK254" s="62" t="s">
        <v>6442</v>
      </c>
      <c r="BL254" s="62" t="s">
        <v>6442</v>
      </c>
      <c r="BM254" s="62" t="s">
        <v>6442</v>
      </c>
      <c r="BN254" s="62" t="s">
        <v>6442</v>
      </c>
      <c r="BO254" s="62">
        <f>BO255+BO256</f>
        <v>1104.7</v>
      </c>
      <c r="BP254" s="61"/>
      <c r="BQ254" s="62" t="s">
        <v>6442</v>
      </c>
      <c r="BR254" s="62" t="s">
        <v>6442</v>
      </c>
      <c r="BS254" s="62" t="s">
        <v>6442</v>
      </c>
      <c r="BT254" s="62" t="s">
        <v>6442</v>
      </c>
      <c r="BU254" s="62">
        <f>BU255+BU256</f>
        <v>1369</v>
      </c>
      <c r="BV254" s="61"/>
      <c r="BW254" s="62" t="s">
        <v>6442</v>
      </c>
      <c r="BX254" s="62" t="s">
        <v>6442</v>
      </c>
      <c r="BY254" s="62" t="s">
        <v>6442</v>
      </c>
      <c r="BZ254" s="62" t="s">
        <v>6442</v>
      </c>
      <c r="CA254" s="62">
        <f>CA255+CA256</f>
        <v>1534</v>
      </c>
      <c r="CB254" s="61"/>
      <c r="CC254" s="62" t="s">
        <v>6442</v>
      </c>
      <c r="CD254" s="62" t="s">
        <v>6442</v>
      </c>
      <c r="CE254" s="62" t="s">
        <v>6442</v>
      </c>
      <c r="CF254" s="62" t="s">
        <v>6442</v>
      </c>
      <c r="CG254" s="62">
        <f>CG255+CG256</f>
        <v>1060</v>
      </c>
      <c r="CH254" s="61"/>
      <c r="CI254" s="62" t="s">
        <v>6442</v>
      </c>
      <c r="CJ254" s="62" t="s">
        <v>6442</v>
      </c>
      <c r="CK254" s="62" t="s">
        <v>6442</v>
      </c>
      <c r="CL254" s="62" t="s">
        <v>6442</v>
      </c>
      <c r="CM254" s="62">
        <f>CM255+CM256</f>
        <v>1250.8000000000002</v>
      </c>
      <c r="CN254" s="61"/>
      <c r="CO254" s="62" t="s">
        <v>6442</v>
      </c>
      <c r="CP254" s="62" t="s">
        <v>6442</v>
      </c>
      <c r="CQ254" s="62" t="s">
        <v>6442</v>
      </c>
      <c r="CR254" s="62" t="s">
        <v>6442</v>
      </c>
      <c r="CS254" s="62">
        <f>CS255+CS256</f>
        <v>1417.1999999999998</v>
      </c>
      <c r="CT254" s="61"/>
      <c r="CU254" s="62" t="s">
        <v>6442</v>
      </c>
      <c r="CV254" s="62" t="s">
        <v>6442</v>
      </c>
      <c r="CW254" s="62" t="s">
        <v>6442</v>
      </c>
      <c r="CX254" s="62" t="s">
        <v>6442</v>
      </c>
      <c r="CY254" s="62">
        <f>CY255+CY256</f>
        <v>1476</v>
      </c>
      <c r="CZ254" s="61"/>
      <c r="DA254" s="62"/>
      <c r="DB254" s="62"/>
      <c r="DC254" s="62"/>
      <c r="DD254" s="62"/>
      <c r="DE254" s="62"/>
      <c r="DF254" s="61"/>
      <c r="DG254" s="62"/>
      <c r="DH254" s="62"/>
      <c r="DI254" s="62"/>
      <c r="DJ254" s="62"/>
      <c r="DK254" s="62"/>
      <c r="DL254" s="61"/>
      <c r="DM254" s="62"/>
      <c r="DN254" s="62"/>
      <c r="DO254" s="62"/>
      <c r="DP254" s="62"/>
      <c r="DQ254" s="62"/>
      <c r="DR254" s="61"/>
      <c r="DS254" s="62"/>
      <c r="DT254" s="62"/>
      <c r="DU254" s="62"/>
      <c r="DV254" s="62"/>
      <c r="DW254" s="62"/>
      <c r="DX254" s="61"/>
      <c r="DY254" s="62"/>
      <c r="DZ254" s="62"/>
      <c r="EA254" s="62"/>
      <c r="EB254" s="62"/>
      <c r="EC254" s="62"/>
      <c r="ED254" s="61"/>
      <c r="EE254" s="62"/>
      <c r="EF254" s="62"/>
      <c r="EG254" s="62"/>
      <c r="EH254" s="62"/>
      <c r="EI254" s="62"/>
      <c r="EJ254" s="61"/>
      <c r="EK254" s="62"/>
      <c r="EL254" s="62"/>
      <c r="EM254" s="62"/>
      <c r="EN254" s="62"/>
      <c r="EO254" s="62"/>
      <c r="EP254" s="61"/>
      <c r="EQ254" s="62"/>
      <c r="ER254" s="62"/>
      <c r="ES254" s="62"/>
      <c r="ET254" s="62"/>
      <c r="EU254" s="62"/>
      <c r="EV254" s="90"/>
    </row>
    <row r="255" spans="1:152" ht="12.75" hidden="1" customHeight="1" outlineLevel="1">
      <c r="A255" s="90" t="s">
        <v>1928</v>
      </c>
      <c r="B255" s="520" t="s">
        <v>1929</v>
      </c>
      <c r="C255" s="62"/>
      <c r="D255" s="62"/>
      <c r="E255" s="62"/>
      <c r="F255" s="62"/>
      <c r="G255" s="62"/>
      <c r="H255" s="61"/>
      <c r="I255" s="62"/>
      <c r="J255" s="62"/>
      <c r="K255" s="62"/>
      <c r="L255" s="62"/>
      <c r="M255" s="62"/>
      <c r="N255" s="61"/>
      <c r="O255" s="62" t="s">
        <v>6442</v>
      </c>
      <c r="P255" s="62" t="s">
        <v>6442</v>
      </c>
      <c r="Q255" s="62" t="s">
        <v>6442</v>
      </c>
      <c r="R255" s="62" t="s">
        <v>6442</v>
      </c>
      <c r="S255" s="62">
        <v>329.6</v>
      </c>
      <c r="T255" s="61"/>
      <c r="U255" s="62" t="s">
        <v>6442</v>
      </c>
      <c r="V255" s="62" t="s">
        <v>6442</v>
      </c>
      <c r="W255" s="62" t="s">
        <v>6442</v>
      </c>
      <c r="X255" s="62" t="s">
        <v>6442</v>
      </c>
      <c r="Y255" s="62">
        <v>296.39999999999998</v>
      </c>
      <c r="Z255" s="61"/>
      <c r="AA255" s="62" t="s">
        <v>6442</v>
      </c>
      <c r="AB255" s="62" t="s">
        <v>6442</v>
      </c>
      <c r="AC255" s="62" t="s">
        <v>6442</v>
      </c>
      <c r="AD255" s="62" t="s">
        <v>6442</v>
      </c>
      <c r="AE255" s="62">
        <v>296</v>
      </c>
      <c r="AF255" s="61"/>
      <c r="AG255" s="62">
        <v>78.099999999999994</v>
      </c>
      <c r="AH255" s="62">
        <v>59.5</v>
      </c>
      <c r="AI255" s="62">
        <v>66.400000000000006</v>
      </c>
      <c r="AJ255" s="62">
        <v>86.9</v>
      </c>
      <c r="AK255" s="62">
        <v>290.89999999999998</v>
      </c>
      <c r="AL255" s="61"/>
      <c r="AM255" s="62">
        <v>71.926000000000002</v>
      </c>
      <c r="AN255" s="62">
        <v>66.245000000000005</v>
      </c>
      <c r="AO255" s="62">
        <v>58.167000000000002</v>
      </c>
      <c r="AP255" s="62">
        <v>67.2</v>
      </c>
      <c r="AQ255" s="62">
        <v>263.53800000000001</v>
      </c>
      <c r="AR255" s="62"/>
      <c r="AS255" s="62">
        <v>68.061999999999998</v>
      </c>
      <c r="AT255" s="62">
        <v>79.143000000000001</v>
      </c>
      <c r="AU255" s="62">
        <v>77.63</v>
      </c>
      <c r="AV255" s="62">
        <v>112.4</v>
      </c>
      <c r="AW255" s="62">
        <v>337.23500000000001</v>
      </c>
      <c r="AX255" s="62"/>
      <c r="AY255" s="62">
        <v>108.767</v>
      </c>
      <c r="AZ255" s="62">
        <v>98.927999999999997</v>
      </c>
      <c r="BA255" s="62">
        <v>95.825000000000003</v>
      </c>
      <c r="BB255" s="62">
        <v>140.19999999999999</v>
      </c>
      <c r="BC255" s="62">
        <v>443.71999999999997</v>
      </c>
      <c r="BD255" s="62"/>
      <c r="BE255" s="62">
        <v>134.136</v>
      </c>
      <c r="BF255" s="62">
        <v>140.6</v>
      </c>
      <c r="BG255" s="62">
        <v>133.4</v>
      </c>
      <c r="BH255" s="62">
        <v>150.1</v>
      </c>
      <c r="BI255" s="62">
        <v>558.23599999999999</v>
      </c>
      <c r="BJ255" s="61"/>
      <c r="BK255" s="62">
        <v>164.3</v>
      </c>
      <c r="BL255" s="62">
        <v>174.2</v>
      </c>
      <c r="BM255" s="62">
        <v>160</v>
      </c>
      <c r="BN255" s="62">
        <v>189</v>
      </c>
      <c r="BO255" s="62">
        <v>687.5</v>
      </c>
      <c r="BP255" s="61"/>
      <c r="BQ255" s="62">
        <v>207</v>
      </c>
      <c r="BR255" s="62">
        <v>204</v>
      </c>
      <c r="BS255" s="62">
        <v>203</v>
      </c>
      <c r="BT255" s="62">
        <v>262</v>
      </c>
      <c r="BU255" s="62">
        <v>876</v>
      </c>
      <c r="BV255" s="61"/>
      <c r="BW255" s="62">
        <v>259</v>
      </c>
      <c r="BX255" s="62">
        <v>267</v>
      </c>
      <c r="BY255" s="62">
        <v>258</v>
      </c>
      <c r="BZ255" s="62">
        <v>219</v>
      </c>
      <c r="CA255" s="62">
        <v>1003</v>
      </c>
      <c r="CB255" s="61"/>
      <c r="CC255" s="62">
        <v>167</v>
      </c>
      <c r="CD255" s="62">
        <v>157</v>
      </c>
      <c r="CE255" s="62">
        <v>159</v>
      </c>
      <c r="CF255" s="62">
        <v>188</v>
      </c>
      <c r="CG255" s="62">
        <v>671</v>
      </c>
      <c r="CH255" s="61"/>
      <c r="CI255" s="62">
        <v>199.2</v>
      </c>
      <c r="CJ255" s="62">
        <v>188.8</v>
      </c>
      <c r="CK255" s="62">
        <v>183</v>
      </c>
      <c r="CL255" s="62">
        <v>212</v>
      </c>
      <c r="CM255" s="62">
        <v>783</v>
      </c>
      <c r="CN255" s="61"/>
      <c r="CO255" s="62">
        <v>215</v>
      </c>
      <c r="CP255" s="62">
        <v>211.9</v>
      </c>
      <c r="CQ255" s="62">
        <v>202</v>
      </c>
      <c r="CR255" s="62">
        <v>234</v>
      </c>
      <c r="CS255" s="62">
        <v>862.9</v>
      </c>
      <c r="CT255" s="61"/>
      <c r="CU255" s="62">
        <v>224</v>
      </c>
      <c r="CV255" s="62">
        <v>210</v>
      </c>
      <c r="CW255" s="62">
        <v>196</v>
      </c>
      <c r="CX255" s="62">
        <v>238</v>
      </c>
      <c r="CY255" s="62">
        <v>868</v>
      </c>
      <c r="CZ255" s="61"/>
      <c r="DA255" s="62"/>
      <c r="DB255" s="62"/>
      <c r="DC255" s="62"/>
      <c r="DD255" s="62"/>
      <c r="DE255" s="62"/>
      <c r="DF255" s="61"/>
      <c r="DG255" s="62"/>
      <c r="DH255" s="62"/>
      <c r="DI255" s="62"/>
      <c r="DJ255" s="62"/>
      <c r="DK255" s="62"/>
      <c r="DL255" s="61"/>
      <c r="DM255" s="62"/>
      <c r="DN255" s="62"/>
      <c r="DO255" s="62"/>
      <c r="DP255" s="62"/>
      <c r="DQ255" s="62"/>
      <c r="DR255" s="61"/>
      <c r="DS255" s="62"/>
      <c r="DT255" s="62"/>
      <c r="DU255" s="62"/>
      <c r="DV255" s="62"/>
      <c r="DW255" s="62"/>
      <c r="DX255" s="61"/>
      <c r="DY255" s="62"/>
      <c r="DZ255" s="62"/>
      <c r="EA255" s="62"/>
      <c r="EB255" s="62"/>
      <c r="EC255" s="62"/>
      <c r="ED255" s="61"/>
      <c r="EE255" s="62"/>
      <c r="EF255" s="62"/>
      <c r="EG255" s="62"/>
      <c r="EH255" s="62"/>
      <c r="EI255" s="62"/>
      <c r="EJ255" s="61"/>
      <c r="EK255" s="62"/>
      <c r="EL255" s="62"/>
      <c r="EM255" s="62"/>
      <c r="EN255" s="62"/>
      <c r="EO255" s="62"/>
      <c r="EP255" s="61"/>
      <c r="EQ255" s="62"/>
      <c r="ER255" s="62"/>
      <c r="ES255" s="62"/>
      <c r="ET255" s="62"/>
      <c r="EU255" s="62"/>
      <c r="EV255" s="90"/>
    </row>
    <row r="256" spans="1:152" ht="12.75" hidden="1" customHeight="1" outlineLevel="1">
      <c r="A256" s="90" t="s">
        <v>4860</v>
      </c>
      <c r="B256" s="520" t="s">
        <v>4861</v>
      </c>
      <c r="C256" s="62"/>
      <c r="D256" s="62"/>
      <c r="E256" s="62"/>
      <c r="F256" s="62"/>
      <c r="G256" s="62"/>
      <c r="H256" s="61"/>
      <c r="I256" s="62"/>
      <c r="J256" s="62"/>
      <c r="K256" s="62"/>
      <c r="L256" s="62"/>
      <c r="M256" s="62"/>
      <c r="N256" s="61"/>
      <c r="O256" s="62" t="s">
        <v>6442</v>
      </c>
      <c r="P256" s="62" t="s">
        <v>6442</v>
      </c>
      <c r="Q256" s="62" t="s">
        <v>6442</v>
      </c>
      <c r="R256" s="62" t="s">
        <v>6442</v>
      </c>
      <c r="S256" s="62">
        <v>128.6</v>
      </c>
      <c r="T256" s="61"/>
      <c r="U256" s="62" t="s">
        <v>6442</v>
      </c>
      <c r="V256" s="62" t="s">
        <v>6442</v>
      </c>
      <c r="W256" s="62" t="s">
        <v>6442</v>
      </c>
      <c r="X256" s="62" t="s">
        <v>6442</v>
      </c>
      <c r="Y256" s="62">
        <v>170.7</v>
      </c>
      <c r="Z256" s="61"/>
      <c r="AA256" s="62" t="s">
        <v>6442</v>
      </c>
      <c r="AB256" s="62" t="s">
        <v>6442</v>
      </c>
      <c r="AC256" s="62" t="s">
        <v>6442</v>
      </c>
      <c r="AD256" s="62" t="s">
        <v>6442</v>
      </c>
      <c r="AE256" s="62">
        <v>207.6</v>
      </c>
      <c r="AF256" s="61"/>
      <c r="AG256" s="62">
        <v>67.7</v>
      </c>
      <c r="AH256" s="62">
        <v>55.7</v>
      </c>
      <c r="AI256" s="62">
        <v>50.3</v>
      </c>
      <c r="AJ256" s="62">
        <v>49.2</v>
      </c>
      <c r="AK256" s="62">
        <v>222.89999999999998</v>
      </c>
      <c r="AL256" s="61"/>
      <c r="AM256" s="62">
        <v>50.734000000000002</v>
      </c>
      <c r="AN256" s="62">
        <v>52.462000000000003</v>
      </c>
      <c r="AO256" s="62">
        <v>43.061999999999998</v>
      </c>
      <c r="AP256" s="62">
        <v>41</v>
      </c>
      <c r="AQ256" s="62">
        <v>187.25799999999998</v>
      </c>
      <c r="AR256" s="62"/>
      <c r="AS256" s="62">
        <v>50.552999999999997</v>
      </c>
      <c r="AT256" s="62">
        <v>47.741</v>
      </c>
      <c r="AU256" s="62">
        <v>51.323</v>
      </c>
      <c r="AV256" s="62">
        <v>55.1</v>
      </c>
      <c r="AW256" s="62">
        <v>204.71699999999998</v>
      </c>
      <c r="AX256" s="62"/>
      <c r="AY256" s="62">
        <v>67.563999999999993</v>
      </c>
      <c r="AZ256" s="62">
        <v>65.561999999999998</v>
      </c>
      <c r="BA256" s="62">
        <v>67.331999999999994</v>
      </c>
      <c r="BB256" s="62">
        <v>78.7</v>
      </c>
      <c r="BC256" s="62">
        <v>279.15799999999996</v>
      </c>
      <c r="BD256" s="62"/>
      <c r="BE256" s="62">
        <v>90.460999999999999</v>
      </c>
      <c r="BF256" s="62">
        <v>91.1</v>
      </c>
      <c r="BG256" s="62">
        <v>84.6</v>
      </c>
      <c r="BH256" s="62">
        <v>89.6</v>
      </c>
      <c r="BI256" s="62">
        <v>355.76099999999997</v>
      </c>
      <c r="BJ256" s="61"/>
      <c r="BK256" s="62">
        <v>101.5</v>
      </c>
      <c r="BL256" s="62">
        <v>107.7</v>
      </c>
      <c r="BM256" s="62">
        <v>103</v>
      </c>
      <c r="BN256" s="62">
        <v>105</v>
      </c>
      <c r="BO256" s="62">
        <v>417.2</v>
      </c>
      <c r="BP256" s="61"/>
      <c r="BQ256" s="62">
        <v>117</v>
      </c>
      <c r="BR256" s="62">
        <v>127</v>
      </c>
      <c r="BS256" s="62">
        <v>118</v>
      </c>
      <c r="BT256" s="62">
        <v>131</v>
      </c>
      <c r="BU256" s="62">
        <v>493</v>
      </c>
      <c r="BV256" s="61"/>
      <c r="BW256" s="62">
        <v>149</v>
      </c>
      <c r="BX256" s="62">
        <v>150</v>
      </c>
      <c r="BY256" s="62">
        <v>133</v>
      </c>
      <c r="BZ256" s="62">
        <v>99</v>
      </c>
      <c r="CA256" s="62">
        <v>531</v>
      </c>
      <c r="CB256" s="61"/>
      <c r="CC256" s="62">
        <v>96</v>
      </c>
      <c r="CD256" s="62">
        <v>99</v>
      </c>
      <c r="CE256" s="62">
        <v>94</v>
      </c>
      <c r="CF256" s="62">
        <v>100</v>
      </c>
      <c r="CG256" s="62">
        <v>389</v>
      </c>
      <c r="CH256" s="61"/>
      <c r="CI256" s="62">
        <v>114.20000000000005</v>
      </c>
      <c r="CJ256" s="62">
        <v>115.6</v>
      </c>
      <c r="CK256" s="62">
        <v>115</v>
      </c>
      <c r="CL256" s="62">
        <v>123</v>
      </c>
      <c r="CM256" s="62">
        <v>467.80000000000007</v>
      </c>
      <c r="CN256" s="61"/>
      <c r="CO256" s="62">
        <v>132</v>
      </c>
      <c r="CP256" s="62">
        <v>143.30000000000001</v>
      </c>
      <c r="CQ256" s="62">
        <v>146</v>
      </c>
      <c r="CR256" s="62">
        <v>133</v>
      </c>
      <c r="CS256" s="62">
        <v>554.29999999999995</v>
      </c>
      <c r="CT256" s="61"/>
      <c r="CU256" s="62">
        <v>157</v>
      </c>
      <c r="CV256" s="62">
        <v>161</v>
      </c>
      <c r="CW256" s="62">
        <v>142</v>
      </c>
      <c r="CX256" s="62">
        <v>148</v>
      </c>
      <c r="CY256" s="62">
        <v>608</v>
      </c>
      <c r="CZ256" s="61"/>
      <c r="DA256" s="62"/>
      <c r="DB256" s="62"/>
      <c r="DC256" s="62"/>
      <c r="DD256" s="62"/>
      <c r="DE256" s="62"/>
      <c r="DF256" s="61"/>
      <c r="DG256" s="62"/>
      <c r="DH256" s="62"/>
      <c r="DI256" s="62"/>
      <c r="DJ256" s="62"/>
      <c r="DK256" s="62"/>
      <c r="DL256" s="61"/>
      <c r="DM256" s="62"/>
      <c r="DN256" s="62"/>
      <c r="DO256" s="62"/>
      <c r="DP256" s="62"/>
      <c r="DQ256" s="62"/>
      <c r="DR256" s="61"/>
      <c r="DS256" s="62"/>
      <c r="DT256" s="62"/>
      <c r="DU256" s="62"/>
      <c r="DV256" s="62"/>
      <c r="DW256" s="62"/>
      <c r="DX256" s="61"/>
      <c r="DY256" s="62"/>
      <c r="DZ256" s="62"/>
      <c r="EA256" s="62"/>
      <c r="EB256" s="62"/>
      <c r="EC256" s="62"/>
      <c r="ED256" s="61"/>
      <c r="EE256" s="62"/>
      <c r="EF256" s="62"/>
      <c r="EG256" s="62"/>
      <c r="EH256" s="62"/>
      <c r="EI256" s="62"/>
      <c r="EJ256" s="61"/>
      <c r="EK256" s="62"/>
      <c r="EL256" s="62"/>
      <c r="EM256" s="62"/>
      <c r="EN256" s="62"/>
      <c r="EO256" s="62"/>
      <c r="EP256" s="61"/>
      <c r="EQ256" s="62"/>
      <c r="ER256" s="62"/>
      <c r="ES256" s="62"/>
      <c r="ET256" s="62"/>
      <c r="EU256" s="62"/>
      <c r="EV256" s="90"/>
    </row>
    <row r="257" spans="1:152" ht="12" hidden="1" customHeight="1" outlineLevel="1">
      <c r="A257" s="22"/>
      <c r="B257" s="519"/>
      <c r="C257" s="23"/>
      <c r="D257" s="23"/>
      <c r="E257" s="23"/>
      <c r="F257" s="23"/>
      <c r="G257" s="23"/>
      <c r="H257" s="24"/>
      <c r="I257" s="23"/>
      <c r="J257" s="23"/>
      <c r="K257" s="23"/>
      <c r="L257" s="23"/>
      <c r="M257" s="23"/>
      <c r="N257" s="24"/>
      <c r="O257" s="23"/>
      <c r="P257" s="23"/>
      <c r="Q257" s="23"/>
      <c r="R257" s="23"/>
      <c r="S257" s="23"/>
      <c r="T257" s="24"/>
      <c r="U257" s="23"/>
      <c r="V257" s="23"/>
      <c r="W257" s="23"/>
      <c r="X257" s="23"/>
      <c r="Y257" s="23"/>
      <c r="Z257" s="24"/>
      <c r="AA257" s="23"/>
      <c r="AB257" s="23"/>
      <c r="AC257" s="23"/>
      <c r="AD257" s="23"/>
      <c r="AE257" s="23"/>
      <c r="AF257" s="24"/>
      <c r="AG257" s="23"/>
      <c r="AH257" s="23"/>
      <c r="AI257" s="23"/>
      <c r="AJ257" s="23"/>
      <c r="AK257" s="23"/>
      <c r="AL257" s="24"/>
      <c r="AM257" s="23"/>
      <c r="AN257" s="23"/>
      <c r="AO257" s="23"/>
      <c r="AP257" s="23"/>
      <c r="AQ257" s="23"/>
      <c r="AR257" s="24"/>
      <c r="AS257" s="23"/>
      <c r="AT257" s="23"/>
      <c r="AU257" s="23"/>
      <c r="AV257" s="23"/>
      <c r="AW257" s="23"/>
      <c r="AX257" s="24"/>
      <c r="AY257" s="23"/>
      <c r="AZ257" s="23"/>
      <c r="BA257" s="23"/>
      <c r="BB257" s="23"/>
      <c r="BC257" s="23"/>
      <c r="BD257" s="24"/>
      <c r="BE257" s="23"/>
      <c r="BF257" s="23"/>
      <c r="BG257" s="23"/>
      <c r="BH257" s="23"/>
      <c r="BI257" s="23"/>
      <c r="BJ257" s="24"/>
      <c r="BK257" s="23"/>
      <c r="BL257" s="23"/>
      <c r="BM257" s="23"/>
      <c r="BN257" s="23"/>
      <c r="BO257" s="23"/>
      <c r="BP257" s="24"/>
      <c r="BQ257" s="23"/>
      <c r="BR257" s="23"/>
      <c r="BS257" s="23"/>
      <c r="BT257" s="23"/>
      <c r="BU257" s="23"/>
      <c r="BV257" s="24"/>
      <c r="BW257" s="23"/>
      <c r="BX257" s="23"/>
      <c r="BY257" s="23"/>
      <c r="BZ257" s="23"/>
      <c r="CA257" s="23"/>
      <c r="CB257" s="24"/>
      <c r="CC257" s="23"/>
      <c r="CD257" s="23"/>
      <c r="CE257" s="23"/>
      <c r="CF257" s="23"/>
      <c r="CG257" s="23"/>
      <c r="CH257" s="24"/>
      <c r="CI257" s="23"/>
      <c r="CJ257" s="23"/>
      <c r="CK257" s="23"/>
      <c r="CL257" s="23"/>
      <c r="CM257" s="23"/>
      <c r="CN257" s="24"/>
      <c r="CO257" s="23"/>
      <c r="CP257" s="23"/>
      <c r="CQ257" s="23"/>
      <c r="CR257" s="23"/>
      <c r="CS257" s="23"/>
      <c r="CT257" s="24"/>
      <c r="CU257" s="23"/>
      <c r="CV257" s="23"/>
      <c r="CW257" s="23"/>
      <c r="CX257" s="23"/>
      <c r="CY257" s="23"/>
      <c r="CZ257" s="24"/>
      <c r="DA257" s="23"/>
      <c r="DB257" s="23"/>
      <c r="DC257" s="23"/>
      <c r="DD257" s="23"/>
      <c r="DE257" s="23"/>
      <c r="DF257" s="24"/>
      <c r="DG257" s="23"/>
      <c r="DH257" s="23"/>
      <c r="DI257" s="23"/>
      <c r="DJ257" s="23"/>
      <c r="DK257" s="23"/>
      <c r="DL257" s="24"/>
      <c r="DM257" s="23"/>
      <c r="DN257" s="23"/>
      <c r="DO257" s="23"/>
      <c r="DP257" s="23"/>
      <c r="DQ257" s="23"/>
      <c r="DR257" s="24"/>
      <c r="DS257" s="23"/>
      <c r="DT257" s="23"/>
      <c r="DU257" s="23"/>
      <c r="DV257" s="23"/>
      <c r="DW257" s="23"/>
      <c r="DX257" s="24"/>
      <c r="DY257" s="23"/>
      <c r="DZ257" s="23"/>
      <c r="EA257" s="23"/>
      <c r="EB257" s="23"/>
      <c r="EC257" s="23"/>
      <c r="ED257" s="24"/>
      <c r="EE257" s="23"/>
      <c r="EF257" s="23"/>
      <c r="EG257" s="23"/>
      <c r="EH257" s="23"/>
      <c r="EI257" s="23"/>
      <c r="EJ257" s="24"/>
      <c r="EK257" s="23"/>
      <c r="EL257" s="23"/>
      <c r="EM257" s="23"/>
      <c r="EN257" s="23"/>
      <c r="EO257" s="23"/>
      <c r="EP257" s="24"/>
      <c r="EQ257" s="23"/>
      <c r="ER257" s="23"/>
      <c r="ES257" s="23"/>
      <c r="ET257" s="23"/>
      <c r="EU257" s="23"/>
      <c r="EV257" s="24"/>
    </row>
    <row r="258" spans="1:152" ht="12.75" hidden="1" customHeight="1" outlineLevel="1">
      <c r="A258" s="90" t="s">
        <v>1796</v>
      </c>
      <c r="B258" s="520" t="s">
        <v>6069</v>
      </c>
      <c r="C258" s="62"/>
      <c r="D258" s="62"/>
      <c r="E258" s="62"/>
      <c r="F258" s="116"/>
      <c r="G258" s="62"/>
      <c r="H258" s="90"/>
      <c r="I258" s="116"/>
      <c r="J258" s="116"/>
      <c r="K258" s="116"/>
      <c r="L258" s="116"/>
      <c r="M258" s="62"/>
      <c r="N258" s="90"/>
      <c r="O258" s="116"/>
      <c r="P258" s="116"/>
      <c r="Q258" s="116"/>
      <c r="R258" s="116"/>
      <c r="S258" s="62"/>
      <c r="T258" s="90"/>
      <c r="U258" s="116"/>
      <c r="V258" s="116"/>
      <c r="W258" s="116"/>
      <c r="X258" s="116"/>
      <c r="Y258" s="62"/>
      <c r="Z258" s="90"/>
      <c r="AA258" s="116"/>
      <c r="AB258" s="116"/>
      <c r="AC258" s="116"/>
      <c r="AD258" s="116"/>
      <c r="AE258" s="62"/>
      <c r="AF258" s="90"/>
      <c r="AG258" s="116" t="str">
        <f>Metrics!AG30</f>
        <v>nm</v>
      </c>
      <c r="AH258" s="116" t="str">
        <f>Metrics!AH30</f>
        <v>nm</v>
      </c>
      <c r="AI258" s="116" t="str">
        <f>Metrics!AI30</f>
        <v>nm</v>
      </c>
      <c r="AJ258" s="116" t="str">
        <f>Metrics!AJ30</f>
        <v>nm</v>
      </c>
      <c r="AK258" s="62">
        <f>Metrics!AK30</f>
        <v>0</v>
      </c>
      <c r="AL258" s="90"/>
      <c r="AM258" s="116">
        <f>Metrics!AM30</f>
        <v>-6.1125719305732296E-2</v>
      </c>
      <c r="AN258" s="116">
        <f>Metrics!AN30</f>
        <v>-0.12673489867144172</v>
      </c>
      <c r="AO258" s="116">
        <f>Metrics!AO30</f>
        <v>-0.15991867332820242</v>
      </c>
      <c r="AP258" s="116">
        <f>Metrics!AP30</f>
        <v>-0.29831151590744764</v>
      </c>
      <c r="AQ258" s="116" t="str">
        <f>Metrics!AQ30</f>
        <v>nm</v>
      </c>
      <c r="AR258" s="90"/>
      <c r="AS258" s="116">
        <f>Metrics!AS30</f>
        <v>-0.16135655852760278</v>
      </c>
      <c r="AT258" s="116">
        <f>Metrics!AT30</f>
        <v>-6.8253652755099092E-2</v>
      </c>
      <c r="AU258" s="116">
        <f>Metrics!AU30</f>
        <v>0.16593366359117256</v>
      </c>
      <c r="AV258" s="116">
        <f>Metrics!AV30</f>
        <v>0.38611622283278657</v>
      </c>
      <c r="AW258" s="116">
        <f>Metrics!AW30</f>
        <v>6.68718383428204E-2</v>
      </c>
      <c r="AX258" s="90"/>
      <c r="AY258" s="116">
        <f>Metrics!AY30</f>
        <v>0.32624343430485059</v>
      </c>
      <c r="AZ258" s="116">
        <f>Metrics!AZ30</f>
        <v>0.281119229657119</v>
      </c>
      <c r="BA258" s="116">
        <f>Metrics!BA30</f>
        <v>0.24359740739616753</v>
      </c>
      <c r="BB258" s="116">
        <f>Metrics!BB30</f>
        <v>0.16788782379602418</v>
      </c>
      <c r="BC258" s="116">
        <f>Metrics!BC30</f>
        <v>0.24603429753066974</v>
      </c>
      <c r="BD258" s="90"/>
      <c r="BE258" s="116">
        <f>Metrics!BE30</f>
        <v>0.17027342976611637</v>
      </c>
      <c r="BF258" s="116">
        <f>Metrics!BF30</f>
        <v>0.33264452693603608</v>
      </c>
      <c r="BG258" s="116">
        <f>Metrics!BG30</f>
        <v>0.27577295776598354</v>
      </c>
      <c r="BH258" s="116">
        <f>Metrics!BH30</f>
        <v>0.24464081805134885</v>
      </c>
      <c r="BI258" s="62">
        <f>Metrics!BI30</f>
        <v>0.25083961314113834</v>
      </c>
      <c r="BJ258" s="90"/>
      <c r="BK258" s="116">
        <f>Metrics!BK30</f>
        <v>0.23311555661420313</v>
      </c>
      <c r="BL258" s="116">
        <f>Metrics!BL30</f>
        <v>0.14452661678984446</v>
      </c>
      <c r="BM258" s="116">
        <f>Metrics!BM30</f>
        <v>0.13775453741563815</v>
      </c>
      <c r="BN258" s="116">
        <f>Metrics!BN30</f>
        <v>8.2431731272147868E-2</v>
      </c>
      <c r="BO258" s="62">
        <f>Metrics!BO30</f>
        <v>0.13868278165277759</v>
      </c>
      <c r="BP258" s="90"/>
      <c r="BQ258" s="116">
        <f>Metrics!BQ30</f>
        <v>0.12049629018901187</v>
      </c>
      <c r="BR258" s="116">
        <f>Metrics!BR30</f>
        <v>0.150521502217704</v>
      </c>
      <c r="BS258" s="116">
        <f>Metrics!BS30</f>
        <v>0.13099619399371143</v>
      </c>
      <c r="BT258" s="116">
        <f>Metrics!BT30</f>
        <v>0.13474385607388362</v>
      </c>
      <c r="BU258" s="62">
        <f>Metrics!BU30</f>
        <v>0.13481771054127689</v>
      </c>
      <c r="BV258" s="90"/>
      <c r="BW258" s="116">
        <f>Metrics!BW30</f>
        <v>6.6526634242863647E-2</v>
      </c>
      <c r="BX258" s="116">
        <f>Metrics!BX30</f>
        <v>5.4798610122452462E-2</v>
      </c>
      <c r="BY258" s="116">
        <f>Metrics!BY30</f>
        <v>7.3986541814110129E-2</v>
      </c>
      <c r="BZ258" s="116">
        <f>Metrics!BZ30</f>
        <v>-0.17464829642073865</v>
      </c>
      <c r="CA258" s="62">
        <f>Metrics!CA30</f>
        <v>3.8178201348326724E-3</v>
      </c>
      <c r="CB258" s="90"/>
      <c r="CC258" s="116">
        <f>Metrics!CC30</f>
        <v>-0.23690034020305328</v>
      </c>
      <c r="CD258" s="116">
        <f>Metrics!CD30</f>
        <v>-0.30029520230372198</v>
      </c>
      <c r="CE258" s="116">
        <f>Metrics!CE30</f>
        <v>-0.32279317956763365</v>
      </c>
      <c r="CF258" s="116">
        <f>Metrics!CF30</f>
        <v>-0.11</v>
      </c>
      <c r="CG258" s="62"/>
      <c r="CH258" s="90"/>
      <c r="CI258" s="116">
        <f>Metrics!CI30</f>
        <v>7.0000000000000007E-2</v>
      </c>
      <c r="CJ258" s="116">
        <f>Metrics!CJ30</f>
        <v>0.12847070920478743</v>
      </c>
      <c r="CK258" s="116">
        <f>Metrics!CK30</f>
        <v>0.15634601672113613</v>
      </c>
      <c r="CL258" s="116">
        <f>Metrics!CL30</f>
        <v>0.18767790965997966</v>
      </c>
      <c r="CM258" s="62"/>
      <c r="CN258" s="90"/>
      <c r="CO258" s="116">
        <f>Metrics!CO30</f>
        <v>0.11273996020222099</v>
      </c>
      <c r="CP258" s="116">
        <f>Metrics!CP30</f>
        <v>0.14191155767283581</v>
      </c>
      <c r="CQ258" s="116">
        <f>Metrics!CQ30</f>
        <v>0.12193270663672817</v>
      </c>
      <c r="CR258" s="116">
        <f>Metrics!CR30</f>
        <v>0.12196905094147836</v>
      </c>
      <c r="CS258" s="62"/>
      <c r="CT258" s="90"/>
      <c r="CU258" s="116">
        <f>Metrics!CU30</f>
        <v>7.2894367756703993E-4</v>
      </c>
      <c r="CV258" s="116">
        <f>Metrics!CV30</f>
        <v>-6.054637136752028E-4</v>
      </c>
      <c r="CW258" s="116">
        <f>Metrics!CW30</f>
        <v>4.0112158267779918E-4</v>
      </c>
      <c r="CX258" s="116">
        <f>Metrics!CX30</f>
        <v>1.1600371900775119E-3</v>
      </c>
      <c r="CY258" s="62"/>
      <c r="CZ258" s="90"/>
      <c r="DA258" s="116"/>
      <c r="DB258" s="116"/>
      <c r="DC258" s="116"/>
      <c r="DD258" s="116"/>
      <c r="DE258" s="62"/>
      <c r="DF258" s="90"/>
      <c r="DG258" s="116"/>
      <c r="DH258" s="116"/>
      <c r="DI258" s="116"/>
      <c r="DJ258" s="116"/>
      <c r="DK258" s="62"/>
      <c r="DL258" s="90"/>
      <c r="DM258" s="116"/>
      <c r="DN258" s="116"/>
      <c r="DO258" s="116"/>
      <c r="DP258" s="116"/>
      <c r="DQ258" s="62"/>
      <c r="DR258" s="90"/>
      <c r="DS258" s="116"/>
      <c r="DT258" s="116"/>
      <c r="DU258" s="116"/>
      <c r="DV258" s="116"/>
      <c r="DW258" s="62"/>
      <c r="DX258" s="90"/>
      <c r="DY258" s="116"/>
      <c r="DZ258" s="116"/>
      <c r="EA258" s="116"/>
      <c r="EB258" s="116"/>
      <c r="EC258" s="62"/>
      <c r="ED258" s="90"/>
      <c r="EE258" s="116"/>
      <c r="EF258" s="116"/>
      <c r="EG258" s="116"/>
      <c r="EH258" s="116"/>
      <c r="EI258" s="62"/>
      <c r="EJ258" s="90"/>
      <c r="EK258" s="116"/>
      <c r="EL258" s="116"/>
      <c r="EM258" s="116"/>
      <c r="EN258" s="116"/>
      <c r="EO258" s="62"/>
      <c r="EP258" s="90"/>
      <c r="EQ258" s="116"/>
      <c r="ER258" s="116"/>
      <c r="ES258" s="116"/>
      <c r="ET258" s="116"/>
      <c r="EU258" s="62"/>
      <c r="EV258" s="90"/>
    </row>
    <row r="259" spans="1:152" ht="12.75" hidden="1" customHeight="1" outlineLevel="1">
      <c r="A259" s="22"/>
      <c r="B259" s="519"/>
      <c r="C259" s="23"/>
      <c r="D259" s="23"/>
      <c r="E259" s="23"/>
      <c r="F259" s="23"/>
      <c r="G259" s="23"/>
      <c r="H259" s="24"/>
      <c r="I259" s="23"/>
      <c r="J259" s="23"/>
      <c r="K259" s="23"/>
      <c r="L259" s="23"/>
      <c r="M259" s="23"/>
      <c r="N259" s="24"/>
      <c r="O259" s="23"/>
      <c r="P259" s="23"/>
      <c r="Q259" s="23"/>
      <c r="R259" s="23"/>
      <c r="S259" s="23"/>
      <c r="T259" s="24"/>
      <c r="U259" s="23"/>
      <c r="V259" s="23"/>
      <c r="W259" s="23"/>
      <c r="X259" s="23"/>
      <c r="Y259" s="23"/>
      <c r="Z259" s="24"/>
      <c r="AA259" s="23"/>
      <c r="AB259" s="23"/>
      <c r="AC259" s="23"/>
      <c r="AD259" s="23"/>
      <c r="AE259" s="23"/>
      <c r="AF259" s="24"/>
      <c r="AG259" s="23"/>
      <c r="AH259" s="23"/>
      <c r="AI259" s="23"/>
      <c r="AJ259" s="23"/>
      <c r="AK259" s="23"/>
      <c r="AL259" s="24"/>
      <c r="AM259" s="23"/>
      <c r="AN259" s="23"/>
      <c r="AO259" s="23"/>
      <c r="AP259" s="23"/>
      <c r="AQ259" s="23"/>
      <c r="AR259" s="24"/>
      <c r="AS259" s="23"/>
      <c r="AT259" s="23"/>
      <c r="AU259" s="23"/>
      <c r="AV259" s="23"/>
      <c r="AW259" s="23"/>
      <c r="AX259" s="24"/>
      <c r="AY259" s="23"/>
      <c r="AZ259" s="23"/>
      <c r="BA259" s="23"/>
      <c r="BB259" s="23"/>
      <c r="BC259" s="23"/>
      <c r="BD259" s="24"/>
      <c r="BE259" s="23"/>
      <c r="BF259" s="23"/>
      <c r="BG259" s="23"/>
      <c r="BH259" s="23"/>
      <c r="BI259" s="23"/>
      <c r="BJ259" s="24"/>
      <c r="BK259" s="23"/>
      <c r="BL259" s="23"/>
      <c r="BM259" s="23"/>
      <c r="BN259" s="23"/>
      <c r="BO259" s="23"/>
      <c r="BP259" s="24"/>
      <c r="BQ259" s="23"/>
      <c r="BR259" s="23"/>
      <c r="BS259" s="23"/>
      <c r="BT259" s="23"/>
      <c r="BU259" s="23"/>
      <c r="BV259" s="24"/>
      <c r="BW259" s="23"/>
      <c r="BX259" s="23"/>
      <c r="BY259" s="23"/>
      <c r="BZ259" s="23"/>
      <c r="CA259" s="23"/>
      <c r="CB259" s="24"/>
      <c r="CC259" s="23"/>
      <c r="CD259" s="23"/>
      <c r="CE259" s="23"/>
      <c r="CF259" s="23"/>
      <c r="CG259" s="23"/>
      <c r="CH259" s="24"/>
      <c r="CI259" s="23"/>
      <c r="CJ259" s="23"/>
      <c r="CK259" s="23"/>
      <c r="CL259" s="23"/>
      <c r="CM259" s="23"/>
      <c r="CN259" s="24"/>
      <c r="CO259" s="23"/>
      <c r="CP259" s="23"/>
      <c r="CQ259" s="23"/>
      <c r="CR259" s="23"/>
      <c r="CS259" s="23"/>
      <c r="CT259" s="24"/>
      <c r="CU259" s="23"/>
      <c r="CV259" s="23"/>
      <c r="CW259" s="23"/>
      <c r="CX259" s="23"/>
      <c r="CY259" s="23"/>
      <c r="CZ259" s="24"/>
      <c r="DA259" s="23"/>
      <c r="DB259" s="23"/>
      <c r="DC259" s="23"/>
      <c r="DD259" s="23"/>
      <c r="DE259" s="23"/>
      <c r="DF259" s="24"/>
      <c r="DG259" s="23"/>
      <c r="DH259" s="23"/>
      <c r="DI259" s="23"/>
      <c r="DJ259" s="23"/>
      <c r="DK259" s="23"/>
      <c r="DL259" s="24"/>
      <c r="DM259" s="23"/>
      <c r="DN259" s="23"/>
      <c r="DO259" s="23"/>
      <c r="DP259" s="23"/>
      <c r="DQ259" s="23"/>
      <c r="DR259" s="24"/>
      <c r="DS259" s="23"/>
      <c r="DT259" s="23"/>
      <c r="DU259" s="23"/>
      <c r="DV259" s="23"/>
      <c r="DW259" s="23"/>
      <c r="DX259" s="24"/>
      <c r="DY259" s="23"/>
      <c r="DZ259" s="23"/>
      <c r="EA259" s="23"/>
      <c r="EB259" s="23"/>
      <c r="EC259" s="23"/>
      <c r="ED259" s="24"/>
      <c r="EE259" s="23"/>
      <c r="EF259" s="23"/>
      <c r="EG259" s="23"/>
      <c r="EH259" s="23"/>
      <c r="EI259" s="23"/>
      <c r="EJ259" s="24"/>
      <c r="EK259" s="23"/>
      <c r="EL259" s="23"/>
      <c r="EM259" s="23"/>
      <c r="EN259" s="23"/>
      <c r="EO259" s="23"/>
      <c r="EP259" s="24"/>
      <c r="EQ259" s="23"/>
      <c r="ER259" s="23"/>
      <c r="ES259" s="23"/>
      <c r="ET259" s="23"/>
      <c r="EU259" s="23"/>
      <c r="EV259" s="24"/>
    </row>
    <row r="260" spans="1:152" ht="12.75" hidden="1" customHeight="1" outlineLevel="1">
      <c r="A260" s="90" t="s">
        <v>6445</v>
      </c>
      <c r="B260" s="520" t="s">
        <v>2355</v>
      </c>
      <c r="C260" s="61"/>
      <c r="D260" s="61"/>
      <c r="E260" s="61"/>
      <c r="F260" s="62"/>
      <c r="G260" s="62"/>
      <c r="H260" s="90"/>
      <c r="I260" s="61">
        <f>I10+F10+E10+D10</f>
        <v>0</v>
      </c>
      <c r="J260" s="61">
        <f>J10+I10+F10+E10</f>
        <v>0</v>
      </c>
      <c r="K260" s="61">
        <f>K10+J10+I10+F10</f>
        <v>0</v>
      </c>
      <c r="L260" s="62">
        <f>L10+K10+J10+I10</f>
        <v>0</v>
      </c>
      <c r="M260" s="62" t="s">
        <v>6442</v>
      </c>
      <c r="N260" s="90"/>
      <c r="O260" s="61">
        <f>O10+L10+K10+J10</f>
        <v>0</v>
      </c>
      <c r="P260" s="61">
        <f>P10+O10+L10+K10</f>
        <v>0</v>
      </c>
      <c r="Q260" s="61">
        <f>Q10+P10+O10+L10</f>
        <v>0</v>
      </c>
      <c r="R260" s="62">
        <f>R10+Q10+P10+O10</f>
        <v>0</v>
      </c>
      <c r="S260" s="62" t="s">
        <v>6442</v>
      </c>
      <c r="T260" s="90"/>
      <c r="U260" s="61">
        <f>U10+R10+Q10+P10</f>
        <v>0</v>
      </c>
      <c r="V260" s="61">
        <f>V10+U10+R10+Q10</f>
        <v>0</v>
      </c>
      <c r="W260" s="61">
        <f>W10+V10+U10+R10</f>
        <v>0</v>
      </c>
      <c r="X260" s="62">
        <f>X10+W10+V10+U10</f>
        <v>0</v>
      </c>
      <c r="Y260" s="62" t="s">
        <v>6442</v>
      </c>
      <c r="Z260" s="90"/>
      <c r="AA260" s="61">
        <f>AA10+X10+W10+V10</f>
        <v>0</v>
      </c>
      <c r="AB260" s="61">
        <f>AB10+AA10+X10+W10</f>
        <v>0</v>
      </c>
      <c r="AC260" s="61">
        <f>AC10+AB10+AA10+X10</f>
        <v>0</v>
      </c>
      <c r="AD260" s="62">
        <f>AD10+AC10+AB10+AA10</f>
        <v>0</v>
      </c>
      <c r="AE260" s="62" t="s">
        <v>6442</v>
      </c>
      <c r="AF260" s="90"/>
      <c r="AG260" s="61">
        <f>AG10+AD10+AC10+AB10</f>
        <v>236.78299999999999</v>
      </c>
      <c r="AH260" s="61">
        <f>AH10+AG10+AD10+AC10</f>
        <v>457.01299999999998</v>
      </c>
      <c r="AI260" s="61">
        <f>AI10+AH10+AG10+AD10</f>
        <v>661.55399999999997</v>
      </c>
      <c r="AJ260" s="62">
        <f>AJ10+AI10+AH10+AG10</f>
        <v>901.81200000000001</v>
      </c>
      <c r="AK260" s="62" t="s">
        <v>6442</v>
      </c>
      <c r="AL260" s="90"/>
      <c r="AM260" s="61">
        <f>AM10+AJ10+AI10+AH10</f>
        <v>878.69299999999998</v>
      </c>
      <c r="AN260" s="61">
        <f>AN10+AM10+AJ10+AI10</f>
        <v>851.798</v>
      </c>
      <c r="AO260" s="61">
        <f>AO10+AN10+AM10+AJ10</f>
        <v>815.52800000000002</v>
      </c>
      <c r="AP260" s="62">
        <f>AP10+AO10+AN10+AM10</f>
        <v>748.94399999999996</v>
      </c>
      <c r="AQ260" s="62" t="s">
        <v>6442</v>
      </c>
      <c r="AR260" s="90"/>
      <c r="AS260" s="61">
        <f>AS10+AP10+AO10+AN10</f>
        <v>722.16100000000006</v>
      </c>
      <c r="AT260" s="61">
        <f>AT10+AS10+AP10+AO10</f>
        <v>712.26</v>
      </c>
      <c r="AU260" s="61">
        <f>AU10+AT10+AS10+AP10</f>
        <v>748.29199999999992</v>
      </c>
      <c r="AV260" s="62">
        <f>AV10+AU10+AT10+AS10</f>
        <v>836.73699999999997</v>
      </c>
      <c r="AW260" s="62" t="s">
        <v>6442</v>
      </c>
      <c r="AX260" s="90"/>
      <c r="AY260" s="61">
        <f>AY10+AV10+AU10+AT10</f>
        <v>911.65600000000006</v>
      </c>
      <c r="AZ260" s="61">
        <f>AZ10+AY10+AV10+AU10</f>
        <v>968.42200000000003</v>
      </c>
      <c r="BA260" s="61">
        <f>BA10+AZ10+AY10+AV10</f>
        <v>1020.7190000000001</v>
      </c>
      <c r="BB260" s="62">
        <f>BB10+BA10+AZ10+AY10</f>
        <v>1065.3</v>
      </c>
      <c r="BC260" s="62" t="s">
        <v>6442</v>
      </c>
      <c r="BD260" s="90"/>
      <c r="BE260" s="61">
        <f>BE10+BB10+BA10+AZ10</f>
        <v>1102.8999999999999</v>
      </c>
      <c r="BF260" s="61">
        <f>BF10+BE10+BB10+BA10</f>
        <v>1175.5999999999999</v>
      </c>
      <c r="BG260" s="61">
        <f>BG10+BF10+BE10+BB10</f>
        <v>1227.6999999999998</v>
      </c>
      <c r="BH260" s="62">
        <f>BH10+BG10+BF10+BE10</f>
        <v>1261.8</v>
      </c>
      <c r="BI260" s="62" t="s">
        <v>6442</v>
      </c>
      <c r="BJ260" s="90"/>
      <c r="BK260" s="61">
        <f>BK10+BH10+BG10+BF10</f>
        <v>1311.8000000000002</v>
      </c>
      <c r="BL260" s="61">
        <f>BL10+BK10+BH10+BG10</f>
        <v>1344.4</v>
      </c>
      <c r="BM260" s="61">
        <f>BM10+BL10+BK10+BH10</f>
        <v>1381.9999999999998</v>
      </c>
      <c r="BN260" s="62">
        <f>BN10+BM10+BL10+BK10</f>
        <v>1415.9</v>
      </c>
      <c r="BO260" s="62" t="s">
        <v>6442</v>
      </c>
      <c r="BP260" s="90"/>
      <c r="BQ260" s="61">
        <f>BQ10+BN10+BM10+BL10</f>
        <v>1449.7</v>
      </c>
      <c r="BR260" s="61">
        <f>BR10+BQ10+BN10+BM10</f>
        <v>1497.8</v>
      </c>
      <c r="BS260" s="61">
        <f>BS10+BR10+BQ10+BN10</f>
        <v>1547.3000000000002</v>
      </c>
      <c r="BT260" s="62">
        <f>BT10+BS10+BR10+BQ10</f>
        <v>1618.6000000000001</v>
      </c>
      <c r="BU260" s="62" t="s">
        <v>6442</v>
      </c>
      <c r="BV260" s="90"/>
      <c r="BW260" s="61">
        <f>BW10+BT10+BS10+BR10</f>
        <v>1667.6</v>
      </c>
      <c r="BX260" s="61">
        <f>BX10+BW10+BT10+BS10</f>
        <v>1714.2</v>
      </c>
      <c r="BY260" s="61">
        <f>BY10+BX10+BW10+BT10</f>
        <v>1739.4</v>
      </c>
      <c r="BZ260" s="62">
        <f>BZ10+BY10+BX10+BW10</f>
        <v>1603.4</v>
      </c>
      <c r="CA260" s="62" t="s">
        <v>6442</v>
      </c>
      <c r="CB260" s="90"/>
      <c r="CC260" s="61">
        <f>CC10+BZ10+BY10+BX10</f>
        <v>1414.8</v>
      </c>
      <c r="CD260" s="61">
        <f>CD10+CC10+BZ10+BY10</f>
        <v>1205.5999999999999</v>
      </c>
      <c r="CE260" s="61">
        <f>CE10+CD10+CC10+BZ10</f>
        <v>1020.7</v>
      </c>
      <c r="CF260" s="62">
        <f>CF10+CE10+CD10+CC10</f>
        <v>980.7</v>
      </c>
      <c r="CG260" s="62" t="s">
        <v>6442</v>
      </c>
      <c r="CH260" s="90"/>
      <c r="CI260" s="61">
        <f>CI10+CF10+CE10+CD10</f>
        <v>1016.9</v>
      </c>
      <c r="CJ260" s="61">
        <f>CJ10+CI10+CF10+CE10</f>
        <v>1066.5999999999999</v>
      </c>
      <c r="CK260" s="61">
        <f>CK10+CJ10+CI10+CF10</f>
        <v>1112.5</v>
      </c>
      <c r="CL260" s="62">
        <f>CL10+CK10+CJ10+CI10</f>
        <v>1172.0999999999999</v>
      </c>
      <c r="CM260" s="62" t="s">
        <v>6442</v>
      </c>
      <c r="CN260" s="90"/>
      <c r="CO260" s="61">
        <f>CO10+CL10+CK10+CJ10</f>
        <v>1215.3</v>
      </c>
      <c r="CP260" s="61">
        <f>CP10+CO10+CL10+CK10</f>
        <v>1267.5999999999999</v>
      </c>
      <c r="CQ260" s="61">
        <f>CQ10+CP10+CO10+CL10</f>
        <v>1317</v>
      </c>
      <c r="CR260" s="62">
        <f>CR10+CQ10+CP10+CO10</f>
        <v>1357.6</v>
      </c>
      <c r="CS260" s="62" t="s">
        <v>6442</v>
      </c>
      <c r="CT260" s="90"/>
      <c r="CU260" s="61">
        <f>CU10+CR10+CQ10+CP10</f>
        <v>1389.9</v>
      </c>
      <c r="CV260" s="61">
        <f>CV10+CU10+CR10+CQ10</f>
        <v>1390.9</v>
      </c>
      <c r="CW260" s="61">
        <f>CW10+CV10+CU10+CR10</f>
        <v>1369.5</v>
      </c>
      <c r="CX260" s="62">
        <f>CX10+CW10+CV10+CU10</f>
        <v>1364.3</v>
      </c>
      <c r="CY260" s="62" t="s">
        <v>6442</v>
      </c>
      <c r="CZ260" s="90"/>
      <c r="DA260" s="61">
        <f>DA10+CX10+CW10+CV10</f>
        <v>1332.5</v>
      </c>
      <c r="DB260" s="61">
        <f>DB10+DA10+CX10+CW10</f>
        <v>1311.7</v>
      </c>
      <c r="DC260" s="61">
        <f>DC10+DB10+DA10+CX10</f>
        <v>1299.2</v>
      </c>
      <c r="DD260" s="62">
        <f>DD10+DC10+DB10+DA10</f>
        <v>1254.9000000000001</v>
      </c>
      <c r="DE260" s="62" t="s">
        <v>6442</v>
      </c>
      <c r="DF260" s="90"/>
      <c r="DG260" s="61">
        <f>DG10+DD10+DC10+DB10</f>
        <v>1247.5999999999999</v>
      </c>
      <c r="DH260" s="61">
        <f>DH10+DG10+DD10+DC10</f>
        <v>1284.8</v>
      </c>
      <c r="DI260" s="61">
        <f>DI10+DH10+DG10+DD10</f>
        <v>1307.8</v>
      </c>
      <c r="DJ260" s="62">
        <f>DJ10+DI10+DH10+DG10</f>
        <v>1341.3999999999999</v>
      </c>
      <c r="DK260" s="62" t="s">
        <v>6442</v>
      </c>
      <c r="DL260" s="90"/>
      <c r="DM260" s="61">
        <f>DM10+DJ10+DI10+DH10</f>
        <v>1351.9</v>
      </c>
      <c r="DN260" s="61">
        <f>DN10+DM10+DJ10+DI10</f>
        <v>1292</v>
      </c>
      <c r="DO260" s="61">
        <f>DO10+DN10+DM10+DJ10</f>
        <v>1252.3999999999999</v>
      </c>
      <c r="DP260" s="62">
        <f>DP10+DO10+DN10+DM10</f>
        <v>1226.9000000000001</v>
      </c>
      <c r="DQ260" s="62" t="s">
        <v>6442</v>
      </c>
      <c r="DR260" s="90"/>
      <c r="DS260" s="61">
        <f>DS10+DP10+DO10+DN10</f>
        <v>1086.0999999999999</v>
      </c>
      <c r="DT260" s="61">
        <f>DT10+DS10+DP10+DO10</f>
        <v>1024.3000000000002</v>
      </c>
      <c r="DU260" s="61">
        <f>DU10+DT10+DS10+DP10</f>
        <v>913.5</v>
      </c>
      <c r="DV260" s="62">
        <f>DV10+DU10+DT10+DS10</f>
        <v>740.99999999999989</v>
      </c>
      <c r="DW260" s="62" t="s">
        <v>6442</v>
      </c>
      <c r="DX260" s="90"/>
      <c r="DY260" s="61">
        <f>DY10+DV10+DU10+DT10</f>
        <v>555.09999999999991</v>
      </c>
      <c r="DZ260" s="61">
        <f>DZ10+DY10+DV10+DU10</f>
        <v>326.39999999999998</v>
      </c>
      <c r="EA260" s="61">
        <f>EA10+DZ10+DY10+DV10</f>
        <v>156.30000000000001</v>
      </c>
      <c r="EB260" s="62">
        <f>EB10+EA10+DZ10+DY10</f>
        <v>0</v>
      </c>
      <c r="EC260" s="62" t="s">
        <v>6442</v>
      </c>
      <c r="ED260" s="90"/>
      <c r="EE260" s="61">
        <f>EE10+EB10+EA10+DZ10</f>
        <v>0</v>
      </c>
      <c r="EF260" s="61">
        <f>EF10+EE10+EB10+EA10</f>
        <v>0</v>
      </c>
      <c r="EG260" s="61">
        <f>EG10+EF10+EE10+EB10</f>
        <v>0</v>
      </c>
      <c r="EH260" s="62">
        <f>EH10+EG10+EF10+EE10</f>
        <v>0</v>
      </c>
      <c r="EI260" s="62" t="s">
        <v>6442</v>
      </c>
      <c r="EJ260" s="90"/>
      <c r="EK260" s="61">
        <f>EK10+EH10+EG10+EF10</f>
        <v>0</v>
      </c>
      <c r="EL260" s="61">
        <f>EL10+EK10+EH10+EG10</f>
        <v>0</v>
      </c>
      <c r="EM260" s="61">
        <f>EM10+EL10+EK10+EH10</f>
        <v>0</v>
      </c>
      <c r="EN260" s="62">
        <f>EN10+EM10+EL10+EK10</f>
        <v>0</v>
      </c>
      <c r="EO260" s="62" t="s">
        <v>6442</v>
      </c>
      <c r="EP260" s="90"/>
      <c r="EQ260" s="61">
        <f>EQ10+EN10+EM10+EL10</f>
        <v>0</v>
      </c>
      <c r="ER260" s="61">
        <f>ER10+EQ10+EN10+EM10</f>
        <v>0</v>
      </c>
      <c r="ES260" s="61">
        <f>ES10+ER10+EQ10+EN10</f>
        <v>0</v>
      </c>
      <c r="ET260" s="62">
        <f>ET10+ES10+ER10+EQ10</f>
        <v>0</v>
      </c>
      <c r="EU260" s="62" t="s">
        <v>6442</v>
      </c>
      <c r="EV260" s="90"/>
    </row>
    <row r="261" spans="1:152" ht="12.75" hidden="1" customHeight="1" outlineLevel="1">
      <c r="A261" s="90" t="s">
        <v>6446</v>
      </c>
      <c r="B261" s="520" t="s">
        <v>2356</v>
      </c>
      <c r="C261" s="61"/>
      <c r="D261" s="61"/>
      <c r="E261" s="61"/>
      <c r="F261" s="62"/>
      <c r="G261" s="62"/>
      <c r="H261" s="90"/>
      <c r="I261" s="61">
        <f>I31+F31+E31+D31</f>
        <v>506.3</v>
      </c>
      <c r="J261" s="61">
        <f>J31+I31+F31+E31</f>
        <v>566.5</v>
      </c>
      <c r="K261" s="61">
        <f>K31+J31+I31+F31</f>
        <v>650.5</v>
      </c>
      <c r="L261" s="62">
        <f>L31+K31+J31+I31</f>
        <v>754.6</v>
      </c>
      <c r="M261" s="62" t="s">
        <v>6442</v>
      </c>
      <c r="N261" s="90"/>
      <c r="O261" s="61">
        <f>O31+L31+K31+J31</f>
        <v>836.48199999999997</v>
      </c>
      <c r="P261" s="61">
        <f>P31+O31+L31+K31</f>
        <v>879.928</v>
      </c>
      <c r="Q261" s="61">
        <f>Q31+P31+O31+L31</f>
        <v>889.63300000000004</v>
      </c>
      <c r="R261" s="62">
        <f>R31+Q31+P31+O31</f>
        <v>893.83200000000011</v>
      </c>
      <c r="S261" s="62" t="s">
        <v>6442</v>
      </c>
      <c r="T261" s="90"/>
      <c r="U261" s="61">
        <f>U31+R31+Q31+P31</f>
        <v>868.6110000000001</v>
      </c>
      <c r="V261" s="61">
        <f>V31+U31+R31+Q31</f>
        <v>846.84699999999998</v>
      </c>
      <c r="W261" s="61">
        <f>W31+V31+U31+R31</f>
        <v>844.673</v>
      </c>
      <c r="X261" s="62">
        <f>X31+W31+V31+U31</f>
        <v>848.05099999999993</v>
      </c>
      <c r="Y261" s="62" t="s">
        <v>6442</v>
      </c>
      <c r="Z261" s="90"/>
      <c r="AA261" s="61">
        <f>AA31+X31+W31+V31</f>
        <v>876.649</v>
      </c>
      <c r="AB261" s="61">
        <f>AB31+AA31+X31+W31</f>
        <v>898.90800000000002</v>
      </c>
      <c r="AC261" s="61">
        <f>AC31+AB31+AA31+X31</f>
        <v>919.95400000000006</v>
      </c>
      <c r="AD261" s="62">
        <f>AD31+AC31+AB31+AA31</f>
        <v>936.32400000000007</v>
      </c>
      <c r="AE261" s="62" t="s">
        <v>6442</v>
      </c>
      <c r="AF261" s="90"/>
      <c r="AG261" s="61">
        <f>AG31+AD31+AC31+AB31</f>
        <v>950.80499999999995</v>
      </c>
      <c r="AH261" s="61">
        <f>AH31+AG31+AD31+AC31</f>
        <v>949.32399999999996</v>
      </c>
      <c r="AI261" s="61">
        <f>AI31+AH31+AG31+AD31</f>
        <v>936.50400000000002</v>
      </c>
      <c r="AJ261" s="62">
        <f>AJ31+AI31+AH31+AG31</f>
        <v>947.49099999999999</v>
      </c>
      <c r="AK261" s="62" t="s">
        <v>6442</v>
      </c>
      <c r="AL261" s="90"/>
      <c r="AM261" s="61">
        <f>AM31+AJ31+AI31+AH31</f>
        <v>931.07799999999997</v>
      </c>
      <c r="AN261" s="61">
        <f>AN31+AM31+AJ31+AI31</f>
        <v>911.11900000000003</v>
      </c>
      <c r="AO261" s="61">
        <f>AO31+AN31+AM31+AJ31</f>
        <v>883.46299999999997</v>
      </c>
      <c r="AP261" s="62">
        <f>AP31+AO31+AN31+AM31</f>
        <v>824.94499999999994</v>
      </c>
      <c r="AQ261" s="62" t="s">
        <v>6442</v>
      </c>
      <c r="AR261" s="90"/>
      <c r="AS261" s="61">
        <f>AS31+AP31+AO31+AN31</f>
        <v>806.38400000000001</v>
      </c>
      <c r="AT261" s="61">
        <f>AT31+AS31+AP31+AO31</f>
        <v>806.6880000000001</v>
      </c>
      <c r="AU261" s="61">
        <f>AU31+AT31+AS31+AP31</f>
        <v>851.84899999999993</v>
      </c>
      <c r="AV261" s="62">
        <f>AV31+AU31+AT31+AS31</f>
        <v>951.64299999999992</v>
      </c>
      <c r="AW261" s="62" t="s">
        <v>6442</v>
      </c>
      <c r="AX261" s="90"/>
      <c r="AY261" s="61">
        <f>AY31+AV31+AU31+AT31</f>
        <v>1039.9770000000001</v>
      </c>
      <c r="AZ261" s="61">
        <f>AZ31+AY31+AV31+AU31</f>
        <v>1109.0720000000001</v>
      </c>
      <c r="BA261" s="61">
        <f>BA31+AZ31+AY31+AV31</f>
        <v>1176.6100000000001</v>
      </c>
      <c r="BB261" s="62">
        <f>BB31+BA31+AZ31+AY31</f>
        <v>1238.9000000000001</v>
      </c>
      <c r="BC261" s="62" t="s">
        <v>6442</v>
      </c>
      <c r="BD261" s="90"/>
      <c r="BE261" s="61">
        <f>BE31+BB31+BA31+AZ31</f>
        <v>1298.8999999999999</v>
      </c>
      <c r="BF261" s="61">
        <f>BF31+BE31+BB31+BA31</f>
        <v>1394.8999999999999</v>
      </c>
      <c r="BG261" s="61">
        <f>BG31+BF31+BE31+BB31</f>
        <v>1474.9999999999998</v>
      </c>
      <c r="BH261" s="62">
        <f>BH31+BG31+BF31+BE31</f>
        <v>1537.1999999999998</v>
      </c>
      <c r="BI261" s="62" t="s">
        <v>6442</v>
      </c>
      <c r="BJ261" s="90"/>
      <c r="BK261" s="61">
        <f>BK31+BH31+BG31+BF31</f>
        <v>1614.1</v>
      </c>
      <c r="BL261" s="61">
        <f>BL31+BK31+BH31+BG31</f>
        <v>1686.9</v>
      </c>
      <c r="BM261" s="61">
        <f>BM31+BL31+BK31+BH31</f>
        <v>1762.2</v>
      </c>
      <c r="BN261" s="62">
        <f>BN31+BM31+BL31+BK31</f>
        <v>1839.8000000000002</v>
      </c>
      <c r="BO261" s="62" t="s">
        <v>6442</v>
      </c>
      <c r="BP261" s="90"/>
      <c r="BQ261" s="61">
        <f>BQ31+BN31+BM31+BL31</f>
        <v>1912.4</v>
      </c>
      <c r="BR261" s="61">
        <f>BR31+BQ31+BN31+BM31</f>
        <v>1988.7</v>
      </c>
      <c r="BS261" s="61">
        <f>BS31+BR31+BQ31+BN31</f>
        <v>2070.3000000000002</v>
      </c>
      <c r="BT261" s="62">
        <f>BT31+BS31+BR31+BQ31</f>
        <v>2172</v>
      </c>
      <c r="BU261" s="62" t="s">
        <v>6442</v>
      </c>
      <c r="BV261" s="90"/>
      <c r="BW261" s="61">
        <f>BW31+BT31+BS31+BR31</f>
        <v>2262.2000000000003</v>
      </c>
      <c r="BX261" s="61">
        <f>BX31+BW31+BT31+BS31</f>
        <v>2355.8000000000002</v>
      </c>
      <c r="BY261" s="61">
        <f>BY31+BX31+BW31+BT31</f>
        <v>2424.5</v>
      </c>
      <c r="BZ261" s="62">
        <f>BZ31+BY31+BX31+BW31</f>
        <v>2315.1999999999998</v>
      </c>
      <c r="CA261" s="62" t="s">
        <v>6442</v>
      </c>
      <c r="CB261" s="90"/>
      <c r="CC261" s="61">
        <f>CC31+BZ31+BY31+BX31</f>
        <v>2142.1999999999998</v>
      </c>
      <c r="CD261" s="61">
        <f>CD31+CC31+BZ31+BY31</f>
        <v>1937.6</v>
      </c>
      <c r="CE261" s="61">
        <f>CE31+CD31+CC31+BZ31</f>
        <v>1747.3999999999999</v>
      </c>
      <c r="CF261" s="62">
        <f>CF31+CE31+CD31+CC31</f>
        <v>1713.7</v>
      </c>
      <c r="CG261" s="62" t="s">
        <v>6442</v>
      </c>
      <c r="CH261" s="90"/>
      <c r="CI261" s="61">
        <f>CI31+CF31+CE31+CD31</f>
        <v>1762.5</v>
      </c>
      <c r="CJ261" s="61">
        <f>CJ31+CI31+CF31+CE31</f>
        <v>1820.4</v>
      </c>
      <c r="CK261" s="61">
        <f>CK31+CJ31+CI31+CF31</f>
        <v>1880.1999999999998</v>
      </c>
      <c r="CL261" s="62">
        <f>CL31+CK31+CJ31+CI31</f>
        <v>1951.8000000000002</v>
      </c>
      <c r="CM261" s="62" t="s">
        <v>6442</v>
      </c>
      <c r="CN261" s="90"/>
      <c r="CO261" s="61">
        <f>CO31+CL31+CK31+CJ31</f>
        <v>2005.5</v>
      </c>
      <c r="CP261" s="61">
        <f>CP31+CO31+CL31+CK31</f>
        <v>2079</v>
      </c>
      <c r="CQ261" s="61">
        <f>CQ31+CP31+CO31+CL31</f>
        <v>2150.8999999999996</v>
      </c>
      <c r="CR261" s="62">
        <f>CR31+CQ31+CP31+CO31</f>
        <v>2215.6</v>
      </c>
      <c r="CS261" s="62" t="s">
        <v>6442</v>
      </c>
      <c r="CT261" s="90"/>
      <c r="CU261" s="61">
        <f>CU31+CR31+CQ31+CP31</f>
        <v>2275.8999999999996</v>
      </c>
      <c r="CV261" s="61">
        <f>CV31+CU31+CR31+CQ31</f>
        <v>2298.6</v>
      </c>
      <c r="CW261" s="61">
        <f>CW31+CV31+CU31+CR31</f>
        <v>2298</v>
      </c>
      <c r="CX261" s="62">
        <f>CX31+CW31+CV31+CU31</f>
        <v>2312.6</v>
      </c>
      <c r="CY261" s="62" t="s">
        <v>6442</v>
      </c>
      <c r="CZ261" s="90"/>
      <c r="DA261" s="61">
        <f>DA31+CX31+CW31+CV31</f>
        <v>2294.4</v>
      </c>
      <c r="DB261" s="61">
        <f>DB31+DA31+CX31+CW31</f>
        <v>2287.1</v>
      </c>
      <c r="DC261" s="61">
        <f>DC31+DB31+DA31+CX31</f>
        <v>2294.3000000000002</v>
      </c>
      <c r="DD261" s="62">
        <f>DD31+DC31+DB31+DA31</f>
        <v>2273.9</v>
      </c>
      <c r="DE261" s="62" t="s">
        <v>6442</v>
      </c>
      <c r="DF261" s="90"/>
      <c r="DG261" s="61">
        <f>DG31+DD31+DC31+DB31</f>
        <v>2296</v>
      </c>
      <c r="DH261" s="61">
        <f>DH31+DG31+DD31+DC31</f>
        <v>2371.3999999999996</v>
      </c>
      <c r="DI261" s="61">
        <f>DI31+DH31+DG31+DD31</f>
        <v>2434.1999999999998</v>
      </c>
      <c r="DJ261" s="62">
        <f>DJ31+DI31+DH31+DG31</f>
        <v>2512.1999999999998</v>
      </c>
      <c r="DK261" s="62" t="s">
        <v>6442</v>
      </c>
      <c r="DL261" s="90"/>
      <c r="DM261" s="61">
        <f>DM31+DJ31+DI31+DH31</f>
        <v>2566.1999999999998</v>
      </c>
      <c r="DN261" s="61">
        <f>DN31+DM31+DJ31+DI31</f>
        <v>2538.6</v>
      </c>
      <c r="DO261" s="61">
        <f>DO31+DN31+DM31+DJ31</f>
        <v>2520.4</v>
      </c>
      <c r="DP261" s="62">
        <f>DP31+DO31+DN31+DM31</f>
        <v>2504.1</v>
      </c>
      <c r="DQ261" s="62" t="s">
        <v>6442</v>
      </c>
      <c r="DR261" s="90"/>
      <c r="DS261" s="61">
        <f>DS31+DP31+DO31+DN31</f>
        <v>2369.5</v>
      </c>
      <c r="DT261" s="61">
        <f>DT31+DS31+DP31+DO31</f>
        <v>2310.6999999999998</v>
      </c>
      <c r="DU261" s="61">
        <f>DU31+DT31+DS31+DP31</f>
        <v>2200.5</v>
      </c>
      <c r="DV261" s="62">
        <f>DV31+DU31+DT31+DS31</f>
        <v>2031</v>
      </c>
      <c r="DW261" s="62" t="s">
        <v>6442</v>
      </c>
      <c r="DX261" s="90"/>
      <c r="DY261" s="61">
        <f>DY31+DV31+DU31+DT31</f>
        <v>2004.8</v>
      </c>
      <c r="DZ261" s="61">
        <f>DZ31+DY31+DV31+DU31</f>
        <v>1955.9</v>
      </c>
      <c r="EA261" s="61">
        <f>EA31+DZ31+DY31+DV31</f>
        <v>1981.6</v>
      </c>
      <c r="EB261" s="62">
        <f>EB31+EA31+DZ31+DY31</f>
        <v>2056.6</v>
      </c>
      <c r="EC261" s="62" t="s">
        <v>6442</v>
      </c>
      <c r="ED261" s="90"/>
      <c r="EE261" s="61">
        <f>EE31+EB31+EA31+DZ31</f>
        <v>2127.5235270253806</v>
      </c>
      <c r="EF261" s="61">
        <f>EF31+EE31+EB31+EA31</f>
        <v>2220.2832228128336</v>
      </c>
      <c r="EG261" s="61">
        <f>EG31+EF31+EE31+EB31</f>
        <v>2340.6973406564375</v>
      </c>
      <c r="EH261" s="62">
        <f>EH31+EG31+EF31+EE31</f>
        <v>2499.580643870805</v>
      </c>
      <c r="EI261" s="62" t="s">
        <v>6442</v>
      </c>
      <c r="EJ261" s="90"/>
      <c r="EK261" s="61">
        <f>EK31+EH31+EG31+EF31</f>
        <v>2633.5810378181341</v>
      </c>
      <c r="EL261" s="61">
        <f>EL31+EK31+EH31+EG31</f>
        <v>2771.8440376450221</v>
      </c>
      <c r="EM261" s="61">
        <f>EM31+EL31+EK31+EH31</f>
        <v>2923.1975620494691</v>
      </c>
      <c r="EN261" s="62">
        <f>EN31+EM31+EL31+EK31</f>
        <v>3105.6672141781055</v>
      </c>
      <c r="EO261" s="62" t="s">
        <v>6442</v>
      </c>
      <c r="EP261" s="90"/>
      <c r="EQ261" s="61">
        <f>EQ31+EN31+EM31+EL31</f>
        <v>3183.1474529086099</v>
      </c>
      <c r="ER261" s="61">
        <f>ER31+EQ31+EN31+EM31</f>
        <v>3316.2668914995979</v>
      </c>
      <c r="ES261" s="61">
        <f>ES31+ER31+EQ31+EN31</f>
        <v>3496.4787175242159</v>
      </c>
      <c r="ET261" s="62">
        <f>ET31+ES31+ER31+EQ31</f>
        <v>3736.8975855814106</v>
      </c>
      <c r="EU261" s="62" t="s">
        <v>6442</v>
      </c>
      <c r="EV261" s="90"/>
    </row>
    <row r="262" spans="1:152" ht="12.75" hidden="1" customHeight="1" outlineLevel="1">
      <c r="A262" s="90" t="s">
        <v>3796</v>
      </c>
      <c r="B262" s="520"/>
      <c r="C262" s="61"/>
      <c r="D262" s="61"/>
      <c r="E262" s="61"/>
      <c r="F262" s="62"/>
      <c r="G262" s="62"/>
      <c r="H262" s="90"/>
      <c r="I262" s="61">
        <f>I48+F48+E48+D48</f>
        <v>74.199999999999989</v>
      </c>
      <c r="J262" s="61">
        <f>J48+I48+F48+E48</f>
        <v>92.5</v>
      </c>
      <c r="K262" s="61">
        <f>K48+J48+I48+F48</f>
        <v>112.19999999999999</v>
      </c>
      <c r="L262" s="62">
        <f>L48+K48+J48+I48</f>
        <v>129.4</v>
      </c>
      <c r="M262" s="62" t="s">
        <v>6442</v>
      </c>
      <c r="N262" s="62"/>
      <c r="O262" s="61">
        <f>O48+L48+K48+J48</f>
        <v>136.78100000000001</v>
      </c>
      <c r="P262" s="61">
        <f>P48+O48+L48+K48</f>
        <v>138.066</v>
      </c>
      <c r="Q262" s="61">
        <f>Q48+P48+O48+L48</f>
        <v>134.74599999999998</v>
      </c>
      <c r="R262" s="62">
        <f>R48+Q48+P48+O48</f>
        <v>136.72199999999998</v>
      </c>
      <c r="S262" s="62" t="s">
        <v>6442</v>
      </c>
      <c r="T262" s="90"/>
      <c r="U262" s="61">
        <f>U48+R48+Q48+P48</f>
        <v>136.697</v>
      </c>
      <c r="V262" s="61">
        <f>V48+U48+R48+Q48</f>
        <v>142.32800000000003</v>
      </c>
      <c r="W262" s="61">
        <f>W48+V48+U48+R48</f>
        <v>148.15600000000001</v>
      </c>
      <c r="X262" s="62">
        <f>X48+W48+V48+U48</f>
        <v>152.80799999999999</v>
      </c>
      <c r="Y262" s="62" t="s">
        <v>6442</v>
      </c>
      <c r="Z262" s="90"/>
      <c r="AA262" s="61">
        <f>AA48+X48+W48+V48</f>
        <v>154.87799999999999</v>
      </c>
      <c r="AB262" s="61">
        <f>AB48+AA48+X48+W48</f>
        <v>152.27100000000002</v>
      </c>
      <c r="AC262" s="61">
        <f>AC48+AB48+AA48+X48</f>
        <v>152.81900000000002</v>
      </c>
      <c r="AD262" s="62">
        <f>AD48+AC48+AB48+AA48</f>
        <v>150.19800000000001</v>
      </c>
      <c r="AE262" s="62" t="s">
        <v>6442</v>
      </c>
      <c r="AF262" s="90"/>
      <c r="AG262" s="61">
        <f>AG48+AD48+AC48+AB48</f>
        <v>151.77000000000001</v>
      </c>
      <c r="AH262" s="61">
        <f>AH48+AG48+AD48+AC48</f>
        <v>149.304</v>
      </c>
      <c r="AI262" s="61">
        <f>AI48+AH48+AG48+AD48</f>
        <v>150.74799999999999</v>
      </c>
      <c r="AJ262" s="62">
        <f>AJ48+AI48+AH48+AG48</f>
        <v>157.62799999999999</v>
      </c>
      <c r="AK262" s="62" t="s">
        <v>6442</v>
      </c>
      <c r="AL262" s="90"/>
      <c r="AM262" s="61">
        <f>AM48+AJ48+AI48+AH48</f>
        <v>161.601</v>
      </c>
      <c r="AN262" s="61">
        <f>AN48+AM48+AJ48+AI48</f>
        <v>160.42400000000001</v>
      </c>
      <c r="AO262" s="61">
        <f>AO48+AN48+AM48+AJ48</f>
        <v>154.21600000000001</v>
      </c>
      <c r="AP262" s="62">
        <f>AP48+AO48+AN48+AM48</f>
        <v>145.81</v>
      </c>
      <c r="AQ262" s="62" t="s">
        <v>6442</v>
      </c>
      <c r="AR262" s="90"/>
      <c r="AS262" s="61">
        <f>AS48+AP48+AO48+AN48</f>
        <v>141.78100000000001</v>
      </c>
      <c r="AT262" s="61">
        <f>AT48+AS48+AP48+AO48</f>
        <v>142.261</v>
      </c>
      <c r="AU262" s="61">
        <f>AU48+AT48+AS48+AP48</f>
        <v>145.678</v>
      </c>
      <c r="AV262" s="62">
        <f>AV48+AU48+AT48+AS48</f>
        <v>148.12799999999999</v>
      </c>
      <c r="AW262" s="62" t="s">
        <v>6442</v>
      </c>
      <c r="AX262" s="90"/>
      <c r="AY262" s="61">
        <f>AY48+AV48+AU48+AT48</f>
        <v>151.786</v>
      </c>
      <c r="AZ262" s="61">
        <f>AZ48+AY48+AV48+AU48</f>
        <v>155.94</v>
      </c>
      <c r="BA262" s="61">
        <f>BA48+AZ48+AY48+AV48</f>
        <v>162.73099999999999</v>
      </c>
      <c r="BB262" s="62">
        <f>BB48+BA48+AZ48+AY48</f>
        <v>169.5</v>
      </c>
      <c r="BC262" s="62" t="s">
        <v>6442</v>
      </c>
      <c r="BD262" s="90"/>
      <c r="BE262" s="61">
        <f>BE48+BB48+BA48+AZ48</f>
        <v>171.10000000000002</v>
      </c>
      <c r="BF262" s="61">
        <f>BF48+BE48+BB48+BA48</f>
        <v>175.4</v>
      </c>
      <c r="BG262" s="61">
        <f>BG48+BF48+BE48+BB48</f>
        <v>174.4</v>
      </c>
      <c r="BH262" s="62">
        <f>BH48+BG48+BF48+BE48</f>
        <v>170.6</v>
      </c>
      <c r="BI262" s="62" t="s">
        <v>6442</v>
      </c>
      <c r="BJ262" s="90"/>
      <c r="BK262" s="61">
        <f>BK48+BH48+BG48+BF48</f>
        <v>174.62800000000001</v>
      </c>
      <c r="BL262" s="61">
        <f>BL48+BK48+BH48+BG48</f>
        <v>182.92800000000003</v>
      </c>
      <c r="BM262" s="61">
        <f>BM48+BL48+BK48+BH48</f>
        <v>193.22800000000001</v>
      </c>
      <c r="BN262" s="62">
        <f>BN48+BM48+BL48+BK48</f>
        <v>204.22799999999998</v>
      </c>
      <c r="BO262" s="62" t="s">
        <v>6442</v>
      </c>
      <c r="BP262" s="90"/>
      <c r="BQ262" s="61">
        <f>BQ48+BN48+BM48+BL48</f>
        <v>205.6</v>
      </c>
      <c r="BR262" s="61">
        <f>BR48+BQ48+BN48+BM48</f>
        <v>201.49999999999997</v>
      </c>
      <c r="BS262" s="61">
        <f>BS48+BR48+BQ48+BN48</f>
        <v>195.2</v>
      </c>
      <c r="BT262" s="62">
        <f>BT48+BS48+BR48+BQ48</f>
        <v>190.1</v>
      </c>
      <c r="BU262" s="62" t="s">
        <v>6442</v>
      </c>
      <c r="BV262" s="90"/>
      <c r="BW262" s="61">
        <f>BW48+BT48+BS48+BR48</f>
        <v>194.39999999999998</v>
      </c>
      <c r="BX262" s="61">
        <f>BX48+BW48+BT48+BS48</f>
        <v>198.8</v>
      </c>
      <c r="BY262" s="61">
        <f>BY48+BX48+BW48+BT48</f>
        <v>197.7</v>
      </c>
      <c r="BZ262" s="62">
        <f>BZ48+BY48+BX48+BW48</f>
        <v>191.7</v>
      </c>
      <c r="CA262" s="62" t="s">
        <v>6442</v>
      </c>
      <c r="CB262" s="90"/>
      <c r="CC262" s="61">
        <f>CC48+BZ48+BY48+BX48</f>
        <v>181.9</v>
      </c>
      <c r="CD262" s="61">
        <f>CD48+CC48+BZ48+BY48</f>
        <v>169.89999999999998</v>
      </c>
      <c r="CE262" s="61">
        <f>CE48+CD48+CC48+BZ48</f>
        <v>159.79999999999998</v>
      </c>
      <c r="CF262" s="62">
        <f>CF48+CE48+CD48+CC48</f>
        <v>155.79999999999998</v>
      </c>
      <c r="CG262" s="62" t="s">
        <v>6442</v>
      </c>
      <c r="CH262" s="90"/>
      <c r="CI262" s="61">
        <f>CI48+CF48+CE48+CD48</f>
        <v>155.19999999999999</v>
      </c>
      <c r="CJ262" s="61">
        <f>CJ48+CI48+CF48+CE48</f>
        <v>154.1</v>
      </c>
      <c r="CK262" s="61">
        <f>CK48+CJ48+CI48+CF48</f>
        <v>158.4</v>
      </c>
      <c r="CL262" s="62">
        <f>CL48+CK48+CJ48+CI48</f>
        <v>161.80000000000001</v>
      </c>
      <c r="CM262" s="62" t="s">
        <v>6442</v>
      </c>
      <c r="CN262" s="90"/>
      <c r="CO262" s="61">
        <f>CO48+CL48+CK48+CJ48</f>
        <v>164.6</v>
      </c>
      <c r="CP262" s="61">
        <f>CP48+CO48+CL48+CK48</f>
        <v>172.5</v>
      </c>
      <c r="CQ262" s="61">
        <f>CQ48+CP48+CO48+CL48</f>
        <v>180.6</v>
      </c>
      <c r="CR262" s="62">
        <f>CR48+CQ48+CP48+CO48</f>
        <v>187.2</v>
      </c>
      <c r="CS262" s="62" t="s">
        <v>6442</v>
      </c>
      <c r="CT262" s="90"/>
      <c r="CU262" s="61">
        <f>CU48+CR48+CQ48+CP48</f>
        <v>189.3</v>
      </c>
      <c r="CV262" s="61">
        <f>CV48+CU48+CR48+CQ48</f>
        <v>190.4</v>
      </c>
      <c r="CW262" s="61">
        <f>CW48+CV48+CU48+CR48</f>
        <v>189.6</v>
      </c>
      <c r="CX262" s="62">
        <f>CX48+CW48+CV48+CU48</f>
        <v>193.7</v>
      </c>
      <c r="CY262" s="62" t="s">
        <v>6442</v>
      </c>
      <c r="CZ262" s="90"/>
      <c r="DA262" s="61">
        <f>DA48+CX48+CW48+CV48</f>
        <v>201.20000000000002</v>
      </c>
      <c r="DB262" s="61">
        <f>DB48+DA48+CX48+CW48</f>
        <v>207.60000000000002</v>
      </c>
      <c r="DC262" s="61">
        <f>DC48+DB48+DA48+CX48</f>
        <v>215.7</v>
      </c>
      <c r="DD262" s="62">
        <f>DD48+DC48+DB48+DA48</f>
        <v>224.09999999999997</v>
      </c>
      <c r="DE262" s="62" t="s">
        <v>6442</v>
      </c>
      <c r="DF262" s="90"/>
      <c r="DG262" s="61">
        <f>DG48+DD48+DC48+DB48</f>
        <v>232.9</v>
      </c>
      <c r="DH262" s="61">
        <f>DH48+DG48+DD48+DC48</f>
        <v>248.79999999999995</v>
      </c>
      <c r="DI262" s="61">
        <f>DI48+DH48+DG48+DD48</f>
        <v>264.5</v>
      </c>
      <c r="DJ262" s="62">
        <f>DJ48+DI48+DH48+DG48</f>
        <v>280</v>
      </c>
      <c r="DK262" s="62" t="s">
        <v>6442</v>
      </c>
      <c r="DL262" s="90"/>
      <c r="DM262" s="61">
        <f>DM48+DJ48+DI48+DH48</f>
        <v>291.39999999999998</v>
      </c>
      <c r="DN262" s="61">
        <f>DN48+DM48+DJ48+DI48</f>
        <v>298.7</v>
      </c>
      <c r="DO262" s="61">
        <f>DO48+DN48+DM48+DJ48</f>
        <v>304.29999999999995</v>
      </c>
      <c r="DP262" s="62">
        <f>DP48+DO48+DN48+DM48</f>
        <v>309.89999999999998</v>
      </c>
      <c r="DQ262" s="62" t="s">
        <v>6442</v>
      </c>
      <c r="DR262" s="90"/>
      <c r="DS262" s="61">
        <f>DS48+DP48+DO48+DN48</f>
        <v>312.59999999999997</v>
      </c>
      <c r="DT262" s="61">
        <f>DT48+DS48+DP48+DO48</f>
        <v>305</v>
      </c>
      <c r="DU262" s="61">
        <f>DU48+DT48+DS48+DP48</f>
        <v>296.39999999999998</v>
      </c>
      <c r="DV262" s="62">
        <f>DV48+DU48+DT48+DS48</f>
        <v>287.79999999999995</v>
      </c>
      <c r="DW262" s="62" t="s">
        <v>6442</v>
      </c>
      <c r="DX262" s="90"/>
      <c r="DY262" s="61">
        <f>DY48+DV48+DU48+DT48</f>
        <v>279.29999999999995</v>
      </c>
      <c r="DZ262" s="61">
        <f>DZ48+DY48+DV48+DU48</f>
        <v>275.10000000000002</v>
      </c>
      <c r="EA262" s="61">
        <f>EA48+DZ48+DY48+DV48</f>
        <v>277.09999999999997</v>
      </c>
      <c r="EB262" s="62">
        <f>EB48+EA48+DZ48+DY48</f>
        <v>271.10000000000002</v>
      </c>
      <c r="EC262" s="62" t="s">
        <v>6442</v>
      </c>
      <c r="ED262" s="90"/>
      <c r="EE262" s="61">
        <f>EE48+EB48+EA48+DZ48</f>
        <v>260.14995108152914</v>
      </c>
      <c r="EF262" s="61">
        <f>EF48+EE48+EB48+EA48</f>
        <v>254.24551066702469</v>
      </c>
      <c r="EG262" s="61">
        <f>EG48+EF48+EE48+EB48</f>
        <v>249.44535741361167</v>
      </c>
      <c r="EH262" s="62">
        <f>EH48+EG48+EF48+EE48</f>
        <v>257.12168788181867</v>
      </c>
      <c r="EI262" s="62" t="s">
        <v>6442</v>
      </c>
      <c r="EJ262" s="90"/>
      <c r="EK262" s="61">
        <f>EK48+EH48+EG48+EF48</f>
        <v>265.86996354352812</v>
      </c>
      <c r="EL262" s="61">
        <f>EL48+EK48+EH48+EG48</f>
        <v>275.16698594053929</v>
      </c>
      <c r="EM262" s="61">
        <f>EM48+EL48+EK48+EH48</f>
        <v>284.93017585037074</v>
      </c>
      <c r="EN262" s="62">
        <f>EN48+EM48+EL48+EK48</f>
        <v>294.05449796043661</v>
      </c>
      <c r="EO262" s="62" t="s">
        <v>6442</v>
      </c>
      <c r="EP262" s="90"/>
      <c r="EQ262" s="61">
        <f>EQ48+EN48+EM48+EL48</f>
        <v>303.5920305114995</v>
      </c>
      <c r="ER262" s="61">
        <f>ER48+EQ48+EN48+EM48</f>
        <v>316.93003554837497</v>
      </c>
      <c r="ES262" s="61">
        <f>ES48+ER48+EQ48+EN48</f>
        <v>333.62846373348805</v>
      </c>
      <c r="ET262" s="62">
        <f>ET48+ES48+ER48+EQ48</f>
        <v>354.43943863311415</v>
      </c>
      <c r="EU262" s="62" t="s">
        <v>6442</v>
      </c>
      <c r="EV262" s="90"/>
    </row>
    <row r="263" spans="1:152" ht="12.75" hidden="1" customHeight="1" outlineLevel="1">
      <c r="A263" s="90" t="s">
        <v>717</v>
      </c>
      <c r="B263" s="520" t="s">
        <v>5547</v>
      </c>
      <c r="C263" s="61"/>
      <c r="D263" s="61"/>
      <c r="E263" s="61"/>
      <c r="F263" s="62"/>
      <c r="G263" s="62"/>
      <c r="H263" s="90"/>
      <c r="I263" s="61">
        <f>I79+F79+E79+D79</f>
        <v>385.50000000000006</v>
      </c>
      <c r="J263" s="61">
        <f>J79+I79+F79+E79</f>
        <v>412.20000000000005</v>
      </c>
      <c r="K263" s="61">
        <f>K79+J79+I79+F79</f>
        <v>444.90000000000003</v>
      </c>
      <c r="L263" s="62">
        <f>L79+K79+J79+I79</f>
        <v>483.79999999999995</v>
      </c>
      <c r="M263" s="62" t="s">
        <v>6442</v>
      </c>
      <c r="N263" s="62"/>
      <c r="O263" s="61">
        <f>O79+L79+K79+J79</f>
        <v>519.67899999999997</v>
      </c>
      <c r="P263" s="61">
        <f>P79+O79+L79+K79</f>
        <v>547.49399999999991</v>
      </c>
      <c r="Q263" s="61">
        <f>Q79+P79+O79+L79</f>
        <v>568.52099999999996</v>
      </c>
      <c r="R263" s="62">
        <f>R79+Q79+P79+O79</f>
        <v>585.21799999999996</v>
      </c>
      <c r="S263" s="62" t="s">
        <v>6442</v>
      </c>
      <c r="T263" s="90"/>
      <c r="U263" s="61">
        <f>U79+R79+Q79+P79</f>
        <v>600.02800000000002</v>
      </c>
      <c r="V263" s="61">
        <f>V79+U79+R79+Q79</f>
        <v>619.93399999999997</v>
      </c>
      <c r="W263" s="61">
        <f>W79+V79+U79+R79</f>
        <v>626.43599999999992</v>
      </c>
      <c r="X263" s="62">
        <f>X79+W79+V79+U79</f>
        <v>629.10699999999997</v>
      </c>
      <c r="Y263" s="62" t="s">
        <v>6442</v>
      </c>
      <c r="Z263" s="90"/>
      <c r="AA263" s="61">
        <f>AA79+X79+W79+V79</f>
        <v>619.48</v>
      </c>
      <c r="AB263" s="61">
        <f>AB79+AA79+X79+W79</f>
        <v>605.61900000000003</v>
      </c>
      <c r="AC263" s="61">
        <f>AC79+AB79+AA79+X79</f>
        <v>609.26900000000001</v>
      </c>
      <c r="AD263" s="62">
        <f>AD79+AC79+AB79+AA79</f>
        <v>620.81700000000001</v>
      </c>
      <c r="AE263" s="62" t="s">
        <v>6442</v>
      </c>
      <c r="AF263" s="90"/>
      <c r="AG263" s="61">
        <f>AG79+AD79+AC79+AB79</f>
        <v>636.78899999999999</v>
      </c>
      <c r="AH263" s="61">
        <f>AH79+AG79+AD79+AC79</f>
        <v>644.71</v>
      </c>
      <c r="AI263" s="61">
        <f>AI79+AH79+AG79+AD79</f>
        <v>640.06799999999998</v>
      </c>
      <c r="AJ263" s="62">
        <f>AJ79+AI79+AH79+AG79</f>
        <v>637.15600000000006</v>
      </c>
      <c r="AK263" s="62" t="s">
        <v>6442</v>
      </c>
      <c r="AL263" s="90"/>
      <c r="AM263" s="61">
        <f>AM79+AJ79+AI79+AH79</f>
        <v>635.94799999999998</v>
      </c>
      <c r="AN263" s="61">
        <f>AN79+AM79+AJ79+AI79</f>
        <v>637.37400000000002</v>
      </c>
      <c r="AO263" s="61">
        <f>AO79+AN79+AM79+AJ79</f>
        <v>635.80499999999995</v>
      </c>
      <c r="AP263" s="62">
        <f>AP79+AO79+AN79+AM79</f>
        <v>628.28600000000006</v>
      </c>
      <c r="AQ263" s="62" t="s">
        <v>6442</v>
      </c>
      <c r="AR263" s="90"/>
      <c r="AS263" s="61">
        <f>AS79+AP79+AO79+AN79</f>
        <v>629.87699999999995</v>
      </c>
      <c r="AT263" s="61">
        <f>AT79+AS79+AP79+AO79</f>
        <v>629.88800000000003</v>
      </c>
      <c r="AU263" s="61">
        <f>AU79+AT79+AS79+AP79</f>
        <v>649.13300000000004</v>
      </c>
      <c r="AV263" s="62">
        <f>AV79+AU79+AT79+AS79</f>
        <v>694.09500000000003</v>
      </c>
      <c r="AW263" s="62" t="s">
        <v>6442</v>
      </c>
      <c r="AX263" s="90"/>
      <c r="AY263" s="61">
        <f>AY79+AV79+AU79+AT79</f>
        <v>722.47800000000007</v>
      </c>
      <c r="AZ263" s="61">
        <f>AZ79+AY79+AV79+AU79</f>
        <v>746.95999999999992</v>
      </c>
      <c r="BA263" s="61">
        <f>BA79+AZ79+AY79+AV79</f>
        <v>777.54700000000003</v>
      </c>
      <c r="BB263" s="62">
        <f>BB79+BA79+AZ79+AY79</f>
        <v>802.7</v>
      </c>
      <c r="BC263" s="62" t="s">
        <v>6442</v>
      </c>
      <c r="BD263" s="90"/>
      <c r="BE263" s="61">
        <f>BE79+BB79+BA79+AZ79</f>
        <v>829.40000000000009</v>
      </c>
      <c r="BF263" s="61">
        <f>BF79+BE79+BB79+BA79</f>
        <v>882.80000000000007</v>
      </c>
      <c r="BG263" s="61">
        <f>BG79+BF79+BE79+BB79</f>
        <v>925.7</v>
      </c>
      <c r="BH263" s="62">
        <f>BH79+BG79+BF79+BE79</f>
        <v>974.2</v>
      </c>
      <c r="BI263" s="62" t="s">
        <v>6442</v>
      </c>
      <c r="BJ263" s="90"/>
      <c r="BK263" s="61">
        <f>BK79+BH79+BG79+BF79</f>
        <v>1040.8999999999999</v>
      </c>
      <c r="BL263" s="61">
        <f>BL79+BK79+BH79+BG79</f>
        <v>1083.5</v>
      </c>
      <c r="BM263" s="61">
        <f>BM79+BL79+BK79+BH79</f>
        <v>1138.4000000000001</v>
      </c>
      <c r="BN263" s="62">
        <f>BN79+BM79+BL79+BK79</f>
        <v>1172.3000000000002</v>
      </c>
      <c r="BO263" s="62" t="s">
        <v>6442</v>
      </c>
      <c r="BP263" s="90"/>
      <c r="BQ263" s="61">
        <f>BQ79+BN79+BM79+BL79</f>
        <v>1212.1000000000001</v>
      </c>
      <c r="BR263" s="61">
        <f>BR79+BQ79+BN79+BM79</f>
        <v>1266.4000000000001</v>
      </c>
      <c r="BS263" s="61">
        <f>BS79+BR79+BQ79+BN79</f>
        <v>1309.9000000000001</v>
      </c>
      <c r="BT263" s="62">
        <f>BT79+BS79+BR79+BQ79</f>
        <v>1397.6000000000001</v>
      </c>
      <c r="BU263" s="62" t="s">
        <v>6442</v>
      </c>
      <c r="BV263" s="90"/>
      <c r="BW263" s="61">
        <f>BW79+BT79+BS79+BR79</f>
        <v>1464.1</v>
      </c>
      <c r="BX263" s="61">
        <f>BX79+BW79+BT79+BS79</f>
        <v>1523.5</v>
      </c>
      <c r="BY263" s="61">
        <f>BY79+BX79+BW79+BT79</f>
        <v>1567.1999999999998</v>
      </c>
      <c r="BZ263" s="62">
        <f>BZ79+BY79+BX79+BW79</f>
        <v>1546.8</v>
      </c>
      <c r="CA263" s="62" t="s">
        <v>6442</v>
      </c>
      <c r="CB263" s="90"/>
      <c r="CC263" s="61">
        <f>CC79+BZ79+BY79+BX79</f>
        <v>1479.4</v>
      </c>
      <c r="CD263" s="61">
        <f>CD79+CC79+BZ79+BY79</f>
        <v>1392</v>
      </c>
      <c r="CE263" s="61">
        <f>CE79+CD79+CC79+BZ79</f>
        <v>1312.2</v>
      </c>
      <c r="CF263" s="62">
        <f>CF79+CE79+CD79+CC79</f>
        <v>1271.2</v>
      </c>
      <c r="CG263" s="62" t="s">
        <v>6442</v>
      </c>
      <c r="CH263" s="90"/>
      <c r="CI263" s="61">
        <f>CI79+CF79+CE79+CD79</f>
        <v>1280.3000000000002</v>
      </c>
      <c r="CJ263" s="61">
        <f>CJ79+CI79+CF79+CE79</f>
        <v>1288.3000000000002</v>
      </c>
      <c r="CK263" s="61">
        <f>CK79+CJ79+CI79+CF79</f>
        <v>1320.1000000000001</v>
      </c>
      <c r="CL263" s="62">
        <f>CL79+CK79+CJ79+CI79</f>
        <v>1371.2</v>
      </c>
      <c r="CM263" s="62" t="s">
        <v>6442</v>
      </c>
      <c r="CN263" s="90"/>
      <c r="CO263" s="61">
        <f>CO79+CL79+CK79+CJ79</f>
        <v>1399.1000000000001</v>
      </c>
      <c r="CP263" s="61">
        <f>CP79+CO79+CL79+CK79</f>
        <v>1442.2</v>
      </c>
      <c r="CQ263" s="61">
        <f>CQ79+CP79+CO79+CL79</f>
        <v>1471.1999999999998</v>
      </c>
      <c r="CR263" s="62">
        <f>CR79+CQ79+CP79+CO79</f>
        <v>1494.9999999999998</v>
      </c>
      <c r="CS263" s="62" t="s">
        <v>6442</v>
      </c>
      <c r="CT263" s="90"/>
      <c r="CU263" s="61">
        <f>CU79+CR79+CQ79+CP79</f>
        <v>1527.2999999999997</v>
      </c>
      <c r="CV263" s="61">
        <f>CV79+CU79+CR79+CQ79</f>
        <v>1543.5</v>
      </c>
      <c r="CW263" s="61">
        <f>CW79+CV79+CU79+CR79</f>
        <v>1533.8000000000002</v>
      </c>
      <c r="CX263" s="62">
        <f>CX79+CW79+CV79+CU79</f>
        <v>1532.3000000000002</v>
      </c>
      <c r="CY263" s="62" t="s">
        <v>6442</v>
      </c>
      <c r="CZ263" s="90"/>
      <c r="DA263" s="61">
        <f>DA79+CX79+CW79+CV79</f>
        <v>1514.7</v>
      </c>
      <c r="DB263" s="61">
        <f>DB79+DA79+CX79+CW79</f>
        <v>1508.6000000000001</v>
      </c>
      <c r="DC263" s="61">
        <f>DC79+DB79+DA79+CX79</f>
        <v>1530.4</v>
      </c>
      <c r="DD263" s="62">
        <f>DD79+DC79+DB79+DA79</f>
        <v>1539.3000000000002</v>
      </c>
      <c r="DE263" s="62" t="s">
        <v>6442</v>
      </c>
      <c r="DF263" s="90"/>
      <c r="DG263" s="61">
        <f>DG79+DD79+DC79+DB79</f>
        <v>1587.5000000000002</v>
      </c>
      <c r="DH263" s="61">
        <f>DH79+DG79+DD79+DC79</f>
        <v>1668.5</v>
      </c>
      <c r="DI263" s="61">
        <f>DI79+DH79+DG79+DD79</f>
        <v>1757.6</v>
      </c>
      <c r="DJ263" s="62">
        <f>DJ79+DI79+DH79+DG79</f>
        <v>1849.8</v>
      </c>
      <c r="DK263" s="62" t="s">
        <v>6442</v>
      </c>
      <c r="DL263" s="90"/>
      <c r="DM263" s="61">
        <f>DM79+DJ79+DI79+DH79</f>
        <v>1900.3</v>
      </c>
      <c r="DN263" s="61">
        <f>DN79+DM79+DJ79+DI79</f>
        <v>1915.2999999999997</v>
      </c>
      <c r="DO263" s="61">
        <f>DO79+DN79+DM79+DJ79</f>
        <v>1916.6999999999998</v>
      </c>
      <c r="DP263" s="62">
        <f>DP79+DO79+DN79+DM79</f>
        <v>1913.5</v>
      </c>
      <c r="DQ263" s="62" t="s">
        <v>6442</v>
      </c>
      <c r="DR263" s="90"/>
      <c r="DS263" s="61">
        <f>DS79+DP79+DO79+DN79</f>
        <v>1897.2999999999997</v>
      </c>
      <c r="DT263" s="61">
        <f>DT79+DS79+DP79+DO79</f>
        <v>1885.3999999999999</v>
      </c>
      <c r="DU263" s="61">
        <f>DU79+DT79+DS79+DP79</f>
        <v>1881.8</v>
      </c>
      <c r="DV263" s="62">
        <f>DV79+DU79+DT79+DS79</f>
        <v>1868.6999999999998</v>
      </c>
      <c r="DW263" s="62" t="s">
        <v>6442</v>
      </c>
      <c r="DX263" s="90"/>
      <c r="DY263" s="61">
        <f>DY79+DV79+DU79+DT79</f>
        <v>1863.4999999999998</v>
      </c>
      <c r="DZ263" s="61">
        <f>DZ79+DY79+DV79+DU79</f>
        <v>1873.5</v>
      </c>
      <c r="EA263" s="61">
        <f>EA79+DZ79+DY79+DV79</f>
        <v>1880.5</v>
      </c>
      <c r="EB263" s="62">
        <f>EB79+EA79+DZ79+DY79</f>
        <v>1897.4999999999998</v>
      </c>
      <c r="EC263" s="62" t="s">
        <v>6442</v>
      </c>
      <c r="ED263" s="90"/>
      <c r="EE263" s="61">
        <f>EE79+EB79+EA79+DZ79</f>
        <v>1913.9321076300246</v>
      </c>
      <c r="EF263" s="61">
        <f>EF79+EE79+EB79+EA79</f>
        <v>1922.3745941011725</v>
      </c>
      <c r="EG263" s="61">
        <f>EG79+EF79+EE79+EB79</f>
        <v>1924.5756998127565</v>
      </c>
      <c r="EH263" s="62">
        <f>EH79+EG79+EF79+EE79</f>
        <v>1932.2548502575564</v>
      </c>
      <c r="EI263" s="62" t="s">
        <v>6442</v>
      </c>
      <c r="EJ263" s="90"/>
      <c r="EK263" s="61">
        <f>EK79+EH79+EG79+EF79</f>
        <v>1928.4848147026623</v>
      </c>
      <c r="EL263" s="61">
        <f>EL79+EK79+EH79+EG79</f>
        <v>1917.3875848505756</v>
      </c>
      <c r="EM263" s="61">
        <f>EM79+EL79+EK79+EH79</f>
        <v>1920.0741251728068</v>
      </c>
      <c r="EN263" s="62">
        <f>EN79+EM79+EL79+EK79</f>
        <v>1926.3221608491092</v>
      </c>
      <c r="EO263" s="62" t="s">
        <v>6442</v>
      </c>
      <c r="EP263" s="90"/>
      <c r="EQ263" s="61">
        <f>EQ79+EN79+EM79+EL79</f>
        <v>1955.8127755232222</v>
      </c>
      <c r="ER263" s="61">
        <f>ER79+EQ79+EN79+EM79</f>
        <v>1987.6246651760393</v>
      </c>
      <c r="ES263" s="61">
        <f>ES79+ER79+EQ79+EN79</f>
        <v>2014.5741288404865</v>
      </c>
      <c r="ET263" s="62">
        <f>ET79+ES79+ER79+EQ79</f>
        <v>2029.3562251791354</v>
      </c>
      <c r="EU263" s="62" t="s">
        <v>6442</v>
      </c>
      <c r="EV263" s="90"/>
    </row>
    <row r="264" spans="1:152" ht="12.75" hidden="1" customHeight="1" outlineLevel="1">
      <c r="A264" s="90" t="s">
        <v>3795</v>
      </c>
      <c r="B264" s="520"/>
      <c r="C264" s="61"/>
      <c r="D264" s="61"/>
      <c r="E264" s="61"/>
      <c r="F264" s="62"/>
      <c r="G264" s="62"/>
      <c r="H264" s="90"/>
      <c r="I264" s="61">
        <f>I262+I263</f>
        <v>459.70000000000005</v>
      </c>
      <c r="J264" s="61">
        <f>J262+J263</f>
        <v>504.70000000000005</v>
      </c>
      <c r="K264" s="61">
        <f>K262+K263</f>
        <v>557.1</v>
      </c>
      <c r="L264" s="61">
        <f>L262+L263</f>
        <v>613.19999999999993</v>
      </c>
      <c r="M264" s="62" t="s">
        <v>6442</v>
      </c>
      <c r="N264" s="62"/>
      <c r="O264" s="61">
        <f>O262+O263</f>
        <v>656.46</v>
      </c>
      <c r="P264" s="61">
        <f>P262+P263</f>
        <v>685.56</v>
      </c>
      <c r="Q264" s="61">
        <f>Q262+Q263</f>
        <v>703.26699999999994</v>
      </c>
      <c r="R264" s="61">
        <f>R262+R263</f>
        <v>721.93999999999994</v>
      </c>
      <c r="S264" s="62" t="s">
        <v>6442</v>
      </c>
      <c r="T264" s="90"/>
      <c r="U264" s="61">
        <f>U262+U263</f>
        <v>736.72500000000002</v>
      </c>
      <c r="V264" s="61">
        <f>V262+V263</f>
        <v>762.26199999999994</v>
      </c>
      <c r="W264" s="61">
        <f>W262+W263</f>
        <v>774.59199999999987</v>
      </c>
      <c r="X264" s="61">
        <f>X262+X263</f>
        <v>781.91499999999996</v>
      </c>
      <c r="Y264" s="62" t="s">
        <v>6442</v>
      </c>
      <c r="Z264" s="90"/>
      <c r="AA264" s="61">
        <f>AA262+AA263</f>
        <v>774.35799999999995</v>
      </c>
      <c r="AB264" s="61">
        <f>AB262+AB263</f>
        <v>757.8900000000001</v>
      </c>
      <c r="AC264" s="61">
        <f>AC262+AC263</f>
        <v>762.08799999999997</v>
      </c>
      <c r="AD264" s="61">
        <f>AD262+AD263</f>
        <v>771.01499999999999</v>
      </c>
      <c r="AE264" s="62" t="s">
        <v>6442</v>
      </c>
      <c r="AF264" s="90"/>
      <c r="AG264" s="61">
        <f>AG262+AG263</f>
        <v>788.55899999999997</v>
      </c>
      <c r="AH264" s="61">
        <f>AH262+AH263</f>
        <v>794.01400000000001</v>
      </c>
      <c r="AI264" s="61">
        <f>AI262+AI263</f>
        <v>790.81600000000003</v>
      </c>
      <c r="AJ264" s="61">
        <f>AJ262+AJ263</f>
        <v>794.78400000000011</v>
      </c>
      <c r="AK264" s="62" t="s">
        <v>6442</v>
      </c>
      <c r="AL264" s="90"/>
      <c r="AM264" s="61">
        <f>AM262+AM263</f>
        <v>797.54899999999998</v>
      </c>
      <c r="AN264" s="61">
        <f>AN262+AN263</f>
        <v>797.798</v>
      </c>
      <c r="AO264" s="61">
        <f>AO262+AO263</f>
        <v>790.02099999999996</v>
      </c>
      <c r="AP264" s="61">
        <f>AP262+AP263</f>
        <v>774.096</v>
      </c>
      <c r="AQ264" s="62" t="s">
        <v>6442</v>
      </c>
      <c r="AR264" s="90"/>
      <c r="AS264" s="61">
        <f>AS262+AS263</f>
        <v>771.6579999999999</v>
      </c>
      <c r="AT264" s="61">
        <f>AT262+AT263</f>
        <v>772.149</v>
      </c>
      <c r="AU264" s="61">
        <f>AU262+AU263</f>
        <v>794.81100000000004</v>
      </c>
      <c r="AV264" s="61">
        <f>AV262+AV263</f>
        <v>842.22299999999996</v>
      </c>
      <c r="AW264" s="62" t="s">
        <v>6442</v>
      </c>
      <c r="AX264" s="90"/>
      <c r="AY264" s="61">
        <f>AY262+AY263</f>
        <v>874.26400000000012</v>
      </c>
      <c r="AZ264" s="61">
        <f>AZ262+AZ263</f>
        <v>902.89999999999986</v>
      </c>
      <c r="BA264" s="61">
        <f>BA262+BA263</f>
        <v>940.27800000000002</v>
      </c>
      <c r="BB264" s="61">
        <f>BB262+BB263</f>
        <v>972.2</v>
      </c>
      <c r="BC264" s="62" t="s">
        <v>6442</v>
      </c>
      <c r="BD264" s="90"/>
      <c r="BE264" s="61">
        <f>BE262+BE263</f>
        <v>1000.5000000000001</v>
      </c>
      <c r="BF264" s="61">
        <f>BF262+BF263</f>
        <v>1058.2</v>
      </c>
      <c r="BG264" s="61">
        <f>BG262+BG263</f>
        <v>1100.1000000000001</v>
      </c>
      <c r="BH264" s="61">
        <f>BH262+BH263</f>
        <v>1144.8</v>
      </c>
      <c r="BI264" s="62" t="s">
        <v>6442</v>
      </c>
      <c r="BJ264" s="90"/>
      <c r="BK264" s="61">
        <f>BK262+BK263</f>
        <v>1215.5279999999998</v>
      </c>
      <c r="BL264" s="61">
        <f>BL262+BL263</f>
        <v>1266.4280000000001</v>
      </c>
      <c r="BM264" s="61">
        <f>BM262+BM263</f>
        <v>1331.6280000000002</v>
      </c>
      <c r="BN264" s="61">
        <f>BN262+BN263</f>
        <v>1376.5280000000002</v>
      </c>
      <c r="BO264" s="62" t="s">
        <v>6442</v>
      </c>
      <c r="BP264" s="90"/>
      <c r="BQ264" s="61">
        <f>BQ262+BQ263</f>
        <v>1417.7</v>
      </c>
      <c r="BR264" s="61">
        <f>BR262+BR263</f>
        <v>1467.9</v>
      </c>
      <c r="BS264" s="61">
        <f>BS262+BS263</f>
        <v>1505.1000000000001</v>
      </c>
      <c r="BT264" s="61">
        <f>BT262+BT263</f>
        <v>1587.7</v>
      </c>
      <c r="BU264" s="62" t="s">
        <v>6442</v>
      </c>
      <c r="BV264" s="90"/>
      <c r="BW264" s="61">
        <f>BW262+BW263</f>
        <v>1658.5</v>
      </c>
      <c r="BX264" s="61">
        <f>BX262+BX263</f>
        <v>1722.3</v>
      </c>
      <c r="BY264" s="61">
        <f>BY262+BY263</f>
        <v>1764.8999999999999</v>
      </c>
      <c r="BZ264" s="61">
        <f>BZ262+BZ263</f>
        <v>1738.5</v>
      </c>
      <c r="CA264" s="62" t="s">
        <v>6442</v>
      </c>
      <c r="CB264" s="90"/>
      <c r="CC264" s="61">
        <f>CC262+CC263</f>
        <v>1661.3000000000002</v>
      </c>
      <c r="CD264" s="61">
        <f>CD262+CD263</f>
        <v>1561.9</v>
      </c>
      <c r="CE264" s="61">
        <f>CE262+CE263</f>
        <v>1472</v>
      </c>
      <c r="CF264" s="61">
        <f>CF262+CF263</f>
        <v>1427</v>
      </c>
      <c r="CG264" s="62" t="s">
        <v>6442</v>
      </c>
      <c r="CH264" s="90"/>
      <c r="CI264" s="61">
        <f>CI262+CI263</f>
        <v>1435.5000000000002</v>
      </c>
      <c r="CJ264" s="61">
        <f>CJ262+CJ263</f>
        <v>1442.4</v>
      </c>
      <c r="CK264" s="61">
        <f>CK262+CK263</f>
        <v>1478.5000000000002</v>
      </c>
      <c r="CL264" s="61">
        <f>CL262+CL263</f>
        <v>1533</v>
      </c>
      <c r="CM264" s="62" t="s">
        <v>6442</v>
      </c>
      <c r="CN264" s="90"/>
      <c r="CO264" s="61">
        <f>CO262+CO263</f>
        <v>1563.7</v>
      </c>
      <c r="CP264" s="61">
        <f>CP262+CP263</f>
        <v>1614.7</v>
      </c>
      <c r="CQ264" s="61">
        <f>CQ262+CQ263</f>
        <v>1651.7999999999997</v>
      </c>
      <c r="CR264" s="61">
        <f>CR262+CR263</f>
        <v>1682.1999999999998</v>
      </c>
      <c r="CS264" s="62" t="s">
        <v>6442</v>
      </c>
      <c r="CT264" s="90"/>
      <c r="CU264" s="61">
        <f>CU262+CU263</f>
        <v>1716.5999999999997</v>
      </c>
      <c r="CV264" s="61">
        <f>CV262+CV263</f>
        <v>1733.9</v>
      </c>
      <c r="CW264" s="61">
        <f>CW262+CW263</f>
        <v>1723.4</v>
      </c>
      <c r="CX264" s="61">
        <f>CX262+CX263</f>
        <v>1726.0000000000002</v>
      </c>
      <c r="CY264" s="62" t="s">
        <v>6442</v>
      </c>
      <c r="CZ264" s="90"/>
      <c r="DA264" s="61">
        <f>DA262+DA263</f>
        <v>1715.9</v>
      </c>
      <c r="DB264" s="61">
        <f>DB262+DB263</f>
        <v>1716.2000000000003</v>
      </c>
      <c r="DC264" s="61">
        <f>DC262+DC263</f>
        <v>1746.1000000000001</v>
      </c>
      <c r="DD264" s="61">
        <f>DD262+DD263</f>
        <v>1763.4</v>
      </c>
      <c r="DE264" s="62" t="s">
        <v>6442</v>
      </c>
      <c r="DF264" s="90"/>
      <c r="DG264" s="61">
        <f>DG262+DG263</f>
        <v>1820.4000000000003</v>
      </c>
      <c r="DH264" s="61">
        <f>DH262+DH263</f>
        <v>1917.3</v>
      </c>
      <c r="DI264" s="61">
        <f>DI262+DI263</f>
        <v>2022.1</v>
      </c>
      <c r="DJ264" s="61">
        <f>DJ262+DJ263</f>
        <v>2129.8000000000002</v>
      </c>
      <c r="DK264" s="62" t="s">
        <v>6442</v>
      </c>
      <c r="DL264" s="90"/>
      <c r="DM264" s="61">
        <f>DM262+DM263</f>
        <v>2191.6999999999998</v>
      </c>
      <c r="DN264" s="61">
        <f>DN262+DN263</f>
        <v>2213.9999999999995</v>
      </c>
      <c r="DO264" s="61">
        <f>DO262+DO263</f>
        <v>2221</v>
      </c>
      <c r="DP264" s="61">
        <f>DP262+DP263</f>
        <v>2223.4</v>
      </c>
      <c r="DQ264" s="62" t="s">
        <v>6442</v>
      </c>
      <c r="DR264" s="90"/>
      <c r="DS264" s="61">
        <f>DS262+DS263</f>
        <v>2209.8999999999996</v>
      </c>
      <c r="DT264" s="61">
        <f>DT262+DT263</f>
        <v>2190.3999999999996</v>
      </c>
      <c r="DU264" s="61">
        <f>DU262+DU263</f>
        <v>2178.1999999999998</v>
      </c>
      <c r="DV264" s="61">
        <f>DV262+DV263</f>
        <v>2156.5</v>
      </c>
      <c r="DW264" s="62" t="s">
        <v>6442</v>
      </c>
      <c r="DX264" s="90"/>
      <c r="DY264" s="61">
        <f>DY262+DY263</f>
        <v>2142.7999999999997</v>
      </c>
      <c r="DZ264" s="61">
        <f>DZ262+DZ263</f>
        <v>2148.6</v>
      </c>
      <c r="EA264" s="61">
        <f>EA262+EA263</f>
        <v>2157.6</v>
      </c>
      <c r="EB264" s="61">
        <f>EB262+EB263</f>
        <v>2168.6</v>
      </c>
      <c r="EC264" s="62" t="s">
        <v>6442</v>
      </c>
      <c r="ED264" s="90"/>
      <c r="EE264" s="61">
        <f>EE262+EE263</f>
        <v>2174.0820587115536</v>
      </c>
      <c r="EF264" s="61">
        <f>EF262+EF263</f>
        <v>2176.6201047681971</v>
      </c>
      <c r="EG264" s="61">
        <f>EG262+EG263</f>
        <v>2174.0210572263682</v>
      </c>
      <c r="EH264" s="61">
        <f>EH262+EH263</f>
        <v>2189.376538139375</v>
      </c>
      <c r="EI264" s="62" t="s">
        <v>6442</v>
      </c>
      <c r="EJ264" s="90"/>
      <c r="EK264" s="61">
        <f>EK262+EK263</f>
        <v>2194.3547782461906</v>
      </c>
      <c r="EL264" s="61">
        <f>EL262+EL263</f>
        <v>2192.5545707911151</v>
      </c>
      <c r="EM264" s="61">
        <f>EM262+EM263</f>
        <v>2205.0043010231775</v>
      </c>
      <c r="EN264" s="61">
        <f>EN262+EN263</f>
        <v>2220.3766588095459</v>
      </c>
      <c r="EO264" s="62" t="s">
        <v>6442</v>
      </c>
      <c r="EP264" s="90"/>
      <c r="EQ264" s="61">
        <f>EQ262+EQ263</f>
        <v>2259.4048060347218</v>
      </c>
      <c r="ER264" s="61">
        <f>ER262+ER263</f>
        <v>2304.5547007244145</v>
      </c>
      <c r="ES264" s="61">
        <f>ES262+ES263</f>
        <v>2348.2025925739745</v>
      </c>
      <c r="ET264" s="61">
        <f>ET262+ET263</f>
        <v>2383.7956638122496</v>
      </c>
      <c r="EU264" s="62" t="s">
        <v>6442</v>
      </c>
      <c r="EV264" s="90"/>
    </row>
    <row r="265" spans="1:152" ht="12.75" hidden="1" customHeight="1" outlineLevel="1">
      <c r="A265" s="90" t="s">
        <v>3690</v>
      </c>
      <c r="B265" s="520"/>
      <c r="C265" s="61"/>
      <c r="D265" s="61"/>
      <c r="E265" s="61"/>
      <c r="F265" s="62"/>
      <c r="G265" s="62"/>
      <c r="H265" s="90"/>
      <c r="I265" s="61"/>
      <c r="J265" s="61"/>
      <c r="K265" s="61"/>
      <c r="L265" s="61"/>
      <c r="M265" s="62"/>
      <c r="N265" s="62"/>
      <c r="O265" s="61"/>
      <c r="P265" s="61"/>
      <c r="Q265" s="61"/>
      <c r="R265" s="61"/>
      <c r="S265" s="62"/>
      <c r="T265" s="90"/>
      <c r="U265" s="61"/>
      <c r="V265" s="61"/>
      <c r="W265" s="61"/>
      <c r="X265" s="61"/>
      <c r="Y265" s="62"/>
      <c r="Z265" s="90"/>
      <c r="AA265" s="61"/>
      <c r="AB265" s="61"/>
      <c r="AC265" s="61"/>
      <c r="AD265" s="61"/>
      <c r="AE265" s="62"/>
      <c r="AF265" s="90"/>
      <c r="AG265" s="61"/>
      <c r="AH265" s="61"/>
      <c r="AI265" s="61"/>
      <c r="AJ265" s="61"/>
      <c r="AK265" s="62"/>
      <c r="AL265" s="90"/>
      <c r="AM265" s="61"/>
      <c r="AN265" s="61"/>
      <c r="AO265" s="61"/>
      <c r="AP265" s="61"/>
      <c r="AQ265" s="62"/>
      <c r="AR265" s="90"/>
      <c r="AS265" s="61">
        <f>AS85+AP85+AO85+AN85</f>
        <v>34.725999999999999</v>
      </c>
      <c r="AT265" s="61">
        <f>AT85+AS85+AP85+AO85</f>
        <v>34.538999999999959</v>
      </c>
      <c r="AU265" s="61">
        <f>AU85+AT85+AS85+AP85</f>
        <v>57.037999999999982</v>
      </c>
      <c r="AV265" s="62">
        <f>AV85+AU85+AT85+AS85</f>
        <v>109.42000000000004</v>
      </c>
      <c r="AW265" s="62" t="s">
        <v>6442</v>
      </c>
      <c r="AX265" s="90"/>
      <c r="AY265" s="61">
        <f>AY85+AV85+AU85+AT85</f>
        <v>165.71300000000008</v>
      </c>
      <c r="AZ265" s="61">
        <f>AZ85+AY85+AV85+AU85</f>
        <v>206.17200000000011</v>
      </c>
      <c r="BA265" s="61">
        <f>BA85+AZ85+AY85+AV85</f>
        <v>236.33200000000011</v>
      </c>
      <c r="BB265" s="62">
        <f>BB85+BA85+AZ85+AY85</f>
        <v>266.7</v>
      </c>
      <c r="BC265" s="62" t="s">
        <v>6442</v>
      </c>
      <c r="BD265" s="90"/>
      <c r="BE265" s="61">
        <f>BE85+BB85+BA85+AZ85</f>
        <v>298.39999999999992</v>
      </c>
      <c r="BF265" s="61">
        <f>BF85+BE85+BB85+BA85</f>
        <v>336.69999999999993</v>
      </c>
      <c r="BG265" s="61">
        <f>BG85+BF85+BE85+BB85</f>
        <v>374.89999999999986</v>
      </c>
      <c r="BH265" s="62">
        <f>BH85+BG85+BF85+BE85</f>
        <v>392.39999999999992</v>
      </c>
      <c r="BI265" s="62" t="s">
        <v>6442</v>
      </c>
      <c r="BJ265" s="90"/>
      <c r="BK265" s="61">
        <f>BK85+BH85+BG85+BF85</f>
        <v>398.572</v>
      </c>
      <c r="BL265" s="61">
        <f>BL85+BK85+BH85+BG85</f>
        <v>420.47200000000004</v>
      </c>
      <c r="BM265" s="61">
        <f>BM85+BL85+BK85+BH85</f>
        <v>430.572</v>
      </c>
      <c r="BN265" s="62">
        <f>BN85+BM85+BL85+BK85</f>
        <v>463.27199999999999</v>
      </c>
      <c r="BO265" s="62" t="s">
        <v>6442</v>
      </c>
      <c r="BP265" s="90"/>
      <c r="BQ265" s="61">
        <f>BQ85+BN85+BM85+BL85</f>
        <v>494.70000000000005</v>
      </c>
      <c r="BR265" s="61">
        <f>BR85+BQ85+BN85+BM85</f>
        <v>520.80000000000007</v>
      </c>
      <c r="BS265" s="61">
        <f>BS85+BR85+BQ85+BN85</f>
        <v>565.20000000000005</v>
      </c>
      <c r="BT265" s="62">
        <f>BT85+BS85+BR85+BQ85</f>
        <v>584.30000000000007</v>
      </c>
      <c r="BU265" s="62" t="s">
        <v>6442</v>
      </c>
      <c r="BV265" s="90"/>
      <c r="BW265" s="61">
        <f>BW85+BT85+BS85+BR85</f>
        <v>603.69999999999993</v>
      </c>
      <c r="BX265" s="61">
        <f>BX85+BW85+BT85+BS85</f>
        <v>633.49999999999989</v>
      </c>
      <c r="BY265" s="61">
        <f>BY85+BX85+BW85+BT85</f>
        <v>659.6</v>
      </c>
      <c r="BZ265" s="62">
        <f>BZ85+BY85+BX85+BW85</f>
        <v>576.70000000000005</v>
      </c>
      <c r="CA265" s="62" t="s">
        <v>6442</v>
      </c>
      <c r="CB265" s="90"/>
      <c r="CC265" s="61">
        <f>CC85+BZ85+BY85+BX85</f>
        <v>480.90000000000009</v>
      </c>
      <c r="CD265" s="61">
        <f>CD85+CC85+BZ85+BY85</f>
        <v>375.70000000000005</v>
      </c>
      <c r="CE265" s="61">
        <f>CE85+CD85+CC85+BZ85</f>
        <v>275.39999999999992</v>
      </c>
      <c r="CF265" s="62">
        <f>CF85+CE85+CD85+CC85</f>
        <v>286.69999999999987</v>
      </c>
      <c r="CG265" s="62" t="s">
        <v>6442</v>
      </c>
      <c r="CH265" s="90"/>
      <c r="CI265" s="61">
        <f>CI85+CF85+CE85+CD85</f>
        <v>326.99999999999989</v>
      </c>
      <c r="CJ265" s="61">
        <f>CJ85+CI85+CF85+CE85</f>
        <v>377.99999999999989</v>
      </c>
      <c r="CK265" s="61">
        <f>CK85+CJ85+CI85+CF85</f>
        <v>401.69999999999987</v>
      </c>
      <c r="CL265" s="62">
        <f>CL85+CK85+CJ85+CI85</f>
        <v>418.79999999999995</v>
      </c>
      <c r="CM265" s="62" t="s">
        <v>6442</v>
      </c>
      <c r="CN265" s="90"/>
      <c r="CO265" s="61">
        <f>CO85+CL85+CK85+CJ85</f>
        <v>441.7999999999999</v>
      </c>
      <c r="CP265" s="61">
        <f>CP85+CO85+CL85+CK85</f>
        <v>464.29999999999995</v>
      </c>
      <c r="CQ265" s="61">
        <f>CQ85+CP85+CO85+CL85</f>
        <v>499.09999999999991</v>
      </c>
      <c r="CR265" s="62">
        <f>CR85+CQ85+CP85+CO85</f>
        <v>533.39999999999986</v>
      </c>
      <c r="CS265" s="62" t="s">
        <v>6442</v>
      </c>
      <c r="CT265" s="90"/>
      <c r="CU265" s="61">
        <f>CU85+CR85+CQ85+CP85</f>
        <v>559.29999999999995</v>
      </c>
      <c r="CV265" s="61">
        <f>CV85+CU85+CR85+CQ85</f>
        <v>564.69999999999982</v>
      </c>
      <c r="CW265" s="61">
        <f>CW85+CV85+CU85+CR85</f>
        <v>574.59999999999991</v>
      </c>
      <c r="CX265" s="62">
        <f>CX85+CW85+CV85+CU85</f>
        <v>586.59999999999991</v>
      </c>
      <c r="CY265" s="62" t="s">
        <v>6442</v>
      </c>
      <c r="CZ265" s="90"/>
      <c r="DA265" s="61">
        <f>DA85+CX85+CW85+CV85</f>
        <v>578.49999999999977</v>
      </c>
      <c r="DB265" s="61">
        <f>DB85+DA85+CX85+CW85</f>
        <v>570.89999999999986</v>
      </c>
      <c r="DC265" s="61">
        <f>DC85+DB85+DA85+CX85</f>
        <v>548.19999999999993</v>
      </c>
      <c r="DD265" s="62">
        <f>DD85+DC85+DB85+DA85</f>
        <v>510.49999999999983</v>
      </c>
      <c r="DE265" s="62" t="s">
        <v>6442</v>
      </c>
      <c r="DF265" s="90"/>
      <c r="DG265" s="61">
        <f>DG85+DD85+DC85+DB85</f>
        <v>475.59999999999991</v>
      </c>
      <c r="DH265" s="61">
        <f>DH85+DG85+DD85+DC85</f>
        <v>454.09999999999974</v>
      </c>
      <c r="DI265" s="61">
        <f>DI85+DH85+DG85+DD85</f>
        <v>412.09999999999974</v>
      </c>
      <c r="DJ265" s="62">
        <f>DJ85+DI85+DH85+DG85</f>
        <v>382.39999999999992</v>
      </c>
      <c r="DK265" s="62" t="s">
        <v>6442</v>
      </c>
      <c r="DL265" s="90"/>
      <c r="DM265" s="61">
        <f>DM85+DJ85+DI85+DH85</f>
        <v>374.49999999999994</v>
      </c>
      <c r="DN265" s="61">
        <f>DN85+DM85+DJ85+DI85</f>
        <v>324.60000000000008</v>
      </c>
      <c r="DO265" s="61">
        <f>DO85+DN85+DM85+DJ85</f>
        <v>299.39999999999998</v>
      </c>
      <c r="DP265" s="62">
        <f>DP85+DO85+DN85+DM85</f>
        <v>280.69999999999993</v>
      </c>
      <c r="DQ265" s="62" t="s">
        <v>6442</v>
      </c>
      <c r="DR265" s="90"/>
      <c r="DS265" s="61">
        <f>DS85+DP85+DO85+DN85</f>
        <v>159.59999999999991</v>
      </c>
      <c r="DT265" s="61">
        <f>DT85+DS85+DP85+DO85</f>
        <v>120.2999999999999</v>
      </c>
      <c r="DU265" s="61">
        <f>DU85+DT85+DS85+DP85</f>
        <v>22.300000000000011</v>
      </c>
      <c r="DV265" s="62">
        <f>DV85+DU85+DT85+DS85</f>
        <v>-125.49999999999994</v>
      </c>
      <c r="DW265" s="62" t="s">
        <v>6442</v>
      </c>
      <c r="DX265" s="90"/>
      <c r="DY265" s="61">
        <f>DY85+DV85+DU85+DT85</f>
        <v>-137.99999999999989</v>
      </c>
      <c r="DZ265" s="61">
        <f>DZ85+DY85+DV85+DU85</f>
        <v>-192.7</v>
      </c>
      <c r="EA265" s="61">
        <f>EA85+DZ85+DY85+DV85</f>
        <v>-176.00000000000006</v>
      </c>
      <c r="EB265" s="62">
        <f>EB85+EA85+DZ85+DY85</f>
        <v>-112.00000000000011</v>
      </c>
      <c r="EC265" s="62" t="s">
        <v>6442</v>
      </c>
      <c r="ED265" s="90"/>
      <c r="EE265" s="61">
        <f>EE85+EB85+EA85+DZ85</f>
        <v>-46.558531686173239</v>
      </c>
      <c r="EF265" s="61">
        <f>EF85+EE85+EB85+EA85</f>
        <v>43.663118044636235</v>
      </c>
      <c r="EG265" s="61">
        <f>EG85+EF85+EE85+EB85</f>
        <v>166.67628343006947</v>
      </c>
      <c r="EH265" s="62">
        <f>EH85+EG85+EF85+EE85</f>
        <v>310.20410573142982</v>
      </c>
      <c r="EI265" s="62" t="s">
        <v>6442</v>
      </c>
      <c r="EJ265" s="90"/>
      <c r="EK265" s="61">
        <f>EK85+EH85+EG85+EF85</f>
        <v>439.22625957194373</v>
      </c>
      <c r="EL265" s="61">
        <f>EL85+EK85+EH85+EG85</f>
        <v>579.28946685390724</v>
      </c>
      <c r="EM265" s="61">
        <f>EM85+EL85+EK85+EH85</f>
        <v>718.19326102629168</v>
      </c>
      <c r="EN265" s="62">
        <f>EN85+EM85+EL85+EK85</f>
        <v>885.29055536856026</v>
      </c>
      <c r="EO265" s="62" t="s">
        <v>6442</v>
      </c>
      <c r="EP265" s="90"/>
      <c r="EQ265" s="61">
        <f>EQ85+EN85+EM85+EL85</f>
        <v>923.7426468738887</v>
      </c>
      <c r="ER265" s="61">
        <f>ER85+EQ85+EN85+EM85</f>
        <v>1011.712190775184</v>
      </c>
      <c r="ES265" s="61">
        <f>ES85+ER85+EQ85+EN85</f>
        <v>1148.2761249502414</v>
      </c>
      <c r="ET265" s="62">
        <f>ET85+ES85+ER85+EQ85</f>
        <v>1353.1019217691612</v>
      </c>
      <c r="EU265" s="62" t="s">
        <v>6442</v>
      </c>
      <c r="EV265" s="90"/>
    </row>
    <row r="266" spans="1:152" ht="12.75" hidden="1" customHeight="1" outlineLevel="1">
      <c r="A266" s="90" t="s">
        <v>5168</v>
      </c>
      <c r="B266" s="520" t="s">
        <v>2329</v>
      </c>
      <c r="C266" s="116"/>
      <c r="D266" s="116"/>
      <c r="E266" s="116"/>
      <c r="F266" s="116"/>
      <c r="G266" s="62"/>
      <c r="H266" s="90"/>
      <c r="I266" s="116">
        <f>(I261-I264)/I261</f>
        <v>9.2040292316808145E-2</v>
      </c>
      <c r="J266" s="116">
        <f>(J261-J264)/J261</f>
        <v>0.10909090909090902</v>
      </c>
      <c r="K266" s="116">
        <f>(K261-K264)/K261</f>
        <v>0.14358186010760948</v>
      </c>
      <c r="L266" s="116">
        <f>(L261-L264)/L261</f>
        <v>0.18738404452690177</v>
      </c>
      <c r="M266" s="62" t="s">
        <v>6442</v>
      </c>
      <c r="N266" s="90"/>
      <c r="O266" s="116">
        <f>(O261-O264)/O261</f>
        <v>0.21521323830040567</v>
      </c>
      <c r="P266" s="116">
        <f>(P261-P264)/P261</f>
        <v>0.22089080015637649</v>
      </c>
      <c r="Q266" s="116">
        <f>(Q261-Q264)/Q261</f>
        <v>0.20948638371103601</v>
      </c>
      <c r="R266" s="116">
        <f>(R261-R264)/R261</f>
        <v>0.19230906926581298</v>
      </c>
      <c r="S266" s="62" t="s">
        <v>6442</v>
      </c>
      <c r="T266" s="90"/>
      <c r="U266" s="116">
        <f>(U261-U264)/U261</f>
        <v>0.15183551670425549</v>
      </c>
      <c r="V266" s="116">
        <f>(V261-V264)/V261</f>
        <v>9.9882269170227966E-2</v>
      </c>
      <c r="W266" s="116">
        <f>(W261-W264)/W261</f>
        <v>8.2968201895881763E-2</v>
      </c>
      <c r="X266" s="116">
        <f>(X261-X264)/X261</f>
        <v>7.7985875849447703E-2</v>
      </c>
      <c r="Y266" s="62" t="s">
        <v>6442</v>
      </c>
      <c r="Z266" s="90"/>
      <c r="AA266" s="116">
        <f>(AA261-AA264)/AA261</f>
        <v>0.11668410047807053</v>
      </c>
      <c r="AB266" s="116">
        <f>(AB261-AB264)/AB261</f>
        <v>0.15687701077307123</v>
      </c>
      <c r="AC266" s="116">
        <f>(AC261-AC264)/AC261</f>
        <v>0.17160205836378786</v>
      </c>
      <c r="AD266" s="116">
        <f>(AD261-AD264)/AD261</f>
        <v>0.1765510656567599</v>
      </c>
      <c r="AE266" s="62" t="s">
        <v>6442</v>
      </c>
      <c r="AF266" s="90"/>
      <c r="AG266" s="116">
        <f>(AG261-AG264)/AG261</f>
        <v>0.17064066764478519</v>
      </c>
      <c r="AH266" s="116">
        <f>(AH261-AH264)/AH261</f>
        <v>0.1636006252870463</v>
      </c>
      <c r="AI266" s="116">
        <f>(AI261-AI264)/AI261</f>
        <v>0.15556580644610166</v>
      </c>
      <c r="AJ266" s="116">
        <f>(AJ261-AJ264)/AJ261</f>
        <v>0.16116986863199745</v>
      </c>
      <c r="AK266" s="62" t="s">
        <v>6442</v>
      </c>
      <c r="AL266" s="90"/>
      <c r="AM266" s="116">
        <f>(AM261-AM264)/AM261</f>
        <v>0.14341333379158352</v>
      </c>
      <c r="AN266" s="116">
        <f>(AN261-AN264)/AN261</f>
        <v>0.12437563040612699</v>
      </c>
      <c r="AO266" s="116">
        <f>(AO261-AO264)/AO261</f>
        <v>0.10576787030130295</v>
      </c>
      <c r="AP266" s="116">
        <f>(AP261-AP264)/AP261</f>
        <v>6.1639260799204718E-2</v>
      </c>
      <c r="AQ266" s="62" t="s">
        <v>6442</v>
      </c>
      <c r="AR266" s="90"/>
      <c r="AS266" s="116">
        <f>(AS261-AS264)/AS261</f>
        <v>4.3063850473223815E-2</v>
      </c>
      <c r="AT266" s="116">
        <f>(AT261-AT264)/AT261</f>
        <v>4.2815809829822804E-2</v>
      </c>
      <c r="AU266" s="116">
        <f>(AU261-AU264)/AU261</f>
        <v>6.6957876337238056E-2</v>
      </c>
      <c r="AV266" s="116">
        <f>(AV261-AV264)/AV261</f>
        <v>0.11498009232453764</v>
      </c>
      <c r="AW266" s="116" t="s">
        <v>6442</v>
      </c>
      <c r="AX266" s="90"/>
      <c r="AY266" s="116">
        <f>(AY261-AY264)/AY261</f>
        <v>0.15934294700748186</v>
      </c>
      <c r="AZ266" s="116">
        <f>(AZ261-AZ264)/AZ261</f>
        <v>0.1858959562589266</v>
      </c>
      <c r="BA266" s="116">
        <f>(BA261-BA264)/BA261</f>
        <v>0.20085839827980392</v>
      </c>
      <c r="BB266" s="116">
        <f>(BB261-BB264)/BB261</f>
        <v>0.21527161191379451</v>
      </c>
      <c r="BC266" s="116" t="s">
        <v>6442</v>
      </c>
      <c r="BD266" s="90"/>
      <c r="BE266" s="116">
        <f>(BE261-BE264)/BE261</f>
        <v>0.22973285087381615</v>
      </c>
      <c r="BF266" s="116">
        <f>(BF261-BF264)/BF261</f>
        <v>0.24137931034482749</v>
      </c>
      <c r="BG266" s="116">
        <f>(BG261-BG264)/BG261</f>
        <v>0.25416949152542351</v>
      </c>
      <c r="BH266" s="116">
        <f>(BH261-BH264)/BH261</f>
        <v>0.25526932084309129</v>
      </c>
      <c r="BI266" s="62" t="s">
        <v>6442</v>
      </c>
      <c r="BJ266" s="90"/>
      <c r="BK266" s="116">
        <f>(BK261-BK264)/BK261</f>
        <v>0.24693141688866868</v>
      </c>
      <c r="BL266" s="116">
        <f>(BL261-BL264)/BL261</f>
        <v>0.24925721738099471</v>
      </c>
      <c r="BM266" s="116">
        <f>(BM261-BM264)/BM261</f>
        <v>0.24433775961865842</v>
      </c>
      <c r="BN266" s="116">
        <f>(BN261-BN264)/BN261</f>
        <v>0.25180563104685288</v>
      </c>
      <c r="BO266" s="62" t="s">
        <v>6442</v>
      </c>
      <c r="BP266" s="90"/>
      <c r="BQ266" s="116">
        <f>(BQ261-BQ264)/BQ261</f>
        <v>0.25868019242836227</v>
      </c>
      <c r="BR266" s="116">
        <f>(BR261-BR264)/BR261</f>
        <v>0.26187961985216468</v>
      </c>
      <c r="BS266" s="116">
        <f>(BS261-BS264)/BS261</f>
        <v>0.27300391247645267</v>
      </c>
      <c r="BT266" s="116">
        <f>(BT261-BT264)/BT261</f>
        <v>0.26901473296500916</v>
      </c>
      <c r="BU266" s="62" t="s">
        <v>6442</v>
      </c>
      <c r="BV266" s="90"/>
      <c r="BW266" s="116">
        <f>(BW261-BW264)/BW261</f>
        <v>0.26686411457872877</v>
      </c>
      <c r="BX266" s="116">
        <f>(BX261-BX264)/BX261</f>
        <v>0.26891077341030656</v>
      </c>
      <c r="BY266" s="116">
        <f>(BY261-BY264)/BY261</f>
        <v>0.2720560940400083</v>
      </c>
      <c r="BZ266" s="116">
        <f>(BZ261-BZ264)/BZ261</f>
        <v>0.24909295093296469</v>
      </c>
      <c r="CA266" s="62" t="s">
        <v>6442</v>
      </c>
      <c r="CB266" s="90"/>
      <c r="CC266" s="116">
        <f>(CC261-CC264)/CC261</f>
        <v>0.22448884324526172</v>
      </c>
      <c r="CD266" s="116">
        <f>(CD261-CD264)/CD261</f>
        <v>0.19389966969446729</v>
      </c>
      <c r="CE266" s="116">
        <f>(CE261-CE264)/CE261</f>
        <v>0.15760558544122691</v>
      </c>
      <c r="CF266" s="116">
        <f>(CF261-CF264)/CF261</f>
        <v>0.16729882709925895</v>
      </c>
      <c r="CG266" s="62" t="s">
        <v>6442</v>
      </c>
      <c r="CH266" s="90"/>
      <c r="CI266" s="116">
        <f>(CI261-CI264)/CI261</f>
        <v>0.18553191489361689</v>
      </c>
      <c r="CJ266" s="116">
        <f>(CJ261-CJ264)/CJ261</f>
        <v>0.20764667106130519</v>
      </c>
      <c r="CK266" s="116">
        <f>(CK261-CK264)/CK261</f>
        <v>0.21364748431017958</v>
      </c>
      <c r="CL266" s="116">
        <f>(CL261-CL264)/CL261</f>
        <v>0.21457116507838925</v>
      </c>
      <c r="CM266" s="62" t="s">
        <v>6442</v>
      </c>
      <c r="CN266" s="90"/>
      <c r="CO266" s="116">
        <f>(CO261-CO264)/CO261</f>
        <v>0.22029419097481923</v>
      </c>
      <c r="CP266" s="116">
        <f>(CP261-CP264)/CP261</f>
        <v>0.22332852332852329</v>
      </c>
      <c r="CQ266" s="116">
        <f>(CQ261-CQ264)/CQ261</f>
        <v>0.23204240085545585</v>
      </c>
      <c r="CR266" s="116">
        <f>(CR261-CR264)/CR261</f>
        <v>0.24074742733345375</v>
      </c>
      <c r="CS266" s="62" t="s">
        <v>6442</v>
      </c>
      <c r="CT266" s="90"/>
      <c r="CU266" s="116">
        <f>(CU261-CU264)/CU261</f>
        <v>0.24574893448745552</v>
      </c>
      <c r="CV266" s="116">
        <f>(CV261-CV264)/CV261</f>
        <v>0.24567127816932038</v>
      </c>
      <c r="CW266" s="116">
        <f>(CW261-CW264)/CW261</f>
        <v>0.25004351610095732</v>
      </c>
      <c r="CX266" s="116">
        <f>(CX261-CX264)/CX261</f>
        <v>0.25365389604773836</v>
      </c>
      <c r="CY266" s="62" t="s">
        <v>6442</v>
      </c>
      <c r="CZ266" s="90"/>
      <c r="DA266" s="116">
        <f>(DA261-DA264)/DA261</f>
        <v>0.25213563458856347</v>
      </c>
      <c r="DB266" s="116">
        <f>(DB261-DB264)/DB261</f>
        <v>0.24961741943946467</v>
      </c>
      <c r="DC266" s="116">
        <f>(DC261-DC264)/DC261</f>
        <v>0.23893998169376279</v>
      </c>
      <c r="DD266" s="116">
        <f>(DD261-DD264)/DD261</f>
        <v>0.22450415585557851</v>
      </c>
      <c r="DE266" s="62" t="s">
        <v>6442</v>
      </c>
      <c r="DF266" s="90"/>
      <c r="DG266" s="116">
        <f>(DG261-DG264)/DG261</f>
        <v>0.20714285714285702</v>
      </c>
      <c r="DH266" s="116">
        <f>(DH261-DH264)/DH261</f>
        <v>0.19149025891878205</v>
      </c>
      <c r="DI266" s="116">
        <f>(DI261-DI264)/DI261</f>
        <v>0.16929586722537177</v>
      </c>
      <c r="DJ266" s="116">
        <f>(DJ261-DJ264)/DJ261</f>
        <v>0.15221718016081509</v>
      </c>
      <c r="DK266" s="62" t="s">
        <v>6442</v>
      </c>
      <c r="DL266" s="90"/>
      <c r="DM266" s="116">
        <f>(DM261-DM264)/DM261</f>
        <v>0.14593562465902893</v>
      </c>
      <c r="DN266" s="116">
        <f>(DN261-DN264)/DN261</f>
        <v>0.12786575277712139</v>
      </c>
      <c r="DO266" s="116">
        <f>(DO261-DO264)/DO261</f>
        <v>0.11879066814791306</v>
      </c>
      <c r="DP266" s="116">
        <f>(DP261-DP264)/DP261</f>
        <v>0.11209616229383804</v>
      </c>
      <c r="DQ266" s="62" t="s">
        <v>6442</v>
      </c>
      <c r="DR266" s="90"/>
      <c r="DS266" s="116">
        <f>(DS261-DS264)/DS261</f>
        <v>6.7355982274741655E-2</v>
      </c>
      <c r="DT266" s="116">
        <f>(DT261-DT264)/DT261</f>
        <v>5.2062145670143327E-2</v>
      </c>
      <c r="DU266" s="116">
        <f>(DU261-DU264)/DU261</f>
        <v>1.013406044080899E-2</v>
      </c>
      <c r="DV266" s="116">
        <f>(DV261-DV264)/DV261</f>
        <v>-6.1792220580994581E-2</v>
      </c>
      <c r="DW266" s="62" t="s">
        <v>6442</v>
      </c>
      <c r="DX266" s="90"/>
      <c r="DY266" s="116">
        <f>(DY261-DY264)/DY261</f>
        <v>-6.8834796488427663E-2</v>
      </c>
      <c r="DZ266" s="116">
        <f>(DZ261-DZ264)/DZ261</f>
        <v>-9.8522419346592269E-2</v>
      </c>
      <c r="EA266" s="116">
        <f>(EA261-EA264)/EA261</f>
        <v>-8.8817117480823576E-2</v>
      </c>
      <c r="EB266" s="116">
        <f>(EB261-EB264)/EB261</f>
        <v>-5.4458815520762427E-2</v>
      </c>
      <c r="EC266" s="62" t="s">
        <v>6442</v>
      </c>
      <c r="ED266" s="90"/>
      <c r="EE266" s="116">
        <f>(EE261-EE264)/EE261</f>
        <v>-2.1883909199946313E-2</v>
      </c>
      <c r="EF266" s="116">
        <f>(EF261-EF264)/EF261</f>
        <v>1.9665562301245793E-2</v>
      </c>
      <c r="EG266" s="116">
        <f>(EG261-EG264)/EG261</f>
        <v>7.1207960352245192E-2</v>
      </c>
      <c r="EH266" s="116">
        <f>(EH261-EH264)/EH261</f>
        <v>0.12410245954339508</v>
      </c>
      <c r="EI266" s="62" t="s">
        <v>6442</v>
      </c>
      <c r="EJ266" s="90"/>
      <c r="EK266" s="116">
        <f>(EK261-EK264)/EK261</f>
        <v>0.16677909404140953</v>
      </c>
      <c r="EL266" s="116">
        <f>(EL261-EL264)/EL261</f>
        <v>0.20899064268640286</v>
      </c>
      <c r="EM266" s="116">
        <f>(EM261-EM264)/EM261</f>
        <v>0.24568755473467299</v>
      </c>
      <c r="EN266" s="116">
        <f>(EN261-EN264)/EN261</f>
        <v>0.28505647718049082</v>
      </c>
      <c r="EO266" s="62" t="s">
        <v>6442</v>
      </c>
      <c r="EP266" s="90"/>
      <c r="EQ266" s="116">
        <f>(EQ261-EQ264)/EQ261</f>
        <v>0.29019788135476277</v>
      </c>
      <c r="ER266" s="116">
        <f>(ER261-ER264)/ER261</f>
        <v>0.30507562384934966</v>
      </c>
      <c r="ES266" s="116">
        <f>(ES261-ES264)/ES261</f>
        <v>0.32840929910287342</v>
      </c>
      <c r="ET266" s="116">
        <f>(ET261-ET264)/ET261</f>
        <v>0.3620923214460095</v>
      </c>
      <c r="EU266" s="62" t="s">
        <v>6442</v>
      </c>
      <c r="EV266" s="90"/>
    </row>
    <row r="267" spans="1:152" ht="12.75" hidden="1" customHeight="1" outlineLevel="1">
      <c r="A267" s="90" t="s">
        <v>5169</v>
      </c>
      <c r="B267" s="520" t="s">
        <v>5167</v>
      </c>
      <c r="C267" s="61"/>
      <c r="D267" s="61"/>
      <c r="E267" s="61"/>
      <c r="F267" s="62"/>
      <c r="G267" s="62"/>
      <c r="H267" s="90"/>
      <c r="I267" s="61">
        <f>I58+F58+E58+D58</f>
        <v>101.19999999999999</v>
      </c>
      <c r="J267" s="61">
        <f>J58+I58+F58+E58</f>
        <v>111.4</v>
      </c>
      <c r="K267" s="61">
        <f>K58+J58+I58+F58</f>
        <v>124.2</v>
      </c>
      <c r="L267" s="62">
        <f>L58+K58+J58+I58</f>
        <v>135.1</v>
      </c>
      <c r="M267" s="62" t="s">
        <v>6442</v>
      </c>
      <c r="N267" s="90"/>
      <c r="O267" s="61">
        <f>O58+L58+K58+J58</f>
        <v>143.97999999999999</v>
      </c>
      <c r="P267" s="61">
        <f>P58+O58+L58+K58</f>
        <v>149.28700000000001</v>
      </c>
      <c r="Q267" s="61">
        <f>Q58+P58+O58+L58</f>
        <v>153.67699999999999</v>
      </c>
      <c r="R267" s="62">
        <f>R58+Q58+P58+O58</f>
        <v>157.07999999999998</v>
      </c>
      <c r="S267" s="62" t="s">
        <v>6442</v>
      </c>
      <c r="T267" s="90"/>
      <c r="U267" s="61">
        <f>U58+R58+Q58+P58</f>
        <v>162.15299999999999</v>
      </c>
      <c r="V267" s="61">
        <f>V58+U58+R58+Q58</f>
        <v>173.20299999999997</v>
      </c>
      <c r="W267" s="61">
        <f>W58+V58+U58+R58</f>
        <v>177.81299999999999</v>
      </c>
      <c r="X267" s="62">
        <f>X58+W58+V58+U58</f>
        <v>182.83500000000001</v>
      </c>
      <c r="Y267" s="62" t="s">
        <v>6442</v>
      </c>
      <c r="Z267" s="90"/>
      <c r="AA267" s="61">
        <f>AA58+X58+W58+V58</f>
        <v>178.73699999999999</v>
      </c>
      <c r="AB267" s="61">
        <f>AB58+AA58+X58+W58</f>
        <v>171.55199999999999</v>
      </c>
      <c r="AC267" s="61">
        <f>AC58+AB58+AA58+X58</f>
        <v>168.71</v>
      </c>
      <c r="AD267" s="62">
        <f>AD58+AC58+AB58+AA58</f>
        <v>170.48699999999999</v>
      </c>
      <c r="AE267" s="62" t="s">
        <v>6442</v>
      </c>
      <c r="AF267" s="90"/>
      <c r="AG267" s="61">
        <f>AG58+AD58+AC58+AB58</f>
        <v>180.44200000000001</v>
      </c>
      <c r="AH267" s="61">
        <f>AH58+AG58+AD58+AC58</f>
        <v>185.697</v>
      </c>
      <c r="AI267" s="61">
        <f>AI58+AH58+AG58+AD58</f>
        <v>186.76599999999999</v>
      </c>
      <c r="AJ267" s="62">
        <f>AJ58+AI58+AH58+AG58</f>
        <v>185.084</v>
      </c>
      <c r="AK267" s="62" t="s">
        <v>6442</v>
      </c>
      <c r="AL267" s="90"/>
      <c r="AM267" s="61">
        <f>AM58+AJ58+AI58+AH58</f>
        <v>184.56700000000001</v>
      </c>
      <c r="AN267" s="61">
        <f>AN58+AM58+AJ58+AI58</f>
        <v>188.06200000000001</v>
      </c>
      <c r="AO267" s="61">
        <f>AO58+AN58+AM58+AJ58</f>
        <v>189.62200000000001</v>
      </c>
      <c r="AP267" s="62">
        <f>AP58+AO58+AN58+AM58</f>
        <v>190.25200000000001</v>
      </c>
      <c r="AQ267" s="62" t="s">
        <v>6442</v>
      </c>
      <c r="AR267" s="90"/>
      <c r="AS267" s="61">
        <f>AS58+AP58+AO58+AN58</f>
        <v>192.13800000000001</v>
      </c>
      <c r="AT267" s="61">
        <f>AT58+AS58+AP58+AO58</f>
        <v>190.78</v>
      </c>
      <c r="AU267" s="61">
        <f>AU58+AT58+AS58+AP58</f>
        <v>198.49700000000001</v>
      </c>
      <c r="AV267" s="62">
        <f>AV58+AU58+AT58+AS58</f>
        <v>209.34899999999999</v>
      </c>
      <c r="AW267" s="62" t="s">
        <v>6442</v>
      </c>
      <c r="AX267" s="90"/>
      <c r="AY267" s="61">
        <f>AY58+AV58+AU58+AT58</f>
        <v>215.67000000000002</v>
      </c>
      <c r="AZ267" s="61">
        <f>AZ58+AY58+AV58+AU58</f>
        <v>224.30599999999998</v>
      </c>
      <c r="BA267" s="61">
        <f>BA58+AZ58+AY58+AV58</f>
        <v>231.202</v>
      </c>
      <c r="BB267" s="62">
        <f>BB58+BA58+AZ58+AY58</f>
        <v>239.4</v>
      </c>
      <c r="BC267" s="62" t="s">
        <v>6442</v>
      </c>
      <c r="BD267" s="90"/>
      <c r="BE267" s="61">
        <f>BE58+BB58+BA58+AZ58</f>
        <v>247.5</v>
      </c>
      <c r="BF267" s="61">
        <f>BF58+BE58+BB58+BA58</f>
        <v>262.2</v>
      </c>
      <c r="BG267" s="61">
        <f>BG58+BF58+BE58+BB58</f>
        <v>276.3</v>
      </c>
      <c r="BH267" s="62">
        <f>BH58+BG58+BF58+BE58</f>
        <v>293.8</v>
      </c>
      <c r="BI267" s="62" t="s">
        <v>6442</v>
      </c>
      <c r="BJ267" s="90"/>
      <c r="BK267" s="61">
        <f>BK58+BH58+BG58+BF58</f>
        <v>320.3</v>
      </c>
      <c r="BL267" s="61">
        <f>BL58+BK58+BH58+BG58</f>
        <v>338.3</v>
      </c>
      <c r="BM267" s="61">
        <f>BM58+BL58+BK58+BH58</f>
        <v>362.1</v>
      </c>
      <c r="BN267" s="62">
        <f>BN58+BM58+BL58+BK58</f>
        <v>376.20000000000005</v>
      </c>
      <c r="BO267" s="62" t="s">
        <v>6442</v>
      </c>
      <c r="BP267" s="90"/>
      <c r="BQ267" s="61">
        <f>BQ58+BN58+BM58+BL58</f>
        <v>389.3</v>
      </c>
      <c r="BR267" s="61">
        <f>BR58+BQ58+BN58+BM58</f>
        <v>405.7</v>
      </c>
      <c r="BS267" s="61">
        <f>BS58+BR58+BQ58+BN58</f>
        <v>416</v>
      </c>
      <c r="BT267" s="62">
        <f>BT58+BS58+BR58+BQ58</f>
        <v>442.4</v>
      </c>
      <c r="BU267" s="62" t="s">
        <v>6442</v>
      </c>
      <c r="BV267" s="90"/>
      <c r="BW267" s="61">
        <f>BW58+BT58+BS58+BR58</f>
        <v>472.1</v>
      </c>
      <c r="BX267" s="61">
        <f>BX58+BW58+BT58+BS58</f>
        <v>493.40000000000003</v>
      </c>
      <c r="BY267" s="61">
        <f>BY58+BX58+BW58+BT58</f>
        <v>512.09999999999991</v>
      </c>
      <c r="BZ267" s="62">
        <f>BZ58+BY58+BX58+BW58</f>
        <v>514.59999999999991</v>
      </c>
      <c r="CA267" s="62" t="s">
        <v>6442</v>
      </c>
      <c r="CB267" s="90"/>
      <c r="CC267" s="61">
        <f>CC58+BZ58+BY58+BX58</f>
        <v>496.39999999999992</v>
      </c>
      <c r="CD267" s="61">
        <f>CD58+CC58+BZ58+BY58</f>
        <v>470.49999999999989</v>
      </c>
      <c r="CE267" s="61">
        <f>CE58+CD58+CC58+BZ58</f>
        <v>443.5</v>
      </c>
      <c r="CF267" s="62">
        <f>CF58+CE58+CD58+CC58</f>
        <v>430.20000000000005</v>
      </c>
      <c r="CG267" s="62" t="s">
        <v>6442</v>
      </c>
      <c r="CH267" s="90"/>
      <c r="CI267" s="61">
        <f>CI58+CF58+CE58+CD58</f>
        <v>432</v>
      </c>
      <c r="CJ267" s="61">
        <f>CJ58+CI58+CF58+CE58</f>
        <v>441.3</v>
      </c>
      <c r="CK267" s="61">
        <f>CK58+CJ58+CI58+CF58</f>
        <v>458.6</v>
      </c>
      <c r="CL267" s="62">
        <f>CL58+CK58+CJ58+CI58</f>
        <v>468.79999999999995</v>
      </c>
      <c r="CM267" s="62" t="s">
        <v>6442</v>
      </c>
      <c r="CN267" s="90"/>
      <c r="CO267" s="61">
        <f>CO58+CL58+CK58+CJ58</f>
        <v>477.6</v>
      </c>
      <c r="CP267" s="61">
        <f>CP58+CO58+CL58+CK58</f>
        <v>494.9</v>
      </c>
      <c r="CQ267" s="61">
        <f>CQ58+CP58+CO58+CL58</f>
        <v>510.09999999999991</v>
      </c>
      <c r="CR267" s="62">
        <f>CR58+CQ58+CP58+CO58</f>
        <v>528.39999999999986</v>
      </c>
      <c r="CS267" s="62" t="s">
        <v>6442</v>
      </c>
      <c r="CT267" s="90"/>
      <c r="CU267" s="61">
        <f>CU58+CR58+CQ58+CP58</f>
        <v>542.29999999999995</v>
      </c>
      <c r="CV267" s="61">
        <f>CV58+CU58+CR58+CQ58</f>
        <v>547.4</v>
      </c>
      <c r="CW267" s="61">
        <f>CW58+CV58+CU58+CR58</f>
        <v>540.6</v>
      </c>
      <c r="CX267" s="62">
        <f>CX58+CW58+CV58+CU58</f>
        <v>538.80000000000007</v>
      </c>
      <c r="CY267" s="62" t="s">
        <v>6442</v>
      </c>
      <c r="CZ267" s="90"/>
      <c r="DA267" s="61">
        <f>DA58+CX58+CW58+CV58</f>
        <v>537.1</v>
      </c>
      <c r="DB267" s="61">
        <f>DB58+DA58+CX58+CW58</f>
        <v>541.30000000000007</v>
      </c>
      <c r="DC267" s="61">
        <f>DC58+DB58+DA58+CX58</f>
        <v>554.6</v>
      </c>
      <c r="DD267" s="62">
        <f>DD58+DC58+DB58+DA58</f>
        <v>567.4</v>
      </c>
      <c r="DE267" s="62" t="s">
        <v>6442</v>
      </c>
      <c r="DF267" s="90"/>
      <c r="DG267" s="61">
        <f>DG58+DD58+DC58+DB58</f>
        <v>587.1</v>
      </c>
      <c r="DH267" s="61">
        <f>DH58+DG58+DD58+DC58</f>
        <v>614</v>
      </c>
      <c r="DI267" s="61">
        <f>DI58+DH58+DG58+DD58</f>
        <v>644.40000000000009</v>
      </c>
      <c r="DJ267" s="62">
        <f>DJ58+DI58+DH58+DG58</f>
        <v>669.2</v>
      </c>
      <c r="DK267" s="62" t="s">
        <v>6442</v>
      </c>
      <c r="DL267" s="90"/>
      <c r="DM267" s="61">
        <f>DM58+DJ58+DI58+DH58</f>
        <v>686.50000000000011</v>
      </c>
      <c r="DN267" s="61">
        <f>DN58+DM58+DJ58+DI58</f>
        <v>699.2</v>
      </c>
      <c r="DO267" s="61">
        <f>DO58+DN58+DM58+DJ58</f>
        <v>710.40000000000009</v>
      </c>
      <c r="DP267" s="62">
        <f>DP58+DO58+DN58+DM58</f>
        <v>719.59999999999991</v>
      </c>
      <c r="DQ267" s="62" t="s">
        <v>6442</v>
      </c>
      <c r="DR267" s="90"/>
      <c r="DS267" s="61">
        <f>DS58+DP58+DO58+DN58</f>
        <v>717.3</v>
      </c>
      <c r="DT267" s="61">
        <f>DT58+DS58+DP58+DO58</f>
        <v>711.8</v>
      </c>
      <c r="DU267" s="61">
        <f>DU58+DT58+DS58+DP58</f>
        <v>703.1</v>
      </c>
      <c r="DV267" s="62">
        <f>DV58+DU58+DT58+DS58</f>
        <v>684.8</v>
      </c>
      <c r="DW267" s="62" t="s">
        <v>6442</v>
      </c>
      <c r="DX267" s="90"/>
      <c r="DY267" s="61">
        <f>DY58+DV58+DU58+DT58</f>
        <v>676.7</v>
      </c>
      <c r="DZ267" s="61">
        <f>DZ58+DY58+DV58+DU58</f>
        <v>677.3</v>
      </c>
      <c r="EA267" s="61">
        <f>EA58+DZ58+DY58+DV58</f>
        <v>677.3</v>
      </c>
      <c r="EB267" s="62">
        <f>EB58+EA58+DZ58+DY58</f>
        <v>672.6</v>
      </c>
      <c r="EC267" s="62" t="s">
        <v>6442</v>
      </c>
      <c r="ED267" s="90"/>
      <c r="EE267" s="61">
        <f>EE58+EB58+EA58+DZ58</f>
        <v>680.21417714111408</v>
      </c>
      <c r="EF267" s="61">
        <f>EF58+EE58+EB58+EA58</f>
        <v>682.53986164138735</v>
      </c>
      <c r="EG267" s="61">
        <f>EG58+EF58+EE58+EB58</f>
        <v>684.5194753387641</v>
      </c>
      <c r="EH267" s="62">
        <f>EH58+EG58+EF58+EE58</f>
        <v>695.07565293267407</v>
      </c>
      <c r="EI267" s="62" t="s">
        <v>6442</v>
      </c>
      <c r="EJ267" s="90"/>
      <c r="EK267" s="61">
        <f>EK58+EH58+EG58+EF58</f>
        <v>695.55410371924415</v>
      </c>
      <c r="EL267" s="61">
        <f>EL58+EK58+EH58+EG58</f>
        <v>692.44920093879216</v>
      </c>
      <c r="EM267" s="61">
        <f>EM58+EL58+EK58+EH58</f>
        <v>694.44620088093427</v>
      </c>
      <c r="EN267" s="62">
        <f>EN58+EM58+EL58+EK58</f>
        <v>702.56393482551766</v>
      </c>
      <c r="EO267" s="62" t="s">
        <v>6442</v>
      </c>
      <c r="EP267" s="90"/>
      <c r="EQ267" s="61">
        <f>EQ58+EN58+EM58+EL58</f>
        <v>714.47022300613094</v>
      </c>
      <c r="ER267" s="61">
        <f>ER58+EQ58+EN58+EM58</f>
        <v>728.50846258653633</v>
      </c>
      <c r="ES267" s="61">
        <f>ES58+ER58+EQ58+EN58</f>
        <v>739.71407154024519</v>
      </c>
      <c r="ET267" s="62">
        <f>ET58+ES58+ER58+EQ58</f>
        <v>748.22561340108962</v>
      </c>
      <c r="EU267" s="62" t="s">
        <v>6442</v>
      </c>
      <c r="EV267" s="90"/>
    </row>
    <row r="268" spans="1:152" ht="12.75" hidden="1" customHeight="1" outlineLevel="1">
      <c r="A268" s="90" t="s">
        <v>4756</v>
      </c>
      <c r="B268" s="520" t="s">
        <v>2328</v>
      </c>
      <c r="C268" s="108"/>
      <c r="D268" s="108"/>
      <c r="E268" s="108"/>
      <c r="F268" s="109"/>
      <c r="G268" s="109"/>
      <c r="H268" s="108"/>
      <c r="I268" s="108">
        <f>I107+F107+E107+D107</f>
        <v>0.18070000000000003</v>
      </c>
      <c r="J268" s="108">
        <f>J107+I107+F107+E107</f>
        <v>0.20709</v>
      </c>
      <c r="K268" s="108">
        <f>K107+J107+I107+F107</f>
        <v>0.28119</v>
      </c>
      <c r="L268" s="109">
        <f>L107+K107+J107+I107</f>
        <v>0.40682999999999997</v>
      </c>
      <c r="M268" s="109" t="s">
        <v>6442</v>
      </c>
      <c r="N268" s="108"/>
      <c r="O268" s="108">
        <f>O107+L107+K107+J107</f>
        <v>0.51136999999999999</v>
      </c>
      <c r="P268" s="108">
        <f>P107+O107+L107+K107</f>
        <v>0.57329999999999992</v>
      </c>
      <c r="Q268" s="108">
        <f>Q107+P107+O107+L107</f>
        <v>0.56275999999999993</v>
      </c>
      <c r="R268" s="109">
        <f>R107+Q107+P107+O107</f>
        <v>0.52468999999999999</v>
      </c>
      <c r="S268" s="109" t="s">
        <v>6442</v>
      </c>
      <c r="T268" s="108"/>
      <c r="U268" s="108">
        <f>U107+R107+Q107+P107</f>
        <v>0.42369999999999997</v>
      </c>
      <c r="V268" s="108">
        <f>V107+U107+R107+Q107</f>
        <v>0.28593000000000002</v>
      </c>
      <c r="W268" s="108">
        <f>W107+V107+U107+R107</f>
        <v>0.24944</v>
      </c>
      <c r="X268" s="109">
        <f>X107+W107+V107+U107</f>
        <v>0.24809</v>
      </c>
      <c r="Y268" s="109" t="s">
        <v>6442</v>
      </c>
      <c r="Z268" s="108"/>
      <c r="AA268" s="108">
        <f>AA107+X107+W107+V107</f>
        <v>0.33017000000000002</v>
      </c>
      <c r="AB268" s="108">
        <f>AB107+AA107+X107+W107</f>
        <v>0.41425000000000001</v>
      </c>
      <c r="AC268" s="108">
        <f>AC107+AB107+AA107+X107</f>
        <v>0.44216999999999995</v>
      </c>
      <c r="AD268" s="109">
        <f>AD107+AC107+AB107+AA107</f>
        <v>0.46616000000000002</v>
      </c>
      <c r="AE268" s="109" t="s">
        <v>6442</v>
      </c>
      <c r="AF268" s="108"/>
      <c r="AG268" s="108">
        <f>AG107+AD107+AC107+AB107</f>
        <v>0.4874</v>
      </c>
      <c r="AH268" s="108">
        <f>AH107+AG107+AD107+AC107</f>
        <v>0.51319999999999999</v>
      </c>
      <c r="AI268" s="108">
        <f>AI107+AH107+AG107+AD107</f>
        <v>0.51007999999999998</v>
      </c>
      <c r="AJ268" s="109">
        <f>AJ107+AI107+AH107+AG107</f>
        <v>0.52910000000000001</v>
      </c>
      <c r="AK268" s="109" t="s">
        <v>6442</v>
      </c>
      <c r="AL268" s="108"/>
      <c r="AM268" s="108">
        <f>AM107+AJ107+AI107+AH107</f>
        <v>0.46639999999999998</v>
      </c>
      <c r="AN268" s="108">
        <f>AN107+AM107+AJ107+AI107</f>
        <v>0.39673999999999998</v>
      </c>
      <c r="AO268" s="108">
        <f>AO107+AN107+AM107+AJ107</f>
        <v>0.32957999999999998</v>
      </c>
      <c r="AP268" s="109">
        <f>AP107+AO107+AN107+AM107</f>
        <v>0.20254</v>
      </c>
      <c r="AQ268" s="109" t="s">
        <v>6442</v>
      </c>
      <c r="AR268" s="108"/>
      <c r="AS268" s="108">
        <f>AS107+AP107+AO107+AN107</f>
        <v>0.15660999999999997</v>
      </c>
      <c r="AT268" s="108">
        <f>AT107+AS107+AP107+AO107</f>
        <v>0.15024999999999999</v>
      </c>
      <c r="AU268" s="108">
        <f>AU107+AT107+AS107+AP107</f>
        <v>0.22378999999999999</v>
      </c>
      <c r="AV268" s="109">
        <f>AV107+AU107+AT107+AS107</f>
        <v>0.41021000000000007</v>
      </c>
      <c r="AW268" s="109" t="s">
        <v>6442</v>
      </c>
      <c r="AX268" s="108"/>
      <c r="AY268" s="108">
        <f>AY107+AV107+AU107+AT107</f>
        <v>0.59428999999999998</v>
      </c>
      <c r="AZ268" s="108">
        <f>AZ107+AY107+AV107+AU107</f>
        <v>0.71927999999999992</v>
      </c>
      <c r="BA268" s="108">
        <f>BA107+AZ107+AY107+AV107</f>
        <v>0.81499999999999995</v>
      </c>
      <c r="BB268" s="109">
        <f>BB107+BA107+AZ107+AY107</f>
        <v>0.89421000000000006</v>
      </c>
      <c r="BC268" s="109" t="s">
        <v>6442</v>
      </c>
      <c r="BD268" s="108"/>
      <c r="BE268" s="108">
        <f>BE107+BB107+BA107+AZ107</f>
        <v>0.98711000000000004</v>
      </c>
      <c r="BF268" s="108">
        <f>BF107+BE107+BB107+BA107</f>
        <v>1.1075900000000001</v>
      </c>
      <c r="BG268" s="108">
        <f>BG107+BF107+BE107+BB107</f>
        <v>1.2295</v>
      </c>
      <c r="BH268" s="109">
        <f>BH107+BG107+BF107+BE107</f>
        <v>1.3023800000000001</v>
      </c>
      <c r="BI268" s="109" t="s">
        <v>6442</v>
      </c>
      <c r="BJ268" s="108"/>
      <c r="BK268" s="108">
        <f>BK107+BH107+BG107+BF107</f>
        <v>1.3162100000000001</v>
      </c>
      <c r="BL268" s="108">
        <f>BL107+BK107+BH107+BG107</f>
        <v>1.4050199999999999</v>
      </c>
      <c r="BM268" s="108">
        <f>BM107+BL107+BK107+BH107</f>
        <v>1.4431</v>
      </c>
      <c r="BN268" s="109">
        <f>BN107+BM107+BL107+BK107</f>
        <v>1.5291100000000002</v>
      </c>
      <c r="BO268" s="109" t="s">
        <v>6442</v>
      </c>
      <c r="BP268" s="108"/>
      <c r="BQ268" s="108">
        <f>BQ107+BN107+BM107+BL107</f>
        <v>1.6409500000000001</v>
      </c>
      <c r="BR268" s="108">
        <f>BR107+BQ107+BN107+BM107</f>
        <v>1.6934200000000001</v>
      </c>
      <c r="BS268" s="108">
        <f>BS107+BR107+BQ107+BN107</f>
        <v>1.82413</v>
      </c>
      <c r="BT268" s="109">
        <f>BT107+BS107+BR107+BQ107</f>
        <v>1.88368</v>
      </c>
      <c r="BU268" s="109" t="s">
        <v>6442</v>
      </c>
      <c r="BV268" s="108"/>
      <c r="BW268" s="108">
        <f>BW107+BT107+BS107+BR107</f>
        <v>1.9511599999999998</v>
      </c>
      <c r="BX268" s="108">
        <f>BX107+BW107+BT107+BS107</f>
        <v>2.0713200000000001</v>
      </c>
      <c r="BY268" s="108">
        <f>BY107+BX107+BW107+BT107</f>
        <v>2.1501399999999999</v>
      </c>
      <c r="BZ268" s="109">
        <f>BZ107+BY107+BX107+BW107</f>
        <v>1.9381899999999999</v>
      </c>
      <c r="CA268" s="109" t="s">
        <v>6442</v>
      </c>
      <c r="CB268" s="108"/>
      <c r="CC268" s="108">
        <f>CC107+BZ107+BY107+BX107</f>
        <v>1.6177800000000002</v>
      </c>
      <c r="CD268" s="108">
        <f>CD107+CC107+BZ107+BY107</f>
        <v>1.2979799999999999</v>
      </c>
      <c r="CE268" s="108">
        <f>CE107+CD107+CC107+BZ107</f>
        <v>1.00363</v>
      </c>
      <c r="CF268" s="109">
        <f>CF107+CE107+CD107+CC107</f>
        <v>0.99652000000000007</v>
      </c>
      <c r="CG268" s="109" t="s">
        <v>6442</v>
      </c>
      <c r="CH268" s="108"/>
      <c r="CI268" s="108">
        <f>CI107+CF107+CE107+CD107</f>
        <v>1.10229</v>
      </c>
      <c r="CJ268" s="108">
        <f>CJ107+CI107+CF107+CE107</f>
        <v>1.22177</v>
      </c>
      <c r="CK268" s="108">
        <f>CK107+CJ107+CI107+CF107</f>
        <v>1.2746</v>
      </c>
      <c r="CL268" s="109">
        <f>CL107+CK107+CJ107+CI107</f>
        <v>1.3267700000000002</v>
      </c>
      <c r="CM268" s="109" t="s">
        <v>6442</v>
      </c>
      <c r="CN268" s="108"/>
      <c r="CO268" s="108">
        <f>CO107+CL107+CK107+CJ107</f>
        <v>1.4333800000000001</v>
      </c>
      <c r="CP268" s="108">
        <f>CP107+CO107+CL107+CK107</f>
        <v>1.5072700000000001</v>
      </c>
      <c r="CQ268" s="108">
        <f>CQ107+CP107+CO107+CL107</f>
        <v>1.6271199999999999</v>
      </c>
      <c r="CR268" s="109">
        <f>CR107+CQ107+CP107+CO107</f>
        <v>1.73353</v>
      </c>
      <c r="CS268" s="109" t="s">
        <v>6442</v>
      </c>
      <c r="CT268" s="108"/>
      <c r="CU268" s="108">
        <f>CU107+CR107+CQ107+CP107</f>
        <v>1.8078000000000003</v>
      </c>
      <c r="CV268" s="108">
        <f>CV107+CU107+CR107+CQ107</f>
        <v>1.85032</v>
      </c>
      <c r="CW268" s="108">
        <f>CW107+CV107+CU107+CR107</f>
        <v>1.8754300000000002</v>
      </c>
      <c r="CX268" s="109">
        <f>CX107+CW107+CV107+CU107</f>
        <v>1.9436799999999999</v>
      </c>
      <c r="CY268" s="109" t="s">
        <v>6442</v>
      </c>
      <c r="CZ268" s="108"/>
      <c r="DA268" s="108">
        <f>DA107+CX107+CW107+CV107</f>
        <v>1.8941899999999998</v>
      </c>
      <c r="DB268" s="108">
        <f>DB107+DA107+CX107+CW107</f>
        <v>1.8601200000000002</v>
      </c>
      <c r="DC268" s="108">
        <f>DC107+DB107+DA107+CX107</f>
        <v>1.8065800000000001</v>
      </c>
      <c r="DD268" s="109">
        <f>DD107+DC107+DB107+DA107</f>
        <v>1.6833</v>
      </c>
      <c r="DE268" s="109" t="s">
        <v>6442</v>
      </c>
      <c r="DF268" s="108"/>
      <c r="DG268" s="108">
        <f>DG107+DD107+DC107+DB107</f>
        <v>1.5819799999999999</v>
      </c>
      <c r="DH268" s="108">
        <f>DH107+DG107+DD107+DC107</f>
        <v>1.4889199999999998</v>
      </c>
      <c r="DI268" s="108">
        <f>DI107+DH107+DG107+DD107</f>
        <v>1.32402</v>
      </c>
      <c r="DJ268" s="109">
        <f>DJ107+DI107+DH107+DG107</f>
        <v>1.1739600000000001</v>
      </c>
      <c r="DK268" s="109" t="s">
        <v>6442</v>
      </c>
      <c r="DL268" s="108"/>
      <c r="DM268" s="108">
        <f>DM107+DJ107+DI107+DH107</f>
        <v>1.15354</v>
      </c>
      <c r="DN268" s="108">
        <f>DN107+DM107+DJ107+DI107</f>
        <v>0.99109000000000003</v>
      </c>
      <c r="DO268" s="108">
        <f>DO107+DN107+DM107+DJ107</f>
        <v>0.88657999999999992</v>
      </c>
      <c r="DP268" s="109">
        <f>DP107+DO107+DN107+DM107</f>
        <v>0.84243000000000001</v>
      </c>
      <c r="DQ268" s="109" t="s">
        <v>6442</v>
      </c>
      <c r="DR268" s="108"/>
      <c r="DS268" s="108">
        <f>DS107+DP107+DO107+DN107</f>
        <v>0.44172</v>
      </c>
      <c r="DT268" s="108">
        <f>DT107+DS107+DP107+DO107</f>
        <v>0.30464999999999998</v>
      </c>
      <c r="DU268" s="108">
        <f>DU107+DT107+DS107+DP107</f>
        <v>-1.5520000000000034E-2</v>
      </c>
      <c r="DV268" s="109">
        <f>DV107+DU107+DT107+DS107</f>
        <v>-0.50004000000000004</v>
      </c>
      <c r="DW268" s="109" t="s">
        <v>6442</v>
      </c>
      <c r="DX268" s="108"/>
      <c r="DY268" s="108">
        <f>DY107+DV107+DU107+DT107</f>
        <v>-0.55581000000000003</v>
      </c>
      <c r="DZ268" s="108">
        <f>DZ107+DY107+DV107+DU107</f>
        <v>-0.72394000000000003</v>
      </c>
      <c r="EA268" s="108">
        <f>EA107+DZ107+DY107+DV107</f>
        <v>-0.66871999999999998</v>
      </c>
      <c r="EB268" s="109">
        <f>EB107+EA107+DZ107+DY107</f>
        <v>-0.48410999999999998</v>
      </c>
      <c r="EC268" s="109" t="s">
        <v>6442</v>
      </c>
      <c r="ED268" s="108"/>
      <c r="EE268" s="108">
        <f>EE107+EB107+EA107+DZ107</f>
        <v>-0.28598000000000001</v>
      </c>
      <c r="EF268" s="108">
        <f>EF107+EE107+EB107+EA107</f>
        <v>4.200000000000037E-4</v>
      </c>
      <c r="EG268" s="108">
        <f>EG107+EF107+EE107+EB107</f>
        <v>0.42422000000000004</v>
      </c>
      <c r="EH268" s="109">
        <f>EH107+EG107+EF107+EE107</f>
        <v>0.92821000000000009</v>
      </c>
      <c r="EI268" s="109" t="s">
        <v>6442</v>
      </c>
      <c r="EJ268" s="108"/>
      <c r="EK268" s="108">
        <f>EK107+EH107+EG107+EF107</f>
        <v>1.43858</v>
      </c>
      <c r="EL268" s="108">
        <f>EL107+EK107+EH107+EG107</f>
        <v>2.0004400000000002</v>
      </c>
      <c r="EM268" s="108">
        <f>EM107+EL107+EK107+EH107</f>
        <v>2.5663499999999999</v>
      </c>
      <c r="EN268" s="109">
        <f>EN107+EM107+EL107+EK107</f>
        <v>3.2502</v>
      </c>
      <c r="EO268" s="109" t="s">
        <v>6442</v>
      </c>
      <c r="EP268" s="108"/>
      <c r="EQ268" s="108">
        <f>EQ107+EN107+EM107+EL107</f>
        <v>3.4132799999999999</v>
      </c>
      <c r="ER268" s="108">
        <f>ER107+EQ107+EN107+EM107</f>
        <v>3.7717299999999998</v>
      </c>
      <c r="ES268" s="108">
        <f>ES107+ER107+EQ107+EN107</f>
        <v>4.3225600000000002</v>
      </c>
      <c r="ET268" s="109">
        <f>ET107+ES107+ER107+EQ107</f>
        <v>5.1447900000000004</v>
      </c>
      <c r="EU268" s="109" t="s">
        <v>6442</v>
      </c>
      <c r="EV268" s="90"/>
    </row>
    <row r="269" spans="1:152" ht="12.75" hidden="1" customHeight="1" outlineLevel="1">
      <c r="A269" s="90" t="s">
        <v>5170</v>
      </c>
      <c r="B269" s="520" t="s">
        <v>2330</v>
      </c>
      <c r="C269" s="61"/>
      <c r="D269" s="61"/>
      <c r="E269" s="61"/>
      <c r="F269" s="61"/>
      <c r="G269" s="62"/>
      <c r="H269" s="62"/>
      <c r="I269" s="61">
        <f>CF!I113+CF!F113+CF!E113+CF!D113</f>
        <v>0</v>
      </c>
      <c r="J269" s="61">
        <f>CF!J113+CF!I113+CF!F113+CF!E113</f>
        <v>0</v>
      </c>
      <c r="K269" s="61">
        <f>CF!K113+CF!J113+CF!I113+CF!F113</f>
        <v>0</v>
      </c>
      <c r="L269" s="61">
        <f>CF!L113+CF!K113+CF!J113+CF!I113</f>
        <v>0</v>
      </c>
      <c r="M269" s="62" t="s">
        <v>6442</v>
      </c>
      <c r="N269" s="62"/>
      <c r="O269" s="61">
        <f>CF!O113+CF!L113+CF!K113+CF!J113</f>
        <v>43.260000000000026</v>
      </c>
      <c r="P269" s="61">
        <f>CF!P113+CF!O113+CF!L113+CF!K113</f>
        <v>79.031000000000034</v>
      </c>
      <c r="Q269" s="61">
        <f>CF!Q113+CF!P113+CF!O113+CF!L113</f>
        <v>108.20300000000003</v>
      </c>
      <c r="R269" s="61">
        <f>CF!R113+CF!Q113+CF!P113+CF!O113</f>
        <v>188.02200000000002</v>
      </c>
      <c r="S269" s="62" t="s">
        <v>6442</v>
      </c>
      <c r="T269" s="61"/>
      <c r="U269" s="61">
        <f>CF!U113+CF!R113+CF!Q113+CF!P113</f>
        <v>133.03900000000002</v>
      </c>
      <c r="V269" s="61">
        <f>CF!V113+CF!U113+CF!R113+CF!Q113</f>
        <v>112.82199999999999</v>
      </c>
      <c r="W269" s="61">
        <f>CF!W113+CF!V113+CF!U113+CF!R113</f>
        <v>109.51500000000001</v>
      </c>
      <c r="X269" s="61">
        <f>CF!X113+CF!W113+CF!V113+CF!U113</f>
        <v>107.92900000000002</v>
      </c>
      <c r="Y269" s="62" t="s">
        <v>6442</v>
      </c>
      <c r="Z269" s="90"/>
      <c r="AA269" s="61">
        <f>CF!AA113+CF!X113+CF!W113+CF!V113</f>
        <v>158.154</v>
      </c>
      <c r="AB269" s="61">
        <f>CF!AB113+CF!AA113+CF!X113+CF!W113</f>
        <v>196.303</v>
      </c>
      <c r="AC269" s="61">
        <f>CF!AC113+CF!AB113+CF!AA113+CF!X113</f>
        <v>206.77200000000002</v>
      </c>
      <c r="AD269" s="61">
        <f>CF!AD113+CF!AC113+CF!AB113+CF!AA113</f>
        <v>196.12000000000003</v>
      </c>
      <c r="AE269" s="62" t="s">
        <v>6442</v>
      </c>
      <c r="AF269" s="90"/>
      <c r="AG269" s="61">
        <f>CF!AG113+CF!AD113+CF!AC113+CF!AB113</f>
        <v>200.69499999999999</v>
      </c>
      <c r="AH269" s="61">
        <f>CF!AH113+CF!AG113+CF!AD113+CF!AC113</f>
        <v>200.20999999999995</v>
      </c>
      <c r="AI269" s="61">
        <f>CF!AI113+CF!AH113+CF!AG113+CF!AD113</f>
        <v>197.06699999999995</v>
      </c>
      <c r="AJ269" s="61">
        <f>CF!AJ113+CF!AI113+CF!AH113+CF!AG113</f>
        <v>210.15599999999995</v>
      </c>
      <c r="AK269" s="62" t="s">
        <v>6442</v>
      </c>
      <c r="AL269" s="90"/>
      <c r="AM269" s="61">
        <f>CF!AM113+CF!AJ113+CF!AI113+CF!AH113</f>
        <v>182.28300000000004</v>
      </c>
      <c r="AN269" s="61">
        <f>CF!AN113+CF!AM113+CF!AJ113+CF!AI113</f>
        <v>151.07500000000005</v>
      </c>
      <c r="AO269" s="61">
        <f>CF!AO113+CF!AN113+CF!AM113+CF!AJ113</f>
        <v>123.85600000000005</v>
      </c>
      <c r="AP269" s="61">
        <f>CF!AP113+CF!AO113+CF!AN113+CF!AM113</f>
        <v>85.635000000000034</v>
      </c>
      <c r="AQ269" s="62" t="s">
        <v>6442</v>
      </c>
      <c r="AR269" s="61"/>
      <c r="AS269" s="61">
        <f>CF!AS113+CF!AP113+CF!AO113+CF!AN113</f>
        <v>87.837000000000018</v>
      </c>
      <c r="AT269" s="61">
        <f>CF!AT113+CF!AS113+CF!AP113+CF!AO113</f>
        <v>95.991999999999976</v>
      </c>
      <c r="AU269" s="61">
        <f>CF!AU113+CF!AT113+CF!AS113+CF!AP113</f>
        <v>143.39899999999997</v>
      </c>
      <c r="AV269" s="61">
        <f>CF!AV113+CF!AU113+CF!AT113+CF!AS113</f>
        <v>220.08300000000003</v>
      </c>
      <c r="AW269" s="62" t="s">
        <v>6442</v>
      </c>
      <c r="AX269" s="90"/>
      <c r="AY269" s="61">
        <f>CF!AY113+CF!AV113+CF!AU113+CF!AT113</f>
        <v>257.49300000000005</v>
      </c>
      <c r="AZ269" s="61">
        <f>CF!AZ113+CF!AY113+CF!AV113+CF!AU113</f>
        <v>310.82800000000009</v>
      </c>
      <c r="BA269" s="61">
        <f>CF!BA113+CF!AZ113+CF!AY113+CF!AV113</f>
        <v>348.42700000000008</v>
      </c>
      <c r="BB269" s="61">
        <f>CF!BB113+CF!BA113+CF!AZ113+CF!AY113</f>
        <v>373.08299999999997</v>
      </c>
      <c r="BC269" s="62" t="s">
        <v>6442</v>
      </c>
      <c r="BD269" s="90"/>
      <c r="BE269" s="61">
        <f>CF!BE113+CF!BB113+CF!BA113+CF!AZ113</f>
        <v>381.57799999999986</v>
      </c>
      <c r="BF269" s="61">
        <f>CF!BF113+CF!BE113+CF!BB113+CF!BA113</f>
        <v>411.29399999999987</v>
      </c>
      <c r="BG269" s="61">
        <f>CF!BG113+CF!BF113+CF!BE113+CF!BB113</f>
        <v>445.24099999999999</v>
      </c>
      <c r="BH269" s="61">
        <f>CF!BH113+CF!BG113+CF!BF113+CF!BE113</f>
        <v>415.3</v>
      </c>
      <c r="BI269" s="62" t="s">
        <v>6442</v>
      </c>
      <c r="BJ269" s="90"/>
      <c r="BK269" s="61">
        <f>CF!BK113+CF!BH113+CF!BG113+CF!BF113</f>
        <v>442.18900000000002</v>
      </c>
      <c r="BL269" s="61">
        <f>CF!BL113+CF!BK113+CF!BH113+CF!BG113</f>
        <v>491.673</v>
      </c>
      <c r="BM269" s="61">
        <f>CF!BM113+CF!BL113+CF!BK113+CF!BH113</f>
        <v>499.64799999999997</v>
      </c>
      <c r="BN269" s="61">
        <f>CF!BN113+CF!BM113+CF!BL113+CF!BK113</f>
        <v>576.59999999999991</v>
      </c>
      <c r="BO269" s="62" t="s">
        <v>6442</v>
      </c>
      <c r="BP269" s="90"/>
      <c r="BQ269" s="61">
        <f>CF!BQ113+CF!BN113+CF!BM113+CF!BL113</f>
        <v>678</v>
      </c>
      <c r="BR269" s="61">
        <f>CF!BR113+CF!BQ113+CF!BN113+CF!BM113</f>
        <v>651.9</v>
      </c>
      <c r="BS269" s="61">
        <f>CF!BS113+CF!BR113+CF!BQ113+CF!BN113</f>
        <v>680.3</v>
      </c>
      <c r="BT269" s="61">
        <f>CF!BT113+CF!BS113+CF!BR113+CF!BQ113</f>
        <v>708.5</v>
      </c>
      <c r="BU269" s="62" t="s">
        <v>6442</v>
      </c>
      <c r="BV269" s="90"/>
      <c r="BW269" s="61">
        <f>CF!BW113+CF!BT113+CF!BS113+CF!BR113</f>
        <v>702.19999999999993</v>
      </c>
      <c r="BX269" s="61">
        <f>CF!BX113+CF!BW113+CF!BT113+CF!BS113</f>
        <v>780.59999999999991</v>
      </c>
      <c r="BY269" s="61">
        <f>CF!BY113+CF!BX113+CF!BW113+CF!BT113</f>
        <v>726.5</v>
      </c>
      <c r="BZ269" s="61">
        <f>CF!BZ113+CF!BY113+CF!BX113+CF!BW113</f>
        <v>593.88</v>
      </c>
      <c r="CA269" s="62" t="s">
        <v>6442</v>
      </c>
      <c r="CB269" s="90"/>
      <c r="CC269" s="61">
        <f>CF!CC113+CF!BZ113+CF!BY113+CF!BX113</f>
        <v>435.78</v>
      </c>
      <c r="CD269" s="61">
        <f>CF!CD113+CF!CC113+CF!BZ113+CF!BY113</f>
        <v>268.08</v>
      </c>
      <c r="CE269" s="61">
        <f>CF!CE113+CF!CD113+CF!CC113+CF!BZ113</f>
        <v>207.58</v>
      </c>
      <c r="CF269" s="61">
        <f>CF!CF113+CF!CE113+CF!CD113+CF!CC113</f>
        <v>246.79999999999998</v>
      </c>
      <c r="CG269" s="62" t="s">
        <v>6442</v>
      </c>
      <c r="CH269" s="90"/>
      <c r="CI269" s="61">
        <f>CF!CI113+CF!CF113+CF!CE113+CF!CD113</f>
        <v>358.69999999999993</v>
      </c>
      <c r="CJ269" s="61">
        <f>CF!CJ113+CF!CI113+CF!CF113+CF!CE113</f>
        <v>422.9</v>
      </c>
      <c r="CK269" s="61">
        <f>CF!CK113+CF!CJ113+CF!CI113+CF!CF113</f>
        <v>490.49999999999994</v>
      </c>
      <c r="CL269" s="61">
        <f>CF!CL113+CF!CK113+CF!CJ113+CF!CI113</f>
        <v>540.80000000000007</v>
      </c>
      <c r="CM269" s="62" t="s">
        <v>6442</v>
      </c>
      <c r="CN269" s="90"/>
      <c r="CO269" s="61">
        <f>CF!CO113+CF!CL113+CF!CK113+CF!CJ113</f>
        <v>530.1</v>
      </c>
      <c r="CP269" s="61">
        <f>CF!CP113+CF!CO113+CF!CL113+CF!CK113</f>
        <v>550.80000000000007</v>
      </c>
      <c r="CQ269" s="61">
        <f>CF!CQ113+CF!CP113+CF!CO113+CF!CL113</f>
        <v>574.20000000000005</v>
      </c>
      <c r="CR269" s="61">
        <f>CF!CR113+CF!CQ113+CF!CP113+CF!CO113</f>
        <v>573.5</v>
      </c>
      <c r="CS269" s="62" t="s">
        <v>6442</v>
      </c>
      <c r="CT269" s="90"/>
      <c r="CU269" s="61">
        <f>CF!CU113+CF!CR113+CF!CQ113+CF!CP113</f>
        <v>584.40000000000009</v>
      </c>
      <c r="CV269" s="61">
        <f>CF!CV113+CF!CU113+CF!CR113+CF!CQ113</f>
        <v>559.29999999999995</v>
      </c>
      <c r="CW269" s="61">
        <f>CF!CW113+CF!CV113+CF!CU113+CF!CR113</f>
        <v>578.70000000000005</v>
      </c>
      <c r="CX269" s="61">
        <f>CF!CX113+CF!CW113+CF!CV113+CF!CU113</f>
        <v>559.1</v>
      </c>
      <c r="CY269" s="62" t="s">
        <v>6442</v>
      </c>
      <c r="CZ269" s="90"/>
      <c r="DA269" s="61">
        <f>CF!DA113+CF!CX113+CF!CW113+CF!CV113</f>
        <v>643.90000000000009</v>
      </c>
      <c r="DB269" s="61">
        <f>CF!DB113+CF!DA113+CF!CX113+CF!CW113</f>
        <v>602.1</v>
      </c>
      <c r="DC269" s="61">
        <f>CF!DC113+CF!DB113+CF!DA113+CF!CX113</f>
        <v>535.60000000000014</v>
      </c>
      <c r="DD269" s="61">
        <f>CF!DD113+CF!DC113+CF!DB113+CF!DA113</f>
        <v>563.5</v>
      </c>
      <c r="DE269" s="62" t="s">
        <v>6442</v>
      </c>
      <c r="DF269" s="90"/>
      <c r="DG269" s="61">
        <f>CF!DG113+CF!DD113+CF!DC113+CF!DB113</f>
        <v>558.1</v>
      </c>
      <c r="DH269" s="61">
        <f>CF!DH113+CF!DG113+CF!DD113+CF!DC113</f>
        <v>589.00000000000011</v>
      </c>
      <c r="DI269" s="61">
        <f>CF!DI113+CF!DH113+CF!DG113+CF!DD113</f>
        <v>634.40000000000009</v>
      </c>
      <c r="DJ269" s="61">
        <f>CF!DJ113+CF!DI113+CF!DH113+CF!DG113</f>
        <v>708.10000000000014</v>
      </c>
      <c r="DK269" s="62" t="s">
        <v>6442</v>
      </c>
      <c r="DL269" s="90"/>
      <c r="DM269" s="61">
        <f>CF!DM113+CF!DJ113+CF!DI113+CF!DH113</f>
        <v>575.90000000000009</v>
      </c>
      <c r="DN269" s="61">
        <f>CF!DN113+CF!DM113+CF!DJ113+CF!DI113</f>
        <v>556.90000000000009</v>
      </c>
      <c r="DO269" s="61">
        <f>CF!DO113+CF!DN113+CF!DM113+CF!DJ113</f>
        <v>501.3</v>
      </c>
      <c r="DP269" s="61">
        <f>CF!DP113+CF!DO113+CF!DN113+CF!DM113</f>
        <v>414</v>
      </c>
      <c r="DQ269" s="62" t="s">
        <v>6442</v>
      </c>
      <c r="DR269" s="90"/>
      <c r="DS269" s="61">
        <f>CF!DS113+CF!DP113+CF!DO113+CF!DN113</f>
        <v>491.8</v>
      </c>
      <c r="DT269" s="61">
        <f>CF!DT113+CF!DS113+CF!DP113+CF!DO113</f>
        <v>396.70000000000005</v>
      </c>
      <c r="DU269" s="61">
        <f>CF!DU113+CF!DT113+CF!DS113+CF!DP113</f>
        <v>324.00000000000011</v>
      </c>
      <c r="DV269" s="61">
        <f>CF!DV113+CF!DU113+CF!DT113+CF!DS113</f>
        <v>169.70000000000002</v>
      </c>
      <c r="DW269" s="62" t="s">
        <v>6442</v>
      </c>
      <c r="DX269" s="90"/>
      <c r="DY269" s="61">
        <f>CF!DY113+CF!DV113+CF!DU113+CF!DT113</f>
        <v>50.60000000000003</v>
      </c>
      <c r="DZ269" s="61">
        <f>CF!DZ113+CF!DY113+CF!DV113+CF!DU113</f>
        <v>-4.0000000000000711</v>
      </c>
      <c r="EA269" s="61">
        <f>CF!EA113+CF!DZ113+CF!DY113+CF!DV113</f>
        <v>-62.700000000000045</v>
      </c>
      <c r="EB269" s="61">
        <f>CF!EB113+CF!EA113+CF!DZ113+CF!DY113</f>
        <v>0.90000000000003411</v>
      </c>
      <c r="EC269" s="62" t="s">
        <v>6442</v>
      </c>
      <c r="ED269" s="90"/>
      <c r="EE269" s="61">
        <f>CF!EE113+CF!EB113+CF!EA113+CF!DZ113</f>
        <v>-8.6093163075035193</v>
      </c>
      <c r="EF269" s="61">
        <f>CF!EF113+CF!EE113+CF!EB113+CF!EA113</f>
        <v>146.9227004229156</v>
      </c>
      <c r="EG269" s="61">
        <f>CF!EG113+CF!EF113+CF!EE113+CF!EB113</f>
        <v>256.07154403453825</v>
      </c>
      <c r="EH269" s="61">
        <f>CF!EH113+CF!EG113+CF!EF113+CF!EE113</f>
        <v>587.31542166364204</v>
      </c>
      <c r="EI269" s="62" t="s">
        <v>6442</v>
      </c>
      <c r="EJ269" s="90"/>
      <c r="EK269" s="61">
        <f>CF!EK113+CF!EH113+CF!EG113+CF!EF113</f>
        <v>553.28197522223797</v>
      </c>
      <c r="EL269" s="61">
        <f>CF!EL113+CF!EK113+CF!EH113+CF!EG113</f>
        <v>720.5178098743736</v>
      </c>
      <c r="EM269" s="61">
        <f>CF!EM113+CF!EL113+CF!EK113+CF!EH113</f>
        <v>891.29101631387459</v>
      </c>
      <c r="EN269" s="61">
        <f>CF!EN113+CF!EM113+CF!EL113+CF!EK113</f>
        <v>1168.95575427527</v>
      </c>
      <c r="EO269" s="62" t="s">
        <v>6442</v>
      </c>
      <c r="EP269" s="90"/>
      <c r="EQ269" s="61">
        <f>CF!EQ113+CF!EN113+CF!EM113+CF!EL113</f>
        <v>1336.0588925320235</v>
      </c>
      <c r="ER269" s="61">
        <f>CF!ER113+CF!EQ113+CF!EN113+CF!EM113</f>
        <v>1415.9091076562049</v>
      </c>
      <c r="ES269" s="61">
        <f>CF!ES113+CF!ER113+CF!EQ113+CF!EN113</f>
        <v>1460.6759563238338</v>
      </c>
      <c r="ET269" s="61">
        <f>CF!ET113+CF!ES113+CF!ER113+CF!EQ113</f>
        <v>1458.2209260272252</v>
      </c>
      <c r="EU269" s="62" t="s">
        <v>6442</v>
      </c>
      <c r="EV269" s="90"/>
    </row>
    <row r="270" spans="1:152" ht="12.75" hidden="1" customHeight="1" outlineLevel="1">
      <c r="A270" s="90" t="s">
        <v>1086</v>
      </c>
      <c r="B270" s="520" t="s">
        <v>1087</v>
      </c>
      <c r="C270" s="61"/>
      <c r="D270" s="61"/>
      <c r="E270" s="61"/>
      <c r="F270" s="61"/>
      <c r="G270" s="62"/>
      <c r="H270" s="62"/>
      <c r="I270" s="61"/>
      <c r="J270" s="61"/>
      <c r="K270" s="61"/>
      <c r="L270" s="61"/>
      <c r="M270" s="62"/>
      <c r="N270" s="62"/>
      <c r="O270" s="61"/>
      <c r="P270" s="61"/>
      <c r="Q270" s="61"/>
      <c r="R270" s="61">
        <f>SUM(O286:R286)</f>
        <v>145.21300000000002</v>
      </c>
      <c r="S270" s="62" t="s">
        <v>6442</v>
      </c>
      <c r="T270" s="61"/>
      <c r="U270" s="61">
        <f>SUM(U286,P286:R286)</f>
        <v>94.970000000000013</v>
      </c>
      <c r="V270" s="61">
        <f>SUM(U286:V286,Q286:R286)</f>
        <v>71.177999999999997</v>
      </c>
      <c r="W270" s="61">
        <f>SUM(U286:W286,R286)</f>
        <v>67.807000000000002</v>
      </c>
      <c r="X270" s="61">
        <f>SUM(U286:X286)</f>
        <v>92.997000000000014</v>
      </c>
      <c r="Y270" s="62" t="s">
        <v>6442</v>
      </c>
      <c r="Z270" s="90"/>
      <c r="AA270" s="61">
        <f>SUM(AA286,V286:X286)</f>
        <v>136.28899999999999</v>
      </c>
      <c r="AB270" s="61">
        <f>SUM(AA286:AB286,W286:X286)</f>
        <v>176.95100000000002</v>
      </c>
      <c r="AC270" s="61">
        <f>SUM(AA286:AC286,X286)</f>
        <v>183.32400000000001</v>
      </c>
      <c r="AD270" s="61">
        <f>SUM(AA286:AD286)</f>
        <v>163.70800000000003</v>
      </c>
      <c r="AE270" s="62" t="s">
        <v>6442</v>
      </c>
      <c r="AF270" s="90"/>
      <c r="AG270" s="61">
        <f>SUM(AG286,AB286:AD286)</f>
        <v>165.58500000000001</v>
      </c>
      <c r="AH270" s="61">
        <f>SUM(AG286:AH286,AC286:AD286)</f>
        <v>159.76599999999996</v>
      </c>
      <c r="AI270" s="61">
        <f>SUM(AG286:AI286,AD286)</f>
        <v>152.85999999999993</v>
      </c>
      <c r="AJ270" s="61">
        <f>SUM(AG286:AJ286)</f>
        <v>165.08799999999997</v>
      </c>
      <c r="AK270" s="62" t="s">
        <v>6442</v>
      </c>
      <c r="AL270" s="90"/>
      <c r="AM270" s="61">
        <f>SUM(AM286,AH286:AJ286)</f>
        <v>140.49300000000005</v>
      </c>
      <c r="AN270" s="61">
        <f>SUM(AM286:AN286,AI286:AJ286)</f>
        <v>109.75100000000006</v>
      </c>
      <c r="AO270" s="61">
        <f>SUM(AM286:AO286,AJ286)</f>
        <v>86.489000000000061</v>
      </c>
      <c r="AP270" s="61">
        <f>SUM(AM286:AP286)</f>
        <v>49.532000000000025</v>
      </c>
      <c r="AQ270" s="62" t="s">
        <v>6442</v>
      </c>
      <c r="AR270" s="61"/>
      <c r="AS270" s="61">
        <f>SUM(AS286,AN286:AP286)</f>
        <v>57.552000000000007</v>
      </c>
      <c r="AT270" s="61">
        <f>SUM(AS286:AT286,AO286:AP286)</f>
        <v>68.57699999999997</v>
      </c>
      <c r="AU270" s="61">
        <f>SUM(AS286:AU286,AP286)</f>
        <v>117.58499999999998</v>
      </c>
      <c r="AV270" s="61">
        <f>SUM(AS286:AV286)</f>
        <v>194.23100000000005</v>
      </c>
      <c r="AW270" s="62" t="s">
        <v>6442</v>
      </c>
      <c r="AX270" s="90"/>
      <c r="AY270" s="61">
        <f>SUM(AY286,AT286:AV286)</f>
        <v>229.82400000000007</v>
      </c>
      <c r="AZ270" s="61">
        <f>SUM(AY286:AZ286,AU286:AV286)</f>
        <v>283.14100000000008</v>
      </c>
      <c r="BA270" s="61">
        <f>SUM(AY286:BA286,AV286)</f>
        <v>311.9910000000001</v>
      </c>
      <c r="BB270" s="61">
        <f>SUM(AY286:BB286)</f>
        <v>332.28300000000002</v>
      </c>
      <c r="BC270" s="62" t="s">
        <v>6442</v>
      </c>
      <c r="BD270" s="90"/>
      <c r="BE270" s="61">
        <f>SUM(BE286,AZ286:BB286)</f>
        <v>341.17799999999988</v>
      </c>
      <c r="BF270" s="61">
        <f>SUM(BE286:BF286,BA286:BB286)</f>
        <v>376.29399999999987</v>
      </c>
      <c r="BG270" s="61">
        <f>SUM(BE286:BG286,BB286)</f>
        <v>418.44099999999992</v>
      </c>
      <c r="BH270" s="61">
        <f>SUM(BE286:BH286)</f>
        <v>394.79999999999995</v>
      </c>
      <c r="BI270" s="62" t="s">
        <v>6442</v>
      </c>
      <c r="BJ270" s="90"/>
      <c r="BK270" s="61">
        <f>SUM(BK286,BF286:BH286)</f>
        <v>415.78899999999999</v>
      </c>
      <c r="BL270" s="61">
        <f>SUM(BK286:BL286,BG286:BH286)</f>
        <v>462.673</v>
      </c>
      <c r="BM270" s="61">
        <f>SUM(BK286:BM286,BH286)</f>
        <v>469.04799999999994</v>
      </c>
      <c r="BN270" s="61">
        <f>SUM(BK286:BN286)</f>
        <v>541.29999999999984</v>
      </c>
      <c r="BO270" s="62" t="s">
        <v>6442</v>
      </c>
      <c r="BP270" s="90"/>
      <c r="BQ270" s="61">
        <f>SUM(BQ286,BL286:BN286)</f>
        <v>647.29999999999995</v>
      </c>
      <c r="BR270" s="61">
        <f>SUM(BQ286:BR286,BM286:BN286)</f>
        <v>616.79999999999995</v>
      </c>
      <c r="BS270" s="61">
        <f>SUM(BQ286:BS286,BN286)</f>
        <v>641.29999999999995</v>
      </c>
      <c r="BT270" s="61">
        <f>SUM(BQ286:BT286)</f>
        <v>665.19999999999993</v>
      </c>
      <c r="BU270" s="62" t="s">
        <v>6442</v>
      </c>
      <c r="BV270" s="90"/>
      <c r="BW270" s="61">
        <f>SUM(BW286,BR286:BT286)</f>
        <v>652.29999999999995</v>
      </c>
      <c r="BX270" s="61">
        <f>SUM(BW286:BX286,BS286:BT286)</f>
        <v>715.59999999999991</v>
      </c>
      <c r="BY270" s="61">
        <f>SUM(BW286:BY286,BT286)</f>
        <v>653.19999999999993</v>
      </c>
      <c r="BZ270" s="61">
        <f>SUM(BW286:BZ286)</f>
        <v>515.48</v>
      </c>
      <c r="CA270" s="62" t="s">
        <v>6442</v>
      </c>
      <c r="CB270" s="90"/>
      <c r="CC270" s="61">
        <f>SUM(CC286,BX286:BZ286)</f>
        <v>357.18000000000006</v>
      </c>
      <c r="CD270" s="61">
        <f>SUM(CC286:CD286,BY286:BZ286)</f>
        <v>205.27999999999997</v>
      </c>
      <c r="CE270" s="61">
        <f>SUM(CC286:CE286,BZ286)</f>
        <v>158.08000000000001</v>
      </c>
      <c r="CF270" s="61">
        <f>SUM(CC286:CF286)</f>
        <v>207.79999999999998</v>
      </c>
      <c r="CG270" s="62" t="s">
        <v>6442</v>
      </c>
      <c r="CH270" s="90"/>
      <c r="CI270" s="61">
        <f>SUM(CI286,CD286:CF286)</f>
        <v>327.5</v>
      </c>
      <c r="CJ270" s="61">
        <f>SUM(CI286:CJ286,CE286:CF286)</f>
        <v>397.09999999999991</v>
      </c>
      <c r="CK270" s="61">
        <f>SUM(CI286:CK286,CF286)</f>
        <v>463.59999999999991</v>
      </c>
      <c r="CL270" s="61">
        <f>SUM(CI286:CL286)</f>
        <v>512.5</v>
      </c>
      <c r="CM270" s="62" t="s">
        <v>6442</v>
      </c>
      <c r="CN270" s="90"/>
      <c r="CO270" s="61">
        <f>SUM(CO286,CJ286:CL286)</f>
        <v>484.20000000000005</v>
      </c>
      <c r="CP270" s="61">
        <f>SUM(CO286:CP286,CK286:CL286)</f>
        <v>493.80000000000007</v>
      </c>
      <c r="CQ270" s="61">
        <f>SUM(CO286:CQ286,CL286)</f>
        <v>515.30000000000007</v>
      </c>
      <c r="CR270" s="61">
        <f>SUM(CO286:CR286)</f>
        <v>510.5</v>
      </c>
      <c r="CS270" s="62" t="s">
        <v>6442</v>
      </c>
      <c r="CT270" s="90"/>
      <c r="CU270" s="61">
        <f>SUM(CU286,CP286:CR286)</f>
        <v>533.29999999999995</v>
      </c>
      <c r="CV270" s="61">
        <f>SUM(CU286:CV286,CQ286:CR286)</f>
        <v>507.9</v>
      </c>
      <c r="CW270" s="61">
        <f>SUM(CU286:CW286,CR286)</f>
        <v>519.70000000000005</v>
      </c>
      <c r="CX270" s="61">
        <f>SUM(CU286:CX286)</f>
        <v>502.70000000000005</v>
      </c>
      <c r="CY270" s="62" t="s">
        <v>6442</v>
      </c>
      <c r="CZ270" s="90"/>
      <c r="DA270" s="61">
        <f>SUM(DA286,CV286:CX286)</f>
        <v>573.20000000000005</v>
      </c>
      <c r="DB270" s="61">
        <f>SUM(DA286:DB286,CW286:CX286)</f>
        <v>531.30000000000007</v>
      </c>
      <c r="DC270" s="61">
        <f>SUM(DA286:DC286,CX286)</f>
        <v>468.90000000000009</v>
      </c>
      <c r="DD270" s="61">
        <f>SUM(DA286:DD286)</f>
        <v>499.30000000000007</v>
      </c>
      <c r="DE270" s="62" t="s">
        <v>6442</v>
      </c>
      <c r="DF270" s="90"/>
      <c r="DG270" s="61">
        <f>SUM(DG286,DB286:DD286)</f>
        <v>505.20000000000005</v>
      </c>
      <c r="DH270" s="61">
        <f>SUM(DG286:DH286,DC286:DD286)</f>
        <v>535.80000000000007</v>
      </c>
      <c r="DI270" s="61">
        <f>SUM(DG286:DI286,DD286)</f>
        <v>565.20000000000005</v>
      </c>
      <c r="DJ270" s="61">
        <f>SUM(DG286:DJ286)</f>
        <v>632.6</v>
      </c>
      <c r="DK270" s="62" t="s">
        <v>6442</v>
      </c>
      <c r="DL270" s="90"/>
      <c r="DM270" s="61">
        <f>SUM(DM286,DH286:DJ286)</f>
        <v>502.40000000000009</v>
      </c>
      <c r="DN270" s="61">
        <f>SUM(DM286:DN286,DI286:DJ286)</f>
        <v>483.20000000000005</v>
      </c>
      <c r="DO270" s="61">
        <f>SUM(DM286:DO286,DJ286)</f>
        <v>444</v>
      </c>
      <c r="DP270" s="61">
        <f>SUM(DM286:DP286)</f>
        <v>341.59999999999997</v>
      </c>
      <c r="DQ270" s="62" t="s">
        <v>6442</v>
      </c>
      <c r="DR270" s="90"/>
      <c r="DS270" s="61">
        <f>SUM(DS286,DN286:DP286)</f>
        <v>409.6</v>
      </c>
      <c r="DT270" s="61">
        <f>SUM(DS286:DT286,DO286:DP286)</f>
        <v>311.5</v>
      </c>
      <c r="DU270" s="61">
        <f>SUM(DS286:DU286,DP286)</f>
        <v>228.30000000000007</v>
      </c>
      <c r="DV270" s="61">
        <f>SUM(DS286:DV286)</f>
        <v>93.7</v>
      </c>
      <c r="DW270" s="62" t="s">
        <v>6442</v>
      </c>
      <c r="DX270" s="90"/>
      <c r="DY270" s="61">
        <f>SUM(DY286,DT286:DV286)</f>
        <v>-11.699999999999974</v>
      </c>
      <c r="DZ270" s="61">
        <f>SUM(DY286:DZ286,DU286:DV286)</f>
        <v>-63.800000000000068</v>
      </c>
      <c r="EA270" s="61">
        <f>SUM(DY286:EA286,DV286)</f>
        <v>-112.90000000000005</v>
      </c>
      <c r="EB270" s="61">
        <f>SUM(DY286:EB286)</f>
        <v>-49.799999999999969</v>
      </c>
      <c r="EC270" s="62" t="s">
        <v>6442</v>
      </c>
      <c r="ED270" s="90"/>
      <c r="EE270" s="61">
        <f>SUM(EE286,DZ286:EB286)</f>
        <v>-57.708240472227075</v>
      </c>
      <c r="EF270" s="61">
        <f>SUM(EE286:EF286,EA286:EB286)</f>
        <v>97.637995077881783</v>
      </c>
      <c r="EG270" s="61">
        <f>SUM(EE286:EG286,EB286)</f>
        <v>206.78985148511237</v>
      </c>
      <c r="EH270" s="61">
        <f>SUM(EE286:EH286)</f>
        <v>538.07781071105455</v>
      </c>
      <c r="EI270" s="62" t="s">
        <v>6442</v>
      </c>
      <c r="EJ270" s="90"/>
      <c r="EK270" s="61">
        <f>SUM(EK286,EF286:EH286)</f>
        <v>505.01316553134109</v>
      </c>
      <c r="EL270" s="61">
        <f>SUM(EK286:EL286,EG286:EH286)</f>
        <v>670.55283220298031</v>
      </c>
      <c r="EM270" s="61">
        <f>SUM(EK286:EM286,EH286)</f>
        <v>841.03972347882541</v>
      </c>
      <c r="EN270" s="61">
        <f>SUM(EK286:EN286)</f>
        <v>1119.056598915505</v>
      </c>
      <c r="EO270" s="62" t="s">
        <v>6442</v>
      </c>
      <c r="EP270" s="90"/>
      <c r="EQ270" s="61">
        <f>SUM(EQ286,EL286:EN286)</f>
        <v>1288.0845398167914</v>
      </c>
      <c r="ER270" s="61">
        <f>SUM(EQ286:ER286,EM286:EN286)</f>
        <v>1367.3852549328851</v>
      </c>
      <c r="ES270" s="61">
        <f>SUM(EQ286:ES286,EN286)</f>
        <v>1413.0631467961134</v>
      </c>
      <c r="ET270" s="61">
        <f>SUM(EQ286:ET286)</f>
        <v>1412.1084831746798</v>
      </c>
      <c r="EU270" s="62" t="s">
        <v>6442</v>
      </c>
      <c r="EV270" s="90"/>
    </row>
    <row r="271" spans="1:152" ht="12.75" hidden="1" customHeight="1" outlineLevel="1">
      <c r="A271" s="90" t="s">
        <v>5252</v>
      </c>
      <c r="B271" s="520" t="s">
        <v>5253</v>
      </c>
      <c r="C271" s="61"/>
      <c r="D271" s="61"/>
      <c r="E271" s="61"/>
      <c r="F271" s="61"/>
      <c r="G271" s="62"/>
      <c r="H271" s="62"/>
      <c r="I271" s="61"/>
      <c r="J271" s="61"/>
      <c r="K271" s="61"/>
      <c r="L271" s="61"/>
      <c r="M271" s="62"/>
      <c r="N271" s="62"/>
      <c r="O271" s="61"/>
      <c r="P271" s="61"/>
      <c r="Q271" s="61"/>
      <c r="R271" s="61">
        <f>SUM(O287:R287)</f>
        <v>15.468999999999999</v>
      </c>
      <c r="S271" s="62" t="s">
        <v>6442</v>
      </c>
      <c r="T271" s="61"/>
      <c r="U271" s="61">
        <f>SUM(U287,P287:R287)</f>
        <v>15.468999999999999</v>
      </c>
      <c r="V271" s="61">
        <f>SUM(U287:V287,Q287:R287)</f>
        <v>15.468999999999999</v>
      </c>
      <c r="W271" s="61">
        <f>SUM(U287:W287,R287)</f>
        <v>15.468999999999999</v>
      </c>
      <c r="X271" s="61">
        <f>SUM(U287:X287)</f>
        <v>4.6420000000000003</v>
      </c>
      <c r="Y271" s="62" t="s">
        <v>6442</v>
      </c>
      <c r="Z271" s="90"/>
      <c r="AA271" s="61">
        <f>SUM(AA287,V287:X287)</f>
        <v>4.6420000000000003</v>
      </c>
      <c r="AB271" s="61">
        <f>SUM(AA287:AB287,W287:X287)</f>
        <v>4.6420000000000003</v>
      </c>
      <c r="AC271" s="61">
        <f>SUM(AA287:AC287,X287)</f>
        <v>4.6420000000000003</v>
      </c>
      <c r="AD271" s="61">
        <f>SUM(AA287:AD287)</f>
        <v>21.055</v>
      </c>
      <c r="AE271" s="62" t="s">
        <v>6442</v>
      </c>
      <c r="AF271" s="90"/>
      <c r="AG271" s="61">
        <f>SUM(AG287,AB287:AD287)</f>
        <v>24.518999999999998</v>
      </c>
      <c r="AH271" s="61">
        <f>SUM(AG287:AH287,AC287:AD287)</f>
        <v>26.585000000000001</v>
      </c>
      <c r="AI271" s="61">
        <f>SUM(AG287:AI287,AD287)</f>
        <v>29.323</v>
      </c>
      <c r="AJ271" s="61">
        <f>SUM(AG287:AJ287)</f>
        <v>12.176</v>
      </c>
      <c r="AK271" s="62" t="s">
        <v>6442</v>
      </c>
      <c r="AL271" s="90"/>
      <c r="AM271" s="61">
        <f>SUM(AM287,AH287:AJ287)</f>
        <v>16.61</v>
      </c>
      <c r="AN271" s="61">
        <f>SUM(AM287:AN287,AI287:AJ287)</f>
        <v>14.799999999999999</v>
      </c>
      <c r="AO271" s="61">
        <f>SUM(AM287:AO287,AJ287)</f>
        <v>12.462</v>
      </c>
      <c r="AP271" s="61">
        <f>SUM(AM287:AP287)</f>
        <v>8.5540000000000003</v>
      </c>
      <c r="AQ271" s="62" t="s">
        <v>6442</v>
      </c>
      <c r="AR271" s="61"/>
      <c r="AS271" s="61">
        <f>SUM(AS287,AN287:AP287)</f>
        <v>0.65600000000000058</v>
      </c>
      <c r="AT271" s="61">
        <f>SUM(AS287:AT287,AO287:AP287)</f>
        <v>0.40000000000000036</v>
      </c>
      <c r="AU271" s="61">
        <f>SUM(AS287:AU287,AP287)</f>
        <v>0</v>
      </c>
      <c r="AV271" s="61">
        <f>SUM(AS287:AV287)</f>
        <v>0</v>
      </c>
      <c r="AW271" s="62" t="s">
        <v>6442</v>
      </c>
      <c r="AX271" s="90"/>
      <c r="AY271" s="61">
        <f>SUM(AY287,AT287:AV287)</f>
        <v>23.7</v>
      </c>
      <c r="AZ271" s="61">
        <f>SUM(AY287:AZ287,AU287:AV287)</f>
        <v>23.7</v>
      </c>
      <c r="BA271" s="61">
        <f>SUM(AY287:BA287,AV287)</f>
        <v>87.2</v>
      </c>
      <c r="BB271" s="61">
        <f>SUM(AY287:BB287)</f>
        <v>112.5</v>
      </c>
      <c r="BC271" s="62" t="s">
        <v>6442</v>
      </c>
      <c r="BD271" s="90"/>
      <c r="BE271" s="61">
        <f>SUM(BE287,AZ287:BB287)</f>
        <v>112.5</v>
      </c>
      <c r="BF271" s="61">
        <f>SUM(BE287:BF287,BA287:BB287)</f>
        <v>139.19999999999999</v>
      </c>
      <c r="BG271" s="61">
        <f>SUM(BE287:BG287,BB287)</f>
        <v>130.30000000000001</v>
      </c>
      <c r="BH271" s="61">
        <f>SUM(BE287:BH287)</f>
        <v>124.6</v>
      </c>
      <c r="BI271" s="62" t="s">
        <v>6442</v>
      </c>
      <c r="BJ271" s="90"/>
      <c r="BK271" s="61">
        <f>SUM(BK287,BF287:BH287)</f>
        <v>100.89999999999999</v>
      </c>
      <c r="BL271" s="61">
        <f>SUM(BK287:BL287,BG287:BH287)</f>
        <v>74.199999999999989</v>
      </c>
      <c r="BM271" s="61">
        <f>SUM(BK287:BM287,BH287)</f>
        <v>19.599999999999994</v>
      </c>
      <c r="BN271" s="61">
        <f>SUM(BK287:BN287)</f>
        <v>5.0999999999999996</v>
      </c>
      <c r="BO271" s="62" t="s">
        <v>6442</v>
      </c>
      <c r="BP271" s="90"/>
      <c r="BQ271" s="61">
        <f>SUM(BQ287,BL287:BN287)</f>
        <v>5.0999999999999996</v>
      </c>
      <c r="BR271" s="61">
        <f>SUM(BQ287:BR287,BM287:BN287)</f>
        <v>5.0999999999999996</v>
      </c>
      <c r="BS271" s="61">
        <f>SUM(BQ287:BS287,BN287)</f>
        <v>5.0999999999999996</v>
      </c>
      <c r="BT271" s="61">
        <f>SUM(BQ287:BT287)</f>
        <v>0</v>
      </c>
      <c r="BU271" s="62" t="s">
        <v>6442</v>
      </c>
      <c r="BV271" s="90"/>
      <c r="BW271" s="61">
        <f>SUM(BW287,BR287:BT287)</f>
        <v>0</v>
      </c>
      <c r="BX271" s="61">
        <f>SUM(BW287:BX287,BS287:BT287)</f>
        <v>0</v>
      </c>
      <c r="BY271" s="61">
        <f>SUM(BW287:BY287,BT287)</f>
        <v>0</v>
      </c>
      <c r="BZ271" s="61">
        <f>SUM(BW287:BZ287)</f>
        <v>0</v>
      </c>
      <c r="CA271" s="62" t="s">
        <v>6442</v>
      </c>
      <c r="CB271" s="90"/>
      <c r="CC271" s="61">
        <f>SUM(CC287,BX287:BZ287)</f>
        <v>0</v>
      </c>
      <c r="CD271" s="61">
        <f>SUM(CC287:CD287,BY287:BZ287)</f>
        <v>0</v>
      </c>
      <c r="CE271" s="61">
        <f>SUM(CC287:CE287,BZ287)</f>
        <v>0</v>
      </c>
      <c r="CF271" s="61">
        <f>SUM(CC287:CF287)</f>
        <v>0</v>
      </c>
      <c r="CG271" s="62" t="s">
        <v>6442</v>
      </c>
      <c r="CH271" s="90"/>
      <c r="CI271" s="61">
        <f>SUM(CI287,CD287:CF287)</f>
        <v>0</v>
      </c>
      <c r="CJ271" s="61">
        <f>SUM(CI287:CJ287,CE287:CF287)</f>
        <v>0</v>
      </c>
      <c r="CK271" s="61">
        <f>SUM(CI287:CK287,CF287)</f>
        <v>0</v>
      </c>
      <c r="CL271" s="61">
        <f>SUM(CI287:CL287)</f>
        <v>0</v>
      </c>
      <c r="CM271" s="62" t="s">
        <v>6442</v>
      </c>
      <c r="CN271" s="90"/>
      <c r="CO271" s="61">
        <f>SUM(CO287,CJ287:CL287)</f>
        <v>0</v>
      </c>
      <c r="CP271" s="61">
        <f>SUM(CO287:CP287,CK287:CL287)</f>
        <v>-13.5</v>
      </c>
      <c r="CQ271" s="61">
        <f>SUM(CO287:CQ287,CL287)</f>
        <v>-33</v>
      </c>
      <c r="CR271" s="61">
        <f>SUM(CO287:CR287)</f>
        <v>-31.5</v>
      </c>
      <c r="CS271" s="62" t="s">
        <v>6442</v>
      </c>
      <c r="CT271" s="90"/>
      <c r="CU271" s="61">
        <f>SUM(CU287,CP287:CR287)</f>
        <v>-41.4</v>
      </c>
      <c r="CV271" s="61">
        <f>SUM(CU287:CV287,CQ287:CR287)</f>
        <v>-46.1</v>
      </c>
      <c r="CW271" s="61">
        <f>SUM(CU287:CW287,CR287)</f>
        <v>-25.9</v>
      </c>
      <c r="CX271" s="61">
        <f>SUM(CU287:CX287)</f>
        <v>-12.9</v>
      </c>
      <c r="CY271" s="62" t="s">
        <v>6442</v>
      </c>
      <c r="CZ271" s="90"/>
      <c r="DA271" s="61">
        <f>SUM(DA287,CV287:CX287)</f>
        <v>-12.000000000000002</v>
      </c>
      <c r="DB271" s="61">
        <f>SUM(DA287:DB287,CW287:CX287)</f>
        <v>12</v>
      </c>
      <c r="DC271" s="61">
        <f>SUM(DA287:DC287,CX287)</f>
        <v>15.299999999999997</v>
      </c>
      <c r="DD271" s="61">
        <f>SUM(DA287:DD287)</f>
        <v>-9.1000000000000014</v>
      </c>
      <c r="DE271" s="62" t="s">
        <v>6442</v>
      </c>
      <c r="DF271" s="90"/>
      <c r="DG271" s="61">
        <f>SUM(DG287,DB287:DD287)</f>
        <v>-9.9999999999999645E-2</v>
      </c>
      <c r="DH271" s="61">
        <f>SUM(DG287:DH287,DC287:DD287)</f>
        <v>-5.9</v>
      </c>
      <c r="DI271" s="61">
        <f>SUM(DG287:DI287,DD287)</f>
        <v>-9.9</v>
      </c>
      <c r="DJ271" s="61">
        <f>SUM(DG287:DJ287)</f>
        <v>-0.5</v>
      </c>
      <c r="DK271" s="62" t="s">
        <v>6442</v>
      </c>
      <c r="DL271" s="90"/>
      <c r="DM271" s="61">
        <f>SUM(DM287,DH287:DJ287)</f>
        <v>-5.8</v>
      </c>
      <c r="DN271" s="61">
        <f>SUM(DM287:DN287,DI287:DJ287)</f>
        <v>197.4</v>
      </c>
      <c r="DO271" s="61">
        <f>SUM(DM287:DO287,DJ287)</f>
        <v>-0.5</v>
      </c>
      <c r="DP271" s="61">
        <f>SUM(DM287:DP287)</f>
        <v>0</v>
      </c>
      <c r="DQ271" s="62" t="s">
        <v>6442</v>
      </c>
      <c r="DR271" s="90"/>
      <c r="DS271" s="61">
        <f>SUM(DS287,DN287:DP287)</f>
        <v>11.5</v>
      </c>
      <c r="DT271" s="61">
        <f>SUM(DS287:DT287,DO287:DP287)</f>
        <v>-207.1</v>
      </c>
      <c r="DU271" s="61">
        <f>SUM(DS287:DU287,DP287)</f>
        <v>-39.6</v>
      </c>
      <c r="DV271" s="61">
        <f>SUM(DS287:DV287)</f>
        <v>0</v>
      </c>
      <c r="DW271" s="62" t="s">
        <v>6442</v>
      </c>
      <c r="DX271" s="90"/>
      <c r="DY271" s="61">
        <f>SUM(DY287,DT287:DV287)</f>
        <v>-6.1999999999999957</v>
      </c>
      <c r="DZ271" s="61">
        <f>SUM(DY287:DZ287,DU287:DV287)</f>
        <v>15</v>
      </c>
      <c r="EA271" s="61">
        <f>SUM(DY287:EA287,DV287)</f>
        <v>46.9</v>
      </c>
      <c r="EB271" s="61">
        <f>SUM(DY287:EB287)</f>
        <v>0</v>
      </c>
      <c r="EC271" s="62" t="s">
        <v>6442</v>
      </c>
      <c r="ED271" s="90"/>
      <c r="EE271" s="61">
        <f>SUM(EE287,DZ287:EB287)</f>
        <v>0</v>
      </c>
      <c r="EF271" s="61">
        <f>SUM(EE287:EF287,EA287:EB287)</f>
        <v>-5.8</v>
      </c>
      <c r="EG271" s="61">
        <f>SUM(EE287:EG287,EB287)</f>
        <v>-7.3</v>
      </c>
      <c r="EH271" s="61">
        <f>SUM(EE287:EH287)</f>
        <v>0</v>
      </c>
      <c r="EI271" s="62" t="s">
        <v>6442</v>
      </c>
      <c r="EJ271" s="90"/>
      <c r="EK271" s="61">
        <f>SUM(EK287,EF287:EH287)</f>
        <v>0</v>
      </c>
      <c r="EL271" s="61">
        <f>SUM(EK287:EL287,EG287:EH287)</f>
        <v>0</v>
      </c>
      <c r="EM271" s="61">
        <f>SUM(EK287:EM287,EH287)</f>
        <v>0</v>
      </c>
      <c r="EN271" s="61">
        <f>SUM(EK287:EN287)</f>
        <v>0</v>
      </c>
      <c r="EO271" s="62" t="s">
        <v>6442</v>
      </c>
      <c r="EP271" s="90"/>
      <c r="EQ271" s="61">
        <f>SUM(EQ287,EL287:EN287)</f>
        <v>0</v>
      </c>
      <c r="ER271" s="61">
        <f>SUM(EQ287:ER287,EM287:EN287)</f>
        <v>0</v>
      </c>
      <c r="ES271" s="61">
        <f>SUM(EQ287:ES287,EN287)</f>
        <v>0</v>
      </c>
      <c r="ET271" s="61">
        <f>SUM(EQ287:ET287)</f>
        <v>0</v>
      </c>
      <c r="EU271" s="62" t="s">
        <v>6442</v>
      </c>
      <c r="EV271" s="90"/>
    </row>
    <row r="272" spans="1:152" ht="12.75" hidden="1" customHeight="1" outlineLevel="1">
      <c r="A272" s="90" t="s">
        <v>1088</v>
      </c>
      <c r="B272" s="520" t="s">
        <v>1089</v>
      </c>
      <c r="C272" s="61"/>
      <c r="D272" s="61"/>
      <c r="E272" s="61"/>
      <c r="F272" s="61"/>
      <c r="G272" s="62"/>
      <c r="H272" s="62"/>
      <c r="I272" s="61"/>
      <c r="J272" s="61"/>
      <c r="K272" s="61"/>
      <c r="L272" s="61"/>
      <c r="M272" s="62"/>
      <c r="N272" s="62"/>
      <c r="O272" s="61"/>
      <c r="P272" s="61"/>
      <c r="Q272" s="61"/>
      <c r="R272" s="61">
        <f>R270-SUM(O287:R287)</f>
        <v>129.74400000000003</v>
      </c>
      <c r="S272" s="62" t="s">
        <v>6442</v>
      </c>
      <c r="T272" s="61"/>
      <c r="U272" s="61">
        <f>U270-SUM(P287:R287,U287)</f>
        <v>79.501000000000019</v>
      </c>
      <c r="V272" s="61">
        <f>V270-SUM(Q287:R287,U287:V287)</f>
        <v>55.708999999999996</v>
      </c>
      <c r="W272" s="61">
        <f>W270-SUM(R287,U287:W287)</f>
        <v>52.338000000000001</v>
      </c>
      <c r="X272" s="61">
        <f>X270-SUM(U287:X287)</f>
        <v>88.355000000000018</v>
      </c>
      <c r="Y272" s="62" t="s">
        <v>6442</v>
      </c>
      <c r="Z272" s="90"/>
      <c r="AA272" s="61">
        <f>AA270-SUM(V287:X287,AA287)</f>
        <v>131.64699999999999</v>
      </c>
      <c r="AB272" s="61">
        <f>AB270-SUM(W287:X287,AA287:AB287)</f>
        <v>172.30900000000003</v>
      </c>
      <c r="AC272" s="61">
        <f>AC270-SUM(X287,AA287:AC287)</f>
        <v>178.68200000000002</v>
      </c>
      <c r="AD272" s="61">
        <f>AD270-SUM(AA287:AD287)</f>
        <v>142.65300000000002</v>
      </c>
      <c r="AE272" s="62" t="s">
        <v>6442</v>
      </c>
      <c r="AF272" s="90"/>
      <c r="AG272" s="61">
        <f>AG270-SUM(AB287:AD287,AG287)</f>
        <v>141.066</v>
      </c>
      <c r="AH272" s="61">
        <f>AH270-SUM(AC287:AD287,AG287:AH287)</f>
        <v>133.18099999999995</v>
      </c>
      <c r="AI272" s="61">
        <f>AI270-SUM(AD287,AG287:AI287)</f>
        <v>123.53699999999994</v>
      </c>
      <c r="AJ272" s="61">
        <f>AJ270-SUM(AG287:AJ287)</f>
        <v>152.91199999999998</v>
      </c>
      <c r="AK272" s="62" t="s">
        <v>6442</v>
      </c>
      <c r="AL272" s="90"/>
      <c r="AM272" s="61">
        <f>AM270-SUM(AH287:AJ287,AM287)</f>
        <v>123.88300000000005</v>
      </c>
      <c r="AN272" s="61">
        <f>AN270-SUM(AI287:AJ287,AM287:AN287)</f>
        <v>94.951000000000064</v>
      </c>
      <c r="AO272" s="61">
        <f>AO270-SUM(AJ287,AM287:AO287)</f>
        <v>74.027000000000058</v>
      </c>
      <c r="AP272" s="61">
        <f>AP270-SUM(AM287:AP287)</f>
        <v>40.978000000000023</v>
      </c>
      <c r="AQ272" s="62" t="s">
        <v>6442</v>
      </c>
      <c r="AR272" s="61"/>
      <c r="AS272" s="61">
        <f>AS270-SUM(AN287:AP287,AS287)</f>
        <v>56.896000000000008</v>
      </c>
      <c r="AT272" s="61">
        <f>AT270-SUM(AO287:AP287,AS287:AT287)</f>
        <v>68.176999999999964</v>
      </c>
      <c r="AU272" s="61">
        <f>AU270-SUM(AP287,AS287:AU287)</f>
        <v>117.58499999999998</v>
      </c>
      <c r="AV272" s="61">
        <f>AV270-SUM(AS287:AV287)</f>
        <v>194.23100000000005</v>
      </c>
      <c r="AW272" s="62" t="s">
        <v>6442</v>
      </c>
      <c r="AX272" s="90"/>
      <c r="AY272" s="61">
        <f>AY270-SUM(AT287:AV287,AY287)</f>
        <v>206.12400000000008</v>
      </c>
      <c r="AZ272" s="61">
        <f>AZ270-SUM(AU287:AV287,AY287:AZ287)</f>
        <v>259.44100000000009</v>
      </c>
      <c r="BA272" s="61">
        <f>BA270-SUM(AV287,AY287:BA287)</f>
        <v>224.79100000000011</v>
      </c>
      <c r="BB272" s="61">
        <f>BB270-SUM(AY287:BB287)</f>
        <v>219.78300000000002</v>
      </c>
      <c r="BC272" s="62" t="s">
        <v>6442</v>
      </c>
      <c r="BD272" s="90"/>
      <c r="BE272" s="61">
        <f>BE270-SUM(AZ287:BB287,BE287)</f>
        <v>228.67799999999988</v>
      </c>
      <c r="BF272" s="61">
        <f>BF270-SUM(BA287:BB287,BE287:BF287)</f>
        <v>237.09399999999988</v>
      </c>
      <c r="BG272" s="61">
        <f>BG270-SUM(BB287,BE287:BG287)</f>
        <v>288.14099999999991</v>
      </c>
      <c r="BH272" s="61">
        <f>BH270-SUM(BE287:BH287)</f>
        <v>270.19999999999993</v>
      </c>
      <c r="BI272" s="62" t="s">
        <v>6442</v>
      </c>
      <c r="BJ272" s="90"/>
      <c r="BK272" s="61">
        <f>BK270-SUM(BF287:BH287,BK287)</f>
        <v>314.88900000000001</v>
      </c>
      <c r="BL272" s="61">
        <f>BL270-SUM(BG287:BH287,BK287:BL287)</f>
        <v>388.47300000000001</v>
      </c>
      <c r="BM272" s="61">
        <f>BM270-SUM(BH287,BK287:BM287)</f>
        <v>449.44799999999998</v>
      </c>
      <c r="BN272" s="61">
        <f>BN270-SUM(BK287:BN287)</f>
        <v>536.19999999999982</v>
      </c>
      <c r="BO272" s="62" t="s">
        <v>6442</v>
      </c>
      <c r="BP272" s="90"/>
      <c r="BQ272" s="61">
        <f>BQ270-SUM(BL287:BN287,BQ287)</f>
        <v>642.19999999999993</v>
      </c>
      <c r="BR272" s="61">
        <f>BR270-SUM(BM287:BN287,BQ287:BR287)</f>
        <v>611.69999999999993</v>
      </c>
      <c r="BS272" s="61">
        <f>BS270-SUM(BN287,BQ287:BS287)</f>
        <v>636.19999999999993</v>
      </c>
      <c r="BT272" s="61">
        <f>BT270-SUM(BQ287:BT287)</f>
        <v>665.19999999999993</v>
      </c>
      <c r="BU272" s="62" t="s">
        <v>6442</v>
      </c>
      <c r="BV272" s="90"/>
      <c r="BW272" s="61">
        <f>BW270-SUM(BR287:BT287,BW287)</f>
        <v>652.29999999999995</v>
      </c>
      <c r="BX272" s="61">
        <f>BX270-SUM(BS287:BT287,BW287:BX287)</f>
        <v>715.59999999999991</v>
      </c>
      <c r="BY272" s="61">
        <f>BY270-SUM(BT287,BW287:BY287)</f>
        <v>653.19999999999993</v>
      </c>
      <c r="BZ272" s="61">
        <f>BZ270-SUM(BW287:BZ287)</f>
        <v>515.48</v>
      </c>
      <c r="CA272" s="62" t="s">
        <v>6442</v>
      </c>
      <c r="CB272" s="90"/>
      <c r="CC272" s="61">
        <f>CC270-SUM(BX287:BZ287,CC287)</f>
        <v>357.18000000000006</v>
      </c>
      <c r="CD272" s="61">
        <f>CD270-SUM(BY287:BZ287,CC287:CD287)</f>
        <v>205.27999999999997</v>
      </c>
      <c r="CE272" s="61">
        <f>CE270-SUM(BZ287,CC287:CE287)</f>
        <v>158.08000000000001</v>
      </c>
      <c r="CF272" s="61">
        <f>CF270-SUM(CC287:CF287)</f>
        <v>207.79999999999998</v>
      </c>
      <c r="CG272" s="62" t="s">
        <v>6442</v>
      </c>
      <c r="CH272" s="90"/>
      <c r="CI272" s="61">
        <f>CI270-SUM(CD287:CF287,CI287)</f>
        <v>327.5</v>
      </c>
      <c r="CJ272" s="61">
        <f>CJ270-SUM(CE287:CF287,CI287:CJ287)</f>
        <v>397.09999999999991</v>
      </c>
      <c r="CK272" s="61">
        <f>CK270-SUM(CF287,CI287:CK287)</f>
        <v>463.59999999999991</v>
      </c>
      <c r="CL272" s="61">
        <f>CL270-SUM(CI287:CL287)</f>
        <v>512.5</v>
      </c>
      <c r="CM272" s="62" t="s">
        <v>6442</v>
      </c>
      <c r="CN272" s="90"/>
      <c r="CO272" s="61">
        <f>CO270-SUM(CJ287:CL287,CO287)</f>
        <v>484.20000000000005</v>
      </c>
      <c r="CP272" s="61">
        <f>CP270-SUM(CK287:CL287,CO287:CP287)</f>
        <v>507.30000000000007</v>
      </c>
      <c r="CQ272" s="61">
        <f>CQ270-SUM(CL287,CO287:CQ287)</f>
        <v>548.30000000000007</v>
      </c>
      <c r="CR272" s="61">
        <f>CR270-SUM(CO287:CR287)</f>
        <v>542</v>
      </c>
      <c r="CS272" s="62" t="s">
        <v>6442</v>
      </c>
      <c r="CT272" s="90"/>
      <c r="CU272" s="61">
        <f>CU270-SUM(CP287:CR287,CU287)</f>
        <v>574.69999999999993</v>
      </c>
      <c r="CV272" s="61">
        <f>CV270-SUM(CQ287:CR287,CU287:CV287)</f>
        <v>554</v>
      </c>
      <c r="CW272" s="61">
        <f>CW270-SUM(CR287,CU287:CW287)</f>
        <v>545.6</v>
      </c>
      <c r="CX272" s="61">
        <f>CX270-SUM(CU287:CX287)</f>
        <v>515.6</v>
      </c>
      <c r="CY272" s="62" t="s">
        <v>6442</v>
      </c>
      <c r="CZ272" s="90"/>
      <c r="DA272" s="61">
        <f>DA270-SUM(CV287:CX287,DA287)</f>
        <v>585.20000000000005</v>
      </c>
      <c r="DB272" s="61">
        <f>DB270-SUM(CW287:CX287,DA287:DB287)</f>
        <v>519.30000000000007</v>
      </c>
      <c r="DC272" s="61">
        <f>DC270-SUM(CX287,DA287:DC287)</f>
        <v>453.60000000000008</v>
      </c>
      <c r="DD272" s="61">
        <f>DD270-SUM(DA287:DD287)</f>
        <v>508.40000000000009</v>
      </c>
      <c r="DE272" s="62" t="s">
        <v>6442</v>
      </c>
      <c r="DF272" s="90"/>
      <c r="DG272" s="61">
        <f>DG270-SUM(DB287:DD287,DG287)</f>
        <v>505.30000000000007</v>
      </c>
      <c r="DH272" s="61">
        <f>DH270-SUM(DC287:DD287,DG287:DH287)</f>
        <v>541.70000000000005</v>
      </c>
      <c r="DI272" s="61">
        <f>DI270-SUM(DD287,DG287:DI287)</f>
        <v>575.1</v>
      </c>
      <c r="DJ272" s="61">
        <f>DJ270-SUM(DG287:DJ287)</f>
        <v>633.1</v>
      </c>
      <c r="DK272" s="62" t="s">
        <v>6442</v>
      </c>
      <c r="DL272" s="90"/>
      <c r="DM272" s="61">
        <f>DM270-SUM(DH287:DJ287,DM287)</f>
        <v>508.2000000000001</v>
      </c>
      <c r="DN272" s="61">
        <f>DN270-SUM(DI287:DJ287,DM287:DN287)</f>
        <v>285.80000000000007</v>
      </c>
      <c r="DO272" s="61">
        <f>DO270-SUM(DJ287,DM287:DO287)</f>
        <v>444.5</v>
      </c>
      <c r="DP272" s="61">
        <f>DP270-SUM(DM287:DP287)</f>
        <v>341.59999999999997</v>
      </c>
      <c r="DQ272" s="62" t="s">
        <v>6442</v>
      </c>
      <c r="DR272" s="90"/>
      <c r="DS272" s="61">
        <f>DS270-SUM(DN287:DP287,DS287)</f>
        <v>398.1</v>
      </c>
      <c r="DT272" s="61">
        <f>DT270-SUM(DO287:DP287,DS287:DT287)</f>
        <v>518.6</v>
      </c>
      <c r="DU272" s="61">
        <f>DU270-SUM(DP287,DS287:DU287)</f>
        <v>267.90000000000009</v>
      </c>
      <c r="DV272" s="61">
        <f>DV270-SUM(DS287:DV287)</f>
        <v>93.7</v>
      </c>
      <c r="DW272" s="62" t="s">
        <v>6442</v>
      </c>
      <c r="DX272" s="90"/>
      <c r="DY272" s="61">
        <f>DY270-SUM(DT287:DV287,DY287)</f>
        <v>-5.4999999999999787</v>
      </c>
      <c r="DZ272" s="61">
        <f>DZ270-SUM(DU287:DV287,DY287:DZ287)</f>
        <v>-78.800000000000068</v>
      </c>
      <c r="EA272" s="61">
        <f>EA270-SUM(DV287,DY287:EA287)</f>
        <v>-159.80000000000004</v>
      </c>
      <c r="EB272" s="61">
        <f>EB270-SUM(DY287:EB287)</f>
        <v>-49.799999999999969</v>
      </c>
      <c r="EC272" s="62" t="s">
        <v>6442</v>
      </c>
      <c r="ED272" s="90"/>
      <c r="EE272" s="61">
        <f>EE270-SUM(DZ287:EB287,EE287)</f>
        <v>-57.708240472227075</v>
      </c>
      <c r="EF272" s="61">
        <f>EF270-SUM(EA287:EB287,EE287:EF287)</f>
        <v>103.43799507788178</v>
      </c>
      <c r="EG272" s="61">
        <f>EG270-SUM(EB287,EE287:EG287)</f>
        <v>214.08985148511238</v>
      </c>
      <c r="EH272" s="61">
        <f>EH270-SUM(EE287:EH287)</f>
        <v>538.07781071105455</v>
      </c>
      <c r="EI272" s="62" t="s">
        <v>6442</v>
      </c>
      <c r="EJ272" s="90"/>
      <c r="EK272" s="61">
        <f>EK270-SUM(EF287:EH287,EK287)</f>
        <v>505.01316553134109</v>
      </c>
      <c r="EL272" s="61">
        <f>EL270-SUM(EG287:EH287,EK287:EL287)</f>
        <v>670.55283220298031</v>
      </c>
      <c r="EM272" s="61">
        <f>EM270-SUM(EH287,EK287:EM287)</f>
        <v>841.03972347882541</v>
      </c>
      <c r="EN272" s="61">
        <f>EN270-SUM(EK287:EN287)</f>
        <v>1119.056598915505</v>
      </c>
      <c r="EO272" s="62" t="s">
        <v>6442</v>
      </c>
      <c r="EP272" s="90"/>
      <c r="EQ272" s="61">
        <f>EQ270-SUM(EL287:EN287,EQ287)</f>
        <v>1288.0845398167914</v>
      </c>
      <c r="ER272" s="61">
        <f>ER270-SUM(EM287:EN287,EQ287:ER287)</f>
        <v>1367.3852549328851</v>
      </c>
      <c r="ES272" s="61">
        <f>ES270-SUM(EN287,EQ287:ES287)</f>
        <v>1413.0631467961134</v>
      </c>
      <c r="ET272" s="61">
        <f>ET270-SUM(EQ287:ET287)</f>
        <v>1412.1084831746798</v>
      </c>
      <c r="EU272" s="62" t="s">
        <v>6442</v>
      </c>
      <c r="EV272" s="90"/>
    </row>
    <row r="273" spans="1:152" ht="12.75" hidden="1" customHeight="1" outlineLevel="1">
      <c r="A273" s="90"/>
      <c r="B273" s="520"/>
      <c r="C273" s="61"/>
      <c r="D273" s="61"/>
      <c r="E273" s="61"/>
      <c r="F273" s="61"/>
      <c r="G273" s="62"/>
      <c r="H273" s="62"/>
      <c r="I273" s="61"/>
      <c r="J273" s="61"/>
      <c r="K273" s="61"/>
      <c r="L273" s="61"/>
      <c r="M273" s="62"/>
      <c r="N273" s="62"/>
      <c r="O273" s="61"/>
      <c r="P273" s="61"/>
      <c r="Q273" s="61"/>
      <c r="R273" s="61"/>
      <c r="S273" s="62"/>
      <c r="T273" s="61"/>
      <c r="U273" s="61"/>
      <c r="V273" s="61"/>
      <c r="W273" s="61"/>
      <c r="X273" s="61"/>
      <c r="Y273" s="62"/>
      <c r="Z273" s="90"/>
      <c r="AA273" s="61"/>
      <c r="AB273" s="61"/>
      <c r="AC273" s="61"/>
      <c r="AD273" s="61"/>
      <c r="AE273" s="62"/>
      <c r="AF273" s="90"/>
      <c r="AG273" s="61"/>
      <c r="AH273" s="61"/>
      <c r="AI273" s="61"/>
      <c r="AJ273" s="61"/>
      <c r="AK273" s="62"/>
      <c r="AL273" s="90"/>
      <c r="AM273" s="61"/>
      <c r="AN273" s="61"/>
      <c r="AO273" s="61"/>
      <c r="AP273" s="61"/>
      <c r="AQ273" s="62"/>
      <c r="AR273" s="61"/>
      <c r="AS273" s="61"/>
      <c r="AT273" s="61"/>
      <c r="AU273" s="61"/>
      <c r="AV273" s="61"/>
      <c r="AW273" s="62"/>
      <c r="AX273" s="90"/>
      <c r="AY273" s="61"/>
      <c r="AZ273" s="61"/>
      <c r="BA273" s="61"/>
      <c r="BB273" s="61"/>
      <c r="BC273" s="62"/>
      <c r="BD273" s="90"/>
      <c r="BE273" s="61"/>
      <c r="BF273" s="61"/>
      <c r="BG273" s="61"/>
      <c r="BH273" s="61"/>
      <c r="BI273" s="62"/>
      <c r="BJ273" s="90"/>
      <c r="BK273" s="61"/>
      <c r="BL273" s="61"/>
      <c r="BM273" s="61"/>
      <c r="BN273" s="61"/>
      <c r="BO273" s="62"/>
      <c r="BP273" s="90"/>
      <c r="BQ273" s="61"/>
      <c r="BR273" s="61"/>
      <c r="BS273" s="61"/>
      <c r="BT273" s="61"/>
      <c r="BU273" s="62"/>
      <c r="BV273" s="90"/>
      <c r="BW273" s="61"/>
      <c r="BX273" s="61"/>
      <c r="BY273" s="61"/>
      <c r="BZ273" s="61"/>
      <c r="CA273" s="62"/>
      <c r="CB273" s="90"/>
      <c r="CC273" s="61"/>
      <c r="CD273" s="61"/>
      <c r="CE273" s="61"/>
      <c r="CF273" s="61"/>
      <c r="CG273" s="62"/>
      <c r="CH273" s="90"/>
      <c r="CI273" s="61"/>
      <c r="CJ273" s="61"/>
      <c r="CK273" s="61"/>
      <c r="CL273" s="61"/>
      <c r="CM273" s="62"/>
      <c r="CN273" s="90"/>
      <c r="CO273" s="61"/>
      <c r="CP273" s="61"/>
      <c r="CQ273" s="61"/>
      <c r="CR273" s="61"/>
      <c r="CS273" s="62"/>
      <c r="CT273" s="90"/>
      <c r="CU273" s="61"/>
      <c r="CV273" s="61"/>
      <c r="CW273" s="61"/>
      <c r="CX273" s="61"/>
      <c r="CY273" s="62"/>
      <c r="CZ273" s="90"/>
      <c r="DA273" s="61"/>
      <c r="DB273" s="61"/>
      <c r="DC273" s="61"/>
      <c r="DD273" s="61"/>
      <c r="DE273" s="62"/>
      <c r="DF273" s="90"/>
      <c r="DG273" s="61"/>
      <c r="DH273" s="61"/>
      <c r="DI273" s="61"/>
      <c r="DJ273" s="61"/>
      <c r="DK273" s="62"/>
      <c r="DL273" s="90"/>
      <c r="DM273" s="61"/>
      <c r="DN273" s="61"/>
      <c r="DO273" s="61"/>
      <c r="DP273" s="61"/>
      <c r="DQ273" s="62"/>
      <c r="DR273" s="90"/>
      <c r="DS273" s="61"/>
      <c r="DT273" s="61"/>
      <c r="DU273" s="61"/>
      <c r="DV273" s="61"/>
      <c r="DW273" s="62"/>
      <c r="DX273" s="90"/>
      <c r="DY273" s="61"/>
      <c r="DZ273" s="61"/>
      <c r="EA273" s="61"/>
      <c r="EB273" s="61"/>
      <c r="EC273" s="62"/>
      <c r="ED273" s="90"/>
      <c r="EE273" s="61"/>
      <c r="EF273" s="61"/>
      <c r="EG273" s="61"/>
      <c r="EH273" s="61"/>
      <c r="EI273" s="62"/>
      <c r="EJ273" s="90"/>
      <c r="EK273" s="61"/>
      <c r="EL273" s="61"/>
      <c r="EM273" s="61"/>
      <c r="EN273" s="61"/>
      <c r="EO273" s="62"/>
      <c r="EP273" s="90"/>
      <c r="EQ273" s="61"/>
      <c r="ER273" s="61"/>
      <c r="ES273" s="61"/>
      <c r="ET273" s="61"/>
      <c r="EU273" s="62"/>
      <c r="EV273" s="90"/>
    </row>
    <row r="274" spans="1:152" ht="12.75" hidden="1" customHeight="1" outlineLevel="1">
      <c r="A274" s="90" t="s">
        <v>6429</v>
      </c>
      <c r="B274" s="520" t="s">
        <v>2502</v>
      </c>
      <c r="C274" s="61"/>
      <c r="D274" s="61"/>
      <c r="E274" s="61"/>
      <c r="F274" s="61"/>
      <c r="G274" s="62"/>
      <c r="H274" s="62"/>
      <c r="I274" s="61">
        <f>I85*(1-I101)</f>
        <v>6.5571428571428605</v>
      </c>
      <c r="J274" s="61">
        <f>J85*(1-J101)</f>
        <v>22.794736842105262</v>
      </c>
      <c r="K274" s="61">
        <f>K85*(1-K101)</f>
        <v>26.352752293577975</v>
      </c>
      <c r="L274" s="61">
        <f>L85*(1-L101)</f>
        <v>35.681076388888911</v>
      </c>
      <c r="M274" s="61">
        <f>M85*(1-M101)</f>
        <v>91.28590250329384</v>
      </c>
      <c r="N274" s="62"/>
      <c r="O274" s="61">
        <f>O85*(1-O101)</f>
        <v>32.35019235308004</v>
      </c>
      <c r="P274" s="61">
        <f>P85*(1-P101)</f>
        <v>33.063574516613969</v>
      </c>
      <c r="Q274" s="61">
        <f>Q85*(1-Q101)</f>
        <v>21.447580923667275</v>
      </c>
      <c r="R274" s="61">
        <f>R85*(1-R101)</f>
        <v>26.789205640744804</v>
      </c>
      <c r="S274" s="61">
        <f>S85*(1-S101)</f>
        <v>113.65227033318162</v>
      </c>
      <c r="T274" s="61"/>
      <c r="U274" s="61">
        <f>U85*(1-U101)</f>
        <v>5.9947740384615411</v>
      </c>
      <c r="V274" s="61">
        <f>V85*(1-V101)</f>
        <v>1.7305391512253339</v>
      </c>
      <c r="W274" s="61">
        <f>W85*(1-W101)</f>
        <v>12.280301204427102</v>
      </c>
      <c r="X274" s="61">
        <f>X85*(1-X101)</f>
        <v>24.94403450198649</v>
      </c>
      <c r="Y274" s="61">
        <f>Y85*(1-Y101)</f>
        <v>44.949045430212969</v>
      </c>
      <c r="Z274" s="90"/>
      <c r="AA274" s="61">
        <f>AA85*(1-AA101)</f>
        <v>30.396508968796905</v>
      </c>
      <c r="AB274" s="61">
        <f>AB85*(1-AB101)</f>
        <v>27.750128892107188</v>
      </c>
      <c r="AC274" s="61">
        <f>AC85*(1-AC101)</f>
        <v>23.472559568185122</v>
      </c>
      <c r="AD274" s="61">
        <f>AD85*(1-AD101)</f>
        <v>29.8804240965726</v>
      </c>
      <c r="AE274" s="61">
        <f>AE85*(1-AE101)</f>
        <v>111.49755279383118</v>
      </c>
      <c r="AF274" s="90"/>
      <c r="AG274" s="61">
        <f>AG85*(1-AG101)</f>
        <v>29.292882330362055</v>
      </c>
      <c r="AH274" s="61">
        <f>AH85*(1-AH101)</f>
        <v>24.034713401672242</v>
      </c>
      <c r="AI274" s="61">
        <f>AI85*(1-AI101)</f>
        <v>17.723572946533977</v>
      </c>
      <c r="AJ274" s="61">
        <f>AJ85*(1-AJ101)</f>
        <v>35.800486802299226</v>
      </c>
      <c r="AK274" s="61">
        <f>AK85*(1-AK101)</f>
        <v>106.85178126510068</v>
      </c>
      <c r="AL274" s="90"/>
      <c r="AM274" s="61">
        <f>AM85*(1-AM101)</f>
        <v>16.544412634199485</v>
      </c>
      <c r="AN274" s="61">
        <f>AN85*(1-AN101)</f>
        <v>10.304811126788968</v>
      </c>
      <c r="AO274" s="61">
        <f>AO85*(1-AO101)</f>
        <v>3.9671957124842132</v>
      </c>
      <c r="AP274" s="61">
        <f>AP85*(1-AP101)</f>
        <v>6.2361282310735087</v>
      </c>
      <c r="AQ274" s="61">
        <f>AQ85*(1-AQ101)</f>
        <v>37.056012198343559</v>
      </c>
      <c r="AR274" s="61"/>
      <c r="AS274" s="61">
        <f>AS85*(1-AS101)</f>
        <v>5.0212932483044836</v>
      </c>
      <c r="AT274" s="61">
        <f>AT85*(1-AT101)</f>
        <v>10.594864969725446</v>
      </c>
      <c r="AU274" s="61">
        <f>AU85*(1-AU101)</f>
        <v>21.234212136493529</v>
      </c>
      <c r="AV274" s="61">
        <f>AV85*(1-AV101)</f>
        <v>46.307935593025988</v>
      </c>
      <c r="AW274" s="61">
        <f>AW85*(1-AW101)</f>
        <v>83.158299559262289</v>
      </c>
      <c r="AX274" s="90"/>
      <c r="AY274" s="61">
        <f>AY85*(1-AY101)</f>
        <v>49.899356972257984</v>
      </c>
      <c r="AZ274" s="61">
        <f>AZ85*(1-AZ101)</f>
        <v>43.827561837455839</v>
      </c>
      <c r="BA274" s="61">
        <f>BA85*(1-BA101)</f>
        <v>46.079310344827583</v>
      </c>
      <c r="BB274" s="61">
        <f>BB85*(1-BB101)</f>
        <v>72.714270724029333</v>
      </c>
      <c r="BC274" s="61">
        <f>BC85*(1-BC101)</f>
        <v>212.51919055358212</v>
      </c>
      <c r="BD274" s="90"/>
      <c r="BE274" s="61">
        <f>BE85*(1-BE101)</f>
        <v>74.923975409836032</v>
      </c>
      <c r="BF274" s="61">
        <f>BF85*(1-BF101)</f>
        <v>73.480523560209392</v>
      </c>
      <c r="BG274" s="61">
        <f>BG85*(1-BG101)</f>
        <v>76.459296482412071</v>
      </c>
      <c r="BH274" s="61">
        <f>BH85*(1-BH101)</f>
        <v>89.447079646017698</v>
      </c>
      <c r="BI274" s="61">
        <f>BI85*(1-BI101)</f>
        <v>314.32633136094671</v>
      </c>
      <c r="BJ274" s="90"/>
      <c r="BK274" s="61">
        <f>BK85*(1-BK101)</f>
        <v>77.287655209452197</v>
      </c>
      <c r="BL274" s="61">
        <f>BL85*(1-BL101)</f>
        <v>93.417546848381619</v>
      </c>
      <c r="BM274" s="61">
        <f>BM85*(1-BM101)</f>
        <v>81.693238434163675</v>
      </c>
      <c r="BN274" s="61">
        <f>BN85*(1-BN101)</f>
        <v>109.2263698630137</v>
      </c>
      <c r="BO274" s="61">
        <f>BO85*(1-BO101)</f>
        <v>361.56044673298999</v>
      </c>
      <c r="BP274" s="90"/>
      <c r="BQ274" s="61">
        <f>BQ85*(1-BQ101)</f>
        <v>99.42929577464794</v>
      </c>
      <c r="BR274" s="61">
        <f>BR85*(1-BR101)</f>
        <v>105.84233171408749</v>
      </c>
      <c r="BS274" s="61">
        <f>BS85*(1-BS101)</f>
        <v>110.92135678391955</v>
      </c>
      <c r="BT274" s="61">
        <f>BT85*(1-BT101)</f>
        <v>119.15483870967743</v>
      </c>
      <c r="BU274" s="61">
        <f>BU85*(1-BU101)</f>
        <v>435.34021543985631</v>
      </c>
      <c r="BV274" s="90"/>
      <c r="BW274" s="61">
        <f>BW85*(1-BW101)</f>
        <v>112.09791798107246</v>
      </c>
      <c r="BX274" s="61">
        <f>BX85*(1-BX101)</f>
        <v>125.65695701357467</v>
      </c>
      <c r="BY274" s="61">
        <f>BY85*(1-BY101)</f>
        <v>132.54755043227672</v>
      </c>
      <c r="BZ274" s="61">
        <f>BZ85*(1-BZ101)</f>
        <v>71.96719367588932</v>
      </c>
      <c r="CA274" s="61">
        <f>CA85*(1-CA101)</f>
        <v>441.67309731486239</v>
      </c>
      <c r="CB274" s="90"/>
      <c r="CC274" s="61">
        <f>CC85*(1-CC101)</f>
        <v>41.900000000000013</v>
      </c>
      <c r="CD274" s="61">
        <f>CD85*(1-CD101)</f>
        <v>48.717236842105216</v>
      </c>
      <c r="CE274" s="61">
        <f>CE85*(1-CE101)</f>
        <v>58.729769137302519</v>
      </c>
      <c r="CF274" s="61">
        <f>CF85*(1-CF101)</f>
        <v>67.915938864628757</v>
      </c>
      <c r="CG274" s="61">
        <f>CG85*(1-CG101)</f>
        <v>217.20549558390559</v>
      </c>
      <c r="CH274" s="90"/>
      <c r="CI274" s="61">
        <f>CI85*(1-CI101)</f>
        <v>70.183063646170467</v>
      </c>
      <c r="CJ274" s="61">
        <f>CJ85*(1-CJ101)</f>
        <v>84.926975945017134</v>
      </c>
      <c r="CK274" s="61">
        <f>CK85*(1-CK101)</f>
        <v>73.176070038910453</v>
      </c>
      <c r="CL274" s="61">
        <f>CL85*(1-CL101)</f>
        <v>81.622976744186076</v>
      </c>
      <c r="CM274" s="61">
        <f>CM85*(1-CM101)</f>
        <v>309.95593705293271</v>
      </c>
      <c r="CN274" s="90"/>
      <c r="CO274" s="61">
        <f>CO85*(1-CO101)</f>
        <v>89.277359999999973</v>
      </c>
      <c r="CP274" s="61">
        <f>CP85*(1-CP101)</f>
        <v>104.10000000000001</v>
      </c>
      <c r="CQ274" s="61">
        <f>CQ85*(1-CQ101)</f>
        <v>101.27540381791474</v>
      </c>
      <c r="CR274" s="61">
        <f>CR85*(1-CR101)</f>
        <v>105.27519434628972</v>
      </c>
      <c r="CS274" s="61">
        <f>CS85*(1-CS101)</f>
        <v>399.92668762714999</v>
      </c>
      <c r="CT274" s="90"/>
      <c r="CU274" s="61">
        <f>CU85*(1-CU101)</f>
        <v>107.30976430976432</v>
      </c>
      <c r="CV274" s="61">
        <f>CV85*(1-CV101)</f>
        <v>108.24716981132073</v>
      </c>
      <c r="CW274" s="61">
        <f>CW85*(1-CW101)</f>
        <v>107.94889502762432</v>
      </c>
      <c r="CX274" s="61">
        <f>CX85*(1-CX101)</f>
        <v>119.566255678131</v>
      </c>
      <c r="CY274" s="61">
        <f>CY85*(1-CY101)</f>
        <v>443.05135951661623</v>
      </c>
      <c r="CZ274" s="90"/>
      <c r="DA274" s="61">
        <f>DA85*(1-DA101)</f>
        <v>102.03924148606805</v>
      </c>
      <c r="DB274" s="61">
        <f>DB85*(1-DB101)</f>
        <v>103.0065185185186</v>
      </c>
      <c r="DC274" s="61">
        <f>DC85*(1-DC101)</f>
        <v>93.687164906580023</v>
      </c>
      <c r="DD274" s="61">
        <f>DD85*(1-DD101)</f>
        <v>89.00949208992489</v>
      </c>
      <c r="DE274" s="61">
        <f>DE85*(1-DE101)</f>
        <v>387.95585337012216</v>
      </c>
      <c r="DF274" s="90"/>
      <c r="DG274" s="61">
        <f>DG85*(1-DG101)</f>
        <v>76.036363636363646</v>
      </c>
      <c r="DH274" s="61">
        <f>DH85*(1-DH101)</f>
        <v>84.723518850987347</v>
      </c>
      <c r="DI274" s="61">
        <f>DI85*(1-DI101)</f>
        <v>59.401410256410266</v>
      </c>
      <c r="DJ274" s="61">
        <f>DJ85*(1-DJ101)</f>
        <v>62.788944723618087</v>
      </c>
      <c r="DK274" s="61">
        <f>DK85*(1-DK101)</f>
        <v>282.95521739130419</v>
      </c>
      <c r="DL274" s="90"/>
      <c r="DM274" s="61">
        <f>DM85*(1-DM101)</f>
        <v>69.617880085653127</v>
      </c>
      <c r="DN274" s="61">
        <f>DN85*(1-DN101)</f>
        <v>48.29629629629634</v>
      </c>
      <c r="DO274" s="61">
        <f>DO85*(1-DO101)</f>
        <v>38.395999999999901</v>
      </c>
      <c r="DP274" s="61">
        <f>DP85*(1-DP101)</f>
        <v>57.636479128856578</v>
      </c>
      <c r="DQ274" s="61">
        <f>DQ85*(1-DQ101)</f>
        <v>213.32760375880954</v>
      </c>
      <c r="DR274" s="90"/>
      <c r="DS274" s="61">
        <f>DS85*(1-DS101)</f>
        <v>-19.966850615521167</v>
      </c>
      <c r="DT274" s="61">
        <f>DT85*(1-DT101)</f>
        <v>19.143478260869607</v>
      </c>
      <c r="DU274" s="61">
        <f>DU85*(1-DU101)</f>
        <v>-31.747628083491442</v>
      </c>
      <c r="DV274" s="61">
        <f>DV85*(1-DV101)</f>
        <v>-60.308019441069263</v>
      </c>
      <c r="DW274" s="61">
        <f>DW85*(1-DW101)</f>
        <v>-92.869042825256187</v>
      </c>
      <c r="DX274" s="90"/>
      <c r="DY274" s="61">
        <f>DY85*(1-DY101)</f>
        <v>-29.246808510638246</v>
      </c>
      <c r="DZ274" s="61">
        <f>DZ85*(1-DZ101)</f>
        <v>-21.283284457478072</v>
      </c>
      <c r="EA274" s="61">
        <f>EA85*(1-EA101)</f>
        <v>-19.374789915966431</v>
      </c>
      <c r="EB274" s="61">
        <f>EB85*(1-EB101)</f>
        <v>-12.946096654275143</v>
      </c>
      <c r="EC274" s="61">
        <f>EC85*(1-EC101)</f>
        <v>-82.850382741823594</v>
      </c>
      <c r="ED274" s="90"/>
      <c r="EE274" s="61">
        <f>EE85*(1-EE101)</f>
        <v>21.012589334199816</v>
      </c>
      <c r="EF274" s="61">
        <f>EF85*(1-EF101)</f>
        <v>49.751536281955623</v>
      </c>
      <c r="EG274" s="61">
        <f>EG85*(1-EG101)</f>
        <v>78.418663962200895</v>
      </c>
      <c r="EH274" s="61">
        <f>EH85*(1-EH101)</f>
        <v>102.08253606410184</v>
      </c>
      <c r="EI274" s="61">
        <f>EI85*(1-EI101)</f>
        <v>251.26532564245832</v>
      </c>
      <c r="EJ274" s="90"/>
      <c r="EK274" s="61">
        <f>EK85*(1-EK101)</f>
        <v>127.84498827733118</v>
      </c>
      <c r="EL274" s="61">
        <f>EL85*(1-EL101)</f>
        <v>166.22500703553769</v>
      </c>
      <c r="EM274" s="61">
        <f>EM85*(1-EM101)</f>
        <v>194.46649163519953</v>
      </c>
      <c r="EN274" s="61">
        <f>EN85*(1-EN101)</f>
        <v>241.82822123099371</v>
      </c>
      <c r="EO274" s="61">
        <f>EO85*(1-EO101)</f>
        <v>730.36470817906195</v>
      </c>
      <c r="EP274" s="90"/>
      <c r="EQ274" s="61">
        <f>EQ85*(1-EQ101)</f>
        <v>159.56796376922713</v>
      </c>
      <c r="ER274" s="61">
        <f>ER85*(1-ER101)</f>
        <v>238.79988075410631</v>
      </c>
      <c r="ES274" s="61">
        <f>ES85*(1-ES101)</f>
        <v>307.13173732962201</v>
      </c>
      <c r="ET274" s="61">
        <f>ET85*(1-ET101)</f>
        <v>410.80950360660233</v>
      </c>
      <c r="EU274" s="61">
        <f>EU85*(1-EU101)</f>
        <v>1116.309085459558</v>
      </c>
      <c r="EV274" s="90"/>
    </row>
    <row r="275" spans="1:152" ht="12.75" hidden="1" customHeight="1" outlineLevel="1">
      <c r="A275" s="90" t="s">
        <v>1065</v>
      </c>
      <c r="B275" s="520"/>
      <c r="C275" s="61"/>
      <c r="D275" s="61"/>
      <c r="E275" s="61"/>
      <c r="F275" s="61"/>
      <c r="G275" s="62"/>
      <c r="H275" s="62"/>
      <c r="I275" s="108">
        <f>I274/I153</f>
        <v>2.821490041799854E-2</v>
      </c>
      <c r="J275" s="108">
        <f>J274/J153</f>
        <v>9.2436078029623933E-2</v>
      </c>
      <c r="K275" s="108">
        <f>K274/K153</f>
        <v>0.10695110508757295</v>
      </c>
      <c r="L275" s="108">
        <f>L274/L153</f>
        <v>0.15131923829045338</v>
      </c>
      <c r="M275" s="108">
        <f>M274/M153</f>
        <v>0.38194938285897007</v>
      </c>
      <c r="N275" s="62"/>
      <c r="O275" s="108">
        <f>O274/O153</f>
        <v>0.13384218859878214</v>
      </c>
      <c r="P275" s="108">
        <f>P274/P153</f>
        <v>0.13856859165079952</v>
      </c>
      <c r="Q275" s="108">
        <f>Q274/Q153</f>
        <v>9.3196864945628052E-2</v>
      </c>
      <c r="R275" s="108">
        <f>R274/R153</f>
        <v>0.11134148077648252</v>
      </c>
      <c r="S275" s="108">
        <f>S274/S153</f>
        <v>0.48042927213431302</v>
      </c>
      <c r="T275" s="61"/>
      <c r="U275" s="108">
        <f>U274/U153</f>
        <v>2.543175818115366E-2</v>
      </c>
      <c r="V275" s="108">
        <f>V274/V153</f>
        <v>7.0307107793342568E-3</v>
      </c>
      <c r="W275" s="108">
        <f>W274/W153</f>
        <v>4.9934538582134209E-2</v>
      </c>
      <c r="X275" s="108">
        <f>X274/X153</f>
        <v>0.10121418920821629</v>
      </c>
      <c r="Y275" s="108">
        <f>Y274/Y153</f>
        <v>0.18299940327579134</v>
      </c>
      <c r="Z275" s="90"/>
      <c r="AA275" s="108">
        <f>AA274/AA153</f>
        <v>0.12142478376235122</v>
      </c>
      <c r="AB275" s="108">
        <f>AB274/AB153</f>
        <v>0.11743998481585152</v>
      </c>
      <c r="AC275" s="108">
        <f>AC274/AC153</f>
        <v>0.10281814329098314</v>
      </c>
      <c r="AD275" s="108">
        <f>AD274/AD153</f>
        <v>0.13305261513506608</v>
      </c>
      <c r="AE275" s="108">
        <f>AE274/AE153</f>
        <v>0.47637126497005489</v>
      </c>
      <c r="AF275" s="90"/>
      <c r="AG275" s="108">
        <f>AG274/AG153</f>
        <v>0.13150741572439609</v>
      </c>
      <c r="AH275" s="108">
        <f>AH274/AH153</f>
        <v>0.10785636960003699</v>
      </c>
      <c r="AI275" s="108">
        <f>AI274/AI153</f>
        <v>7.9109320013631454E-2</v>
      </c>
      <c r="AJ275" s="108">
        <f>AJ274/AJ153</f>
        <v>0.15643373855077572</v>
      </c>
      <c r="AK275" s="108">
        <f>AK274/AK153</f>
        <v>0.47570021042249433</v>
      </c>
      <c r="AL275" s="90"/>
      <c r="AM275" s="108">
        <f>AM274/AM153</f>
        <v>6.9865427248692949E-2</v>
      </c>
      <c r="AN275" s="108">
        <f>AN274/AN153</f>
        <v>4.5087972937046181E-2</v>
      </c>
      <c r="AO275" s="108">
        <f>AO274/AO153</f>
        <v>1.7467706865585044E-2</v>
      </c>
      <c r="AP275" s="108">
        <f>AP274/AP153</f>
        <v>2.7312746552355691E-2</v>
      </c>
      <c r="AQ275" s="108">
        <f>AQ274/AQ153</f>
        <v>0.16097451845082736</v>
      </c>
      <c r="AR275" s="61"/>
      <c r="AS275" s="108">
        <f>AS274/AS153</f>
        <v>2.2130763747970329E-2</v>
      </c>
      <c r="AT275" s="108">
        <f>AT274/AT153</f>
        <v>4.6689868542770345E-2</v>
      </c>
      <c r="AU275" s="108">
        <f>AU274/AU153</f>
        <v>9.2997092551607E-2</v>
      </c>
      <c r="AV275" s="108">
        <f>AV274/AV153</f>
        <v>0.19321217817963562</v>
      </c>
      <c r="AW275" s="108">
        <f>AW274/AW153</f>
        <v>0.35951950489080298</v>
      </c>
      <c r="AX275" s="90"/>
      <c r="AY275" s="108">
        <f>AY274/AY153</f>
        <v>0.20913393534056154</v>
      </c>
      <c r="AZ275" s="108">
        <f>AZ274/AZ153</f>
        <v>0.17488562505219662</v>
      </c>
      <c r="BA275" s="108">
        <f>BA274/BA153</f>
        <v>0.18577071142550347</v>
      </c>
      <c r="BB275" s="108">
        <f>BB274/BB153</f>
        <v>0.28774938948962936</v>
      </c>
      <c r="BC275" s="108">
        <f>BC274/BC153</f>
        <v>0.86048170701556059</v>
      </c>
      <c r="BD275" s="90"/>
      <c r="BE275" s="108">
        <f>BE274/BE153</f>
        <v>0.30053740637720028</v>
      </c>
      <c r="BF275" s="108">
        <f>BF274/BF153</f>
        <v>0.29356981046827563</v>
      </c>
      <c r="BG275" s="108">
        <f>BG274/BG153</f>
        <v>0.30645008610185198</v>
      </c>
      <c r="BH275" s="108">
        <f>BH274/BH153</f>
        <v>0.35936954458022374</v>
      </c>
      <c r="BI275" s="108">
        <f>BI274/BI153</f>
        <v>1.2598249753945761</v>
      </c>
      <c r="BJ275" s="90"/>
      <c r="BK275" s="108">
        <f>BK274/BK153</f>
        <v>0.31303222037040174</v>
      </c>
      <c r="BL275" s="108">
        <f>BL274/BL153</f>
        <v>0.38191965187400501</v>
      </c>
      <c r="BM275" s="108">
        <f>BM274/BM153</f>
        <v>0.33577163351485273</v>
      </c>
      <c r="BN275" s="108">
        <f>BN274/BN153</f>
        <v>0.44509523171562226</v>
      </c>
      <c r="BO275" s="108">
        <f>BO274/BO153</f>
        <v>1.4868506519376818</v>
      </c>
      <c r="BP275" s="90"/>
      <c r="BQ275" s="108">
        <f>BQ274/BQ153</f>
        <v>0.40566828141431227</v>
      </c>
      <c r="BR275" s="108">
        <f>BR274/BR153</f>
        <v>0.43324736681984238</v>
      </c>
      <c r="BS275" s="108">
        <f>BS274/BS153</f>
        <v>0.45980432764562318</v>
      </c>
      <c r="BT275" s="108">
        <f>BT274/BT153</f>
        <v>0.49772280162772525</v>
      </c>
      <c r="BU275" s="108">
        <f>BU274/BU153</f>
        <v>1.7951507591052551</v>
      </c>
      <c r="BV275" s="90"/>
      <c r="BW275" s="108">
        <f>BW274/BW153</f>
        <v>0.48131351644943088</v>
      </c>
      <c r="BX275" s="108">
        <f>BX274/BX153</f>
        <v>0.54378589486482776</v>
      </c>
      <c r="BY275" s="108">
        <f>BY274/BY153</f>
        <v>0.57529318764008996</v>
      </c>
      <c r="BZ275" s="108">
        <f>BZ274/BZ153</f>
        <v>0.31413004659925503</v>
      </c>
      <c r="CA275" s="108">
        <f>CA274/CA153</f>
        <v>1.9130855193729026</v>
      </c>
      <c r="CB275" s="90"/>
      <c r="CC275" s="108">
        <f>CC274/CC153</f>
        <v>0.18280977312390931</v>
      </c>
      <c r="CD275" s="108">
        <f>CD274/CD153</f>
        <v>0.20971690418469743</v>
      </c>
      <c r="CE275" s="108">
        <f>CE274/CE153</f>
        <v>0.25119661735373189</v>
      </c>
      <c r="CF275" s="108">
        <f>CF274/CF153</f>
        <v>0.29123472926513189</v>
      </c>
      <c r="CG275" s="108">
        <f>CG274/CG153</f>
        <v>0.93572642147078333</v>
      </c>
      <c r="CH275" s="90"/>
      <c r="CI275" s="108">
        <f>CI274/CI153</f>
        <v>0.29916054410132342</v>
      </c>
      <c r="CJ275" s="108">
        <f>CJ274/CJ153</f>
        <v>0.36324626152701939</v>
      </c>
      <c r="CK275" s="108">
        <f>CK274/CK153</f>
        <v>0.31487121359255787</v>
      </c>
      <c r="CL275" s="108">
        <f>CL274/CL153</f>
        <v>0.34733181593270673</v>
      </c>
      <c r="CM275" s="108">
        <f>CM274/CM153</f>
        <v>1.3248811158492528</v>
      </c>
      <c r="CN275" s="90"/>
      <c r="CO275" s="108">
        <f>CO274/CO153</f>
        <v>0.37653884436946428</v>
      </c>
      <c r="CP275" s="108">
        <f>CP274/CP153</f>
        <v>0.43998309382924772</v>
      </c>
      <c r="CQ275" s="108">
        <f>CQ274/CQ153</f>
        <v>0.43899178074518741</v>
      </c>
      <c r="CR275" s="108">
        <f>CR274/CR153</f>
        <v>0.45475245937922126</v>
      </c>
      <c r="CS275" s="108">
        <f>CS274/CS153</f>
        <v>1.7092710230885779</v>
      </c>
      <c r="CT275" s="90"/>
      <c r="CU275" s="108">
        <f>CU274/CU153</f>
        <v>0.45839284198959557</v>
      </c>
      <c r="CV275" s="108">
        <f>CV274/CV153</f>
        <v>0.46638160194450984</v>
      </c>
      <c r="CW275" s="108">
        <f>CW274/CW153</f>
        <v>0.46832492419793631</v>
      </c>
      <c r="CX275" s="108">
        <f>CX274/CX153</f>
        <v>0.52075895330196431</v>
      </c>
      <c r="CY275" s="108">
        <f>CY274/CY153</f>
        <v>1.9132089367013547</v>
      </c>
      <c r="CZ275" s="90"/>
      <c r="DA275" s="108">
        <f>DA274/DA153</f>
        <v>0.44500323369414763</v>
      </c>
      <c r="DB275" s="108">
        <f>DB274/DB153</f>
        <v>0.45118930581917915</v>
      </c>
      <c r="DC275" s="108">
        <f>DC274/DC153</f>
        <v>0.41144999958972345</v>
      </c>
      <c r="DD275" s="108">
        <f>DD274/DD153</f>
        <v>0.38515574249210255</v>
      </c>
      <c r="DE275" s="108">
        <f>DE274/DE153</f>
        <v>1.693390892056404</v>
      </c>
      <c r="DF275" s="90"/>
      <c r="DG275" s="108">
        <f>DG274/DG153</f>
        <v>0.32830899670277913</v>
      </c>
      <c r="DH275" s="108">
        <f>DH274/DH153</f>
        <v>0.3645590312004619</v>
      </c>
      <c r="DI275" s="108">
        <f>DI274/DI153</f>
        <v>0.25659356482250656</v>
      </c>
      <c r="DJ275" s="108">
        <f>DJ274/DJ153</f>
        <v>0.27040889200524587</v>
      </c>
      <c r="DK275" s="108">
        <f>DK274/DK153</f>
        <v>1.2200289636361072</v>
      </c>
      <c r="DL275" s="90"/>
      <c r="DM275" s="108">
        <f>DM274/DM153</f>
        <v>0.30046560244131693</v>
      </c>
      <c r="DN275" s="108">
        <f>DN274/DN153</f>
        <v>0.20898440630158521</v>
      </c>
      <c r="DO275" s="108">
        <f>DO274/DO153</f>
        <v>0.167888062964582</v>
      </c>
      <c r="DP275" s="108">
        <f>DP274/DP153</f>
        <v>0.25157782247427579</v>
      </c>
      <c r="DQ275" s="108">
        <f>DQ274/DQ153</f>
        <v>0.92690681624509907</v>
      </c>
      <c r="DR275" s="90"/>
      <c r="DS275" s="108">
        <f>DS274/DS153</f>
        <v>-8.897883518503194E-2</v>
      </c>
      <c r="DT275" s="108">
        <f>DT274/DT153</f>
        <v>8.4184161217544448E-2</v>
      </c>
      <c r="DU275" s="108">
        <f>DU274/DU153</f>
        <v>-0.1428143413562368</v>
      </c>
      <c r="DV275" s="108">
        <f>DV274/DV153</f>
        <v>-0.27276354337887498</v>
      </c>
      <c r="DW275" s="108">
        <f>DW274/DW153</f>
        <v>-0.41496444515306607</v>
      </c>
      <c r="DX275" s="90"/>
      <c r="DY275" s="108">
        <f>DY274/DY153</f>
        <v>-0.13300049345447132</v>
      </c>
      <c r="DZ275" s="108">
        <f>DZ274/DZ153</f>
        <v>-9.6962571560264568E-2</v>
      </c>
      <c r="EA275" s="108">
        <f>EA274/EA153</f>
        <v>-8.8227640783089395E-2</v>
      </c>
      <c r="EB275" s="108">
        <f>EB274/EB153</f>
        <v>-5.9087615948311932E-2</v>
      </c>
      <c r="EC275" s="108">
        <f>EC274/EC153</f>
        <v>-0.37740750594157202</v>
      </c>
      <c r="ED275" s="90"/>
      <c r="EE275" s="108">
        <f>EE274/EE153</f>
        <v>9.6009636188034472E-2</v>
      </c>
      <c r="EF275" s="108">
        <f>EF274/EF153</f>
        <v>0.22784788663568289</v>
      </c>
      <c r="EG275" s="108">
        <f>EG274/EG153</f>
        <v>0.3599676959495251</v>
      </c>
      <c r="EH275" s="108">
        <f>EH274/EH153</f>
        <v>0.46968150026133537</v>
      </c>
      <c r="EI275" s="108">
        <f>EI274/EI153</f>
        <v>1.1520559429438182</v>
      </c>
      <c r="EJ275" s="90"/>
      <c r="EK275" s="108">
        <f>EK274/EK153</f>
        <v>0.59311935720492037</v>
      </c>
      <c r="EL275" s="108">
        <f>EL274/EL153</f>
        <v>0.77662330157263781</v>
      </c>
      <c r="EM275" s="108">
        <f>EM274/EM153</f>
        <v>0.91286794424481588</v>
      </c>
      <c r="EN275" s="108">
        <f>EN274/EN153</f>
        <v>1.140588515037096</v>
      </c>
      <c r="EO275" s="108">
        <f>EO274/EO153</f>
        <v>3.418386181225209</v>
      </c>
      <c r="EP275" s="90"/>
      <c r="EQ275" s="108">
        <f>EQ274/EQ153</f>
        <v>0.75717674266486734</v>
      </c>
      <c r="ER275" s="108">
        <f>ER274/ER153</f>
        <v>1.135853856524726</v>
      </c>
      <c r="ES275" s="108">
        <f>ES274/ES153</f>
        <v>1.4643750386738958</v>
      </c>
      <c r="ET275" s="108">
        <f>ET274/ET153</f>
        <v>1.9634048777380511</v>
      </c>
      <c r="EU275" s="108">
        <f>EU274/EU153</f>
        <v>5.3160876727763684</v>
      </c>
      <c r="EV275" s="90"/>
    </row>
    <row r="276" spans="1:152" ht="12.75" hidden="1" customHeight="1" outlineLevel="1">
      <c r="A276" s="22" t="s">
        <v>714</v>
      </c>
      <c r="B276" s="519" t="s">
        <v>6430</v>
      </c>
      <c r="C276" s="23"/>
      <c r="D276" s="23"/>
      <c r="E276" s="23"/>
      <c r="F276" s="23"/>
      <c r="G276" s="23"/>
      <c r="H276" s="24"/>
      <c r="I276" s="23"/>
      <c r="J276" s="23"/>
      <c r="K276" s="23"/>
      <c r="L276" s="23"/>
      <c r="M276" s="23"/>
      <c r="N276" s="24"/>
      <c r="O276" s="23"/>
      <c r="P276" s="23"/>
      <c r="Q276" s="23"/>
      <c r="R276" s="23"/>
      <c r="S276" s="23"/>
      <c r="T276" s="24"/>
      <c r="U276" s="23"/>
      <c r="V276" s="23"/>
      <c r="W276" s="23"/>
      <c r="X276" s="23"/>
      <c r="Y276" s="23"/>
      <c r="Z276" s="24"/>
      <c r="AA276" s="23"/>
      <c r="AB276" s="23"/>
      <c r="AC276" s="23"/>
      <c r="AD276" s="23"/>
      <c r="AE276" s="23"/>
      <c r="AF276" s="24"/>
      <c r="AG276" s="142">
        <f>Metrics!AG327</f>
        <v>25</v>
      </c>
      <c r="AH276" s="142">
        <f>Metrics!AH327</f>
        <v>61.2</v>
      </c>
      <c r="AI276" s="142">
        <f>Metrics!AI327</f>
        <v>48.8</v>
      </c>
      <c r="AJ276" s="142">
        <f>Metrics!AJ327</f>
        <v>94.7</v>
      </c>
      <c r="AK276" s="142">
        <f>Metrics!AK327</f>
        <v>229.7</v>
      </c>
      <c r="AL276" s="24"/>
      <c r="AM276" s="142">
        <f>Metrics!AM327</f>
        <v>38.9</v>
      </c>
      <c r="AN276" s="142">
        <f>Metrics!AN327</f>
        <v>26.5</v>
      </c>
      <c r="AO276" s="142">
        <f>Metrics!AO327</f>
        <v>21.3</v>
      </c>
      <c r="AP276" s="142">
        <f>Metrics!AP327</f>
        <v>38.1</v>
      </c>
      <c r="AQ276" s="142">
        <f>Metrics!AQ327</f>
        <v>124.80000000000001</v>
      </c>
      <c r="AR276" s="24"/>
      <c r="AS276" s="142">
        <f>Metrics!AS327</f>
        <v>30.6</v>
      </c>
      <c r="AT276" s="142">
        <f>Metrics!AT327</f>
        <v>46</v>
      </c>
      <c r="AU276" s="142">
        <f>Metrics!AU327</f>
        <v>57.6</v>
      </c>
      <c r="AV276" s="142">
        <f>Metrics!AV327</f>
        <v>99.8</v>
      </c>
      <c r="AW276" s="142">
        <f>Metrics!AW327</f>
        <v>234</v>
      </c>
      <c r="AX276" s="24"/>
      <c r="AY276" s="142">
        <f>Metrics!AY327</f>
        <v>66.2</v>
      </c>
      <c r="AZ276" s="142">
        <f>Metrics!AZ327</f>
        <v>46.4</v>
      </c>
      <c r="BA276" s="142">
        <f>Metrics!BA327</f>
        <v>55.8</v>
      </c>
      <c r="BB276" s="142">
        <f>Metrics!BB327</f>
        <v>92.9</v>
      </c>
      <c r="BC276" s="142">
        <f>Metrics!BC327</f>
        <v>261.29999999999995</v>
      </c>
      <c r="BD276" s="24"/>
      <c r="BE276" s="142">
        <f>Metrics!BE327</f>
        <v>60.4</v>
      </c>
      <c r="BF276" s="142">
        <f>Metrics!BF327</f>
        <v>71</v>
      </c>
      <c r="BG276" s="142">
        <f>Metrics!BG327</f>
        <v>63.6</v>
      </c>
      <c r="BH276" s="142">
        <f>Metrics!BH327</f>
        <v>76.099999999999994</v>
      </c>
      <c r="BI276" s="142">
        <f>Metrics!BI327</f>
        <v>271.10000000000002</v>
      </c>
      <c r="BJ276" s="24"/>
      <c r="BK276" s="142">
        <f>Metrics!BK327</f>
        <v>75.2</v>
      </c>
      <c r="BL276" s="142">
        <f>Metrics!BL327</f>
        <v>49.1</v>
      </c>
      <c r="BM276" s="142">
        <f>Metrics!BM327</f>
        <v>51</v>
      </c>
      <c r="BN276" s="142">
        <f>Metrics!BN327</f>
        <v>78</v>
      </c>
      <c r="BO276" s="142">
        <f>Metrics!BO327</f>
        <v>253.3</v>
      </c>
      <c r="BP276" s="24"/>
      <c r="BQ276" s="142">
        <f>Metrics!BQ327</f>
        <v>71</v>
      </c>
      <c r="BR276" s="142">
        <f>Metrics!BR327</f>
        <v>46</v>
      </c>
      <c r="BS276" s="142">
        <f>Metrics!BS327</f>
        <v>43.45</v>
      </c>
      <c r="BT276" s="142">
        <f>Metrics!BT327</f>
        <v>50</v>
      </c>
      <c r="BU276" s="142">
        <f>Metrics!BU327</f>
        <v>210.45</v>
      </c>
      <c r="BV276" s="24"/>
      <c r="BW276" s="142">
        <f>Metrics!BW327</f>
        <v>61.06</v>
      </c>
      <c r="BX276" s="142">
        <f>Metrics!BX327</f>
        <v>58</v>
      </c>
      <c r="BY276" s="142">
        <f>Metrics!BY327</f>
        <v>42.5</v>
      </c>
      <c r="BZ276" s="142">
        <f>Metrics!BZ327</f>
        <v>34</v>
      </c>
      <c r="CA276" s="142">
        <f>Metrics!CA327</f>
        <v>195.56</v>
      </c>
      <c r="CB276" s="24"/>
      <c r="CC276" s="142">
        <f>Metrics!CC327</f>
        <v>43</v>
      </c>
      <c r="CD276" s="142">
        <f>Metrics!CD327</f>
        <v>26</v>
      </c>
      <c r="CE276" s="142">
        <f>Metrics!CE327</f>
        <v>26</v>
      </c>
      <c r="CF276" s="142">
        <f>Metrics!CF327</f>
        <v>37</v>
      </c>
      <c r="CG276" s="142">
        <f>Metrics!CG327</f>
        <v>132</v>
      </c>
      <c r="CH276" s="24"/>
      <c r="CI276" s="142">
        <f>Metrics!CI327</f>
        <v>51</v>
      </c>
      <c r="CJ276" s="142">
        <f>Metrics!CJ327</f>
        <v>18</v>
      </c>
      <c r="CK276" s="142">
        <f>Metrics!CK327</f>
        <v>32</v>
      </c>
      <c r="CL276" s="142">
        <f>Metrics!CL327</f>
        <v>61</v>
      </c>
      <c r="CM276" s="142">
        <f>Metrics!CM327</f>
        <v>162</v>
      </c>
      <c r="CN276" s="24"/>
      <c r="CO276" s="142">
        <f>Metrics!CO327</f>
        <v>53</v>
      </c>
      <c r="CP276" s="142">
        <f>Metrics!CP327</f>
        <v>41</v>
      </c>
      <c r="CQ276" s="142">
        <f>Metrics!CQ327</f>
        <v>37</v>
      </c>
      <c r="CR276" s="142">
        <f>Metrics!CR327</f>
        <v>54</v>
      </c>
      <c r="CS276" s="142">
        <f>Metrics!CS327</f>
        <v>185</v>
      </c>
      <c r="CT276" s="24"/>
      <c r="CU276" s="142">
        <f>Metrics!CU327</f>
        <v>47</v>
      </c>
      <c r="CV276" s="142">
        <f>Metrics!CV327</f>
        <v>34</v>
      </c>
      <c r="CW276" s="142">
        <f>Metrics!CW327</f>
        <v>32</v>
      </c>
      <c r="CX276" s="142">
        <f>Metrics!CX327</f>
        <v>62</v>
      </c>
      <c r="CY276" s="142">
        <f>Metrics!CY327</f>
        <v>175</v>
      </c>
      <c r="CZ276" s="24"/>
      <c r="DA276" s="142">
        <f>Metrics!DA327</f>
        <v>42.300000000000004</v>
      </c>
      <c r="DB276" s="142">
        <f>Metrics!DB327</f>
        <v>30.6</v>
      </c>
      <c r="DC276" s="142">
        <f>Metrics!DC327</f>
        <v>28.8</v>
      </c>
      <c r="DD276" s="142">
        <f>Metrics!DD327</f>
        <v>55.800000000000004</v>
      </c>
      <c r="DE276" s="142">
        <f>Metrics!DE327</f>
        <v>157.5</v>
      </c>
      <c r="DF276" s="24"/>
      <c r="DG276" s="142">
        <f>Metrics!DG327</f>
        <v>54.990000000000009</v>
      </c>
      <c r="DH276" s="142">
        <f>Metrics!DH327</f>
        <v>45.900000000000006</v>
      </c>
      <c r="DI276" s="142">
        <f>Metrics!DI327</f>
        <v>51.84</v>
      </c>
      <c r="DJ276" s="142">
        <f>Metrics!DJ327</f>
        <v>111.60000000000001</v>
      </c>
      <c r="DK276" s="142">
        <f>Metrics!DK327</f>
        <v>264.33000000000004</v>
      </c>
      <c r="DL276" s="24"/>
      <c r="DM276" s="142">
        <f>Metrics!DM327</f>
        <v>0</v>
      </c>
      <c r="DN276" s="142">
        <f>Metrics!DN327</f>
        <v>0</v>
      </c>
      <c r="DO276" s="142">
        <f>Metrics!DO327</f>
        <v>0</v>
      </c>
      <c r="DP276" s="142">
        <f>Metrics!DP327</f>
        <v>0</v>
      </c>
      <c r="DQ276" s="142">
        <f>Metrics!DQ327</f>
        <v>0</v>
      </c>
      <c r="DR276" s="24"/>
      <c r="DS276" s="142">
        <f>Metrics!DS327</f>
        <v>0</v>
      </c>
      <c r="DT276" s="142">
        <f>Metrics!DT327</f>
        <v>0</v>
      </c>
      <c r="DU276" s="142">
        <f>Metrics!DU327</f>
        <v>0</v>
      </c>
      <c r="DV276" s="142">
        <f>Metrics!DV327</f>
        <v>0</v>
      </c>
      <c r="DW276" s="142">
        <f>Metrics!DW327</f>
        <v>0</v>
      </c>
      <c r="DX276" s="24"/>
      <c r="DY276" s="142">
        <f>Metrics!DY327</f>
        <v>0</v>
      </c>
      <c r="DZ276" s="142">
        <f>Metrics!DZ327</f>
        <v>0</v>
      </c>
      <c r="EA276" s="142">
        <f>Metrics!EA327</f>
        <v>0</v>
      </c>
      <c r="EB276" s="142">
        <f>Metrics!EB327</f>
        <v>0</v>
      </c>
      <c r="EC276" s="142">
        <f>Metrics!EC327</f>
        <v>0</v>
      </c>
      <c r="ED276" s="24"/>
      <c r="EE276" s="142">
        <f>Metrics!EE327</f>
        <v>0</v>
      </c>
      <c r="EF276" s="142">
        <f>Metrics!EF327</f>
        <v>0</v>
      </c>
      <c r="EG276" s="142">
        <f>Metrics!EG327</f>
        <v>0</v>
      </c>
      <c r="EH276" s="142">
        <f>Metrics!EH327</f>
        <v>0</v>
      </c>
      <c r="EI276" s="142">
        <f>Metrics!EI327</f>
        <v>0</v>
      </c>
      <c r="EJ276" s="24"/>
      <c r="EK276" s="142">
        <f>Metrics!EK327</f>
        <v>0</v>
      </c>
      <c r="EL276" s="142">
        <f>Metrics!EL327</f>
        <v>0</v>
      </c>
      <c r="EM276" s="142">
        <f>Metrics!EM327</f>
        <v>0</v>
      </c>
      <c r="EN276" s="142">
        <f>Metrics!EN327</f>
        <v>0</v>
      </c>
      <c r="EO276" s="142">
        <f>Metrics!EO327</f>
        <v>0</v>
      </c>
      <c r="EP276" s="24"/>
      <c r="EQ276" s="142">
        <f>Metrics!EQ327</f>
        <v>0</v>
      </c>
      <c r="ER276" s="142">
        <f>Metrics!ER327</f>
        <v>0</v>
      </c>
      <c r="ES276" s="142">
        <f>Metrics!ES327</f>
        <v>0</v>
      </c>
      <c r="ET276" s="142">
        <f>Metrics!ET327</f>
        <v>0</v>
      </c>
      <c r="EU276" s="142">
        <f>Metrics!EU327</f>
        <v>0</v>
      </c>
      <c r="EV276" s="24"/>
    </row>
    <row r="277" spans="1:152" ht="12.75" hidden="1" customHeight="1" outlineLevel="1">
      <c r="A277" s="22"/>
      <c r="B277" s="519"/>
      <c r="C277" s="23"/>
      <c r="D277" s="23"/>
      <c r="E277" s="23"/>
      <c r="F277" s="23"/>
      <c r="G277" s="23"/>
      <c r="H277" s="24"/>
      <c r="I277" s="23"/>
      <c r="J277" s="23"/>
      <c r="K277" s="23"/>
      <c r="L277" s="23"/>
      <c r="M277" s="23"/>
      <c r="N277" s="24"/>
      <c r="O277" s="23"/>
      <c r="P277" s="23"/>
      <c r="Q277" s="23"/>
      <c r="R277" s="23"/>
      <c r="S277" s="23"/>
      <c r="T277" s="24"/>
      <c r="U277" s="23"/>
      <c r="V277" s="23"/>
      <c r="W277" s="23"/>
      <c r="X277" s="23"/>
      <c r="Y277" s="23"/>
      <c r="Z277" s="24"/>
      <c r="AA277" s="23"/>
      <c r="AB277" s="23"/>
      <c r="AC277" s="23"/>
      <c r="AD277" s="23"/>
      <c r="AE277" s="23"/>
      <c r="AF277" s="24"/>
      <c r="AG277" s="142"/>
      <c r="AH277" s="142"/>
      <c r="AI277" s="142"/>
      <c r="AJ277" s="142"/>
      <c r="AK277" s="142"/>
      <c r="AL277" s="24"/>
      <c r="AM277" s="142"/>
      <c r="AN277" s="142"/>
      <c r="AO277" s="142"/>
      <c r="AP277" s="142"/>
      <c r="AQ277" s="142"/>
      <c r="AR277" s="24"/>
      <c r="AS277" s="142"/>
      <c r="AT277" s="142"/>
      <c r="AU277" s="142"/>
      <c r="AV277" s="142"/>
      <c r="AW277" s="142"/>
      <c r="AX277" s="24"/>
      <c r="AY277" s="142"/>
      <c r="AZ277" s="142"/>
      <c r="BA277" s="142"/>
      <c r="BB277" s="142"/>
      <c r="BC277" s="142"/>
      <c r="BD277" s="24"/>
      <c r="BE277" s="142"/>
      <c r="BF277" s="142"/>
      <c r="BG277" s="142"/>
      <c r="BH277" s="142"/>
      <c r="BI277" s="142"/>
      <c r="BJ277" s="24"/>
      <c r="BK277" s="142"/>
      <c r="BL277" s="142"/>
      <c r="BM277" s="142"/>
      <c r="BN277" s="142"/>
      <c r="BO277" s="142"/>
      <c r="BP277" s="24"/>
      <c r="BQ277" s="142"/>
      <c r="BR277" s="142"/>
      <c r="BS277" s="142"/>
      <c r="BT277" s="142"/>
      <c r="BU277" s="142"/>
      <c r="BV277" s="24"/>
      <c r="BW277" s="142"/>
      <c r="BX277" s="142"/>
      <c r="BY277" s="142"/>
      <c r="BZ277" s="142"/>
      <c r="CA277" s="142"/>
      <c r="CB277" s="24"/>
      <c r="CC277" s="142"/>
      <c r="CD277" s="142"/>
      <c r="CE277" s="142"/>
      <c r="CF277" s="142"/>
      <c r="CG277" s="142"/>
      <c r="CH277" s="24"/>
      <c r="CI277" s="142"/>
      <c r="CJ277" s="142"/>
      <c r="CK277" s="142"/>
      <c r="CL277" s="142"/>
      <c r="CM277" s="142"/>
      <c r="CN277" s="24"/>
      <c r="CO277" s="142"/>
      <c r="CP277" s="142"/>
      <c r="CQ277" s="142"/>
      <c r="CR277" s="142"/>
      <c r="CS277" s="142"/>
      <c r="CT277" s="24"/>
      <c r="CU277" s="142"/>
      <c r="CV277" s="142"/>
      <c r="CW277" s="142"/>
      <c r="CX277" s="142"/>
      <c r="CY277" s="142"/>
      <c r="CZ277" s="24"/>
      <c r="DA277" s="142"/>
      <c r="DB277" s="142"/>
      <c r="DC277" s="142"/>
      <c r="DD277" s="142"/>
      <c r="DE277" s="142"/>
      <c r="DF277" s="24"/>
      <c r="DG277" s="142"/>
      <c r="DH277" s="142"/>
      <c r="DI277" s="142"/>
      <c r="DJ277" s="142"/>
      <c r="DK277" s="142"/>
      <c r="DL277" s="24"/>
      <c r="DM277" s="142"/>
      <c r="DN277" s="142"/>
      <c r="DO277" s="142"/>
      <c r="DP277" s="142"/>
      <c r="DQ277" s="142"/>
      <c r="DR277" s="24"/>
      <c r="DS277" s="142"/>
      <c r="DT277" s="142"/>
      <c r="DU277" s="142"/>
      <c r="DV277" s="142"/>
      <c r="DW277" s="142"/>
      <c r="DX277" s="24"/>
      <c r="DY277" s="142"/>
      <c r="DZ277" s="142"/>
      <c r="EA277" s="142"/>
      <c r="EB277" s="142"/>
      <c r="EC277" s="142"/>
      <c r="ED277" s="24"/>
      <c r="EE277" s="142"/>
      <c r="EF277" s="142"/>
      <c r="EG277" s="142"/>
      <c r="EH277" s="142"/>
      <c r="EI277" s="142"/>
      <c r="EJ277" s="24"/>
      <c r="EK277" s="142"/>
      <c r="EL277" s="142"/>
      <c r="EM277" s="142"/>
      <c r="EN277" s="142"/>
      <c r="EO277" s="142"/>
      <c r="EP277" s="24"/>
      <c r="EQ277" s="142"/>
      <c r="ER277" s="142"/>
      <c r="ES277" s="142"/>
      <c r="ET277" s="142"/>
      <c r="EU277" s="142"/>
      <c r="EV277" s="24"/>
    </row>
    <row r="278" spans="1:152" ht="12.75" hidden="1" customHeight="1" outlineLevel="1">
      <c r="A278" s="90" t="s">
        <v>5642</v>
      </c>
      <c r="B278" s="520" t="s">
        <v>2244</v>
      </c>
      <c r="C278" s="61">
        <f>BS!C30+BS!C37</f>
        <v>0</v>
      </c>
      <c r="D278" s="61">
        <f>BS!D30+BS!D37</f>
        <v>0</v>
      </c>
      <c r="E278" s="61">
        <f>BS!E30+BS!E37</f>
        <v>0</v>
      </c>
      <c r="F278" s="61">
        <f>BS!F30+BS!F37</f>
        <v>0</v>
      </c>
      <c r="G278" s="61">
        <f>F278</f>
        <v>0</v>
      </c>
      <c r="H278" s="62"/>
      <c r="I278" s="61">
        <f>BS!I30+BS!I37</f>
        <v>0</v>
      </c>
      <c r="J278" s="61">
        <f>BS!J30+BS!J37</f>
        <v>0</v>
      </c>
      <c r="K278" s="61">
        <f>BS!K30+BS!K37</f>
        <v>0</v>
      </c>
      <c r="L278" s="61">
        <f>BS!L30+BS!L37</f>
        <v>18.934000000000001</v>
      </c>
      <c r="M278" s="61">
        <f>L278</f>
        <v>18.934000000000001</v>
      </c>
      <c r="N278" s="62"/>
      <c r="O278" s="61">
        <f>BS!O30+BS!O37</f>
        <v>16.187999999999999</v>
      </c>
      <c r="P278" s="61">
        <f>BS!P30+BS!P37</f>
        <v>17.747</v>
      </c>
      <c r="Q278" s="61">
        <f>BS!Q30+BS!Q37</f>
        <v>16.734999999999999</v>
      </c>
      <c r="R278" s="61">
        <f>BS!R30+BS!R37</f>
        <v>24.832999999999998</v>
      </c>
      <c r="S278" s="61">
        <f>R278</f>
        <v>24.832999999999998</v>
      </c>
      <c r="T278" s="90"/>
      <c r="U278" s="61">
        <f>BS!U30+BS!U37</f>
        <v>40.878999999999998</v>
      </c>
      <c r="V278" s="61">
        <f>BS!V30+BS!V37</f>
        <v>49.822000000000003</v>
      </c>
      <c r="W278" s="61">
        <f>BS!W30+BS!W37</f>
        <v>43.703000000000003</v>
      </c>
      <c r="X278" s="61">
        <f>BS!X30+BS!X37</f>
        <v>33.603999999999999</v>
      </c>
      <c r="Y278" s="61">
        <f>X278</f>
        <v>33.603999999999999</v>
      </c>
      <c r="Z278" s="90"/>
      <c r="AA278" s="61">
        <f>BS!AA30+BS!AA37</f>
        <v>40.956000000000003</v>
      </c>
      <c r="AB278" s="61">
        <f>BS!AB30+BS!AB37</f>
        <v>43.825000000000003</v>
      </c>
      <c r="AC278" s="61">
        <f>BS!AC30+BS!AC37</f>
        <v>45.83</v>
      </c>
      <c r="AD278" s="61">
        <f>BS!AD30+BS!AD37</f>
        <v>50.993000000000002</v>
      </c>
      <c r="AE278" s="61">
        <f>AD278</f>
        <v>50.993000000000002</v>
      </c>
      <c r="AF278" s="90"/>
      <c r="AG278" s="61">
        <f>BS!AG30+BS!AG37</f>
        <v>49.670999999999999</v>
      </c>
      <c r="AH278" s="61">
        <f>BS!AH30+BS!AH37</f>
        <v>59</v>
      </c>
      <c r="AI278" s="61">
        <f>BS!AI30+BS!AI37</f>
        <v>59.9</v>
      </c>
      <c r="AJ278" s="61">
        <f>BS!AJ30+BS!AJ37</f>
        <v>65.474000000000004</v>
      </c>
      <c r="AK278" s="61">
        <f>AJ278</f>
        <v>65.474000000000004</v>
      </c>
      <c r="AL278" s="90"/>
      <c r="AM278" s="61">
        <f>BS!AM30+BS!AM37</f>
        <v>68.016999999999996</v>
      </c>
      <c r="AN278" s="61">
        <f>BS!AN30+BS!AN37</f>
        <v>74.221999999999994</v>
      </c>
      <c r="AO278" s="61">
        <f>BS!AO30+BS!AO37</f>
        <v>76.656000000000006</v>
      </c>
      <c r="AP278" s="61">
        <f>BS!AP30+BS!AP37</f>
        <v>93.241</v>
      </c>
      <c r="AQ278" s="61">
        <f>AP278</f>
        <v>93.241</v>
      </c>
      <c r="AR278" s="90"/>
      <c r="AS278" s="61">
        <f>BS!AS30+BS!AS37</f>
        <v>96.168000000000006</v>
      </c>
      <c r="AT278" s="61">
        <f>BS!AT30+BS!AT37</f>
        <v>104.378</v>
      </c>
      <c r="AU278" s="61">
        <f>BS!AU30+BS!AU37</f>
        <v>107.248</v>
      </c>
      <c r="AV278" s="61">
        <f>BS!AV30+BS!AV37</f>
        <v>127.276</v>
      </c>
      <c r="AW278" s="61">
        <f>AV278</f>
        <v>127.276</v>
      </c>
      <c r="AX278" s="90"/>
      <c r="AY278" s="61">
        <f>BS!AY30+BS!AY37</f>
        <v>136</v>
      </c>
      <c r="AZ278" s="61">
        <f>BS!AZ30+BS!AZ37</f>
        <v>149.19999999999999</v>
      </c>
      <c r="BA278" s="61">
        <f>BS!BA30+BS!BA37</f>
        <v>153.5</v>
      </c>
      <c r="BB278" s="61">
        <f>BS!BB30+BS!BB37</f>
        <v>189.1</v>
      </c>
      <c r="BC278" s="61">
        <f>BB278</f>
        <v>189.1</v>
      </c>
      <c r="BD278" s="90"/>
      <c r="BE278" s="61">
        <f>BS!BE30+BS!BE37</f>
        <v>213</v>
      </c>
      <c r="BF278" s="61">
        <f>BS!BF30+BS!BF37</f>
        <v>218.6</v>
      </c>
      <c r="BG278" s="61">
        <f>BS!BG30+BS!BG37</f>
        <v>227.1</v>
      </c>
      <c r="BH278" s="61">
        <f>BS!BH30+BS!BH37</f>
        <v>266.5</v>
      </c>
      <c r="BI278" s="61">
        <f>BH278</f>
        <v>266.5</v>
      </c>
      <c r="BJ278" s="90"/>
      <c r="BK278" s="61">
        <f>BS!BK30+BS!BK37</f>
        <v>307.89999999999998</v>
      </c>
      <c r="BL278" s="61">
        <f>BS!BL30+BS!BL37</f>
        <v>312.2</v>
      </c>
      <c r="BM278" s="61">
        <f>BS!BM30+BS!BM37</f>
        <v>313.8</v>
      </c>
      <c r="BN278" s="61">
        <f>BS!BN30+BS!BN37</f>
        <v>378.79999999999995</v>
      </c>
      <c r="BO278" s="61">
        <f>BN278</f>
        <v>378.79999999999995</v>
      </c>
      <c r="BP278" s="90"/>
      <c r="BQ278" s="61">
        <f>BS!BQ30+BS!BQ37</f>
        <v>399.9</v>
      </c>
      <c r="BR278" s="61">
        <f>BS!BR30+BS!BR37</f>
        <v>411.9</v>
      </c>
      <c r="BS278" s="61">
        <f>BS!BS30+BS!BS37</f>
        <v>423.9</v>
      </c>
      <c r="BT278" s="61">
        <f>BS!BT30+BS!BT37</f>
        <v>506.1</v>
      </c>
      <c r="BU278" s="61">
        <f>BT278</f>
        <v>506.1</v>
      </c>
      <c r="BV278" s="90"/>
      <c r="BW278" s="61">
        <f>BS!BW30+BS!BW37</f>
        <v>549.70000000000005</v>
      </c>
      <c r="BX278" s="61">
        <f>BS!BX30+BS!BX37</f>
        <v>562.6</v>
      </c>
      <c r="BY278" s="61">
        <f>BS!BY30+BS!BY37</f>
        <v>499.4</v>
      </c>
      <c r="BZ278" s="61">
        <f>BS!BZ30+BS!BZ37</f>
        <v>552.1</v>
      </c>
      <c r="CA278" s="61">
        <f>BZ278</f>
        <v>552.1</v>
      </c>
      <c r="CB278" s="90"/>
      <c r="CC278" s="61">
        <f>BS!CC30+BS!CC37</f>
        <v>534</v>
      </c>
      <c r="CD278" s="61">
        <f>BS!CD30+BS!CD37</f>
        <v>501.9</v>
      </c>
      <c r="CE278" s="61">
        <f>BS!CE30+BS!CE37</f>
        <v>469.5</v>
      </c>
      <c r="CF278" s="61">
        <f>BS!CF30+BS!CF37</f>
        <v>516.5</v>
      </c>
      <c r="CG278" s="61">
        <f>CF278</f>
        <v>516.5</v>
      </c>
      <c r="CH278" s="90"/>
      <c r="CI278" s="61">
        <f>BS!CI30+BS!CI37</f>
        <v>543.70000000000005</v>
      </c>
      <c r="CJ278" s="61">
        <f>BS!CJ30+BS!CJ37</f>
        <v>526.1</v>
      </c>
      <c r="CK278" s="61">
        <f>BS!CK30+BS!CK37</f>
        <v>507.1</v>
      </c>
      <c r="CL278" s="61">
        <f>BS!CL30+BS!CL37</f>
        <v>587.9</v>
      </c>
      <c r="CM278" s="61">
        <f>CL278</f>
        <v>587.9</v>
      </c>
      <c r="CN278" s="90"/>
      <c r="CO278" s="61">
        <f>BS!CO30+BS!CO37</f>
        <v>622.4</v>
      </c>
      <c r="CP278" s="61">
        <f>BS!CP30+BS!CP37</f>
        <v>642.4</v>
      </c>
      <c r="CQ278" s="61">
        <f>BS!CQ30+BS!CQ37</f>
        <v>619.9</v>
      </c>
      <c r="CR278" s="61">
        <f>BS!CR30+BS!CR37</f>
        <v>719.19999999999993</v>
      </c>
      <c r="CS278" s="61">
        <f>CR278</f>
        <v>719.19999999999993</v>
      </c>
      <c r="CT278" s="90"/>
      <c r="CU278" s="61">
        <f>BS!CU30+BS!CU37</f>
        <v>726.90000000000009</v>
      </c>
      <c r="CV278" s="61">
        <f>BS!CV30+BS!CV37</f>
        <v>752</v>
      </c>
      <c r="CW278" s="61">
        <f>BS!CW30+BS!CW37</f>
        <v>713.7</v>
      </c>
      <c r="CX278" s="61">
        <f>BS!CX30+BS!CX37</f>
        <v>834.6</v>
      </c>
      <c r="CY278" s="61">
        <f>CX278</f>
        <v>834.6</v>
      </c>
      <c r="CZ278" s="90"/>
      <c r="DA278" s="61">
        <f>BS!DA30+BS!DA37</f>
        <v>851.40000000000009</v>
      </c>
      <c r="DB278" s="61">
        <f>BS!DB30+BS!DB37</f>
        <v>805.5</v>
      </c>
      <c r="DC278" s="61">
        <f>BS!DC30+BS!DC37</f>
        <v>765.69999999999993</v>
      </c>
      <c r="DD278" s="61">
        <f>BS!DD30+BS!DD37</f>
        <v>900.6</v>
      </c>
      <c r="DE278" s="61">
        <f>DD278</f>
        <v>900.6</v>
      </c>
      <c r="DF278" s="90"/>
      <c r="DG278" s="61">
        <f>BS!DG30+BS!DG37</f>
        <v>963.5</v>
      </c>
      <c r="DH278" s="61">
        <f>BS!DH30+BS!DH37</f>
        <v>980.8</v>
      </c>
      <c r="DI278" s="61">
        <f>BS!DI30+BS!DI37</f>
        <v>1006.2</v>
      </c>
      <c r="DJ278" s="61">
        <f>BS!DJ30+BS!DJ37</f>
        <v>1157.0999999999999</v>
      </c>
      <c r="DK278" s="61">
        <f>DJ278</f>
        <v>1157.0999999999999</v>
      </c>
      <c r="DL278" s="90"/>
      <c r="DM278" s="61">
        <f>BS!DM30+BS!DM37</f>
        <v>1153.7</v>
      </c>
      <c r="DN278" s="61">
        <f>BS!DN30+BS!DN37</f>
        <v>1236.3</v>
      </c>
      <c r="DO278" s="61">
        <f>BS!DO30+BS!DO37</f>
        <v>1212.3</v>
      </c>
      <c r="DP278" s="61">
        <f>BS!DP30+BS!DP37</f>
        <v>1519.2</v>
      </c>
      <c r="DQ278" s="61">
        <f>DP278</f>
        <v>1519.2</v>
      </c>
      <c r="DR278" s="90"/>
      <c r="DS278" s="61">
        <f>BS!DS30+BS!DS37</f>
        <v>1523.6999999999998</v>
      </c>
      <c r="DT278" s="61">
        <f>BS!DT30+BS!DT37</f>
        <v>1520</v>
      </c>
      <c r="DU278" s="61">
        <f>BS!DU30+BS!DU37</f>
        <v>1533</v>
      </c>
      <c r="DV278" s="61">
        <f>BS!DV30+BS!DV37</f>
        <v>1788</v>
      </c>
      <c r="DW278" s="61">
        <f>DV278</f>
        <v>1788</v>
      </c>
      <c r="DX278" s="90"/>
      <c r="DY278" s="61">
        <f>BS!DY30+BS!DY37</f>
        <v>1801.5</v>
      </c>
      <c r="DZ278" s="61">
        <f>BS!DZ30+BS!DZ37</f>
        <v>1776</v>
      </c>
      <c r="EA278" s="61">
        <f>BS!EA30+BS!EA37</f>
        <v>1763.8999999999999</v>
      </c>
      <c r="EB278" s="61">
        <f>BS!EB30+BS!EB37</f>
        <v>1955.1</v>
      </c>
      <c r="EC278" s="61">
        <f>EB278</f>
        <v>1955.1</v>
      </c>
      <c r="ED278" s="90"/>
      <c r="EE278" s="61">
        <f>BS!EE30+BS!EE37</f>
        <v>2017.513394910233</v>
      </c>
      <c r="EF278" s="61">
        <f>BS!EF30+BS!EF37</f>
        <v>2070.1286629645588</v>
      </c>
      <c r="EG278" s="61">
        <f>BS!EG30+BS!EG37</f>
        <v>2053.4514670565686</v>
      </c>
      <c r="EH278" s="61">
        <f>BS!EH30+BS!EH37</f>
        <v>2269.3235467456225</v>
      </c>
      <c r="EI278" s="61">
        <f>EH278</f>
        <v>2269.3235467456225</v>
      </c>
      <c r="EJ278" s="90"/>
      <c r="EK278" s="61">
        <f>BS!EK30+BS!EK37</f>
        <v>2362.2932961693587</v>
      </c>
      <c r="EL278" s="61">
        <f>BS!EL30+BS!EL37</f>
        <v>2448.6821650603938</v>
      </c>
      <c r="EM278" s="61">
        <f>BS!EM30+BS!EM37</f>
        <v>2445.208193208789</v>
      </c>
      <c r="EN278" s="61">
        <f>BS!EN30+BS!EN37</f>
        <v>2725.4457434604547</v>
      </c>
      <c r="EO278" s="61">
        <f>EN278</f>
        <v>2725.4457434604547</v>
      </c>
      <c r="EP278" s="90"/>
      <c r="EQ278" s="61">
        <f>BS!EQ30+BS!EQ37</f>
        <v>2866.182045462911</v>
      </c>
      <c r="ER278" s="61">
        <f>BS!ER30+BS!ER37</f>
        <v>2950.3913030407839</v>
      </c>
      <c r="ES278" s="61">
        <f>BS!ES30+BS!ES37</f>
        <v>2891.9522964737862</v>
      </c>
      <c r="ET278" s="61">
        <f>BS!ET30+BS!ET37</f>
        <v>3119.6411656320943</v>
      </c>
      <c r="EU278" s="61">
        <f>ET278</f>
        <v>3119.6411656320943</v>
      </c>
      <c r="EV278" s="90"/>
    </row>
    <row r="279" spans="1:152" ht="12.75" hidden="1" customHeight="1" outlineLevel="1">
      <c r="A279" s="90" t="s">
        <v>5242</v>
      </c>
      <c r="B279" s="520" t="s">
        <v>2243</v>
      </c>
      <c r="C279" s="61">
        <f>BS!C11</f>
        <v>107.038</v>
      </c>
      <c r="D279" s="61">
        <f>BS!D11</f>
        <v>87.873000000000005</v>
      </c>
      <c r="E279" s="61">
        <f>BS!E11</f>
        <v>86.384</v>
      </c>
      <c r="F279" s="61">
        <f>BS!F11</f>
        <v>68.576999999999998</v>
      </c>
      <c r="G279" s="61">
        <f>BS!G11</f>
        <v>68.576999999999998</v>
      </c>
      <c r="H279" s="62"/>
      <c r="I279" s="61">
        <f>BS!I11</f>
        <v>73.394000000000005</v>
      </c>
      <c r="J279" s="61">
        <f>BS!J11</f>
        <v>85.858999999999995</v>
      </c>
      <c r="K279" s="61">
        <f>BS!K11</f>
        <v>78.344999999999999</v>
      </c>
      <c r="L279" s="61">
        <f>BS!L11</f>
        <v>60.856000000000002</v>
      </c>
      <c r="M279" s="61">
        <f>BS!M11</f>
        <v>60.856000000000002</v>
      </c>
      <c r="N279" s="62"/>
      <c r="O279" s="61">
        <f>BS!O11</f>
        <v>64.578999999999994</v>
      </c>
      <c r="P279" s="61">
        <f>BS!P11</f>
        <v>84.078999999999994</v>
      </c>
      <c r="Q279" s="61">
        <f>BS!Q11</f>
        <v>89.602999999999994</v>
      </c>
      <c r="R279" s="61">
        <f>BS!R11</f>
        <v>114.901</v>
      </c>
      <c r="S279" s="61">
        <f>BS!S11</f>
        <v>114.901</v>
      </c>
      <c r="T279" s="90"/>
      <c r="U279" s="61">
        <f>BS!U11</f>
        <v>127.49299999999999</v>
      </c>
      <c r="V279" s="61">
        <f>BS!V11</f>
        <v>133.07</v>
      </c>
      <c r="W279" s="61">
        <f>BS!W11</f>
        <v>123.38200000000001</v>
      </c>
      <c r="X279" s="61">
        <f>BS!X11</f>
        <v>110.839</v>
      </c>
      <c r="Y279" s="61">
        <f>X279</f>
        <v>110.839</v>
      </c>
      <c r="Z279" s="90"/>
      <c r="AA279" s="61">
        <f>BS!AA11</f>
        <v>120.456</v>
      </c>
      <c r="AB279" s="61">
        <f>BS!AB11</f>
        <v>154.76499999999999</v>
      </c>
      <c r="AC279" s="61">
        <f>BS!AC11</f>
        <v>150.495</v>
      </c>
      <c r="AD279" s="61">
        <f>BS!AD11</f>
        <v>157.422</v>
      </c>
      <c r="AE279" s="61">
        <f>AD279</f>
        <v>157.422</v>
      </c>
      <c r="AF279" s="90"/>
      <c r="AG279" s="61">
        <f>BS!AG11</f>
        <v>150.477</v>
      </c>
      <c r="AH279" s="61">
        <f>BS!AH11</f>
        <v>159.36699999999999</v>
      </c>
      <c r="AI279" s="61">
        <f>BS!AI11</f>
        <v>141.43799999999999</v>
      </c>
      <c r="AJ279" s="61">
        <f>BS!AJ11</f>
        <v>140.465</v>
      </c>
      <c r="AK279" s="61">
        <f>AJ279</f>
        <v>140.465</v>
      </c>
      <c r="AL279" s="90"/>
      <c r="AM279" s="61">
        <f>BS!AM11</f>
        <v>125.65</v>
      </c>
      <c r="AN279" s="61">
        <f>BS!AN11</f>
        <v>129.03899999999999</v>
      </c>
      <c r="AO279" s="61">
        <f>BS!AO11</f>
        <v>129.00700000000001</v>
      </c>
      <c r="AP279" s="61">
        <f>BS!AP11</f>
        <v>132.803</v>
      </c>
      <c r="AQ279" s="61">
        <f>AP279</f>
        <v>132.803</v>
      </c>
      <c r="AR279" s="90"/>
      <c r="AS279" s="61">
        <f>BS!AS11</f>
        <v>133.596</v>
      </c>
      <c r="AT279" s="61">
        <f>BS!AT11</f>
        <v>138.018</v>
      </c>
      <c r="AU279" s="61">
        <f>BS!AU11</f>
        <v>131.62299999999999</v>
      </c>
      <c r="AV279" s="61">
        <f>BS!AV11</f>
        <v>166.816</v>
      </c>
      <c r="AW279" s="61">
        <f>AV279</f>
        <v>166.816</v>
      </c>
      <c r="AX279" s="90"/>
      <c r="AY279" s="61">
        <f>BS!AY11</f>
        <v>142.6</v>
      </c>
      <c r="AZ279" s="61">
        <f>BS!AZ11</f>
        <v>156.30000000000001</v>
      </c>
      <c r="BA279" s="61">
        <f>BS!BA11</f>
        <v>168</v>
      </c>
      <c r="BB279" s="61">
        <f>BS!BB11</f>
        <v>196.8</v>
      </c>
      <c r="BC279" s="61">
        <f>BB279</f>
        <v>196.8</v>
      </c>
      <c r="BD279" s="90"/>
      <c r="BE279" s="61">
        <f>BS!BE11</f>
        <v>190.2</v>
      </c>
      <c r="BF279" s="61">
        <f>BS!BF11</f>
        <v>202.4</v>
      </c>
      <c r="BG279" s="61">
        <f>BS!BG11</f>
        <v>201.8</v>
      </c>
      <c r="BH279" s="61">
        <f>BS!BH11</f>
        <v>261.39999999999998</v>
      </c>
      <c r="BI279" s="61">
        <f>BH279</f>
        <v>261.39999999999998</v>
      </c>
      <c r="BJ279" s="90"/>
      <c r="BK279" s="61">
        <f>BS!BK11</f>
        <v>276.39999999999998</v>
      </c>
      <c r="BL279" s="61">
        <f>BS!BL11</f>
        <v>258.7</v>
      </c>
      <c r="BM279" s="61">
        <f>BS!BM11</f>
        <v>256</v>
      </c>
      <c r="BN279" s="61">
        <f>BS!BN11</f>
        <v>301.3</v>
      </c>
      <c r="BO279" s="61">
        <f>BN279</f>
        <v>301.3</v>
      </c>
      <c r="BP279" s="90"/>
      <c r="BQ279" s="61">
        <f>BS!BQ11</f>
        <v>260.39999999999998</v>
      </c>
      <c r="BR279" s="61">
        <f>BS!BR11</f>
        <v>278.39999999999998</v>
      </c>
      <c r="BS279" s="61">
        <f>BS!BS11</f>
        <v>299.2</v>
      </c>
      <c r="BT279" s="61">
        <f>BS!BT11</f>
        <v>386.5</v>
      </c>
      <c r="BU279" s="61">
        <f>BT279</f>
        <v>386.5</v>
      </c>
      <c r="BV279" s="90"/>
      <c r="BW279" s="61">
        <f>BS!BW11</f>
        <v>333.5</v>
      </c>
      <c r="BX279" s="61">
        <f>BS!BX11</f>
        <v>325.2</v>
      </c>
      <c r="BY279" s="61">
        <f>BS!BY11</f>
        <v>291.39999999999998</v>
      </c>
      <c r="BZ279" s="61">
        <f>BS!BZ11</f>
        <v>316.5</v>
      </c>
      <c r="CA279" s="61">
        <f>BZ279</f>
        <v>316.5</v>
      </c>
      <c r="CB279" s="90"/>
      <c r="CC279" s="61">
        <f>BS!CC11</f>
        <v>228.6</v>
      </c>
      <c r="CD279" s="61">
        <f>BS!CD11</f>
        <v>223.9</v>
      </c>
      <c r="CE279" s="61">
        <f>BS!CE11</f>
        <v>215.7</v>
      </c>
      <c r="CF279" s="61">
        <f>BS!CF11</f>
        <v>277.39999999999998</v>
      </c>
      <c r="CG279" s="61">
        <f>CF279</f>
        <v>277.39999999999998</v>
      </c>
      <c r="CH279" s="90"/>
      <c r="CI279" s="61">
        <f>BS!CI11</f>
        <v>218.1</v>
      </c>
      <c r="CJ279" s="61">
        <f>BS!CJ11</f>
        <v>231</v>
      </c>
      <c r="CK279" s="61">
        <f>BS!CK11</f>
        <v>240.1</v>
      </c>
      <c r="CL279" s="61">
        <f>BS!CL11</f>
        <v>318.39999999999998</v>
      </c>
      <c r="CM279" s="61">
        <f>CL279</f>
        <v>318.39999999999998</v>
      </c>
      <c r="CN279" s="90"/>
      <c r="CO279" s="61">
        <f>BS!CO11</f>
        <v>271</v>
      </c>
      <c r="CP279" s="61">
        <f>BS!CP11</f>
        <v>297</v>
      </c>
      <c r="CQ279" s="61">
        <f>BS!CQ11</f>
        <v>259.2</v>
      </c>
      <c r="CR279" s="61">
        <f>BS!CR11</f>
        <v>395.1</v>
      </c>
      <c r="CS279" s="61">
        <f>CR279</f>
        <v>395.1</v>
      </c>
      <c r="CT279" s="90"/>
      <c r="CU279" s="61">
        <f>BS!CU11</f>
        <v>300.60000000000002</v>
      </c>
      <c r="CV279" s="61">
        <f>BS!CV11</f>
        <v>361.4</v>
      </c>
      <c r="CW279" s="61">
        <f>BS!CW11</f>
        <v>293.3</v>
      </c>
      <c r="CX279" s="61">
        <f>BS!CX11</f>
        <v>495.1</v>
      </c>
      <c r="CY279" s="61">
        <f>CX279</f>
        <v>495.1</v>
      </c>
      <c r="CZ279" s="90"/>
      <c r="DA279" s="61">
        <f>BS!DA11</f>
        <v>285.8</v>
      </c>
      <c r="DB279" s="61">
        <f>BS!DB11</f>
        <v>303.89999999999998</v>
      </c>
      <c r="DC279" s="61">
        <f>BS!DC11</f>
        <v>304.10000000000002</v>
      </c>
      <c r="DD279" s="61">
        <f>BS!DD11</f>
        <v>423.7</v>
      </c>
      <c r="DE279" s="61">
        <f>DD279</f>
        <v>423.7</v>
      </c>
      <c r="DF279" s="90"/>
      <c r="DG279" s="61">
        <f>BS!DG11</f>
        <v>323.3</v>
      </c>
      <c r="DH279" s="61">
        <f>BS!DH11</f>
        <v>365.3</v>
      </c>
      <c r="DI279" s="61">
        <f>BS!DI11</f>
        <v>375.7</v>
      </c>
      <c r="DJ279" s="61">
        <f>BS!DJ11</f>
        <v>458.9</v>
      </c>
      <c r="DK279" s="61">
        <f>DJ279</f>
        <v>458.9</v>
      </c>
      <c r="DL279" s="90"/>
      <c r="DM279" s="61">
        <f>BS!DM11</f>
        <v>316</v>
      </c>
      <c r="DN279" s="61">
        <f>BS!DN11</f>
        <v>394.1</v>
      </c>
      <c r="DO279" s="61">
        <f>BS!DO11</f>
        <v>362.3</v>
      </c>
      <c r="DP279" s="61">
        <f>BS!DP11</f>
        <v>653.6</v>
      </c>
      <c r="DQ279" s="61">
        <f>DP279</f>
        <v>653.6</v>
      </c>
      <c r="DR279" s="90"/>
      <c r="DS279" s="61">
        <f>BS!DS11</f>
        <v>256.39999999999998</v>
      </c>
      <c r="DT279" s="61">
        <f>BS!DT11</f>
        <v>306.89999999999998</v>
      </c>
      <c r="DU279" s="61">
        <f>BS!DU11</f>
        <v>259.8</v>
      </c>
      <c r="DV279" s="61">
        <f>BS!DV11</f>
        <v>452.3</v>
      </c>
      <c r="DW279" s="61">
        <f>DV279</f>
        <v>452.3</v>
      </c>
      <c r="DX279" s="90"/>
      <c r="DY279" s="61">
        <f>BS!DY11</f>
        <v>231.5</v>
      </c>
      <c r="DZ279" s="61">
        <f>BS!DZ11</f>
        <v>265.60000000000002</v>
      </c>
      <c r="EA279" s="61">
        <f>BS!EA11</f>
        <v>307.8</v>
      </c>
      <c r="EB279" s="61">
        <f>BS!EB11</f>
        <v>438.2</v>
      </c>
      <c r="EC279" s="61">
        <f>EB279</f>
        <v>438.2</v>
      </c>
      <c r="ED279" s="90"/>
      <c r="EE279" s="61">
        <f>BS!EE11</f>
        <v>268.98918213590423</v>
      </c>
      <c r="EF279" s="61">
        <f>BS!EF11</f>
        <v>286.03690072126977</v>
      </c>
      <c r="EG279" s="61">
        <f>BS!EG11</f>
        <v>349.68251665092191</v>
      </c>
      <c r="EH279" s="61">
        <f>BS!EH11</f>
        <v>461.68028181762895</v>
      </c>
      <c r="EI279" s="61">
        <f>EH279</f>
        <v>461.68028181762895</v>
      </c>
      <c r="EJ279" s="90"/>
      <c r="EK279" s="61">
        <f>BS!EK11</f>
        <v>333.74508019577468</v>
      </c>
      <c r="EL279" s="61">
        <f>BS!EL11</f>
        <v>433.97863235032872</v>
      </c>
      <c r="EM279" s="61">
        <f>BS!EM11</f>
        <v>476.66239948488374</v>
      </c>
      <c r="EN279" s="61">
        <f>BS!EN11</f>
        <v>559.99286842562742</v>
      </c>
      <c r="EO279" s="61">
        <f>EN279</f>
        <v>559.99286842562742</v>
      </c>
      <c r="EP279" s="90"/>
      <c r="EQ279" s="61">
        <f>BS!EQ11</f>
        <v>371.18752564753265</v>
      </c>
      <c r="ER279" s="61">
        <f>BS!ER11</f>
        <v>512.81215135116975</v>
      </c>
      <c r="ES279" s="61">
        <f>BS!ES11</f>
        <v>585.80194073586881</v>
      </c>
      <c r="ET279" s="61">
        <f>BS!ET11</f>
        <v>773.4822553532174</v>
      </c>
      <c r="EU279" s="61">
        <f>ET279</f>
        <v>773.4822553532174</v>
      </c>
      <c r="EV279" s="90"/>
    </row>
    <row r="280" spans="1:152" ht="12.75" hidden="1" customHeight="1" outlineLevel="1">
      <c r="A280" s="41" t="s">
        <v>5243</v>
      </c>
      <c r="B280" s="444" t="s">
        <v>4737</v>
      </c>
      <c r="C280" s="61">
        <f>BS!C9+BS!C10+BS!C13</f>
        <v>208.61099999999999</v>
      </c>
      <c r="D280" s="61">
        <f>BS!D9+BS!D10+BS!D13</f>
        <v>223.279</v>
      </c>
      <c r="E280" s="61">
        <f>BS!E9+BS!E10+BS!E13</f>
        <v>187.392</v>
      </c>
      <c r="F280" s="61">
        <f>BS!F9+BS!F10+BS!F13</f>
        <v>218.40100000000001</v>
      </c>
      <c r="G280" s="61">
        <f>F280</f>
        <v>218.40100000000001</v>
      </c>
      <c r="H280" s="62"/>
      <c r="I280" s="61">
        <f>BS!I9+BS!I10+BS!I13</f>
        <v>224.87799999999999</v>
      </c>
      <c r="J280" s="61">
        <f>BS!J9+BS!J10+BS!J13</f>
        <v>261.81299999999999</v>
      </c>
      <c r="K280" s="61">
        <f>BS!K9+BS!K10+BS!K13</f>
        <v>250.958</v>
      </c>
      <c r="L280" s="61">
        <f>BS!L9+BS!L10+BS!L13</f>
        <v>224.065</v>
      </c>
      <c r="M280" s="61">
        <f>L280</f>
        <v>224.065</v>
      </c>
      <c r="N280" s="62"/>
      <c r="O280" s="61">
        <f>BS!O9+BS!O10+BS!O13</f>
        <v>313.3</v>
      </c>
      <c r="P280" s="61">
        <f>BS!P9+BS!P10+BS!P13</f>
        <v>321.88599999999997</v>
      </c>
      <c r="Q280" s="61">
        <f>BS!Q9+BS!Q10+BS!Q13</f>
        <v>362.96799999999996</v>
      </c>
      <c r="R280" s="61">
        <f>BS!R9+BS!R10+BS!R13</f>
        <v>382.02</v>
      </c>
      <c r="S280" s="61">
        <f>R280</f>
        <v>382.02</v>
      </c>
      <c r="T280" s="61"/>
      <c r="U280" s="61">
        <f>BS!U9+BS!U10+BS!U13</f>
        <v>447.60500000000002</v>
      </c>
      <c r="V280" s="61">
        <f>BS!V9+BS!V10+BS!V13</f>
        <v>461.01799999999997</v>
      </c>
      <c r="W280" s="61">
        <f>BS!W9+BS!W10+BS!W13</f>
        <v>421.90499999999997</v>
      </c>
      <c r="X280" s="61">
        <f>BS!X9+BS!X10+BS!X13</f>
        <v>386.601</v>
      </c>
      <c r="Y280" s="61">
        <f>X280</f>
        <v>386.601</v>
      </c>
      <c r="Z280" s="61"/>
      <c r="AA280" s="61">
        <f>BS!AA9+BS!AA10+BS!AA13</f>
        <v>272.61400000000003</v>
      </c>
      <c r="AB280" s="61">
        <f>BS!AB9+BS!AB10+BS!AB13</f>
        <v>279.60900000000004</v>
      </c>
      <c r="AC280" s="61">
        <f>BS!AC9+BS!AC10+BS!AC13</f>
        <v>268.46100000000001</v>
      </c>
      <c r="AD280" s="61">
        <f>BS!AD9+BS!AD10+BS!AD13</f>
        <v>286.04800000000006</v>
      </c>
      <c r="AE280" s="61">
        <f>AD280</f>
        <v>286.04800000000006</v>
      </c>
      <c r="AF280" s="61"/>
      <c r="AG280" s="61">
        <f>BS!AG9+BS!AG10+BS!AG13</f>
        <v>252.041</v>
      </c>
      <c r="AH280" s="61">
        <f>BS!AH9+BS!AH10+BS!AH13</f>
        <v>303.93299999999999</v>
      </c>
      <c r="AI280" s="61">
        <f>BS!AI9+BS!AI10+BS!AI13</f>
        <v>282.22400000000005</v>
      </c>
      <c r="AJ280" s="61">
        <f>BS!AJ9+BS!AJ10+BS!AJ13</f>
        <v>369.28800000000001</v>
      </c>
      <c r="AK280" s="61">
        <f>AJ280</f>
        <v>369.28800000000001</v>
      </c>
      <c r="AL280" s="61"/>
      <c r="AM280" s="61">
        <f>BS!AM9+BS!AM10+BS!AM13</f>
        <v>287.93200000000002</v>
      </c>
      <c r="AN280" s="61">
        <f>BS!AN9+BS!AN10+BS!AN13</f>
        <v>289.45800000000003</v>
      </c>
      <c r="AO280" s="61">
        <f>BS!AO9+BS!AO10+BS!AO13</f>
        <v>262.65199999999999</v>
      </c>
      <c r="AP280" s="61">
        <f>BS!AP9+BS!AP10+BS!AP13</f>
        <v>275.94299999999998</v>
      </c>
      <c r="AQ280" s="61">
        <f>AP280</f>
        <v>275.94299999999998</v>
      </c>
      <c r="AR280" s="61"/>
      <c r="AS280" s="61">
        <f>BS!AS9+BS!AS10+BS!AS13</f>
        <v>265.06900000000002</v>
      </c>
      <c r="AT280" s="61">
        <f>BS!AT9+BS!AT10+BS!AT13</f>
        <v>290.69899999999996</v>
      </c>
      <c r="AU280" s="61">
        <f>BS!AU9+BS!AU10+BS!AU13</f>
        <v>329.45000000000005</v>
      </c>
      <c r="AV280" s="61">
        <f>BS!AV9+BS!AV10+BS!AV13</f>
        <v>388.93400000000003</v>
      </c>
      <c r="AW280" s="61">
        <f>AV280</f>
        <v>388.93400000000003</v>
      </c>
      <c r="AX280" s="61"/>
      <c r="AY280" s="61">
        <f>BS!AY9+BS!AY10+BS!AY13</f>
        <v>543.5</v>
      </c>
      <c r="AZ280" s="61">
        <f>BS!AZ9+BS!AZ10+BS!AZ13</f>
        <v>593.20000000000005</v>
      </c>
      <c r="BA280" s="61">
        <f>BS!BA9+BS!BA10+BS!BA13</f>
        <v>574.90000000000009</v>
      </c>
      <c r="BB280" s="61">
        <f>BS!BB9+BS!BB10+BS!BB13</f>
        <v>547</v>
      </c>
      <c r="BC280" s="61">
        <f>BB280</f>
        <v>547</v>
      </c>
      <c r="BD280" s="61"/>
      <c r="BE280" s="61">
        <f>BS!BE9+BS!BE10+BS!BE13</f>
        <v>563.40000000000009</v>
      </c>
      <c r="BF280" s="61">
        <f>BS!BF9+BS!BF10+BS!BF13</f>
        <v>564.79999999999995</v>
      </c>
      <c r="BG280" s="61">
        <f>BS!BG9+BS!BG10+BS!BG13</f>
        <v>616.9</v>
      </c>
      <c r="BH280" s="61">
        <f>BS!BH9+BS!BH10+BS!BH13</f>
        <v>441.9</v>
      </c>
      <c r="BI280" s="61">
        <f>BH280</f>
        <v>441.9</v>
      </c>
      <c r="BJ280" s="61"/>
      <c r="BK280" s="61">
        <f>BS!BK9+BS!BK10+BS!BK13</f>
        <v>471.70000000000005</v>
      </c>
      <c r="BL280" s="61">
        <f>BS!BL9+BS!BL10+BS!BL13</f>
        <v>545</v>
      </c>
      <c r="BM280" s="61">
        <f>BS!BM9+BS!BM10+BS!BM13</f>
        <v>677.59999999999991</v>
      </c>
      <c r="BN280" s="61">
        <f>BS!BN9+BS!BN10+BS!BN13</f>
        <v>856</v>
      </c>
      <c r="BO280" s="61">
        <f>BN280</f>
        <v>856</v>
      </c>
      <c r="BP280" s="61"/>
      <c r="BQ280" s="61">
        <f>BS!BQ9+BS!BQ10+BS!BQ13</f>
        <v>1080.8</v>
      </c>
      <c r="BR280" s="61">
        <f>BS!BR9+BS!BR10+BS!BR13</f>
        <v>939.5</v>
      </c>
      <c r="BS280" s="61">
        <f>BS!BS9+BS!BS10+BS!BS13</f>
        <v>972.39999999999986</v>
      </c>
      <c r="BT280" s="61">
        <f>BS!BT9+BS!BT10+BS!BT13</f>
        <v>1047.3999999999999</v>
      </c>
      <c r="BU280" s="61">
        <f>BT280</f>
        <v>1047.3999999999999</v>
      </c>
      <c r="BV280" s="61"/>
      <c r="BW280" s="61">
        <f>BS!BW9+BS!BW10+BS!BW13</f>
        <v>1038.7</v>
      </c>
      <c r="BX280" s="61">
        <f>BS!BX9+BS!BX10+BS!BX13</f>
        <v>1020.4000000000001</v>
      </c>
      <c r="BY280" s="61">
        <f>BS!BY9+BS!BY10+BS!BY13</f>
        <v>967.80000000000007</v>
      </c>
      <c r="BZ280" s="61">
        <f>BS!BZ9+BS!BZ10+BS!BZ13</f>
        <v>1012.2</v>
      </c>
      <c r="CA280" s="61">
        <f>BZ280</f>
        <v>1012.2</v>
      </c>
      <c r="CB280" s="61"/>
      <c r="CC280" s="61">
        <f>BS!CC9+BS!CC10+BS!CC13</f>
        <v>1005.9</v>
      </c>
      <c r="CD280" s="61">
        <f>BS!CD9+BS!CD10+BS!CD13</f>
        <v>984.69999999999993</v>
      </c>
      <c r="CE280" s="61">
        <f>BS!CE9+BS!CE10+BS!CE13</f>
        <v>1011.4</v>
      </c>
      <c r="CF280" s="61">
        <f>BS!CF9+BS!CF10+BS!CF13</f>
        <v>1044.8</v>
      </c>
      <c r="CG280" s="61">
        <f>CF280</f>
        <v>1044.8</v>
      </c>
      <c r="CH280" s="61"/>
      <c r="CI280" s="61">
        <f>BS!CI9+BS!CI10+BS!CI13</f>
        <v>1103.5999999999999</v>
      </c>
      <c r="CJ280" s="61">
        <f>BS!CJ9+BS!CJ10+BS!CJ13</f>
        <v>1130.1999999999998</v>
      </c>
      <c r="CK280" s="61">
        <f>BS!CK9+BS!CK10+BS!CK13</f>
        <v>1181.5</v>
      </c>
      <c r="CL280" s="61">
        <f>BS!CL9+BS!CL10+BS!CL13</f>
        <v>1331.1</v>
      </c>
      <c r="CM280" s="61">
        <f>CL280</f>
        <v>1331.1</v>
      </c>
      <c r="CN280" s="61"/>
      <c r="CO280" s="61">
        <f>BS!CO9+BS!CO10+BS!CO13</f>
        <v>1388.9</v>
      </c>
      <c r="CP280" s="61">
        <f>BS!CP9+BS!CP10+BS!CP13</f>
        <v>1408.6</v>
      </c>
      <c r="CQ280" s="61">
        <f>BS!CQ9+BS!CQ10+BS!CQ13</f>
        <v>1377.8</v>
      </c>
      <c r="CR280" s="61">
        <f>BS!CR9+BS!CR10+BS!CR13</f>
        <v>1441.4</v>
      </c>
      <c r="CS280" s="61">
        <f>CR280</f>
        <v>1441.4</v>
      </c>
      <c r="CT280" s="61"/>
      <c r="CU280" s="61">
        <f>BS!CU9+BS!CU10+BS!CU13</f>
        <v>1550.7</v>
      </c>
      <c r="CV280" s="61">
        <f>BS!CV9+BS!CV10+BS!CV13</f>
        <v>1475.5</v>
      </c>
      <c r="CW280" s="61">
        <f>BS!CW9+BS!CW10+BS!CW13</f>
        <v>1377.5</v>
      </c>
      <c r="CX280" s="61">
        <f>BS!CX9+BS!CX10+BS!CX13</f>
        <v>1996.5000000000002</v>
      </c>
      <c r="CY280" s="61">
        <f>CX280</f>
        <v>1996.5000000000002</v>
      </c>
      <c r="CZ280" s="61"/>
      <c r="DA280" s="61">
        <f>BS!DA9+BS!DA10+BS!DA13</f>
        <v>2143.9</v>
      </c>
      <c r="DB280" s="61">
        <f>BS!DB9+BS!DB10+BS!DB13</f>
        <v>2049.5</v>
      </c>
      <c r="DC280" s="61">
        <f>BS!DC9+BS!DC10+BS!DC13</f>
        <v>2114</v>
      </c>
      <c r="DD280" s="61">
        <f>BS!DD9+BS!DD10+BS!DD13</f>
        <v>2323.9</v>
      </c>
      <c r="DE280" s="61">
        <f>DD280</f>
        <v>2323.9</v>
      </c>
      <c r="DF280" s="61"/>
      <c r="DG280" s="61">
        <f>BS!DG9+BS!DG10+BS!DG13</f>
        <v>2174.1999999999998</v>
      </c>
      <c r="DH280" s="61">
        <f>BS!DH9+BS!DH10+BS!DH13</f>
        <v>1982.6999999999998</v>
      </c>
      <c r="DI280" s="61">
        <f>BS!DI9+BS!DI10+BS!DI13</f>
        <v>1982.1000000000001</v>
      </c>
      <c r="DJ280" s="61">
        <f>BS!DJ9+BS!DJ10+BS!DJ13</f>
        <v>2111.5</v>
      </c>
      <c r="DK280" s="61">
        <f>DJ280</f>
        <v>2111.5</v>
      </c>
      <c r="DL280" s="61"/>
      <c r="DM280" s="61">
        <f>BS!DM9+BS!DM10+BS!DM13</f>
        <v>1912.1000000000001</v>
      </c>
      <c r="DN280" s="61">
        <f>BS!DN9+BS!DN10+BS!DN13</f>
        <v>2399.8999999999996</v>
      </c>
      <c r="DO280" s="61">
        <f>BS!DO9+BS!DO10+BS!DO13</f>
        <v>2294.5</v>
      </c>
      <c r="DP280" s="61">
        <f>BS!DP9+BS!DP10+BS!DP13</f>
        <v>2250.9</v>
      </c>
      <c r="DQ280" s="61">
        <f>DP280</f>
        <v>2250.9</v>
      </c>
      <c r="DR280" s="61"/>
      <c r="DS280" s="61">
        <f>BS!DS9+BS!DS10+BS!DS13</f>
        <v>2267.3000000000002</v>
      </c>
      <c r="DT280" s="61">
        <f>BS!DT9+BS!DT10+BS!DT13</f>
        <v>2064.9</v>
      </c>
      <c r="DU280" s="61">
        <f>BS!DU9+BS!DU10+BS!DU13</f>
        <v>1968.9</v>
      </c>
      <c r="DV280" s="61">
        <f>BS!DV9+BS!DV10+BS!DV13</f>
        <v>1899.8999999999999</v>
      </c>
      <c r="DW280" s="61">
        <f>DV280</f>
        <v>1899.8999999999999</v>
      </c>
      <c r="DX280" s="61"/>
      <c r="DY280" s="61">
        <f>BS!DY9+BS!DY10+BS!DY13</f>
        <v>1811.3000000000002</v>
      </c>
      <c r="DZ280" s="61">
        <f>BS!DZ9+BS!DZ10+BS!DZ13</f>
        <v>1707.6999999999998</v>
      </c>
      <c r="EA280" s="61">
        <f>BS!EA9+BS!EA10+BS!EA13</f>
        <v>1453.9</v>
      </c>
      <c r="EB280" s="61">
        <f>BS!EB9+BS!EB10+BS!EB13</f>
        <v>1323.2</v>
      </c>
      <c r="EC280" s="61">
        <f>EB280</f>
        <v>1323.2</v>
      </c>
      <c r="ED280" s="61"/>
      <c r="EE280" s="61">
        <f>BS!EE9+BS!EE10+BS!EE13</f>
        <v>1207.7504868005005</v>
      </c>
      <c r="EF280" s="61">
        <f>BS!EF9+BS!EF10+BS!EF13</f>
        <v>1079.9244496233366</v>
      </c>
      <c r="EG280" s="61">
        <f>BS!EG9+BS!EG10+BS!EG13</f>
        <v>966.95403330329441</v>
      </c>
      <c r="EH280" s="61">
        <f>BS!EH9+BS!EH10+BS!EH13</f>
        <v>1168.109719801964</v>
      </c>
      <c r="EI280" s="61">
        <f>EH280</f>
        <v>1168.109719801964</v>
      </c>
      <c r="EJ280" s="61"/>
      <c r="EK280" s="61">
        <f>BS!EK9+BS!EK10+BS!EK13</f>
        <v>1000.0615273318417</v>
      </c>
      <c r="EL280" s="61">
        <f>BS!EL9+BS!EL10+BS!EL13</f>
        <v>1013.3691227354079</v>
      </c>
      <c r="EM280" s="61">
        <f>BS!EM9+BS!EM10+BS!EM13</f>
        <v>1049.944563600302</v>
      </c>
      <c r="EN280" s="61">
        <f>BS!EN9+BS!EN10+BS!EN13</f>
        <v>1504.205091444742</v>
      </c>
      <c r="EO280" s="61">
        <f>EN280</f>
        <v>1504.205091444742</v>
      </c>
      <c r="EP280" s="61"/>
      <c r="EQ280" s="61">
        <f>BS!EQ9+BS!EQ10+BS!EQ13</f>
        <v>1483.0724015236335</v>
      </c>
      <c r="ER280" s="61">
        <f>BS!ER9+BS!ER10+BS!ER13</f>
        <v>1548.2079736910207</v>
      </c>
      <c r="ES280" s="61">
        <f>BS!ES9+BS!ES10+BS!ES13</f>
        <v>1606.8000680668704</v>
      </c>
      <c r="ET280" s="61">
        <f>BS!ET9+BS!ET10+BS!ET13</f>
        <v>2032.0765939376035</v>
      </c>
      <c r="EU280" s="61">
        <f>ET280</f>
        <v>2032.0765939376035</v>
      </c>
      <c r="EV280" s="61"/>
    </row>
    <row r="281" spans="1:152" ht="12.75" hidden="1" customHeight="1" outlineLevel="1">
      <c r="A281" s="41" t="s">
        <v>5244</v>
      </c>
      <c r="B281" s="444" t="s">
        <v>4738</v>
      </c>
      <c r="C281" s="61"/>
      <c r="D281" s="61"/>
      <c r="E281" s="61"/>
      <c r="F281" s="61"/>
      <c r="G281" s="61"/>
      <c r="H281" s="62"/>
      <c r="I281" s="61"/>
      <c r="J281" s="61"/>
      <c r="K281" s="61"/>
      <c r="L281" s="61"/>
      <c r="M281" s="61"/>
      <c r="N281" s="62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1"/>
      <c r="CC281" s="61"/>
      <c r="CD281" s="61"/>
      <c r="CE281" s="61"/>
      <c r="CF281" s="61"/>
      <c r="CG281" s="61"/>
      <c r="CH281" s="61"/>
      <c r="CI281" s="61"/>
      <c r="CJ281" s="61"/>
      <c r="CK281" s="61"/>
      <c r="CL281" s="61"/>
      <c r="CM281" s="61"/>
      <c r="CN281" s="61"/>
      <c r="CO281" s="61"/>
      <c r="CP281" s="61"/>
      <c r="CQ281" s="61"/>
      <c r="CR281" s="61"/>
      <c r="CS281" s="61"/>
      <c r="CT281" s="61"/>
      <c r="CU281" s="61"/>
      <c r="CV281" s="61"/>
      <c r="CW281" s="61"/>
      <c r="CX281" s="61"/>
      <c r="CY281" s="61"/>
      <c r="CZ281" s="61"/>
      <c r="DA281" s="61"/>
      <c r="DB281" s="61"/>
      <c r="DC281" s="61"/>
      <c r="DD281" s="61"/>
      <c r="DE281" s="61"/>
      <c r="DF281" s="61"/>
      <c r="DG281" s="61"/>
      <c r="DH281" s="61"/>
      <c r="DI281" s="61"/>
      <c r="DJ281" s="61"/>
      <c r="DK281" s="61"/>
      <c r="DL281" s="61"/>
      <c r="DM281" s="61"/>
      <c r="DN281" s="61"/>
      <c r="DO281" s="61"/>
      <c r="DP281" s="61"/>
      <c r="DQ281" s="61"/>
      <c r="DR281" s="61"/>
      <c r="DS281" s="61"/>
      <c r="DT281" s="61"/>
      <c r="DU281" s="61"/>
      <c r="DV281" s="61"/>
      <c r="DW281" s="61"/>
      <c r="DX281" s="61"/>
      <c r="DY281" s="61"/>
      <c r="DZ281" s="61"/>
      <c r="EA281" s="61"/>
      <c r="EB281" s="61"/>
      <c r="EC281" s="61"/>
      <c r="ED281" s="61"/>
      <c r="EE281" s="61"/>
      <c r="EF281" s="61"/>
      <c r="EG281" s="61"/>
      <c r="EH281" s="61"/>
      <c r="EI281" s="61"/>
      <c r="EJ281" s="61"/>
      <c r="EK281" s="61"/>
      <c r="EL281" s="61"/>
      <c r="EM281" s="61"/>
      <c r="EN281" s="61"/>
      <c r="EO281" s="61"/>
      <c r="EP281" s="61"/>
      <c r="EQ281" s="61"/>
      <c r="ER281" s="61"/>
      <c r="ES281" s="61"/>
      <c r="ET281" s="61"/>
      <c r="EU281" s="61"/>
      <c r="EV281" s="61"/>
    </row>
    <row r="282" spans="1:152" ht="12.75" hidden="1" customHeight="1" outlineLevel="1">
      <c r="A282" s="61" t="s">
        <v>1595</v>
      </c>
      <c r="B282" s="444" t="s">
        <v>1596</v>
      </c>
      <c r="C282" s="61">
        <f>BS!C48</f>
        <v>343.40899999999999</v>
      </c>
      <c r="D282" s="61">
        <f>BS!D48</f>
        <v>328.40699999999998</v>
      </c>
      <c r="E282" s="61">
        <f>BS!E48</f>
        <v>243.86</v>
      </c>
      <c r="F282" s="61">
        <f>BS!F48</f>
        <v>243.61400000000003</v>
      </c>
      <c r="G282" s="61">
        <f>BS!G48</f>
        <v>243.61400000000003</v>
      </c>
      <c r="H282" s="62"/>
      <c r="I282" s="61">
        <f>BS!I48</f>
        <v>271.036</v>
      </c>
      <c r="J282" s="61">
        <f>BS!J48</f>
        <v>289.238</v>
      </c>
      <c r="K282" s="61">
        <f>BS!K48</f>
        <v>338.22100000000006</v>
      </c>
      <c r="L282" s="61">
        <f>BS!L48</f>
        <v>332.93900000000002</v>
      </c>
      <c r="M282" s="61">
        <f>BS!M48</f>
        <v>332.93900000000002</v>
      </c>
      <c r="N282" s="62"/>
      <c r="O282" s="61">
        <f>BS!O48</f>
        <v>398.08699999999999</v>
      </c>
      <c r="P282" s="61">
        <f>BS!P48</f>
        <v>389.37900000000002</v>
      </c>
      <c r="Q282" s="61">
        <f>BS!Q48</f>
        <v>432.39900000000006</v>
      </c>
      <c r="R282" s="61">
        <f>BS!R48</f>
        <v>537.327</v>
      </c>
      <c r="S282" s="61">
        <f>BS!S48</f>
        <v>537.327</v>
      </c>
      <c r="T282" s="61"/>
      <c r="U282" s="61">
        <f>BS!U48</f>
        <v>644.61000000000013</v>
      </c>
      <c r="V282" s="61">
        <f>BS!V48</f>
        <v>644.31099999999992</v>
      </c>
      <c r="W282" s="61">
        <f>BS!W48</f>
        <v>653.99599999999998</v>
      </c>
      <c r="X282" s="61">
        <f>BS!X48</f>
        <v>602.29899999999998</v>
      </c>
      <c r="Y282" s="61">
        <f>X282</f>
        <v>602.29899999999998</v>
      </c>
      <c r="Z282" s="61"/>
      <c r="AA282" s="61">
        <f>BS!AA48</f>
        <v>529.053</v>
      </c>
      <c r="AB282" s="61">
        <f>BS!AB48</f>
        <v>518.75199999999995</v>
      </c>
      <c r="AC282" s="61">
        <f>BS!AC48</f>
        <v>487.803</v>
      </c>
      <c r="AD282" s="61">
        <f>BS!AD48</f>
        <v>459.67399999999998</v>
      </c>
      <c r="AE282" s="61">
        <f>AD282</f>
        <v>459.67399999999998</v>
      </c>
      <c r="AF282" s="61"/>
      <c r="AG282" s="61">
        <f>BS!AG48</f>
        <v>437.40500000000003</v>
      </c>
      <c r="AH282" s="61">
        <f>BS!AH48</f>
        <v>459.38599999999997</v>
      </c>
      <c r="AI282" s="61">
        <f>BS!AI48</f>
        <v>491.55099999999999</v>
      </c>
      <c r="AJ282" s="61">
        <f>BS!AJ48</f>
        <v>529.31399999999996</v>
      </c>
      <c r="AK282" s="61">
        <f>AJ282</f>
        <v>529.31399999999996</v>
      </c>
      <c r="AL282" s="61"/>
      <c r="AM282" s="61">
        <f>BS!AM48</f>
        <v>601.93899999999996</v>
      </c>
      <c r="AN282" s="61">
        <f>BS!AN48</f>
        <v>589.29099999999994</v>
      </c>
      <c r="AO282" s="61">
        <f>BS!AO48</f>
        <v>585.52700000000004</v>
      </c>
      <c r="AP282" s="61">
        <f>BS!AP48</f>
        <v>569.20800000000008</v>
      </c>
      <c r="AQ282" s="61">
        <f>AP282</f>
        <v>569.20800000000008</v>
      </c>
      <c r="AR282" s="61"/>
      <c r="AS282" s="61">
        <f>BS!AS48</f>
        <v>559.33799999999997</v>
      </c>
      <c r="AT282" s="61">
        <f>BS!AT48</f>
        <v>580.82100000000003</v>
      </c>
      <c r="AU282" s="61">
        <f>BS!AU48</f>
        <v>596.48599999999999</v>
      </c>
      <c r="AV282" s="61">
        <f>BS!AV48</f>
        <v>621.64300000000003</v>
      </c>
      <c r="AW282" s="61">
        <f>AV282</f>
        <v>621.64300000000003</v>
      </c>
      <c r="AX282" s="61"/>
      <c r="AY282" s="61">
        <f>BS!AY48</f>
        <v>636.80000000000007</v>
      </c>
      <c r="AZ282" s="61">
        <f>BS!AZ48</f>
        <v>661.8</v>
      </c>
      <c r="BA282" s="61">
        <f>BS!BA48</f>
        <v>674.49999999999989</v>
      </c>
      <c r="BB282" s="61">
        <f>BS!BB48</f>
        <v>649.80000000000007</v>
      </c>
      <c r="BC282" s="61">
        <f>BB282</f>
        <v>649.80000000000007</v>
      </c>
      <c r="BD282" s="61"/>
      <c r="BE282" s="61">
        <f>BS!BE48</f>
        <v>715.3</v>
      </c>
      <c r="BF282" s="61">
        <f>BS!BF48</f>
        <v>719.2</v>
      </c>
      <c r="BG282" s="61">
        <f>BS!BG48</f>
        <v>787.8</v>
      </c>
      <c r="BH282" s="61">
        <f>BS!BH48</f>
        <v>803</v>
      </c>
      <c r="BI282" s="61">
        <f>BH282</f>
        <v>803</v>
      </c>
      <c r="BJ282" s="61"/>
      <c r="BK282" s="61">
        <f>BS!BK48</f>
        <v>857.9</v>
      </c>
      <c r="BL282" s="61">
        <f>BS!BL48</f>
        <v>895</v>
      </c>
      <c r="BM282" s="61">
        <f>BS!BM48</f>
        <v>1000.6</v>
      </c>
      <c r="BN282" s="61">
        <f>BS!BN48</f>
        <v>1115</v>
      </c>
      <c r="BO282" s="61">
        <f>BN282</f>
        <v>1115</v>
      </c>
      <c r="BP282" s="61"/>
      <c r="BQ282" s="61">
        <f>BS!BQ48</f>
        <v>1244.1999999999998</v>
      </c>
      <c r="BR282" s="61">
        <f>BS!BR48</f>
        <v>1112.7</v>
      </c>
      <c r="BS282" s="61">
        <f>BS!BS48</f>
        <v>1178.8</v>
      </c>
      <c r="BT282" s="61">
        <f>BS!BT48</f>
        <v>1230.5</v>
      </c>
      <c r="BU282" s="61">
        <f>BT282</f>
        <v>1230.5</v>
      </c>
      <c r="BV282" s="61"/>
      <c r="BW282" s="61">
        <f>BS!BW48</f>
        <v>1135.4000000000001</v>
      </c>
      <c r="BX282" s="61">
        <f>BS!BX48</f>
        <v>1259.9000000000001</v>
      </c>
      <c r="BY282" s="61">
        <f>BS!BY48</f>
        <v>1400.1</v>
      </c>
      <c r="BZ282" s="61">
        <f>BS!BZ48</f>
        <v>1310.7</v>
      </c>
      <c r="CA282" s="61">
        <f>BZ282</f>
        <v>1310.7</v>
      </c>
      <c r="CB282" s="61"/>
      <c r="CC282" s="61">
        <f>BS!CC48</f>
        <v>1328.5</v>
      </c>
      <c r="CD282" s="61">
        <f>BS!CD48</f>
        <v>1385.1</v>
      </c>
      <c r="CE282" s="61">
        <f>BS!CE48</f>
        <v>1431.7</v>
      </c>
      <c r="CF282" s="61">
        <f>BS!CF48</f>
        <v>1473.5</v>
      </c>
      <c r="CG282" s="61">
        <f>CF282</f>
        <v>1473.5</v>
      </c>
      <c r="CH282" s="61"/>
      <c r="CI282" s="61">
        <f>BS!CI48</f>
        <v>1514.1</v>
      </c>
      <c r="CJ282" s="61">
        <f>BS!CJ48</f>
        <v>1525.7999999999997</v>
      </c>
      <c r="CK282" s="61">
        <f>BS!CK48</f>
        <v>1556.1</v>
      </c>
      <c r="CL282" s="61">
        <f>BS!CL48</f>
        <v>1609.3000000000002</v>
      </c>
      <c r="CM282" s="61">
        <f>CL282</f>
        <v>1609.3000000000002</v>
      </c>
      <c r="CN282" s="61"/>
      <c r="CO282" s="61">
        <f>BS!CO48</f>
        <v>1751.1999999999998</v>
      </c>
      <c r="CP282" s="61">
        <f>BS!CP48</f>
        <v>1789.1</v>
      </c>
      <c r="CQ282" s="61">
        <f>BS!CQ48</f>
        <v>1827.5000000000002</v>
      </c>
      <c r="CR282" s="61">
        <f>BS!CR48</f>
        <v>1882.9</v>
      </c>
      <c r="CS282" s="61">
        <f>CR282</f>
        <v>1882.9</v>
      </c>
      <c r="CT282" s="61"/>
      <c r="CU282" s="61">
        <f>BS!CU48</f>
        <v>2045.3000000000002</v>
      </c>
      <c r="CV282" s="61">
        <f>BS!CV48</f>
        <v>2051.2999999999997</v>
      </c>
      <c r="CW282" s="61">
        <f>BS!CW48</f>
        <v>2017.8</v>
      </c>
      <c r="CX282" s="61">
        <f>BS!CX48</f>
        <v>2043.1999999999998</v>
      </c>
      <c r="CY282" s="61">
        <f>CX282</f>
        <v>2043.1999999999998</v>
      </c>
      <c r="CZ282" s="61"/>
      <c r="DA282" s="61">
        <f>BS!DA48</f>
        <v>2084.5</v>
      </c>
      <c r="DB282" s="61">
        <f>BS!DB48</f>
        <v>2051.1</v>
      </c>
      <c r="DC282" s="61">
        <f>BS!DC48</f>
        <v>2161.9</v>
      </c>
      <c r="DD282" s="61">
        <f>BS!DD48</f>
        <v>2261.5</v>
      </c>
      <c r="DE282" s="61">
        <f>DD282</f>
        <v>2261.5</v>
      </c>
      <c r="DF282" s="61"/>
      <c r="DG282" s="61">
        <f>BS!DG48</f>
        <v>2288.6999999999998</v>
      </c>
      <c r="DH282" s="61">
        <f>BS!DH48</f>
        <v>2283.3999999999996</v>
      </c>
      <c r="DI282" s="61">
        <f>BS!DI48</f>
        <v>2268.5</v>
      </c>
      <c r="DJ282" s="61">
        <f>BS!DJ48</f>
        <v>2219.1999999999998</v>
      </c>
      <c r="DK282" s="61">
        <f>DJ282</f>
        <v>2219.1999999999998</v>
      </c>
      <c r="DL282" s="61"/>
      <c r="DM282" s="61">
        <f>BS!DM48</f>
        <v>2224.4</v>
      </c>
      <c r="DN282" s="61">
        <f>BS!DN48</f>
        <v>1902.1000000000001</v>
      </c>
      <c r="DO282" s="61">
        <f>BS!DO48</f>
        <v>1733.1000000000001</v>
      </c>
      <c r="DP282" s="61">
        <f>BS!DP48</f>
        <v>1624.1000000000001</v>
      </c>
      <c r="DQ282" s="61">
        <f>DP282</f>
        <v>1624.1000000000001</v>
      </c>
      <c r="DR282" s="61"/>
      <c r="DS282" s="61">
        <f>BS!DS48</f>
        <v>1435.8999999999999</v>
      </c>
      <c r="DT282" s="61">
        <f>BS!DT48</f>
        <v>1331.6999999999998</v>
      </c>
      <c r="DU282" s="61">
        <f>BS!DU48</f>
        <v>1060.5999999999999</v>
      </c>
      <c r="DV282" s="61">
        <f>BS!DV48</f>
        <v>736.5</v>
      </c>
      <c r="DW282" s="61">
        <f>DV282</f>
        <v>736.5</v>
      </c>
      <c r="DX282" s="61"/>
      <c r="DY282" s="61">
        <f>BS!DY48</f>
        <v>508.10000000000014</v>
      </c>
      <c r="DZ282" s="61">
        <f>BS!DZ48</f>
        <v>315.49999999999977</v>
      </c>
      <c r="EA282" s="61">
        <f>BS!EA48</f>
        <v>107.29999999999995</v>
      </c>
      <c r="EB282" s="61">
        <f>BS!EB48</f>
        <v>-256</v>
      </c>
      <c r="EC282" s="61">
        <f>EB282</f>
        <v>-256</v>
      </c>
      <c r="ED282" s="61"/>
      <c r="EE282" s="61">
        <f>BS!EE48</f>
        <v>-377.32580480009528</v>
      </c>
      <c r="EF282" s="61">
        <f>BS!EF48</f>
        <v>-566.1847780657497</v>
      </c>
      <c r="EG282" s="61">
        <f>BS!EG48</f>
        <v>-641.99668387010865</v>
      </c>
      <c r="EH282" s="61">
        <f>BS!EH48</f>
        <v>-777.73337994258395</v>
      </c>
      <c r="EI282" s="61">
        <f>EH282</f>
        <v>-777.73337994258395</v>
      </c>
      <c r="EJ282" s="61"/>
      <c r="EK282" s="61">
        <f>BS!EK48</f>
        <v>-783.02370395401408</v>
      </c>
      <c r="EL282" s="61">
        <f>BS!EL48</f>
        <v>-785.31133378674167</v>
      </c>
      <c r="EM282" s="61">
        <f>BS!EM48</f>
        <v>-774.09424255424665</v>
      </c>
      <c r="EN282" s="61">
        <f>BS!EN48</f>
        <v>-761.14270722396122</v>
      </c>
      <c r="EO282" s="61">
        <f>EN282</f>
        <v>-761.14270722396122</v>
      </c>
      <c r="EP282" s="61"/>
      <c r="EQ282" s="61">
        <f>BS!EQ48</f>
        <v>-742.01843886621646</v>
      </c>
      <c r="ER282" s="61">
        <f>BS!ER48</f>
        <v>-665.33565893064872</v>
      </c>
      <c r="ES282" s="61">
        <f>BS!ES48</f>
        <v>-569.89429805213058</v>
      </c>
      <c r="ET282" s="61">
        <f>BS!ET48</f>
        <v>-423.15972158717244</v>
      </c>
      <c r="EU282" s="61">
        <f>ET282</f>
        <v>-423.15972158717244</v>
      </c>
      <c r="EV282" s="61"/>
    </row>
    <row r="283" spans="1:152" ht="12.75" hidden="1" customHeight="1" outlineLevel="1">
      <c r="A283" s="61" t="s">
        <v>6061</v>
      </c>
      <c r="B283" s="444" t="s">
        <v>6062</v>
      </c>
      <c r="C283" s="61"/>
      <c r="D283" s="61"/>
      <c r="E283" s="61"/>
      <c r="F283" s="61"/>
      <c r="G283" s="61">
        <f>BS!G148</f>
        <v>0</v>
      </c>
      <c r="H283" s="62"/>
      <c r="I283" s="61"/>
      <c r="J283" s="61"/>
      <c r="K283" s="61"/>
      <c r="L283" s="61"/>
      <c r="M283" s="61">
        <f>BS!M148</f>
        <v>0</v>
      </c>
      <c r="N283" s="62"/>
      <c r="O283" s="61"/>
      <c r="P283" s="61"/>
      <c r="Q283" s="61"/>
      <c r="R283" s="61"/>
      <c r="S283" s="61">
        <f>BS!S148</f>
        <v>48.866</v>
      </c>
      <c r="T283" s="61"/>
      <c r="U283" s="61"/>
      <c r="V283" s="61"/>
      <c r="W283" s="61"/>
      <c r="X283" s="61"/>
      <c r="Y283" s="61">
        <f>BS!Y148</f>
        <v>90.072000000000003</v>
      </c>
      <c r="Z283" s="61"/>
      <c r="AA283" s="61">
        <f>BS!AA148</f>
        <v>192.96100000000001</v>
      </c>
      <c r="AB283" s="61">
        <f>BS!AB148</f>
        <v>40.566999999999979</v>
      </c>
      <c r="AC283" s="61">
        <f>BS!AC148</f>
        <v>59.216000000000037</v>
      </c>
      <c r="AD283" s="61">
        <f>BS!AD148</f>
        <v>66.548999999999978</v>
      </c>
      <c r="AE283" s="61">
        <f>BS!AE148</f>
        <v>359.29300000000001</v>
      </c>
      <c r="AF283" s="61"/>
      <c r="AG283" s="61">
        <f>BS!AG148</f>
        <v>68.290000000000006</v>
      </c>
      <c r="AH283" s="61">
        <f>BS!AH148</f>
        <v>6.6759999999999877</v>
      </c>
      <c r="AI283" s="61">
        <f>BS!AI148</f>
        <v>12.321000000000012</v>
      </c>
      <c r="AJ283" s="61">
        <f>BS!AJ148</f>
        <v>10.006</v>
      </c>
      <c r="AK283" s="61">
        <f>BS!AK148</f>
        <v>97.293000000000006</v>
      </c>
      <c r="AL283" s="61"/>
      <c r="AM283" s="61">
        <f>BS!AM148</f>
        <v>9.9960000000000004</v>
      </c>
      <c r="AN283" s="61">
        <f>BS!AN148</f>
        <v>26.796999999999997</v>
      </c>
      <c r="AO283" s="61">
        <f>BS!AO148</f>
        <v>8.6060000000000016</v>
      </c>
      <c r="AP283" s="61">
        <f>BS!AP148</f>
        <v>19.417999999999992</v>
      </c>
      <c r="AQ283" s="61">
        <f>BS!AQ148</f>
        <v>64.816999999999993</v>
      </c>
      <c r="AR283" s="61"/>
      <c r="AS283" s="61">
        <f>BS!AS148</f>
        <v>29.881</v>
      </c>
      <c r="AT283" s="61">
        <f>BS!AT148</f>
        <v>15.79</v>
      </c>
      <c r="AU283" s="61">
        <f>BS!AU148</f>
        <v>35.390999999999998</v>
      </c>
      <c r="AV283" s="61">
        <f>BS!AV148</f>
        <v>97.400999999999996</v>
      </c>
      <c r="AW283" s="61">
        <f>BS!AW148</f>
        <v>178.46299999999999</v>
      </c>
      <c r="AX283" s="61"/>
      <c r="AY283" s="61">
        <f>BS!AY148</f>
        <v>149</v>
      </c>
      <c r="AZ283" s="61">
        <f>BS!AZ148</f>
        <v>67.400000000000006</v>
      </c>
      <c r="BA283" s="61">
        <f>BS!BA148</f>
        <v>183.70000000000002</v>
      </c>
      <c r="BB283" s="61">
        <f>BS!BB148</f>
        <v>146.19999999999993</v>
      </c>
      <c r="BC283" s="61">
        <f>BS!BC148</f>
        <v>546.42399999999998</v>
      </c>
      <c r="BD283" s="61"/>
      <c r="BE283" s="61">
        <f>BS!BE148</f>
        <v>73.599999999999994</v>
      </c>
      <c r="BF283" s="61">
        <f>BS!BF148</f>
        <v>128.5</v>
      </c>
      <c r="BG283" s="61">
        <f>BS!BG148</f>
        <v>137.69999999999996</v>
      </c>
      <c r="BH283" s="61">
        <f>BS!BH148</f>
        <v>101.13600000000001</v>
      </c>
      <c r="BI283" s="61">
        <f>BS!BI148</f>
        <v>440.93599999999998</v>
      </c>
      <c r="BJ283" s="61"/>
      <c r="BK283" s="61">
        <f>BS!BK148</f>
        <v>65.8</v>
      </c>
      <c r="BL283" s="61">
        <f>BS!BL148</f>
        <v>89</v>
      </c>
      <c r="BM283" s="61">
        <f>BS!BM148</f>
        <v>0</v>
      </c>
      <c r="BN283" s="61">
        <f>BS!BN148</f>
        <v>0</v>
      </c>
      <c r="BO283" s="61">
        <f>BS!BO148</f>
        <v>154.80000000000001</v>
      </c>
      <c r="BP283" s="61"/>
      <c r="BQ283" s="61">
        <f>BS!BQ148</f>
        <v>0</v>
      </c>
      <c r="BR283" s="61">
        <f>BS!BR148</f>
        <v>325</v>
      </c>
      <c r="BS283" s="61">
        <f>BS!BS148</f>
        <v>138.36000000000001</v>
      </c>
      <c r="BT283" s="61">
        <f>BS!BT148</f>
        <v>100</v>
      </c>
      <c r="BU283" s="61">
        <f>BS!BU148</f>
        <v>563.36</v>
      </c>
      <c r="BV283" s="61"/>
      <c r="BW283" s="61">
        <f>BS!BW148</f>
        <v>256.48</v>
      </c>
      <c r="BX283" s="61">
        <f>BS!BX148</f>
        <v>0</v>
      </c>
      <c r="BY283" s="61">
        <f>BS!BY148</f>
        <v>0</v>
      </c>
      <c r="BZ283" s="61">
        <f>BS!BZ148</f>
        <v>0</v>
      </c>
      <c r="CA283" s="61">
        <f>BS!CA148</f>
        <v>256.48</v>
      </c>
      <c r="CB283" s="61"/>
      <c r="CC283" s="61">
        <f>BS!CC148</f>
        <v>0</v>
      </c>
      <c r="CD283" s="61">
        <f>BS!CD148</f>
        <v>0</v>
      </c>
      <c r="CE283" s="61">
        <f>BS!CE148</f>
        <v>39</v>
      </c>
      <c r="CF283" s="61">
        <f>BS!CF148</f>
        <v>24</v>
      </c>
      <c r="CG283" s="61">
        <f>BS!CG148</f>
        <v>63</v>
      </c>
      <c r="CH283" s="61"/>
      <c r="CI283" s="61">
        <f>BS!CI148</f>
        <v>58.8</v>
      </c>
      <c r="CJ283" s="61">
        <f>BS!CJ148</f>
        <v>70</v>
      </c>
      <c r="CK283" s="61">
        <f>BS!CK148</f>
        <v>74.825000000000003</v>
      </c>
      <c r="CL283" s="61">
        <f>BS!CL148</f>
        <v>76.200000000000017</v>
      </c>
      <c r="CM283" s="61">
        <f>BS!CM148</f>
        <v>279.82500000000005</v>
      </c>
      <c r="CN283" s="61"/>
      <c r="CO283" s="61">
        <f>BS!CO148</f>
        <v>69</v>
      </c>
      <c r="CP283" s="61">
        <f>BS!CP148</f>
        <v>100.80000000000001</v>
      </c>
      <c r="CQ283" s="61">
        <f>BS!CQ148</f>
        <v>94.299999999999983</v>
      </c>
      <c r="CR283" s="61">
        <f>BS!CR148</f>
        <v>63.699999999999989</v>
      </c>
      <c r="CS283" s="61">
        <f>BS!CS148</f>
        <v>327.8</v>
      </c>
      <c r="CT283" s="61"/>
      <c r="CU283" s="61">
        <f>BS!CU148</f>
        <v>99.2</v>
      </c>
      <c r="CV283" s="61">
        <f>BS!CV148</f>
        <v>111.10000000000001</v>
      </c>
      <c r="CW283" s="61">
        <f>BS!CW148</f>
        <v>130</v>
      </c>
      <c r="CX283" s="61">
        <f>BS!CX148</f>
        <v>90.699999999999989</v>
      </c>
      <c r="CY283" s="61">
        <f>BS!CY148</f>
        <v>431</v>
      </c>
      <c r="CZ283" s="61"/>
      <c r="DA283" s="61">
        <f>BS!DA148</f>
        <v>129.19999999999999</v>
      </c>
      <c r="DB283" s="61">
        <f>BS!DB148</f>
        <v>110.60000000000002</v>
      </c>
      <c r="DC283" s="61">
        <f>BS!DC148</f>
        <v>78.899999999999977</v>
      </c>
      <c r="DD283" s="61">
        <f>BS!DD148</f>
        <v>105.10000000000002</v>
      </c>
      <c r="DE283" s="61">
        <f>BS!DE148</f>
        <v>423.8</v>
      </c>
      <c r="DF283" s="61"/>
      <c r="DG283" s="61">
        <f>BS!DG148</f>
        <v>102.5</v>
      </c>
      <c r="DH283" s="61">
        <f>BS!DH148</f>
        <v>101.80000000000001</v>
      </c>
      <c r="DI283" s="61">
        <f>BS!DI148</f>
        <v>103.30000000000001</v>
      </c>
      <c r="DJ283" s="61">
        <f>BS!DJ148</f>
        <v>64.799999999999955</v>
      </c>
      <c r="DK283" s="61">
        <f>BS!DK148</f>
        <v>372.4</v>
      </c>
      <c r="DL283" s="61"/>
      <c r="DM283" s="61">
        <f>BS!DM148</f>
        <v>95.4</v>
      </c>
      <c r="DN283" s="61">
        <f>BS!DN148</f>
        <v>112.29999999999998</v>
      </c>
      <c r="DO283" s="61">
        <f>BS!DO148</f>
        <v>150</v>
      </c>
      <c r="DP283" s="61">
        <f>BS!DP148</f>
        <v>151.90000000000003</v>
      </c>
      <c r="DQ283" s="61">
        <f>BS!DQ148</f>
        <v>509.6</v>
      </c>
      <c r="DR283" s="61"/>
      <c r="DS283" s="61">
        <f>BS!DS148</f>
        <v>118.39999999999999</v>
      </c>
      <c r="DT283" s="61">
        <f>BS!DT148</f>
        <v>170</v>
      </c>
      <c r="DU283" s="61">
        <f>BS!DU148</f>
        <v>122</v>
      </c>
      <c r="DV283" s="61">
        <f>BS!DV148</f>
        <v>222</v>
      </c>
      <c r="DW283" s="61">
        <f>BS!DW148</f>
        <v>632.4</v>
      </c>
      <c r="DX283" s="61"/>
      <c r="DY283" s="61">
        <f>BS!DY148</f>
        <v>195.9</v>
      </c>
      <c r="DZ283" s="61">
        <f>BS!DZ148</f>
        <v>119.29999999999998</v>
      </c>
      <c r="EA283" s="61">
        <f>BS!EA148</f>
        <v>122.69999999999999</v>
      </c>
      <c r="EB283" s="61">
        <f>BS!EB148</f>
        <v>262</v>
      </c>
      <c r="EC283" s="61">
        <f>BS!EC148</f>
        <v>699.9</v>
      </c>
      <c r="ED283" s="61"/>
      <c r="EE283" s="61">
        <f>BS!EE148</f>
        <v>200.35227272727272</v>
      </c>
      <c r="EF283" s="61">
        <f>BS!EF148</f>
        <v>200.35227272727272</v>
      </c>
      <c r="EG283" s="61">
        <f>BS!EG148</f>
        <v>200.35227272727272</v>
      </c>
      <c r="EH283" s="61">
        <f>BS!EH148</f>
        <v>200.35227272727272</v>
      </c>
      <c r="EI283" s="61">
        <f>BS!EI148</f>
        <v>801.40909090909088</v>
      </c>
      <c r="EJ283" s="61"/>
      <c r="EK283" s="61">
        <f>BS!EK148</f>
        <v>225.39630681818181</v>
      </c>
      <c r="EL283" s="61">
        <f>BS!EL148</f>
        <v>225.39630681818181</v>
      </c>
      <c r="EM283" s="61">
        <f>BS!EM148</f>
        <v>225.39630681818181</v>
      </c>
      <c r="EN283" s="61">
        <f>BS!EN148</f>
        <v>225.39630681818181</v>
      </c>
      <c r="EO283" s="61">
        <f>BS!EO148</f>
        <v>901.58522727272725</v>
      </c>
      <c r="EP283" s="61"/>
      <c r="EQ283" s="61">
        <f>BS!EQ148</f>
        <v>253.57084517045453</v>
      </c>
      <c r="ER283" s="61">
        <f>BS!ER148</f>
        <v>253.57084517045453</v>
      </c>
      <c r="ES283" s="61">
        <f>BS!ES148</f>
        <v>253.57084517045453</v>
      </c>
      <c r="ET283" s="61">
        <f>BS!ET148</f>
        <v>253.57084517045453</v>
      </c>
      <c r="EU283" s="61">
        <f>BS!EU148</f>
        <v>1014.2833806818181</v>
      </c>
      <c r="EV283" s="61"/>
    </row>
    <row r="284" spans="1:152" ht="12.75" hidden="1" customHeight="1" outlineLevel="1">
      <c r="A284" s="61" t="s">
        <v>4586</v>
      </c>
      <c r="B284" s="444" t="s">
        <v>4588</v>
      </c>
      <c r="C284" s="61">
        <f>CF!C117</f>
        <v>0</v>
      </c>
      <c r="D284" s="61">
        <f>CF!D117</f>
        <v>0</v>
      </c>
      <c r="E284" s="61">
        <f>CF!E117</f>
        <v>0</v>
      </c>
      <c r="F284" s="61">
        <f>CF!F117</f>
        <v>0</v>
      </c>
      <c r="G284" s="61">
        <f>SUM(C284:F284)</f>
        <v>0</v>
      </c>
      <c r="H284" s="62"/>
      <c r="I284" s="61">
        <f>CF!I117</f>
        <v>0</v>
      </c>
      <c r="J284" s="61">
        <f>CF!J117</f>
        <v>0</v>
      </c>
      <c r="K284" s="61">
        <f>CF!K117</f>
        <v>0</v>
      </c>
      <c r="L284" s="61">
        <f>CF!L117</f>
        <v>0</v>
      </c>
      <c r="M284" s="61">
        <f>SUM(I284:L284)</f>
        <v>0</v>
      </c>
      <c r="N284" s="62"/>
      <c r="O284" s="61">
        <f>CF!O117</f>
        <v>-8.2880000000000003</v>
      </c>
      <c r="P284" s="61">
        <f>CF!P117</f>
        <v>-6.7219999999999995</v>
      </c>
      <c r="Q284" s="61">
        <f>CF!Q117</f>
        <v>-2.4859999999999989</v>
      </c>
      <c r="R284" s="61">
        <f>CF!R117</f>
        <v>-25.312999999999999</v>
      </c>
      <c r="S284" s="61">
        <f>SUM(O284:R284)</f>
        <v>-42.808999999999997</v>
      </c>
      <c r="T284" s="61"/>
      <c r="U284" s="61">
        <f>CF!U117</f>
        <v>-3.548</v>
      </c>
      <c r="V284" s="61">
        <f>CF!V117</f>
        <v>-10.297000000000001</v>
      </c>
      <c r="W284" s="61">
        <f>CF!W117</f>
        <v>-2.5499999999999989</v>
      </c>
      <c r="X284" s="61">
        <f>CF!X117</f>
        <v>1.4629999999999992</v>
      </c>
      <c r="Y284" s="61">
        <f>SUM(U284:X284)</f>
        <v>-14.932</v>
      </c>
      <c r="Z284" s="61"/>
      <c r="AA284" s="61">
        <f>CF!AA117</f>
        <v>-10.481</v>
      </c>
      <c r="AB284" s="61">
        <f>CF!AB117</f>
        <v>-7.7840000000000007</v>
      </c>
      <c r="AC284" s="61">
        <f>CF!AC117</f>
        <v>-6.6460000000000008</v>
      </c>
      <c r="AD284" s="61">
        <f>CF!AD117</f>
        <v>-7.5009999999999977</v>
      </c>
      <c r="AE284" s="61">
        <f>SUM(AA284:AD284)</f>
        <v>-32.411999999999999</v>
      </c>
      <c r="AF284" s="61"/>
      <c r="AG284" s="61">
        <f>CF!AG117</f>
        <v>-13.179</v>
      </c>
      <c r="AH284" s="61">
        <f>CF!AH117</f>
        <v>-13.118</v>
      </c>
      <c r="AI284" s="61">
        <f>CF!AI117</f>
        <v>-10.409000000000002</v>
      </c>
      <c r="AJ284" s="61">
        <f>CF!AJ117</f>
        <v>-8.3619999999999948</v>
      </c>
      <c r="AK284" s="61">
        <f>SUM(AG284:AJ284)</f>
        <v>-45.067999999999998</v>
      </c>
      <c r="AL284" s="61"/>
      <c r="AM284" s="61">
        <f>CF!AM117</f>
        <v>-9.9009999999999998</v>
      </c>
      <c r="AN284" s="61">
        <f>CF!AN117</f>
        <v>-12.652000000000001</v>
      </c>
      <c r="AO284" s="61">
        <f>CF!AO117</f>
        <v>-6.4519999999999982</v>
      </c>
      <c r="AP284" s="61">
        <f>CF!AP117</f>
        <v>-7.0980000000000025</v>
      </c>
      <c r="AQ284" s="61">
        <f>SUM(AM284:AP284)</f>
        <v>-36.103000000000002</v>
      </c>
      <c r="AR284" s="61"/>
      <c r="AS284" s="61">
        <f>CF!AS117</f>
        <v>-4.0830000000000002</v>
      </c>
      <c r="AT284" s="61">
        <f>CF!AT117</f>
        <v>-9.782</v>
      </c>
      <c r="AU284" s="61">
        <f>CF!AU117</f>
        <v>-4.8510000000000009</v>
      </c>
      <c r="AV284" s="61">
        <f>CF!AV117</f>
        <v>-7.1359999999999992</v>
      </c>
      <c r="AW284" s="61">
        <f>SUM(AS284:AV284)</f>
        <v>-25.852</v>
      </c>
      <c r="AX284" s="61"/>
      <c r="AY284" s="61">
        <f>CF!AY117</f>
        <v>-5.9</v>
      </c>
      <c r="AZ284" s="61">
        <f>CF!AZ117</f>
        <v>-9.8000000000000007</v>
      </c>
      <c r="BA284" s="61">
        <f>CF!BA117</f>
        <v>-13.6</v>
      </c>
      <c r="BB284" s="61">
        <f>CF!BB117</f>
        <v>-11.499999999999996</v>
      </c>
      <c r="BC284" s="61">
        <f>SUM(AY284:BB284)</f>
        <v>-40.799999999999997</v>
      </c>
      <c r="BD284" s="61"/>
      <c r="BE284" s="61">
        <f>CF!BE117</f>
        <v>-5.5</v>
      </c>
      <c r="BF284" s="61">
        <f>CF!BF117</f>
        <v>-4.4000000000000004</v>
      </c>
      <c r="BG284" s="61">
        <f>CF!BG117</f>
        <v>-5.4</v>
      </c>
      <c r="BH284" s="61">
        <f>CF!BH117</f>
        <v>-5.1999999999999993</v>
      </c>
      <c r="BI284" s="61">
        <f>SUM(BE284:BH284)</f>
        <v>-20.5</v>
      </c>
      <c r="BJ284" s="61"/>
      <c r="BK284" s="61">
        <f>CF!BK117</f>
        <v>-11.4</v>
      </c>
      <c r="BL284" s="61">
        <f>CF!BL117</f>
        <v>-6.9999999999999982</v>
      </c>
      <c r="BM284" s="61">
        <f>CF!BM117</f>
        <v>-7</v>
      </c>
      <c r="BN284" s="61">
        <f>CF!BN117</f>
        <v>-9.8999999999999986</v>
      </c>
      <c r="BO284" s="61">
        <f>SUM(BK284:BN284)</f>
        <v>-35.299999999999997</v>
      </c>
      <c r="BP284" s="61"/>
      <c r="BQ284" s="61">
        <f>CF!BQ117</f>
        <v>-6.8</v>
      </c>
      <c r="BR284" s="61">
        <f>CF!BR117</f>
        <v>-11.399999999999999</v>
      </c>
      <c r="BS284" s="61">
        <f>CF!BS117</f>
        <v>-10.900000000000002</v>
      </c>
      <c r="BT284" s="61">
        <f>CF!BT117</f>
        <v>-14.199999999999996</v>
      </c>
      <c r="BU284" s="61">
        <f>SUM(BQ284:BT284)</f>
        <v>-43.3</v>
      </c>
      <c r="BV284" s="61"/>
      <c r="BW284" s="61">
        <f>CF!BW117</f>
        <v>-13.4</v>
      </c>
      <c r="BX284" s="61">
        <f>CF!BX117</f>
        <v>-26.5</v>
      </c>
      <c r="BY284" s="61">
        <f>CF!BY117</f>
        <v>-19.200000000000003</v>
      </c>
      <c r="BZ284" s="61">
        <f>CF!BZ117</f>
        <v>-19.300000000000004</v>
      </c>
      <c r="CA284" s="61">
        <f>SUM(BW284:BZ284)</f>
        <v>-78.400000000000006</v>
      </c>
      <c r="CB284" s="61"/>
      <c r="CC284" s="61">
        <f>CF!CC117</f>
        <v>-13.6</v>
      </c>
      <c r="CD284" s="61">
        <f>CF!CD117</f>
        <v>-10.700000000000001</v>
      </c>
      <c r="CE284" s="61">
        <f>CF!CE117</f>
        <v>-5.8999999999999986</v>
      </c>
      <c r="CF284" s="61">
        <f>CF!CF117</f>
        <v>-8.8000000000000007</v>
      </c>
      <c r="CG284" s="61">
        <f>SUM(CC284:CF284)</f>
        <v>-39</v>
      </c>
      <c r="CH284" s="61"/>
      <c r="CI284" s="61">
        <f>CF!CI117</f>
        <v>-5.8</v>
      </c>
      <c r="CJ284" s="61">
        <f>CF!CJ117</f>
        <v>-5.3</v>
      </c>
      <c r="CK284" s="61">
        <f>CF!CK117</f>
        <v>-7.0000000000000018</v>
      </c>
      <c r="CL284" s="61">
        <f>CF!CL117</f>
        <v>-10.199999999999999</v>
      </c>
      <c r="CM284" s="61">
        <f>SUM(CI284:CL284)</f>
        <v>-28.3</v>
      </c>
      <c r="CN284" s="61"/>
      <c r="CO284" s="61">
        <f>CF!CO117</f>
        <v>-23.4</v>
      </c>
      <c r="CP284" s="61">
        <f>CF!CP117</f>
        <v>-16.399999999999999</v>
      </c>
      <c r="CQ284" s="61">
        <f>CF!CQ117</f>
        <v>-8.9000000000000057</v>
      </c>
      <c r="CR284" s="61">
        <f>CF!CR117</f>
        <v>-14.299999999999997</v>
      </c>
      <c r="CS284" s="61">
        <f>SUM(CO284:CR284)</f>
        <v>-63</v>
      </c>
      <c r="CT284" s="61"/>
      <c r="CU284" s="61">
        <f>CF!CU117</f>
        <v>-11.5</v>
      </c>
      <c r="CV284" s="61">
        <f>CF!CV117</f>
        <v>-16.7</v>
      </c>
      <c r="CW284" s="61">
        <f>CF!CW117</f>
        <v>-16.500000000000004</v>
      </c>
      <c r="CX284" s="61">
        <f>CF!CX117</f>
        <v>-11.699999999999996</v>
      </c>
      <c r="CY284" s="61">
        <f>SUM(CU284:CX284)</f>
        <v>-56.4</v>
      </c>
      <c r="CZ284" s="61"/>
      <c r="DA284" s="61">
        <f>CF!DA117</f>
        <v>-25.8</v>
      </c>
      <c r="DB284" s="61">
        <f>CF!DB117</f>
        <v>-16.8</v>
      </c>
      <c r="DC284" s="61">
        <f>CF!DC117</f>
        <v>-12.399999999999999</v>
      </c>
      <c r="DD284" s="61">
        <f>CF!DD117</f>
        <v>-9.2000000000000028</v>
      </c>
      <c r="DE284" s="61">
        <f>SUM(DA284:DD284)</f>
        <v>-64.2</v>
      </c>
      <c r="DF284" s="61"/>
      <c r="DG284" s="61">
        <f>CF!DG117</f>
        <v>-14.5</v>
      </c>
      <c r="DH284" s="61">
        <f>CF!DH117</f>
        <v>-17.100000000000001</v>
      </c>
      <c r="DI284" s="61">
        <f>CF!DI117</f>
        <v>-28.4</v>
      </c>
      <c r="DJ284" s="61">
        <f>CF!DJ117</f>
        <v>-15.5</v>
      </c>
      <c r="DK284" s="61">
        <f>SUM(DG284:DJ284)</f>
        <v>-75.5</v>
      </c>
      <c r="DL284" s="61"/>
      <c r="DM284" s="61">
        <f>CF!DM117</f>
        <v>-12.5</v>
      </c>
      <c r="DN284" s="61">
        <f>CF!DN117</f>
        <v>-17.3</v>
      </c>
      <c r="DO284" s="61">
        <f>CF!DO117</f>
        <v>-11.999999999999996</v>
      </c>
      <c r="DP284" s="61">
        <f>CF!DP117</f>
        <v>-30.600000000000009</v>
      </c>
      <c r="DQ284" s="61">
        <f>SUM(DM284:DP284)</f>
        <v>-72.400000000000006</v>
      </c>
      <c r="DR284" s="61"/>
      <c r="DS284" s="61">
        <f>CF!DS117</f>
        <v>-22.3</v>
      </c>
      <c r="DT284" s="61">
        <f>CF!DT117</f>
        <v>-20.3</v>
      </c>
      <c r="DU284" s="61">
        <f>CF!DU117</f>
        <v>-22.499999999999993</v>
      </c>
      <c r="DV284" s="61">
        <f>CF!DV117</f>
        <v>-10.900000000000006</v>
      </c>
      <c r="DW284" s="61">
        <f>SUM(DS284:DV284)</f>
        <v>-76</v>
      </c>
      <c r="DX284" s="61"/>
      <c r="DY284" s="61">
        <f>CF!DY117</f>
        <v>-8.6</v>
      </c>
      <c r="DZ284" s="61">
        <f>CF!DZ117</f>
        <v>-17.799999999999997</v>
      </c>
      <c r="EA284" s="61">
        <f>CF!EA117</f>
        <v>-12.899999999999999</v>
      </c>
      <c r="EB284" s="61">
        <f>CF!EB117</f>
        <v>-11.400000000000006</v>
      </c>
      <c r="EC284" s="61">
        <f>SUM(DY284:EB284)</f>
        <v>-50.7</v>
      </c>
      <c r="ED284" s="61"/>
      <c r="EE284" s="61">
        <f>CF!EE117</f>
        <v>-6.9989241647235581</v>
      </c>
      <c r="EF284" s="61">
        <f>CF!EF117</f>
        <v>-17.985781180310248</v>
      </c>
      <c r="EG284" s="61">
        <f>CF!EG117</f>
        <v>-12.89698720439203</v>
      </c>
      <c r="EH284" s="61">
        <f>CF!EH117</f>
        <v>-11.355918403161766</v>
      </c>
      <c r="EI284" s="61">
        <f>SUM(EE284:EH284)</f>
        <v>-49.237610952587602</v>
      </c>
      <c r="EJ284" s="61"/>
      <c r="EK284" s="61">
        <f>CF!EK117</f>
        <v>-6.0301229030329022</v>
      </c>
      <c r="EL284" s="61">
        <f>CF!EL117</f>
        <v>-19.681949160806575</v>
      </c>
      <c r="EM284" s="61">
        <f>CF!EM117</f>
        <v>-13.183302368047883</v>
      </c>
      <c r="EN284" s="61">
        <f>CF!EN117</f>
        <v>-11.003780927877585</v>
      </c>
      <c r="EO284" s="61">
        <f>SUM(EK284:EN284)</f>
        <v>-49.899155359764947</v>
      </c>
      <c r="EP284" s="61"/>
      <c r="EQ284" s="61">
        <f>CF!EQ117</f>
        <v>-4.1053202584998507</v>
      </c>
      <c r="ER284" s="61">
        <f>CF!ER117</f>
        <v>-20.231449168894443</v>
      </c>
      <c r="ES284" s="61">
        <f>CF!ES117</f>
        <v>-12.272259172448742</v>
      </c>
      <c r="ET284" s="61">
        <f>CF!ET117</f>
        <v>-9.503414252702477</v>
      </c>
      <c r="EU284" s="61">
        <f>SUM(EQ284:ET284)</f>
        <v>-46.112442852545513</v>
      </c>
      <c r="EV284" s="61"/>
    </row>
    <row r="285" spans="1:152" ht="12.75" hidden="1" customHeight="1" outlineLevel="1">
      <c r="A285" s="61" t="s">
        <v>4587</v>
      </c>
      <c r="B285" s="444" t="s">
        <v>4589</v>
      </c>
      <c r="C285" s="61">
        <f>CF!C113</f>
        <v>0</v>
      </c>
      <c r="D285" s="61">
        <f>CF!D113</f>
        <v>0</v>
      </c>
      <c r="E285" s="61">
        <f>CF!E113</f>
        <v>0</v>
      </c>
      <c r="F285" s="61">
        <f>CF!F113</f>
        <v>0</v>
      </c>
      <c r="G285" s="61">
        <f>CF!G113</f>
        <v>0</v>
      </c>
      <c r="H285" s="62"/>
      <c r="I285" s="61">
        <f>CF!I113</f>
        <v>0</v>
      </c>
      <c r="J285" s="61">
        <f>CF!J113</f>
        <v>0</v>
      </c>
      <c r="K285" s="61">
        <f>CF!K113</f>
        <v>0</v>
      </c>
      <c r="L285" s="61">
        <f>CF!L113</f>
        <v>0</v>
      </c>
      <c r="M285" s="61">
        <f>CF!M113</f>
        <v>0</v>
      </c>
      <c r="N285" s="62"/>
      <c r="O285" s="61">
        <f>CF!O113</f>
        <v>43.260000000000026</v>
      </c>
      <c r="P285" s="61">
        <f>CF!P113</f>
        <v>35.771000000000008</v>
      </c>
      <c r="Q285" s="61">
        <f>CF!Q113</f>
        <v>29.172000000000011</v>
      </c>
      <c r="R285" s="61">
        <f>CF!R113</f>
        <v>79.818999999999988</v>
      </c>
      <c r="S285" s="61">
        <f>CF!S113</f>
        <v>188.02200000000005</v>
      </c>
      <c r="T285" s="61"/>
      <c r="U285" s="61">
        <f>CF!U113</f>
        <v>-11.722999999999994</v>
      </c>
      <c r="V285" s="61">
        <f>CF!V113</f>
        <v>15.55399999999999</v>
      </c>
      <c r="W285" s="61">
        <f>CF!W113</f>
        <v>25.86500000000002</v>
      </c>
      <c r="X285" s="61">
        <f>CF!X113</f>
        <v>78.233000000000004</v>
      </c>
      <c r="Y285" s="61">
        <f>CF!Y113</f>
        <v>107.92900000000003</v>
      </c>
      <c r="Z285" s="61"/>
      <c r="AA285" s="61">
        <f>CF!AA113</f>
        <v>38.501999999999974</v>
      </c>
      <c r="AB285" s="61">
        <f>CF!AB113</f>
        <v>53.703000000000017</v>
      </c>
      <c r="AC285" s="61">
        <f>CF!AC113</f>
        <v>36.33400000000001</v>
      </c>
      <c r="AD285" s="61">
        <f>CF!AD113</f>
        <v>67.581000000000003</v>
      </c>
      <c r="AE285" s="61">
        <f>CF!AE113</f>
        <v>196.12</v>
      </c>
      <c r="AF285" s="61"/>
      <c r="AG285" s="61">
        <f>CF!AG113</f>
        <v>43.076999999999956</v>
      </c>
      <c r="AH285" s="61">
        <f>CF!AH113</f>
        <v>53.217999999999989</v>
      </c>
      <c r="AI285" s="61">
        <f>CF!AI113</f>
        <v>33.190999999999981</v>
      </c>
      <c r="AJ285" s="61">
        <f>CF!AJ113</f>
        <v>80.670000000000044</v>
      </c>
      <c r="AK285" s="61">
        <f>CF!AK113</f>
        <v>210.15599999999998</v>
      </c>
      <c r="AL285" s="61"/>
      <c r="AM285" s="61">
        <f>CF!AM113</f>
        <v>15.204000000000018</v>
      </c>
      <c r="AN285" s="61">
        <f>CF!AN113</f>
        <v>22.010000000000016</v>
      </c>
      <c r="AO285" s="61">
        <f>CF!AO113</f>
        <v>5.9719999999999764</v>
      </c>
      <c r="AP285" s="61">
        <f>CF!AP113</f>
        <v>42.449000000000019</v>
      </c>
      <c r="AQ285" s="61">
        <f>CF!AQ113</f>
        <v>85.635000000000019</v>
      </c>
      <c r="AR285" s="61"/>
      <c r="AS285" s="61">
        <f>CF!AS113</f>
        <v>17.405999999999999</v>
      </c>
      <c r="AT285" s="61">
        <f>CF!AT113</f>
        <v>30.164999999999978</v>
      </c>
      <c r="AU285" s="61">
        <f>CF!AU113</f>
        <v>53.378999999999991</v>
      </c>
      <c r="AV285" s="61">
        <f>CF!AV113</f>
        <v>119.13300000000007</v>
      </c>
      <c r="AW285" s="61">
        <f>CF!AW113</f>
        <v>220.08300000000006</v>
      </c>
      <c r="AX285" s="61"/>
      <c r="AY285" s="61">
        <f>CF!AY113</f>
        <v>54.816000000000031</v>
      </c>
      <c r="AZ285" s="61">
        <f>CF!AZ113</f>
        <v>83.500000000000014</v>
      </c>
      <c r="BA285" s="61">
        <f>CF!BA113</f>
        <v>90.977999999999966</v>
      </c>
      <c r="BB285" s="61">
        <f>CF!BB113</f>
        <v>143.78899999999996</v>
      </c>
      <c r="BC285" s="61">
        <f>CF!BC113</f>
        <v>373.08299999999997</v>
      </c>
      <c r="BD285" s="61"/>
      <c r="BE285" s="61">
        <f>CF!BE113</f>
        <v>63.310999999999964</v>
      </c>
      <c r="BF285" s="61">
        <f>CF!BF113</f>
        <v>113.21599999999999</v>
      </c>
      <c r="BG285" s="61">
        <f>CF!BG113</f>
        <v>124.92500000000001</v>
      </c>
      <c r="BH285" s="61">
        <f>CF!BH113</f>
        <v>113.84800000000001</v>
      </c>
      <c r="BI285" s="61">
        <f>CF!BI113</f>
        <v>415.30000000000007</v>
      </c>
      <c r="BJ285" s="61"/>
      <c r="BK285" s="61">
        <f>CF!BK113</f>
        <v>90.199999999999974</v>
      </c>
      <c r="BL285" s="61">
        <f>CF!BL113</f>
        <v>162.69999999999999</v>
      </c>
      <c r="BM285" s="61">
        <f>CF!BM113</f>
        <v>132.89999999999998</v>
      </c>
      <c r="BN285" s="61">
        <f>CF!BN113</f>
        <v>190.79999999999995</v>
      </c>
      <c r="BO285" s="61">
        <f>CF!BO113</f>
        <v>576.59999999999991</v>
      </c>
      <c r="BP285" s="61"/>
      <c r="BQ285" s="61">
        <f>CF!BQ113</f>
        <v>191.60000000000002</v>
      </c>
      <c r="BR285" s="61">
        <f>CF!BR113</f>
        <v>136.60000000000005</v>
      </c>
      <c r="BS285" s="61">
        <f>CF!BS113</f>
        <v>161.29999999999995</v>
      </c>
      <c r="BT285" s="61">
        <f>CF!BT113</f>
        <v>218.99999999999997</v>
      </c>
      <c r="BU285" s="61">
        <f>CF!BU113</f>
        <v>708.5</v>
      </c>
      <c r="BV285" s="61"/>
      <c r="BW285" s="61">
        <f>CF!BW113</f>
        <v>185.29999999999998</v>
      </c>
      <c r="BX285" s="61">
        <f>CF!BX113</f>
        <v>215.00000000000003</v>
      </c>
      <c r="BY285" s="61">
        <f>CF!BY113</f>
        <v>107.19999999999997</v>
      </c>
      <c r="BZ285" s="61">
        <f>CF!BZ113</f>
        <v>86.38000000000001</v>
      </c>
      <c r="CA285" s="61">
        <f>CF!CA113</f>
        <v>593.88</v>
      </c>
      <c r="CB285" s="61"/>
      <c r="CC285" s="61">
        <f>CF!CC113</f>
        <v>27.2</v>
      </c>
      <c r="CD285" s="61">
        <f>CF!CD113</f>
        <v>47.299999999999983</v>
      </c>
      <c r="CE285" s="61">
        <f>CF!CE113</f>
        <v>46.700000000000017</v>
      </c>
      <c r="CF285" s="61">
        <f>CF!CF113</f>
        <v>125.59999999999998</v>
      </c>
      <c r="CG285" s="61">
        <f>CF!CG113</f>
        <v>246.79999999999998</v>
      </c>
      <c r="CH285" s="61"/>
      <c r="CI285" s="61">
        <f>CF!CI113</f>
        <v>139.1</v>
      </c>
      <c r="CJ285" s="61">
        <f>CF!CJ113</f>
        <v>111.49999999999997</v>
      </c>
      <c r="CK285" s="61">
        <f>CF!CK113</f>
        <v>114.30000000000004</v>
      </c>
      <c r="CL285" s="61">
        <f>CF!CL113</f>
        <v>175.90000000000003</v>
      </c>
      <c r="CM285" s="61">
        <f>CF!CM113</f>
        <v>540.79999999999995</v>
      </c>
      <c r="CN285" s="61"/>
      <c r="CO285" s="61">
        <f>CF!CO113</f>
        <v>128.39999999999998</v>
      </c>
      <c r="CP285" s="61">
        <f>CF!CP113</f>
        <v>132.20000000000002</v>
      </c>
      <c r="CQ285" s="61">
        <f>CF!CQ113</f>
        <v>137.70000000000002</v>
      </c>
      <c r="CR285" s="61">
        <f>CF!CR113</f>
        <v>175.2</v>
      </c>
      <c r="CS285" s="61">
        <f>CF!CS113</f>
        <v>573.5</v>
      </c>
      <c r="CT285" s="61"/>
      <c r="CU285" s="61">
        <f>CF!CU113</f>
        <v>139.29999999999998</v>
      </c>
      <c r="CV285" s="61">
        <f>CF!CV113</f>
        <v>107.1</v>
      </c>
      <c r="CW285" s="61">
        <f>CF!CW113</f>
        <v>157.10000000000002</v>
      </c>
      <c r="CX285" s="61">
        <f>CF!CX113</f>
        <v>155.60000000000002</v>
      </c>
      <c r="CY285" s="61">
        <f>CF!CY113</f>
        <v>559.1</v>
      </c>
      <c r="CZ285" s="61"/>
      <c r="DA285" s="61">
        <f>CF!DA113</f>
        <v>224.10000000000002</v>
      </c>
      <c r="DB285" s="61">
        <f>CF!DB113</f>
        <v>65.299999999999983</v>
      </c>
      <c r="DC285" s="61">
        <f>CF!DC113</f>
        <v>90.600000000000051</v>
      </c>
      <c r="DD285" s="61">
        <f>CF!DD113</f>
        <v>183.5</v>
      </c>
      <c r="DE285" s="61">
        <f>CF!DE113</f>
        <v>563.5</v>
      </c>
      <c r="DF285" s="61"/>
      <c r="DG285" s="61">
        <f>CF!DG113</f>
        <v>218.7</v>
      </c>
      <c r="DH285" s="61">
        <f>CF!DH113</f>
        <v>96.200000000000031</v>
      </c>
      <c r="DI285" s="61">
        <f>CF!DI113</f>
        <v>136</v>
      </c>
      <c r="DJ285" s="61">
        <f>CF!DJ113</f>
        <v>257.20000000000005</v>
      </c>
      <c r="DK285" s="61">
        <f>CF!DK113</f>
        <v>708.1</v>
      </c>
      <c r="DL285" s="61"/>
      <c r="DM285" s="61">
        <f>CF!DM113</f>
        <v>86.499999999999986</v>
      </c>
      <c r="DN285" s="61">
        <f>CF!DN113</f>
        <v>77.2</v>
      </c>
      <c r="DO285" s="61">
        <f>CF!DO113</f>
        <v>80.399999999999977</v>
      </c>
      <c r="DP285" s="61">
        <f>CF!DP113</f>
        <v>169.90000000000003</v>
      </c>
      <c r="DQ285" s="61">
        <f>CF!DQ113</f>
        <v>414.00000000000006</v>
      </c>
      <c r="DR285" s="61"/>
      <c r="DS285" s="61">
        <f>CF!DS113</f>
        <v>164.30000000000004</v>
      </c>
      <c r="DT285" s="61">
        <f>CF!DT113</f>
        <v>-17.899999999999984</v>
      </c>
      <c r="DU285" s="61">
        <f>CF!DU113</f>
        <v>7.7000000000000028</v>
      </c>
      <c r="DV285" s="61">
        <f>CF!DV113</f>
        <v>15.599999999999952</v>
      </c>
      <c r="DW285" s="61">
        <f>CF!DW113</f>
        <v>169.7</v>
      </c>
      <c r="DX285" s="61"/>
      <c r="DY285" s="61">
        <f>CF!DY113</f>
        <v>45.20000000000006</v>
      </c>
      <c r="DZ285" s="61">
        <f>CF!DZ113</f>
        <v>-72.500000000000085</v>
      </c>
      <c r="EA285" s="61">
        <f>CF!EA113</f>
        <v>-50.999999999999972</v>
      </c>
      <c r="EB285" s="61">
        <f>CF!EB113</f>
        <v>79.200000000000031</v>
      </c>
      <c r="EC285" s="61">
        <f>CF!EC113</f>
        <v>0.89999999999997726</v>
      </c>
      <c r="ED285" s="61"/>
      <c r="EE285" s="61">
        <f>CF!EE113</f>
        <v>35.690683692496513</v>
      </c>
      <c r="EF285" s="61">
        <f>CF!EF113</f>
        <v>83.032016730419031</v>
      </c>
      <c r="EG285" s="61">
        <f>CF!EG113</f>
        <v>58.148843611622652</v>
      </c>
      <c r="EH285" s="61">
        <f>CF!EH113</f>
        <v>410.44387762910389</v>
      </c>
      <c r="EI285" s="61">
        <f>CF!EI113</f>
        <v>587.31542166364216</v>
      </c>
      <c r="EJ285" s="61"/>
      <c r="EK285" s="61">
        <f>CF!EK113</f>
        <v>1.6572372510924254</v>
      </c>
      <c r="EL285" s="61">
        <f>CF!EL113</f>
        <v>250.2678513825546</v>
      </c>
      <c r="EM285" s="61">
        <f>CF!EM113</f>
        <v>228.92205005112368</v>
      </c>
      <c r="EN285" s="61">
        <f>CF!EN113</f>
        <v>688.1086155904992</v>
      </c>
      <c r="EO285" s="61">
        <f>CF!EO113</f>
        <v>1168.95575427527</v>
      </c>
      <c r="EP285" s="61"/>
      <c r="EQ285" s="61">
        <f>CF!EQ113</f>
        <v>168.76037550784588</v>
      </c>
      <c r="ER285" s="61">
        <f>CF!ER113</f>
        <v>330.11806650673611</v>
      </c>
      <c r="ES285" s="61">
        <f>CF!ES113</f>
        <v>273.68889871875274</v>
      </c>
      <c r="ET285" s="61">
        <f>CF!ET113</f>
        <v>685.65358529389039</v>
      </c>
      <c r="EU285" s="61">
        <f>CF!EU113</f>
        <v>1458.220926027225</v>
      </c>
      <c r="EV285" s="61"/>
    </row>
    <row r="286" spans="1:152" ht="12.75" hidden="1" customHeight="1" outlineLevel="1">
      <c r="A286" s="61" t="s">
        <v>5180</v>
      </c>
      <c r="B286" s="444" t="s">
        <v>2249</v>
      </c>
      <c r="C286" s="61">
        <f>C285+C284</f>
        <v>0</v>
      </c>
      <c r="D286" s="61">
        <f>D285+D284</f>
        <v>0</v>
      </c>
      <c r="E286" s="61">
        <f>E285+E284</f>
        <v>0</v>
      </c>
      <c r="F286" s="61">
        <f>F285+F284</f>
        <v>0</v>
      </c>
      <c r="G286" s="61">
        <f>G285+G284</f>
        <v>0</v>
      </c>
      <c r="H286" s="62"/>
      <c r="I286" s="61">
        <f>I285+I284</f>
        <v>0</v>
      </c>
      <c r="J286" s="61">
        <f>J285+J284</f>
        <v>0</v>
      </c>
      <c r="K286" s="61">
        <f>K285+K284</f>
        <v>0</v>
      </c>
      <c r="L286" s="61">
        <f>L285+L284</f>
        <v>0</v>
      </c>
      <c r="M286" s="61">
        <f>M285+M284</f>
        <v>0</v>
      </c>
      <c r="N286" s="62"/>
      <c r="O286" s="61">
        <f>O285+O284</f>
        <v>34.972000000000023</v>
      </c>
      <c r="P286" s="61">
        <f>P285+P284</f>
        <v>29.049000000000007</v>
      </c>
      <c r="Q286" s="61">
        <f>Q285+Q284</f>
        <v>26.686000000000014</v>
      </c>
      <c r="R286" s="61">
        <f>R285+R284</f>
        <v>54.505999999999986</v>
      </c>
      <c r="S286" s="61">
        <f>S285+S284</f>
        <v>145.21300000000005</v>
      </c>
      <c r="T286" s="61"/>
      <c r="U286" s="61">
        <f>U285+U284</f>
        <v>-15.270999999999994</v>
      </c>
      <c r="V286" s="61">
        <f>V285+V284</f>
        <v>5.256999999999989</v>
      </c>
      <c r="W286" s="61">
        <f>W285+W284</f>
        <v>23.315000000000019</v>
      </c>
      <c r="X286" s="61">
        <f>X285+X284</f>
        <v>79.695999999999998</v>
      </c>
      <c r="Y286" s="61">
        <f>Y285+Y284</f>
        <v>92.997000000000028</v>
      </c>
      <c r="Z286" s="61"/>
      <c r="AA286" s="61">
        <f>AA285+AA284</f>
        <v>28.020999999999972</v>
      </c>
      <c r="AB286" s="61">
        <f>AB285+AB284</f>
        <v>45.919000000000018</v>
      </c>
      <c r="AC286" s="61">
        <f>AC285+AC284</f>
        <v>29.688000000000009</v>
      </c>
      <c r="AD286" s="61">
        <f>AD285+AD284</f>
        <v>60.080000000000005</v>
      </c>
      <c r="AE286" s="61">
        <f>AE285+AE284</f>
        <v>163.708</v>
      </c>
      <c r="AF286" s="61"/>
      <c r="AG286" s="61">
        <f>AG285+AG284</f>
        <v>29.897999999999954</v>
      </c>
      <c r="AH286" s="61">
        <f>AH285+AH284</f>
        <v>40.099999999999987</v>
      </c>
      <c r="AI286" s="61">
        <f>AI285+AI284</f>
        <v>22.781999999999979</v>
      </c>
      <c r="AJ286" s="61">
        <f>AJ285+AJ284</f>
        <v>72.30800000000005</v>
      </c>
      <c r="AK286" s="61">
        <f>AK285+AK284</f>
        <v>165.08799999999997</v>
      </c>
      <c r="AL286" s="61"/>
      <c r="AM286" s="61">
        <f>AM285+AM284</f>
        <v>5.3030000000000186</v>
      </c>
      <c r="AN286" s="61">
        <f>AN285+AN284</f>
        <v>9.3580000000000148</v>
      </c>
      <c r="AO286" s="61">
        <f>AO285+AO284</f>
        <v>-0.48000000000002174</v>
      </c>
      <c r="AP286" s="61">
        <f>AP285+AP284</f>
        <v>35.351000000000013</v>
      </c>
      <c r="AQ286" s="61">
        <f>AQ285+AQ284</f>
        <v>49.532000000000018</v>
      </c>
      <c r="AR286" s="61"/>
      <c r="AS286" s="61">
        <f>AS285+AS284</f>
        <v>13.322999999999999</v>
      </c>
      <c r="AT286" s="61">
        <f>AT285+AT284</f>
        <v>20.382999999999978</v>
      </c>
      <c r="AU286" s="61">
        <f>AU285+AU284</f>
        <v>48.527999999999992</v>
      </c>
      <c r="AV286" s="61">
        <f>AV285+AV284</f>
        <v>111.99700000000007</v>
      </c>
      <c r="AW286" s="61">
        <f>AW285+AW284</f>
        <v>194.23100000000005</v>
      </c>
      <c r="AX286" s="61"/>
      <c r="AY286" s="61">
        <f>AY285+AY284</f>
        <v>48.916000000000032</v>
      </c>
      <c r="AZ286" s="61">
        <f>AZ285+AZ284</f>
        <v>73.700000000000017</v>
      </c>
      <c r="BA286" s="61">
        <f>BA285+BA284</f>
        <v>77.377999999999972</v>
      </c>
      <c r="BB286" s="61">
        <f>BB285+BB284</f>
        <v>132.28899999999996</v>
      </c>
      <c r="BC286" s="61">
        <f>BC285+BC284</f>
        <v>332.28299999999996</v>
      </c>
      <c r="BD286" s="61"/>
      <c r="BE286" s="61">
        <f>BE285+BE284</f>
        <v>57.810999999999964</v>
      </c>
      <c r="BF286" s="61">
        <f>BF285+BF284</f>
        <v>108.81599999999999</v>
      </c>
      <c r="BG286" s="61">
        <f>BG285+BG284</f>
        <v>119.52500000000001</v>
      </c>
      <c r="BH286" s="61">
        <f>BH285+BH284</f>
        <v>108.64800000000001</v>
      </c>
      <c r="BI286" s="61">
        <f>BI285+BI284</f>
        <v>394.80000000000007</v>
      </c>
      <c r="BJ286" s="61"/>
      <c r="BK286" s="61">
        <f>BK285+BK284</f>
        <v>78.799999999999969</v>
      </c>
      <c r="BL286" s="61">
        <f>BL285+BL284</f>
        <v>155.69999999999999</v>
      </c>
      <c r="BM286" s="61">
        <f>BM285+BM284</f>
        <v>125.89999999999998</v>
      </c>
      <c r="BN286" s="61">
        <f>BN285+BN284</f>
        <v>180.89999999999995</v>
      </c>
      <c r="BO286" s="61">
        <f>BO285+BO284</f>
        <v>541.29999999999995</v>
      </c>
      <c r="BP286" s="61"/>
      <c r="BQ286" s="61">
        <f>BQ285+BQ284</f>
        <v>184.8</v>
      </c>
      <c r="BR286" s="61">
        <f>BR285+BR284</f>
        <v>125.20000000000005</v>
      </c>
      <c r="BS286" s="61">
        <f>BS285+BS284</f>
        <v>150.39999999999995</v>
      </c>
      <c r="BT286" s="61">
        <f>BT285+BT284</f>
        <v>204.79999999999998</v>
      </c>
      <c r="BU286" s="61">
        <f>BU285+BU284</f>
        <v>665.2</v>
      </c>
      <c r="BV286" s="61"/>
      <c r="BW286" s="61">
        <f>BW285+BW284</f>
        <v>171.89999999999998</v>
      </c>
      <c r="BX286" s="61">
        <f>BX285+BX284</f>
        <v>188.50000000000003</v>
      </c>
      <c r="BY286" s="61">
        <f>BY285+BY284</f>
        <v>87.999999999999972</v>
      </c>
      <c r="BZ286" s="61">
        <f>BZ285+BZ284</f>
        <v>67.080000000000013</v>
      </c>
      <c r="CA286" s="61">
        <f>CA285+CA284</f>
        <v>515.48</v>
      </c>
      <c r="CB286" s="61"/>
      <c r="CC286" s="61">
        <f>CC285+CC284</f>
        <v>13.6</v>
      </c>
      <c r="CD286" s="61">
        <f>CD285+CD284</f>
        <v>36.59999999999998</v>
      </c>
      <c r="CE286" s="61">
        <f>CE285+CE284</f>
        <v>40.800000000000018</v>
      </c>
      <c r="CF286" s="61">
        <f>CF285+CF284</f>
        <v>116.79999999999998</v>
      </c>
      <c r="CG286" s="61">
        <f>CG285+CG284</f>
        <v>207.79999999999998</v>
      </c>
      <c r="CH286" s="61"/>
      <c r="CI286" s="61">
        <f>CI285+CI284</f>
        <v>133.29999999999998</v>
      </c>
      <c r="CJ286" s="61">
        <f>CJ285+CJ284</f>
        <v>106.19999999999997</v>
      </c>
      <c r="CK286" s="61">
        <f>CK285+CK284</f>
        <v>107.30000000000004</v>
      </c>
      <c r="CL286" s="61">
        <f>CL285+CL284</f>
        <v>165.70000000000005</v>
      </c>
      <c r="CM286" s="61">
        <f>CM285+CM284</f>
        <v>512.5</v>
      </c>
      <c r="CN286" s="61"/>
      <c r="CO286" s="61">
        <f>CO285+CO284</f>
        <v>104.99999999999997</v>
      </c>
      <c r="CP286" s="61">
        <f>CP285+CP284</f>
        <v>115.80000000000001</v>
      </c>
      <c r="CQ286" s="61">
        <f>CQ285+CQ284</f>
        <v>128.80000000000001</v>
      </c>
      <c r="CR286" s="61">
        <f>CR285+CR284</f>
        <v>160.89999999999998</v>
      </c>
      <c r="CS286" s="61">
        <f>CS285+CS284</f>
        <v>510.5</v>
      </c>
      <c r="CT286" s="61"/>
      <c r="CU286" s="61">
        <f>CU285+CU284</f>
        <v>127.79999999999998</v>
      </c>
      <c r="CV286" s="61">
        <f>CV285+CV284</f>
        <v>90.399999999999991</v>
      </c>
      <c r="CW286" s="61">
        <f>CW285+CW284</f>
        <v>140.60000000000002</v>
      </c>
      <c r="CX286" s="61">
        <f>CX285+CX284</f>
        <v>143.90000000000003</v>
      </c>
      <c r="CY286" s="61">
        <f>CY285+CY284</f>
        <v>502.70000000000005</v>
      </c>
      <c r="CZ286" s="61"/>
      <c r="DA286" s="61">
        <f>DA285+DA284</f>
        <v>198.3</v>
      </c>
      <c r="DB286" s="61">
        <f>DB285+DB284</f>
        <v>48.499999999999986</v>
      </c>
      <c r="DC286" s="61">
        <f>DC285+DC284</f>
        <v>78.200000000000045</v>
      </c>
      <c r="DD286" s="61">
        <f>DD285+DD284</f>
        <v>174.3</v>
      </c>
      <c r="DE286" s="61">
        <f>DE285+DE284</f>
        <v>499.3</v>
      </c>
      <c r="DF286" s="61"/>
      <c r="DG286" s="61">
        <f>DG285+DG284</f>
        <v>204.2</v>
      </c>
      <c r="DH286" s="61">
        <f>DH285+DH284</f>
        <v>79.100000000000023</v>
      </c>
      <c r="DI286" s="61">
        <f>DI285+DI284</f>
        <v>107.6</v>
      </c>
      <c r="DJ286" s="61">
        <f>DJ285+DJ284</f>
        <v>241.70000000000005</v>
      </c>
      <c r="DK286" s="61">
        <f>DK285+DK284</f>
        <v>632.6</v>
      </c>
      <c r="DL286" s="61"/>
      <c r="DM286" s="61">
        <f>DM285+DM284</f>
        <v>73.999999999999986</v>
      </c>
      <c r="DN286" s="61">
        <f>DN285+DN284</f>
        <v>59.900000000000006</v>
      </c>
      <c r="DO286" s="61">
        <f>DO285+DO284</f>
        <v>68.399999999999977</v>
      </c>
      <c r="DP286" s="61">
        <f>DP285+DP284</f>
        <v>139.30000000000001</v>
      </c>
      <c r="DQ286" s="61">
        <f>DQ285+DQ284</f>
        <v>341.6</v>
      </c>
      <c r="DR286" s="61"/>
      <c r="DS286" s="61">
        <f>DS285+DS284</f>
        <v>142.00000000000003</v>
      </c>
      <c r="DT286" s="61">
        <f>DT285+DT284</f>
        <v>-38.199999999999989</v>
      </c>
      <c r="DU286" s="61">
        <f>DU285+DU284</f>
        <v>-14.79999999999999</v>
      </c>
      <c r="DV286" s="61">
        <f>DV285+DV284</f>
        <v>4.699999999999946</v>
      </c>
      <c r="DW286" s="61">
        <f>DW285+DW284</f>
        <v>93.699999999999989</v>
      </c>
      <c r="DX286" s="61"/>
      <c r="DY286" s="61">
        <f>DY285+DY284</f>
        <v>36.600000000000058</v>
      </c>
      <c r="DZ286" s="61">
        <f>DZ285+DZ284</f>
        <v>-90.300000000000082</v>
      </c>
      <c r="EA286" s="61">
        <f>EA285+EA284</f>
        <v>-63.89999999999997</v>
      </c>
      <c r="EB286" s="61">
        <f>EB285+EB284</f>
        <v>67.800000000000026</v>
      </c>
      <c r="EC286" s="61">
        <f>EC285+EC284</f>
        <v>-49.800000000000026</v>
      </c>
      <c r="ED286" s="61"/>
      <c r="EE286" s="61">
        <f>EE285+EE284</f>
        <v>28.691759527772955</v>
      </c>
      <c r="EF286" s="61">
        <f>EF285+EF284</f>
        <v>65.046235550108776</v>
      </c>
      <c r="EG286" s="61">
        <f>EG285+EG284</f>
        <v>45.251856407230619</v>
      </c>
      <c r="EH286" s="61">
        <f>EH285+EH284</f>
        <v>399.08795922594214</v>
      </c>
      <c r="EI286" s="61">
        <f>EI285+EI284</f>
        <v>538.07781071105455</v>
      </c>
      <c r="EJ286" s="61"/>
      <c r="EK286" s="61">
        <f>EK285+EK284</f>
        <v>-4.3728856519404768</v>
      </c>
      <c r="EL286" s="61">
        <f>EL285+EL284</f>
        <v>230.58590222174803</v>
      </c>
      <c r="EM286" s="61">
        <f>EM285+EM284</f>
        <v>215.73874768307579</v>
      </c>
      <c r="EN286" s="61">
        <f>EN285+EN284</f>
        <v>677.10483466262167</v>
      </c>
      <c r="EO286" s="61">
        <f>EO285+EO284</f>
        <v>1119.056598915505</v>
      </c>
      <c r="EP286" s="61"/>
      <c r="EQ286" s="61">
        <f>EQ285+EQ284</f>
        <v>164.65505524934602</v>
      </c>
      <c r="ER286" s="61">
        <f>ER285+ER284</f>
        <v>309.8866173378417</v>
      </c>
      <c r="ES286" s="61">
        <f>ES285+ES284</f>
        <v>261.416639546304</v>
      </c>
      <c r="ET286" s="61">
        <f>ET285+ET284</f>
        <v>676.15017104118795</v>
      </c>
      <c r="EU286" s="61">
        <f>EU285+EU284</f>
        <v>1412.1084831746796</v>
      </c>
      <c r="EV286" s="61"/>
    </row>
    <row r="287" spans="1:152" ht="12.75" hidden="1" customHeight="1" outlineLevel="1">
      <c r="A287" s="61" t="s">
        <v>5251</v>
      </c>
      <c r="B287" s="444" t="s">
        <v>5250</v>
      </c>
      <c r="C287" s="61"/>
      <c r="D287" s="61"/>
      <c r="E287" s="61"/>
      <c r="F287" s="61"/>
      <c r="G287" s="61"/>
      <c r="H287" s="62"/>
      <c r="I287" s="61"/>
      <c r="J287" s="61"/>
      <c r="K287" s="61"/>
      <c r="L287" s="61"/>
      <c r="M287" s="61"/>
      <c r="N287" s="62"/>
      <c r="O287" s="61">
        <f>CF!O90</f>
        <v>0</v>
      </c>
      <c r="P287" s="61">
        <f>CF!P90</f>
        <v>0</v>
      </c>
      <c r="Q287" s="61">
        <f>CF!Q90</f>
        <v>0</v>
      </c>
      <c r="R287" s="61">
        <f>CF!R90</f>
        <v>15.468999999999999</v>
      </c>
      <c r="S287" s="61">
        <f>CF!S90</f>
        <v>15.468999999999999</v>
      </c>
      <c r="T287" s="61"/>
      <c r="U287" s="61">
        <f>CF!U90</f>
        <v>0</v>
      </c>
      <c r="V287" s="61">
        <f>CF!V90</f>
        <v>0</v>
      </c>
      <c r="W287" s="61">
        <f>CF!W90</f>
        <v>0</v>
      </c>
      <c r="X287" s="61">
        <f>CF!X90</f>
        <v>4.6420000000000003</v>
      </c>
      <c r="Y287" s="61">
        <f>CF!Y90</f>
        <v>4.6420000000000003</v>
      </c>
      <c r="Z287" s="61"/>
      <c r="AA287" s="61">
        <f>CF!AA90</f>
        <v>0</v>
      </c>
      <c r="AB287" s="61">
        <f>CF!AB90</f>
        <v>0</v>
      </c>
      <c r="AC287" s="61">
        <f>CF!AC90</f>
        <v>0</v>
      </c>
      <c r="AD287" s="61">
        <f>CF!AD90</f>
        <v>21.055</v>
      </c>
      <c r="AE287" s="61">
        <f>CF!AE90</f>
        <v>21.055</v>
      </c>
      <c r="AF287" s="61"/>
      <c r="AG287" s="61">
        <f>CF!AG90</f>
        <v>3.464</v>
      </c>
      <c r="AH287" s="61">
        <f>CF!AH90</f>
        <v>2.0660000000000003</v>
      </c>
      <c r="AI287" s="61">
        <f>CF!AI90</f>
        <v>2.7380000000000004</v>
      </c>
      <c r="AJ287" s="61">
        <f>CF!AJ90</f>
        <v>3.9079999999999995</v>
      </c>
      <c r="AK287" s="61">
        <f>CF!AK90</f>
        <v>12.176</v>
      </c>
      <c r="AL287" s="61">
        <f>CF!AL15</f>
        <v>0</v>
      </c>
      <c r="AM287" s="61">
        <f>CF!AM90</f>
        <v>7.8979999999999997</v>
      </c>
      <c r="AN287" s="61">
        <f>CF!AN90</f>
        <v>0.25600000000000023</v>
      </c>
      <c r="AO287" s="61">
        <f>CF!AO90</f>
        <v>0.40000000000000036</v>
      </c>
      <c r="AP287" s="61">
        <f>CF!AP90</f>
        <v>0</v>
      </c>
      <c r="AQ287" s="61">
        <f>CF!AQ90</f>
        <v>8.5540000000000003</v>
      </c>
      <c r="AR287" s="61"/>
      <c r="AS287" s="61">
        <f>CF!AS90</f>
        <v>0</v>
      </c>
      <c r="AT287" s="61">
        <f>CF!AT90</f>
        <v>0</v>
      </c>
      <c r="AU287" s="61">
        <f>CF!AU90</f>
        <v>0</v>
      </c>
      <c r="AV287" s="61">
        <f>CF!AV90</f>
        <v>0</v>
      </c>
      <c r="AW287" s="61">
        <f>CF!AW90</f>
        <v>0</v>
      </c>
      <c r="AX287" s="61"/>
      <c r="AY287" s="61">
        <f>CF!AY90</f>
        <v>23.7</v>
      </c>
      <c r="AZ287" s="61">
        <f>CF!AZ90</f>
        <v>0</v>
      </c>
      <c r="BA287" s="61">
        <f>CF!BA90</f>
        <v>63.5</v>
      </c>
      <c r="BB287" s="61">
        <f>CF!BB90</f>
        <v>25.299999999999997</v>
      </c>
      <c r="BC287" s="61">
        <f>CF!BC90</f>
        <v>112.5</v>
      </c>
      <c r="BD287" s="61"/>
      <c r="BE287" s="61">
        <f>CF!BE90</f>
        <v>23.7</v>
      </c>
      <c r="BF287" s="61">
        <f>CF!BF90</f>
        <v>26.7</v>
      </c>
      <c r="BG287" s="61">
        <f>CF!BG90</f>
        <v>54.6</v>
      </c>
      <c r="BH287" s="61">
        <f>CF!BH90</f>
        <v>19.599999999999994</v>
      </c>
      <c r="BI287" s="61">
        <f>CF!BI90</f>
        <v>124.6</v>
      </c>
      <c r="BJ287" s="61"/>
      <c r="BK287" s="61">
        <f>CF!BK90</f>
        <v>0</v>
      </c>
      <c r="BL287" s="61">
        <f>CF!BL90</f>
        <v>0</v>
      </c>
      <c r="BM287" s="61">
        <f>CF!BM90</f>
        <v>0</v>
      </c>
      <c r="BN287" s="61">
        <f>CF!BN90</f>
        <v>5.0999999999999996</v>
      </c>
      <c r="BO287" s="61">
        <f>CF!BO90</f>
        <v>5.0999999999999996</v>
      </c>
      <c r="BP287" s="61"/>
      <c r="BQ287" s="61">
        <f>CF!BQ90</f>
        <v>0</v>
      </c>
      <c r="BR287" s="61">
        <f>CF!BR90</f>
        <v>0</v>
      </c>
      <c r="BS287" s="61">
        <f>CF!BS90</f>
        <v>0</v>
      </c>
      <c r="BT287" s="61">
        <f>CF!BT90</f>
        <v>0</v>
      </c>
      <c r="BU287" s="61">
        <f>CF!BU90</f>
        <v>0</v>
      </c>
      <c r="BV287" s="61"/>
      <c r="BW287" s="61">
        <f>CF!BW90</f>
        <v>0</v>
      </c>
      <c r="BX287" s="61">
        <f>CF!BX90</f>
        <v>0</v>
      </c>
      <c r="BY287" s="61">
        <f>CF!BY90</f>
        <v>0</v>
      </c>
      <c r="BZ287" s="61">
        <f>CF!BZ90</f>
        <v>0</v>
      </c>
      <c r="CA287" s="61">
        <f>CF!CA90</f>
        <v>0</v>
      </c>
      <c r="CB287" s="61"/>
      <c r="CC287" s="61">
        <f>CF!CC90</f>
        <v>0</v>
      </c>
      <c r="CD287" s="61">
        <f>CF!CD90</f>
        <v>0</v>
      </c>
      <c r="CE287" s="61">
        <f>CF!CE90</f>
        <v>0</v>
      </c>
      <c r="CF287" s="61">
        <f>CF!CF90</f>
        <v>0</v>
      </c>
      <c r="CG287" s="61">
        <f>CF!CG90</f>
        <v>0</v>
      </c>
      <c r="CH287" s="61"/>
      <c r="CI287" s="61">
        <f>CF!CI90</f>
        <v>0</v>
      </c>
      <c r="CJ287" s="61">
        <f>CF!CJ90</f>
        <v>0</v>
      </c>
      <c r="CK287" s="61">
        <f>CF!CK90</f>
        <v>0</v>
      </c>
      <c r="CL287" s="61">
        <f>CF!CL90</f>
        <v>0</v>
      </c>
      <c r="CM287" s="61">
        <f>CF!CM90</f>
        <v>0</v>
      </c>
      <c r="CN287" s="61"/>
      <c r="CO287" s="61">
        <f>CF!CO90</f>
        <v>0</v>
      </c>
      <c r="CP287" s="61">
        <f>CF!CP90</f>
        <v>-13.5</v>
      </c>
      <c r="CQ287" s="61">
        <f>CF!CQ90</f>
        <v>-19.5</v>
      </c>
      <c r="CR287" s="61">
        <f>CF!CR90</f>
        <v>1.5</v>
      </c>
      <c r="CS287" s="61">
        <f>CF!CS90</f>
        <v>-31.5</v>
      </c>
      <c r="CT287" s="61"/>
      <c r="CU287" s="61">
        <f>CF!CU90</f>
        <v>-9.9</v>
      </c>
      <c r="CV287" s="61">
        <f>CF!CV90</f>
        <v>-18.200000000000003</v>
      </c>
      <c r="CW287" s="61">
        <f>CF!CW90</f>
        <v>0.70000000000000284</v>
      </c>
      <c r="CX287" s="61">
        <f>CF!CX90</f>
        <v>14.499999999999998</v>
      </c>
      <c r="CY287" s="61">
        <f>CF!CY90</f>
        <v>-12.9</v>
      </c>
      <c r="CZ287" s="61"/>
      <c r="DA287" s="61">
        <f>CF!DA90</f>
        <v>-9</v>
      </c>
      <c r="DB287" s="61">
        <f>CF!DB90</f>
        <v>5.8</v>
      </c>
      <c r="DC287" s="61">
        <f>CF!DC90</f>
        <v>4</v>
      </c>
      <c r="DD287" s="61">
        <f>CF!DD90</f>
        <v>-9.9</v>
      </c>
      <c r="DE287" s="61">
        <f>CF!DE90</f>
        <v>-9.1000000000000014</v>
      </c>
      <c r="DF287" s="61"/>
      <c r="DG287" s="61">
        <f>CF!DG90</f>
        <v>0</v>
      </c>
      <c r="DH287" s="61">
        <f>CF!DH90</f>
        <v>0</v>
      </c>
      <c r="DI287" s="61">
        <f>CF!DI90</f>
        <v>0</v>
      </c>
      <c r="DJ287" s="61">
        <f>CF!DJ90</f>
        <v>-0.5</v>
      </c>
      <c r="DK287" s="61">
        <f>CF!DK90</f>
        <v>-0.5</v>
      </c>
      <c r="DL287" s="61"/>
      <c r="DM287" s="61">
        <f>CF!DM90</f>
        <v>-5.3</v>
      </c>
      <c r="DN287" s="61">
        <f>CF!DN90</f>
        <v>203.20000000000002</v>
      </c>
      <c r="DO287" s="61">
        <f>CF!DO90</f>
        <v>-197.9</v>
      </c>
      <c r="DP287" s="61">
        <f>CF!DP90</f>
        <v>0</v>
      </c>
      <c r="DQ287" s="61">
        <f>CF!DQ90</f>
        <v>0</v>
      </c>
      <c r="DR287" s="61"/>
      <c r="DS287" s="61">
        <f>CF!DS90</f>
        <v>6.2</v>
      </c>
      <c r="DT287" s="61">
        <f>CF!DT90</f>
        <v>-15.399999999999999</v>
      </c>
      <c r="DU287" s="61">
        <f>CF!DU90</f>
        <v>-30.400000000000002</v>
      </c>
      <c r="DV287" s="61">
        <f>CF!DV90</f>
        <v>39.6</v>
      </c>
      <c r="DW287" s="61">
        <f>CF!DW90</f>
        <v>0</v>
      </c>
      <c r="DX287" s="61"/>
      <c r="DY287" s="61">
        <f>CF!DY90</f>
        <v>0</v>
      </c>
      <c r="DZ287" s="61">
        <f>CF!DZ90</f>
        <v>5.8</v>
      </c>
      <c r="EA287" s="61">
        <f>CF!EA90</f>
        <v>1.5</v>
      </c>
      <c r="EB287" s="61">
        <f>CF!EB90</f>
        <v>-7.3</v>
      </c>
      <c r="EC287" s="61">
        <f>CF!EC90</f>
        <v>0</v>
      </c>
      <c r="ED287" s="61"/>
      <c r="EE287" s="61">
        <f>CF!EE90</f>
        <v>0</v>
      </c>
      <c r="EF287" s="61">
        <f>CF!EF90</f>
        <v>0</v>
      </c>
      <c r="EG287" s="61">
        <f>CF!EG90</f>
        <v>0</v>
      </c>
      <c r="EH287" s="61">
        <f>CF!EH90</f>
        <v>0</v>
      </c>
      <c r="EI287" s="61">
        <f>CF!EI90</f>
        <v>0</v>
      </c>
      <c r="EJ287" s="61"/>
      <c r="EK287" s="61">
        <f>CF!EK90</f>
        <v>0</v>
      </c>
      <c r="EL287" s="61">
        <f>CF!EL90</f>
        <v>0</v>
      </c>
      <c r="EM287" s="61">
        <f>CF!EM90</f>
        <v>0</v>
      </c>
      <c r="EN287" s="61">
        <f>CF!EN90</f>
        <v>0</v>
      </c>
      <c r="EO287" s="61">
        <f>CF!EO90</f>
        <v>0</v>
      </c>
      <c r="EP287" s="61"/>
      <c r="EQ287" s="61">
        <f>CF!EQ90</f>
        <v>0</v>
      </c>
      <c r="ER287" s="61">
        <f>CF!ER90</f>
        <v>0</v>
      </c>
      <c r="ES287" s="61">
        <f>CF!ES90</f>
        <v>0</v>
      </c>
      <c r="ET287" s="61">
        <f>CF!ET90</f>
        <v>0</v>
      </c>
      <c r="EU287" s="61">
        <f>CF!EU90</f>
        <v>0</v>
      </c>
      <c r="EV287" s="61"/>
    </row>
    <row r="288" spans="1:152" ht="12.75" hidden="1" customHeight="1" outlineLevel="1">
      <c r="A288" s="61" t="s">
        <v>3241</v>
      </c>
      <c r="B288" s="444" t="s">
        <v>3242</v>
      </c>
      <c r="C288" s="61">
        <f>SUM(CF!C88)</f>
        <v>0</v>
      </c>
      <c r="D288" s="61">
        <f>SUM(CF!D88)</f>
        <v>0</v>
      </c>
      <c r="E288" s="61">
        <f>SUM(CF!E88)</f>
        <v>0</v>
      </c>
      <c r="F288" s="61">
        <f>SUM(CF!F88)</f>
        <v>0</v>
      </c>
      <c r="G288" s="61">
        <f>SUM(C288:F288)</f>
        <v>0</v>
      </c>
      <c r="H288" s="62"/>
      <c r="I288" s="61">
        <f>SUM(CF!I88)</f>
        <v>0</v>
      </c>
      <c r="J288" s="61">
        <f>SUM(CF!J88)</f>
        <v>0</v>
      </c>
      <c r="K288" s="61">
        <f>SUM(CF!K88)</f>
        <v>0</v>
      </c>
      <c r="L288" s="61">
        <f>SUM(CF!L88)</f>
        <v>0</v>
      </c>
      <c r="M288" s="61">
        <f>SUM(I288:L288)</f>
        <v>0</v>
      </c>
      <c r="N288" s="62"/>
      <c r="O288" s="61">
        <f>SUM(CF!O88)</f>
        <v>18.492999999999999</v>
      </c>
      <c r="P288" s="61">
        <f>SUM(CF!P88)</f>
        <v>19.013999999999999</v>
      </c>
      <c r="Q288" s="61">
        <f>SUM(CF!Q88)</f>
        <v>15.798000000000002</v>
      </c>
      <c r="R288" s="61">
        <f>SUM(CF!R88)</f>
        <v>27.476999999999997</v>
      </c>
      <c r="S288" s="61">
        <f>SUM(O288:R288)</f>
        <v>80.781999999999996</v>
      </c>
      <c r="T288" s="61"/>
      <c r="U288" s="61">
        <f>SUM(CF!U88)</f>
        <v>16.794</v>
      </c>
      <c r="V288" s="61">
        <f>SUM(CF!V88)</f>
        <v>26.348000000000003</v>
      </c>
      <c r="W288" s="61">
        <f>SUM(CF!W88)</f>
        <v>18.028999999999996</v>
      </c>
      <c r="X288" s="61">
        <f>SUM(CF!X88)</f>
        <v>18.577000000000005</v>
      </c>
      <c r="Y288" s="61">
        <f>SUM(U288:X288)</f>
        <v>79.748000000000005</v>
      </c>
      <c r="Z288" s="61"/>
      <c r="AA288" s="61">
        <f>SUM(CF!AA88)</f>
        <v>19.006</v>
      </c>
      <c r="AB288" s="61">
        <f>SUM(CF!AB88)</f>
        <v>17.295999999999999</v>
      </c>
      <c r="AC288" s="61">
        <f>SUM(CF!AC88)</f>
        <v>16.195999999999998</v>
      </c>
      <c r="AD288" s="61">
        <f>SUM(CF!AD88)</f>
        <v>16.345999999999997</v>
      </c>
      <c r="AE288" s="61">
        <f>SUM(AA288:AD288)</f>
        <v>68.843999999999994</v>
      </c>
      <c r="AF288" s="61"/>
      <c r="AG288" s="61">
        <f>SUM(CF!AG88)</f>
        <v>15.865</v>
      </c>
      <c r="AH288" s="61">
        <f>SUM(CF!AH88)</f>
        <v>15.819999999999999</v>
      </c>
      <c r="AI288" s="61">
        <f>SUM(CF!AI88)</f>
        <v>15.543000000000003</v>
      </c>
      <c r="AJ288" s="61">
        <f>SUM(CF!AJ88)</f>
        <v>15.678999999999995</v>
      </c>
      <c r="AK288" s="61">
        <f>SUM(AG288:AJ288)</f>
        <v>62.906999999999996</v>
      </c>
      <c r="AL288" s="61"/>
      <c r="AM288" s="61">
        <f>SUM(CF!AM88)</f>
        <v>12.637</v>
      </c>
      <c r="AN288" s="61">
        <f>SUM(CF!AN88)</f>
        <v>12.082000000000001</v>
      </c>
      <c r="AO288" s="61">
        <f>SUM(CF!AO88)</f>
        <v>11.978999999999999</v>
      </c>
      <c r="AP288" s="61">
        <f>SUM(CF!AP88)</f>
        <v>12.146000000000001</v>
      </c>
      <c r="AQ288" s="61">
        <f>SUM(AM288:AP288)</f>
        <v>48.844000000000001</v>
      </c>
      <c r="AR288" s="61"/>
      <c r="AS288" s="61">
        <f>SUM(CF!AS88)</f>
        <v>12.307</v>
      </c>
      <c r="AT288" s="61">
        <f>SUM(CF!AT88)</f>
        <v>11.822000000000001</v>
      </c>
      <c r="AU288" s="61">
        <f>SUM(CF!AU88)</f>
        <v>11.837</v>
      </c>
      <c r="AV288" s="61">
        <f>SUM(CF!AV88)</f>
        <v>14.326000000000001</v>
      </c>
      <c r="AW288" s="61">
        <f>SUM(AS288:AV288)</f>
        <v>50.292000000000002</v>
      </c>
      <c r="AX288" s="61"/>
      <c r="AY288" s="61">
        <f>SUM(CF!AY88)</f>
        <v>12.5</v>
      </c>
      <c r="AZ288" s="61">
        <f>SUM(CF!AZ88)</f>
        <v>12.8</v>
      </c>
      <c r="BA288" s="61">
        <f>SUM(CF!BA88)</f>
        <v>13.3</v>
      </c>
      <c r="BB288" s="61">
        <f>SUM(CF!BB88)</f>
        <v>13.300000000000004</v>
      </c>
      <c r="BC288" s="61">
        <f>SUM(AY288:BB288)</f>
        <v>51.900000000000006</v>
      </c>
      <c r="BD288" s="61"/>
      <c r="BE288" s="61">
        <f>SUM(CF!BE88)</f>
        <v>12.6</v>
      </c>
      <c r="BF288" s="61">
        <f>SUM(CF!BF88)</f>
        <v>11.699999999999998</v>
      </c>
      <c r="BG288" s="61">
        <f>SUM(CF!BG88)</f>
        <v>9.5</v>
      </c>
      <c r="BH288" s="61">
        <f>SUM(CF!BH88)</f>
        <v>9.8999999999999986</v>
      </c>
      <c r="BI288" s="61">
        <f>SUM(BE288:BH288)</f>
        <v>43.699999999999996</v>
      </c>
      <c r="BJ288" s="61"/>
      <c r="BK288" s="61">
        <f>SUM(CF!BK88)</f>
        <v>12.5</v>
      </c>
      <c r="BL288" s="61">
        <f>SUM(CF!BL88)</f>
        <v>13.5</v>
      </c>
      <c r="BM288" s="61">
        <f>SUM(CF!BM88)</f>
        <v>13.200000000000003</v>
      </c>
      <c r="BN288" s="61">
        <f>SUM(CF!BN88)</f>
        <v>14.299999999999997</v>
      </c>
      <c r="BO288" s="61">
        <f>SUM(BK288:BN288)</f>
        <v>53.5</v>
      </c>
      <c r="BP288" s="61"/>
      <c r="BQ288" s="61">
        <f>SUM(CF!BQ88)</f>
        <v>14.2</v>
      </c>
      <c r="BR288" s="61">
        <f>SUM(CF!BR88)</f>
        <v>14.400000000000002</v>
      </c>
      <c r="BS288" s="61">
        <f>SUM(CF!BS88)</f>
        <v>15.5</v>
      </c>
      <c r="BT288" s="61">
        <f>SUM(CF!BT88)</f>
        <v>17.199999999999996</v>
      </c>
      <c r="BU288" s="61">
        <f>SUM(BQ288:BT288)</f>
        <v>61.3</v>
      </c>
      <c r="BV288" s="61"/>
      <c r="BW288" s="61">
        <f>SUM(CF!BW88)</f>
        <v>16.899999999999999</v>
      </c>
      <c r="BX288" s="61">
        <f>SUM(CF!BX88)</f>
        <v>22.200000000000003</v>
      </c>
      <c r="BY288" s="61">
        <f>SUM(CF!BY88)</f>
        <v>25.4</v>
      </c>
      <c r="BZ288" s="61">
        <f>SUM(CF!BZ88)</f>
        <v>27.299999999999997</v>
      </c>
      <c r="CA288" s="61">
        <f>SUM(BW288:BZ288)</f>
        <v>91.8</v>
      </c>
      <c r="CB288" s="61"/>
      <c r="CC288" s="61">
        <f>SUM(CF!CC88)</f>
        <v>27</v>
      </c>
      <c r="CD288" s="61">
        <f>SUM(CF!CD88)</f>
        <v>28.5</v>
      </c>
      <c r="CE288" s="61">
        <f>SUM(CF!CE88)</f>
        <v>28.900000000000006</v>
      </c>
      <c r="CF288" s="61">
        <f>SUM(CF!CF88)</f>
        <v>27.099999999999994</v>
      </c>
      <c r="CG288" s="61">
        <f>SUM(CC288:CF288)</f>
        <v>111.5</v>
      </c>
      <c r="CH288" s="61"/>
      <c r="CI288" s="61">
        <f>SUM(CF!CI88)</f>
        <v>26.7</v>
      </c>
      <c r="CJ288" s="61">
        <f>SUM(CF!CJ88)</f>
        <v>26.3</v>
      </c>
      <c r="CK288" s="61">
        <f>SUM(CF!CK88)</f>
        <v>26.599999999999994</v>
      </c>
      <c r="CL288" s="61">
        <f>SUM(CF!CL88)</f>
        <v>25.800000000000011</v>
      </c>
      <c r="CM288" s="61">
        <f>SUM(CI288:CL288)</f>
        <v>105.4</v>
      </c>
      <c r="CN288" s="61"/>
      <c r="CO288" s="61">
        <f>SUM(CF!CO88)</f>
        <v>24.5</v>
      </c>
      <c r="CP288" s="61">
        <f>SUM(CF!CP88)</f>
        <v>29.700000000000003</v>
      </c>
      <c r="CQ288" s="61">
        <f>SUM(CF!CQ88)</f>
        <v>31</v>
      </c>
      <c r="CR288" s="61">
        <f>SUM(CF!CR88)</f>
        <v>30.299999999999997</v>
      </c>
      <c r="CS288" s="61">
        <f>SUM(CO288:CR288)</f>
        <v>115.5</v>
      </c>
      <c r="CT288" s="61"/>
      <c r="CU288" s="61">
        <f>SUM(CF!CU88)</f>
        <v>29.2</v>
      </c>
      <c r="CV288" s="61">
        <f>SUM(CF!CV88)</f>
        <v>28.900000000000002</v>
      </c>
      <c r="CW288" s="61">
        <f>SUM(CF!CW88)</f>
        <v>34.999999999999993</v>
      </c>
      <c r="CX288" s="61">
        <f>SUM(CF!CX88)</f>
        <v>34.700000000000003</v>
      </c>
      <c r="CY288" s="61">
        <f>SUM(CU288:CX288)</f>
        <v>127.8</v>
      </c>
      <c r="CZ288" s="61"/>
      <c r="DA288" s="61">
        <f>SUM(CF!DA88)</f>
        <v>33.1</v>
      </c>
      <c r="DB288" s="61">
        <f>SUM(CF!DB88)</f>
        <v>31.999999999999993</v>
      </c>
      <c r="DC288" s="61">
        <f>SUM(CF!DC88)</f>
        <v>30.600000000000009</v>
      </c>
      <c r="DD288" s="61">
        <f>SUM(CF!DD88)</f>
        <v>33.200000000000003</v>
      </c>
      <c r="DE288" s="61">
        <f>SUM(DA288:DD288)</f>
        <v>128.9</v>
      </c>
      <c r="DF288" s="61"/>
      <c r="DG288" s="61">
        <f>SUM(CF!DG88)</f>
        <v>36.1</v>
      </c>
      <c r="DH288" s="61">
        <f>SUM(CF!DH88)</f>
        <v>37.199999999999996</v>
      </c>
      <c r="DI288" s="61">
        <f>SUM(CF!DI88)</f>
        <v>36.600000000000009</v>
      </c>
      <c r="DJ288" s="61">
        <f>SUM(CF!DJ88)</f>
        <v>36</v>
      </c>
      <c r="DK288" s="61">
        <f>SUM(DG288:DJ288)</f>
        <v>145.9</v>
      </c>
      <c r="DL288" s="61"/>
      <c r="DM288" s="61">
        <f>SUM(CF!DM88)</f>
        <v>37.799999999999997</v>
      </c>
      <c r="DN288" s="61">
        <f>SUM(CF!DN88)</f>
        <v>36.200000000000003</v>
      </c>
      <c r="DO288" s="61">
        <f>SUM(CF!DO88)</f>
        <v>35.700000000000003</v>
      </c>
      <c r="DP288" s="61">
        <f>SUM(CF!DP88)</f>
        <v>36.100000000000009</v>
      </c>
      <c r="DQ288" s="61">
        <f>SUM(DM288:DP288)</f>
        <v>145.80000000000001</v>
      </c>
      <c r="DR288" s="61"/>
      <c r="DS288" s="61">
        <f>SUM(CF!DS88)</f>
        <v>37.4</v>
      </c>
      <c r="DT288" s="61">
        <f>SUM(CF!DT88)</f>
        <v>33.000000000000007</v>
      </c>
      <c r="DU288" s="61">
        <f>SUM(CF!DU88)</f>
        <v>34.099999999999994</v>
      </c>
      <c r="DV288" s="61">
        <f>SUM(CF!DV88)</f>
        <v>34.699999999999989</v>
      </c>
      <c r="DW288" s="61">
        <f>SUM(DS288:DV288)</f>
        <v>139.19999999999999</v>
      </c>
      <c r="DX288" s="61"/>
      <c r="DY288" s="61">
        <f>SUM(CF!DY88)</f>
        <v>28.4</v>
      </c>
      <c r="DZ288" s="61">
        <f>SUM(CF!DZ88)</f>
        <v>28.4</v>
      </c>
      <c r="EA288" s="61">
        <f>SUM(CF!EA88)</f>
        <v>24.700000000000003</v>
      </c>
      <c r="EB288" s="61">
        <f>SUM(CF!EB88)</f>
        <v>26.900000000000006</v>
      </c>
      <c r="EC288" s="61">
        <f>SUM(DY288:EB288)</f>
        <v>108.4</v>
      </c>
      <c r="ED288" s="61"/>
      <c r="EE288" s="61">
        <f>SUM(CF!EE88)</f>
        <v>20.549851737259189</v>
      </c>
      <c r="EF288" s="61">
        <f>SUM(CF!EF88)</f>
        <v>19.265381640551915</v>
      </c>
      <c r="EG288" s="61">
        <f>SUM(CF!EG88)</f>
        <v>19.331791029473912</v>
      </c>
      <c r="EH288" s="61">
        <f>SUM(CF!EH88)</f>
        <v>19.841008081585471</v>
      </c>
      <c r="EI288" s="61">
        <f>SUM(EE288:EH288)</f>
        <v>78.988032488870488</v>
      </c>
      <c r="EJ288" s="61"/>
      <c r="EK288" s="61">
        <f>SUM(CF!EK88)</f>
        <v>21.390988309473663</v>
      </c>
      <c r="EL288" s="61">
        <f>SUM(CF!EL88)</f>
        <v>20.112792822628606</v>
      </c>
      <c r="EM288" s="61">
        <f>SUM(CF!EM88)</f>
        <v>20.196304050233024</v>
      </c>
      <c r="EN288" s="61">
        <f>SUM(CF!EN88)</f>
        <v>20.704953287905148</v>
      </c>
      <c r="EO288" s="61">
        <f>SUM(EK288:EN288)</f>
        <v>82.405038470240441</v>
      </c>
      <c r="EP288" s="61"/>
      <c r="EQ288" s="61">
        <f>SUM(CF!EQ88)</f>
        <v>22.235291551757733</v>
      </c>
      <c r="ER288" s="61">
        <f>SUM(CF!ER88)</f>
        <v>20.945232052904622</v>
      </c>
      <c r="ES288" s="61">
        <f>SUM(CF!ES88)</f>
        <v>21.025624437714441</v>
      </c>
      <c r="ET288" s="61">
        <f>SUM(CF!ET88)</f>
        <v>21.513471711582326</v>
      </c>
      <c r="EU288" s="61">
        <f>SUM(EQ288:ET288)</f>
        <v>85.719619753959122</v>
      </c>
      <c r="EV288" s="61"/>
    </row>
    <row r="289" spans="1:152" ht="12.75" hidden="1" customHeight="1" outlineLevel="1">
      <c r="A289" s="90" t="s">
        <v>5641</v>
      </c>
      <c r="B289" s="520" t="s">
        <v>2245</v>
      </c>
      <c r="C289" s="61">
        <f>BS!C56</f>
        <v>0</v>
      </c>
      <c r="D289" s="61">
        <f>BS!D56</f>
        <v>0</v>
      </c>
      <c r="E289" s="61">
        <f>BS!E56</f>
        <v>0</v>
      </c>
      <c r="F289" s="61">
        <f>BS!F56</f>
        <v>0</v>
      </c>
      <c r="G289" s="61">
        <f>F289</f>
        <v>0</v>
      </c>
      <c r="H289" s="62"/>
      <c r="I289" s="61">
        <f>BS!I56</f>
        <v>0</v>
      </c>
      <c r="J289" s="61">
        <f>BS!J56</f>
        <v>0</v>
      </c>
      <c r="K289" s="61">
        <f>BS!K56</f>
        <v>0</v>
      </c>
      <c r="L289" s="61">
        <f>BS!L56</f>
        <v>0</v>
      </c>
      <c r="M289" s="61">
        <f>L289</f>
        <v>0</v>
      </c>
      <c r="N289" s="62"/>
      <c r="O289" s="61">
        <f>BS!O56</f>
        <v>25.859145303270989</v>
      </c>
      <c r="P289" s="61">
        <f>BS!P56</f>
        <v>33.020619033682522</v>
      </c>
      <c r="Q289" s="61">
        <f>BS!Q56</f>
        <v>38.878170989752974</v>
      </c>
      <c r="R289" s="61">
        <f>BS!R56</f>
        <v>46.953708928387492</v>
      </c>
      <c r="S289" s="61">
        <f>R289</f>
        <v>46.953708928387492</v>
      </c>
      <c r="T289" s="61"/>
      <c r="U289" s="61">
        <f>BS!U56</f>
        <v>57.404908936598552</v>
      </c>
      <c r="V289" s="61">
        <f>BS!V56</f>
        <v>57.66227645287821</v>
      </c>
      <c r="W289" s="61">
        <f>BS!W56</f>
        <v>54.09385194901288</v>
      </c>
      <c r="X289" s="61">
        <f>BS!X56</f>
        <v>44.618813333509799</v>
      </c>
      <c r="Y289" s="61">
        <f>X289</f>
        <v>44.618813333509799</v>
      </c>
      <c r="Z289" s="90"/>
      <c r="AA289" s="61">
        <f>BS!AA56</f>
        <v>47.529436692193606</v>
      </c>
      <c r="AB289" s="61">
        <f>BS!AB56</f>
        <v>60.652145670221309</v>
      </c>
      <c r="AC289" s="61">
        <f>BS!AC56</f>
        <v>59.921670804661908</v>
      </c>
      <c r="AD289" s="61">
        <f>BS!AD56</f>
        <v>59.102796989882613</v>
      </c>
      <c r="AE289" s="61">
        <f>AD289</f>
        <v>59.102796989882613</v>
      </c>
      <c r="AF289" s="90"/>
      <c r="AG289" s="61">
        <f>BS!AG56</f>
        <v>55.876236062505093</v>
      </c>
      <c r="AH289" s="61">
        <f>BS!AH56</f>
        <v>62.855457944329181</v>
      </c>
      <c r="AI289" s="61">
        <f>BS!AI56</f>
        <v>59.652414758940083</v>
      </c>
      <c r="AJ289" s="61">
        <f>BS!AJ56</f>
        <v>50.45557386019194</v>
      </c>
      <c r="AK289" s="61">
        <f>AJ289</f>
        <v>50.45557386019194</v>
      </c>
      <c r="AL289" s="90"/>
      <c r="AM289" s="61">
        <f>BS!AM56</f>
        <v>49.9965660388877</v>
      </c>
      <c r="AN289" s="61">
        <f>BS!AN56</f>
        <v>55.698926447840826</v>
      </c>
      <c r="AO289" s="61">
        <f>BS!AO56</f>
        <v>62.383817520839848</v>
      </c>
      <c r="AP289" s="61">
        <f>BS!AP56</f>
        <v>61.980982374843997</v>
      </c>
      <c r="AQ289" s="61">
        <f>AP289</f>
        <v>61.980982374843997</v>
      </c>
      <c r="AR289" s="90"/>
      <c r="AS289" s="61">
        <f>BS!AS56</f>
        <v>57.83966579049752</v>
      </c>
      <c r="AT289" s="61">
        <f>BS!AT56</f>
        <v>59.489112208025325</v>
      </c>
      <c r="AU289" s="61">
        <f>BS!AU56</f>
        <v>51.357632920269218</v>
      </c>
      <c r="AV289" s="61">
        <f>BS!AV56</f>
        <v>51.545697741356534</v>
      </c>
      <c r="AW289" s="61">
        <f>AV289</f>
        <v>51.545697741356534</v>
      </c>
      <c r="AX289" s="90"/>
      <c r="AY289" s="61">
        <f>BS!AY56</f>
        <v>43.504680708793046</v>
      </c>
      <c r="AZ289" s="61">
        <f>BS!AZ56</f>
        <v>50.791933760683769</v>
      </c>
      <c r="BA289" s="61">
        <f>BS!BA56</f>
        <v>50.862641008626404</v>
      </c>
      <c r="BB289" s="61">
        <f>BS!BB56</f>
        <v>50.218120805369132</v>
      </c>
      <c r="BC289" s="61">
        <f>BB289</f>
        <v>50.218120805369132</v>
      </c>
      <c r="BD289" s="90"/>
      <c r="BE289" s="61">
        <f>BS!BE56</f>
        <v>48.331244778613204</v>
      </c>
      <c r="BF289" s="61">
        <f>BS!BF56</f>
        <v>49.015392781316351</v>
      </c>
      <c r="BG289" s="61">
        <f>BS!BG56</f>
        <v>48.268020969855833</v>
      </c>
      <c r="BH289" s="61">
        <f>BS!BH56</f>
        <v>56.819318723201512</v>
      </c>
      <c r="BI289" s="61">
        <f>BH289</f>
        <v>56.819318723201512</v>
      </c>
      <c r="BJ289" s="90"/>
      <c r="BK289" s="61">
        <f>BS!BK56</f>
        <v>57.847477064220172</v>
      </c>
      <c r="BL289" s="61">
        <f>BS!BL56</f>
        <v>52.505282473309606</v>
      </c>
      <c r="BM289" s="61">
        <f>BS!BM56</f>
        <v>51.138353765323991</v>
      </c>
      <c r="BN289" s="61">
        <f>BS!BN56</f>
        <v>55.27467832730197</v>
      </c>
      <c r="BO289" s="61">
        <f>BN289</f>
        <v>55.27467832730197</v>
      </c>
      <c r="BP289" s="90"/>
      <c r="BQ289" s="61">
        <f>BS!BQ56</f>
        <v>46.719425874950836</v>
      </c>
      <c r="BR289" s="61">
        <f>BS!BR56</f>
        <v>48.305761551625771</v>
      </c>
      <c r="BS289" s="61">
        <f>BS!BS56</f>
        <v>50.70950965824666</v>
      </c>
      <c r="BT289" s="61">
        <f>BS!BT56</f>
        <v>58.868511099983309</v>
      </c>
      <c r="BU289" s="61">
        <f>BT289</f>
        <v>58.868511099983309</v>
      </c>
      <c r="BV289" s="90"/>
      <c r="BW289" s="61">
        <f>BS!BW56</f>
        <v>50.821434535738149</v>
      </c>
      <c r="BX289" s="61">
        <f>BS!BX56</f>
        <v>47.900726392251819</v>
      </c>
      <c r="BY289" s="61">
        <f>BS!BY56</f>
        <v>43.798797562180852</v>
      </c>
      <c r="BZ289" s="61">
        <f>BS!BZ56</f>
        <v>58.964118007349938</v>
      </c>
      <c r="CA289" s="61">
        <f>BZ289</f>
        <v>58.964118007349938</v>
      </c>
      <c r="CB289" s="90"/>
      <c r="CC289" s="61">
        <f>BS!CC56</f>
        <v>48.989549084077034</v>
      </c>
      <c r="CD289" s="61">
        <f>BS!CD56</f>
        <v>49.242889852976624</v>
      </c>
      <c r="CE289" s="61">
        <f>BS!CE56</f>
        <v>47.211861357639727</v>
      </c>
      <c r="CF289" s="61">
        <f>BS!CF56</f>
        <v>55.498245998684489</v>
      </c>
      <c r="CG289" s="61">
        <f>CF289</f>
        <v>55.498245998684489</v>
      </c>
      <c r="CH289" s="90"/>
      <c r="CI289" s="61">
        <f>BS!CI56</f>
        <v>41.933470290771176</v>
      </c>
      <c r="CJ289" s="61">
        <f>BS!CJ56</f>
        <v>44.582804568527926</v>
      </c>
      <c r="CK289" s="61">
        <f>BS!CK56</f>
        <v>45.959985315712188</v>
      </c>
      <c r="CL289" s="61">
        <f>BS!CL56</f>
        <v>55.057797991282911</v>
      </c>
      <c r="CM289" s="61">
        <f>CL289</f>
        <v>55.057797991282911</v>
      </c>
      <c r="CN289" s="90"/>
      <c r="CO289" s="61">
        <f>BS!CO56</f>
        <v>46.808158243422305</v>
      </c>
      <c r="CP289" s="61">
        <f>BS!CP56</f>
        <v>49.608731466227354</v>
      </c>
      <c r="CQ289" s="61">
        <f>BS!CQ56</f>
        <v>43.113379511483785</v>
      </c>
      <c r="CR289" s="61">
        <f>BS!CR56</f>
        <v>60.859005739365294</v>
      </c>
      <c r="CS289" s="61">
        <f>CR289</f>
        <v>60.859005739365294</v>
      </c>
      <c r="CT289" s="90"/>
      <c r="CU289" s="61">
        <f>BS!CU56</f>
        <v>46.60168195718655</v>
      </c>
      <c r="CV289" s="61">
        <f>BS!CV56</f>
        <v>57.957381370826013</v>
      </c>
      <c r="CW289" s="61">
        <f>BS!CW56</f>
        <v>48.838731751824817</v>
      </c>
      <c r="CX289" s="61">
        <f>BS!CX56</f>
        <v>74.428130148270185</v>
      </c>
      <c r="CY289" s="61">
        <f>CX289</f>
        <v>74.428130148270185</v>
      </c>
      <c r="CZ289" s="90"/>
      <c r="DA289" s="61">
        <f>BS!DA56</f>
        <v>45.720985273492289</v>
      </c>
      <c r="DB289" s="61">
        <f>BS!DB56</f>
        <v>49.369547801317417</v>
      </c>
      <c r="DC289" s="61">
        <f>BS!DC56</f>
        <v>49.980412463976947</v>
      </c>
      <c r="DD289" s="61">
        <f>BS!DD56</f>
        <v>65.90969144220935</v>
      </c>
      <c r="DE289" s="61">
        <f>DD289</f>
        <v>65.90969144220935</v>
      </c>
      <c r="DF289" s="90"/>
      <c r="DG289" s="61">
        <f>BS!DG56</f>
        <v>49.790928270042194</v>
      </c>
      <c r="DH289" s="61">
        <f>BS!DH56</f>
        <v>52.320867995605091</v>
      </c>
      <c r="DI289" s="61">
        <f>BS!DI56</f>
        <v>55.473503236245953</v>
      </c>
      <c r="DJ289" s="61">
        <f>BS!DJ56</f>
        <v>63.007260006018655</v>
      </c>
      <c r="DK289" s="61">
        <f>DJ289</f>
        <v>63.007260006018655</v>
      </c>
      <c r="DL289" s="90"/>
      <c r="DM289" s="61">
        <f>BS!DM56</f>
        <v>44.601701469450887</v>
      </c>
      <c r="DN289" s="61">
        <f>BS!DN56</f>
        <v>59.001845775225597</v>
      </c>
      <c r="DO289" s="61">
        <f>BS!DO56</f>
        <v>55.118164388129379</v>
      </c>
      <c r="DP289" s="61">
        <f>BS!DP56</f>
        <v>91.995989511028853</v>
      </c>
      <c r="DQ289" s="61">
        <f>DP289</f>
        <v>91.995989511028853</v>
      </c>
      <c r="DR289" s="90"/>
      <c r="DS289" s="61">
        <f>BS!DS56</f>
        <v>45.705215862473132</v>
      </c>
      <c r="DT289" s="61">
        <f>BS!DT56</f>
        <v>50.8527782821863</v>
      </c>
      <c r="DU289" s="61">
        <f>BS!DU56</f>
        <v>48.420649509803923</v>
      </c>
      <c r="DV289" s="61">
        <f>BS!DV56</f>
        <v>86.19961361737677</v>
      </c>
      <c r="DW289" s="61">
        <f>DV289</f>
        <v>86.19961361737677</v>
      </c>
      <c r="DX289" s="90"/>
      <c r="DY289" s="61">
        <f>BS!DY56</f>
        <v>43.492639489396751</v>
      </c>
      <c r="DZ289" s="61">
        <f>BS!DZ56</f>
        <v>48.298126743722612</v>
      </c>
      <c r="EA289" s="61">
        <f>BS!EA56</f>
        <v>54.50562778963711</v>
      </c>
      <c r="EB289" s="61">
        <f>BS!EB56</f>
        <v>72.202509931383176</v>
      </c>
      <c r="EC289" s="61">
        <f>EB289</f>
        <v>72.202509931383176</v>
      </c>
      <c r="ED289" s="90"/>
      <c r="EE289" s="61">
        <f>BS!EE56</f>
        <v>43.492639489396751</v>
      </c>
      <c r="EF289" s="61">
        <f>BS!EF56</f>
        <v>43.298126743722612</v>
      </c>
      <c r="EG289" s="61">
        <f>BS!EG56</f>
        <v>49.50562778963711</v>
      </c>
      <c r="EH289" s="61">
        <f>BS!EH56</f>
        <v>58.302509931383177</v>
      </c>
      <c r="EI289" s="61">
        <f>EH289</f>
        <v>58.302509931383177</v>
      </c>
      <c r="EJ289" s="90"/>
      <c r="EK289" s="61">
        <f>BS!EK56</f>
        <v>43.492639489396751</v>
      </c>
      <c r="EL289" s="61">
        <f>BS!EL56</f>
        <v>53.298126743722612</v>
      </c>
      <c r="EM289" s="61">
        <f>BS!EM56</f>
        <v>54.50562778963711</v>
      </c>
      <c r="EN289" s="61">
        <f>BS!EN56</f>
        <v>56.302509931383177</v>
      </c>
      <c r="EO289" s="61">
        <f>EN289</f>
        <v>56.302509931383177</v>
      </c>
      <c r="EP289" s="90"/>
      <c r="EQ289" s="61">
        <f>BS!EQ56</f>
        <v>43.492639489396751</v>
      </c>
      <c r="ER289" s="61">
        <f>BS!ER56</f>
        <v>53.298126743722612</v>
      </c>
      <c r="ES289" s="61">
        <f>BS!ES56</f>
        <v>54.50562778963711</v>
      </c>
      <c r="ET289" s="61">
        <f>BS!ET56</f>
        <v>61.302509931383177</v>
      </c>
      <c r="EU289" s="61">
        <f>ET289</f>
        <v>61.302509931383177</v>
      </c>
      <c r="EV289" s="90"/>
    </row>
    <row r="290" spans="1:152" ht="4.5" hidden="1" customHeight="1" outlineLevel="1">
      <c r="A290" s="22"/>
      <c r="B290" s="519"/>
      <c r="C290" s="23"/>
      <c r="D290" s="23"/>
      <c r="E290" s="23"/>
      <c r="F290" s="23"/>
      <c r="G290" s="23"/>
      <c r="H290" s="24"/>
      <c r="I290" s="23"/>
      <c r="J290" s="23"/>
      <c r="K290" s="23"/>
      <c r="L290" s="23"/>
      <c r="M290" s="23"/>
      <c r="N290" s="24"/>
      <c r="O290" s="23"/>
      <c r="P290" s="23"/>
      <c r="Q290" s="23"/>
      <c r="R290" s="23"/>
      <c r="S290" s="23"/>
      <c r="T290" s="24"/>
      <c r="U290" s="23"/>
      <c r="V290" s="23"/>
      <c r="W290" s="23"/>
      <c r="X290" s="23"/>
      <c r="Y290" s="23"/>
      <c r="Z290" s="24"/>
      <c r="AA290" s="23"/>
      <c r="AB290" s="23"/>
      <c r="AC290" s="23"/>
      <c r="AD290" s="23"/>
      <c r="AE290" s="23"/>
      <c r="AF290" s="24"/>
      <c r="AG290" s="23"/>
      <c r="AH290" s="23"/>
      <c r="AI290" s="23"/>
      <c r="AJ290" s="23"/>
      <c r="AK290" s="23"/>
      <c r="AL290" s="24"/>
      <c r="AM290" s="23"/>
      <c r="AN290" s="23"/>
      <c r="AO290" s="23"/>
      <c r="AP290" s="23"/>
      <c r="AQ290" s="23"/>
      <c r="AR290" s="24"/>
      <c r="AS290" s="23"/>
      <c r="AT290" s="23"/>
      <c r="AU290" s="23"/>
      <c r="AV290" s="23"/>
      <c r="AW290" s="23"/>
      <c r="AX290" s="24"/>
      <c r="AY290" s="23"/>
      <c r="AZ290" s="23"/>
      <c r="BA290" s="23"/>
      <c r="BB290" s="23"/>
      <c r="BC290" s="23"/>
      <c r="BD290" s="24"/>
      <c r="BE290" s="23"/>
      <c r="BF290" s="23"/>
      <c r="BG290" s="23"/>
      <c r="BH290" s="23"/>
      <c r="BI290" s="23"/>
      <c r="BJ290" s="24"/>
      <c r="BK290" s="23"/>
      <c r="BL290" s="23"/>
      <c r="BM290" s="23"/>
      <c r="BN290" s="23"/>
      <c r="BO290" s="23"/>
      <c r="BP290" s="24"/>
      <c r="BQ290" s="23"/>
      <c r="BR290" s="23"/>
      <c r="BS290" s="23"/>
      <c r="BT290" s="23"/>
      <c r="BU290" s="23"/>
      <c r="BV290" s="24"/>
      <c r="BW290" s="23"/>
      <c r="BX290" s="23"/>
      <c r="BY290" s="23"/>
      <c r="BZ290" s="23"/>
      <c r="CA290" s="23"/>
      <c r="CB290" s="24"/>
      <c r="CC290" s="23"/>
      <c r="CD290" s="23"/>
      <c r="CE290" s="23"/>
      <c r="CF290" s="23"/>
      <c r="CG290" s="23"/>
      <c r="CH290" s="24"/>
      <c r="CI290" s="23"/>
      <c r="CJ290" s="23"/>
      <c r="CK290" s="23"/>
      <c r="CL290" s="23"/>
      <c r="CM290" s="23"/>
      <c r="CN290" s="24"/>
      <c r="CO290" s="23"/>
      <c r="CP290" s="23"/>
      <c r="CQ290" s="23"/>
      <c r="CR290" s="23"/>
      <c r="CS290" s="23"/>
      <c r="CT290" s="24"/>
      <c r="CU290" s="23"/>
      <c r="CV290" s="23"/>
      <c r="CW290" s="23"/>
      <c r="CX290" s="23"/>
      <c r="CY290" s="23"/>
      <c r="CZ290" s="24"/>
      <c r="DA290" s="23"/>
      <c r="DB290" s="23"/>
      <c r="DC290" s="23"/>
      <c r="DD290" s="23"/>
      <c r="DE290" s="23"/>
      <c r="DF290" s="24"/>
      <c r="DG290" s="23"/>
      <c r="DH290" s="23"/>
      <c r="DI290" s="23"/>
      <c r="DJ290" s="23"/>
      <c r="DK290" s="23"/>
      <c r="DL290" s="24"/>
      <c r="DM290" s="23"/>
      <c r="DN290" s="23"/>
      <c r="DO290" s="23"/>
      <c r="DP290" s="23"/>
      <c r="DQ290" s="23"/>
      <c r="DR290" s="24"/>
      <c r="DS290" s="23"/>
      <c r="DT290" s="23"/>
      <c r="DU290" s="23"/>
      <c r="DV290" s="23"/>
      <c r="DW290" s="23"/>
      <c r="DX290" s="24"/>
      <c r="DY290" s="23"/>
      <c r="DZ290" s="23"/>
      <c r="EA290" s="23"/>
      <c r="EB290" s="23"/>
      <c r="EC290" s="23"/>
      <c r="ED290" s="24"/>
      <c r="EE290" s="23"/>
      <c r="EF290" s="23"/>
      <c r="EG290" s="23"/>
      <c r="EH290" s="23"/>
      <c r="EI290" s="23"/>
      <c r="EJ290" s="24"/>
      <c r="EK290" s="23"/>
      <c r="EL290" s="23"/>
      <c r="EM290" s="23"/>
      <c r="EN290" s="23"/>
      <c r="EO290" s="23"/>
      <c r="EP290" s="24"/>
      <c r="EQ290" s="23"/>
      <c r="ER290" s="23"/>
      <c r="ES290" s="23"/>
      <c r="ET290" s="23"/>
      <c r="EU290" s="23"/>
      <c r="EV290" s="24"/>
    </row>
    <row r="291" spans="1:152" ht="12.75" hidden="1" customHeight="1" outlineLevel="1">
      <c r="A291" s="90" t="s">
        <v>5636</v>
      </c>
      <c r="B291" s="520" t="s">
        <v>2246</v>
      </c>
      <c r="C291" s="104"/>
      <c r="D291" s="104"/>
      <c r="E291" s="104"/>
      <c r="F291" s="104"/>
      <c r="G291" s="104"/>
      <c r="H291" s="90"/>
      <c r="I291" s="104"/>
      <c r="J291" s="104"/>
      <c r="K291" s="104"/>
      <c r="L291" s="104"/>
      <c r="M291" s="62"/>
      <c r="N291" s="90"/>
      <c r="O291" s="104">
        <f>Metrics!O419</f>
        <v>2540</v>
      </c>
      <c r="P291" s="104">
        <f>Metrics!P419</f>
        <v>2587</v>
      </c>
      <c r="Q291" s="104">
        <f>Metrics!Q419</f>
        <v>2602</v>
      </c>
      <c r="R291" s="104">
        <f>Metrics!R419</f>
        <v>2602</v>
      </c>
      <c r="S291" s="104">
        <f>Metrics!S419</f>
        <v>2602</v>
      </c>
      <c r="T291" s="90"/>
      <c r="U291" s="104">
        <f>Metrics!U419</f>
        <v>3474</v>
      </c>
      <c r="V291" s="104">
        <f>Metrics!V419</f>
        <v>3495</v>
      </c>
      <c r="W291" s="104">
        <f>Metrics!W419</f>
        <v>3140</v>
      </c>
      <c r="X291" s="104">
        <f>Metrics!X419</f>
        <v>3024</v>
      </c>
      <c r="Y291" s="104">
        <f>Metrics!Y419</f>
        <v>3024</v>
      </c>
      <c r="Z291" s="90"/>
      <c r="AA291" s="104">
        <f>Metrics!AA419</f>
        <v>3071</v>
      </c>
      <c r="AB291" s="104">
        <f>Metrics!AB419</f>
        <v>3198</v>
      </c>
      <c r="AC291" s="104">
        <f>Metrics!AC419</f>
        <v>3326</v>
      </c>
      <c r="AD291" s="104">
        <f>Metrics!AD419</f>
        <v>3484</v>
      </c>
      <c r="AE291" s="104">
        <f>Metrics!AE419</f>
        <v>3484</v>
      </c>
      <c r="AF291" s="90"/>
      <c r="AG291" s="104">
        <f>Metrics!AG419</f>
        <v>3539</v>
      </c>
      <c r="AH291" s="104">
        <f>Metrics!AH419</f>
        <v>3554</v>
      </c>
      <c r="AI291" s="104">
        <f>Metrics!AI419</f>
        <v>3654</v>
      </c>
      <c r="AJ291" s="104">
        <f>Metrics!AJ419</f>
        <v>3646</v>
      </c>
      <c r="AK291" s="104">
        <f>Metrics!AK419</f>
        <v>3646</v>
      </c>
      <c r="AL291" s="90"/>
      <c r="AM291" s="104">
        <f>Metrics!AM419</f>
        <v>3706</v>
      </c>
      <c r="AN291" s="104">
        <f>Metrics!AN419</f>
        <v>3715</v>
      </c>
      <c r="AO291" s="104">
        <f>Metrics!AO419</f>
        <v>3622</v>
      </c>
      <c r="AP291" s="104">
        <f>Metrics!AP419</f>
        <v>3498</v>
      </c>
      <c r="AQ291" s="104">
        <f>Metrics!AQ419</f>
        <v>3498</v>
      </c>
      <c r="AR291" s="90"/>
      <c r="AS291" s="104">
        <f>Metrics!AS419</f>
        <v>3551</v>
      </c>
      <c r="AT291" s="104">
        <f>Metrics!AT419</f>
        <v>3564</v>
      </c>
      <c r="AU291" s="104">
        <f>Metrics!AU419</f>
        <v>3537</v>
      </c>
      <c r="AV291" s="104">
        <f>Metrics!AV419</f>
        <v>3493</v>
      </c>
      <c r="AW291" s="104">
        <f>Metrics!AW419</f>
        <v>3493</v>
      </c>
      <c r="AX291" s="90"/>
      <c r="AY291" s="104">
        <f>Metrics!AY419</f>
        <v>3409</v>
      </c>
      <c r="AZ291" s="104">
        <f>Metrics!AZ419</f>
        <v>3443</v>
      </c>
      <c r="BA291" s="104">
        <f>Metrics!BA419</f>
        <v>3437</v>
      </c>
      <c r="BB291" s="104">
        <f>Metrics!BB419</f>
        <v>3477</v>
      </c>
      <c r="BC291" s="104">
        <f>Metrics!BC419</f>
        <v>3477</v>
      </c>
      <c r="BD291" s="90"/>
      <c r="BE291" s="104">
        <f>Metrics!BE419</f>
        <v>3661</v>
      </c>
      <c r="BF291" s="104">
        <f>Metrics!BF419</f>
        <v>3813</v>
      </c>
      <c r="BG291" s="104">
        <f>Metrics!BG419</f>
        <v>4113</v>
      </c>
      <c r="BH291" s="104">
        <f>Metrics!BH419</f>
        <v>4813</v>
      </c>
      <c r="BI291" s="104">
        <f>Metrics!BI419</f>
        <v>4813</v>
      </c>
      <c r="BJ291" s="90"/>
      <c r="BK291" s="104">
        <f>Metrics!BK419</f>
        <v>4902</v>
      </c>
      <c r="BL291" s="104">
        <f>Metrics!BL419</f>
        <v>4991</v>
      </c>
      <c r="BM291" s="104">
        <f>Metrics!BM419</f>
        <v>5080</v>
      </c>
      <c r="BN291" s="104">
        <f>Metrics!BN419</f>
        <v>5169</v>
      </c>
      <c r="BO291" s="104">
        <f>Metrics!BO419</f>
        <v>5169</v>
      </c>
      <c r="BP291" s="90"/>
      <c r="BQ291" s="104">
        <f>Metrics!BQ419</f>
        <v>5701.75</v>
      </c>
      <c r="BR291" s="104">
        <f>Metrics!BR419</f>
        <v>6234.5</v>
      </c>
      <c r="BS291" s="104">
        <f>Metrics!BS419</f>
        <v>6767.25</v>
      </c>
      <c r="BT291" s="104">
        <f>Metrics!BT419</f>
        <v>7300</v>
      </c>
      <c r="BU291" s="104">
        <f>Metrics!BU419</f>
        <v>7300</v>
      </c>
      <c r="BV291" s="90"/>
      <c r="BW291" s="104">
        <f>Metrics!BW419</f>
        <v>7800</v>
      </c>
      <c r="BX291" s="104">
        <f>Metrics!BX419</f>
        <v>7800</v>
      </c>
      <c r="BY291" s="104">
        <f>Metrics!BY419</f>
        <v>7800</v>
      </c>
      <c r="BZ291" s="104">
        <f>Metrics!BZ419</f>
        <v>7800</v>
      </c>
      <c r="CA291" s="104">
        <f>Metrics!CA419</f>
        <v>7800</v>
      </c>
      <c r="CB291" s="90"/>
      <c r="CC291" s="104">
        <f>Metrics!CC419</f>
        <v>7566</v>
      </c>
      <c r="CD291" s="104">
        <f>Metrics!CD419</f>
        <v>7339.0199999999995</v>
      </c>
      <c r="CE291" s="104">
        <f>Metrics!CE419</f>
        <v>7118.8493999999992</v>
      </c>
      <c r="CF291" s="104">
        <f>Metrics!CF419</f>
        <v>6800</v>
      </c>
      <c r="CG291" s="104">
        <f>Metrics!CG419</f>
        <v>6800</v>
      </c>
      <c r="CH291" s="90"/>
      <c r="CI291" s="104">
        <f>Metrics!CI419</f>
        <v>6800</v>
      </c>
      <c r="CJ291" s="104">
        <f>Metrics!CJ419</f>
        <v>6800</v>
      </c>
      <c r="CK291" s="104">
        <f>Metrics!CK419</f>
        <v>6800</v>
      </c>
      <c r="CL291" s="104">
        <f>Metrics!CL419</f>
        <v>6800</v>
      </c>
      <c r="CM291" s="104">
        <f>Metrics!CM419</f>
        <v>6800</v>
      </c>
      <c r="CN291" s="90"/>
      <c r="CO291" s="104">
        <f>Metrics!CO419</f>
        <v>6868</v>
      </c>
      <c r="CP291" s="104">
        <f>Metrics!CP419</f>
        <v>6936.68</v>
      </c>
      <c r="CQ291" s="104">
        <f>Metrics!CQ419</f>
        <v>7006.0468000000001</v>
      </c>
      <c r="CR291" s="104">
        <f>Metrics!CR419</f>
        <v>7076.1072679999997</v>
      </c>
      <c r="CS291" s="104">
        <f>Metrics!CS419</f>
        <v>7076.1072679999997</v>
      </c>
      <c r="CT291" s="90"/>
      <c r="CU291" s="104">
        <f>Metrics!CU419</f>
        <v>7146.8683406800001</v>
      </c>
      <c r="CV291" s="104">
        <f>Metrics!CV419</f>
        <v>7218.3370240867998</v>
      </c>
      <c r="CW291" s="104">
        <f>Metrics!CW419</f>
        <v>7290.5203943276683</v>
      </c>
      <c r="CX291" s="104">
        <f>Metrics!CX419</f>
        <v>7363.4255982709446</v>
      </c>
      <c r="CY291" s="104">
        <f>Metrics!CY419</f>
        <v>7363.4255982709446</v>
      </c>
      <c r="CZ291" s="90"/>
      <c r="DA291" s="104">
        <f>Metrics!DA419</f>
        <v>7437.0598542536545</v>
      </c>
      <c r="DB291" s="104">
        <f>Metrics!DB419</f>
        <v>7511.4304527961913</v>
      </c>
      <c r="DC291" s="104">
        <f>Metrics!DC419</f>
        <v>7586.5447573241536</v>
      </c>
      <c r="DD291" s="104">
        <f>Metrics!DD419</f>
        <v>7662.4102048973955</v>
      </c>
      <c r="DE291" s="104">
        <f>Metrics!DE419</f>
        <v>7662.4102048973955</v>
      </c>
      <c r="DF291" s="90"/>
      <c r="DG291" s="104">
        <f>Metrics!DG419</f>
        <v>7739.0343069463697</v>
      </c>
      <c r="DH291" s="104">
        <f>Metrics!DH419</f>
        <v>7816.4246500158333</v>
      </c>
      <c r="DI291" s="104">
        <f>Metrics!DI419</f>
        <v>7894.588896515992</v>
      </c>
      <c r="DJ291" s="104">
        <f>Metrics!DJ419</f>
        <v>7973.5347854811516</v>
      </c>
      <c r="DK291" s="104">
        <f>Metrics!DK419</f>
        <v>7973.5347854811516</v>
      </c>
      <c r="DL291" s="90"/>
      <c r="DM291" s="104">
        <f>Metrics!DM419</f>
        <v>8053.2701333359628</v>
      </c>
      <c r="DN291" s="104">
        <f>Metrics!DN419</f>
        <v>8133.8028346693227</v>
      </c>
      <c r="DO291" s="104">
        <f>Metrics!DO419</f>
        <v>8215.1408630160167</v>
      </c>
      <c r="DP291" s="104">
        <f>Metrics!DP419</f>
        <v>8297.2922716461762</v>
      </c>
      <c r="DQ291" s="104">
        <f>Metrics!DQ419</f>
        <v>8297.2922716461762</v>
      </c>
      <c r="DR291" s="90"/>
      <c r="DS291" s="104">
        <f>Metrics!DS419</f>
        <v>8380.2651943626388</v>
      </c>
      <c r="DT291" s="104">
        <f>Metrics!DT419</f>
        <v>8464.067846306265</v>
      </c>
      <c r="DU291" s="104">
        <f>Metrics!DU419</f>
        <v>8548.7085247693285</v>
      </c>
      <c r="DV291" s="104">
        <f>Metrics!DV419</f>
        <v>8634.1956100170228</v>
      </c>
      <c r="DW291" s="104">
        <f>Metrics!DW419</f>
        <v>8634.1956100170228</v>
      </c>
      <c r="DX291" s="90"/>
      <c r="DY291" s="104">
        <f>Metrics!DY419</f>
        <v>8720.5375661171929</v>
      </c>
      <c r="DZ291" s="104">
        <f>Metrics!DZ419</f>
        <v>8807.7429417783642</v>
      </c>
      <c r="EA291" s="104">
        <f>Metrics!EA419</f>
        <v>8895.8203711961487</v>
      </c>
      <c r="EB291" s="104">
        <f>Metrics!EB419</f>
        <v>8984.7785749081104</v>
      </c>
      <c r="EC291" s="104">
        <f>Metrics!EC419</f>
        <v>8984.7785749081104</v>
      </c>
      <c r="ED291" s="90"/>
      <c r="EE291" s="104">
        <f>Metrics!EE419</f>
        <v>9074.626360657192</v>
      </c>
      <c r="EF291" s="104">
        <f>Metrics!EF419</f>
        <v>9165.372624263764</v>
      </c>
      <c r="EG291" s="104">
        <f>Metrics!EG419</f>
        <v>9257.0263505064013</v>
      </c>
      <c r="EH291" s="104">
        <f>Metrics!EH419</f>
        <v>9349.5966140114651</v>
      </c>
      <c r="EI291" s="104">
        <f>Metrics!EI419</f>
        <v>9349.5966140114651</v>
      </c>
      <c r="EJ291" s="90"/>
      <c r="EK291" s="104">
        <f>Metrics!EK419</f>
        <v>9443.0925801515805</v>
      </c>
      <c r="EL291" s="104">
        <f>Metrics!EL419</f>
        <v>9537.5235059530969</v>
      </c>
      <c r="EM291" s="104">
        <f>Metrics!EM419</f>
        <v>9632.8987410126283</v>
      </c>
      <c r="EN291" s="104">
        <f>Metrics!EN419</f>
        <v>9729.2277284227548</v>
      </c>
      <c r="EO291" s="104">
        <f>Metrics!EO419</f>
        <v>9729.2277284227548</v>
      </c>
      <c r="EP291" s="90"/>
      <c r="EQ291" s="104">
        <f>Metrics!EQ419</f>
        <v>9826.5200057069833</v>
      </c>
      <c r="ER291" s="104">
        <f>Metrics!ER419</f>
        <v>9924.7852057640539</v>
      </c>
      <c r="ES291" s="104">
        <f>Metrics!ES419</f>
        <v>10024.033057821694</v>
      </c>
      <c r="ET291" s="104">
        <f>Metrics!ET419</f>
        <v>10124.273388399912</v>
      </c>
      <c r="EU291" s="104">
        <f>Metrics!EU419</f>
        <v>10124.273388399912</v>
      </c>
      <c r="EV291" s="90"/>
    </row>
    <row r="292" spans="1:152" ht="12.75" hidden="1" customHeight="1" outlineLevel="1">
      <c r="A292" s="90" t="s">
        <v>6022</v>
      </c>
      <c r="B292" s="520" t="s">
        <v>2247</v>
      </c>
      <c r="C292" s="62"/>
      <c r="D292" s="62"/>
      <c r="E292" s="62"/>
      <c r="F292" s="62"/>
      <c r="G292" s="62"/>
      <c r="H292" s="90"/>
      <c r="I292" s="61"/>
      <c r="J292" s="61"/>
      <c r="K292" s="61"/>
      <c r="L292" s="61"/>
      <c r="M292" s="62"/>
      <c r="N292" s="90"/>
      <c r="O292" s="62">
        <f>IF(ISERROR(O261/O291),"-",O261/O291*1000)</f>
        <v>329.3236220472441</v>
      </c>
      <c r="P292" s="62">
        <f>IF(ISERROR(P261/P291),"-",P261/P291*1000)</f>
        <v>340.13451874758402</v>
      </c>
      <c r="Q292" s="62">
        <f>IF(ISERROR(Q261/Q291),"-",Q261/Q291*1000)</f>
        <v>341.90353574173713</v>
      </c>
      <c r="R292" s="62">
        <f>IF(ISERROR(R261/R291),"-",R261/R291*1000)</f>
        <v>343.51729438893165</v>
      </c>
      <c r="S292" s="62">
        <f>R292</f>
        <v>343.51729438893165</v>
      </c>
      <c r="T292" s="90"/>
      <c r="U292" s="62">
        <f>IF(ISERROR(U261/U291),"-",U261/U291*1000)</f>
        <v>250.03195164075998</v>
      </c>
      <c r="V292" s="62">
        <f>IF(ISERROR(V261/V291),"-",V261/V291*1000)</f>
        <v>242.30243204577968</v>
      </c>
      <c r="W292" s="62">
        <f>IF(ISERROR(W261/W291),"-",W261/W291*1000)</f>
        <v>269.00414012738855</v>
      </c>
      <c r="X292" s="62">
        <f>IF(ISERROR(X261/X291),"-",X261/X291*1000)</f>
        <v>280.44014550264546</v>
      </c>
      <c r="Y292" s="62">
        <f>X292</f>
        <v>280.44014550264546</v>
      </c>
      <c r="Z292" s="90"/>
      <c r="AA292" s="62">
        <f>IF(ISERROR(AA261/AA291),"-",AA261/AA291*1000)</f>
        <v>285.46043633995441</v>
      </c>
      <c r="AB292" s="62">
        <f>IF(ISERROR(AB261/AB291),"-",AB261/AB291*1000)</f>
        <v>281.08442776735461</v>
      </c>
      <c r="AC292" s="62">
        <f>IF(ISERROR(AC261/AC291),"-",AC261/AC291*1000)</f>
        <v>276.59470835838846</v>
      </c>
      <c r="AD292" s="62">
        <f>IF(ISERROR(AD261/AD291),"-",AD261/AD291*1000)</f>
        <v>268.74971297359355</v>
      </c>
      <c r="AE292" s="62">
        <f>AD292</f>
        <v>268.74971297359355</v>
      </c>
      <c r="AF292" s="90"/>
      <c r="AG292" s="62">
        <f>IF(ISERROR(AG261/AG291),"-",AG261/AG291*1000)</f>
        <v>268.66487708392202</v>
      </c>
      <c r="AH292" s="62">
        <f>IF(ISERROR(AH261/AH291),"-",AH261/AH291*1000)</f>
        <v>267.114237478897</v>
      </c>
      <c r="AI292" s="62">
        <f>IF(ISERROR(AI261/AI291),"-",AI261/AI291*1000)</f>
        <v>256.29556650246303</v>
      </c>
      <c r="AJ292" s="62">
        <f>IF(ISERROR(AJ261/AJ291),"-",AJ261/AJ291*1000)</f>
        <v>259.87136588041687</v>
      </c>
      <c r="AK292" s="62">
        <f>AJ292</f>
        <v>259.87136588041687</v>
      </c>
      <c r="AL292" s="90"/>
      <c r="AM292" s="62">
        <f>IF(ISERROR(AM261/AM291),"-",AM261/AM291*1000)</f>
        <v>251.23529411764704</v>
      </c>
      <c r="AN292" s="62">
        <f>IF(ISERROR(AN261/AN291),"-",AN261/AN291*1000)</f>
        <v>245.25410497981159</v>
      </c>
      <c r="AO292" s="62">
        <f>IF(ISERROR(AO261/AO291),"-",AO261/AO291*1000)</f>
        <v>243.91579237990061</v>
      </c>
      <c r="AP292" s="62">
        <f>IF(ISERROR(AP261/AP291),"-",AP261/AP291*1000)</f>
        <v>235.83333333333331</v>
      </c>
      <c r="AQ292" s="62">
        <f>AP292</f>
        <v>235.83333333333331</v>
      </c>
      <c r="AR292" s="90"/>
      <c r="AS292" s="62">
        <f>IF(ISERROR(AS261/AS291),"-",AS261/AS291*1000)</f>
        <v>227.08645451985356</v>
      </c>
      <c r="AT292" s="62">
        <f>IF(ISERROR(AT261/AT291),"-",AT261/AT291*1000)</f>
        <v>226.34343434343438</v>
      </c>
      <c r="AU292" s="62">
        <f>IF(ISERROR(AU261/AU291),"-",AU261/AU291*1000)</f>
        <v>240.83941193101495</v>
      </c>
      <c r="AV292" s="62">
        <f>IF(ISERROR(AV261/AV291),"-",AV261/AV291*1000)</f>
        <v>272.44288577154305</v>
      </c>
      <c r="AW292" s="62">
        <f>AV292</f>
        <v>272.44288577154305</v>
      </c>
      <c r="AX292" s="90"/>
      <c r="AY292" s="62">
        <f>IF(ISERROR(AY261/AY291),"-",AY261/AY291*1000)</f>
        <v>305.06805514813726</v>
      </c>
      <c r="AZ292" s="62">
        <f>IF(ISERROR(AZ261/AZ291),"-",AZ261/AZ291*1000)</f>
        <v>322.12372930583797</v>
      </c>
      <c r="BA292" s="62">
        <f>IF(ISERROR(BA261/BA291),"-",BA261/BA291*1000)</f>
        <v>342.33633983124821</v>
      </c>
      <c r="BB292" s="62">
        <f>IF(ISERROR(BB261/BB291),"-",BB261/BB291*1000)</f>
        <v>356.31291343111883</v>
      </c>
      <c r="BC292" s="62">
        <f>BB292</f>
        <v>356.31291343111883</v>
      </c>
      <c r="BD292" s="90"/>
      <c r="BE292" s="62">
        <f>IF(ISERROR(BE261/BE291),"-",BE261/BE291*1000)</f>
        <v>354.79377219338977</v>
      </c>
      <c r="BF292" s="62">
        <f>IF(ISERROR(BF261/BF291),"-",BF261/BF291*1000)</f>
        <v>365.82743246787305</v>
      </c>
      <c r="BG292" s="62">
        <f>IF(ISERROR(BG261/BG291),"-",BG261/BG291*1000)</f>
        <v>358.61901288597124</v>
      </c>
      <c r="BH292" s="62">
        <f>IF(ISERROR(BH261/BH291),"-",BH261/BH291*1000)</f>
        <v>319.38499896114683</v>
      </c>
      <c r="BI292" s="62">
        <f>BH292</f>
        <v>319.38499896114683</v>
      </c>
      <c r="BJ292" s="90"/>
      <c r="BK292" s="62">
        <f>IF(ISERROR(BK261/BK291),"-",BK261/BK291*1000)</f>
        <v>329.27376580987351</v>
      </c>
      <c r="BL292" s="62">
        <f>IF(ISERROR(BL261/BL291),"-",BL261/BL291*1000)</f>
        <v>337.98837908234822</v>
      </c>
      <c r="BM292" s="62">
        <f>IF(ISERROR(BM261/BM291),"-",BM261/BM291*1000)</f>
        <v>346.88976377952758</v>
      </c>
      <c r="BN292" s="62">
        <f>IF(ISERROR(BN261/BN291),"-",BN261/BN291*1000)</f>
        <v>355.92958018959183</v>
      </c>
      <c r="BO292" s="62">
        <f>BN292</f>
        <v>355.92958018959183</v>
      </c>
      <c r="BP292" s="90"/>
      <c r="BQ292" s="62">
        <f>IF(ISERROR(BQ261/BQ291),"-",BQ261/BQ291*1000)</f>
        <v>335.4057964659973</v>
      </c>
      <c r="BR292" s="62">
        <f>IF(ISERROR(BR261/BR291),"-",BR261/BR291*1000)</f>
        <v>318.98307803352316</v>
      </c>
      <c r="BS292" s="62">
        <f>IF(ISERROR(BS261/BS291),"-",BS261/BS291*1000)</f>
        <v>305.92929180981935</v>
      </c>
      <c r="BT292" s="62">
        <f>IF(ISERROR(BT261/BT291),"-",BT261/BT291*1000)</f>
        <v>297.53424657534242</v>
      </c>
      <c r="BU292" s="62">
        <f>BT292</f>
        <v>297.53424657534242</v>
      </c>
      <c r="BV292" s="90"/>
      <c r="BW292" s="62">
        <f>IF(ISERROR(BW261/BW291),"-",BW261/BW291*1000)</f>
        <v>290.02564102564105</v>
      </c>
      <c r="BX292" s="62">
        <f>IF(ISERROR(BX261/BX291),"-",BX261/BX291*1000)</f>
        <v>302.02564102564105</v>
      </c>
      <c r="BY292" s="62">
        <f>IF(ISERROR(BY261/BY291),"-",BY261/BY291*1000)</f>
        <v>310.83333333333337</v>
      </c>
      <c r="BZ292" s="62">
        <f>IF(ISERROR(BZ261/BZ291),"-",BZ261/BZ291*1000)</f>
        <v>296.82051282051282</v>
      </c>
      <c r="CA292" s="62">
        <f>BZ292</f>
        <v>296.82051282051282</v>
      </c>
      <c r="CB292" s="90"/>
      <c r="CC292" s="62">
        <f>IF(ISERROR(CC261/CC291),"-",CC261/CC291*1000)</f>
        <v>283.13507798043878</v>
      </c>
      <c r="CD292" s="62">
        <f>IF(ISERROR(CD261/CD291),"-",CD261/CD291*1000)</f>
        <v>264.01345138724247</v>
      </c>
      <c r="CE292" s="62">
        <f>IF(ISERROR(CE261/CE291),"-",CE261/CE291*1000)</f>
        <v>245.46101509044428</v>
      </c>
      <c r="CF292" s="62">
        <f>IF(ISERROR(CF261/CF291),"-",CF261/CF291*1000)</f>
        <v>252.01470588235298</v>
      </c>
      <c r="CG292" s="62">
        <f>CF292</f>
        <v>252.01470588235298</v>
      </c>
      <c r="CH292" s="90"/>
      <c r="CI292" s="62">
        <f>IF(ISERROR(CI261/CI291),"-",CI261/CI291*1000)</f>
        <v>259.19117647058823</v>
      </c>
      <c r="CJ292" s="62">
        <f>IF(ISERROR(CJ261/CJ291),"-",CJ261/CJ291*1000)</f>
        <v>267.70588235294116</v>
      </c>
      <c r="CK292" s="62">
        <f>IF(ISERROR(CK261/CK291),"-",CK261/CK291*1000)</f>
        <v>276.49999999999994</v>
      </c>
      <c r="CL292" s="62">
        <f>IF(ISERROR(CL261/CL291),"-",CL261/CL291*1000)</f>
        <v>287.02941176470591</v>
      </c>
      <c r="CM292" s="62">
        <f>CL292</f>
        <v>287.02941176470591</v>
      </c>
      <c r="CN292" s="90"/>
      <c r="CO292" s="62">
        <f>IF(ISERROR(CO261/CO291),"-",CO261/CO291*1000)</f>
        <v>292.00640652300524</v>
      </c>
      <c r="CP292" s="62">
        <f>IF(ISERROR(CP261/CP291),"-",CP261/CP291*1000)</f>
        <v>299.71110098779241</v>
      </c>
      <c r="CQ292" s="62">
        <f>IF(ISERROR(CQ261/CQ291),"-",CQ261/CQ291*1000)</f>
        <v>307.00622782023089</v>
      </c>
      <c r="CR292" s="62">
        <f>IF(ISERROR(CR261/CR291),"-",CR261/CR291*1000)</f>
        <v>313.11000753472467</v>
      </c>
      <c r="CS292" s="62">
        <f>CR292</f>
        <v>313.11000753472467</v>
      </c>
      <c r="CT292" s="90"/>
      <c r="CU292" s="62">
        <f>IF(ISERROR(CU261/CU291),"-",CU261/CU291*1000)</f>
        <v>318.4471703564999</v>
      </c>
      <c r="CV292" s="62">
        <f>IF(ISERROR(CV261/CV291),"-",CV261/CV291*1000)</f>
        <v>318.43899672872345</v>
      </c>
      <c r="CW292" s="62">
        <f>IF(ISERROR(CW261/CW291),"-",CW261/CW291*1000)</f>
        <v>315.20383672308776</v>
      </c>
      <c r="CX292" s="62">
        <f>IF(ISERROR(CX261/CX291),"-",CX261/CX291*1000)</f>
        <v>314.06577945773461</v>
      </c>
      <c r="CY292" s="62">
        <f>CX292</f>
        <v>314.06577945773461</v>
      </c>
      <c r="CZ292" s="90"/>
      <c r="DA292" s="62">
        <f>IF(ISERROR(DA261/DA291),"-",DA261/DA291*1000)</f>
        <v>308.50901363765536</v>
      </c>
      <c r="DB292" s="62">
        <f>IF(ISERROR(DB261/DB291),"-",DB261/DB291*1000)</f>
        <v>304.48261677622378</v>
      </c>
      <c r="DC292" s="62">
        <f>IF(ISERROR(DC261/DC291),"-",DC261/DC291*1000)</f>
        <v>302.41698604427944</v>
      </c>
      <c r="DD292" s="62">
        <f>IF(ISERROR(DD261/DD291),"-",DD261/DD291*1000)</f>
        <v>296.76041078388715</v>
      </c>
      <c r="DE292" s="62">
        <f>DD292</f>
        <v>296.76041078388715</v>
      </c>
      <c r="DF292" s="90"/>
      <c r="DG292" s="62">
        <f>IF(ISERROR(DG261/DG291),"-",DG261/DG291*1000)</f>
        <v>296.67784234257317</v>
      </c>
      <c r="DH292" s="62">
        <f>IF(ISERROR(DH261/DH291),"-",DH261/DH291*1000)</f>
        <v>303.38679206677904</v>
      </c>
      <c r="DI292" s="62">
        <f>IF(ISERROR(DI261/DI291),"-",DI261/DI291*1000)</f>
        <v>308.33777818047633</v>
      </c>
      <c r="DJ292" s="62">
        <f>IF(ISERROR(DJ261/DJ291),"-",DJ261/DJ291*1000)</f>
        <v>315.06729042863321</v>
      </c>
      <c r="DK292" s="62">
        <f>DJ292</f>
        <v>315.06729042863321</v>
      </c>
      <c r="DL292" s="90"/>
      <c r="DM292" s="62">
        <f>IF(ISERROR(DM261/DM291),"-",DM261/DM291*1000)</f>
        <v>318.65316294028059</v>
      </c>
      <c r="DN292" s="62">
        <f>IF(ISERROR(DN261/DN291),"-",DN261/DN291*1000)</f>
        <v>312.10493438315632</v>
      </c>
      <c r="DO292" s="62">
        <f>IF(ISERROR(DO261/DO291),"-",DO261/DO291*1000)</f>
        <v>306.79936498066184</v>
      </c>
      <c r="DP292" s="62">
        <f>IF(ISERROR(DP261/DP291),"-",DP261/DP291*1000)</f>
        <v>301.797251201709</v>
      </c>
      <c r="DQ292" s="62">
        <f>DP292</f>
        <v>301.797251201709</v>
      </c>
      <c r="DR292" s="90"/>
      <c r="DS292" s="62">
        <f>IF(ISERROR(DS261/DS291),"-",DS261/DS291*1000)</f>
        <v>282.74761538500599</v>
      </c>
      <c r="DT292" s="62">
        <f>IF(ISERROR(DT261/DT291),"-",DT261/DT291*1000)</f>
        <v>273.00111978762004</v>
      </c>
      <c r="DU292" s="62">
        <f>IF(ISERROR(DU261/DU291),"-",DU261/DU291*1000)</f>
        <v>257.40730235733201</v>
      </c>
      <c r="DV292" s="62">
        <f>IF(ISERROR(DV261/DV291),"-",DV261/DV291*1000)</f>
        <v>235.2274712937614</v>
      </c>
      <c r="DW292" s="62">
        <f>DV292</f>
        <v>235.2274712937614</v>
      </c>
      <c r="DX292" s="90"/>
      <c r="DY292" s="62">
        <f>IF(ISERROR(DY261/DY291),"-",DY261/DY291*1000)</f>
        <v>229.89408448734363</v>
      </c>
      <c r="DZ292" s="62">
        <f>IF(ISERROR(DZ261/DZ291),"-",DZ261/DZ291*1000)</f>
        <v>222.06597228473223</v>
      </c>
      <c r="EA292" s="62">
        <f>IF(ISERROR(EA261/EA291),"-",EA261/EA291*1000)</f>
        <v>222.75629647561669</v>
      </c>
      <c r="EB292" s="62">
        <f>IF(ISERROR(EB261/EB291),"-",EB261/EB291*1000)</f>
        <v>228.89823971216043</v>
      </c>
      <c r="EC292" s="62">
        <f>EB292</f>
        <v>228.89823971216043</v>
      </c>
      <c r="ED292" s="90"/>
      <c r="EE292" s="62">
        <f>IF(ISERROR(EE261/EE291),"-",EE261/EE291*1000)</f>
        <v>234.44750697937317</v>
      </c>
      <c r="EF292" s="62">
        <f>IF(ISERROR(EF261/EF291),"-",EF261/EF291*1000)</f>
        <v>242.24691279163179</v>
      </c>
      <c r="EG292" s="62">
        <f>IF(ISERROR(EG261/EG291),"-",EG261/EG291*1000)</f>
        <v>252.8562901334283</v>
      </c>
      <c r="EH292" s="62">
        <f>IF(ISERROR(EH261/EH291),"-",EH261/EH291*1000)</f>
        <v>267.34636231523518</v>
      </c>
      <c r="EI292" s="62">
        <f>EH292</f>
        <v>267.34636231523518</v>
      </c>
      <c r="EJ292" s="90"/>
      <c r="EK292" s="62">
        <f>IF(ISERROR(EK261/EK291),"-",EK261/EK291*1000)</f>
        <v>278.8896768155862</v>
      </c>
      <c r="EL292" s="62">
        <f>IF(ISERROR(EL261/EL291),"-",EL261/EL291*1000)</f>
        <v>290.62513302482586</v>
      </c>
      <c r="EM292" s="62">
        <f>IF(ISERROR(EM261/EM291),"-",EM261/EM291*1000)</f>
        <v>303.45980380794259</v>
      </c>
      <c r="EN292" s="62">
        <f>IF(ISERROR(EN261/EN291),"-",EN261/EN291*1000)</f>
        <v>319.21004429830305</v>
      </c>
      <c r="EO292" s="62">
        <f>EN292</f>
        <v>319.21004429830305</v>
      </c>
      <c r="EP292" s="90"/>
      <c r="EQ292" s="62">
        <f>IF(ISERROR(EQ261/EQ291),"-",EQ261/EQ291*1000)</f>
        <v>323.93435835473008</v>
      </c>
      <c r="ER292" s="62">
        <f>IF(ISERROR(ER261/ER291),"-",ER261/ER291*1000)</f>
        <v>334.13991565012384</v>
      </c>
      <c r="ES292" s="62">
        <f>IF(ISERROR(ES261/ES291),"-",ES261/ES291*1000)</f>
        <v>348.80957568230826</v>
      </c>
      <c r="ET292" s="62">
        <f>IF(ISERROR(ET261/ET291),"-",ET261/ET291*1000)</f>
        <v>369.10279308172727</v>
      </c>
      <c r="EU292" s="62">
        <f>ET292</f>
        <v>369.10279308172727</v>
      </c>
      <c r="EV292" s="90"/>
    </row>
    <row r="293" spans="1:152" ht="12.75" hidden="1" customHeight="1" outlineLevel="1">
      <c r="A293" s="90" t="s">
        <v>6023</v>
      </c>
      <c r="B293" s="520" t="s">
        <v>2248</v>
      </c>
      <c r="C293" s="62"/>
      <c r="D293" s="62"/>
      <c r="E293" s="62"/>
      <c r="F293" s="62"/>
      <c r="G293" s="62"/>
      <c r="H293" s="90"/>
      <c r="I293" s="61"/>
      <c r="J293" s="61"/>
      <c r="K293" s="61"/>
      <c r="L293" s="61"/>
      <c r="M293" s="62"/>
      <c r="N293" s="90"/>
      <c r="O293" s="62">
        <f>IF(ISERROR(O260/O291),"-",O260/O291*1000)</f>
        <v>0</v>
      </c>
      <c r="P293" s="62">
        <f>IF(ISERROR(P260/P291),"-",P260/P291*1000)</f>
        <v>0</v>
      </c>
      <c r="Q293" s="62">
        <f>IF(ISERROR(Q260/Q291),"-",Q260/Q291*1000)</f>
        <v>0</v>
      </c>
      <c r="R293" s="62">
        <f>IF(ISERROR(R260/R291),"-",R260/R291*1000)</f>
        <v>0</v>
      </c>
      <c r="S293" s="62">
        <f>R293</f>
        <v>0</v>
      </c>
      <c r="T293" s="90"/>
      <c r="U293" s="62">
        <f>IF(ISERROR(U260/U291),"-",U260/U291*1000)</f>
        <v>0</v>
      </c>
      <c r="V293" s="62">
        <f>IF(ISERROR(V260/V291),"-",V260/V291*1000)</f>
        <v>0</v>
      </c>
      <c r="W293" s="62">
        <f>IF(ISERROR(W260/W291),"-",W260/W291*1000)</f>
        <v>0</v>
      </c>
      <c r="X293" s="62">
        <f>IF(ISERROR(X260/X291),"-",X260/X291*1000)</f>
        <v>0</v>
      </c>
      <c r="Y293" s="62">
        <f>X293</f>
        <v>0</v>
      </c>
      <c r="Z293" s="90"/>
      <c r="AA293" s="62">
        <f>IF(ISERROR(AA260/AA291),"-",AA260/AA291*1000)</f>
        <v>0</v>
      </c>
      <c r="AB293" s="62">
        <f>IF(ISERROR(AB260/AB291),"-",AB260/AB291*1000)</f>
        <v>0</v>
      </c>
      <c r="AC293" s="62">
        <f>IF(ISERROR(AC260/AC291),"-",AC260/AC291*1000)</f>
        <v>0</v>
      </c>
      <c r="AD293" s="62">
        <f>IF(ISERROR(AD260/AD291),"-",AD260/AD291*1000)</f>
        <v>0</v>
      </c>
      <c r="AE293" s="62">
        <f>AD293</f>
        <v>0</v>
      </c>
      <c r="AF293" s="90"/>
      <c r="AG293" s="62">
        <f>IF(ISERROR(AG260/AG291),"-",AG260/AG291*1000)</f>
        <v>66.906753320146933</v>
      </c>
      <c r="AH293" s="62">
        <f>IF(ISERROR(AH260/AH291),"-",AH260/AH291*1000)</f>
        <v>128.59116488463701</v>
      </c>
      <c r="AI293" s="62">
        <f>IF(ISERROR(AI260/AI291),"-",AI260/AI291*1000)</f>
        <v>181.04926108374383</v>
      </c>
      <c r="AJ293" s="62">
        <f>IF(ISERROR(AJ260/AJ291),"-",AJ260/AJ291*1000)</f>
        <v>247.34284147010422</v>
      </c>
      <c r="AK293" s="62">
        <f>AJ293</f>
        <v>247.34284147010422</v>
      </c>
      <c r="AL293" s="90"/>
      <c r="AM293" s="62">
        <f>IF(ISERROR(AM260/AM291),"-",AM260/AM291*1000)</f>
        <v>237.10010793308149</v>
      </c>
      <c r="AN293" s="62">
        <f>IF(ISERROR(AN260/AN291),"-",AN260/AN291*1000)</f>
        <v>229.28613728129204</v>
      </c>
      <c r="AO293" s="62">
        <f>IF(ISERROR(AO260/AO291),"-",AO260/AO291*1000)</f>
        <v>225.15958034235229</v>
      </c>
      <c r="AP293" s="62">
        <f>IF(ISERROR(AP260/AP291),"-",AP260/AP291*1000)</f>
        <v>214.10634648370495</v>
      </c>
      <c r="AQ293" s="62">
        <f>AP293</f>
        <v>214.10634648370495</v>
      </c>
      <c r="AR293" s="90"/>
      <c r="AS293" s="62">
        <f>IF(ISERROR(AS260/AS291),"-",AS260/AS291*1000)</f>
        <v>203.3683469445227</v>
      </c>
      <c r="AT293" s="62">
        <f>IF(ISERROR(AT260/AT291),"-",AT260/AT291*1000)</f>
        <v>199.84848484848487</v>
      </c>
      <c r="AU293" s="62">
        <f>IF(ISERROR(AU260/AU291),"-",AU260/AU291*1000)</f>
        <v>211.56121006502684</v>
      </c>
      <c r="AV293" s="62">
        <f>IF(ISERROR(AV260/AV291),"-",AV260/AV291*1000)</f>
        <v>239.5468079015173</v>
      </c>
      <c r="AW293" s="62">
        <f>AV293</f>
        <v>239.5468079015173</v>
      </c>
      <c r="AX293" s="90"/>
      <c r="AY293" s="62">
        <f>IF(ISERROR(AY260/AY291),"-",AY260/AY291*1000)</f>
        <v>267.4262246993253</v>
      </c>
      <c r="AZ293" s="62">
        <f>IF(ISERROR(AZ260/AZ291),"-",AZ260/AZ291*1000)</f>
        <v>281.27272727272731</v>
      </c>
      <c r="BA293" s="62">
        <f>IF(ISERROR(BA260/BA291),"-",BA260/BA291*1000)</f>
        <v>296.97963340122203</v>
      </c>
      <c r="BB293" s="62">
        <f>IF(ISERROR(BB260/BB291),"-",BB260/BB291*1000)</f>
        <v>306.38481449525449</v>
      </c>
      <c r="BC293" s="62">
        <f>BB293</f>
        <v>306.38481449525449</v>
      </c>
      <c r="BD293" s="90"/>
      <c r="BE293" s="62">
        <f>IF(ISERROR(BE260/BE291),"-",BE260/BE291*1000)</f>
        <v>301.25648729855226</v>
      </c>
      <c r="BF293" s="62">
        <f>IF(ISERROR(BF260/BF291),"-",BF260/BF291*1000)</f>
        <v>308.31366378179911</v>
      </c>
      <c r="BG293" s="62">
        <f>IF(ISERROR(BG260/BG291),"-",BG260/BG291*1000)</f>
        <v>298.49258448820808</v>
      </c>
      <c r="BH293" s="62">
        <f>IF(ISERROR(BH260/BH291),"-",BH260/BH291*1000)</f>
        <v>262.16496987325991</v>
      </c>
      <c r="BI293" s="62">
        <f>BH293</f>
        <v>262.16496987325991</v>
      </c>
      <c r="BJ293" s="90"/>
      <c r="BK293" s="62">
        <f>IF(ISERROR(BK260/BK291),"-",BK260/BK291*1000)</f>
        <v>267.60505915952677</v>
      </c>
      <c r="BL293" s="62">
        <f>IF(ISERROR(BL260/BL291),"-",BL260/BL291*1000)</f>
        <v>269.36485674213583</v>
      </c>
      <c r="BM293" s="62">
        <f>IF(ISERROR(BM260/BM291),"-",BM260/BM291*1000)</f>
        <v>272.04724409448818</v>
      </c>
      <c r="BN293" s="62">
        <f>IF(ISERROR(BN260/BN291),"-",BN260/BN291*1000)</f>
        <v>273.92145482685243</v>
      </c>
      <c r="BO293" s="62">
        <f>BN293</f>
        <v>273.92145482685243</v>
      </c>
      <c r="BP293" s="90"/>
      <c r="BQ293" s="62">
        <f>IF(ISERROR(BQ260/BQ291),"-",BQ260/BQ291*1000)</f>
        <v>254.25527250405577</v>
      </c>
      <c r="BR293" s="62">
        <f>IF(ISERROR(BR260/BR291),"-",BR260/BR291*1000)</f>
        <v>240.24380463549602</v>
      </c>
      <c r="BS293" s="62">
        <f>IF(ISERROR(BS260/BS291),"-",BS260/BS291*1000)</f>
        <v>228.64531382762573</v>
      </c>
      <c r="BT293" s="62">
        <f>IF(ISERROR(BT260/BT291),"-",BT260/BT291*1000)</f>
        <v>221.72602739726031</v>
      </c>
      <c r="BU293" s="62">
        <f>BT293</f>
        <v>221.72602739726031</v>
      </c>
      <c r="BV293" s="90"/>
      <c r="BW293" s="62">
        <f>IF(ISERROR(BW260/BW291),"-",BW260/BW291*1000)</f>
        <v>213.79487179487177</v>
      </c>
      <c r="BX293" s="62">
        <f>IF(ISERROR(BX260/BX291),"-",BX260/BX291*1000)</f>
        <v>219.76923076923077</v>
      </c>
      <c r="BY293" s="62">
        <f>IF(ISERROR(BY260/BY291),"-",BY260/BY291*1000)</f>
        <v>223</v>
      </c>
      <c r="BZ293" s="62">
        <f>IF(ISERROR(BZ260/BZ291),"-",BZ260/BZ291*1000)</f>
        <v>205.56410256410257</v>
      </c>
      <c r="CA293" s="62">
        <f>BZ293</f>
        <v>205.56410256410257</v>
      </c>
      <c r="CB293" s="90"/>
      <c r="CC293" s="62">
        <f>IF(ISERROR(CC260/CC291),"-",CC260/CC291*1000)</f>
        <v>186.99444885011894</v>
      </c>
      <c r="CD293" s="62">
        <f>IF(ISERROR(CD260/CD291),"-",CD260/CD291*1000)</f>
        <v>164.27261405473755</v>
      </c>
      <c r="CE293" s="62">
        <f>IF(ISERROR(CE260/CE291),"-",CE260/CE291*1000)</f>
        <v>143.3799119279023</v>
      </c>
      <c r="CF293" s="62">
        <f>IF(ISERROR(CF260/CF291),"-",CF260/CF291*1000)</f>
        <v>144.22058823529412</v>
      </c>
      <c r="CG293" s="62">
        <f>CF293</f>
        <v>144.22058823529412</v>
      </c>
      <c r="CH293" s="90"/>
      <c r="CI293" s="62">
        <f>IF(ISERROR(CI260/CI291),"-",CI260/CI291*1000)</f>
        <v>149.54411764705884</v>
      </c>
      <c r="CJ293" s="62">
        <f>IF(ISERROR(CJ260/CJ291),"-",CJ260/CJ291*1000)</f>
        <v>156.85294117647058</v>
      </c>
      <c r="CK293" s="62">
        <f>IF(ISERROR(CK260/CK291),"-",CK260/CK291*1000)</f>
        <v>163.60294117647058</v>
      </c>
      <c r="CL293" s="62">
        <f>IF(ISERROR(CL260/CL291),"-",CL260/CL291*1000)</f>
        <v>172.36764705882351</v>
      </c>
      <c r="CM293" s="62">
        <f>CL293</f>
        <v>172.36764705882351</v>
      </c>
      <c r="CN293" s="90"/>
      <c r="CO293" s="62">
        <f>IF(ISERROR(CO260/CO291),"-",CO260/CO291*1000)</f>
        <v>176.95107746068726</v>
      </c>
      <c r="CP293" s="62">
        <f>IF(ISERROR(CP260/CP291),"-",CP260/CP291*1000)</f>
        <v>182.73871650414895</v>
      </c>
      <c r="CQ293" s="62">
        <f>IF(ISERROR(CQ260/CQ291),"-",CQ260/CQ291*1000)</f>
        <v>187.98047423833938</v>
      </c>
      <c r="CR293" s="62">
        <f>IF(ISERROR(CR260/CR291),"-",CR260/CR291*1000)</f>
        <v>191.85689936321637</v>
      </c>
      <c r="CS293" s="62">
        <f>CR293</f>
        <v>191.85689936321637</v>
      </c>
      <c r="CT293" s="90"/>
      <c r="CU293" s="62">
        <f>IF(ISERROR(CU260/CU291),"-",CU260/CU291*1000)</f>
        <v>194.47678811832651</v>
      </c>
      <c r="CV293" s="62">
        <f>IF(ISERROR(CV260/CV291),"-",CV260/CV291*1000)</f>
        <v>192.68981142868768</v>
      </c>
      <c r="CW293" s="62">
        <f>IF(ISERROR(CW260/CW291),"-",CW260/CW291*1000)</f>
        <v>187.84667292962084</v>
      </c>
      <c r="CX293" s="62">
        <f>IF(ISERROR(CX260/CX291),"-",CX260/CX291*1000)</f>
        <v>185.28061182832624</v>
      </c>
      <c r="CY293" s="62">
        <f>CX293</f>
        <v>185.28061182832624</v>
      </c>
      <c r="CZ293" s="90"/>
      <c r="DA293" s="62">
        <f>IF(ISERROR(DA260/DA291),"-",DA260/DA291*1000)</f>
        <v>179.17026702936531</v>
      </c>
      <c r="DB293" s="62">
        <f>IF(ISERROR(DB260/DB291),"-",DB260/DB291*1000)</f>
        <v>174.62719095158619</v>
      </c>
      <c r="DC293" s="62">
        <f>IF(ISERROR(DC260/DC291),"-",DC260/DC291*1000)</f>
        <v>171.25055497046066</v>
      </c>
      <c r="DD293" s="62">
        <f>IF(ISERROR(DD260/DD291),"-",DD260/DD291*1000)</f>
        <v>163.77353423312371</v>
      </c>
      <c r="DE293" s="62">
        <f>DD293</f>
        <v>163.77353423312371</v>
      </c>
      <c r="DF293" s="90"/>
      <c r="DG293" s="62">
        <f>IF(ISERROR(DG260/DG291),"-",DG260/DG291*1000)</f>
        <v>161.20874394886508</v>
      </c>
      <c r="DH293" s="62">
        <f>IF(ISERROR(DH260/DH291),"-",DH260/DH291*1000)</f>
        <v>164.3718269576612</v>
      </c>
      <c r="DI293" s="62">
        <f>IF(ISERROR(DI260/DI291),"-",DI260/DI291*1000)</f>
        <v>165.65777105596376</v>
      </c>
      <c r="DJ293" s="62">
        <f>IF(ISERROR(DJ260/DJ291),"-",DJ260/DJ291*1000)</f>
        <v>168.23153545934582</v>
      </c>
      <c r="DK293" s="62">
        <f>DJ293</f>
        <v>168.23153545934582</v>
      </c>
      <c r="DL293" s="90"/>
      <c r="DM293" s="62">
        <f>IF(ISERROR(DM260/DM291),"-",DM260/DM291*1000)</f>
        <v>167.86969487139169</v>
      </c>
      <c r="DN293" s="62">
        <f>IF(ISERROR(DN260/DN291),"-",DN260/DN291*1000)</f>
        <v>158.84328969630425</v>
      </c>
      <c r="DO293" s="62">
        <f>IF(ISERROR(DO260/DO291),"-",DO260/DO291*1000)</f>
        <v>152.45021611719599</v>
      </c>
      <c r="DP293" s="62">
        <f>IF(ISERROR(DP260/DP291),"-",DP260/DP291*1000)</f>
        <v>147.8675162730629</v>
      </c>
      <c r="DQ293" s="62">
        <f>DP293</f>
        <v>147.8675162730629</v>
      </c>
      <c r="DR293" s="90"/>
      <c r="DS293" s="62">
        <f>IF(ISERROR(DS260/DS291),"-",DS260/DS291*1000)</f>
        <v>129.60210384876765</v>
      </c>
      <c r="DT293" s="62">
        <f>IF(ISERROR(DT260/DT291),"-",DT260/DT291*1000)</f>
        <v>121.01746094190474</v>
      </c>
      <c r="DU293" s="62">
        <f>IF(ISERROR(DU260/DU291),"-",DU260/DU291*1000)</f>
        <v>106.85824617288014</v>
      </c>
      <c r="DV293" s="62">
        <f>IF(ISERROR(DV260/DV291),"-",DV260/DV291*1000)</f>
        <v>85.821544179555488</v>
      </c>
      <c r="DW293" s="62">
        <f>DV293</f>
        <v>85.821544179555488</v>
      </c>
      <c r="DX293" s="90"/>
      <c r="DY293" s="62">
        <f>IF(ISERROR(DY260/DY291),"-",DY260/DY291*1000)</f>
        <v>63.654332750860149</v>
      </c>
      <c r="DZ293" s="62">
        <f>IF(ISERROR(DZ260/DZ291),"-",DZ260/DZ291*1000)</f>
        <v>37.058302241288715</v>
      </c>
      <c r="EA293" s="62">
        <f>IF(ISERROR(EA260/EA291),"-",EA260/EA291*1000)</f>
        <v>17.570049020558585</v>
      </c>
      <c r="EB293" s="62">
        <f>IF(ISERROR(EB260/EB291),"-",EB260/EB291*1000)</f>
        <v>0</v>
      </c>
      <c r="EC293" s="62">
        <f>EB293</f>
        <v>0</v>
      </c>
      <c r="ED293" s="90"/>
      <c r="EE293" s="62">
        <f>IF(ISERROR(EE260/EE291),"-",EE260/EE291*1000)</f>
        <v>0</v>
      </c>
      <c r="EF293" s="62">
        <f>IF(ISERROR(EF260/EF291),"-",EF260/EF291*1000)</f>
        <v>0</v>
      </c>
      <c r="EG293" s="62">
        <f>IF(ISERROR(EG260/EG291),"-",EG260/EG291*1000)</f>
        <v>0</v>
      </c>
      <c r="EH293" s="62">
        <f>IF(ISERROR(EH260/EH291),"-",EH260/EH291*1000)</f>
        <v>0</v>
      </c>
      <c r="EI293" s="62">
        <f>EH293</f>
        <v>0</v>
      </c>
      <c r="EJ293" s="90"/>
      <c r="EK293" s="62">
        <f>IF(ISERROR(EK260/EK291),"-",EK260/EK291*1000)</f>
        <v>0</v>
      </c>
      <c r="EL293" s="62">
        <f>IF(ISERROR(EL260/EL291),"-",EL260/EL291*1000)</f>
        <v>0</v>
      </c>
      <c r="EM293" s="62">
        <f>IF(ISERROR(EM260/EM291),"-",EM260/EM291*1000)</f>
        <v>0</v>
      </c>
      <c r="EN293" s="62">
        <f>IF(ISERROR(EN260/EN291),"-",EN260/EN291*1000)</f>
        <v>0</v>
      </c>
      <c r="EO293" s="62">
        <f>EN293</f>
        <v>0</v>
      </c>
      <c r="EP293" s="90"/>
      <c r="EQ293" s="62">
        <f>IF(ISERROR(EQ260/EQ291),"-",EQ260/EQ291*1000)</f>
        <v>0</v>
      </c>
      <c r="ER293" s="62">
        <f>IF(ISERROR(ER260/ER291),"-",ER260/ER291*1000)</f>
        <v>0</v>
      </c>
      <c r="ES293" s="62">
        <f>IF(ISERROR(ES260/ES291),"-",ES260/ES291*1000)</f>
        <v>0</v>
      </c>
      <c r="ET293" s="62">
        <f>IF(ISERROR(ET260/ET291),"-",ET260/ET291*1000)</f>
        <v>0</v>
      </c>
      <c r="EU293" s="62">
        <f>ET293</f>
        <v>0</v>
      </c>
      <c r="EV293" s="90"/>
    </row>
    <row r="294" spans="1:152" ht="12.75" hidden="1" customHeight="1" outlineLevel="1">
      <c r="A294" s="90"/>
      <c r="B294" s="520"/>
      <c r="C294" s="62"/>
      <c r="D294" s="62"/>
      <c r="E294" s="62"/>
      <c r="F294" s="62"/>
      <c r="G294" s="62"/>
      <c r="H294" s="90"/>
      <c r="I294" s="61"/>
      <c r="J294" s="61"/>
      <c r="K294" s="61"/>
      <c r="L294" s="61"/>
      <c r="M294" s="62"/>
      <c r="N294" s="90"/>
      <c r="O294" s="62"/>
      <c r="P294" s="62"/>
      <c r="Q294" s="62"/>
      <c r="R294" s="62"/>
      <c r="S294" s="62"/>
      <c r="T294" s="90"/>
      <c r="U294" s="62"/>
      <c r="V294" s="62"/>
      <c r="W294" s="62"/>
      <c r="X294" s="62"/>
      <c r="Y294" s="62"/>
      <c r="Z294" s="90"/>
      <c r="AA294" s="62"/>
      <c r="AB294" s="62"/>
      <c r="AC294" s="62"/>
      <c r="AD294" s="62"/>
      <c r="AE294" s="62"/>
      <c r="AF294" s="90"/>
      <c r="AG294" s="62"/>
      <c r="AH294" s="62"/>
      <c r="AI294" s="62"/>
      <c r="AJ294" s="62"/>
      <c r="AK294" s="62"/>
      <c r="AL294" s="90"/>
      <c r="AM294" s="62"/>
      <c r="AN294" s="62"/>
      <c r="AO294" s="62"/>
      <c r="AP294" s="62"/>
      <c r="AQ294" s="62"/>
      <c r="AR294" s="90"/>
      <c r="AS294" s="62"/>
      <c r="AT294" s="62"/>
      <c r="AU294" s="62"/>
      <c r="AV294" s="62"/>
      <c r="AW294" s="62"/>
      <c r="AX294" s="90"/>
      <c r="AY294" s="62"/>
      <c r="AZ294" s="62"/>
      <c r="BA294" s="62"/>
      <c r="BB294" s="62"/>
      <c r="BC294" s="62"/>
      <c r="BD294" s="90"/>
      <c r="BE294" s="62"/>
      <c r="BF294" s="62"/>
      <c r="BG294" s="62"/>
      <c r="BH294" s="62"/>
      <c r="BI294" s="62"/>
      <c r="BJ294" s="90"/>
      <c r="BK294" s="62"/>
      <c r="BL294" s="62"/>
      <c r="BM294" s="62"/>
      <c r="BN294" s="62"/>
      <c r="BO294" s="62"/>
      <c r="BP294" s="90"/>
      <c r="BQ294" s="62"/>
      <c r="BR294" s="62"/>
      <c r="BS294" s="62"/>
      <c r="BT294" s="62"/>
      <c r="BU294" s="62"/>
      <c r="BV294" s="90"/>
      <c r="BW294" s="62"/>
      <c r="BX294" s="62"/>
      <c r="BY294" s="62"/>
      <c r="BZ294" s="62"/>
      <c r="CA294" s="62"/>
      <c r="CB294" s="90"/>
      <c r="CC294" s="62"/>
      <c r="CD294" s="62"/>
      <c r="CE294" s="62"/>
      <c r="CF294" s="62"/>
      <c r="CG294" s="62"/>
      <c r="CH294" s="90"/>
      <c r="CI294" s="62"/>
      <c r="CJ294" s="62"/>
      <c r="CK294" s="62"/>
      <c r="CL294" s="62"/>
      <c r="CM294" s="62"/>
      <c r="CN294" s="90"/>
      <c r="CO294" s="62"/>
      <c r="CP294" s="62"/>
      <c r="CQ294" s="62"/>
      <c r="CR294" s="62"/>
      <c r="CS294" s="62"/>
      <c r="CT294" s="90"/>
      <c r="CU294" s="62"/>
      <c r="CV294" s="62"/>
      <c r="CW294" s="62"/>
      <c r="CX294" s="62"/>
      <c r="CY294" s="62"/>
      <c r="CZ294" s="90"/>
      <c r="DA294" s="62"/>
      <c r="DB294" s="62"/>
      <c r="DC294" s="62"/>
      <c r="DD294" s="62"/>
      <c r="DE294" s="62"/>
      <c r="DF294" s="90"/>
      <c r="DG294" s="62"/>
      <c r="DH294" s="62"/>
      <c r="DI294" s="62"/>
      <c r="DJ294" s="62"/>
      <c r="DK294" s="62"/>
      <c r="DL294" s="90"/>
      <c r="DM294" s="62"/>
      <c r="DN294" s="62"/>
      <c r="DO294" s="62"/>
      <c r="DP294" s="62"/>
      <c r="DQ294" s="62"/>
      <c r="DR294" s="90"/>
      <c r="DS294" s="62"/>
      <c r="DT294" s="62"/>
      <c r="DU294" s="62"/>
      <c r="DV294" s="62"/>
      <c r="DW294" s="62"/>
      <c r="DX294" s="90"/>
      <c r="DY294" s="62"/>
      <c r="DZ294" s="62"/>
      <c r="EA294" s="62"/>
      <c r="EB294" s="62"/>
      <c r="EC294" s="62"/>
      <c r="ED294" s="90"/>
      <c r="EE294" s="62"/>
      <c r="EF294" s="62"/>
      <c r="EG294" s="62"/>
      <c r="EH294" s="62"/>
      <c r="EI294" s="62"/>
      <c r="EJ294" s="90"/>
      <c r="EK294" s="62"/>
      <c r="EL294" s="62"/>
      <c r="EM294" s="62"/>
      <c r="EN294" s="62"/>
      <c r="EO294" s="62"/>
      <c r="EP294" s="90"/>
      <c r="EQ294" s="62"/>
      <c r="ER294" s="62"/>
      <c r="ES294" s="62"/>
      <c r="ET294" s="62"/>
      <c r="EU294" s="62"/>
      <c r="EV294" s="90"/>
    </row>
    <row r="295" spans="1:152" ht="12.75" hidden="1" customHeight="1" outlineLevel="1">
      <c r="A295" s="90" t="s">
        <v>2363</v>
      </c>
      <c r="B295" s="520" t="s">
        <v>6351</v>
      </c>
      <c r="C295" s="62">
        <f>Metrics!C172</f>
        <v>1485</v>
      </c>
      <c r="D295" s="62">
        <f>Metrics!D172</f>
        <v>1537</v>
      </c>
      <c r="E295" s="62">
        <f>Metrics!E172</f>
        <v>1587</v>
      </c>
      <c r="F295" s="62">
        <f>Metrics!F172</f>
        <v>1637</v>
      </c>
      <c r="G295" s="62">
        <f>Metrics!G172</f>
        <v>1637</v>
      </c>
      <c r="H295" s="90"/>
      <c r="I295" s="62">
        <f>Metrics!I172</f>
        <v>1690</v>
      </c>
      <c r="J295" s="62">
        <f>Metrics!J172</f>
        <v>1750</v>
      </c>
      <c r="K295" s="62">
        <f>Metrics!K172</f>
        <v>1816</v>
      </c>
      <c r="L295" s="62">
        <f>Metrics!L172</f>
        <v>1881</v>
      </c>
      <c r="M295" s="62">
        <f>Metrics!M172</f>
        <v>1881</v>
      </c>
      <c r="N295" s="90"/>
      <c r="O295" s="62">
        <f>Metrics!O172</f>
        <v>1947</v>
      </c>
      <c r="P295" s="62">
        <f>Metrics!P172</f>
        <v>2013</v>
      </c>
      <c r="Q295" s="62">
        <f>Metrics!Q172</f>
        <v>2082</v>
      </c>
      <c r="R295" s="62">
        <f>Metrics!R172</f>
        <v>2144</v>
      </c>
      <c r="S295" s="62">
        <f>R295</f>
        <v>2144</v>
      </c>
      <c r="T295" s="90"/>
      <c r="U295" s="62">
        <f>Metrics!U172</f>
        <v>2220</v>
      </c>
      <c r="V295" s="62">
        <f>Metrics!V172</f>
        <v>2303</v>
      </c>
      <c r="W295" s="62">
        <f>Metrics!W172</f>
        <v>2391</v>
      </c>
      <c r="X295" s="62">
        <f>Metrics!X172</f>
        <v>2464</v>
      </c>
      <c r="Y295" s="62">
        <f>X295</f>
        <v>2464</v>
      </c>
      <c r="Z295" s="90"/>
      <c r="AA295" s="62">
        <f>Metrics!AA172</f>
        <v>2544</v>
      </c>
      <c r="AB295" s="62">
        <f>Metrics!AB172</f>
        <v>2617</v>
      </c>
      <c r="AC295" s="62">
        <f>Metrics!AC172</f>
        <v>2692</v>
      </c>
      <c r="AD295" s="62">
        <f>Metrics!AD172</f>
        <v>2775</v>
      </c>
      <c r="AE295" s="62">
        <f>AD295</f>
        <v>2775</v>
      </c>
      <c r="AF295" s="90"/>
      <c r="AG295" s="62">
        <f>Metrics!AG172</f>
        <v>2852</v>
      </c>
      <c r="AH295" s="62">
        <f>Metrics!AH172</f>
        <v>2919</v>
      </c>
      <c r="AI295" s="62">
        <f>Metrics!AI172</f>
        <v>2984</v>
      </c>
      <c r="AJ295" s="62">
        <f>Metrics!AJ172</f>
        <v>3045</v>
      </c>
      <c r="AK295" s="62">
        <f>AJ295</f>
        <v>3045</v>
      </c>
      <c r="AL295" s="90"/>
      <c r="AM295" s="62">
        <f>Metrics!AM172</f>
        <v>3117.4</v>
      </c>
      <c r="AN295" s="62">
        <f>Metrics!AN172</f>
        <v>3155</v>
      </c>
      <c r="AO295" s="62">
        <f>Metrics!AO172</f>
        <v>3201.1</v>
      </c>
      <c r="AP295" s="62">
        <f>Metrics!AP172</f>
        <v>3251.4</v>
      </c>
      <c r="AQ295" s="62">
        <f>Metrics!AQ172</f>
        <v>3251.4</v>
      </c>
      <c r="AR295" s="90"/>
      <c r="AS295" s="62">
        <f>Metrics!AS172</f>
        <v>3299.9</v>
      </c>
      <c r="AT295" s="62">
        <f>Metrics!AT172</f>
        <v>3333.2</v>
      </c>
      <c r="AU295" s="62">
        <f>Metrics!AU172</f>
        <v>3381.8</v>
      </c>
      <c r="AV295" s="62">
        <f>Metrics!AV172</f>
        <v>3423.3</v>
      </c>
      <c r="AW295" s="62">
        <f>Metrics!AW172</f>
        <v>3423.3</v>
      </c>
      <c r="AX295" s="90"/>
      <c r="AY295" s="62">
        <f>Metrics!AY172</f>
        <v>3469.4</v>
      </c>
      <c r="AZ295" s="62">
        <f>Metrics!AZ172</f>
        <v>3514.6</v>
      </c>
      <c r="BA295" s="62">
        <f>Metrics!BA172</f>
        <v>3571.8</v>
      </c>
      <c r="BB295" s="62">
        <f>Metrics!BB172</f>
        <v>3618</v>
      </c>
      <c r="BC295" s="62">
        <f>Metrics!BC172</f>
        <v>3618</v>
      </c>
      <c r="BD295" s="90"/>
      <c r="BE295" s="62">
        <f>Metrics!BE172</f>
        <v>3700.8</v>
      </c>
      <c r="BF295" s="62">
        <f>Metrics!BF172</f>
        <v>3747</v>
      </c>
      <c r="BG295" s="62">
        <f>Metrics!BG172</f>
        <v>3803</v>
      </c>
      <c r="BH295" s="62">
        <f>Metrics!BH172</f>
        <v>3871.3</v>
      </c>
      <c r="BI295" s="62">
        <f>Metrics!BI172</f>
        <v>3871.3</v>
      </c>
      <c r="BJ295" s="90"/>
      <c r="BK295" s="62">
        <f>Metrics!BK172</f>
        <v>3928.4</v>
      </c>
      <c r="BL295" s="62">
        <f>Metrics!BL172</f>
        <v>3986.8</v>
      </c>
      <c r="BM295" s="62">
        <f>Metrics!BM172</f>
        <v>4056.2</v>
      </c>
      <c r="BN295" s="62">
        <f>Metrics!BN172</f>
        <v>4114</v>
      </c>
      <c r="BO295" s="62">
        <f>Metrics!BO172</f>
        <v>4114</v>
      </c>
      <c r="BP295" s="90"/>
      <c r="BQ295" s="62">
        <f>Metrics!BQ172</f>
        <v>4162</v>
      </c>
      <c r="BR295" s="62">
        <f>Metrics!BR172</f>
        <v>4213</v>
      </c>
      <c r="BS295" s="62">
        <f>Metrics!BS172</f>
        <v>4268</v>
      </c>
      <c r="BT295" s="62">
        <f>Metrics!BT172</f>
        <v>4329</v>
      </c>
      <c r="BU295" s="62">
        <f>Metrics!BU172</f>
        <v>4329</v>
      </c>
      <c r="BV295" s="90"/>
      <c r="BW295" s="62">
        <f>Metrics!BW172</f>
        <v>4377</v>
      </c>
      <c r="BX295" s="62">
        <f>Metrics!BX172</f>
        <v>4436</v>
      </c>
      <c r="BY295" s="62">
        <f>Metrics!BY172</f>
        <v>4491</v>
      </c>
      <c r="BZ295" s="62">
        <f>Metrics!BZ172</f>
        <v>4551</v>
      </c>
      <c r="CA295" s="62">
        <f>Metrics!CA172</f>
        <v>4551</v>
      </c>
      <c r="CB295" s="90"/>
      <c r="CC295" s="62">
        <f>Metrics!CC172</f>
        <v>0</v>
      </c>
      <c r="CD295" s="62">
        <f>Metrics!CD172</f>
        <v>0</v>
      </c>
      <c r="CE295" s="62">
        <f>Metrics!CE172</f>
        <v>0</v>
      </c>
      <c r="CF295" s="62">
        <f>Metrics!CF172</f>
        <v>0</v>
      </c>
      <c r="CG295" s="62">
        <f>Metrics!CG172</f>
        <v>0</v>
      </c>
      <c r="CH295" s="90"/>
      <c r="CI295" s="62">
        <f>Metrics!CI172</f>
        <v>0</v>
      </c>
      <c r="CJ295" s="62">
        <f>Metrics!CJ172</f>
        <v>0</v>
      </c>
      <c r="CK295" s="62">
        <f>Metrics!CK172</f>
        <v>0</v>
      </c>
      <c r="CL295" s="62">
        <f>Metrics!CL172</f>
        <v>0</v>
      </c>
      <c r="CM295" s="62">
        <f>Metrics!CM172</f>
        <v>0</v>
      </c>
      <c r="CN295" s="90"/>
      <c r="CO295" s="62">
        <f>Metrics!CO172</f>
        <v>0</v>
      </c>
      <c r="CP295" s="62">
        <f>Metrics!CP172</f>
        <v>0</v>
      </c>
      <c r="CQ295" s="62">
        <f>Metrics!CQ172</f>
        <v>0</v>
      </c>
      <c r="CR295" s="62">
        <f>Metrics!CR172</f>
        <v>0</v>
      </c>
      <c r="CS295" s="62">
        <f>Metrics!CS172</f>
        <v>0</v>
      </c>
      <c r="CT295" s="90"/>
      <c r="CU295" s="62">
        <f>Metrics!CU172</f>
        <v>0</v>
      </c>
      <c r="CV295" s="62">
        <f>Metrics!CV172</f>
        <v>0</v>
      </c>
      <c r="CW295" s="62">
        <f>Metrics!CW172</f>
        <v>0</v>
      </c>
      <c r="CX295" s="62">
        <f>Metrics!CX172</f>
        <v>0</v>
      </c>
      <c r="CY295" s="62">
        <f>Metrics!CY172</f>
        <v>0</v>
      </c>
      <c r="CZ295" s="90"/>
      <c r="DA295" s="62">
        <f>Metrics!DA172</f>
        <v>0</v>
      </c>
      <c r="DB295" s="62">
        <f>Metrics!DB172</f>
        <v>0</v>
      </c>
      <c r="DC295" s="62">
        <f>Metrics!DC172</f>
        <v>0</v>
      </c>
      <c r="DD295" s="62">
        <f>Metrics!DD172</f>
        <v>0</v>
      </c>
      <c r="DE295" s="62">
        <f>Metrics!DE172</f>
        <v>0</v>
      </c>
      <c r="DF295" s="90"/>
      <c r="DG295" s="62">
        <f>Metrics!DG172</f>
        <v>0</v>
      </c>
      <c r="DH295" s="62">
        <f>Metrics!DH172</f>
        <v>0</v>
      </c>
      <c r="DI295" s="62">
        <f>Metrics!DI172</f>
        <v>0</v>
      </c>
      <c r="DJ295" s="62">
        <f>Metrics!DJ172</f>
        <v>0</v>
      </c>
      <c r="DK295" s="62">
        <f>Metrics!DK172</f>
        <v>0</v>
      </c>
      <c r="DL295" s="90"/>
      <c r="DM295" s="62">
        <f>Metrics!DM172</f>
        <v>0</v>
      </c>
      <c r="DN295" s="62">
        <f>Metrics!DN172</f>
        <v>0</v>
      </c>
      <c r="DO295" s="62">
        <f>Metrics!DO172</f>
        <v>0</v>
      </c>
      <c r="DP295" s="62">
        <f>Metrics!DP172</f>
        <v>0</v>
      </c>
      <c r="DQ295" s="62">
        <f>Metrics!DQ172</f>
        <v>0</v>
      </c>
      <c r="DR295" s="90"/>
      <c r="DS295" s="62">
        <f>Metrics!DS172</f>
        <v>0</v>
      </c>
      <c r="DT295" s="62">
        <f>Metrics!DT172</f>
        <v>0</v>
      </c>
      <c r="DU295" s="62">
        <f>Metrics!DU172</f>
        <v>0</v>
      </c>
      <c r="DV295" s="62">
        <f>Metrics!DV172</f>
        <v>0</v>
      </c>
      <c r="DW295" s="62">
        <f>Metrics!DW172</f>
        <v>0</v>
      </c>
      <c r="DX295" s="90"/>
      <c r="DY295" s="62">
        <f>Metrics!DY172</f>
        <v>0</v>
      </c>
      <c r="DZ295" s="62">
        <f>Metrics!DZ172</f>
        <v>0</v>
      </c>
      <c r="EA295" s="62">
        <f>Metrics!EA172</f>
        <v>0</v>
      </c>
      <c r="EB295" s="62">
        <f>Metrics!EB172</f>
        <v>0</v>
      </c>
      <c r="EC295" s="62">
        <f>Metrics!EC172</f>
        <v>0</v>
      </c>
      <c r="ED295" s="90"/>
      <c r="EE295" s="62">
        <f>Metrics!EE172</f>
        <v>0</v>
      </c>
      <c r="EF295" s="62">
        <f>Metrics!EF172</f>
        <v>0</v>
      </c>
      <c r="EG295" s="62">
        <f>Metrics!EG172</f>
        <v>0</v>
      </c>
      <c r="EH295" s="62">
        <f>Metrics!EH172</f>
        <v>0</v>
      </c>
      <c r="EI295" s="62">
        <f>Metrics!EI172</f>
        <v>0</v>
      </c>
      <c r="EJ295" s="90"/>
      <c r="EK295" s="62">
        <f>Metrics!EK172</f>
        <v>0</v>
      </c>
      <c r="EL295" s="62">
        <f>Metrics!EL172</f>
        <v>0</v>
      </c>
      <c r="EM295" s="62">
        <f>Metrics!EM172</f>
        <v>0</v>
      </c>
      <c r="EN295" s="62">
        <f>Metrics!EN172</f>
        <v>0</v>
      </c>
      <c r="EO295" s="62">
        <f>Metrics!EO172</f>
        <v>0</v>
      </c>
      <c r="EP295" s="90"/>
      <c r="EQ295" s="62">
        <f>Metrics!EQ172</f>
        <v>0</v>
      </c>
      <c r="ER295" s="62">
        <f>Metrics!ER172</f>
        <v>0</v>
      </c>
      <c r="ES295" s="62">
        <f>Metrics!ES172</f>
        <v>0</v>
      </c>
      <c r="ET295" s="62">
        <f>Metrics!ET172</f>
        <v>0</v>
      </c>
      <c r="EU295" s="62">
        <f>Metrics!EU172</f>
        <v>0</v>
      </c>
      <c r="EV295" s="90"/>
    </row>
    <row r="296" spans="1:152" ht="12.75" hidden="1" customHeight="1" outlineLevel="1">
      <c r="A296" s="90" t="s">
        <v>2323</v>
      </c>
      <c r="B296" s="520" t="s">
        <v>6352</v>
      </c>
      <c r="C296" s="62"/>
      <c r="D296" s="62">
        <f>Metrics!D174</f>
        <v>52</v>
      </c>
      <c r="E296" s="62">
        <f>Metrics!E174</f>
        <v>50</v>
      </c>
      <c r="F296" s="62">
        <f>Metrics!F174</f>
        <v>50</v>
      </c>
      <c r="G296" s="62"/>
      <c r="H296" s="90"/>
      <c r="I296" s="62">
        <f>Metrics!I174</f>
        <v>53</v>
      </c>
      <c r="J296" s="62">
        <f>Metrics!J174</f>
        <v>60</v>
      </c>
      <c r="K296" s="62">
        <f>Metrics!K174</f>
        <v>66</v>
      </c>
      <c r="L296" s="62">
        <f>Metrics!L174</f>
        <v>65</v>
      </c>
      <c r="M296" s="62">
        <f>Metrics!M174</f>
        <v>244</v>
      </c>
      <c r="N296" s="90"/>
      <c r="O296" s="62">
        <f>Metrics!O174</f>
        <v>66</v>
      </c>
      <c r="P296" s="62">
        <f>Metrics!P174</f>
        <v>66</v>
      </c>
      <c r="Q296" s="62">
        <f>Metrics!Q174</f>
        <v>69</v>
      </c>
      <c r="R296" s="62">
        <f>Metrics!R174</f>
        <v>62</v>
      </c>
      <c r="S296" s="62">
        <f>Metrics!S174</f>
        <v>62</v>
      </c>
      <c r="T296" s="90"/>
      <c r="U296" s="62">
        <f>Metrics!U174</f>
        <v>76</v>
      </c>
      <c r="V296" s="62">
        <f>Metrics!V174</f>
        <v>83</v>
      </c>
      <c r="W296" s="62">
        <f>Metrics!W174</f>
        <v>88</v>
      </c>
      <c r="X296" s="62">
        <f>Metrics!X174</f>
        <v>73</v>
      </c>
      <c r="Y296" s="62">
        <f>Metrics!Y174</f>
        <v>73</v>
      </c>
      <c r="Z296" s="90"/>
      <c r="AA296" s="62">
        <f>Metrics!AA174</f>
        <v>80</v>
      </c>
      <c r="AB296" s="62">
        <f>Metrics!AB174</f>
        <v>73</v>
      </c>
      <c r="AC296" s="62">
        <f>Metrics!AC174</f>
        <v>75</v>
      </c>
      <c r="AD296" s="62">
        <f>Metrics!AD174</f>
        <v>83</v>
      </c>
      <c r="AE296" s="62">
        <f>Metrics!AE174</f>
        <v>83</v>
      </c>
      <c r="AF296" s="90"/>
      <c r="AG296" s="62">
        <f>Metrics!AG174</f>
        <v>77</v>
      </c>
      <c r="AH296" s="62">
        <f>Metrics!AH174</f>
        <v>67</v>
      </c>
      <c r="AI296" s="62">
        <f>Metrics!AI174</f>
        <v>65</v>
      </c>
      <c r="AJ296" s="62">
        <f>Metrics!AJ174</f>
        <v>61</v>
      </c>
      <c r="AK296" s="62">
        <f>Metrics!AK174</f>
        <v>0</v>
      </c>
      <c r="AL296" s="90"/>
      <c r="AM296" s="62">
        <f>Metrics!AM174</f>
        <v>72.400000000000091</v>
      </c>
      <c r="AN296" s="62">
        <f>Metrics!AN174</f>
        <v>37.599999999999909</v>
      </c>
      <c r="AO296" s="62">
        <f>Metrics!AO174</f>
        <v>46.099999999999909</v>
      </c>
      <c r="AP296" s="62">
        <f>Metrics!AP174</f>
        <v>50.300000000000182</v>
      </c>
      <c r="AQ296" s="62">
        <f>Metrics!AQ174</f>
        <v>206.40000000000009</v>
      </c>
      <c r="AR296" s="90"/>
      <c r="AS296" s="62">
        <f>Metrics!AS174</f>
        <v>48.5</v>
      </c>
      <c r="AT296" s="62">
        <f>Metrics!AT174</f>
        <v>33.299999999999727</v>
      </c>
      <c r="AU296" s="62">
        <f>Metrics!AU174</f>
        <v>48.600000000000364</v>
      </c>
      <c r="AV296" s="62">
        <f>Metrics!AV174</f>
        <v>41.5</v>
      </c>
      <c r="AW296" s="62">
        <f>Metrics!AW174</f>
        <v>171.90000000000009</v>
      </c>
      <c r="AX296" s="90"/>
      <c r="AY296" s="62">
        <f>Metrics!AY174</f>
        <v>46.099999999999909</v>
      </c>
      <c r="AZ296" s="62">
        <f>Metrics!AZ174</f>
        <v>45.199999999999818</v>
      </c>
      <c r="BA296" s="62">
        <f>Metrics!BA174</f>
        <v>57.200000000000273</v>
      </c>
      <c r="BB296" s="62">
        <f>Metrics!BB174</f>
        <v>46.199999999999818</v>
      </c>
      <c r="BC296" s="62">
        <f>Metrics!BC174</f>
        <v>194.69999999999982</v>
      </c>
      <c r="BD296" s="90"/>
      <c r="BE296" s="62">
        <f>Metrics!BE174</f>
        <v>82.800000000000182</v>
      </c>
      <c r="BF296" s="62">
        <f>Metrics!BF174</f>
        <v>46.199999999999818</v>
      </c>
      <c r="BG296" s="62">
        <f>Metrics!BG174</f>
        <v>56</v>
      </c>
      <c r="BH296" s="62">
        <f>Metrics!BH174</f>
        <v>68.300000000000182</v>
      </c>
      <c r="BI296" s="62">
        <f>Metrics!BI174</f>
        <v>253.30000000000018</v>
      </c>
      <c r="BJ296" s="90"/>
      <c r="BK296" s="62">
        <f>Metrics!BK174</f>
        <v>57.099999999999909</v>
      </c>
      <c r="BL296" s="62">
        <f>Metrics!BL174</f>
        <v>58.400000000000091</v>
      </c>
      <c r="BM296" s="62">
        <f>Metrics!BM174</f>
        <v>69.399999999999636</v>
      </c>
      <c r="BN296" s="62">
        <f>Metrics!BN174</f>
        <v>57.800000000000182</v>
      </c>
      <c r="BO296" s="62">
        <f>Metrics!BO174</f>
        <v>242.69999999999982</v>
      </c>
      <c r="BP296" s="90"/>
      <c r="BQ296" s="62">
        <f>Metrics!BQ174</f>
        <v>48</v>
      </c>
      <c r="BR296" s="62">
        <f>Metrics!BR174</f>
        <v>51</v>
      </c>
      <c r="BS296" s="62">
        <f>Metrics!BS174</f>
        <v>55</v>
      </c>
      <c r="BT296" s="62">
        <f>Metrics!BT174</f>
        <v>61</v>
      </c>
      <c r="BU296" s="62">
        <f>Metrics!BU174</f>
        <v>215</v>
      </c>
      <c r="BV296" s="90"/>
      <c r="BW296" s="62">
        <f>Metrics!BW174</f>
        <v>48</v>
      </c>
      <c r="BX296" s="62">
        <f>Metrics!BX174</f>
        <v>59</v>
      </c>
      <c r="BY296" s="62">
        <f>Metrics!BY174</f>
        <v>55</v>
      </c>
      <c r="BZ296" s="62">
        <f>Metrics!BZ174</f>
        <v>60</v>
      </c>
      <c r="CA296" s="62">
        <f>Metrics!CA174</f>
        <v>222</v>
      </c>
      <c r="CB296" s="90"/>
      <c r="CC296" s="62">
        <f>Metrics!CC174</f>
        <v>0</v>
      </c>
      <c r="CD296" s="62">
        <f>Metrics!CD174</f>
        <v>0</v>
      </c>
      <c r="CE296" s="62">
        <f>Metrics!CE174</f>
        <v>0</v>
      </c>
      <c r="CF296" s="62">
        <f>Metrics!CF174</f>
        <v>0</v>
      </c>
      <c r="CG296" s="62">
        <f>Metrics!CG174</f>
        <v>0</v>
      </c>
      <c r="CH296" s="90"/>
      <c r="CI296" s="62">
        <f>Metrics!CI174</f>
        <v>0</v>
      </c>
      <c r="CJ296" s="62">
        <f>Metrics!CJ174</f>
        <v>0</v>
      </c>
      <c r="CK296" s="62">
        <f>Metrics!CK174</f>
        <v>0</v>
      </c>
      <c r="CL296" s="62">
        <f>Metrics!CL174</f>
        <v>0</v>
      </c>
      <c r="CM296" s="62">
        <f>Metrics!CM174</f>
        <v>0</v>
      </c>
      <c r="CN296" s="90"/>
      <c r="CO296" s="62">
        <f>Metrics!CO174</f>
        <v>0</v>
      </c>
      <c r="CP296" s="62">
        <f>Metrics!CP174</f>
        <v>0</v>
      </c>
      <c r="CQ296" s="62">
        <f>Metrics!CQ174</f>
        <v>0</v>
      </c>
      <c r="CR296" s="62">
        <f>Metrics!CR174</f>
        <v>0</v>
      </c>
      <c r="CS296" s="62">
        <f>Metrics!CS174</f>
        <v>0</v>
      </c>
      <c r="CT296" s="90"/>
      <c r="CU296" s="62">
        <f>Metrics!CU174</f>
        <v>0</v>
      </c>
      <c r="CV296" s="62">
        <f>Metrics!CV174</f>
        <v>0</v>
      </c>
      <c r="CW296" s="62">
        <f>Metrics!CW174</f>
        <v>0</v>
      </c>
      <c r="CX296" s="62">
        <f>Metrics!CX174</f>
        <v>0</v>
      </c>
      <c r="CY296" s="62">
        <f>Metrics!CY174</f>
        <v>0</v>
      </c>
      <c r="CZ296" s="90"/>
      <c r="DA296" s="62">
        <f>Metrics!DA174</f>
        <v>0</v>
      </c>
      <c r="DB296" s="62">
        <f>Metrics!DB174</f>
        <v>0</v>
      </c>
      <c r="DC296" s="62">
        <f>Metrics!DC174</f>
        <v>0</v>
      </c>
      <c r="DD296" s="62">
        <f>Metrics!DD174</f>
        <v>0</v>
      </c>
      <c r="DE296" s="62">
        <f>Metrics!DE174</f>
        <v>0</v>
      </c>
      <c r="DF296" s="90"/>
      <c r="DG296" s="62">
        <f>Metrics!DG174</f>
        <v>0</v>
      </c>
      <c r="DH296" s="62">
        <f>Metrics!DH174</f>
        <v>0</v>
      </c>
      <c r="DI296" s="62">
        <f>Metrics!DI174</f>
        <v>0</v>
      </c>
      <c r="DJ296" s="62">
        <f>Metrics!DJ174</f>
        <v>0</v>
      </c>
      <c r="DK296" s="62">
        <f>Metrics!DK174</f>
        <v>0</v>
      </c>
      <c r="DL296" s="90"/>
      <c r="DM296" s="62">
        <f>Metrics!DM174</f>
        <v>0</v>
      </c>
      <c r="DN296" s="62">
        <f>Metrics!DN174</f>
        <v>0</v>
      </c>
      <c r="DO296" s="62">
        <f>Metrics!DO174</f>
        <v>0</v>
      </c>
      <c r="DP296" s="62">
        <f>Metrics!DP174</f>
        <v>0</v>
      </c>
      <c r="DQ296" s="62">
        <f>Metrics!DQ174</f>
        <v>0</v>
      </c>
      <c r="DR296" s="90"/>
      <c r="DS296" s="62">
        <f>Metrics!DS174</f>
        <v>0</v>
      </c>
      <c r="DT296" s="62">
        <f>Metrics!DT174</f>
        <v>0</v>
      </c>
      <c r="DU296" s="62">
        <f>Metrics!DU174</f>
        <v>0</v>
      </c>
      <c r="DV296" s="62">
        <f>Metrics!DV174</f>
        <v>0</v>
      </c>
      <c r="DW296" s="62">
        <f>Metrics!DW174</f>
        <v>0</v>
      </c>
      <c r="DX296" s="90"/>
      <c r="DY296" s="62">
        <f>Metrics!DY174</f>
        <v>0</v>
      </c>
      <c r="DZ296" s="62">
        <f>Metrics!DZ174</f>
        <v>0</v>
      </c>
      <c r="EA296" s="62">
        <f>Metrics!EA174</f>
        <v>0</v>
      </c>
      <c r="EB296" s="62">
        <f>Metrics!EB174</f>
        <v>0</v>
      </c>
      <c r="EC296" s="62">
        <f>Metrics!EC174</f>
        <v>0</v>
      </c>
      <c r="ED296" s="90"/>
      <c r="EE296" s="62">
        <f>Metrics!EE174</f>
        <v>0</v>
      </c>
      <c r="EF296" s="62">
        <f>Metrics!EF174</f>
        <v>0</v>
      </c>
      <c r="EG296" s="62">
        <f>Metrics!EG174</f>
        <v>0</v>
      </c>
      <c r="EH296" s="62">
        <f>Metrics!EH174</f>
        <v>0</v>
      </c>
      <c r="EI296" s="62">
        <f>Metrics!EI174</f>
        <v>0</v>
      </c>
      <c r="EJ296" s="90"/>
      <c r="EK296" s="62">
        <f>Metrics!EK174</f>
        <v>0</v>
      </c>
      <c r="EL296" s="62">
        <f>Metrics!EL174</f>
        <v>0</v>
      </c>
      <c r="EM296" s="62">
        <f>Metrics!EM174</f>
        <v>0</v>
      </c>
      <c r="EN296" s="62">
        <f>Metrics!EN174</f>
        <v>0</v>
      </c>
      <c r="EO296" s="62">
        <f>Metrics!EO174</f>
        <v>0</v>
      </c>
      <c r="EP296" s="90"/>
      <c r="EQ296" s="62">
        <f>Metrics!EQ174</f>
        <v>0</v>
      </c>
      <c r="ER296" s="62">
        <f>Metrics!ER174</f>
        <v>0</v>
      </c>
      <c r="ES296" s="62">
        <f>Metrics!ES174</f>
        <v>0</v>
      </c>
      <c r="ET296" s="62">
        <f>Metrics!ET174</f>
        <v>0</v>
      </c>
      <c r="EU296" s="62">
        <f>Metrics!EU174</f>
        <v>0</v>
      </c>
      <c r="EV296" s="90"/>
    </row>
    <row r="297" spans="1:152" ht="12.75" hidden="1" customHeight="1" outlineLevel="1">
      <c r="A297" s="90" t="s">
        <v>2364</v>
      </c>
      <c r="B297" s="520" t="s">
        <v>6353</v>
      </c>
      <c r="C297" s="62"/>
      <c r="D297" s="62"/>
      <c r="E297" s="62"/>
      <c r="F297" s="62"/>
      <c r="G297" s="62"/>
      <c r="H297" s="90"/>
      <c r="I297" s="61"/>
      <c r="J297" s="61"/>
      <c r="K297" s="61"/>
      <c r="L297" s="61"/>
      <c r="M297" s="62"/>
      <c r="N297" s="90"/>
      <c r="O297" s="62"/>
      <c r="P297" s="62"/>
      <c r="Q297" s="62"/>
      <c r="R297" s="62"/>
      <c r="S297" s="62"/>
      <c r="T297" s="90"/>
      <c r="U297" s="62"/>
      <c r="V297" s="62"/>
      <c r="W297" s="62"/>
      <c r="X297" s="62"/>
      <c r="Y297" s="62"/>
      <c r="Z297" s="90"/>
      <c r="AA297" s="62"/>
      <c r="AB297" s="62"/>
      <c r="AC297" s="62"/>
      <c r="AD297" s="62"/>
      <c r="AE297" s="62"/>
      <c r="AF297" s="90"/>
      <c r="AG297" s="62"/>
      <c r="AH297" s="62"/>
      <c r="AI297" s="62"/>
      <c r="AJ297" s="62"/>
      <c r="AK297" s="62"/>
      <c r="AL297" s="90"/>
      <c r="AM297" s="62"/>
      <c r="AN297" s="62"/>
      <c r="AO297" s="62"/>
      <c r="AP297" s="62"/>
      <c r="AQ297" s="62"/>
      <c r="AR297" s="90"/>
      <c r="AS297" s="62"/>
      <c r="AT297" s="62"/>
      <c r="AU297" s="62"/>
      <c r="AV297" s="62"/>
      <c r="AW297" s="62"/>
      <c r="AX297" s="90"/>
      <c r="AY297" s="62">
        <f>Metrics!AY225</f>
        <v>306.60000000000002</v>
      </c>
      <c r="AZ297" s="62">
        <f>Metrics!AZ225</f>
        <v>349.5</v>
      </c>
      <c r="BA297" s="62">
        <f>Metrics!BA225</f>
        <v>388.8</v>
      </c>
      <c r="BB297" s="62">
        <f>Metrics!BB225</f>
        <v>422.9</v>
      </c>
      <c r="BC297" s="62">
        <f>Metrics!BC225</f>
        <v>422.9</v>
      </c>
      <c r="BD297" s="90"/>
      <c r="BE297" s="62">
        <f>Metrics!BE225</f>
        <v>445.8</v>
      </c>
      <c r="BF297" s="62">
        <f>Metrics!BF225</f>
        <v>470.8</v>
      </c>
      <c r="BG297" s="62">
        <f>Metrics!BG225</f>
        <v>511.3</v>
      </c>
      <c r="BH297" s="62">
        <f>Metrics!BH225</f>
        <v>548.6</v>
      </c>
      <c r="BI297" s="62">
        <f>Metrics!BI225</f>
        <v>548.6</v>
      </c>
      <c r="BJ297" s="90"/>
      <c r="BK297" s="62">
        <f>Metrics!BK225</f>
        <v>577.70000000000005</v>
      </c>
      <c r="BL297" s="62">
        <f>Metrics!BL225</f>
        <v>610.4</v>
      </c>
      <c r="BM297" s="62">
        <f>Metrics!BM225</f>
        <v>643.4</v>
      </c>
      <c r="BN297" s="62">
        <f>Metrics!BN225</f>
        <v>676</v>
      </c>
      <c r="BO297" s="62">
        <f>Metrics!BO225</f>
        <v>676</v>
      </c>
      <c r="BP297" s="90"/>
      <c r="BQ297" s="62">
        <f>Metrics!BQ225</f>
        <v>699</v>
      </c>
      <c r="BR297" s="62">
        <f>Metrics!BR225</f>
        <v>722</v>
      </c>
      <c r="BS297" s="62">
        <f>Metrics!BS225</f>
        <v>747</v>
      </c>
      <c r="BT297" s="62">
        <f>Metrics!BT225</f>
        <v>775</v>
      </c>
      <c r="BU297" s="62">
        <f>Metrics!BU225</f>
        <v>775</v>
      </c>
      <c r="BV297" s="90"/>
      <c r="BW297" s="62">
        <f>Metrics!BW225</f>
        <v>794</v>
      </c>
      <c r="BX297" s="62">
        <f>Metrics!BX225</f>
        <v>819</v>
      </c>
      <c r="BY297" s="62">
        <f>Metrics!BY225</f>
        <v>841</v>
      </c>
      <c r="BZ297" s="62">
        <f>Metrics!BZ225</f>
        <v>869</v>
      </c>
      <c r="CA297" s="62">
        <f>Metrics!CA225</f>
        <v>869</v>
      </c>
      <c r="CB297" s="90"/>
      <c r="CC297" s="62">
        <f>Metrics!CC225</f>
        <v>0</v>
      </c>
      <c r="CD297" s="62">
        <f>Metrics!CD225</f>
        <v>0</v>
      </c>
      <c r="CE297" s="62">
        <f>Metrics!CE225</f>
        <v>0</v>
      </c>
      <c r="CF297" s="62">
        <f>Metrics!CF225</f>
        <v>0</v>
      </c>
      <c r="CG297" s="62">
        <f>Metrics!CG225</f>
        <v>939.5</v>
      </c>
      <c r="CH297" s="90"/>
      <c r="CI297" s="62">
        <f>Metrics!CI225</f>
        <v>0</v>
      </c>
      <c r="CJ297" s="62">
        <f>Metrics!CJ225</f>
        <v>0</v>
      </c>
      <c r="CK297" s="62">
        <f>Metrics!CK225</f>
        <v>0</v>
      </c>
      <c r="CL297" s="62">
        <f>Metrics!CL225</f>
        <v>0</v>
      </c>
      <c r="CM297" s="62">
        <f>Metrics!CM225</f>
        <v>1026.2149999999999</v>
      </c>
      <c r="CN297" s="90"/>
      <c r="CO297" s="62">
        <f>Metrics!CO225</f>
        <v>0</v>
      </c>
      <c r="CP297" s="62">
        <f>Metrics!CP225</f>
        <v>0</v>
      </c>
      <c r="CQ297" s="62">
        <f>Metrics!CQ225</f>
        <v>0</v>
      </c>
      <c r="CR297" s="62">
        <f>Metrics!CR225</f>
        <v>0</v>
      </c>
      <c r="CS297" s="62">
        <f>Metrics!CS225</f>
        <v>0</v>
      </c>
      <c r="CT297" s="90"/>
      <c r="CU297" s="62">
        <f>Metrics!CU225</f>
        <v>0</v>
      </c>
      <c r="CV297" s="62">
        <f>Metrics!CV225</f>
        <v>0</v>
      </c>
      <c r="CW297" s="62">
        <f>Metrics!CW225</f>
        <v>0</v>
      </c>
      <c r="CX297" s="62">
        <f>Metrics!CX225</f>
        <v>0</v>
      </c>
      <c r="CY297" s="62">
        <f>Metrics!CY225</f>
        <v>0</v>
      </c>
      <c r="CZ297" s="90"/>
      <c r="DA297" s="62">
        <f>Metrics!DA225</f>
        <v>0</v>
      </c>
      <c r="DB297" s="62">
        <f>Metrics!DB225</f>
        <v>0</v>
      </c>
      <c r="DC297" s="62">
        <f>Metrics!DC225</f>
        <v>0</v>
      </c>
      <c r="DD297" s="62">
        <f>Metrics!DD225</f>
        <v>0</v>
      </c>
      <c r="DE297" s="62">
        <f>Metrics!DE225</f>
        <v>0</v>
      </c>
      <c r="DF297" s="90"/>
      <c r="DG297" s="62">
        <f>Metrics!DG225</f>
        <v>0</v>
      </c>
      <c r="DH297" s="62">
        <f>Metrics!DH225</f>
        <v>0</v>
      </c>
      <c r="DI297" s="62">
        <f>Metrics!DI225</f>
        <v>0</v>
      </c>
      <c r="DJ297" s="62">
        <f>Metrics!DJ225</f>
        <v>0</v>
      </c>
      <c r="DK297" s="62">
        <f>Metrics!DK225</f>
        <v>0</v>
      </c>
      <c r="DL297" s="90"/>
      <c r="DM297" s="62">
        <f>Metrics!DM225</f>
        <v>0</v>
      </c>
      <c r="DN297" s="62">
        <f>Metrics!DN225</f>
        <v>0</v>
      </c>
      <c r="DO297" s="62">
        <f>Metrics!DO225</f>
        <v>0</v>
      </c>
      <c r="DP297" s="62">
        <f>Metrics!DP225</f>
        <v>0</v>
      </c>
      <c r="DQ297" s="62">
        <f>Metrics!DQ225</f>
        <v>0</v>
      </c>
      <c r="DR297" s="90"/>
      <c r="DS297" s="62">
        <f>Metrics!DS225</f>
        <v>0</v>
      </c>
      <c r="DT297" s="62">
        <f>Metrics!DT225</f>
        <v>0</v>
      </c>
      <c r="DU297" s="62">
        <f>Metrics!DU225</f>
        <v>0</v>
      </c>
      <c r="DV297" s="62">
        <f>Metrics!DV225</f>
        <v>0</v>
      </c>
      <c r="DW297" s="62">
        <f>Metrics!DW225</f>
        <v>0</v>
      </c>
      <c r="DX297" s="90"/>
      <c r="DY297" s="62">
        <f>Metrics!DY225</f>
        <v>0</v>
      </c>
      <c r="DZ297" s="62">
        <f>Metrics!DZ225</f>
        <v>0</v>
      </c>
      <c r="EA297" s="62">
        <f>Metrics!EA225</f>
        <v>0</v>
      </c>
      <c r="EB297" s="62">
        <f>Metrics!EB225</f>
        <v>0</v>
      </c>
      <c r="EC297" s="62">
        <f>Metrics!EC225</f>
        <v>0</v>
      </c>
      <c r="ED297" s="90"/>
      <c r="EE297" s="62">
        <f>Metrics!EE225</f>
        <v>0</v>
      </c>
      <c r="EF297" s="62">
        <f>Metrics!EF225</f>
        <v>0</v>
      </c>
      <c r="EG297" s="62">
        <f>Metrics!EG225</f>
        <v>0</v>
      </c>
      <c r="EH297" s="62">
        <f>Metrics!EH225</f>
        <v>0</v>
      </c>
      <c r="EI297" s="62">
        <f>Metrics!EI225</f>
        <v>0</v>
      </c>
      <c r="EJ297" s="90"/>
      <c r="EK297" s="62">
        <f>Metrics!EK225</f>
        <v>0</v>
      </c>
      <c r="EL297" s="62">
        <f>Metrics!EL225</f>
        <v>0</v>
      </c>
      <c r="EM297" s="62">
        <f>Metrics!EM225</f>
        <v>0</v>
      </c>
      <c r="EN297" s="62">
        <f>Metrics!EN225</f>
        <v>0</v>
      </c>
      <c r="EO297" s="62">
        <f>Metrics!EO225</f>
        <v>0</v>
      </c>
      <c r="EP297" s="90"/>
      <c r="EQ297" s="62">
        <f>Metrics!EQ225</f>
        <v>0</v>
      </c>
      <c r="ER297" s="62">
        <f>Metrics!ER225</f>
        <v>0</v>
      </c>
      <c r="ES297" s="62">
        <f>Metrics!ES225</f>
        <v>0</v>
      </c>
      <c r="ET297" s="62">
        <f>Metrics!ET225</f>
        <v>0</v>
      </c>
      <c r="EU297" s="62">
        <f>Metrics!EU225</f>
        <v>0</v>
      </c>
      <c r="EV297" s="90"/>
    </row>
    <row r="298" spans="1:152" ht="12.75" hidden="1" customHeight="1" outlineLevel="1">
      <c r="A298" s="90" t="s">
        <v>5521</v>
      </c>
      <c r="B298" s="520" t="s">
        <v>6354</v>
      </c>
      <c r="C298" s="62"/>
      <c r="D298" s="62"/>
      <c r="E298" s="62"/>
      <c r="F298" s="62"/>
      <c r="G298" s="62"/>
      <c r="H298" s="90"/>
      <c r="I298" s="61"/>
      <c r="J298" s="61"/>
      <c r="K298" s="61"/>
      <c r="L298" s="61"/>
      <c r="M298" s="62"/>
      <c r="N298" s="90"/>
      <c r="O298" s="62"/>
      <c r="P298" s="62"/>
      <c r="Q298" s="62"/>
      <c r="R298" s="62"/>
      <c r="S298" s="62"/>
      <c r="T298" s="90"/>
      <c r="U298" s="62"/>
      <c r="V298" s="62"/>
      <c r="W298" s="62"/>
      <c r="X298" s="62"/>
      <c r="Y298" s="62"/>
      <c r="Z298" s="90"/>
      <c r="AA298" s="62"/>
      <c r="AB298" s="62"/>
      <c r="AC298" s="62"/>
      <c r="AD298" s="62"/>
      <c r="AE298" s="62"/>
      <c r="AF298" s="90"/>
      <c r="AG298" s="62"/>
      <c r="AH298" s="62"/>
      <c r="AI298" s="62"/>
      <c r="AJ298" s="62"/>
      <c r="AK298" s="62"/>
      <c r="AL298" s="90"/>
      <c r="AM298" s="62"/>
      <c r="AN298" s="62"/>
      <c r="AO298" s="62"/>
      <c r="AP298" s="62"/>
      <c r="AQ298" s="62"/>
      <c r="AR298" s="90"/>
      <c r="AS298" s="62"/>
      <c r="AT298" s="62"/>
      <c r="AU298" s="62"/>
      <c r="AV298" s="62"/>
      <c r="AW298" s="62"/>
      <c r="AX298" s="90"/>
      <c r="AY298" s="62"/>
      <c r="AZ298" s="62">
        <f>Metrics!AZ226</f>
        <v>42.899999999999977</v>
      </c>
      <c r="BA298" s="62">
        <f>Metrics!BA226</f>
        <v>39.300000000000011</v>
      </c>
      <c r="BB298" s="62">
        <f>Metrics!BB226</f>
        <v>34.099999999999966</v>
      </c>
      <c r="BC298" s="62"/>
      <c r="BD298" s="90"/>
      <c r="BE298" s="62">
        <f>Metrics!BE226</f>
        <v>22.900000000000034</v>
      </c>
      <c r="BF298" s="62">
        <f>Metrics!BF226</f>
        <v>25</v>
      </c>
      <c r="BG298" s="62">
        <f>Metrics!BG226</f>
        <v>40.5</v>
      </c>
      <c r="BH298" s="62">
        <f>Metrics!BH226</f>
        <v>37.300000000000011</v>
      </c>
      <c r="BI298" s="62">
        <f>Metrics!BI226</f>
        <v>125.70000000000005</v>
      </c>
      <c r="BJ298" s="90"/>
      <c r="BK298" s="62">
        <f>Metrics!BK226</f>
        <v>29.100000000000023</v>
      </c>
      <c r="BL298" s="62">
        <f>Metrics!BL226</f>
        <v>32.699999999999932</v>
      </c>
      <c r="BM298" s="62">
        <f>Metrics!BM226</f>
        <v>33</v>
      </c>
      <c r="BN298" s="62">
        <f>Metrics!BN226</f>
        <v>32.600000000000023</v>
      </c>
      <c r="BO298" s="62">
        <f>Metrics!BO226</f>
        <v>127.39999999999998</v>
      </c>
      <c r="BP298" s="90"/>
      <c r="BQ298" s="62">
        <f>Metrics!BQ226</f>
        <v>23</v>
      </c>
      <c r="BR298" s="62">
        <f>Metrics!BR226</f>
        <v>23</v>
      </c>
      <c r="BS298" s="62">
        <f>Metrics!BS226</f>
        <v>25</v>
      </c>
      <c r="BT298" s="62">
        <f>Metrics!BT226</f>
        <v>28</v>
      </c>
      <c r="BU298" s="62">
        <f>Metrics!BU226</f>
        <v>99</v>
      </c>
      <c r="BV298" s="90"/>
      <c r="BW298" s="62">
        <f>Metrics!BW226</f>
        <v>19</v>
      </c>
      <c r="BX298" s="62">
        <f>Metrics!BX226</f>
        <v>25</v>
      </c>
      <c r="BY298" s="62">
        <f>Metrics!BY226</f>
        <v>22</v>
      </c>
      <c r="BZ298" s="62">
        <f>Metrics!BZ226</f>
        <v>28</v>
      </c>
      <c r="CA298" s="62">
        <f>Metrics!CA226</f>
        <v>94</v>
      </c>
      <c r="CB298" s="90"/>
      <c r="CC298" s="62">
        <f>Metrics!CC226</f>
        <v>0</v>
      </c>
      <c r="CD298" s="62">
        <f>Metrics!CD226</f>
        <v>0</v>
      </c>
      <c r="CE298" s="62">
        <f>Metrics!CE226</f>
        <v>0</v>
      </c>
      <c r="CF298" s="62">
        <f>Metrics!CF226</f>
        <v>0</v>
      </c>
      <c r="CG298" s="62">
        <f>Metrics!CG226</f>
        <v>70.5</v>
      </c>
      <c r="CH298" s="90"/>
      <c r="CI298" s="62">
        <f>Metrics!CI226</f>
        <v>10</v>
      </c>
      <c r="CJ298" s="62">
        <f>Metrics!CJ226</f>
        <v>0</v>
      </c>
      <c r="CK298" s="62">
        <f>Metrics!CK226</f>
        <v>0</v>
      </c>
      <c r="CL298" s="62">
        <f>Metrics!CL226</f>
        <v>0</v>
      </c>
      <c r="CM298" s="62">
        <f>Metrics!CM226</f>
        <v>86.715000000000003</v>
      </c>
      <c r="CN298" s="90"/>
      <c r="CO298" s="62">
        <f>Metrics!CO226</f>
        <v>0</v>
      </c>
      <c r="CP298" s="62">
        <f>Metrics!CP226</f>
        <v>0</v>
      </c>
      <c r="CQ298" s="62">
        <f>Metrics!CQ226</f>
        <v>0</v>
      </c>
      <c r="CR298" s="62">
        <f>Metrics!CR226</f>
        <v>0</v>
      </c>
      <c r="CS298" s="62">
        <f>Metrics!CS226</f>
        <v>0</v>
      </c>
      <c r="CT298" s="90"/>
      <c r="CU298" s="62">
        <f>Metrics!CU226</f>
        <v>0</v>
      </c>
      <c r="CV298" s="62">
        <f>Metrics!CV226</f>
        <v>0</v>
      </c>
      <c r="CW298" s="62">
        <f>Metrics!CW226</f>
        <v>0</v>
      </c>
      <c r="CX298" s="62">
        <f>Metrics!CX226</f>
        <v>0</v>
      </c>
      <c r="CY298" s="62">
        <f>Metrics!CY226</f>
        <v>0</v>
      </c>
      <c r="CZ298" s="90"/>
      <c r="DA298" s="62">
        <f>Metrics!DA226</f>
        <v>0</v>
      </c>
      <c r="DB298" s="62">
        <f>Metrics!DB226</f>
        <v>0</v>
      </c>
      <c r="DC298" s="62">
        <f>Metrics!DC226</f>
        <v>0</v>
      </c>
      <c r="DD298" s="62">
        <f>Metrics!DD226</f>
        <v>0</v>
      </c>
      <c r="DE298" s="62">
        <f>Metrics!DE226</f>
        <v>0</v>
      </c>
      <c r="DF298" s="90"/>
      <c r="DG298" s="62">
        <f>Metrics!DG226</f>
        <v>0</v>
      </c>
      <c r="DH298" s="62">
        <f>Metrics!DH226</f>
        <v>0</v>
      </c>
      <c r="DI298" s="62">
        <f>Metrics!DI226</f>
        <v>0</v>
      </c>
      <c r="DJ298" s="62">
        <f>Metrics!DJ226</f>
        <v>0</v>
      </c>
      <c r="DK298" s="62">
        <f>Metrics!DK226</f>
        <v>0</v>
      </c>
      <c r="DL298" s="90"/>
      <c r="DM298" s="62">
        <f>Metrics!DM226</f>
        <v>0</v>
      </c>
      <c r="DN298" s="62">
        <f>Metrics!DN226</f>
        <v>0</v>
      </c>
      <c r="DO298" s="62">
        <f>Metrics!DO226</f>
        <v>0</v>
      </c>
      <c r="DP298" s="62">
        <f>Metrics!DP226</f>
        <v>0</v>
      </c>
      <c r="DQ298" s="62">
        <f>Metrics!DQ226</f>
        <v>0</v>
      </c>
      <c r="DR298" s="90"/>
      <c r="DS298" s="62">
        <f>Metrics!DS226</f>
        <v>0</v>
      </c>
      <c r="DT298" s="62">
        <f>Metrics!DT226</f>
        <v>0</v>
      </c>
      <c r="DU298" s="62">
        <f>Metrics!DU226</f>
        <v>0</v>
      </c>
      <c r="DV298" s="62">
        <f>Metrics!DV226</f>
        <v>0</v>
      </c>
      <c r="DW298" s="62">
        <f>Metrics!DW226</f>
        <v>0</v>
      </c>
      <c r="DX298" s="90"/>
      <c r="DY298" s="62">
        <f>Metrics!DY226</f>
        <v>0</v>
      </c>
      <c r="DZ298" s="62">
        <f>Metrics!DZ226</f>
        <v>0</v>
      </c>
      <c r="EA298" s="62">
        <f>Metrics!EA226</f>
        <v>0</v>
      </c>
      <c r="EB298" s="62">
        <f>Metrics!EB226</f>
        <v>0</v>
      </c>
      <c r="EC298" s="62">
        <f>Metrics!EC226</f>
        <v>0</v>
      </c>
      <c r="ED298" s="90"/>
      <c r="EE298" s="62">
        <f>Metrics!EE226</f>
        <v>0</v>
      </c>
      <c r="EF298" s="62">
        <f>Metrics!EF226</f>
        <v>0</v>
      </c>
      <c r="EG298" s="62">
        <f>Metrics!EG226</f>
        <v>0</v>
      </c>
      <c r="EH298" s="62">
        <f>Metrics!EH226</f>
        <v>0</v>
      </c>
      <c r="EI298" s="62">
        <f>Metrics!EI226</f>
        <v>0</v>
      </c>
      <c r="EJ298" s="90"/>
      <c r="EK298" s="62">
        <f>Metrics!EK226</f>
        <v>0</v>
      </c>
      <c r="EL298" s="62">
        <f>Metrics!EL226</f>
        <v>0</v>
      </c>
      <c r="EM298" s="62">
        <f>Metrics!EM226</f>
        <v>0</v>
      </c>
      <c r="EN298" s="62">
        <f>Metrics!EN226</f>
        <v>0</v>
      </c>
      <c r="EO298" s="62">
        <f>Metrics!EO226</f>
        <v>0</v>
      </c>
      <c r="EP298" s="90"/>
      <c r="EQ298" s="62">
        <f>Metrics!EQ226</f>
        <v>0</v>
      </c>
      <c r="ER298" s="62">
        <f>Metrics!ER226</f>
        <v>0</v>
      </c>
      <c r="ES298" s="62">
        <f>Metrics!ES226</f>
        <v>0</v>
      </c>
      <c r="ET298" s="62">
        <f>Metrics!ET226</f>
        <v>0</v>
      </c>
      <c r="EU298" s="62">
        <f>Metrics!EU226</f>
        <v>0</v>
      </c>
      <c r="EV298" s="90"/>
    </row>
    <row r="299" spans="1:152" ht="12.75" hidden="1" customHeight="1" outlineLevel="1">
      <c r="A299" s="90" t="s">
        <v>6348</v>
      </c>
      <c r="B299" s="520" t="s">
        <v>6355</v>
      </c>
      <c r="C299" s="62">
        <f>Metrics!C177</f>
        <v>0</v>
      </c>
      <c r="D299" s="62">
        <f>Metrics!D177</f>
        <v>0</v>
      </c>
      <c r="E299" s="62">
        <f>Metrics!E177</f>
        <v>0</v>
      </c>
      <c r="F299" s="62">
        <f>Metrics!F177</f>
        <v>0</v>
      </c>
      <c r="G299" s="62">
        <f>Metrics!G177</f>
        <v>0</v>
      </c>
      <c r="H299" s="90"/>
      <c r="I299" s="62">
        <f>Metrics!I177</f>
        <v>0</v>
      </c>
      <c r="J299" s="62">
        <f>Metrics!J177</f>
        <v>0</v>
      </c>
      <c r="K299" s="62">
        <f>Metrics!K177</f>
        <v>0</v>
      </c>
      <c r="L299" s="62">
        <f>Metrics!L177</f>
        <v>0</v>
      </c>
      <c r="M299" s="62">
        <f>Metrics!M177</f>
        <v>0</v>
      </c>
      <c r="N299" s="90"/>
      <c r="O299" s="62">
        <f>Metrics!O177</f>
        <v>0</v>
      </c>
      <c r="P299" s="62">
        <f>Metrics!P177</f>
        <v>0</v>
      </c>
      <c r="Q299" s="62">
        <f>Metrics!Q177</f>
        <v>0</v>
      </c>
      <c r="R299" s="62">
        <f>Metrics!R177</f>
        <v>0</v>
      </c>
      <c r="S299" s="62">
        <f>Metrics!S177</f>
        <v>0</v>
      </c>
      <c r="T299" s="90"/>
      <c r="U299" s="62">
        <f>Metrics!U177</f>
        <v>0</v>
      </c>
      <c r="V299" s="62">
        <f>Metrics!V177</f>
        <v>0</v>
      </c>
      <c r="W299" s="62">
        <f>Metrics!W177</f>
        <v>0</v>
      </c>
      <c r="X299" s="62">
        <f>Metrics!X177</f>
        <v>0</v>
      </c>
      <c r="Y299" s="62">
        <f>Metrics!Y177</f>
        <v>0</v>
      </c>
      <c r="Z299" s="90"/>
      <c r="AA299" s="62">
        <f>Metrics!AA177</f>
        <v>0</v>
      </c>
      <c r="AB299" s="62">
        <f>Metrics!AB177</f>
        <v>0</v>
      </c>
      <c r="AC299" s="62">
        <f>Metrics!AC177</f>
        <v>0</v>
      </c>
      <c r="AD299" s="62">
        <f>Metrics!AD177</f>
        <v>0</v>
      </c>
      <c r="AE299" s="62">
        <f>Metrics!AE177</f>
        <v>0</v>
      </c>
      <c r="AF299" s="90"/>
      <c r="AG299" s="62">
        <f>Metrics!AG177</f>
        <v>0</v>
      </c>
      <c r="AH299" s="62">
        <f>Metrics!AH177</f>
        <v>0</v>
      </c>
      <c r="AI299" s="62">
        <f>Metrics!AI177</f>
        <v>0</v>
      </c>
      <c r="AJ299" s="62">
        <f>Metrics!AJ177</f>
        <v>0</v>
      </c>
      <c r="AK299" s="62">
        <f>Metrics!AK177</f>
        <v>0</v>
      </c>
      <c r="AL299" s="90"/>
      <c r="AM299" s="62">
        <f>Metrics!AM177</f>
        <v>0</v>
      </c>
      <c r="AN299" s="62">
        <f>Metrics!AN177</f>
        <v>0</v>
      </c>
      <c r="AO299" s="62">
        <f>Metrics!AO177</f>
        <v>0</v>
      </c>
      <c r="AP299" s="62">
        <f>Metrics!AP177</f>
        <v>0</v>
      </c>
      <c r="AQ299" s="62">
        <f>Metrics!AQ177</f>
        <v>2291.3000000000002</v>
      </c>
      <c r="AR299" s="90"/>
      <c r="AS299" s="62">
        <f>Metrics!AS177</f>
        <v>0</v>
      </c>
      <c r="AT299" s="62">
        <f>Metrics!AT177</f>
        <v>0</v>
      </c>
      <c r="AU299" s="62">
        <f>Metrics!AU177</f>
        <v>0</v>
      </c>
      <c r="AV299" s="62">
        <f>Metrics!AV177</f>
        <v>0</v>
      </c>
      <c r="AW299" s="62">
        <f>Metrics!AW177</f>
        <v>2368</v>
      </c>
      <c r="AX299" s="90"/>
      <c r="AY299" s="62">
        <f>Metrics!AY177</f>
        <v>0</v>
      </c>
      <c r="AZ299" s="62">
        <f>Metrics!AZ177</f>
        <v>0</v>
      </c>
      <c r="BA299" s="62">
        <f>Metrics!BA177</f>
        <v>0</v>
      </c>
      <c r="BB299" s="62">
        <f>Metrics!BB177</f>
        <v>0</v>
      </c>
      <c r="BC299" s="62">
        <f>Metrics!BC177</f>
        <v>2490</v>
      </c>
      <c r="BD299" s="90"/>
      <c r="BE299" s="62">
        <f>Metrics!BE177</f>
        <v>0</v>
      </c>
      <c r="BF299" s="62">
        <f>Metrics!BF177</f>
        <v>0</v>
      </c>
      <c r="BG299" s="62">
        <f>Metrics!BG177</f>
        <v>0</v>
      </c>
      <c r="BH299" s="62">
        <f>Metrics!BH177</f>
        <v>0</v>
      </c>
      <c r="BI299" s="62">
        <f>Metrics!BI177</f>
        <v>2646.8</v>
      </c>
      <c r="BJ299" s="90"/>
      <c r="BK299" s="62">
        <f>Metrics!BK177</f>
        <v>0</v>
      </c>
      <c r="BL299" s="62">
        <f>Metrics!BL177</f>
        <v>0</v>
      </c>
      <c r="BM299" s="62">
        <f>Metrics!BM177</f>
        <v>0</v>
      </c>
      <c r="BN299" s="62">
        <f>Metrics!BN177</f>
        <v>0</v>
      </c>
      <c r="BO299" s="62">
        <f>Metrics!BO177</f>
        <v>2758</v>
      </c>
      <c r="BP299" s="90"/>
      <c r="BQ299" s="62">
        <f>Metrics!BQ177</f>
        <v>0</v>
      </c>
      <c r="BR299" s="62">
        <f>Metrics!BR177</f>
        <v>0</v>
      </c>
      <c r="BS299" s="62">
        <f>Metrics!BS177</f>
        <v>0</v>
      </c>
      <c r="BT299" s="62">
        <f>Metrics!BT177</f>
        <v>0</v>
      </c>
      <c r="BU299" s="62">
        <f>Metrics!BU177</f>
        <v>2857</v>
      </c>
      <c r="BV299" s="90"/>
      <c r="BW299" s="62">
        <f>Metrics!BW177</f>
        <v>0</v>
      </c>
      <c r="BX299" s="62">
        <f>Metrics!BX177</f>
        <v>0</v>
      </c>
      <c r="BY299" s="62">
        <f>Metrics!BY177</f>
        <v>0</v>
      </c>
      <c r="BZ299" s="62">
        <f>Metrics!BZ177</f>
        <v>0</v>
      </c>
      <c r="CA299" s="62">
        <f>Metrics!CA177</f>
        <v>2980</v>
      </c>
      <c r="CB299" s="90"/>
      <c r="CC299" s="62">
        <f>Metrics!CC177</f>
        <v>0</v>
      </c>
      <c r="CD299" s="62">
        <f>Metrics!CD177</f>
        <v>0</v>
      </c>
      <c r="CE299" s="62">
        <f>Metrics!CE177</f>
        <v>0</v>
      </c>
      <c r="CF299" s="62">
        <f>Metrics!CF177</f>
        <v>0</v>
      </c>
      <c r="CG299" s="62">
        <f>Metrics!CG177</f>
        <v>0</v>
      </c>
      <c r="CH299" s="90"/>
      <c r="CI299" s="62">
        <f>Metrics!CI177</f>
        <v>0</v>
      </c>
      <c r="CJ299" s="62">
        <f>Metrics!CJ177</f>
        <v>0</v>
      </c>
      <c r="CK299" s="62">
        <f>Metrics!CK177</f>
        <v>0</v>
      </c>
      <c r="CL299" s="62">
        <f>Metrics!CL177</f>
        <v>0</v>
      </c>
      <c r="CM299" s="62">
        <f>Metrics!CM177</f>
        <v>0</v>
      </c>
      <c r="CN299" s="90"/>
      <c r="CO299" s="62">
        <f>Metrics!CO177</f>
        <v>0</v>
      </c>
      <c r="CP299" s="62">
        <f>Metrics!CP177</f>
        <v>0</v>
      </c>
      <c r="CQ299" s="62">
        <f>Metrics!CQ177</f>
        <v>0</v>
      </c>
      <c r="CR299" s="62">
        <f>Metrics!CR177</f>
        <v>0</v>
      </c>
      <c r="CS299" s="62">
        <f>Metrics!CS177</f>
        <v>0</v>
      </c>
      <c r="CT299" s="90"/>
      <c r="CU299" s="62">
        <f>Metrics!CU177</f>
        <v>0</v>
      </c>
      <c r="CV299" s="62">
        <f>Metrics!CV177</f>
        <v>0</v>
      </c>
      <c r="CW299" s="62">
        <f>Metrics!CW177</f>
        <v>0</v>
      </c>
      <c r="CX299" s="62">
        <f>Metrics!CX177</f>
        <v>0</v>
      </c>
      <c r="CY299" s="62">
        <f>Metrics!CY177</f>
        <v>0</v>
      </c>
      <c r="CZ299" s="90"/>
      <c r="DA299" s="62">
        <f>Metrics!DA177</f>
        <v>0</v>
      </c>
      <c r="DB299" s="62">
        <f>Metrics!DB177</f>
        <v>0</v>
      </c>
      <c r="DC299" s="62">
        <f>Metrics!DC177</f>
        <v>0</v>
      </c>
      <c r="DD299" s="62">
        <f>Metrics!DD177</f>
        <v>0</v>
      </c>
      <c r="DE299" s="62">
        <f>Metrics!DE177</f>
        <v>0</v>
      </c>
      <c r="DF299" s="90"/>
      <c r="DG299" s="62">
        <f>Metrics!DG177</f>
        <v>0</v>
      </c>
      <c r="DH299" s="62">
        <f>Metrics!DH177</f>
        <v>0</v>
      </c>
      <c r="DI299" s="62">
        <f>Metrics!DI177</f>
        <v>0</v>
      </c>
      <c r="DJ299" s="62">
        <f>Metrics!DJ177</f>
        <v>0</v>
      </c>
      <c r="DK299" s="62">
        <f>Metrics!DK177</f>
        <v>0</v>
      </c>
      <c r="DL299" s="90"/>
      <c r="DM299" s="62">
        <f>Metrics!DM177</f>
        <v>0</v>
      </c>
      <c r="DN299" s="62">
        <f>Metrics!DN177</f>
        <v>0</v>
      </c>
      <c r="DO299" s="62">
        <f>Metrics!DO177</f>
        <v>0</v>
      </c>
      <c r="DP299" s="62">
        <f>Metrics!DP177</f>
        <v>0</v>
      </c>
      <c r="DQ299" s="62">
        <f>Metrics!DQ177</f>
        <v>0</v>
      </c>
      <c r="DR299" s="90"/>
      <c r="DS299" s="62">
        <f>Metrics!DS177</f>
        <v>0</v>
      </c>
      <c r="DT299" s="62">
        <f>Metrics!DT177</f>
        <v>0</v>
      </c>
      <c r="DU299" s="62">
        <f>Metrics!DU177</f>
        <v>0</v>
      </c>
      <c r="DV299" s="62">
        <f>Metrics!DV177</f>
        <v>0</v>
      </c>
      <c r="DW299" s="62">
        <f>Metrics!DW177</f>
        <v>0</v>
      </c>
      <c r="DX299" s="90"/>
      <c r="DY299" s="62">
        <f>Metrics!DY177</f>
        <v>0</v>
      </c>
      <c r="DZ299" s="62">
        <f>Metrics!DZ177</f>
        <v>0</v>
      </c>
      <c r="EA299" s="62">
        <f>Metrics!EA177</f>
        <v>0</v>
      </c>
      <c r="EB299" s="62">
        <f>Metrics!EB177</f>
        <v>0</v>
      </c>
      <c r="EC299" s="62">
        <f>Metrics!EC177</f>
        <v>0</v>
      </c>
      <c r="ED299" s="90"/>
      <c r="EE299" s="62">
        <f>Metrics!EE177</f>
        <v>0</v>
      </c>
      <c r="EF299" s="62">
        <f>Metrics!EF177</f>
        <v>0</v>
      </c>
      <c r="EG299" s="62">
        <f>Metrics!EG177</f>
        <v>0</v>
      </c>
      <c r="EH299" s="62">
        <f>Metrics!EH177</f>
        <v>0</v>
      </c>
      <c r="EI299" s="62">
        <f>Metrics!EI177</f>
        <v>0</v>
      </c>
      <c r="EJ299" s="90"/>
      <c r="EK299" s="62">
        <f>Metrics!EK177</f>
        <v>0</v>
      </c>
      <c r="EL299" s="62">
        <f>Metrics!EL177</f>
        <v>0</v>
      </c>
      <c r="EM299" s="62">
        <f>Metrics!EM177</f>
        <v>0</v>
      </c>
      <c r="EN299" s="62">
        <f>Metrics!EN177</f>
        <v>0</v>
      </c>
      <c r="EO299" s="62">
        <f>Metrics!EO177</f>
        <v>0</v>
      </c>
      <c r="EP299" s="90"/>
      <c r="EQ299" s="62">
        <f>Metrics!EQ177</f>
        <v>0</v>
      </c>
      <c r="ER299" s="62">
        <f>Metrics!ER177</f>
        <v>0</v>
      </c>
      <c r="ES299" s="62">
        <f>Metrics!ES177</f>
        <v>0</v>
      </c>
      <c r="ET299" s="62">
        <f>Metrics!ET177</f>
        <v>0</v>
      </c>
      <c r="EU299" s="62">
        <f>Metrics!EU177</f>
        <v>0</v>
      </c>
      <c r="EV299" s="90"/>
    </row>
    <row r="300" spans="1:152" ht="12.75" hidden="1" customHeight="1" outlineLevel="1">
      <c r="A300" s="90" t="s">
        <v>6349</v>
      </c>
      <c r="B300" s="520" t="s">
        <v>6356</v>
      </c>
      <c r="C300" s="62">
        <f>Metrics!C192</f>
        <v>0</v>
      </c>
      <c r="D300" s="62">
        <f>Metrics!D192</f>
        <v>0</v>
      </c>
      <c r="E300" s="62">
        <f>Metrics!E192</f>
        <v>0</v>
      </c>
      <c r="F300" s="62">
        <f>Metrics!F192</f>
        <v>0</v>
      </c>
      <c r="G300" s="62">
        <f>Metrics!G192</f>
        <v>0</v>
      </c>
      <c r="H300" s="90"/>
      <c r="I300" s="62">
        <f>Metrics!I192</f>
        <v>0</v>
      </c>
      <c r="J300" s="62">
        <f>Metrics!J192</f>
        <v>0</v>
      </c>
      <c r="K300" s="62">
        <f>Metrics!K192</f>
        <v>0</v>
      </c>
      <c r="L300" s="62">
        <f>Metrics!L192</f>
        <v>0</v>
      </c>
      <c r="M300" s="62">
        <f>Metrics!M192</f>
        <v>0</v>
      </c>
      <c r="N300" s="90"/>
      <c r="O300" s="62">
        <f>Metrics!O192</f>
        <v>0</v>
      </c>
      <c r="P300" s="62">
        <f>Metrics!P192</f>
        <v>0</v>
      </c>
      <c r="Q300" s="62">
        <f>Metrics!Q192</f>
        <v>0</v>
      </c>
      <c r="R300" s="62">
        <f>Metrics!R192</f>
        <v>0</v>
      </c>
      <c r="S300" s="62">
        <f>Metrics!S192</f>
        <v>0</v>
      </c>
      <c r="T300" s="90"/>
      <c r="U300" s="62">
        <f>Metrics!U192</f>
        <v>0</v>
      </c>
      <c r="V300" s="62">
        <f>Metrics!V192</f>
        <v>0</v>
      </c>
      <c r="W300" s="62">
        <f>Metrics!W192</f>
        <v>0</v>
      </c>
      <c r="X300" s="62">
        <f>Metrics!X192</f>
        <v>0</v>
      </c>
      <c r="Y300" s="62">
        <f>Metrics!Y192</f>
        <v>0</v>
      </c>
      <c r="Z300" s="90"/>
      <c r="AA300" s="62">
        <f>Metrics!AA192</f>
        <v>0</v>
      </c>
      <c r="AB300" s="62">
        <f>Metrics!AB192</f>
        <v>0</v>
      </c>
      <c r="AC300" s="62">
        <f>Metrics!AC192</f>
        <v>0</v>
      </c>
      <c r="AD300" s="62">
        <f>Metrics!AD192</f>
        <v>0</v>
      </c>
      <c r="AE300" s="62">
        <f>Metrics!AE192</f>
        <v>0</v>
      </c>
      <c r="AF300" s="90"/>
      <c r="AG300" s="62">
        <f>Metrics!AG192</f>
        <v>0</v>
      </c>
      <c r="AH300" s="62">
        <f>Metrics!AH192</f>
        <v>0</v>
      </c>
      <c r="AI300" s="62">
        <f>Metrics!AI192</f>
        <v>0</v>
      </c>
      <c r="AJ300" s="62">
        <f>Metrics!AJ192</f>
        <v>0</v>
      </c>
      <c r="AK300" s="62">
        <f>Metrics!AK192</f>
        <v>0</v>
      </c>
      <c r="AL300" s="90"/>
      <c r="AM300" s="62">
        <f>Metrics!AM192</f>
        <v>0</v>
      </c>
      <c r="AN300" s="62">
        <f>Metrics!AN192</f>
        <v>0</v>
      </c>
      <c r="AO300" s="62">
        <f>Metrics!AO192</f>
        <v>0</v>
      </c>
      <c r="AP300" s="62">
        <f>Metrics!AP192</f>
        <v>0</v>
      </c>
      <c r="AQ300" s="62">
        <f>Metrics!AQ192</f>
        <v>125</v>
      </c>
      <c r="AR300" s="90"/>
      <c r="AS300" s="62">
        <f>Metrics!AS192</f>
        <v>0</v>
      </c>
      <c r="AT300" s="62">
        <f>Metrics!AT192</f>
        <v>0</v>
      </c>
      <c r="AU300" s="62">
        <f>Metrics!AU192</f>
        <v>0</v>
      </c>
      <c r="AV300" s="62">
        <f>Metrics!AV192</f>
        <v>0</v>
      </c>
      <c r="AW300" s="62">
        <f>Metrics!AW192</f>
        <v>139</v>
      </c>
      <c r="AX300" s="90"/>
      <c r="AY300" s="62">
        <f>Metrics!AY192</f>
        <v>0</v>
      </c>
      <c r="AZ300" s="62">
        <f>Metrics!AZ192</f>
        <v>0</v>
      </c>
      <c r="BA300" s="62">
        <f>Metrics!BA192</f>
        <v>0</v>
      </c>
      <c r="BB300" s="62">
        <f>Metrics!BB192</f>
        <v>0</v>
      </c>
      <c r="BC300" s="62">
        <f>Metrics!BC192</f>
        <v>149.4</v>
      </c>
      <c r="BD300" s="90"/>
      <c r="BE300" s="62">
        <f>Metrics!BE192</f>
        <v>0</v>
      </c>
      <c r="BF300" s="62">
        <f>Metrics!BF192</f>
        <v>0</v>
      </c>
      <c r="BG300" s="62">
        <f>Metrics!BG192</f>
        <v>0</v>
      </c>
      <c r="BH300" s="62">
        <f>Metrics!BH192</f>
        <v>0</v>
      </c>
      <c r="BI300" s="62">
        <f>Metrics!BI192</f>
        <v>171.2</v>
      </c>
      <c r="BJ300" s="90"/>
      <c r="BK300" s="62">
        <f>Metrics!BK192</f>
        <v>0</v>
      </c>
      <c r="BL300" s="62">
        <f>Metrics!BL192</f>
        <v>0</v>
      </c>
      <c r="BM300" s="62">
        <f>Metrics!BM192</f>
        <v>0</v>
      </c>
      <c r="BN300" s="62">
        <f>Metrics!BN192</f>
        <v>0</v>
      </c>
      <c r="BO300" s="62">
        <f>Metrics!BO192</f>
        <v>200</v>
      </c>
      <c r="BP300" s="90"/>
      <c r="BQ300" s="62">
        <f>Metrics!BQ192</f>
        <v>0</v>
      </c>
      <c r="BR300" s="62">
        <f>Metrics!BR192</f>
        <v>0</v>
      </c>
      <c r="BS300" s="62">
        <f>Metrics!BS192</f>
        <v>0</v>
      </c>
      <c r="BT300" s="62">
        <f>Metrics!BT192</f>
        <v>0</v>
      </c>
      <c r="BU300" s="62">
        <f>Metrics!BU192</f>
        <v>237</v>
      </c>
      <c r="BV300" s="90"/>
      <c r="BW300" s="62">
        <f>Metrics!BW192</f>
        <v>0</v>
      </c>
      <c r="BX300" s="62">
        <f>Metrics!BX192</f>
        <v>0</v>
      </c>
      <c r="BY300" s="62">
        <f>Metrics!BY192</f>
        <v>0</v>
      </c>
      <c r="BZ300" s="62">
        <f>Metrics!BZ192</f>
        <v>0</v>
      </c>
      <c r="CA300" s="62">
        <f>Metrics!CA192</f>
        <v>266</v>
      </c>
      <c r="CB300" s="90"/>
      <c r="CC300" s="62">
        <f>Metrics!CC192</f>
        <v>0</v>
      </c>
      <c r="CD300" s="62">
        <f>Metrics!CD192</f>
        <v>0</v>
      </c>
      <c r="CE300" s="62">
        <f>Metrics!CE192</f>
        <v>0</v>
      </c>
      <c r="CF300" s="62">
        <f>Metrics!CF192</f>
        <v>0</v>
      </c>
      <c r="CG300" s="62">
        <f>Metrics!CG192</f>
        <v>0</v>
      </c>
      <c r="CH300" s="90"/>
      <c r="CI300" s="62">
        <f>Metrics!CI192</f>
        <v>0</v>
      </c>
      <c r="CJ300" s="62">
        <f>Metrics!CJ192</f>
        <v>0</v>
      </c>
      <c r="CK300" s="62">
        <f>Metrics!CK192</f>
        <v>0</v>
      </c>
      <c r="CL300" s="62">
        <f>Metrics!CL192</f>
        <v>0</v>
      </c>
      <c r="CM300" s="62">
        <f>Metrics!CM192</f>
        <v>0</v>
      </c>
      <c r="CN300" s="90"/>
      <c r="CO300" s="62">
        <f>Metrics!CO192</f>
        <v>0</v>
      </c>
      <c r="CP300" s="62">
        <f>Metrics!CP192</f>
        <v>0</v>
      </c>
      <c r="CQ300" s="62">
        <f>Metrics!CQ192</f>
        <v>0</v>
      </c>
      <c r="CR300" s="62">
        <f>Metrics!CR192</f>
        <v>0</v>
      </c>
      <c r="CS300" s="62">
        <f>Metrics!CS192</f>
        <v>0</v>
      </c>
      <c r="CT300" s="90"/>
      <c r="CU300" s="62">
        <f>Metrics!CU192</f>
        <v>0</v>
      </c>
      <c r="CV300" s="62">
        <f>Metrics!CV192</f>
        <v>0</v>
      </c>
      <c r="CW300" s="62">
        <f>Metrics!CW192</f>
        <v>0</v>
      </c>
      <c r="CX300" s="62">
        <f>Metrics!CX192</f>
        <v>0</v>
      </c>
      <c r="CY300" s="62">
        <f>Metrics!CY192</f>
        <v>0</v>
      </c>
      <c r="CZ300" s="90"/>
      <c r="DA300" s="62">
        <f>Metrics!DA192</f>
        <v>0</v>
      </c>
      <c r="DB300" s="62">
        <f>Metrics!DB192</f>
        <v>0</v>
      </c>
      <c r="DC300" s="62">
        <f>Metrics!DC192</f>
        <v>0</v>
      </c>
      <c r="DD300" s="62">
        <f>Metrics!DD192</f>
        <v>0</v>
      </c>
      <c r="DE300" s="62">
        <f>Metrics!DE192</f>
        <v>0</v>
      </c>
      <c r="DF300" s="90"/>
      <c r="DG300" s="62">
        <f>Metrics!DG192</f>
        <v>0</v>
      </c>
      <c r="DH300" s="62">
        <f>Metrics!DH192</f>
        <v>0</v>
      </c>
      <c r="DI300" s="62">
        <f>Metrics!DI192</f>
        <v>0</v>
      </c>
      <c r="DJ300" s="62">
        <f>Metrics!DJ192</f>
        <v>0</v>
      </c>
      <c r="DK300" s="62">
        <f>Metrics!DK192</f>
        <v>0</v>
      </c>
      <c r="DL300" s="90"/>
      <c r="DM300" s="62">
        <f>Metrics!DM192</f>
        <v>0</v>
      </c>
      <c r="DN300" s="62">
        <f>Metrics!DN192</f>
        <v>0</v>
      </c>
      <c r="DO300" s="62">
        <f>Metrics!DO192</f>
        <v>0</v>
      </c>
      <c r="DP300" s="62">
        <f>Metrics!DP192</f>
        <v>0</v>
      </c>
      <c r="DQ300" s="62">
        <f>Metrics!DQ192</f>
        <v>0</v>
      </c>
      <c r="DR300" s="90"/>
      <c r="DS300" s="62">
        <f>Metrics!DS192</f>
        <v>0</v>
      </c>
      <c r="DT300" s="62">
        <f>Metrics!DT192</f>
        <v>0</v>
      </c>
      <c r="DU300" s="62">
        <f>Metrics!DU192</f>
        <v>0</v>
      </c>
      <c r="DV300" s="62">
        <f>Metrics!DV192</f>
        <v>0</v>
      </c>
      <c r="DW300" s="62">
        <f>Metrics!DW192</f>
        <v>0</v>
      </c>
      <c r="DX300" s="90"/>
      <c r="DY300" s="62">
        <f>Metrics!DY192</f>
        <v>0</v>
      </c>
      <c r="DZ300" s="62">
        <f>Metrics!DZ192</f>
        <v>0</v>
      </c>
      <c r="EA300" s="62">
        <f>Metrics!EA192</f>
        <v>0</v>
      </c>
      <c r="EB300" s="62">
        <f>Metrics!EB192</f>
        <v>0</v>
      </c>
      <c r="EC300" s="62">
        <f>Metrics!EC192</f>
        <v>0</v>
      </c>
      <c r="ED300" s="90"/>
      <c r="EE300" s="62">
        <f>Metrics!EE192</f>
        <v>0</v>
      </c>
      <c r="EF300" s="62">
        <f>Metrics!EF192</f>
        <v>0</v>
      </c>
      <c r="EG300" s="62">
        <f>Metrics!EG192</f>
        <v>0</v>
      </c>
      <c r="EH300" s="62">
        <f>Metrics!EH192</f>
        <v>0</v>
      </c>
      <c r="EI300" s="62">
        <f>Metrics!EI192</f>
        <v>0</v>
      </c>
      <c r="EJ300" s="90"/>
      <c r="EK300" s="62">
        <f>Metrics!EK192</f>
        <v>0</v>
      </c>
      <c r="EL300" s="62">
        <f>Metrics!EL192</f>
        <v>0</v>
      </c>
      <c r="EM300" s="62">
        <f>Metrics!EM192</f>
        <v>0</v>
      </c>
      <c r="EN300" s="62">
        <f>Metrics!EN192</f>
        <v>0</v>
      </c>
      <c r="EO300" s="62">
        <f>Metrics!EO192</f>
        <v>0</v>
      </c>
      <c r="EP300" s="90"/>
      <c r="EQ300" s="62">
        <f>Metrics!EQ192</f>
        <v>0</v>
      </c>
      <c r="ER300" s="62">
        <f>Metrics!ER192</f>
        <v>0</v>
      </c>
      <c r="ES300" s="62">
        <f>Metrics!ES192</f>
        <v>0</v>
      </c>
      <c r="ET300" s="62">
        <f>Metrics!ET192</f>
        <v>0</v>
      </c>
      <c r="EU300" s="62">
        <f>Metrics!EU192</f>
        <v>0</v>
      </c>
      <c r="EV300" s="90"/>
    </row>
    <row r="301" spans="1:152" ht="12.75" hidden="1" customHeight="1" outlineLevel="1">
      <c r="A301" s="90" t="s">
        <v>6350</v>
      </c>
      <c r="B301" s="520" t="s">
        <v>6286</v>
      </c>
      <c r="C301" s="62">
        <f>Metrics!C193</f>
        <v>0</v>
      </c>
      <c r="D301" s="62">
        <f>Metrics!D193</f>
        <v>0</v>
      </c>
      <c r="E301" s="62">
        <f>Metrics!E193</f>
        <v>0</v>
      </c>
      <c r="F301" s="62">
        <f>Metrics!F193</f>
        <v>0</v>
      </c>
      <c r="G301" s="62">
        <f>Metrics!G193</f>
        <v>4</v>
      </c>
      <c r="H301" s="90"/>
      <c r="I301" s="62">
        <f>Metrics!I193</f>
        <v>0</v>
      </c>
      <c r="J301" s="62">
        <f>Metrics!J193</f>
        <v>0</v>
      </c>
      <c r="K301" s="62">
        <f>Metrics!K193</f>
        <v>0</v>
      </c>
      <c r="L301" s="62">
        <f>Metrics!L193</f>
        <v>0</v>
      </c>
      <c r="M301" s="62">
        <f>Metrics!M193</f>
        <v>30</v>
      </c>
      <c r="N301" s="90"/>
      <c r="O301" s="62">
        <f>Metrics!O193</f>
        <v>0</v>
      </c>
      <c r="P301" s="62">
        <f>Metrics!P193</f>
        <v>0</v>
      </c>
      <c r="Q301" s="62">
        <f>Metrics!Q193</f>
        <v>0</v>
      </c>
      <c r="R301" s="62">
        <f>Metrics!R193</f>
        <v>0</v>
      </c>
      <c r="S301" s="62">
        <f>Metrics!S193</f>
        <v>0</v>
      </c>
      <c r="T301" s="90"/>
      <c r="U301" s="62">
        <f>Metrics!U193</f>
        <v>0</v>
      </c>
      <c r="V301" s="62">
        <f>Metrics!V193</f>
        <v>0</v>
      </c>
      <c r="W301" s="62">
        <f>Metrics!W193</f>
        <v>0</v>
      </c>
      <c r="X301" s="62">
        <f>Metrics!X193</f>
        <v>0</v>
      </c>
      <c r="Y301" s="62">
        <f>Metrics!Y193</f>
        <v>0</v>
      </c>
      <c r="Z301" s="90"/>
      <c r="AA301" s="62">
        <f>Metrics!AA193</f>
        <v>0</v>
      </c>
      <c r="AB301" s="62">
        <f>Metrics!AB193</f>
        <v>0</v>
      </c>
      <c r="AC301" s="62">
        <f>Metrics!AC193</f>
        <v>0</v>
      </c>
      <c r="AD301" s="62">
        <f>Metrics!AD193</f>
        <v>0</v>
      </c>
      <c r="AE301" s="62">
        <f>Metrics!AE193</f>
        <v>0</v>
      </c>
      <c r="AF301" s="90"/>
      <c r="AG301" s="62">
        <f>Metrics!AG193</f>
        <v>0</v>
      </c>
      <c r="AH301" s="62">
        <f>Metrics!AH193</f>
        <v>0</v>
      </c>
      <c r="AI301" s="62">
        <f>Metrics!AI193</f>
        <v>0</v>
      </c>
      <c r="AJ301" s="62">
        <f>Metrics!AJ193</f>
        <v>0</v>
      </c>
      <c r="AK301" s="62">
        <f>Metrics!AK193</f>
        <v>0</v>
      </c>
      <c r="AL301" s="90"/>
      <c r="AM301" s="62">
        <f>Metrics!AM193</f>
        <v>0</v>
      </c>
      <c r="AN301" s="62">
        <f>Metrics!AN193</f>
        <v>0</v>
      </c>
      <c r="AO301" s="62">
        <f>Metrics!AO193</f>
        <v>0</v>
      </c>
      <c r="AP301" s="62">
        <f>Metrics!AP193</f>
        <v>0</v>
      </c>
      <c r="AQ301" s="62">
        <f>Metrics!AQ193</f>
        <v>175</v>
      </c>
      <c r="AR301" s="90"/>
      <c r="AS301" s="62">
        <f>Metrics!AS193</f>
        <v>0</v>
      </c>
      <c r="AT301" s="62">
        <f>Metrics!AT193</f>
        <v>0</v>
      </c>
      <c r="AU301" s="62">
        <f>Metrics!AU193</f>
        <v>0</v>
      </c>
      <c r="AV301" s="62">
        <f>Metrics!AV193</f>
        <v>0</v>
      </c>
      <c r="AW301" s="62">
        <f>Metrics!AW193</f>
        <v>190.1</v>
      </c>
      <c r="AX301" s="90"/>
      <c r="AY301" s="62">
        <f>Metrics!AY193</f>
        <v>0</v>
      </c>
      <c r="AZ301" s="62">
        <f>Metrics!AZ193</f>
        <v>0</v>
      </c>
      <c r="BA301" s="62">
        <f>Metrics!BA193</f>
        <v>0</v>
      </c>
      <c r="BB301" s="62">
        <f>Metrics!BB193</f>
        <v>0</v>
      </c>
      <c r="BC301" s="62">
        <f>Metrics!BC193</f>
        <v>203.7</v>
      </c>
      <c r="BD301" s="90"/>
      <c r="BE301" s="62">
        <f>Metrics!BE193</f>
        <v>0</v>
      </c>
      <c r="BF301" s="62">
        <f>Metrics!BF193</f>
        <v>0</v>
      </c>
      <c r="BG301" s="62">
        <f>Metrics!BG193</f>
        <v>0</v>
      </c>
      <c r="BH301" s="62">
        <f>Metrics!BH193</f>
        <v>0</v>
      </c>
      <c r="BI301" s="62">
        <f>Metrics!BI193</f>
        <v>222.9</v>
      </c>
      <c r="BJ301" s="90"/>
      <c r="BK301" s="62">
        <f>Metrics!BK193</f>
        <v>0</v>
      </c>
      <c r="BL301" s="62">
        <f>Metrics!BL193</f>
        <v>0</v>
      </c>
      <c r="BM301" s="62">
        <f>Metrics!BM193</f>
        <v>0</v>
      </c>
      <c r="BN301" s="62">
        <f>Metrics!BN193</f>
        <v>0</v>
      </c>
      <c r="BO301" s="62">
        <f>Metrics!BO193</f>
        <v>245</v>
      </c>
      <c r="BP301" s="90"/>
      <c r="BQ301" s="62">
        <f>Metrics!BQ193</f>
        <v>0</v>
      </c>
      <c r="BR301" s="62">
        <f>Metrics!BR193</f>
        <v>0</v>
      </c>
      <c r="BS301" s="62">
        <f>Metrics!BS193</f>
        <v>0</v>
      </c>
      <c r="BT301" s="62">
        <f>Metrics!BT193</f>
        <v>0</v>
      </c>
      <c r="BU301" s="62">
        <f>Metrics!BU193</f>
        <v>264</v>
      </c>
      <c r="BV301" s="90"/>
      <c r="BW301" s="62">
        <f>Metrics!BW193</f>
        <v>0</v>
      </c>
      <c r="BX301" s="62">
        <f>Metrics!BX193</f>
        <v>0</v>
      </c>
      <c r="BY301" s="62">
        <f>Metrics!BY193</f>
        <v>0</v>
      </c>
      <c r="BZ301" s="62">
        <f>Metrics!BZ193</f>
        <v>0</v>
      </c>
      <c r="CA301" s="62">
        <f>Metrics!CA193</f>
        <v>281</v>
      </c>
      <c r="CB301" s="90"/>
      <c r="CC301" s="62">
        <f>Metrics!CC193</f>
        <v>0</v>
      </c>
      <c r="CD301" s="62">
        <f>Metrics!CD193</f>
        <v>0</v>
      </c>
      <c r="CE301" s="62">
        <f>Metrics!CE193</f>
        <v>0</v>
      </c>
      <c r="CF301" s="62">
        <f>Metrics!CF193</f>
        <v>0</v>
      </c>
      <c r="CG301" s="62">
        <f>Metrics!CG193</f>
        <v>0</v>
      </c>
      <c r="CH301" s="90"/>
      <c r="CI301" s="62">
        <f>Metrics!CI193</f>
        <v>0</v>
      </c>
      <c r="CJ301" s="62">
        <f>Metrics!CJ193</f>
        <v>0</v>
      </c>
      <c r="CK301" s="62">
        <f>Metrics!CK193</f>
        <v>0</v>
      </c>
      <c r="CL301" s="62">
        <f>Metrics!CL193</f>
        <v>0</v>
      </c>
      <c r="CM301" s="62">
        <f>Metrics!CM193</f>
        <v>0</v>
      </c>
      <c r="CN301" s="90"/>
      <c r="CO301" s="62">
        <f>Metrics!CO193</f>
        <v>0</v>
      </c>
      <c r="CP301" s="62">
        <f>Metrics!CP193</f>
        <v>0</v>
      </c>
      <c r="CQ301" s="62">
        <f>Metrics!CQ193</f>
        <v>0</v>
      </c>
      <c r="CR301" s="62">
        <f>Metrics!CR193</f>
        <v>0</v>
      </c>
      <c r="CS301" s="62">
        <f>Metrics!CS193</f>
        <v>0</v>
      </c>
      <c r="CT301" s="90"/>
      <c r="CU301" s="62">
        <f>Metrics!CU193</f>
        <v>0</v>
      </c>
      <c r="CV301" s="62">
        <f>Metrics!CV193</f>
        <v>0</v>
      </c>
      <c r="CW301" s="62">
        <f>Metrics!CW193</f>
        <v>0</v>
      </c>
      <c r="CX301" s="62">
        <f>Metrics!CX193</f>
        <v>0</v>
      </c>
      <c r="CY301" s="62">
        <f>Metrics!CY193</f>
        <v>0</v>
      </c>
      <c r="CZ301" s="90"/>
      <c r="DA301" s="62">
        <f>Metrics!DA193</f>
        <v>0</v>
      </c>
      <c r="DB301" s="62">
        <f>Metrics!DB193</f>
        <v>0</v>
      </c>
      <c r="DC301" s="62">
        <f>Metrics!DC193</f>
        <v>0</v>
      </c>
      <c r="DD301" s="62">
        <f>Metrics!DD193</f>
        <v>0</v>
      </c>
      <c r="DE301" s="62">
        <f>Metrics!DE193</f>
        <v>0</v>
      </c>
      <c r="DF301" s="90"/>
      <c r="DG301" s="62">
        <f>Metrics!DG193</f>
        <v>0</v>
      </c>
      <c r="DH301" s="62">
        <f>Metrics!DH193</f>
        <v>0</v>
      </c>
      <c r="DI301" s="62">
        <f>Metrics!DI193</f>
        <v>0</v>
      </c>
      <c r="DJ301" s="62">
        <f>Metrics!DJ193</f>
        <v>0</v>
      </c>
      <c r="DK301" s="62">
        <f>Metrics!DK193</f>
        <v>0</v>
      </c>
      <c r="DL301" s="90"/>
      <c r="DM301" s="62">
        <f>Metrics!DM193</f>
        <v>0</v>
      </c>
      <c r="DN301" s="62">
        <f>Metrics!DN193</f>
        <v>0</v>
      </c>
      <c r="DO301" s="62">
        <f>Metrics!DO193</f>
        <v>0</v>
      </c>
      <c r="DP301" s="62">
        <f>Metrics!DP193</f>
        <v>0</v>
      </c>
      <c r="DQ301" s="62">
        <f>Metrics!DQ193</f>
        <v>0</v>
      </c>
      <c r="DR301" s="90"/>
      <c r="DS301" s="62">
        <f>Metrics!DS193</f>
        <v>0</v>
      </c>
      <c r="DT301" s="62">
        <f>Metrics!DT193</f>
        <v>0</v>
      </c>
      <c r="DU301" s="62">
        <f>Metrics!DU193</f>
        <v>0</v>
      </c>
      <c r="DV301" s="62">
        <f>Metrics!DV193</f>
        <v>0</v>
      </c>
      <c r="DW301" s="62">
        <f>Metrics!DW193</f>
        <v>0</v>
      </c>
      <c r="DX301" s="90"/>
      <c r="DY301" s="62">
        <f>Metrics!DY193</f>
        <v>0</v>
      </c>
      <c r="DZ301" s="62">
        <f>Metrics!DZ193</f>
        <v>0</v>
      </c>
      <c r="EA301" s="62">
        <f>Metrics!EA193</f>
        <v>0</v>
      </c>
      <c r="EB301" s="62">
        <f>Metrics!EB193</f>
        <v>0</v>
      </c>
      <c r="EC301" s="62">
        <f>Metrics!EC193</f>
        <v>0</v>
      </c>
      <c r="ED301" s="90"/>
      <c r="EE301" s="62">
        <f>Metrics!EE193</f>
        <v>0</v>
      </c>
      <c r="EF301" s="62">
        <f>Metrics!EF193</f>
        <v>0</v>
      </c>
      <c r="EG301" s="62">
        <f>Metrics!EG193</f>
        <v>0</v>
      </c>
      <c r="EH301" s="62">
        <f>Metrics!EH193</f>
        <v>0</v>
      </c>
      <c r="EI301" s="62">
        <f>Metrics!EI193</f>
        <v>0</v>
      </c>
      <c r="EJ301" s="90"/>
      <c r="EK301" s="62">
        <f>Metrics!EK193</f>
        <v>0</v>
      </c>
      <c r="EL301" s="62">
        <f>Metrics!EL193</f>
        <v>0</v>
      </c>
      <c r="EM301" s="62">
        <f>Metrics!EM193</f>
        <v>0</v>
      </c>
      <c r="EN301" s="62">
        <f>Metrics!EN193</f>
        <v>0</v>
      </c>
      <c r="EO301" s="62">
        <f>Metrics!EO193</f>
        <v>0</v>
      </c>
      <c r="EP301" s="90"/>
      <c r="EQ301" s="62">
        <f>Metrics!EQ193</f>
        <v>0</v>
      </c>
      <c r="ER301" s="62">
        <f>Metrics!ER193</f>
        <v>0</v>
      </c>
      <c r="ES301" s="62">
        <f>Metrics!ES193</f>
        <v>0</v>
      </c>
      <c r="ET301" s="62">
        <f>Metrics!ET193</f>
        <v>0</v>
      </c>
      <c r="EU301" s="62">
        <f>Metrics!EU193</f>
        <v>0</v>
      </c>
      <c r="EV301" s="90"/>
    </row>
    <row r="302" spans="1:152" ht="12.75" hidden="1" customHeight="1" outlineLevel="1">
      <c r="A302" s="90" t="s">
        <v>3805</v>
      </c>
      <c r="B302" s="520" t="s">
        <v>6287</v>
      </c>
      <c r="C302" s="62">
        <f>Metrics!C194</f>
        <v>0</v>
      </c>
      <c r="D302" s="62">
        <f>Metrics!D194</f>
        <v>0</v>
      </c>
      <c r="E302" s="62">
        <f>Metrics!E194</f>
        <v>0</v>
      </c>
      <c r="F302" s="62">
        <f>Metrics!F194</f>
        <v>0</v>
      </c>
      <c r="G302" s="62">
        <f>Metrics!G194</f>
        <v>0</v>
      </c>
      <c r="H302" s="90"/>
      <c r="I302" s="62">
        <f>Metrics!I194</f>
        <v>0</v>
      </c>
      <c r="J302" s="62">
        <f>Metrics!J194</f>
        <v>0</v>
      </c>
      <c r="K302" s="62">
        <f>Metrics!K194</f>
        <v>0</v>
      </c>
      <c r="L302" s="62">
        <f>Metrics!L194</f>
        <v>0</v>
      </c>
      <c r="M302" s="62">
        <f>Metrics!M194</f>
        <v>0</v>
      </c>
      <c r="N302" s="90"/>
      <c r="O302" s="62">
        <f>Metrics!O194</f>
        <v>0</v>
      </c>
      <c r="P302" s="62">
        <f>Metrics!P194</f>
        <v>0</v>
      </c>
      <c r="Q302" s="62">
        <f>Metrics!Q194</f>
        <v>0</v>
      </c>
      <c r="R302" s="62">
        <f>Metrics!R194</f>
        <v>0</v>
      </c>
      <c r="S302" s="62">
        <f>Metrics!S194</f>
        <v>0</v>
      </c>
      <c r="T302" s="90"/>
      <c r="U302" s="62">
        <f>Metrics!U194</f>
        <v>0</v>
      </c>
      <c r="V302" s="62">
        <f>Metrics!V194</f>
        <v>0</v>
      </c>
      <c r="W302" s="62">
        <f>Metrics!W194</f>
        <v>0</v>
      </c>
      <c r="X302" s="62">
        <f>Metrics!X194</f>
        <v>0</v>
      </c>
      <c r="Y302" s="62">
        <f>Metrics!Y194</f>
        <v>0</v>
      </c>
      <c r="Z302" s="90"/>
      <c r="AA302" s="62">
        <f>Metrics!AA194</f>
        <v>0</v>
      </c>
      <c r="AB302" s="62">
        <f>Metrics!AB194</f>
        <v>0</v>
      </c>
      <c r="AC302" s="62">
        <f>Metrics!AC194</f>
        <v>0</v>
      </c>
      <c r="AD302" s="62">
        <f>Metrics!AD194</f>
        <v>0</v>
      </c>
      <c r="AE302" s="62">
        <f>Metrics!AE194</f>
        <v>0</v>
      </c>
      <c r="AF302" s="90"/>
      <c r="AG302" s="62">
        <f>Metrics!AG194</f>
        <v>0</v>
      </c>
      <c r="AH302" s="62">
        <f>Metrics!AH194</f>
        <v>0</v>
      </c>
      <c r="AI302" s="62">
        <f>Metrics!AI194</f>
        <v>0</v>
      </c>
      <c r="AJ302" s="62">
        <f>Metrics!AJ194</f>
        <v>0</v>
      </c>
      <c r="AK302" s="62">
        <f>Metrics!AK194</f>
        <v>0</v>
      </c>
      <c r="AL302" s="90"/>
      <c r="AM302" s="62">
        <f>Metrics!AM194</f>
        <v>0</v>
      </c>
      <c r="AN302" s="62">
        <f>Metrics!AN194</f>
        <v>0</v>
      </c>
      <c r="AO302" s="62">
        <f>Metrics!AO194</f>
        <v>0</v>
      </c>
      <c r="AP302" s="62">
        <f>Metrics!AP194</f>
        <v>0</v>
      </c>
      <c r="AQ302" s="62">
        <f>Metrics!AQ194</f>
        <v>289.39999999999998</v>
      </c>
      <c r="AR302" s="90"/>
      <c r="AS302" s="62">
        <f>Metrics!AS194</f>
        <v>0</v>
      </c>
      <c r="AT302" s="62">
        <f>Metrics!AT194</f>
        <v>0</v>
      </c>
      <c r="AU302" s="62">
        <f>Metrics!AU194</f>
        <v>0</v>
      </c>
      <c r="AV302" s="62">
        <f>Metrics!AV194</f>
        <v>0</v>
      </c>
      <c r="AW302" s="62">
        <f>Metrics!AW194</f>
        <v>336.3</v>
      </c>
      <c r="AX302" s="90"/>
      <c r="AY302" s="62">
        <f>Metrics!AY194</f>
        <v>0</v>
      </c>
      <c r="AZ302" s="62">
        <f>Metrics!AZ194</f>
        <v>0</v>
      </c>
      <c r="BA302" s="62">
        <f>Metrics!BA194</f>
        <v>0</v>
      </c>
      <c r="BB302" s="62">
        <f>Metrics!BB194</f>
        <v>0</v>
      </c>
      <c r="BC302" s="62">
        <f>Metrics!BC194</f>
        <v>383.9</v>
      </c>
      <c r="BD302" s="90"/>
      <c r="BE302" s="62">
        <f>Metrics!BE194</f>
        <v>0</v>
      </c>
      <c r="BF302" s="62">
        <f>Metrics!BF194</f>
        <v>0</v>
      </c>
      <c r="BG302" s="62">
        <f>Metrics!BG194</f>
        <v>0</v>
      </c>
      <c r="BH302" s="62">
        <f>Metrics!BH194</f>
        <v>0</v>
      </c>
      <c r="BI302" s="62">
        <f>Metrics!BI194</f>
        <v>441.7</v>
      </c>
      <c r="BJ302" s="90"/>
      <c r="BK302" s="62">
        <f>Metrics!BK194</f>
        <v>0</v>
      </c>
      <c r="BL302" s="62">
        <f>Metrics!BL194</f>
        <v>0</v>
      </c>
      <c r="BM302" s="62">
        <f>Metrics!BM194</f>
        <v>0</v>
      </c>
      <c r="BN302" s="62">
        <f>Metrics!BN194</f>
        <v>0</v>
      </c>
      <c r="BO302" s="62">
        <f>Metrics!BO194</f>
        <v>494</v>
      </c>
      <c r="BP302" s="90"/>
      <c r="BQ302" s="62">
        <f>Metrics!BQ194</f>
        <v>0</v>
      </c>
      <c r="BR302" s="62">
        <f>Metrics!BR194</f>
        <v>0</v>
      </c>
      <c r="BS302" s="62">
        <f>Metrics!BS194</f>
        <v>0</v>
      </c>
      <c r="BT302" s="62">
        <f>Metrics!BT194</f>
        <v>0</v>
      </c>
      <c r="BU302" s="62">
        <f>Metrics!BU194</f>
        <v>539</v>
      </c>
      <c r="BV302" s="90"/>
      <c r="BW302" s="62">
        <f>Metrics!BW194</f>
        <v>0</v>
      </c>
      <c r="BX302" s="62">
        <f>Metrics!BX194</f>
        <v>0</v>
      </c>
      <c r="BY302" s="62">
        <f>Metrics!BY194</f>
        <v>0</v>
      </c>
      <c r="BZ302" s="62">
        <f>Metrics!BZ194</f>
        <v>0</v>
      </c>
      <c r="CA302" s="62">
        <f>Metrics!CA194</f>
        <v>577</v>
      </c>
      <c r="CB302" s="90"/>
      <c r="CC302" s="62">
        <f>Metrics!CC194</f>
        <v>0</v>
      </c>
      <c r="CD302" s="62">
        <f>Metrics!CD194</f>
        <v>0</v>
      </c>
      <c r="CE302" s="62">
        <f>Metrics!CE194</f>
        <v>0</v>
      </c>
      <c r="CF302" s="62">
        <f>Metrics!CF194</f>
        <v>0</v>
      </c>
      <c r="CG302" s="62">
        <f>Metrics!CG194</f>
        <v>0</v>
      </c>
      <c r="CH302" s="90"/>
      <c r="CI302" s="62">
        <f>Metrics!CI194</f>
        <v>0</v>
      </c>
      <c r="CJ302" s="62">
        <f>Metrics!CJ194</f>
        <v>0</v>
      </c>
      <c r="CK302" s="62">
        <f>Metrics!CK194</f>
        <v>0</v>
      </c>
      <c r="CL302" s="62">
        <f>Metrics!CL194</f>
        <v>0</v>
      </c>
      <c r="CM302" s="62">
        <f>Metrics!CM194</f>
        <v>0</v>
      </c>
      <c r="CN302" s="90"/>
      <c r="CO302" s="62">
        <f>Metrics!CO194</f>
        <v>0</v>
      </c>
      <c r="CP302" s="62">
        <f>Metrics!CP194</f>
        <v>0</v>
      </c>
      <c r="CQ302" s="62">
        <f>Metrics!CQ194</f>
        <v>0</v>
      </c>
      <c r="CR302" s="62">
        <f>Metrics!CR194</f>
        <v>0</v>
      </c>
      <c r="CS302" s="62">
        <f>Metrics!CS194</f>
        <v>0</v>
      </c>
      <c r="CT302" s="90"/>
      <c r="CU302" s="62">
        <f>Metrics!CU194</f>
        <v>0</v>
      </c>
      <c r="CV302" s="62">
        <f>Metrics!CV194</f>
        <v>0</v>
      </c>
      <c r="CW302" s="62">
        <f>Metrics!CW194</f>
        <v>0</v>
      </c>
      <c r="CX302" s="62">
        <f>Metrics!CX194</f>
        <v>0</v>
      </c>
      <c r="CY302" s="62">
        <f>Metrics!CY194</f>
        <v>0</v>
      </c>
      <c r="CZ302" s="90"/>
      <c r="DA302" s="62">
        <f>Metrics!DA194</f>
        <v>0</v>
      </c>
      <c r="DB302" s="62">
        <f>Metrics!DB194</f>
        <v>0</v>
      </c>
      <c r="DC302" s="62">
        <f>Metrics!DC194</f>
        <v>0</v>
      </c>
      <c r="DD302" s="62">
        <f>Metrics!DD194</f>
        <v>0</v>
      </c>
      <c r="DE302" s="62">
        <f>Metrics!DE194</f>
        <v>0</v>
      </c>
      <c r="DF302" s="90"/>
      <c r="DG302" s="62">
        <f>Metrics!DG194</f>
        <v>0</v>
      </c>
      <c r="DH302" s="62">
        <f>Metrics!DH194</f>
        <v>0</v>
      </c>
      <c r="DI302" s="62">
        <f>Metrics!DI194</f>
        <v>0</v>
      </c>
      <c r="DJ302" s="62">
        <f>Metrics!DJ194</f>
        <v>0</v>
      </c>
      <c r="DK302" s="62">
        <f>Metrics!DK194</f>
        <v>0</v>
      </c>
      <c r="DL302" s="90"/>
      <c r="DM302" s="62">
        <f>Metrics!DM194</f>
        <v>0</v>
      </c>
      <c r="DN302" s="62">
        <f>Metrics!DN194</f>
        <v>0</v>
      </c>
      <c r="DO302" s="62">
        <f>Metrics!DO194</f>
        <v>0</v>
      </c>
      <c r="DP302" s="62">
        <f>Metrics!DP194</f>
        <v>0</v>
      </c>
      <c r="DQ302" s="62">
        <f>Metrics!DQ194</f>
        <v>0</v>
      </c>
      <c r="DR302" s="90"/>
      <c r="DS302" s="62">
        <f>Metrics!DS194</f>
        <v>0</v>
      </c>
      <c r="DT302" s="62">
        <f>Metrics!DT194</f>
        <v>0</v>
      </c>
      <c r="DU302" s="62">
        <f>Metrics!DU194</f>
        <v>0</v>
      </c>
      <c r="DV302" s="62">
        <f>Metrics!DV194</f>
        <v>0</v>
      </c>
      <c r="DW302" s="62">
        <f>Metrics!DW194</f>
        <v>0</v>
      </c>
      <c r="DX302" s="90"/>
      <c r="DY302" s="62">
        <f>Metrics!DY194</f>
        <v>0</v>
      </c>
      <c r="DZ302" s="62">
        <f>Metrics!DZ194</f>
        <v>0</v>
      </c>
      <c r="EA302" s="62">
        <f>Metrics!EA194</f>
        <v>0</v>
      </c>
      <c r="EB302" s="62">
        <f>Metrics!EB194</f>
        <v>0</v>
      </c>
      <c r="EC302" s="62">
        <f>Metrics!EC194</f>
        <v>0</v>
      </c>
      <c r="ED302" s="90"/>
      <c r="EE302" s="62">
        <f>Metrics!EE194</f>
        <v>0</v>
      </c>
      <c r="EF302" s="62">
        <f>Metrics!EF194</f>
        <v>0</v>
      </c>
      <c r="EG302" s="62">
        <f>Metrics!EG194</f>
        <v>0</v>
      </c>
      <c r="EH302" s="62">
        <f>Metrics!EH194</f>
        <v>0</v>
      </c>
      <c r="EI302" s="62">
        <f>Metrics!EI194</f>
        <v>0</v>
      </c>
      <c r="EJ302" s="90"/>
      <c r="EK302" s="62">
        <f>Metrics!EK194</f>
        <v>0</v>
      </c>
      <c r="EL302" s="62">
        <f>Metrics!EL194</f>
        <v>0</v>
      </c>
      <c r="EM302" s="62">
        <f>Metrics!EM194</f>
        <v>0</v>
      </c>
      <c r="EN302" s="62">
        <f>Metrics!EN194</f>
        <v>0</v>
      </c>
      <c r="EO302" s="62">
        <f>Metrics!EO194</f>
        <v>0</v>
      </c>
      <c r="EP302" s="90"/>
      <c r="EQ302" s="62">
        <f>Metrics!EQ194</f>
        <v>0</v>
      </c>
      <c r="ER302" s="62">
        <f>Metrics!ER194</f>
        <v>0</v>
      </c>
      <c r="ES302" s="62">
        <f>Metrics!ES194</f>
        <v>0</v>
      </c>
      <c r="ET302" s="62">
        <f>Metrics!ET194</f>
        <v>0</v>
      </c>
      <c r="EU302" s="62">
        <f>Metrics!EU194</f>
        <v>0</v>
      </c>
      <c r="EV302" s="90"/>
    </row>
    <row r="303" spans="1:152" ht="12.75" hidden="1" customHeight="1" outlineLevel="1">
      <c r="A303" s="90" t="s">
        <v>2324</v>
      </c>
      <c r="B303" s="520" t="s">
        <v>6288</v>
      </c>
      <c r="C303" s="62">
        <f>Metrics!C195</f>
        <v>0</v>
      </c>
      <c r="D303" s="62">
        <f>Metrics!D195</f>
        <v>0</v>
      </c>
      <c r="E303" s="62">
        <f>Metrics!E195</f>
        <v>0</v>
      </c>
      <c r="F303" s="62">
        <f>Metrics!F195</f>
        <v>0</v>
      </c>
      <c r="G303" s="62">
        <f>Metrics!G195</f>
        <v>0</v>
      </c>
      <c r="H303" s="90"/>
      <c r="I303" s="62">
        <f>Metrics!I195</f>
        <v>0</v>
      </c>
      <c r="J303" s="62">
        <f>Metrics!J195</f>
        <v>0</v>
      </c>
      <c r="K303" s="62">
        <f>Metrics!K195</f>
        <v>0</v>
      </c>
      <c r="L303" s="62">
        <f>Metrics!L195</f>
        <v>0</v>
      </c>
      <c r="M303" s="62">
        <f>Metrics!M195</f>
        <v>0</v>
      </c>
      <c r="N303" s="90"/>
      <c r="O303" s="62">
        <f>Metrics!O195</f>
        <v>0</v>
      </c>
      <c r="P303" s="62">
        <f>Metrics!P195</f>
        <v>0</v>
      </c>
      <c r="Q303" s="62">
        <f>Metrics!Q195</f>
        <v>0</v>
      </c>
      <c r="R303" s="62">
        <f>Metrics!R195</f>
        <v>0</v>
      </c>
      <c r="S303" s="62">
        <f>Metrics!S195</f>
        <v>0</v>
      </c>
      <c r="T303" s="90"/>
      <c r="U303" s="62">
        <f>Metrics!U195</f>
        <v>0</v>
      </c>
      <c r="V303" s="62">
        <f>Metrics!V195</f>
        <v>0</v>
      </c>
      <c r="W303" s="62">
        <f>Metrics!W195</f>
        <v>0</v>
      </c>
      <c r="X303" s="62">
        <f>Metrics!X195</f>
        <v>0</v>
      </c>
      <c r="Y303" s="62">
        <f>Metrics!Y195</f>
        <v>0</v>
      </c>
      <c r="Z303" s="90"/>
      <c r="AA303" s="62">
        <f>Metrics!AA195</f>
        <v>0</v>
      </c>
      <c r="AB303" s="62">
        <f>Metrics!AB195</f>
        <v>0</v>
      </c>
      <c r="AC303" s="62">
        <f>Metrics!AC195</f>
        <v>0</v>
      </c>
      <c r="AD303" s="62">
        <f>Metrics!AD195</f>
        <v>0</v>
      </c>
      <c r="AE303" s="62">
        <f>Metrics!AE195</f>
        <v>0</v>
      </c>
      <c r="AF303" s="90"/>
      <c r="AG303" s="62">
        <f>Metrics!AG195</f>
        <v>0</v>
      </c>
      <c r="AH303" s="62">
        <f>Metrics!AH195</f>
        <v>0</v>
      </c>
      <c r="AI303" s="62">
        <f>Metrics!AI195</f>
        <v>0</v>
      </c>
      <c r="AJ303" s="62">
        <f>Metrics!AJ195</f>
        <v>0</v>
      </c>
      <c r="AK303" s="62">
        <f>Metrics!AK195</f>
        <v>0</v>
      </c>
      <c r="AL303" s="90"/>
      <c r="AM303" s="62">
        <f>Metrics!AM195</f>
        <v>0</v>
      </c>
      <c r="AN303" s="62">
        <f>Metrics!AN195</f>
        <v>0</v>
      </c>
      <c r="AO303" s="62">
        <f>Metrics!AO195</f>
        <v>0</v>
      </c>
      <c r="AP303" s="62">
        <f>Metrics!AP195</f>
        <v>0</v>
      </c>
      <c r="AQ303" s="62">
        <f>Metrics!AQ195</f>
        <v>92.2</v>
      </c>
      <c r="AR303" s="90"/>
      <c r="AS303" s="62">
        <f>Metrics!AS195</f>
        <v>0</v>
      </c>
      <c r="AT303" s="62">
        <f>Metrics!AT195</f>
        <v>0</v>
      </c>
      <c r="AU303" s="62">
        <f>Metrics!AU195</f>
        <v>0</v>
      </c>
      <c r="AV303" s="62">
        <f>Metrics!AV195</f>
        <v>0</v>
      </c>
      <c r="AW303" s="62">
        <f>Metrics!AW195</f>
        <v>109.9</v>
      </c>
      <c r="AX303" s="90"/>
      <c r="AY303" s="62">
        <f>Metrics!AY195</f>
        <v>0</v>
      </c>
      <c r="AZ303" s="62">
        <f>Metrics!AZ195</f>
        <v>0</v>
      </c>
      <c r="BA303" s="62">
        <f>Metrics!BA195</f>
        <v>0</v>
      </c>
      <c r="BB303" s="62">
        <f>Metrics!BB195</f>
        <v>0</v>
      </c>
      <c r="BC303" s="62">
        <f>Metrics!BC195</f>
        <v>109.9</v>
      </c>
      <c r="BD303" s="90"/>
      <c r="BE303" s="62">
        <f>Metrics!BE195</f>
        <v>0</v>
      </c>
      <c r="BF303" s="62">
        <f>Metrics!BF195</f>
        <v>0</v>
      </c>
      <c r="BG303" s="62">
        <f>Metrics!BG195</f>
        <v>0</v>
      </c>
      <c r="BH303" s="62">
        <f>Metrics!BH195</f>
        <v>0</v>
      </c>
      <c r="BI303" s="62">
        <f>Metrics!BI195</f>
        <v>82.8</v>
      </c>
      <c r="BJ303" s="90"/>
      <c r="BK303" s="62">
        <f>Metrics!BK195</f>
        <v>0</v>
      </c>
      <c r="BL303" s="62">
        <f>Metrics!BL195</f>
        <v>0</v>
      </c>
      <c r="BM303" s="62">
        <f>Metrics!BM195</f>
        <v>0</v>
      </c>
      <c r="BN303" s="62">
        <f>Metrics!BN195</f>
        <v>0</v>
      </c>
      <c r="BO303" s="62">
        <f>Metrics!BO195</f>
        <v>79</v>
      </c>
      <c r="BP303" s="90"/>
      <c r="BQ303" s="62">
        <f>Metrics!BQ195</f>
        <v>0</v>
      </c>
      <c r="BR303" s="62">
        <f>Metrics!BR195</f>
        <v>0</v>
      </c>
      <c r="BS303" s="62">
        <f>Metrics!BS195</f>
        <v>0</v>
      </c>
      <c r="BT303" s="62">
        <f>Metrics!BT195</f>
        <v>0</v>
      </c>
      <c r="BU303" s="62">
        <f>Metrics!BU195</f>
        <v>0</v>
      </c>
      <c r="BV303" s="90"/>
      <c r="BW303" s="62">
        <f>Metrics!BW195</f>
        <v>0</v>
      </c>
      <c r="BX303" s="62">
        <f>Metrics!BX195</f>
        <v>0</v>
      </c>
      <c r="BY303" s="62">
        <f>Metrics!BY195</f>
        <v>0</v>
      </c>
      <c r="BZ303" s="62">
        <f>Metrics!BZ195</f>
        <v>0</v>
      </c>
      <c r="CA303" s="62">
        <f>Metrics!CA195</f>
        <v>0</v>
      </c>
      <c r="CB303" s="90"/>
      <c r="CC303" s="62">
        <f>Metrics!CC195</f>
        <v>0</v>
      </c>
      <c r="CD303" s="62">
        <f>Metrics!CD195</f>
        <v>0</v>
      </c>
      <c r="CE303" s="62">
        <f>Metrics!CE195</f>
        <v>0</v>
      </c>
      <c r="CF303" s="62">
        <f>Metrics!CF195</f>
        <v>0</v>
      </c>
      <c r="CG303" s="62">
        <f>Metrics!CG195</f>
        <v>0</v>
      </c>
      <c r="CH303" s="90"/>
      <c r="CI303" s="62">
        <f>Metrics!CI195</f>
        <v>0</v>
      </c>
      <c r="CJ303" s="62">
        <f>Metrics!CJ195</f>
        <v>0</v>
      </c>
      <c r="CK303" s="62">
        <f>Metrics!CK195</f>
        <v>0</v>
      </c>
      <c r="CL303" s="62">
        <f>Metrics!CL195</f>
        <v>0</v>
      </c>
      <c r="CM303" s="62">
        <f>Metrics!CM195</f>
        <v>0</v>
      </c>
      <c r="CN303" s="90"/>
      <c r="CO303" s="62">
        <f>Metrics!CO195</f>
        <v>0</v>
      </c>
      <c r="CP303" s="62">
        <f>Metrics!CP195</f>
        <v>0</v>
      </c>
      <c r="CQ303" s="62">
        <f>Metrics!CQ195</f>
        <v>0</v>
      </c>
      <c r="CR303" s="62">
        <f>Metrics!CR195</f>
        <v>0</v>
      </c>
      <c r="CS303" s="62">
        <f>Metrics!CS195</f>
        <v>0</v>
      </c>
      <c r="CT303" s="90"/>
      <c r="CU303" s="62">
        <f>Metrics!CU195</f>
        <v>0</v>
      </c>
      <c r="CV303" s="62">
        <f>Metrics!CV195</f>
        <v>0</v>
      </c>
      <c r="CW303" s="62">
        <f>Metrics!CW195</f>
        <v>0</v>
      </c>
      <c r="CX303" s="62">
        <f>Metrics!CX195</f>
        <v>0</v>
      </c>
      <c r="CY303" s="62">
        <f>Metrics!CY195</f>
        <v>0</v>
      </c>
      <c r="CZ303" s="90"/>
      <c r="DA303" s="62">
        <f>Metrics!DA195</f>
        <v>0</v>
      </c>
      <c r="DB303" s="62">
        <f>Metrics!DB195</f>
        <v>0</v>
      </c>
      <c r="DC303" s="62">
        <f>Metrics!DC195</f>
        <v>0</v>
      </c>
      <c r="DD303" s="62">
        <f>Metrics!DD195</f>
        <v>0</v>
      </c>
      <c r="DE303" s="62">
        <f>Metrics!DE195</f>
        <v>0</v>
      </c>
      <c r="DF303" s="90"/>
      <c r="DG303" s="62">
        <f>Metrics!DG195</f>
        <v>0</v>
      </c>
      <c r="DH303" s="62">
        <f>Metrics!DH195</f>
        <v>0</v>
      </c>
      <c r="DI303" s="62">
        <f>Metrics!DI195</f>
        <v>0</v>
      </c>
      <c r="DJ303" s="62">
        <f>Metrics!DJ195</f>
        <v>0</v>
      </c>
      <c r="DK303" s="62">
        <f>Metrics!DK195</f>
        <v>0</v>
      </c>
      <c r="DL303" s="90"/>
      <c r="DM303" s="62">
        <f>Metrics!DM195</f>
        <v>0</v>
      </c>
      <c r="DN303" s="62">
        <f>Metrics!DN195</f>
        <v>0</v>
      </c>
      <c r="DO303" s="62">
        <f>Metrics!DO195</f>
        <v>0</v>
      </c>
      <c r="DP303" s="62">
        <f>Metrics!DP195</f>
        <v>0</v>
      </c>
      <c r="DQ303" s="62">
        <f>Metrics!DQ195</f>
        <v>0</v>
      </c>
      <c r="DR303" s="90"/>
      <c r="DS303" s="62">
        <f>Metrics!DS195</f>
        <v>0</v>
      </c>
      <c r="DT303" s="62">
        <f>Metrics!DT195</f>
        <v>0</v>
      </c>
      <c r="DU303" s="62">
        <f>Metrics!DU195</f>
        <v>0</v>
      </c>
      <c r="DV303" s="62">
        <f>Metrics!DV195</f>
        <v>0</v>
      </c>
      <c r="DW303" s="62">
        <f>Metrics!DW195</f>
        <v>0</v>
      </c>
      <c r="DX303" s="90"/>
      <c r="DY303" s="62">
        <f>Metrics!DY195</f>
        <v>0</v>
      </c>
      <c r="DZ303" s="62">
        <f>Metrics!DZ195</f>
        <v>0</v>
      </c>
      <c r="EA303" s="62">
        <f>Metrics!EA195</f>
        <v>0</v>
      </c>
      <c r="EB303" s="62">
        <f>Metrics!EB195</f>
        <v>0</v>
      </c>
      <c r="EC303" s="62">
        <f>Metrics!EC195</f>
        <v>0</v>
      </c>
      <c r="ED303" s="90"/>
      <c r="EE303" s="62">
        <f>Metrics!EE195</f>
        <v>0</v>
      </c>
      <c r="EF303" s="62">
        <f>Metrics!EF195</f>
        <v>0</v>
      </c>
      <c r="EG303" s="62">
        <f>Metrics!EG195</f>
        <v>0</v>
      </c>
      <c r="EH303" s="62">
        <f>Metrics!EH195</f>
        <v>0</v>
      </c>
      <c r="EI303" s="62">
        <f>Metrics!EI195</f>
        <v>0</v>
      </c>
      <c r="EJ303" s="90"/>
      <c r="EK303" s="62">
        <f>Metrics!EK195</f>
        <v>0</v>
      </c>
      <c r="EL303" s="62">
        <f>Metrics!EL195</f>
        <v>0</v>
      </c>
      <c r="EM303" s="62">
        <f>Metrics!EM195</f>
        <v>0</v>
      </c>
      <c r="EN303" s="62">
        <f>Metrics!EN195</f>
        <v>0</v>
      </c>
      <c r="EO303" s="62">
        <f>Metrics!EO195</f>
        <v>0</v>
      </c>
      <c r="EP303" s="90"/>
      <c r="EQ303" s="62">
        <f>Metrics!EQ195</f>
        <v>0</v>
      </c>
      <c r="ER303" s="62">
        <f>Metrics!ER195</f>
        <v>0</v>
      </c>
      <c r="ES303" s="62">
        <f>Metrics!ES195</f>
        <v>0</v>
      </c>
      <c r="ET303" s="62">
        <f>Metrics!ET195</f>
        <v>0</v>
      </c>
      <c r="EU303" s="62">
        <f>Metrics!EU195</f>
        <v>0</v>
      </c>
      <c r="EV303" s="90"/>
    </row>
    <row r="304" spans="1:152" ht="11.25" hidden="1" customHeight="1" outlineLevel="1">
      <c r="A304" s="90" t="s">
        <v>6289</v>
      </c>
      <c r="B304" s="520" t="s">
        <v>6290</v>
      </c>
      <c r="C304" s="62">
        <f>Metrics!C197</f>
        <v>0</v>
      </c>
      <c r="D304" s="62">
        <f>Metrics!D197</f>
        <v>0</v>
      </c>
      <c r="E304" s="62">
        <f>Metrics!E197</f>
        <v>0</v>
      </c>
      <c r="F304" s="62">
        <f>Metrics!F197</f>
        <v>0</v>
      </c>
      <c r="G304" s="62">
        <f>Metrics!G197</f>
        <v>450</v>
      </c>
      <c r="H304" s="90"/>
      <c r="I304" s="62">
        <f>Metrics!I197</f>
        <v>0</v>
      </c>
      <c r="J304" s="62">
        <f>Metrics!J197</f>
        <v>0</v>
      </c>
      <c r="K304" s="62">
        <f>Metrics!K197</f>
        <v>0</v>
      </c>
      <c r="L304" s="62">
        <f>Metrics!L197</f>
        <v>0</v>
      </c>
      <c r="M304" s="62">
        <f>Metrics!M197</f>
        <v>630</v>
      </c>
      <c r="N304" s="90"/>
      <c r="O304" s="62">
        <f>Metrics!O197</f>
        <v>0</v>
      </c>
      <c r="P304" s="62">
        <f>Metrics!P197</f>
        <v>0</v>
      </c>
      <c r="Q304" s="62">
        <f>Metrics!Q197</f>
        <v>0</v>
      </c>
      <c r="R304" s="62">
        <f>Metrics!R197</f>
        <v>0</v>
      </c>
      <c r="S304" s="62">
        <f>Metrics!S197</f>
        <v>0</v>
      </c>
      <c r="T304" s="90"/>
      <c r="U304" s="62">
        <f>Metrics!U197</f>
        <v>0</v>
      </c>
      <c r="V304" s="62">
        <f>Metrics!V197</f>
        <v>0</v>
      </c>
      <c r="W304" s="62">
        <f>Metrics!W197</f>
        <v>0</v>
      </c>
      <c r="X304" s="62">
        <f>Metrics!X197</f>
        <v>0</v>
      </c>
      <c r="Y304" s="62">
        <f>Metrics!Y197</f>
        <v>0</v>
      </c>
      <c r="Z304" s="90"/>
      <c r="AA304" s="62">
        <f>Metrics!AA197</f>
        <v>0</v>
      </c>
      <c r="AB304" s="62">
        <f>Metrics!AB197</f>
        <v>0</v>
      </c>
      <c r="AC304" s="62">
        <f>Metrics!AC197</f>
        <v>0</v>
      </c>
      <c r="AD304" s="62">
        <f>Metrics!AD197</f>
        <v>0</v>
      </c>
      <c r="AE304" s="62">
        <f>Metrics!AE197</f>
        <v>0</v>
      </c>
      <c r="AF304" s="90"/>
      <c r="AG304" s="62">
        <f>Metrics!AG197</f>
        <v>0</v>
      </c>
      <c r="AH304" s="62">
        <f>Metrics!AH197</f>
        <v>0</v>
      </c>
      <c r="AI304" s="62">
        <f>Metrics!AI197</f>
        <v>0</v>
      </c>
      <c r="AJ304" s="62">
        <f>Metrics!AJ197</f>
        <v>0</v>
      </c>
      <c r="AK304" s="62">
        <f>Metrics!AK197</f>
        <v>0</v>
      </c>
      <c r="AL304" s="90"/>
      <c r="AM304" s="62">
        <f>Metrics!AM197</f>
        <v>0</v>
      </c>
      <c r="AN304" s="62">
        <f>Metrics!AN197</f>
        <v>0</v>
      </c>
      <c r="AO304" s="62">
        <f>Metrics!AO197</f>
        <v>0</v>
      </c>
      <c r="AP304" s="62">
        <f>Metrics!AP197</f>
        <v>0</v>
      </c>
      <c r="AQ304" s="62">
        <f>Metrics!AQ197</f>
        <v>2221.1999999999998</v>
      </c>
      <c r="AR304" s="90"/>
      <c r="AS304" s="62">
        <f>Metrics!AS197</f>
        <v>0</v>
      </c>
      <c r="AT304" s="62">
        <f>Metrics!AT197</f>
        <v>0</v>
      </c>
      <c r="AU304" s="62">
        <f>Metrics!AU197</f>
        <v>0</v>
      </c>
      <c r="AV304" s="62">
        <f>Metrics!AV197</f>
        <v>0</v>
      </c>
      <c r="AW304" s="62">
        <f>Metrics!AW197</f>
        <v>2430.4</v>
      </c>
      <c r="AX304" s="90"/>
      <c r="AY304" s="62">
        <f>Metrics!AY197</f>
        <v>0</v>
      </c>
      <c r="AZ304" s="62">
        <f>Metrics!AZ197</f>
        <v>0</v>
      </c>
      <c r="BA304" s="62">
        <f>Metrics!BA197</f>
        <v>0</v>
      </c>
      <c r="BB304" s="62">
        <f>Metrics!BB197</f>
        <v>0</v>
      </c>
      <c r="BC304" s="62">
        <f>Metrics!BC197</f>
        <v>2677.9</v>
      </c>
      <c r="BD304" s="90"/>
      <c r="BE304" s="62">
        <f>Metrics!BE197</f>
        <v>0</v>
      </c>
      <c r="BF304" s="62">
        <f>Metrics!BF197</f>
        <v>0</v>
      </c>
      <c r="BG304" s="62">
        <f>Metrics!BG197</f>
        <v>0</v>
      </c>
      <c r="BH304" s="62">
        <f>Metrics!BH197</f>
        <v>0</v>
      </c>
      <c r="BI304" s="62">
        <f>Metrics!BI197</f>
        <v>3009</v>
      </c>
      <c r="BJ304" s="90"/>
      <c r="BK304" s="62">
        <f>Metrics!BK197</f>
        <v>0</v>
      </c>
      <c r="BL304" s="62">
        <f>Metrics!BL197</f>
        <v>0</v>
      </c>
      <c r="BM304" s="62">
        <f>Metrics!BM197</f>
        <v>0</v>
      </c>
      <c r="BN304" s="62">
        <f>Metrics!BN197</f>
        <v>0</v>
      </c>
      <c r="BO304" s="62">
        <f>Metrics!BO197</f>
        <v>3335</v>
      </c>
      <c r="BP304" s="90"/>
      <c r="BQ304" s="62">
        <f>Metrics!BQ197</f>
        <v>0</v>
      </c>
      <c r="BR304" s="62">
        <f>Metrics!BR197</f>
        <v>0</v>
      </c>
      <c r="BS304" s="62">
        <f>Metrics!BS197</f>
        <v>0</v>
      </c>
      <c r="BT304" s="62">
        <f>Metrics!BT197</f>
        <v>0</v>
      </c>
      <c r="BU304" s="62">
        <f>Metrics!BU197</f>
        <v>3680</v>
      </c>
      <c r="BV304" s="90"/>
      <c r="BW304" s="62">
        <f>Metrics!BW197</f>
        <v>0</v>
      </c>
      <c r="BX304" s="62">
        <f>Metrics!BX197</f>
        <v>0</v>
      </c>
      <c r="BY304" s="62">
        <f>Metrics!BY197</f>
        <v>0</v>
      </c>
      <c r="BZ304" s="62">
        <f>Metrics!BZ197</f>
        <v>0</v>
      </c>
      <c r="CA304" s="62">
        <f>Metrics!CA197</f>
        <v>3949</v>
      </c>
      <c r="CB304" s="90"/>
      <c r="CC304" s="62">
        <f>Metrics!CC197</f>
        <v>0</v>
      </c>
      <c r="CD304" s="62">
        <f>Metrics!CD197</f>
        <v>0</v>
      </c>
      <c r="CE304" s="62">
        <f>Metrics!CE197</f>
        <v>0</v>
      </c>
      <c r="CF304" s="62">
        <f>Metrics!CF197</f>
        <v>0</v>
      </c>
      <c r="CG304" s="62">
        <f>Metrics!CG197</f>
        <v>0</v>
      </c>
      <c r="CH304" s="90"/>
      <c r="CI304" s="62">
        <f>Metrics!CI197</f>
        <v>0</v>
      </c>
      <c r="CJ304" s="62">
        <f>Metrics!CJ197</f>
        <v>0</v>
      </c>
      <c r="CK304" s="62">
        <f>Metrics!CK197</f>
        <v>0</v>
      </c>
      <c r="CL304" s="62">
        <f>Metrics!CL197</f>
        <v>0</v>
      </c>
      <c r="CM304" s="62">
        <f>Metrics!CM197</f>
        <v>0</v>
      </c>
      <c r="CN304" s="90"/>
      <c r="CO304" s="62">
        <f>Metrics!CO197</f>
        <v>0</v>
      </c>
      <c r="CP304" s="62">
        <f>Metrics!CP197</f>
        <v>0</v>
      </c>
      <c r="CQ304" s="62">
        <f>Metrics!CQ197</f>
        <v>0</v>
      </c>
      <c r="CR304" s="62">
        <f>Metrics!CR197</f>
        <v>0</v>
      </c>
      <c r="CS304" s="62">
        <f>Metrics!CS197</f>
        <v>0</v>
      </c>
      <c r="CT304" s="90"/>
      <c r="CU304" s="62">
        <f>Metrics!CU197</f>
        <v>0</v>
      </c>
      <c r="CV304" s="62">
        <f>Metrics!CV197</f>
        <v>0</v>
      </c>
      <c r="CW304" s="62">
        <f>Metrics!CW197</f>
        <v>0</v>
      </c>
      <c r="CX304" s="62">
        <f>Metrics!CX197</f>
        <v>0</v>
      </c>
      <c r="CY304" s="62">
        <f>Metrics!CY197</f>
        <v>0</v>
      </c>
      <c r="CZ304" s="90"/>
      <c r="DA304" s="62">
        <f>Metrics!DA197</f>
        <v>0</v>
      </c>
      <c r="DB304" s="62">
        <f>Metrics!DB197</f>
        <v>0</v>
      </c>
      <c r="DC304" s="62">
        <f>Metrics!DC197</f>
        <v>0</v>
      </c>
      <c r="DD304" s="62">
        <f>Metrics!DD197</f>
        <v>0</v>
      </c>
      <c r="DE304" s="62">
        <f>Metrics!DE197</f>
        <v>0</v>
      </c>
      <c r="DF304" s="90"/>
      <c r="DG304" s="62">
        <f>Metrics!DG197</f>
        <v>0</v>
      </c>
      <c r="DH304" s="62">
        <f>Metrics!DH197</f>
        <v>0</v>
      </c>
      <c r="DI304" s="62">
        <f>Metrics!DI197</f>
        <v>0</v>
      </c>
      <c r="DJ304" s="62">
        <f>Metrics!DJ197</f>
        <v>0</v>
      </c>
      <c r="DK304" s="62">
        <f>Metrics!DK197</f>
        <v>0</v>
      </c>
      <c r="DL304" s="90"/>
      <c r="DM304" s="62">
        <f>Metrics!DM197</f>
        <v>0</v>
      </c>
      <c r="DN304" s="62">
        <f>Metrics!DN197</f>
        <v>0</v>
      </c>
      <c r="DO304" s="62">
        <f>Metrics!DO197</f>
        <v>0</v>
      </c>
      <c r="DP304" s="62">
        <f>Metrics!DP197</f>
        <v>0</v>
      </c>
      <c r="DQ304" s="62">
        <f>Metrics!DQ197</f>
        <v>0</v>
      </c>
      <c r="DR304" s="90"/>
      <c r="DS304" s="62">
        <f>Metrics!DS197</f>
        <v>0</v>
      </c>
      <c r="DT304" s="62">
        <f>Metrics!DT197</f>
        <v>0</v>
      </c>
      <c r="DU304" s="62">
        <f>Metrics!DU197</f>
        <v>0</v>
      </c>
      <c r="DV304" s="62">
        <f>Metrics!DV197</f>
        <v>0</v>
      </c>
      <c r="DW304" s="62">
        <f>Metrics!DW197</f>
        <v>0</v>
      </c>
      <c r="DX304" s="90"/>
      <c r="DY304" s="62">
        <f>Metrics!DY197</f>
        <v>0</v>
      </c>
      <c r="DZ304" s="62">
        <f>Metrics!DZ197</f>
        <v>0</v>
      </c>
      <c r="EA304" s="62">
        <f>Metrics!EA197</f>
        <v>0</v>
      </c>
      <c r="EB304" s="62">
        <f>Metrics!EB197</f>
        <v>0</v>
      </c>
      <c r="EC304" s="62">
        <f>Metrics!EC197</f>
        <v>0</v>
      </c>
      <c r="ED304" s="90"/>
      <c r="EE304" s="62">
        <f>Metrics!EE197</f>
        <v>0</v>
      </c>
      <c r="EF304" s="62">
        <f>Metrics!EF197</f>
        <v>0</v>
      </c>
      <c r="EG304" s="62">
        <f>Metrics!EG197</f>
        <v>0</v>
      </c>
      <c r="EH304" s="62">
        <f>Metrics!EH197</f>
        <v>0</v>
      </c>
      <c r="EI304" s="62">
        <f>Metrics!EI197</f>
        <v>0</v>
      </c>
      <c r="EJ304" s="90"/>
      <c r="EK304" s="62">
        <f>Metrics!EK197</f>
        <v>0</v>
      </c>
      <c r="EL304" s="62">
        <f>Metrics!EL197</f>
        <v>0</v>
      </c>
      <c r="EM304" s="62">
        <f>Metrics!EM197</f>
        <v>0</v>
      </c>
      <c r="EN304" s="62">
        <f>Metrics!EN197</f>
        <v>0</v>
      </c>
      <c r="EO304" s="62">
        <f>Metrics!EO197</f>
        <v>0</v>
      </c>
      <c r="EP304" s="90"/>
      <c r="EQ304" s="62">
        <f>Metrics!EQ197</f>
        <v>0</v>
      </c>
      <c r="ER304" s="62">
        <f>Metrics!ER197</f>
        <v>0</v>
      </c>
      <c r="ES304" s="62">
        <f>Metrics!ES197</f>
        <v>0</v>
      </c>
      <c r="ET304" s="62">
        <f>Metrics!ET197</f>
        <v>0</v>
      </c>
      <c r="EU304" s="62">
        <f>Metrics!EU197</f>
        <v>0</v>
      </c>
      <c r="EV304" s="90"/>
    </row>
    <row r="305" spans="1:152" ht="12.75" hidden="1" customHeight="1" outlineLevel="1">
      <c r="A305" s="90" t="s">
        <v>6291</v>
      </c>
      <c r="B305" s="520" t="s">
        <v>6292</v>
      </c>
      <c r="C305" s="62">
        <f>Metrics!C168</f>
        <v>0</v>
      </c>
      <c r="D305" s="62">
        <f>Metrics!D168</f>
        <v>0</v>
      </c>
      <c r="E305" s="62">
        <f>Metrics!E168</f>
        <v>0</v>
      </c>
      <c r="F305" s="62">
        <f>Metrics!F168</f>
        <v>0</v>
      </c>
      <c r="G305" s="62">
        <f>Metrics!G168</f>
        <v>0</v>
      </c>
      <c r="H305" s="90"/>
      <c r="I305" s="62">
        <f>Metrics!I168</f>
        <v>0</v>
      </c>
      <c r="J305" s="62">
        <f>Metrics!J168</f>
        <v>0</v>
      </c>
      <c r="K305" s="62">
        <f>Metrics!K168</f>
        <v>0</v>
      </c>
      <c r="L305" s="62">
        <f>Metrics!L168</f>
        <v>0</v>
      </c>
      <c r="M305" s="62">
        <f>Metrics!M168</f>
        <v>0</v>
      </c>
      <c r="N305" s="90"/>
      <c r="O305" s="62">
        <f>Metrics!O168</f>
        <v>0</v>
      </c>
      <c r="P305" s="62">
        <f>Metrics!P168</f>
        <v>0</v>
      </c>
      <c r="Q305" s="62">
        <f>Metrics!Q168</f>
        <v>0</v>
      </c>
      <c r="R305" s="62">
        <f>Metrics!R168</f>
        <v>0</v>
      </c>
      <c r="S305" s="62">
        <f>Metrics!S168</f>
        <v>0</v>
      </c>
      <c r="T305" s="90"/>
      <c r="U305" s="62">
        <f>Metrics!U168</f>
        <v>0</v>
      </c>
      <c r="V305" s="62">
        <f>Metrics!V168</f>
        <v>0</v>
      </c>
      <c r="W305" s="62">
        <f>Metrics!W168</f>
        <v>0</v>
      </c>
      <c r="X305" s="62">
        <f>Metrics!X168</f>
        <v>0</v>
      </c>
      <c r="Y305" s="62">
        <f>Metrics!Y168</f>
        <v>0</v>
      </c>
      <c r="Z305" s="90"/>
      <c r="AA305" s="62">
        <f>Metrics!AA168</f>
        <v>0</v>
      </c>
      <c r="AB305" s="62">
        <f>Metrics!AB168</f>
        <v>0</v>
      </c>
      <c r="AC305" s="62">
        <f>Metrics!AC168</f>
        <v>0</v>
      </c>
      <c r="AD305" s="62">
        <f>Metrics!AD168</f>
        <v>0</v>
      </c>
      <c r="AE305" s="62">
        <f>Metrics!AE168</f>
        <v>0</v>
      </c>
      <c r="AF305" s="90"/>
      <c r="AG305" s="62">
        <f>Metrics!AG168</f>
        <v>76.167000000000002</v>
      </c>
      <c r="AH305" s="62">
        <f>Metrics!AH168</f>
        <v>78.676000000000002</v>
      </c>
      <c r="AI305" s="62">
        <f>Metrics!AI168</f>
        <v>95.216000000000022</v>
      </c>
      <c r="AJ305" s="62">
        <f>Metrics!AJ168</f>
        <v>0</v>
      </c>
      <c r="AK305" s="62">
        <f>Metrics!AK168</f>
        <v>0</v>
      </c>
      <c r="AL305" s="90"/>
      <c r="AM305" s="62">
        <f>Metrics!AM168</f>
        <v>100.90388</v>
      </c>
      <c r="AN305" s="62">
        <f>Metrics!AN168</f>
        <v>93.016440000000003</v>
      </c>
      <c r="AO305" s="62">
        <f>Metrics!AO168</f>
        <v>83.028440000000003</v>
      </c>
      <c r="AP305" s="62">
        <f>Metrics!AP168</f>
        <v>0</v>
      </c>
      <c r="AQ305" s="62">
        <f>Metrics!AQ168</f>
        <v>354.72634999999997</v>
      </c>
      <c r="AR305" s="90"/>
      <c r="AS305" s="62">
        <f>Metrics!AS168</f>
        <v>92.737039999999979</v>
      </c>
      <c r="AT305" s="62">
        <f>Metrics!AT168</f>
        <v>99.501349999999988</v>
      </c>
      <c r="AU305" s="62">
        <f>Metrics!AU168</f>
        <v>105.2379</v>
      </c>
      <c r="AV305" s="62">
        <f>Metrics!AV168</f>
        <v>130.76306</v>
      </c>
      <c r="AW305" s="62">
        <f>Metrics!AW168</f>
        <v>428.23935</v>
      </c>
      <c r="AX305" s="90"/>
      <c r="AY305" s="62">
        <f>Metrics!AY168</f>
        <v>143.56800000000001</v>
      </c>
      <c r="AZ305" s="62">
        <f>Metrics!AZ168</f>
        <v>123.55200000000001</v>
      </c>
      <c r="BA305" s="62">
        <f>Metrics!BA168</f>
        <v>123.57400000000001</v>
      </c>
      <c r="BB305" s="62">
        <f>Metrics!BB168</f>
        <v>166.81100000000006</v>
      </c>
      <c r="BC305" s="62">
        <f>Metrics!BC168</f>
        <v>557.50500000000011</v>
      </c>
      <c r="BD305" s="90"/>
      <c r="BE305" s="62">
        <f>Metrics!BE168</f>
        <v>168.77699999999999</v>
      </c>
      <c r="BF305" s="62">
        <f>Metrics!BF168</f>
        <v>166.54559999999998</v>
      </c>
      <c r="BG305" s="62">
        <f>Metrics!BG168</f>
        <v>162.13749999999999</v>
      </c>
      <c r="BH305" s="62">
        <f>Metrics!BH168</f>
        <v>180.51400000000001</v>
      </c>
      <c r="BI305" s="62">
        <f>Metrics!BI168</f>
        <v>677.97409999999991</v>
      </c>
      <c r="BJ305" s="90"/>
      <c r="BK305" s="62">
        <f>Metrics!BK168</f>
        <v>189.66</v>
      </c>
      <c r="BL305" s="62">
        <f>Metrics!BL168</f>
        <v>184.33599999999998</v>
      </c>
      <c r="BM305" s="62">
        <f>Metrics!BM168</f>
        <v>173.66</v>
      </c>
      <c r="BN305" s="62">
        <f>Metrics!BN168</f>
        <v>183.89</v>
      </c>
      <c r="BO305" s="62">
        <f>Metrics!BO168</f>
        <v>731.54599999999994</v>
      </c>
      <c r="BP305" s="90"/>
      <c r="BQ305" s="62">
        <f>Metrics!BQ168</f>
        <v>208.52600000000001</v>
      </c>
      <c r="BR305" s="62">
        <f>Metrics!BR168</f>
        <v>205.10100000000006</v>
      </c>
      <c r="BS305" s="62">
        <f>Metrics!BS168</f>
        <v>199.43</v>
      </c>
      <c r="BT305" s="62">
        <f>Metrics!BT168</f>
        <v>221.63</v>
      </c>
      <c r="BU305" s="62">
        <f>Metrics!BU168</f>
        <v>834.68700000000001</v>
      </c>
      <c r="BV305" s="90"/>
      <c r="BW305" s="62">
        <f>Metrics!BW168</f>
        <v>245.50799999999995</v>
      </c>
      <c r="BX305" s="62">
        <f>Metrics!BX168</f>
        <v>216.82499999999999</v>
      </c>
      <c r="BY305" s="62">
        <f>Metrics!BY168</f>
        <v>212.48499999999999</v>
      </c>
      <c r="BZ305" s="62">
        <f>Metrics!BZ168</f>
        <v>156.73600000000002</v>
      </c>
      <c r="CA305" s="62">
        <f>Metrics!CA168</f>
        <v>831.55399999999997</v>
      </c>
      <c r="CB305" s="90"/>
      <c r="CC305" s="62">
        <f>Metrics!CC168</f>
        <v>141.43200000000002</v>
      </c>
      <c r="CD305" s="62">
        <f>Metrics!CD168</f>
        <v>128.65</v>
      </c>
      <c r="CE305" s="62">
        <f>Metrics!CE168</f>
        <v>133.44</v>
      </c>
      <c r="CF305" s="62">
        <f>Metrics!CF168</f>
        <v>141.35999999999999</v>
      </c>
      <c r="CG305" s="62">
        <f>Metrics!CG168</f>
        <v>544.88199999999995</v>
      </c>
      <c r="CH305" s="90"/>
      <c r="CI305" s="62">
        <f>Metrics!CI168</f>
        <v>168.625</v>
      </c>
      <c r="CJ305" s="62">
        <f>Metrics!CJ168</f>
        <v>160.85400000000001</v>
      </c>
      <c r="CK305" s="62">
        <f>Metrics!CK168</f>
        <v>157.41</v>
      </c>
      <c r="CL305" s="62">
        <f>Metrics!CL168</f>
        <v>163.68</v>
      </c>
      <c r="CM305" s="62">
        <f>Metrics!CM168</f>
        <v>650.56899999999996</v>
      </c>
      <c r="CN305" s="90"/>
      <c r="CO305" s="62">
        <f>Metrics!CO168</f>
        <v>193</v>
      </c>
      <c r="CP305" s="62">
        <f>Metrics!CP168</f>
        <v>169.57</v>
      </c>
      <c r="CQ305" s="62">
        <f>Metrics!CQ168</f>
        <v>171</v>
      </c>
      <c r="CR305" s="62">
        <f>Metrics!CR168</f>
        <v>191</v>
      </c>
      <c r="CS305" s="62">
        <f>Metrics!CS168</f>
        <v>724.56999999999994</v>
      </c>
      <c r="CT305" s="90"/>
      <c r="CU305" s="62">
        <f>Metrics!CU168</f>
        <v>208</v>
      </c>
      <c r="CV305" s="62">
        <f>Metrics!CV168</f>
        <v>0</v>
      </c>
      <c r="CW305" s="62">
        <f>Metrics!CW168</f>
        <v>0</v>
      </c>
      <c r="CX305" s="62">
        <f>Metrics!CX168</f>
        <v>0</v>
      </c>
      <c r="CY305" s="62">
        <f>Metrics!CY168</f>
        <v>208</v>
      </c>
      <c r="CZ305" s="90"/>
      <c r="DA305" s="62">
        <f>Metrics!DA168</f>
        <v>192</v>
      </c>
      <c r="DB305" s="62">
        <f>Metrics!DB168</f>
        <v>173.91</v>
      </c>
      <c r="DC305" s="62">
        <f>Metrics!DC168</f>
        <v>160.94999999999999</v>
      </c>
      <c r="DD305" s="62">
        <f>Metrics!DD168</f>
        <v>0</v>
      </c>
      <c r="DE305" s="62">
        <f>Metrics!DE168</f>
        <v>0</v>
      </c>
      <c r="DF305" s="90"/>
      <c r="DG305" s="62">
        <f>Metrics!DG168</f>
        <v>0</v>
      </c>
      <c r="DH305" s="62">
        <f>Metrics!DH168</f>
        <v>0</v>
      </c>
      <c r="DI305" s="62">
        <f>Metrics!DI168</f>
        <v>0</v>
      </c>
      <c r="DJ305" s="62">
        <f>Metrics!DJ168</f>
        <v>0</v>
      </c>
      <c r="DK305" s="62">
        <f>Metrics!DK168</f>
        <v>0</v>
      </c>
      <c r="DL305" s="90"/>
      <c r="DM305" s="62">
        <f>Metrics!DM168</f>
        <v>0</v>
      </c>
      <c r="DN305" s="62">
        <f>Metrics!DN168</f>
        <v>0</v>
      </c>
      <c r="DO305" s="62">
        <f>Metrics!DO168</f>
        <v>0</v>
      </c>
      <c r="DP305" s="62">
        <f>Metrics!DP168</f>
        <v>0</v>
      </c>
      <c r="DQ305" s="62">
        <f>Metrics!DQ168</f>
        <v>0</v>
      </c>
      <c r="DR305" s="90"/>
      <c r="DS305" s="62">
        <f>Metrics!DS168</f>
        <v>0</v>
      </c>
      <c r="DT305" s="62">
        <f>Metrics!DT168</f>
        <v>0</v>
      </c>
      <c r="DU305" s="62">
        <f>Metrics!DU168</f>
        <v>0</v>
      </c>
      <c r="DV305" s="62">
        <f>Metrics!DV168</f>
        <v>0</v>
      </c>
      <c r="DW305" s="62">
        <f>Metrics!DW168</f>
        <v>0</v>
      </c>
      <c r="DX305" s="90"/>
      <c r="DY305" s="62">
        <f>Metrics!DY168</f>
        <v>0</v>
      </c>
      <c r="DZ305" s="62">
        <f>Metrics!DZ168</f>
        <v>0</v>
      </c>
      <c r="EA305" s="62">
        <f>Metrics!EA168</f>
        <v>0</v>
      </c>
      <c r="EB305" s="62">
        <f>Metrics!EB168</f>
        <v>0</v>
      </c>
      <c r="EC305" s="62">
        <f>Metrics!EC168</f>
        <v>0</v>
      </c>
      <c r="ED305" s="90"/>
      <c r="EE305" s="62">
        <f>Metrics!EE168</f>
        <v>0</v>
      </c>
      <c r="EF305" s="62">
        <f>Metrics!EF168</f>
        <v>0</v>
      </c>
      <c r="EG305" s="62">
        <f>Metrics!EG168</f>
        <v>0</v>
      </c>
      <c r="EH305" s="62">
        <f>Metrics!EH168</f>
        <v>0</v>
      </c>
      <c r="EI305" s="62">
        <f>Metrics!EI168</f>
        <v>0</v>
      </c>
      <c r="EJ305" s="90"/>
      <c r="EK305" s="62">
        <f>Metrics!EK168</f>
        <v>0</v>
      </c>
      <c r="EL305" s="62">
        <f>Metrics!EL168</f>
        <v>0</v>
      </c>
      <c r="EM305" s="62">
        <f>Metrics!EM168</f>
        <v>0</v>
      </c>
      <c r="EN305" s="62">
        <f>Metrics!EN168</f>
        <v>0</v>
      </c>
      <c r="EO305" s="62">
        <f>Metrics!EO168</f>
        <v>0</v>
      </c>
      <c r="EP305" s="90"/>
      <c r="EQ305" s="62">
        <f>Metrics!EQ168</f>
        <v>0</v>
      </c>
      <c r="ER305" s="62">
        <f>Metrics!ER168</f>
        <v>0</v>
      </c>
      <c r="ES305" s="62">
        <f>Metrics!ES168</f>
        <v>0</v>
      </c>
      <c r="ET305" s="62">
        <f>Metrics!ET168</f>
        <v>0</v>
      </c>
      <c r="EU305" s="62">
        <f>Metrics!EU168</f>
        <v>0</v>
      </c>
      <c r="EV305" s="90"/>
    </row>
    <row r="306" spans="1:152" ht="12.75" hidden="1" customHeight="1" outlineLevel="1">
      <c r="A306" s="90"/>
      <c r="B306" s="520"/>
      <c r="C306" s="90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</row>
    <row r="307" spans="1:152" ht="12.75" hidden="1" customHeight="1" outlineLevel="1">
      <c r="A307" s="30" t="s">
        <v>1936</v>
      </c>
      <c r="B307" s="520"/>
      <c r="C307" s="83"/>
      <c r="D307" s="83"/>
      <c r="E307" s="83"/>
      <c r="F307" s="83"/>
      <c r="G307" s="83"/>
      <c r="H307" s="83"/>
      <c r="I307" s="83"/>
      <c r="J307" s="83"/>
      <c r="K307" s="83"/>
      <c r="L307" s="83"/>
      <c r="M307" s="83"/>
      <c r="N307" s="26"/>
      <c r="O307" s="83"/>
      <c r="P307" s="83"/>
      <c r="Q307" s="83"/>
      <c r="R307" s="83"/>
      <c r="S307" s="83"/>
      <c r="T307" s="26"/>
      <c r="U307" s="83"/>
      <c r="V307" s="83"/>
      <c r="W307" s="83"/>
      <c r="X307" s="83"/>
      <c r="Y307" s="83"/>
      <c r="Z307" s="26"/>
      <c r="AA307" s="83"/>
      <c r="AB307" s="83"/>
      <c r="AC307" s="83"/>
      <c r="AD307" s="83"/>
      <c r="AE307" s="83"/>
      <c r="AF307" s="26"/>
      <c r="AG307" s="83"/>
      <c r="AH307" s="83"/>
      <c r="AI307" s="83"/>
      <c r="AJ307" s="83"/>
      <c r="AK307" s="83"/>
      <c r="AL307" s="26"/>
      <c r="AM307" s="83"/>
      <c r="AN307" s="83"/>
      <c r="AO307" s="83"/>
      <c r="AP307" s="83"/>
      <c r="AQ307" s="83"/>
      <c r="AR307" s="26"/>
      <c r="AS307" s="83"/>
      <c r="AT307" s="83"/>
      <c r="AU307" s="83"/>
      <c r="AV307" s="83"/>
      <c r="AW307" s="83"/>
      <c r="AX307" s="26"/>
      <c r="AY307" s="83"/>
      <c r="AZ307" s="83"/>
      <c r="BA307" s="83"/>
      <c r="BB307" s="83"/>
      <c r="BC307" s="83"/>
      <c r="BD307" s="26"/>
      <c r="BE307" s="85"/>
      <c r="BF307" s="85"/>
      <c r="BG307" s="85"/>
      <c r="BH307" s="83"/>
      <c r="BI307" s="83"/>
      <c r="BJ307" s="26"/>
      <c r="BK307" s="85"/>
      <c r="BL307" s="85"/>
      <c r="BM307" s="85"/>
      <c r="BN307" s="85"/>
      <c r="BO307" s="83"/>
      <c r="BP307" s="26"/>
      <c r="BQ307" s="85"/>
      <c r="BR307" s="85"/>
      <c r="BS307" s="85"/>
      <c r="BT307" s="85"/>
      <c r="BU307" s="83"/>
      <c r="BV307" s="26"/>
      <c r="BW307" s="85"/>
      <c r="BX307" s="85"/>
      <c r="BY307" s="85"/>
      <c r="BZ307" s="85"/>
      <c r="CA307" s="83"/>
      <c r="CB307" s="26"/>
      <c r="CC307" s="85"/>
      <c r="CD307" s="85"/>
      <c r="CE307" s="85"/>
      <c r="CF307" s="85"/>
      <c r="CG307" s="83"/>
      <c r="CH307" s="26"/>
      <c r="CI307" s="85"/>
      <c r="CJ307" s="85"/>
      <c r="CK307" s="85"/>
      <c r="CL307" s="85"/>
      <c r="CM307" s="83"/>
      <c r="CN307" s="26"/>
      <c r="CO307" s="85"/>
      <c r="CP307" s="85"/>
      <c r="CQ307" s="85"/>
      <c r="CR307" s="85"/>
      <c r="CS307" s="83"/>
      <c r="CT307" s="26"/>
      <c r="CU307" s="85"/>
      <c r="CV307" s="85"/>
      <c r="CW307" s="85"/>
      <c r="CX307" s="85"/>
      <c r="CY307" s="83"/>
      <c r="CZ307" s="26"/>
      <c r="DA307" s="85"/>
      <c r="DB307" s="85"/>
      <c r="DC307" s="85"/>
      <c r="DD307" s="85"/>
      <c r="DE307" s="83"/>
      <c r="DF307" s="26"/>
      <c r="DG307" s="85"/>
      <c r="DH307" s="85"/>
      <c r="DI307" s="85"/>
      <c r="DJ307" s="85"/>
      <c r="DK307" s="83"/>
      <c r="DL307" s="26"/>
      <c r="DM307" s="85"/>
      <c r="DN307" s="85"/>
      <c r="DO307" s="85"/>
      <c r="DP307" s="85"/>
      <c r="DQ307" s="83"/>
      <c r="DR307" s="26"/>
      <c r="DS307" s="85"/>
      <c r="DT307" s="85"/>
      <c r="DU307" s="85"/>
      <c r="DV307" s="85"/>
      <c r="DW307" s="83"/>
      <c r="DX307" s="26"/>
      <c r="DY307" s="85"/>
      <c r="DZ307" s="85"/>
      <c r="EA307" s="85"/>
      <c r="EB307" s="85"/>
      <c r="EC307" s="83"/>
      <c r="ED307" s="26"/>
      <c r="EE307" s="85"/>
      <c r="EF307" s="85"/>
      <c r="EG307" s="85"/>
      <c r="EH307" s="85"/>
      <c r="EI307" s="83"/>
      <c r="EJ307" s="26"/>
      <c r="EK307" s="85"/>
      <c r="EL307" s="85"/>
      <c r="EM307" s="85"/>
      <c r="EN307" s="85"/>
      <c r="EO307" s="83"/>
      <c r="EP307" s="26"/>
      <c r="EQ307" s="85"/>
      <c r="ER307" s="85"/>
      <c r="ES307" s="85"/>
      <c r="ET307" s="85"/>
      <c r="EU307" s="83"/>
      <c r="EV307" s="90"/>
    </row>
    <row r="308" spans="1:152" ht="12.75" hidden="1" customHeight="1" outlineLevel="1">
      <c r="A308" s="90" t="s">
        <v>4681</v>
      </c>
      <c r="B308" s="520"/>
      <c r="C308" s="83"/>
      <c r="D308" s="83"/>
      <c r="E308" s="83"/>
      <c r="F308" s="83"/>
      <c r="G308" s="83"/>
      <c r="H308" s="83"/>
      <c r="I308" s="83"/>
      <c r="J308" s="83"/>
      <c r="K308" s="83"/>
      <c r="L308" s="83"/>
      <c r="M308" s="83"/>
      <c r="N308" s="26"/>
      <c r="O308" s="83"/>
      <c r="P308" s="83"/>
      <c r="Q308" s="83"/>
      <c r="R308" s="83"/>
      <c r="S308" s="83"/>
      <c r="T308" s="26"/>
      <c r="U308" s="475"/>
      <c r="V308" s="475"/>
      <c r="W308" s="475"/>
      <c r="X308" s="475"/>
      <c r="Y308" s="475"/>
      <c r="Z308" s="475"/>
      <c r="AA308" s="475"/>
      <c r="AB308" s="477"/>
      <c r="AC308" s="475"/>
      <c r="AD308" s="475"/>
      <c r="AE308" s="475"/>
      <c r="AF308" s="475"/>
      <c r="AG308" s="475"/>
      <c r="AH308" s="475"/>
      <c r="AI308" s="475"/>
      <c r="AJ308" s="477"/>
      <c r="AK308" s="477"/>
      <c r="AL308" s="477"/>
      <c r="AM308" s="475">
        <v>1.7500000000000002E-2</v>
      </c>
      <c r="AN308" s="475">
        <v>1.7500000000000002E-2</v>
      </c>
      <c r="AO308" s="475">
        <v>1.7500000000000002E-2</v>
      </c>
      <c r="AP308" s="475">
        <v>1.2500000000000001E-2</v>
      </c>
      <c r="AQ308" s="475"/>
      <c r="AR308" s="475"/>
      <c r="AS308" s="477">
        <v>1.2500000000000001E-2</v>
      </c>
      <c r="AT308" s="475">
        <v>0.01</v>
      </c>
      <c r="AU308" s="475">
        <v>0.01</v>
      </c>
      <c r="AV308" s="475">
        <v>0.01</v>
      </c>
      <c r="AW308" s="475"/>
      <c r="AX308" s="475"/>
      <c r="AY308" s="475">
        <v>0.01</v>
      </c>
      <c r="AZ308" s="475">
        <v>1.2500000000000001E-2</v>
      </c>
      <c r="BA308" s="475">
        <v>1.7500000000000002E-2</v>
      </c>
      <c r="BB308" s="477">
        <v>2.2499999999999999E-2</v>
      </c>
      <c r="BC308" s="475"/>
      <c r="BD308" s="477"/>
      <c r="BE308" s="475">
        <v>2.75E-2</v>
      </c>
      <c r="BF308" s="475">
        <v>3.2500000000000001E-2</v>
      </c>
      <c r="BG308" s="475">
        <v>3.7499999999999999E-2</v>
      </c>
      <c r="BH308" s="475">
        <v>0.04</v>
      </c>
      <c r="BI308" s="477"/>
      <c r="BJ308" s="475"/>
      <c r="BK308" s="475">
        <v>4.2500000000000003E-2</v>
      </c>
      <c r="BL308" s="475">
        <v>4.7899999999999998E-2</v>
      </c>
      <c r="BM308" s="475">
        <v>4.7899999999999998E-2</v>
      </c>
      <c r="BN308" s="475">
        <v>4.7899999999999998E-2</v>
      </c>
      <c r="BO308" s="477"/>
      <c r="BP308" s="477"/>
      <c r="BQ308" s="475">
        <v>4.7899999999999998E-2</v>
      </c>
      <c r="BR308" s="475">
        <v>4.7899999999999998E-2</v>
      </c>
      <c r="BS308" s="476">
        <v>0.04</v>
      </c>
      <c r="BT308" s="476">
        <v>0.04</v>
      </c>
      <c r="BU308" s="891"/>
      <c r="BV308" s="892"/>
      <c r="BW308" s="476">
        <v>3.7999999999999999E-2</v>
      </c>
      <c r="BX308" s="476">
        <v>3.7999999999999999E-2</v>
      </c>
      <c r="BY308" s="476">
        <v>3.7999999999999999E-2</v>
      </c>
      <c r="BZ308" s="476">
        <v>3.7999999999999999E-2</v>
      </c>
      <c r="CA308" s="891"/>
      <c r="CB308" s="892"/>
      <c r="CC308" s="476">
        <v>3.7999999999999999E-2</v>
      </c>
      <c r="CD308" s="476">
        <v>3.7999999999999999E-2</v>
      </c>
      <c r="CE308" s="476">
        <v>3.7999999999999999E-2</v>
      </c>
      <c r="CF308" s="476">
        <v>3.7999999999999999E-2</v>
      </c>
      <c r="CG308" s="891"/>
      <c r="CH308" s="892"/>
      <c r="CI308" s="476">
        <v>3.7999999999999999E-2</v>
      </c>
      <c r="CJ308" s="476">
        <v>3.7999999999999999E-2</v>
      </c>
      <c r="CK308" s="476">
        <v>3.7999999999999999E-2</v>
      </c>
      <c r="CL308" s="476">
        <v>3.7999999999999999E-2</v>
      </c>
      <c r="CM308" s="83"/>
      <c r="CN308" s="892"/>
      <c r="CO308" s="476">
        <v>3.7999999999999999E-2</v>
      </c>
      <c r="CP308" s="476">
        <v>3.7999999999999999E-2</v>
      </c>
      <c r="CQ308" s="476">
        <v>3.7999999999999999E-2</v>
      </c>
      <c r="CR308" s="476">
        <v>3.7999999999999999E-2</v>
      </c>
      <c r="CS308" s="83"/>
      <c r="CT308" s="892"/>
      <c r="CU308" s="476">
        <v>3.7999999999999999E-2</v>
      </c>
      <c r="CV308" s="476">
        <v>3.7999999999999999E-2</v>
      </c>
      <c r="CW308" s="476">
        <v>3.7999999999999999E-2</v>
      </c>
      <c r="CX308" s="476">
        <v>3.7999999999999999E-2</v>
      </c>
      <c r="CY308" s="83"/>
      <c r="CZ308" s="892"/>
      <c r="DA308" s="476">
        <v>3.7999999999999999E-2</v>
      </c>
      <c r="DB308" s="476">
        <v>3.7999999999999999E-2</v>
      </c>
      <c r="DC308" s="476">
        <v>3.7999999999999999E-2</v>
      </c>
      <c r="DD308" s="476">
        <v>3.7999999999999999E-2</v>
      </c>
      <c r="DE308" s="83"/>
      <c r="DF308" s="892"/>
      <c r="DG308" s="476">
        <v>3.7999999999999999E-2</v>
      </c>
      <c r="DH308" s="476">
        <v>3.7999999999999999E-2</v>
      </c>
      <c r="DI308" s="476">
        <v>3.7999999999999999E-2</v>
      </c>
      <c r="DJ308" s="476">
        <v>3.7999999999999999E-2</v>
      </c>
      <c r="DK308" s="83"/>
      <c r="DL308" s="892"/>
      <c r="DM308" s="476">
        <v>3.7999999999999999E-2</v>
      </c>
      <c r="DN308" s="476">
        <v>3.7999999999999999E-2</v>
      </c>
      <c r="DO308" s="476">
        <v>3.7999999999999999E-2</v>
      </c>
      <c r="DP308" s="476">
        <v>3.7999999999999999E-2</v>
      </c>
      <c r="DQ308" s="83"/>
      <c r="DR308" s="892"/>
      <c r="DS308" s="476">
        <v>3.7999999999999999E-2</v>
      </c>
      <c r="DT308" s="476">
        <v>3.7999999999999999E-2</v>
      </c>
      <c r="DU308" s="476">
        <v>3.7999999999999999E-2</v>
      </c>
      <c r="DV308" s="476">
        <v>3.7999999999999999E-2</v>
      </c>
      <c r="DW308" s="83"/>
      <c r="DX308" s="892"/>
      <c r="DY308" s="476">
        <v>3.7999999999999999E-2</v>
      </c>
      <c r="DZ308" s="476">
        <v>3.7999999999999999E-2</v>
      </c>
      <c r="EA308" s="476">
        <v>3.7999999999999999E-2</v>
      </c>
      <c r="EB308" s="476">
        <v>3.7999999999999999E-2</v>
      </c>
      <c r="EC308" s="83"/>
      <c r="ED308" s="892"/>
      <c r="EE308" s="476">
        <v>3.7999999999999999E-2</v>
      </c>
      <c r="EF308" s="476">
        <v>3.7999999999999999E-2</v>
      </c>
      <c r="EG308" s="476">
        <v>3.7999999999999999E-2</v>
      </c>
      <c r="EH308" s="476">
        <v>3.7999999999999999E-2</v>
      </c>
      <c r="EI308" s="83"/>
      <c r="EJ308" s="892"/>
      <c r="EK308" s="476">
        <v>3.7999999999999999E-2</v>
      </c>
      <c r="EL308" s="476">
        <v>3.7999999999999999E-2</v>
      </c>
      <c r="EM308" s="476">
        <v>3.7999999999999999E-2</v>
      </c>
      <c r="EN308" s="476">
        <v>3.7999999999999999E-2</v>
      </c>
      <c r="EO308" s="83"/>
      <c r="EP308" s="892"/>
      <c r="EQ308" s="476">
        <v>3.7999999999999999E-2</v>
      </c>
      <c r="ER308" s="476">
        <v>3.7999999999999999E-2</v>
      </c>
      <c r="ES308" s="476">
        <v>3.7999999999999999E-2</v>
      </c>
      <c r="ET308" s="476">
        <v>3.7999999999999999E-2</v>
      </c>
      <c r="EU308" s="83"/>
      <c r="EV308" s="26"/>
    </row>
    <row r="309" spans="1:152" ht="6" hidden="1" customHeight="1" outlineLevel="1">
      <c r="A309" s="26"/>
      <c r="B309" s="520"/>
      <c r="C309" s="83"/>
      <c r="D309" s="83"/>
      <c r="E309" s="83"/>
      <c r="F309" s="83"/>
      <c r="G309" s="83"/>
      <c r="H309" s="83"/>
      <c r="I309" s="83"/>
      <c r="J309" s="83"/>
      <c r="K309" s="83"/>
      <c r="L309" s="83"/>
      <c r="M309" s="83"/>
      <c r="N309" s="26"/>
      <c r="O309" s="83"/>
      <c r="P309" s="83"/>
      <c r="Q309" s="83"/>
      <c r="R309" s="83"/>
      <c r="S309" s="83"/>
      <c r="T309" s="26"/>
      <c r="U309" s="83"/>
      <c r="V309" s="83"/>
      <c r="W309" s="83"/>
      <c r="X309" s="83"/>
      <c r="Y309" s="83"/>
      <c r="Z309" s="26"/>
      <c r="AA309" s="83"/>
      <c r="AB309" s="83"/>
      <c r="AC309" s="83"/>
      <c r="AD309" s="83"/>
      <c r="AE309" s="83"/>
      <c r="AF309" s="26"/>
      <c r="AG309" s="83"/>
      <c r="AH309" s="83"/>
      <c r="AI309" s="83"/>
      <c r="AJ309" s="83"/>
      <c r="AK309" s="83"/>
      <c r="AL309" s="26"/>
      <c r="AM309" s="83"/>
      <c r="AN309" s="83"/>
      <c r="AO309" s="83"/>
      <c r="AP309" s="83"/>
      <c r="AQ309" s="83"/>
      <c r="AR309" s="26"/>
      <c r="AS309" s="26"/>
      <c r="AT309" s="83"/>
      <c r="AU309" s="83"/>
      <c r="AV309" s="83"/>
      <c r="AW309" s="83"/>
      <c r="AX309" s="26"/>
      <c r="AY309" s="83"/>
      <c r="AZ309" s="83"/>
      <c r="BA309" s="83"/>
      <c r="BB309" s="83"/>
      <c r="BC309" s="83"/>
      <c r="BD309" s="26"/>
      <c r="BE309" s="83"/>
      <c r="BF309" s="83"/>
      <c r="BG309" s="83"/>
      <c r="BH309" s="83"/>
      <c r="BI309" s="83"/>
      <c r="BJ309" s="26"/>
      <c r="BK309" s="83"/>
      <c r="BL309" s="83"/>
      <c r="BM309" s="83"/>
      <c r="BN309" s="83"/>
      <c r="BO309" s="83"/>
      <c r="BP309" s="26"/>
      <c r="BQ309" s="83"/>
      <c r="BR309" s="83"/>
      <c r="BS309" s="83"/>
      <c r="BT309" s="83"/>
      <c r="BU309" s="83"/>
      <c r="BV309" s="26"/>
      <c r="BW309" s="83"/>
      <c r="BX309" s="83"/>
      <c r="BY309" s="83"/>
      <c r="BZ309" s="83"/>
      <c r="CA309" s="83"/>
      <c r="CB309" s="26"/>
      <c r="CC309" s="83"/>
      <c r="CD309" s="83"/>
      <c r="CE309" s="83"/>
      <c r="CF309" s="83"/>
      <c r="CG309" s="83"/>
      <c r="CH309" s="26"/>
      <c r="CI309" s="83"/>
      <c r="CJ309" s="83"/>
      <c r="CK309" s="83"/>
      <c r="CL309" s="83"/>
      <c r="CM309" s="83"/>
      <c r="CN309" s="26"/>
      <c r="CO309" s="83"/>
      <c r="CP309" s="83"/>
      <c r="CQ309" s="83"/>
      <c r="CR309" s="83"/>
      <c r="CS309" s="83"/>
      <c r="CT309" s="26"/>
      <c r="CU309" s="83"/>
      <c r="CV309" s="83"/>
      <c r="CW309" s="83"/>
      <c r="CX309" s="83"/>
      <c r="CY309" s="83"/>
      <c r="CZ309" s="26"/>
      <c r="DA309" s="83"/>
      <c r="DB309" s="83"/>
      <c r="DC309" s="83"/>
      <c r="DD309" s="83"/>
      <c r="DE309" s="83"/>
      <c r="DF309" s="26"/>
      <c r="DG309" s="83"/>
      <c r="DH309" s="83"/>
      <c r="DI309" s="83"/>
      <c r="DJ309" s="83"/>
      <c r="DK309" s="83"/>
      <c r="DL309" s="26"/>
      <c r="DM309" s="83"/>
      <c r="DN309" s="83"/>
      <c r="DO309" s="83"/>
      <c r="DP309" s="83"/>
      <c r="DQ309" s="83"/>
      <c r="DR309" s="26"/>
      <c r="DS309" s="83"/>
      <c r="DT309" s="83"/>
      <c r="DU309" s="83"/>
      <c r="DV309" s="83"/>
      <c r="DW309" s="83"/>
      <c r="DX309" s="26"/>
      <c r="DY309" s="83"/>
      <c r="DZ309" s="83"/>
      <c r="EA309" s="83"/>
      <c r="EB309" s="83"/>
      <c r="EC309" s="83"/>
      <c r="ED309" s="26"/>
      <c r="EE309" s="83"/>
      <c r="EF309" s="83"/>
      <c r="EG309" s="83"/>
      <c r="EH309" s="83"/>
      <c r="EI309" s="83"/>
      <c r="EJ309" s="26"/>
      <c r="EK309" s="83"/>
      <c r="EL309" s="83"/>
      <c r="EM309" s="83"/>
      <c r="EN309" s="83"/>
      <c r="EO309" s="83"/>
      <c r="EP309" s="26"/>
      <c r="EQ309" s="83"/>
      <c r="ER309" s="83"/>
      <c r="ES309" s="83"/>
      <c r="ET309" s="83"/>
      <c r="EU309" s="83"/>
      <c r="EV309" s="90"/>
    </row>
    <row r="310" spans="1:152" ht="12.75" hidden="1" customHeight="1" outlineLevel="1">
      <c r="A310" s="26" t="s">
        <v>4682</v>
      </c>
      <c r="B310" s="520"/>
      <c r="C310" s="83"/>
      <c r="D310" s="83"/>
      <c r="E310" s="83"/>
      <c r="F310" s="83"/>
      <c r="G310" s="83"/>
      <c r="H310" s="83"/>
      <c r="I310" s="83"/>
      <c r="J310" s="83"/>
      <c r="K310" s="83"/>
      <c r="L310" s="83"/>
      <c r="M310" s="83"/>
      <c r="N310" s="26"/>
      <c r="O310" s="83"/>
      <c r="P310" s="83"/>
      <c r="Q310" s="83"/>
      <c r="R310" s="83"/>
      <c r="S310" s="83"/>
      <c r="T310" s="26"/>
      <c r="U310" s="83"/>
      <c r="V310" s="83"/>
      <c r="W310" s="83"/>
      <c r="X310" s="83"/>
      <c r="Y310" s="83"/>
      <c r="Z310" s="26"/>
      <c r="AA310" s="83"/>
      <c r="AB310" s="83"/>
      <c r="AC310" s="83"/>
      <c r="AD310" s="83"/>
      <c r="AE310" s="83"/>
      <c r="AF310" s="26"/>
      <c r="AG310" s="83"/>
      <c r="AH310" s="83"/>
      <c r="AI310" s="83"/>
      <c r="AJ310" s="83"/>
      <c r="AK310" s="83"/>
      <c r="AL310" s="26"/>
      <c r="AM310" s="43">
        <f>AJ280</f>
        <v>369.28800000000001</v>
      </c>
      <c r="AN310" s="43">
        <f>AM280</f>
        <v>287.93200000000002</v>
      </c>
      <c r="AO310" s="43">
        <f>AN280</f>
        <v>289.45800000000003</v>
      </c>
      <c r="AP310" s="43">
        <f>AO280</f>
        <v>262.65199999999999</v>
      </c>
      <c r="AQ310" s="83"/>
      <c r="AR310" s="26"/>
      <c r="AS310" s="43">
        <f>AP280</f>
        <v>275.94299999999998</v>
      </c>
      <c r="AT310" s="43">
        <f>AS280</f>
        <v>265.06900000000002</v>
      </c>
      <c r="AU310" s="43">
        <f>AT280</f>
        <v>290.69899999999996</v>
      </c>
      <c r="AV310" s="43">
        <f>AU280</f>
        <v>329.45000000000005</v>
      </c>
      <c r="AW310" s="83"/>
      <c r="AX310" s="26"/>
      <c r="AY310" s="43">
        <f>AV280</f>
        <v>388.93400000000003</v>
      </c>
      <c r="AZ310" s="43">
        <f>AY280</f>
        <v>543.5</v>
      </c>
      <c r="BA310" s="43">
        <f>AZ280</f>
        <v>593.20000000000005</v>
      </c>
      <c r="BB310" s="43">
        <f>BA280</f>
        <v>574.90000000000009</v>
      </c>
      <c r="BC310" s="83"/>
      <c r="BD310" s="26"/>
      <c r="BE310" s="43">
        <f>BB280</f>
        <v>547</v>
      </c>
      <c r="BF310" s="43">
        <f>BE280</f>
        <v>563.40000000000009</v>
      </c>
      <c r="BG310" s="43">
        <f>BF280</f>
        <v>564.79999999999995</v>
      </c>
      <c r="BH310" s="43">
        <f>BG280</f>
        <v>616.9</v>
      </c>
      <c r="BI310" s="83"/>
      <c r="BJ310" s="26"/>
      <c r="BK310" s="43">
        <f>BH280</f>
        <v>441.9</v>
      </c>
      <c r="BL310" s="43">
        <f>BK280</f>
        <v>471.70000000000005</v>
      </c>
      <c r="BM310" s="43">
        <f>BL280</f>
        <v>545</v>
      </c>
      <c r="BN310" s="43">
        <f>BM280</f>
        <v>677.59999999999991</v>
      </c>
      <c r="BO310" s="83"/>
      <c r="BP310" s="26"/>
      <c r="BQ310" s="43">
        <f>BN280</f>
        <v>856</v>
      </c>
      <c r="BR310" s="43">
        <f>BQ280</f>
        <v>1080.8</v>
      </c>
      <c r="BS310" s="43">
        <f>BR280</f>
        <v>939.5</v>
      </c>
      <c r="BT310" s="43">
        <f>BS280</f>
        <v>972.39999999999986</v>
      </c>
      <c r="BU310" s="83"/>
      <c r="BV310" s="26"/>
      <c r="BW310" s="43">
        <f>BT280</f>
        <v>1047.3999999999999</v>
      </c>
      <c r="BX310" s="43">
        <f>BW280</f>
        <v>1038.7</v>
      </c>
      <c r="BY310" s="43">
        <f>BX280</f>
        <v>1020.4000000000001</v>
      </c>
      <c r="BZ310" s="43">
        <f>BY280</f>
        <v>967.80000000000007</v>
      </c>
      <c r="CA310" s="83"/>
      <c r="CB310" s="26"/>
      <c r="CC310" s="43">
        <f>BZ280</f>
        <v>1012.2</v>
      </c>
      <c r="CD310" s="43">
        <f>CC280</f>
        <v>1005.9</v>
      </c>
      <c r="CE310" s="43">
        <f>CD280</f>
        <v>984.69999999999993</v>
      </c>
      <c r="CF310" s="43">
        <f>CE280</f>
        <v>1011.4</v>
      </c>
      <c r="CG310" s="83"/>
      <c r="CH310" s="26"/>
      <c r="CI310" s="43">
        <f>CF280</f>
        <v>1044.8</v>
      </c>
      <c r="CJ310" s="43">
        <f>CI280</f>
        <v>1103.5999999999999</v>
      </c>
      <c r="CK310" s="43">
        <f>CJ280</f>
        <v>1130.1999999999998</v>
      </c>
      <c r="CL310" s="43">
        <f>CK280</f>
        <v>1181.5</v>
      </c>
      <c r="CM310" s="83"/>
      <c r="CN310" s="26"/>
      <c r="CO310" s="43">
        <f>CL280</f>
        <v>1331.1</v>
      </c>
      <c r="CP310" s="43">
        <f>CO280</f>
        <v>1388.9</v>
      </c>
      <c r="CQ310" s="43">
        <f>CP280</f>
        <v>1408.6</v>
      </c>
      <c r="CR310" s="43">
        <f>CQ280</f>
        <v>1377.8</v>
      </c>
      <c r="CS310" s="83"/>
      <c r="CT310" s="26"/>
      <c r="CU310" s="43">
        <f>CR280</f>
        <v>1441.4</v>
      </c>
      <c r="CV310" s="43">
        <f>CU280</f>
        <v>1550.7</v>
      </c>
      <c r="CW310" s="43">
        <f>CV280</f>
        <v>1475.5</v>
      </c>
      <c r="CX310" s="43">
        <f>CW280</f>
        <v>1377.5</v>
      </c>
      <c r="CY310" s="83"/>
      <c r="CZ310" s="26"/>
      <c r="DA310" s="43">
        <f>CX280</f>
        <v>1996.5000000000002</v>
      </c>
      <c r="DB310" s="43">
        <f>DA280</f>
        <v>2143.9</v>
      </c>
      <c r="DC310" s="43">
        <f>DB280</f>
        <v>2049.5</v>
      </c>
      <c r="DD310" s="43">
        <f>DC280</f>
        <v>2114</v>
      </c>
      <c r="DE310" s="83"/>
      <c r="DF310" s="26"/>
      <c r="DG310" s="43">
        <f>DD280</f>
        <v>2323.9</v>
      </c>
      <c r="DH310" s="43">
        <f>DG280</f>
        <v>2174.1999999999998</v>
      </c>
      <c r="DI310" s="43">
        <f>DH280</f>
        <v>1982.6999999999998</v>
      </c>
      <c r="DJ310" s="43">
        <f>DI280</f>
        <v>1982.1000000000001</v>
      </c>
      <c r="DK310" s="83"/>
      <c r="DL310" s="26"/>
      <c r="DM310" s="43">
        <f>DJ280</f>
        <v>2111.5</v>
      </c>
      <c r="DN310" s="43">
        <f>DM280</f>
        <v>1912.1000000000001</v>
      </c>
      <c r="DO310" s="43">
        <f>DN280</f>
        <v>2399.8999999999996</v>
      </c>
      <c r="DP310" s="43">
        <f>DO280</f>
        <v>2294.5</v>
      </c>
      <c r="DQ310" s="83"/>
      <c r="DR310" s="26"/>
      <c r="DS310" s="43">
        <f>DP280</f>
        <v>2250.9</v>
      </c>
      <c r="DT310" s="43">
        <f>DS280</f>
        <v>2267.3000000000002</v>
      </c>
      <c r="DU310" s="43">
        <f>DT280</f>
        <v>2064.9</v>
      </c>
      <c r="DV310" s="43">
        <f>DU280</f>
        <v>1968.9</v>
      </c>
      <c r="DW310" s="83"/>
      <c r="DX310" s="26"/>
      <c r="DY310" s="43">
        <f>DV280</f>
        <v>1899.8999999999999</v>
      </c>
      <c r="DZ310" s="43">
        <f>DY280</f>
        <v>1811.3000000000002</v>
      </c>
      <c r="EA310" s="43">
        <f>DZ280</f>
        <v>1707.6999999999998</v>
      </c>
      <c r="EB310" s="43">
        <f>EA280</f>
        <v>1453.9</v>
      </c>
      <c r="EC310" s="83"/>
      <c r="ED310" s="26"/>
      <c r="EE310" s="43">
        <f>EB280</f>
        <v>1323.2</v>
      </c>
      <c r="EF310" s="43">
        <f>EE280</f>
        <v>1207.7504868005005</v>
      </c>
      <c r="EG310" s="43">
        <f>EF280</f>
        <v>1079.9244496233366</v>
      </c>
      <c r="EH310" s="43">
        <f>EG280</f>
        <v>966.95403330329441</v>
      </c>
      <c r="EI310" s="83"/>
      <c r="EJ310" s="26"/>
      <c r="EK310" s="43">
        <f>EH280</f>
        <v>1168.109719801964</v>
      </c>
      <c r="EL310" s="43">
        <f>EK280</f>
        <v>1000.0615273318417</v>
      </c>
      <c r="EM310" s="43">
        <f>EL280</f>
        <v>1013.3691227354079</v>
      </c>
      <c r="EN310" s="43">
        <f>EM280</f>
        <v>1049.944563600302</v>
      </c>
      <c r="EO310" s="83"/>
      <c r="EP310" s="26"/>
      <c r="EQ310" s="43">
        <f>EN280</f>
        <v>1504.205091444742</v>
      </c>
      <c r="ER310" s="43">
        <f>EQ280</f>
        <v>1483.0724015236335</v>
      </c>
      <c r="ES310" s="43">
        <f>ER280</f>
        <v>1548.2079736910207</v>
      </c>
      <c r="ET310" s="43">
        <f>ES280</f>
        <v>1606.8000680668704</v>
      </c>
      <c r="EU310" s="83"/>
      <c r="EV310" s="90"/>
    </row>
    <row r="311" spans="1:152" ht="12.75" hidden="1" customHeight="1" outlineLevel="1">
      <c r="A311" s="26" t="s">
        <v>4680</v>
      </c>
      <c r="B311" s="520"/>
      <c r="C311" s="83"/>
      <c r="D311" s="83"/>
      <c r="E311" s="83"/>
      <c r="F311" s="83"/>
      <c r="G311" s="83"/>
      <c r="H311" s="83"/>
      <c r="I311" s="83"/>
      <c r="J311" s="83"/>
      <c r="K311" s="83"/>
      <c r="L311" s="83"/>
      <c r="M311" s="83"/>
      <c r="N311" s="26"/>
      <c r="O311" s="83"/>
      <c r="P311" s="83"/>
      <c r="Q311" s="83"/>
      <c r="R311" s="83"/>
      <c r="S311" s="83"/>
      <c r="T311" s="26"/>
      <c r="U311" s="83"/>
      <c r="V311" s="83"/>
      <c r="W311" s="83"/>
      <c r="X311" s="83"/>
      <c r="Y311" s="83"/>
      <c r="Z311" s="26"/>
      <c r="AA311" s="83"/>
      <c r="AB311" s="83"/>
      <c r="AC311" s="83"/>
      <c r="AD311" s="83"/>
      <c r="AE311" s="83"/>
      <c r="AF311" s="26"/>
      <c r="AG311" s="83"/>
      <c r="AH311" s="83"/>
      <c r="AI311" s="83"/>
      <c r="AJ311" s="83"/>
      <c r="AK311" s="83"/>
      <c r="AL311" s="26"/>
      <c r="AM311" s="85">
        <f>AM94</f>
        <v>2.7</v>
      </c>
      <c r="AN311" s="85">
        <f>AN94</f>
        <v>2.9510000000000001</v>
      </c>
      <c r="AO311" s="85">
        <f>AO94</f>
        <v>2.0219999999999998</v>
      </c>
      <c r="AP311" s="85">
        <f>AP94</f>
        <v>1.7929999999999984</v>
      </c>
      <c r="AQ311" s="83"/>
      <c r="AR311" s="26"/>
      <c r="AS311" s="85">
        <f>AS94</f>
        <v>1.6850000000000001</v>
      </c>
      <c r="AT311" s="85">
        <f>AT94</f>
        <v>1.494</v>
      </c>
      <c r="AU311" s="85">
        <f>AU94</f>
        <v>1.37</v>
      </c>
      <c r="AV311" s="85">
        <f>AV94</f>
        <v>5.8280000000000012</v>
      </c>
      <c r="AW311" s="83"/>
      <c r="AX311" s="26"/>
      <c r="AY311" s="85">
        <f>AY94</f>
        <v>1.7729999999999999</v>
      </c>
      <c r="AZ311" s="85">
        <f>AZ94</f>
        <v>-0.9</v>
      </c>
      <c r="BA311" s="85">
        <f>BA94</f>
        <v>1.5</v>
      </c>
      <c r="BB311" s="85">
        <f>BB94</f>
        <v>4.9000000000000004</v>
      </c>
      <c r="BC311" s="83"/>
      <c r="BD311" s="26"/>
      <c r="BE311" s="85">
        <f>BE94</f>
        <v>2.8</v>
      </c>
      <c r="BF311" s="85">
        <f>BF94</f>
        <v>3.3</v>
      </c>
      <c r="BG311" s="85">
        <f>BG94</f>
        <v>3.1</v>
      </c>
      <c r="BH311" s="85">
        <f>BH94</f>
        <v>4.2</v>
      </c>
      <c r="BI311" s="83"/>
      <c r="BJ311" s="26"/>
      <c r="BK311" s="85">
        <f>BK94</f>
        <v>3.5</v>
      </c>
      <c r="BL311" s="85">
        <f>BL94</f>
        <v>2.8</v>
      </c>
      <c r="BM311" s="85">
        <f>BM94</f>
        <v>6</v>
      </c>
      <c r="BN311" s="85">
        <f>BN94</f>
        <v>4.5</v>
      </c>
      <c r="BO311" s="83"/>
      <c r="BP311" s="26"/>
      <c r="BQ311" s="85">
        <f>BQ94</f>
        <v>9.8000000000000007</v>
      </c>
      <c r="BR311" s="85">
        <f>BR94</f>
        <v>3.4</v>
      </c>
      <c r="BS311" s="85">
        <f>BS94</f>
        <v>4.4000000000000004</v>
      </c>
      <c r="BT311" s="85">
        <f>BT94</f>
        <v>6.8</v>
      </c>
      <c r="BU311" s="83"/>
      <c r="BV311" s="26"/>
      <c r="BW311" s="85">
        <f>BW94</f>
        <v>6.9</v>
      </c>
      <c r="BX311" s="85">
        <f>BX94</f>
        <v>6.3</v>
      </c>
      <c r="BY311" s="85">
        <f>BY94</f>
        <v>-3.4</v>
      </c>
      <c r="BZ311" s="85">
        <f>BZ94</f>
        <v>-1.8</v>
      </c>
      <c r="CA311" s="83"/>
      <c r="CB311" s="26"/>
      <c r="CC311" s="85">
        <f>CC94</f>
        <v>0</v>
      </c>
      <c r="CD311" s="85">
        <f>CD94</f>
        <v>10.7</v>
      </c>
      <c r="CE311" s="85">
        <f>CE94</f>
        <v>5.7</v>
      </c>
      <c r="CF311" s="85">
        <f>CF94</f>
        <v>2.6</v>
      </c>
      <c r="CG311" s="83">
        <v>10</v>
      </c>
      <c r="CH311" s="26"/>
      <c r="CI311" s="85">
        <f>CI94</f>
        <v>-3.4</v>
      </c>
      <c r="CJ311" s="85">
        <f>CJ94</f>
        <v>0.1</v>
      </c>
      <c r="CK311" s="85">
        <f>CK94</f>
        <v>2.5</v>
      </c>
      <c r="CL311" s="85">
        <f>CL94</f>
        <v>1.4</v>
      </c>
      <c r="CM311" s="83">
        <v>10.9</v>
      </c>
      <c r="CN311" s="26"/>
      <c r="CO311" s="85">
        <f>CO94</f>
        <v>5.9</v>
      </c>
      <c r="CP311" s="85">
        <f>CP94</f>
        <v>-0.8</v>
      </c>
      <c r="CQ311" s="85">
        <f>CQ94</f>
        <v>1.1000000000000001</v>
      </c>
      <c r="CR311" s="85">
        <f>CR94</f>
        <v>1.1000000000000001</v>
      </c>
      <c r="CS311" s="83">
        <v>5.7</v>
      </c>
      <c r="CT311" s="26"/>
      <c r="CU311" s="85">
        <f>CU94</f>
        <v>3.5</v>
      </c>
      <c r="CV311" s="85">
        <f>CV94</f>
        <v>4.2</v>
      </c>
      <c r="CW311" s="85">
        <f>CV310*CW314</f>
        <v>0.93041999999999991</v>
      </c>
      <c r="CX311" s="85">
        <f>CW310*CX314</f>
        <v>0.88529999999999998</v>
      </c>
      <c r="CY311" s="85">
        <f>SUM(CU311:CX311)</f>
        <v>9.5157200000000017</v>
      </c>
      <c r="CZ311" s="26"/>
      <c r="DA311" s="85">
        <f>CX310*DA314</f>
        <v>0.96424999999999994</v>
      </c>
      <c r="DB311" s="85">
        <f>DA310*DB314</f>
        <v>0.79860000000000009</v>
      </c>
      <c r="DC311" s="85">
        <f>DB310*DC314</f>
        <v>0.8575600000000001</v>
      </c>
      <c r="DD311" s="85">
        <f>DC310*DD314</f>
        <v>0.81980000000000008</v>
      </c>
      <c r="DE311" s="85">
        <f>SUM(DA311:DD311)</f>
        <v>3.4402100000000004</v>
      </c>
      <c r="DF311" s="26"/>
      <c r="DG311" s="85">
        <f>DD310*DG314</f>
        <v>0.84560000000000002</v>
      </c>
      <c r="DH311" s="85">
        <f>DG310*DH314</f>
        <v>0.92956000000000005</v>
      </c>
      <c r="DI311" s="85">
        <f>DH310*DI314</f>
        <v>0.86968000000000001</v>
      </c>
      <c r="DJ311" s="85">
        <f>DI310*DJ314</f>
        <v>0.79308000000000001</v>
      </c>
      <c r="DK311" s="85">
        <f>SUM(DG311:DJ311)</f>
        <v>3.4379200000000001</v>
      </c>
      <c r="DL311" s="26"/>
      <c r="DM311" s="85">
        <f>DJ310*DM314</f>
        <v>0.7928400000000001</v>
      </c>
      <c r="DN311" s="85">
        <f>DM310*DN314</f>
        <v>0.84460000000000002</v>
      </c>
      <c r="DO311" s="85">
        <f>DN310*DO314</f>
        <v>0.76484000000000008</v>
      </c>
      <c r="DP311" s="85">
        <f>DO310*DP314</f>
        <v>0.95995999999999992</v>
      </c>
      <c r="DQ311" s="85">
        <f>SUM(DM311:DP311)</f>
        <v>3.3622399999999999</v>
      </c>
      <c r="DR311" s="26"/>
      <c r="DS311" s="85">
        <f>DP310*DS314</f>
        <v>0.91780000000000006</v>
      </c>
      <c r="DT311" s="85">
        <f>DS310*DT314</f>
        <v>0.90036000000000005</v>
      </c>
      <c r="DU311" s="85">
        <f>DT310*DU314</f>
        <v>0.90692000000000017</v>
      </c>
      <c r="DV311" s="85">
        <f>DU310*DV314</f>
        <v>0.82596000000000003</v>
      </c>
      <c r="DW311" s="85">
        <f>SUM(DS311:DV311)</f>
        <v>3.5510400000000004</v>
      </c>
      <c r="DX311" s="26"/>
      <c r="DY311" s="85">
        <f>DV310*DY314</f>
        <v>0.78756000000000004</v>
      </c>
      <c r="DZ311" s="85">
        <f>DY310*DZ314</f>
        <v>0.75995999999999997</v>
      </c>
      <c r="EA311" s="85">
        <f>DZ310*EA314</f>
        <v>0.72452000000000005</v>
      </c>
      <c r="EB311" s="85">
        <f>EA310*EB314</f>
        <v>0.68307999999999991</v>
      </c>
      <c r="EC311" s="85">
        <f>SUM(DY311:EB311)</f>
        <v>2.95512</v>
      </c>
      <c r="ED311" s="26"/>
      <c r="EE311" s="85">
        <f>EB310*EE314</f>
        <v>0.58156000000000008</v>
      </c>
      <c r="EF311" s="85">
        <f>EE310*EF314</f>
        <v>0.52928000000000008</v>
      </c>
      <c r="EG311" s="85">
        <f>EF310*EG314</f>
        <v>0.48310019472020022</v>
      </c>
      <c r="EH311" s="85">
        <f>EG310*EH314</f>
        <v>0.43196977984933466</v>
      </c>
      <c r="EI311" s="85">
        <f>SUM(EE311:EH311)</f>
        <v>2.0259099745695348</v>
      </c>
      <c r="EJ311" s="26"/>
      <c r="EK311" s="85">
        <f>EH310*EK314</f>
        <v>0.38678161332131777</v>
      </c>
      <c r="EL311" s="85">
        <f>EK310*EL314</f>
        <v>0.46724388792078564</v>
      </c>
      <c r="EM311" s="85">
        <f>EL310*EM314</f>
        <v>0.40002461093273672</v>
      </c>
      <c r="EN311" s="85">
        <f>EM310*EN314</f>
        <v>0.40534764909416321</v>
      </c>
      <c r="EO311" s="85">
        <f>SUM(EK311:EN311)</f>
        <v>1.6593977612690034</v>
      </c>
      <c r="EP311" s="26"/>
      <c r="EQ311" s="85">
        <f>EN310*EQ314</f>
        <v>0.4199778254401208</v>
      </c>
      <c r="ER311" s="85">
        <f>EQ310*ER314</f>
        <v>0.60168203657789687</v>
      </c>
      <c r="ES311" s="85">
        <f>ER310*ES314</f>
        <v>0.5932289606094534</v>
      </c>
      <c r="ET311" s="85">
        <f>ES310*ET314</f>
        <v>0.61928318947640826</v>
      </c>
      <c r="EU311" s="85">
        <f>SUM(EQ311:ET311)</f>
        <v>2.2341720121038793</v>
      </c>
      <c r="EV311" s="90"/>
    </row>
    <row r="312" spans="1:152" ht="5.25" hidden="1" customHeight="1" outlineLevel="1">
      <c r="A312" s="30"/>
      <c r="B312" s="520"/>
      <c r="C312" s="83"/>
      <c r="D312" s="83"/>
      <c r="E312" s="83"/>
      <c r="F312" s="83"/>
      <c r="G312" s="83"/>
      <c r="H312" s="83"/>
      <c r="I312" s="83"/>
      <c r="J312" s="83"/>
      <c r="K312" s="83"/>
      <c r="L312" s="83"/>
      <c r="M312" s="83"/>
      <c r="N312" s="26"/>
      <c r="O312" s="83"/>
      <c r="P312" s="83"/>
      <c r="Q312" s="83"/>
      <c r="R312" s="83"/>
      <c r="S312" s="83"/>
      <c r="T312" s="26"/>
      <c r="U312" s="83"/>
      <c r="V312" s="83"/>
      <c r="W312" s="83"/>
      <c r="X312" s="83"/>
      <c r="Y312" s="83"/>
      <c r="Z312" s="26"/>
      <c r="AA312" s="83"/>
      <c r="AB312" s="83"/>
      <c r="AC312" s="83"/>
      <c r="AD312" s="83"/>
      <c r="AE312" s="83"/>
      <c r="AF312" s="26"/>
      <c r="AG312" s="83"/>
      <c r="AH312" s="83"/>
      <c r="AI312" s="83"/>
      <c r="AJ312" s="83"/>
      <c r="AK312" s="83"/>
      <c r="AL312" s="26"/>
      <c r="AM312" s="83"/>
      <c r="AN312" s="83"/>
      <c r="AO312" s="83"/>
      <c r="AP312" s="83"/>
      <c r="AQ312" s="83"/>
      <c r="AR312" s="26"/>
      <c r="AS312" s="83"/>
      <c r="AT312" s="83"/>
      <c r="AU312" s="83"/>
      <c r="AV312" s="83"/>
      <c r="AW312" s="83"/>
      <c r="AX312" s="26"/>
      <c r="AY312" s="83"/>
      <c r="AZ312" s="83"/>
      <c r="BA312" s="83"/>
      <c r="BB312" s="83"/>
      <c r="BC312" s="83"/>
      <c r="BD312" s="26"/>
      <c r="BE312" s="83"/>
      <c r="BF312" s="83"/>
      <c r="BG312" s="83"/>
      <c r="BH312" s="83"/>
      <c r="BI312" s="83"/>
      <c r="BJ312" s="26"/>
      <c r="BK312" s="83"/>
      <c r="BL312" s="83"/>
      <c r="BM312" s="83"/>
      <c r="BN312" s="83"/>
      <c r="BO312" s="83"/>
      <c r="BP312" s="26"/>
      <c r="BQ312" s="83"/>
      <c r="BR312" s="85"/>
      <c r="BS312" s="85"/>
      <c r="BT312" s="85"/>
      <c r="BU312" s="83"/>
      <c r="BV312" s="26"/>
      <c r="BW312" s="85"/>
      <c r="BX312" s="85"/>
      <c r="BY312" s="85"/>
      <c r="BZ312" s="85"/>
      <c r="CA312" s="83"/>
      <c r="CB312" s="26"/>
      <c r="CC312" s="85"/>
      <c r="CD312" s="85"/>
      <c r="CE312" s="85"/>
      <c r="CF312" s="85"/>
      <c r="CG312" s="83"/>
      <c r="CH312" s="26"/>
      <c r="CI312" s="85"/>
      <c r="CJ312" s="85"/>
      <c r="CK312" s="85"/>
      <c r="CL312" s="85"/>
      <c r="CM312" s="83"/>
      <c r="CN312" s="26"/>
      <c r="CO312" s="85"/>
      <c r="CP312" s="85"/>
      <c r="CQ312" s="85"/>
      <c r="CR312" s="85"/>
      <c r="CS312" s="83"/>
      <c r="CT312" s="26"/>
      <c r="CU312" s="85"/>
      <c r="CV312" s="85"/>
      <c r="CW312" s="85"/>
      <c r="CX312" s="85"/>
      <c r="CY312" s="83"/>
      <c r="CZ312" s="26"/>
      <c r="DA312" s="85"/>
      <c r="DB312" s="85"/>
      <c r="DC312" s="85"/>
      <c r="DD312" s="85"/>
      <c r="DE312" s="83"/>
      <c r="DF312" s="26"/>
      <c r="DG312" s="85"/>
      <c r="DH312" s="85"/>
      <c r="DI312" s="85"/>
      <c r="DJ312" s="85"/>
      <c r="DK312" s="83"/>
      <c r="DL312" s="26"/>
      <c r="DM312" s="85"/>
      <c r="DN312" s="85"/>
      <c r="DO312" s="85"/>
      <c r="DP312" s="85"/>
      <c r="DQ312" s="83"/>
      <c r="DR312" s="26"/>
      <c r="DS312" s="85"/>
      <c r="DT312" s="85"/>
      <c r="DU312" s="85"/>
      <c r="DV312" s="85"/>
      <c r="DW312" s="83"/>
      <c r="DX312" s="26"/>
      <c r="DY312" s="85"/>
      <c r="DZ312" s="85"/>
      <c r="EA312" s="85"/>
      <c r="EB312" s="85"/>
      <c r="EC312" s="83"/>
      <c r="ED312" s="26"/>
      <c r="EE312" s="85"/>
      <c r="EF312" s="85"/>
      <c r="EG312" s="85"/>
      <c r="EH312" s="85"/>
      <c r="EI312" s="83"/>
      <c r="EJ312" s="26"/>
      <c r="EK312" s="85"/>
      <c r="EL312" s="85"/>
      <c r="EM312" s="85"/>
      <c r="EN312" s="85"/>
      <c r="EO312" s="83"/>
      <c r="EP312" s="26"/>
      <c r="EQ312" s="85"/>
      <c r="ER312" s="85"/>
      <c r="ES312" s="85"/>
      <c r="ET312" s="85"/>
      <c r="EU312" s="83"/>
      <c r="EV312" s="90"/>
    </row>
    <row r="313" spans="1:152" ht="9.75" hidden="1" customHeight="1" outlineLevel="1">
      <c r="A313" s="30"/>
      <c r="B313" s="520"/>
      <c r="C313" s="83"/>
      <c r="D313" s="83"/>
      <c r="E313" s="83"/>
      <c r="F313" s="83"/>
      <c r="G313" s="83"/>
      <c r="H313" s="83"/>
      <c r="I313" s="83"/>
      <c r="J313" s="83"/>
      <c r="K313" s="83"/>
      <c r="L313" s="83"/>
      <c r="M313" s="83"/>
      <c r="N313" s="26"/>
      <c r="O313" s="83"/>
      <c r="P313" s="83"/>
      <c r="Q313" s="83"/>
      <c r="R313" s="83"/>
      <c r="S313" s="83"/>
      <c r="T313" s="26"/>
      <c r="U313" s="83"/>
      <c r="V313" s="83"/>
      <c r="W313" s="83"/>
      <c r="X313" s="83"/>
      <c r="Y313" s="83"/>
      <c r="Z313" s="26"/>
      <c r="AA313" s="83"/>
      <c r="AB313" s="83"/>
      <c r="AC313" s="83"/>
      <c r="AD313" s="83"/>
      <c r="AE313" s="83"/>
      <c r="AF313" s="26"/>
      <c r="AG313" s="83"/>
      <c r="AH313" s="83"/>
      <c r="AI313" s="83"/>
      <c r="AJ313" s="83"/>
      <c r="AK313" s="83"/>
      <c r="AL313" s="26"/>
      <c r="AM313" s="83"/>
      <c r="AN313" s="83"/>
      <c r="AO313" s="83"/>
      <c r="AP313" s="83"/>
      <c r="AQ313" s="83"/>
      <c r="AR313" s="26"/>
      <c r="AS313" s="83"/>
      <c r="AT313" s="83"/>
      <c r="AU313" s="83"/>
      <c r="AV313" s="83"/>
      <c r="AW313" s="83"/>
      <c r="AX313" s="26"/>
      <c r="AY313" s="83"/>
      <c r="AZ313" s="83"/>
      <c r="BA313" s="83"/>
      <c r="BB313" s="83"/>
      <c r="BC313" s="83"/>
      <c r="BD313" s="26"/>
      <c r="BE313" s="83"/>
      <c r="BF313" s="83"/>
      <c r="BG313" s="83"/>
      <c r="BH313" s="83"/>
      <c r="BI313" s="83"/>
      <c r="BJ313" s="26"/>
      <c r="BK313" s="475">
        <f>BK314*4</f>
        <v>3.1681375876895228E-2</v>
      </c>
      <c r="BL313" s="475">
        <f>BL314*4</f>
        <v>2.37439050243799E-2</v>
      </c>
      <c r="BM313" s="475">
        <f>BM314*4</f>
        <v>4.4036697247706424E-2</v>
      </c>
      <c r="BN313" s="475">
        <f>BN314*4</f>
        <v>2.656434474616293E-2</v>
      </c>
      <c r="BO313" s="83"/>
      <c r="BP313" s="26"/>
      <c r="BQ313" s="475">
        <f>BQ314*4</f>
        <v>4.5794392523364487E-2</v>
      </c>
      <c r="BR313" s="475">
        <f>BR314*4</f>
        <v>1.2583271650629163E-2</v>
      </c>
      <c r="BS313" s="475">
        <f>BS314*4</f>
        <v>1.8733368813198512E-2</v>
      </c>
      <c r="BT313" s="475">
        <f>BT314*4</f>
        <v>2.7972027972027975E-2</v>
      </c>
      <c r="BU313" s="83"/>
      <c r="BV313" s="26"/>
      <c r="BW313" s="475">
        <f>BW314*4</f>
        <v>2.6350964292533897E-2</v>
      </c>
      <c r="BX313" s="475">
        <f>BX314*4</f>
        <v>2.4261095600269567E-2</v>
      </c>
      <c r="BY313" s="475">
        <f>BY314*4</f>
        <v>-1.3328106624852997E-2</v>
      </c>
      <c r="BZ313" s="475">
        <f>BZ314*4</f>
        <v>-7.4395536267823931E-3</v>
      </c>
      <c r="CA313" s="83"/>
      <c r="CB313" s="26"/>
      <c r="CC313" s="475">
        <f>CC314*4</f>
        <v>0</v>
      </c>
      <c r="CD313" s="475">
        <f>CD314*4</f>
        <v>4.2548961129336912E-2</v>
      </c>
      <c r="CE313" s="475">
        <f>CE314*4</f>
        <v>2.3154260180765718E-2</v>
      </c>
      <c r="CF313" s="475">
        <f>CF314*4</f>
        <v>1.0282776349614397E-2</v>
      </c>
      <c r="CG313" s="83"/>
      <c r="CH313" s="26"/>
      <c r="CI313" s="475">
        <f>CI314*4</f>
        <v>-1.3016845329249618E-2</v>
      </c>
      <c r="CJ313" s="475">
        <f>CJ314*4</f>
        <v>3.6245016310257344E-4</v>
      </c>
      <c r="CK313" s="475">
        <f>CK314*4</f>
        <v>8.8479915059281565E-3</v>
      </c>
      <c r="CL313" s="475">
        <f>CL314*4</f>
        <v>4.739737621667372E-3</v>
      </c>
      <c r="CM313" s="83"/>
      <c r="CN313" s="26"/>
      <c r="CO313" s="475">
        <f>CO314*4</f>
        <v>1.7729697242881828E-2</v>
      </c>
      <c r="CP313" s="475">
        <f>CP314*4</f>
        <v>-2.3039815681474549E-3</v>
      </c>
      <c r="CQ313" s="475">
        <f>CQ314*4</f>
        <v>3.1236688910975443E-3</v>
      </c>
      <c r="CR313" s="475">
        <f>CR314*4</f>
        <v>3.1934968790825959E-3</v>
      </c>
      <c r="CS313" s="83"/>
      <c r="CT313" s="26"/>
      <c r="CU313" s="475">
        <f>CU314*4</f>
        <v>3.1934968790825959E-3</v>
      </c>
      <c r="CV313" s="475">
        <f>CV314*4</f>
        <v>3.1934968790825959E-3</v>
      </c>
      <c r="CW313" s="475">
        <f>CW314*4</f>
        <v>2.3999999999999998E-3</v>
      </c>
      <c r="CX313" s="475">
        <f>CX314*4</f>
        <v>2.3999999999999998E-3</v>
      </c>
      <c r="CY313" s="83"/>
      <c r="CZ313" s="26"/>
      <c r="DA313" s="475">
        <f>DA314*4</f>
        <v>2.8E-3</v>
      </c>
      <c r="DB313" s="475">
        <f>DB314*4</f>
        <v>1.6000000000000001E-3</v>
      </c>
      <c r="DC313" s="475">
        <f>DC314*4</f>
        <v>1.6000000000000001E-3</v>
      </c>
      <c r="DD313" s="475">
        <f>DD314*4</f>
        <v>1.6000000000000001E-3</v>
      </c>
      <c r="DE313" s="83"/>
      <c r="DF313" s="26"/>
      <c r="DG313" s="475">
        <f>DG314*4</f>
        <v>1.6000000000000001E-3</v>
      </c>
      <c r="DH313" s="475">
        <f>DH314*4</f>
        <v>1.6000000000000001E-3</v>
      </c>
      <c r="DI313" s="475">
        <f>DI314*4</f>
        <v>1.6000000000000001E-3</v>
      </c>
      <c r="DJ313" s="475">
        <f>DJ314*4</f>
        <v>1.6000000000000001E-3</v>
      </c>
      <c r="DK313" s="83"/>
      <c r="DL313" s="26"/>
      <c r="DM313" s="475">
        <f>DM314*4</f>
        <v>1.6000000000000001E-3</v>
      </c>
      <c r="DN313" s="475">
        <f>DN314*4</f>
        <v>1.6000000000000001E-3</v>
      </c>
      <c r="DO313" s="475">
        <f>DO314*4</f>
        <v>1.6000000000000001E-3</v>
      </c>
      <c r="DP313" s="475">
        <f>DP314*4</f>
        <v>1.6000000000000001E-3</v>
      </c>
      <c r="DQ313" s="83"/>
      <c r="DR313" s="26"/>
      <c r="DS313" s="475">
        <f>DS314*4</f>
        <v>1.6000000000000001E-3</v>
      </c>
      <c r="DT313" s="475">
        <f>DT314*4</f>
        <v>1.6000000000000001E-3</v>
      </c>
      <c r="DU313" s="475">
        <f>DU314*4</f>
        <v>1.6000000000000001E-3</v>
      </c>
      <c r="DV313" s="475">
        <f>DV314*4</f>
        <v>1.6000000000000001E-3</v>
      </c>
      <c r="DW313" s="83"/>
      <c r="DX313" s="26"/>
      <c r="DY313" s="475">
        <f>DY314*4</f>
        <v>1.6000000000000001E-3</v>
      </c>
      <c r="DZ313" s="475">
        <f>DZ314*4</f>
        <v>1.6000000000000001E-3</v>
      </c>
      <c r="EA313" s="475">
        <f>EA314*4</f>
        <v>1.6000000000000001E-3</v>
      </c>
      <c r="EB313" s="475">
        <f>EB314*4</f>
        <v>1.6000000000000001E-3</v>
      </c>
      <c r="EC313" s="83"/>
      <c r="ED313" s="26"/>
      <c r="EE313" s="475">
        <f>EE314*4</f>
        <v>1.6000000000000001E-3</v>
      </c>
      <c r="EF313" s="475">
        <f>EF314*4</f>
        <v>1.6000000000000001E-3</v>
      </c>
      <c r="EG313" s="475">
        <f>EG314*4</f>
        <v>1.6000000000000001E-3</v>
      </c>
      <c r="EH313" s="475">
        <f>EH314*4</f>
        <v>1.6000000000000001E-3</v>
      </c>
      <c r="EI313" s="83"/>
      <c r="EJ313" s="26"/>
      <c r="EK313" s="475">
        <f>EK314*4</f>
        <v>1.6000000000000001E-3</v>
      </c>
      <c r="EL313" s="475">
        <f>EL314*4</f>
        <v>1.6000000000000001E-3</v>
      </c>
      <c r="EM313" s="475">
        <f>EM314*4</f>
        <v>1.6000000000000001E-3</v>
      </c>
      <c r="EN313" s="475">
        <f>EN314*4</f>
        <v>1.6000000000000001E-3</v>
      </c>
      <c r="EO313" s="83"/>
      <c r="EP313" s="26"/>
      <c r="EQ313" s="475">
        <f>EQ314*4</f>
        <v>1.6000000000000001E-3</v>
      </c>
      <c r="ER313" s="475">
        <f>ER314*4</f>
        <v>1.6000000000000001E-3</v>
      </c>
      <c r="ES313" s="475">
        <f>ES314*4</f>
        <v>1.6000000000000001E-3</v>
      </c>
      <c r="ET313" s="475">
        <f>ET314*4</f>
        <v>1.6000000000000001E-3</v>
      </c>
      <c r="EU313" s="83"/>
      <c r="EV313" s="90"/>
    </row>
    <row r="314" spans="1:152" ht="12.75" hidden="1" customHeight="1" outlineLevel="1">
      <c r="A314" s="26" t="s">
        <v>1937</v>
      </c>
      <c r="B314" s="520"/>
      <c r="C314" s="83"/>
      <c r="D314" s="83"/>
      <c r="E314" s="83"/>
      <c r="F314" s="83"/>
      <c r="G314" s="83"/>
      <c r="H314" s="83"/>
      <c r="I314" s="83"/>
      <c r="J314" s="83"/>
      <c r="K314" s="83"/>
      <c r="L314" s="83"/>
      <c r="M314" s="83"/>
      <c r="N314" s="26"/>
      <c r="O314" s="83"/>
      <c r="P314" s="83"/>
      <c r="Q314" s="83"/>
      <c r="R314" s="83"/>
      <c r="S314" s="83"/>
      <c r="T314" s="26"/>
      <c r="U314" s="325"/>
      <c r="V314" s="325"/>
      <c r="W314" s="325"/>
      <c r="X314" s="325"/>
      <c r="Y314" s="83"/>
      <c r="Z314" s="26"/>
      <c r="AA314" s="325"/>
      <c r="AB314" s="325"/>
      <c r="AC314" s="325"/>
      <c r="AD314" s="325"/>
      <c r="AE314" s="83"/>
      <c r="AF314" s="26"/>
      <c r="AG314" s="325"/>
      <c r="AH314" s="325"/>
      <c r="AI314" s="325"/>
      <c r="AJ314" s="325"/>
      <c r="AK314" s="83"/>
      <c r="AL314" s="26"/>
      <c r="AM314" s="325">
        <f>AM311/AM310</f>
        <v>7.3113667381555858E-3</v>
      </c>
      <c r="AN314" s="325">
        <f>AN311/AN310</f>
        <v>1.0248947668199436E-2</v>
      </c>
      <c r="AO314" s="325">
        <f>AO311/AO310</f>
        <v>6.9854693945235564E-3</v>
      </c>
      <c r="AP314" s="325">
        <f>AP311/AP310</f>
        <v>6.8265233084080779E-3</v>
      </c>
      <c r="AQ314" s="83"/>
      <c r="AR314" s="26"/>
      <c r="AS314" s="325">
        <f>AS311/AS310</f>
        <v>6.1063335543934802E-3</v>
      </c>
      <c r="AT314" s="325">
        <f>AT311/AT310</f>
        <v>5.6362682924068824E-3</v>
      </c>
      <c r="AU314" s="325">
        <f>AU311/AU310</f>
        <v>4.7127785097299969E-3</v>
      </c>
      <c r="AV314" s="325">
        <f>AV311/AV310</f>
        <v>1.7690089543178026E-2</v>
      </c>
      <c r="AW314" s="325"/>
      <c r="AX314" s="26"/>
      <c r="AY314" s="325">
        <f>AY311/AY310</f>
        <v>4.5586140579121385E-3</v>
      </c>
      <c r="AZ314" s="325">
        <f>AZ311/AZ310</f>
        <v>-1.655933762649494E-3</v>
      </c>
      <c r="BA314" s="325">
        <f>BA311/BA310</f>
        <v>2.5286581254214428E-3</v>
      </c>
      <c r="BB314" s="325">
        <f>BB311/BB310</f>
        <v>8.5232214298138799E-3</v>
      </c>
      <c r="BC314" s="325"/>
      <c r="BD314" s="26"/>
      <c r="BE314" s="325">
        <f>BE311/BE310</f>
        <v>5.1188299817184644E-3</v>
      </c>
      <c r="BF314" s="325">
        <f>BF311/BF310</f>
        <v>5.857294994675185E-3</v>
      </c>
      <c r="BG314" s="325">
        <f>BG311/BG310</f>
        <v>5.4886685552407938E-3</v>
      </c>
      <c r="BH314" s="325">
        <f>BH311/BH310</f>
        <v>6.8082347219970826E-3</v>
      </c>
      <c r="BI314" s="83"/>
      <c r="BJ314" s="26"/>
      <c r="BK314" s="325">
        <f>BK311/BK310</f>
        <v>7.9203439692238069E-3</v>
      </c>
      <c r="BL314" s="325">
        <f>BL311/BL310</f>
        <v>5.935976256094975E-3</v>
      </c>
      <c r="BM314" s="325">
        <f>BM311/BM310</f>
        <v>1.1009174311926606E-2</v>
      </c>
      <c r="BN314" s="325">
        <f>BN311/BN310</f>
        <v>6.6410861865407326E-3</v>
      </c>
      <c r="BO314" s="188"/>
      <c r="BP314" s="187"/>
      <c r="BQ314" s="325">
        <f>BQ311/BQ310</f>
        <v>1.1448598130841122E-2</v>
      </c>
      <c r="BR314" s="325">
        <f>BR311/BR310</f>
        <v>3.1458179126572909E-3</v>
      </c>
      <c r="BS314" s="325">
        <f>BS311/BS310</f>
        <v>4.6833422032996281E-3</v>
      </c>
      <c r="BT314" s="325">
        <f>BT311/BT310</f>
        <v>6.9930069930069939E-3</v>
      </c>
      <c r="BU314" s="188"/>
      <c r="BV314" s="187"/>
      <c r="BW314" s="475">
        <f>BW311/BW310</f>
        <v>6.5877410731334744E-3</v>
      </c>
      <c r="BX314" s="325">
        <f>BX311/BX310</f>
        <v>6.0652739000673916E-3</v>
      </c>
      <c r="BY314" s="325">
        <f>BY311/BY310</f>
        <v>-3.3320266562132492E-3</v>
      </c>
      <c r="BZ314" s="325">
        <f>BZ311/BZ310</f>
        <v>-1.8598884066955983E-3</v>
      </c>
      <c r="CA314" s="1447"/>
      <c r="CB314" s="1448"/>
      <c r="CC314" s="475">
        <f>CC311/CC310</f>
        <v>0</v>
      </c>
      <c r="CD314" s="325">
        <f>CD311/CD310</f>
        <v>1.0637240282334228E-2</v>
      </c>
      <c r="CE314" s="325">
        <f>CE311/CE310</f>
        <v>5.7885650451914294E-3</v>
      </c>
      <c r="CF314" s="325">
        <f>CF311/CF310</f>
        <v>2.5706940874035992E-3</v>
      </c>
      <c r="CG314" s="188">
        <f>CG311/CA280</f>
        <v>9.879470460383323E-3</v>
      </c>
      <c r="CH314" s="1448"/>
      <c r="CI314" s="475">
        <f>CI311/CI310</f>
        <v>-3.2542113323124045E-3</v>
      </c>
      <c r="CJ314" s="475">
        <f>CJ311/CJ310</f>
        <v>9.061254077564336E-5</v>
      </c>
      <c r="CK314" s="475">
        <f>CK311/CK310</f>
        <v>2.2119978764820391E-3</v>
      </c>
      <c r="CL314" s="475">
        <f>CL311/CL310</f>
        <v>1.184934405416843E-3</v>
      </c>
      <c r="CM314" s="188">
        <f>CM311/CG280</f>
        <v>1.0432618683001531E-2</v>
      </c>
      <c r="CN314" s="1448"/>
      <c r="CO314" s="475">
        <f>CO311/CO310</f>
        <v>4.4324243107204571E-3</v>
      </c>
      <c r="CP314" s="475">
        <f>CP311/CP310</f>
        <v>-5.7599539203686374E-4</v>
      </c>
      <c r="CQ314" s="475">
        <f>CQ311/CQ310</f>
        <v>7.8091722277438607E-4</v>
      </c>
      <c r="CR314" s="475">
        <f>CR311/CR310</f>
        <v>7.9837421977064897E-4</v>
      </c>
      <c r="CS314" s="188">
        <f>CS311/CM280</f>
        <v>4.2821726391706113E-3</v>
      </c>
      <c r="CT314" s="1448"/>
      <c r="CU314" s="1450">
        <f>CR314</f>
        <v>7.9837421977064897E-4</v>
      </c>
      <c r="CV314" s="1450">
        <f>CU314</f>
        <v>7.9837421977064897E-4</v>
      </c>
      <c r="CW314" s="1450">
        <v>5.9999999999999995E-4</v>
      </c>
      <c r="CX314" s="1450">
        <f>CW314</f>
        <v>5.9999999999999995E-4</v>
      </c>
      <c r="CY314" s="188">
        <f>CY311/CS280</f>
        <v>6.6017205494657977E-3</v>
      </c>
      <c r="CZ314" s="1448"/>
      <c r="DA314" s="1450">
        <v>6.9999999999999999E-4</v>
      </c>
      <c r="DB314" s="1450">
        <v>4.0000000000000002E-4</v>
      </c>
      <c r="DC314" s="1450">
        <f t="shared" ref="DB314:DD315" si="61">DB314</f>
        <v>4.0000000000000002E-4</v>
      </c>
      <c r="DD314" s="1450">
        <f t="shared" si="61"/>
        <v>4.0000000000000002E-4</v>
      </c>
      <c r="DE314" s="188">
        <f>DE311/CY280</f>
        <v>1.7231204608064113E-3</v>
      </c>
      <c r="DF314" s="1448"/>
      <c r="DG314" s="1450">
        <f>DD314</f>
        <v>4.0000000000000002E-4</v>
      </c>
      <c r="DH314" s="1450">
        <f t="shared" ref="DH314:DJ315" si="62">DG314</f>
        <v>4.0000000000000002E-4</v>
      </c>
      <c r="DI314" s="1450">
        <f t="shared" si="62"/>
        <v>4.0000000000000002E-4</v>
      </c>
      <c r="DJ314" s="1450">
        <f t="shared" si="62"/>
        <v>4.0000000000000002E-4</v>
      </c>
      <c r="DK314" s="188">
        <f>DK311/DE280</f>
        <v>1.4793751882611129E-3</v>
      </c>
      <c r="DL314" s="1448"/>
      <c r="DM314" s="1450">
        <f>DJ314</f>
        <v>4.0000000000000002E-4</v>
      </c>
      <c r="DN314" s="1450">
        <f t="shared" ref="DN314:DP315" si="63">DM314</f>
        <v>4.0000000000000002E-4</v>
      </c>
      <c r="DO314" s="1450">
        <f t="shared" si="63"/>
        <v>4.0000000000000002E-4</v>
      </c>
      <c r="DP314" s="1450">
        <f t="shared" si="63"/>
        <v>4.0000000000000002E-4</v>
      </c>
      <c r="DQ314" s="188">
        <f>DQ311/DK280</f>
        <v>1.5923466729812928E-3</v>
      </c>
      <c r="DR314" s="1448"/>
      <c r="DS314" s="1450">
        <f>DP314</f>
        <v>4.0000000000000002E-4</v>
      </c>
      <c r="DT314" s="1450">
        <f t="shared" ref="DT314:DV315" si="64">DS314</f>
        <v>4.0000000000000002E-4</v>
      </c>
      <c r="DU314" s="1450">
        <f t="shared" si="64"/>
        <v>4.0000000000000002E-4</v>
      </c>
      <c r="DV314" s="1450">
        <f t="shared" si="64"/>
        <v>4.0000000000000002E-4</v>
      </c>
      <c r="DW314" s="188">
        <f>DW311/DQ280</f>
        <v>1.5776089564174332E-3</v>
      </c>
      <c r="DX314" s="1448"/>
      <c r="DY314" s="1450">
        <f>DV314</f>
        <v>4.0000000000000002E-4</v>
      </c>
      <c r="DZ314" s="1450">
        <f t="shared" ref="DZ314:DZ315" si="65">DY314</f>
        <v>4.0000000000000002E-4</v>
      </c>
      <c r="EA314" s="1450">
        <f>DZ314</f>
        <v>4.0000000000000002E-4</v>
      </c>
      <c r="EB314" s="1450">
        <f>EA314</f>
        <v>4.0000000000000002E-4</v>
      </c>
      <c r="EC314" s="188">
        <f>EC311/DW280</f>
        <v>1.5554081793778621E-3</v>
      </c>
      <c r="ED314" s="1448"/>
      <c r="EE314" s="1450">
        <f>EB314</f>
        <v>4.0000000000000002E-4</v>
      </c>
      <c r="EF314" s="1450">
        <f t="shared" ref="EF314:EF315" si="66">EE314</f>
        <v>4.0000000000000002E-4</v>
      </c>
      <c r="EG314" s="1450">
        <f t="shared" ref="EG314:EG315" si="67">EF314</f>
        <v>4.0000000000000002E-4</v>
      </c>
      <c r="EH314" s="1450">
        <f t="shared" ref="EH314:EH315" si="68">EG314</f>
        <v>4.0000000000000002E-4</v>
      </c>
      <c r="EI314" s="188">
        <f>EI311/EC280</f>
        <v>1.5310686023046664E-3</v>
      </c>
      <c r="EJ314" s="1448"/>
      <c r="EK314" s="1450">
        <f>EH314</f>
        <v>4.0000000000000002E-4</v>
      </c>
      <c r="EL314" s="1450">
        <f t="shared" ref="EL314:EL315" si="69">EK314</f>
        <v>4.0000000000000002E-4</v>
      </c>
      <c r="EM314" s="1450">
        <f t="shared" ref="EM314:EM315" si="70">EL314</f>
        <v>4.0000000000000002E-4</v>
      </c>
      <c r="EN314" s="1450">
        <f t="shared" ref="EN314:EN315" si="71">EM314</f>
        <v>4.0000000000000002E-4</v>
      </c>
      <c r="EO314" s="188">
        <f>EO311/EI280</f>
        <v>1.4205838142930015E-3</v>
      </c>
      <c r="EP314" s="1448"/>
      <c r="EQ314" s="1450">
        <f>EN314</f>
        <v>4.0000000000000002E-4</v>
      </c>
      <c r="ER314" s="1450">
        <f t="shared" ref="ER314:ER315" si="72">EQ314</f>
        <v>4.0000000000000002E-4</v>
      </c>
      <c r="ES314" s="1450">
        <f t="shared" ref="ES314:ES315" si="73">ER314</f>
        <v>4.0000000000000002E-4</v>
      </c>
      <c r="ET314" s="1450">
        <f t="shared" ref="ET314:ET315" si="74">ES314</f>
        <v>4.0000000000000002E-4</v>
      </c>
      <c r="EU314" s="188">
        <f>EU311/EO280</f>
        <v>1.4852841708958894E-3</v>
      </c>
      <c r="EV314" s="90"/>
    </row>
    <row r="315" spans="1:152" ht="12.75" hidden="1" customHeight="1" outlineLevel="1">
      <c r="A315" s="26" t="s">
        <v>1659</v>
      </c>
      <c r="B315" s="520"/>
      <c r="C315" s="83"/>
      <c r="D315" s="83"/>
      <c r="E315" s="83"/>
      <c r="F315" s="83"/>
      <c r="G315" s="83"/>
      <c r="H315" s="83"/>
      <c r="I315" s="83"/>
      <c r="J315" s="83"/>
      <c r="K315" s="83"/>
      <c r="L315" s="83"/>
      <c r="M315" s="83"/>
      <c r="N315" s="26"/>
      <c r="O315" s="83"/>
      <c r="P315" s="83"/>
      <c r="Q315" s="83"/>
      <c r="R315" s="83"/>
      <c r="S315" s="83"/>
      <c r="T315" s="26"/>
      <c r="U315" s="325"/>
      <c r="V315" s="325"/>
      <c r="W315" s="325"/>
      <c r="X315" s="325"/>
      <c r="Y315" s="83"/>
      <c r="Z315" s="26"/>
      <c r="AA315" s="325"/>
      <c r="AB315" s="325"/>
      <c r="AC315" s="325"/>
      <c r="AD315" s="325"/>
      <c r="AE315" s="83"/>
      <c r="AF315" s="26"/>
      <c r="AG315" s="325"/>
      <c r="AH315" s="325"/>
      <c r="AI315" s="325"/>
      <c r="AJ315" s="325"/>
      <c r="AK315" s="83"/>
      <c r="AL315" s="26"/>
      <c r="AM315" s="325"/>
      <c r="AN315" s="325"/>
      <c r="AO315" s="325"/>
      <c r="AP315" s="325"/>
      <c r="AQ315" s="83"/>
      <c r="AR315" s="26"/>
      <c r="AS315" s="325"/>
      <c r="AT315" s="325"/>
      <c r="AU315" s="325"/>
      <c r="AV315" s="325"/>
      <c r="AW315" s="325"/>
      <c r="AX315" s="26"/>
      <c r="AY315" s="325"/>
      <c r="AZ315" s="325"/>
      <c r="BA315" s="325"/>
      <c r="BB315" s="325"/>
      <c r="BC315" s="325"/>
      <c r="BD315" s="26"/>
      <c r="BE315" s="325"/>
      <c r="BF315" s="325"/>
      <c r="BG315" s="325"/>
      <c r="BH315" s="325"/>
      <c r="BI315" s="83"/>
      <c r="BJ315" s="26"/>
      <c r="BK315" s="325"/>
      <c r="BL315" s="325"/>
      <c r="BM315" s="325"/>
      <c r="BN315" s="325"/>
      <c r="BO315" s="188"/>
      <c r="BP315" s="187"/>
      <c r="BQ315" s="325"/>
      <c r="BR315" s="325"/>
      <c r="BS315" s="325"/>
      <c r="BT315" s="325"/>
      <c r="BU315" s="188"/>
      <c r="BV315" s="187"/>
      <c r="BW315" s="475"/>
      <c r="BX315" s="325"/>
      <c r="BY315" s="325"/>
      <c r="BZ315" s="325"/>
      <c r="CA315" s="1447"/>
      <c r="CB315" s="1448"/>
      <c r="CC315" s="475"/>
      <c r="CD315" s="325"/>
      <c r="CE315" s="325"/>
      <c r="CF315" s="325"/>
      <c r="CG315" s="188"/>
      <c r="CH315" s="1448"/>
      <c r="CI315" s="475"/>
      <c r="CJ315" s="475"/>
      <c r="CK315" s="475"/>
      <c r="CL315" s="475"/>
      <c r="CM315" s="188"/>
      <c r="CN315" s="1448"/>
      <c r="CO315" s="475"/>
      <c r="CP315" s="475"/>
      <c r="CQ315" s="475"/>
      <c r="CR315" s="475"/>
      <c r="CS315" s="188"/>
      <c r="CT315" s="1448"/>
      <c r="CU315" s="1450"/>
      <c r="CV315" s="1450"/>
      <c r="CW315" s="1450"/>
      <c r="CX315" s="1450">
        <f>CX95/BS!CX39</f>
        <v>0</v>
      </c>
      <c r="CY315" s="188"/>
      <c r="CZ315" s="1448"/>
      <c r="DA315" s="1450">
        <f>((400*1.9%+350*3.6%)/(450+350))/4</f>
        <v>6.3125000000000013E-3</v>
      </c>
      <c r="DB315" s="1450">
        <f t="shared" si="61"/>
        <v>6.3125000000000013E-3</v>
      </c>
      <c r="DC315" s="1450">
        <f t="shared" si="61"/>
        <v>6.3125000000000013E-3</v>
      </c>
      <c r="DD315" s="1450">
        <f t="shared" si="61"/>
        <v>6.3125000000000013E-3</v>
      </c>
      <c r="DE315" s="188"/>
      <c r="DF315" s="1448"/>
      <c r="DG315" s="1450">
        <f>DD315</f>
        <v>6.3125000000000013E-3</v>
      </c>
      <c r="DH315" s="1450">
        <f t="shared" si="62"/>
        <v>6.3125000000000013E-3</v>
      </c>
      <c r="DI315" s="1450">
        <f t="shared" si="62"/>
        <v>6.3125000000000013E-3</v>
      </c>
      <c r="DJ315" s="1450">
        <f t="shared" si="62"/>
        <v>6.3125000000000013E-3</v>
      </c>
      <c r="DK315" s="188"/>
      <c r="DL315" s="1448"/>
      <c r="DM315" s="1450">
        <f>DJ315</f>
        <v>6.3125000000000013E-3</v>
      </c>
      <c r="DN315" s="1450">
        <f t="shared" si="63"/>
        <v>6.3125000000000013E-3</v>
      </c>
      <c r="DO315" s="1450">
        <v>8.9999999999999993E-3</v>
      </c>
      <c r="DP315" s="1450">
        <f t="shared" si="63"/>
        <v>8.9999999999999993E-3</v>
      </c>
      <c r="DQ315" s="188"/>
      <c r="DR315" s="1448"/>
      <c r="DS315" s="1450">
        <f>DP315</f>
        <v>8.9999999999999993E-3</v>
      </c>
      <c r="DT315" s="1450">
        <f>DS315</f>
        <v>8.9999999999999993E-3</v>
      </c>
      <c r="DU315" s="1450">
        <f t="shared" si="64"/>
        <v>8.9999999999999993E-3</v>
      </c>
      <c r="DV315" s="1450">
        <v>5.0000000000000001E-3</v>
      </c>
      <c r="DW315" s="188"/>
      <c r="DX315" s="1448"/>
      <c r="DY315" s="1450">
        <v>1.2500000000000001E-2</v>
      </c>
      <c r="DZ315" s="1450">
        <f t="shared" si="65"/>
        <v>1.2500000000000001E-2</v>
      </c>
      <c r="EA315" s="1450">
        <v>1.35E-2</v>
      </c>
      <c r="EB315" s="1450">
        <v>1.6500000000000001E-2</v>
      </c>
      <c r="EC315" s="188"/>
      <c r="ED315" s="1448"/>
      <c r="EE315" s="1450">
        <v>1.2500000000000001E-2</v>
      </c>
      <c r="EF315" s="1450">
        <f t="shared" si="66"/>
        <v>1.2500000000000001E-2</v>
      </c>
      <c r="EG315" s="1450">
        <f t="shared" si="67"/>
        <v>1.2500000000000001E-2</v>
      </c>
      <c r="EH315" s="1450">
        <f t="shared" si="68"/>
        <v>1.2500000000000001E-2</v>
      </c>
      <c r="EI315" s="188"/>
      <c r="EJ315" s="1448"/>
      <c r="EK315" s="1450">
        <v>0.01</v>
      </c>
      <c r="EL315" s="1450">
        <f t="shared" si="69"/>
        <v>0.01</v>
      </c>
      <c r="EM315" s="1450">
        <f t="shared" si="70"/>
        <v>0.01</v>
      </c>
      <c r="EN315" s="1450">
        <f t="shared" si="71"/>
        <v>0.01</v>
      </c>
      <c r="EO315" s="188"/>
      <c r="EP315" s="1448"/>
      <c r="EQ315" s="1450">
        <v>0.01</v>
      </c>
      <c r="ER315" s="1450">
        <f t="shared" si="72"/>
        <v>0.01</v>
      </c>
      <c r="ES315" s="1450">
        <f t="shared" si="73"/>
        <v>0.01</v>
      </c>
      <c r="ET315" s="1450">
        <f t="shared" si="74"/>
        <v>0.01</v>
      </c>
      <c r="EU315" s="188"/>
      <c r="EV315" s="90"/>
    </row>
    <row r="316" spans="1:152" ht="12.75" hidden="1" customHeight="1" outlineLevel="1">
      <c r="A316" s="26" t="s">
        <v>3367</v>
      </c>
      <c r="B316" s="520"/>
      <c r="C316" s="83"/>
      <c r="D316" s="83"/>
      <c r="E316" s="83"/>
      <c r="F316" s="83"/>
      <c r="G316" s="83"/>
      <c r="H316" s="83"/>
      <c r="I316" s="83"/>
      <c r="J316" s="83"/>
      <c r="K316" s="83"/>
      <c r="L316" s="83"/>
      <c r="M316" s="83"/>
      <c r="N316" s="26"/>
      <c r="O316" s="83"/>
      <c r="P316" s="83"/>
      <c r="Q316" s="83"/>
      <c r="R316" s="83"/>
      <c r="S316" s="83"/>
      <c r="T316" s="26"/>
      <c r="U316" s="274"/>
      <c r="V316" s="274"/>
      <c r="W316" s="274"/>
      <c r="X316" s="274"/>
      <c r="Y316" s="274"/>
      <c r="Z316" s="36"/>
      <c r="AA316" s="274"/>
      <c r="AB316" s="274"/>
      <c r="AC316" s="274"/>
      <c r="AD316" s="274"/>
      <c r="AE316" s="274"/>
      <c r="AF316" s="36"/>
      <c r="AG316" s="274"/>
      <c r="AH316" s="274"/>
      <c r="AI316" s="274"/>
      <c r="AJ316" s="274"/>
      <c r="AK316" s="274"/>
      <c r="AL316" s="36"/>
      <c r="AM316" s="85">
        <f>AM314*4/AM308</f>
        <v>1.6711695401498481</v>
      </c>
      <c r="AN316" s="85">
        <f>AN314*4/AN308</f>
        <v>2.3426166098741565</v>
      </c>
      <c r="AO316" s="85">
        <f>AO314*4/AO308</f>
        <v>1.5966787187482414</v>
      </c>
      <c r="AP316" s="85">
        <f>AP314*4/AP308</f>
        <v>2.1844874586905849</v>
      </c>
      <c r="AQ316" s="274"/>
      <c r="AR316" s="36"/>
      <c r="AS316" s="85">
        <f>AS314*4/AS308</f>
        <v>1.9540267374059135</v>
      </c>
      <c r="AT316" s="85">
        <f>AT314*4/AT308</f>
        <v>2.2545073169627527</v>
      </c>
      <c r="AU316" s="85">
        <f>AU314*4/AU308</f>
        <v>1.8851114038919987</v>
      </c>
      <c r="AV316" s="85">
        <f>AV314*4/AV308</f>
        <v>7.0760358172712099</v>
      </c>
      <c r="AW316" s="274"/>
      <c r="AX316" s="36"/>
      <c r="AY316" s="85">
        <f>AY314*4/AY308</f>
        <v>1.8234456231648555</v>
      </c>
      <c r="AZ316" s="85">
        <f>AZ314*4/AZ308</f>
        <v>-0.52989880404783807</v>
      </c>
      <c r="BA316" s="85">
        <f>BA314*4/BA308</f>
        <v>0.57797900009632974</v>
      </c>
      <c r="BB316" s="85">
        <f>BB314*4/BB308</f>
        <v>1.5152393653002454</v>
      </c>
      <c r="BC316" s="274"/>
      <c r="BD316" s="36"/>
      <c r="BE316" s="85">
        <f>BE314*4/BE308</f>
        <v>0.74455708824995848</v>
      </c>
      <c r="BF316" s="85">
        <f>BF314*4/BF308</f>
        <v>0.72089784549848424</v>
      </c>
      <c r="BG316" s="85">
        <f>BG314*4/BG308</f>
        <v>0.58545797922568465</v>
      </c>
      <c r="BH316" s="85">
        <f>BH314*4/BH308</f>
        <v>0.68082347219970829</v>
      </c>
      <c r="BI316" s="479"/>
      <c r="BJ316" s="483"/>
      <c r="BK316" s="85">
        <f>BK314*4/BK308</f>
        <v>0.74544413827988765</v>
      </c>
      <c r="BL316" s="85">
        <f>BL314*4/BL308</f>
        <v>0.49569739090563469</v>
      </c>
      <c r="BM316" s="85">
        <f>BM314*4/BM308</f>
        <v>0.91934649786443479</v>
      </c>
      <c r="BN316" s="85">
        <f>BN314*4/BN308</f>
        <v>0.55457922225809875</v>
      </c>
      <c r="BO316" s="479"/>
      <c r="BP316" s="483"/>
      <c r="BQ316" s="85">
        <f>BQ314*4/BQ308</f>
        <v>0.95604159756502061</v>
      </c>
      <c r="BR316" s="85">
        <f>BR314*4/BR308</f>
        <v>0.26269878185029572</v>
      </c>
      <c r="BS316" s="85">
        <f>BS314*4/BS308</f>
        <v>0.4683342203299628</v>
      </c>
      <c r="BT316" s="85">
        <f>BT314*4/BT308</f>
        <v>0.69930069930069938</v>
      </c>
      <c r="BU316" s="83"/>
      <c r="BV316" s="483"/>
      <c r="BW316" s="274">
        <f>BW314*4/BW308</f>
        <v>0.69344642875089202</v>
      </c>
      <c r="BX316" s="85">
        <f>BX314*4/BX308</f>
        <v>0.63844988421762017</v>
      </c>
      <c r="BY316" s="85">
        <f>BY314*4/BY308</f>
        <v>-0.35073964802244728</v>
      </c>
      <c r="BZ316" s="85">
        <f>BZ314*4/BZ308</f>
        <v>-0.19577772702058929</v>
      </c>
      <c r="CA316" s="619"/>
      <c r="CB316" s="1449"/>
      <c r="CC316" s="274">
        <f>CC314*4/CC308</f>
        <v>0</v>
      </c>
      <c r="CD316" s="85">
        <f>CD314*4/CD308</f>
        <v>1.1197095034036031</v>
      </c>
      <c r="CE316" s="85">
        <f>CE314*4/CE308</f>
        <v>0.60932263633593997</v>
      </c>
      <c r="CF316" s="85">
        <f>CF314*4/CF308</f>
        <v>0.27059937762143149</v>
      </c>
      <c r="CG316" s="619"/>
      <c r="CH316" s="1449"/>
      <c r="CI316" s="1451">
        <v>0.3</v>
      </c>
      <c r="CJ316" s="1451">
        <v>0.6</v>
      </c>
      <c r="CK316" s="1451">
        <v>0.6</v>
      </c>
      <c r="CL316" s="1451">
        <v>0.6</v>
      </c>
      <c r="CM316" s="378"/>
      <c r="CN316" s="1449"/>
      <c r="CO316" s="1451">
        <v>0.6</v>
      </c>
      <c r="CP316" s="1451">
        <v>0.6</v>
      </c>
      <c r="CQ316" s="1451">
        <v>0.6</v>
      </c>
      <c r="CR316" s="1451">
        <v>0.6</v>
      </c>
      <c r="CS316" s="83"/>
      <c r="CT316" s="1449"/>
      <c r="CU316" s="1451">
        <v>0.6</v>
      </c>
      <c r="CV316" s="1451">
        <v>0.6</v>
      </c>
      <c r="CW316" s="1451">
        <v>0.6</v>
      </c>
      <c r="CX316" s="1451">
        <v>0.6</v>
      </c>
      <c r="CY316" s="83"/>
      <c r="CZ316" s="1449"/>
      <c r="DA316" s="1451">
        <v>0.6</v>
      </c>
      <c r="DB316" s="1451">
        <v>0.6</v>
      </c>
      <c r="DC316" s="1451">
        <v>0.6</v>
      </c>
      <c r="DD316" s="1451">
        <v>0.6</v>
      </c>
      <c r="DE316" s="83"/>
      <c r="DF316" s="1449"/>
      <c r="DG316" s="1451">
        <v>0.6</v>
      </c>
      <c r="DH316" s="1451">
        <v>0.6</v>
      </c>
      <c r="DI316" s="1451">
        <v>0.6</v>
      </c>
      <c r="DJ316" s="1451">
        <v>0.6</v>
      </c>
      <c r="DK316" s="83"/>
      <c r="DL316" s="1449"/>
      <c r="DM316" s="1451">
        <v>0.6</v>
      </c>
      <c r="DN316" s="1451">
        <v>0.6</v>
      </c>
      <c r="DO316" s="1451">
        <v>0.6</v>
      </c>
      <c r="DP316" s="1451">
        <v>0.6</v>
      </c>
      <c r="DQ316" s="83"/>
      <c r="DR316" s="1449"/>
      <c r="DS316" s="1451">
        <v>0.6</v>
      </c>
      <c r="DT316" s="1451">
        <v>0.6</v>
      </c>
      <c r="DU316" s="1451">
        <v>0.6</v>
      </c>
      <c r="DV316" s="1451">
        <v>0.6</v>
      </c>
      <c r="DW316" s="83"/>
      <c r="DX316" s="1449"/>
      <c r="DY316" s="1451">
        <v>0.6</v>
      </c>
      <c r="DZ316" s="1451">
        <v>0.6</v>
      </c>
      <c r="EA316" s="1451">
        <v>0.6</v>
      </c>
      <c r="EB316" s="1451">
        <v>0.6</v>
      </c>
      <c r="EC316" s="83"/>
      <c r="ED316" s="1449"/>
      <c r="EE316" s="1451">
        <v>0.6</v>
      </c>
      <c r="EF316" s="1451">
        <v>0.6</v>
      </c>
      <c r="EG316" s="1451">
        <v>0.6</v>
      </c>
      <c r="EH316" s="1451">
        <v>0.6</v>
      </c>
      <c r="EI316" s="83"/>
      <c r="EJ316" s="1449"/>
      <c r="EK316" s="1451">
        <v>0.6</v>
      </c>
      <c r="EL316" s="1451">
        <v>0.6</v>
      </c>
      <c r="EM316" s="1451">
        <v>0.6</v>
      </c>
      <c r="EN316" s="1451">
        <v>0.6</v>
      </c>
      <c r="EO316" s="83"/>
      <c r="EP316" s="1449"/>
      <c r="EQ316" s="1451">
        <v>0.6</v>
      </c>
      <c r="ER316" s="1451">
        <v>0.6</v>
      </c>
      <c r="ES316" s="1451">
        <v>0.6</v>
      </c>
      <c r="ET316" s="1451">
        <v>0.6</v>
      </c>
      <c r="EU316" s="83"/>
      <c r="EV316" s="90"/>
    </row>
    <row r="317" spans="1:152" ht="6" hidden="1" customHeight="1" outlineLevel="1">
      <c r="A317" s="26"/>
      <c r="B317" s="520"/>
      <c r="C317" s="83"/>
      <c r="D317" s="83"/>
      <c r="E317" s="83"/>
      <c r="F317" s="83"/>
      <c r="G317" s="83"/>
      <c r="H317" s="83"/>
      <c r="I317" s="83"/>
      <c r="J317" s="83"/>
      <c r="K317" s="83"/>
      <c r="L317" s="83"/>
      <c r="M317" s="83"/>
      <c r="N317" s="26"/>
      <c r="O317" s="83"/>
      <c r="P317" s="83"/>
      <c r="Q317" s="83"/>
      <c r="R317" s="83"/>
      <c r="S317" s="83"/>
      <c r="T317" s="26"/>
      <c r="U317" s="83"/>
      <c r="V317" s="83"/>
      <c r="W317" s="83"/>
      <c r="X317" s="83"/>
      <c r="Y317" s="83"/>
      <c r="Z317" s="26"/>
      <c r="AA317" s="83"/>
      <c r="AB317" s="83"/>
      <c r="AC317" s="83"/>
      <c r="AD317" s="83"/>
      <c r="AE317" s="83"/>
      <c r="AF317" s="26"/>
      <c r="AG317" s="83"/>
      <c r="AH317" s="83"/>
      <c r="AI317" s="83"/>
      <c r="AJ317" s="83"/>
      <c r="AK317" s="83"/>
      <c r="AL317" s="26"/>
      <c r="AM317" s="83"/>
      <c r="AN317" s="83"/>
      <c r="AO317" s="83"/>
      <c r="AP317" s="83"/>
      <c r="AQ317" s="83"/>
      <c r="AR317" s="26"/>
      <c r="AS317" s="26"/>
      <c r="AT317" s="83"/>
      <c r="AU317" s="83"/>
      <c r="AV317" s="83"/>
      <c r="AW317" s="83"/>
      <c r="AX317" s="26"/>
      <c r="AY317" s="83"/>
      <c r="AZ317" s="83"/>
      <c r="BA317" s="83"/>
      <c r="BB317" s="83"/>
      <c r="BC317" s="83"/>
      <c r="BD317" s="26"/>
      <c r="BE317" s="83"/>
      <c r="BF317" s="83"/>
      <c r="BG317" s="83"/>
      <c r="BH317" s="83"/>
      <c r="BI317" s="83"/>
      <c r="BJ317" s="26"/>
      <c r="BK317" s="83"/>
      <c r="BL317" s="83"/>
      <c r="BM317" s="83"/>
      <c r="BN317" s="83"/>
      <c r="BO317" s="83"/>
      <c r="BP317" s="26"/>
      <c r="BQ317" s="83"/>
      <c r="BR317" s="83"/>
      <c r="BS317" s="83"/>
      <c r="BT317" s="83"/>
      <c r="BU317" s="83"/>
      <c r="BV317" s="26"/>
      <c r="BW317" s="83"/>
      <c r="BX317" s="83"/>
      <c r="BY317" s="83"/>
      <c r="BZ317" s="83"/>
      <c r="CA317" s="83"/>
      <c r="CB317" s="26"/>
      <c r="CC317" s="83"/>
      <c r="CD317" s="83"/>
      <c r="CE317" s="83"/>
      <c r="CF317" s="83"/>
      <c r="CG317" s="83"/>
      <c r="CH317" s="26"/>
      <c r="CI317" s="83"/>
      <c r="CJ317" s="83"/>
      <c r="CK317" s="83"/>
      <c r="CL317" s="83"/>
      <c r="CM317" s="83"/>
      <c r="CN317" s="26"/>
      <c r="CO317" s="83"/>
      <c r="CP317" s="83"/>
      <c r="CQ317" s="83"/>
      <c r="CR317" s="83"/>
      <c r="CS317" s="83"/>
      <c r="CT317" s="26"/>
      <c r="CU317" s="83"/>
      <c r="CV317" s="83"/>
      <c r="CW317" s="83"/>
      <c r="CX317" s="83"/>
      <c r="CY317" s="83"/>
      <c r="CZ317" s="26"/>
      <c r="DA317" s="83"/>
      <c r="DB317" s="83"/>
      <c r="DC317" s="83"/>
      <c r="DD317" s="83"/>
      <c r="DE317" s="83"/>
      <c r="DF317" s="26"/>
      <c r="DG317" s="83"/>
      <c r="DH317" s="83"/>
      <c r="DI317" s="83"/>
      <c r="DJ317" s="83"/>
      <c r="DK317" s="83"/>
      <c r="DL317" s="26"/>
      <c r="DM317" s="83"/>
      <c r="DN317" s="83"/>
      <c r="DO317" s="83"/>
      <c r="DP317" s="83"/>
      <c r="DQ317" s="83"/>
      <c r="DR317" s="26"/>
      <c r="DS317" s="83"/>
      <c r="DT317" s="83"/>
      <c r="DU317" s="83"/>
      <c r="DV317" s="83"/>
      <c r="DW317" s="83"/>
      <c r="DX317" s="26"/>
      <c r="DY317" s="83"/>
      <c r="DZ317" s="83"/>
      <c r="EA317" s="83"/>
      <c r="EB317" s="83"/>
      <c r="EC317" s="83"/>
      <c r="ED317" s="26"/>
      <c r="EE317" s="83"/>
      <c r="EF317" s="83"/>
      <c r="EG317" s="83"/>
      <c r="EH317" s="83"/>
      <c r="EI317" s="83"/>
      <c r="EJ317" s="26"/>
      <c r="EK317" s="83"/>
      <c r="EL317" s="83"/>
      <c r="EM317" s="83"/>
      <c r="EN317" s="83"/>
      <c r="EO317" s="83"/>
      <c r="EP317" s="26"/>
      <c r="EQ317" s="83"/>
      <c r="ER317" s="83"/>
      <c r="ES317" s="83"/>
      <c r="ET317" s="83"/>
      <c r="EU317" s="83"/>
      <c r="EV317" s="90"/>
    </row>
    <row r="318" spans="1:152" ht="12.75" hidden="1" customHeight="1" outlineLevel="1">
      <c r="A318" s="35"/>
      <c r="B318" s="528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35"/>
      <c r="O318" s="40"/>
      <c r="P318" s="40"/>
      <c r="Q318" s="40"/>
      <c r="R318" s="40"/>
      <c r="S318" s="40"/>
      <c r="T318" s="35"/>
      <c r="U318" s="40"/>
      <c r="V318" s="40"/>
      <c r="W318" s="40"/>
      <c r="X318" s="40"/>
      <c r="Y318" s="40"/>
      <c r="Z318" s="35"/>
      <c r="AA318" s="40"/>
      <c r="AB318" s="40"/>
      <c r="AC318" s="40"/>
      <c r="AD318" s="40"/>
      <c r="AE318" s="40"/>
      <c r="AF318" s="35"/>
      <c r="AG318" s="478"/>
      <c r="AH318" s="478"/>
      <c r="AI318" s="478"/>
      <c r="AJ318" s="478"/>
      <c r="AK318" s="40"/>
      <c r="AL318" s="35"/>
      <c r="AM318" s="478"/>
      <c r="AN318" s="478"/>
      <c r="AO318" s="478"/>
      <c r="AP318" s="478"/>
      <c r="AQ318" s="40"/>
      <c r="AR318" s="35"/>
      <c r="AS318" s="478"/>
      <c r="AT318" s="478"/>
      <c r="AU318" s="478"/>
      <c r="AV318" s="478"/>
      <c r="AW318" s="40"/>
      <c r="AX318" s="35"/>
      <c r="AY318" s="478"/>
      <c r="AZ318" s="478"/>
      <c r="BA318" s="478"/>
      <c r="BB318" s="478"/>
      <c r="BC318" s="40"/>
      <c r="BD318" s="35"/>
      <c r="BE318" s="478"/>
      <c r="BF318" s="478"/>
      <c r="BG318" s="478"/>
      <c r="BH318" s="478"/>
      <c r="BI318" s="40"/>
      <c r="BJ318" s="35"/>
      <c r="BK318" s="478"/>
      <c r="BL318" s="478"/>
      <c r="BM318" s="478"/>
      <c r="BN318" s="478"/>
      <c r="BO318" s="40"/>
      <c r="BP318" s="35"/>
      <c r="BQ318" s="478"/>
      <c r="BR318" s="478"/>
      <c r="BS318" s="478"/>
      <c r="BT318" s="478"/>
      <c r="BU318" s="40"/>
      <c r="BV318" s="35"/>
      <c r="BW318" s="478"/>
      <c r="BX318" s="478"/>
      <c r="BY318" s="478"/>
      <c r="BZ318" s="478"/>
      <c r="CA318" s="40"/>
      <c r="CB318" s="35"/>
      <c r="CC318" s="478"/>
      <c r="CD318" s="478"/>
      <c r="CE318" s="478"/>
      <c r="CF318" s="478"/>
      <c r="CG318" s="40"/>
      <c r="CH318" s="35"/>
      <c r="CI318" s="478"/>
      <c r="CJ318" s="478"/>
      <c r="CK318" s="478"/>
      <c r="CL318" s="478"/>
      <c r="CM318" s="40"/>
      <c r="CN318" s="35"/>
      <c r="CO318" s="478"/>
      <c r="CP318" s="478"/>
      <c r="CQ318" s="478"/>
      <c r="CR318" s="478"/>
      <c r="CS318" s="40"/>
      <c r="CT318" s="35"/>
      <c r="CU318" s="478"/>
      <c r="CV318" s="478"/>
      <c r="CW318" s="478"/>
      <c r="CX318" s="478"/>
      <c r="CY318" s="40"/>
      <c r="CZ318" s="35"/>
      <c r="DA318" s="478"/>
      <c r="DB318" s="478"/>
      <c r="DC318" s="478"/>
      <c r="DD318" s="478"/>
      <c r="DE318" s="40"/>
      <c r="DF318" s="35"/>
      <c r="DG318" s="478"/>
      <c r="DH318" s="478"/>
      <c r="DI318" s="478"/>
      <c r="DJ318" s="478"/>
      <c r="DK318" s="40"/>
      <c r="DL318" s="35"/>
      <c r="DM318" s="478"/>
      <c r="DN318" s="478"/>
      <c r="DO318" s="478"/>
      <c r="DP318" s="478"/>
      <c r="DQ318" s="40"/>
      <c r="DR318" s="35"/>
      <c r="DS318" s="478"/>
      <c r="DT318" s="478"/>
      <c r="DU318" s="478"/>
      <c r="DV318" s="478"/>
      <c r="DW318" s="40"/>
      <c r="DX318" s="35"/>
      <c r="DY318" s="478"/>
      <c r="DZ318" s="478"/>
      <c r="EA318" s="478"/>
      <c r="EB318" s="478"/>
      <c r="EC318" s="40"/>
      <c r="ED318" s="35"/>
      <c r="EE318" s="478"/>
      <c r="EF318" s="478"/>
      <c r="EG318" s="478"/>
      <c r="EH318" s="478"/>
      <c r="EI318" s="40"/>
      <c r="EJ318" s="35"/>
      <c r="EK318" s="478"/>
      <c r="EL318" s="478"/>
      <c r="EM318" s="478"/>
      <c r="EN318" s="478"/>
      <c r="EO318" s="40"/>
      <c r="EP318" s="35"/>
      <c r="EQ318" s="478"/>
      <c r="ER318" s="478"/>
      <c r="ES318" s="478"/>
      <c r="ET318" s="478"/>
      <c r="EU318" s="40"/>
      <c r="EV318" s="112"/>
    </row>
    <row r="319" spans="1:152" ht="12.75" hidden="1" customHeight="1" outlineLevel="1">
      <c r="A319" s="30" t="s">
        <v>4679</v>
      </c>
      <c r="B319" s="520"/>
      <c r="C319" s="83"/>
      <c r="D319" s="83"/>
      <c r="E319" s="83"/>
      <c r="F319" s="83"/>
      <c r="G319" s="83"/>
      <c r="H319" s="83"/>
      <c r="I319" s="83"/>
      <c r="J319" s="83"/>
      <c r="K319" s="83"/>
      <c r="L319" s="83"/>
      <c r="M319" s="83"/>
      <c r="N319" s="26"/>
      <c r="O319" s="83"/>
      <c r="P319" s="83"/>
      <c r="Q319" s="83"/>
      <c r="R319" s="83"/>
      <c r="S319" s="83"/>
      <c r="T319" s="26"/>
      <c r="U319" s="83"/>
      <c r="V319" s="83"/>
      <c r="W319" s="83"/>
      <c r="X319" s="83"/>
      <c r="Y319" s="83"/>
      <c r="Z319" s="26"/>
      <c r="AA319" s="83"/>
      <c r="AB319" s="83"/>
      <c r="AC319" s="83"/>
      <c r="AD319" s="83"/>
      <c r="AE319" s="83"/>
      <c r="AF319" s="26"/>
      <c r="AG319" s="325"/>
      <c r="AH319" s="325"/>
      <c r="AI319" s="325"/>
      <c r="AJ319" s="325"/>
      <c r="AK319" s="83"/>
      <c r="AL319" s="26"/>
      <c r="AM319" s="325"/>
      <c r="AN319" s="325"/>
      <c r="AO319" s="325"/>
      <c r="AP319" s="325"/>
      <c r="AQ319" s="83"/>
      <c r="AR319" s="26"/>
      <c r="AS319" s="325"/>
      <c r="AT319" s="325"/>
      <c r="AU319" s="325"/>
      <c r="AV319" s="325"/>
      <c r="AW319" s="83"/>
      <c r="AX319" s="26"/>
      <c r="AY319" s="325"/>
      <c r="AZ319" s="325"/>
      <c r="BA319" s="325"/>
      <c r="BB319" s="325"/>
      <c r="BC319" s="83"/>
      <c r="BD319" s="26"/>
      <c r="BE319" s="325"/>
      <c r="BF319" s="325"/>
      <c r="BG319" s="325"/>
      <c r="BH319" s="325"/>
      <c r="BI319" s="83"/>
      <c r="BJ319" s="26"/>
      <c r="BK319" s="325"/>
      <c r="BL319" s="325"/>
      <c r="BM319" s="325"/>
      <c r="BN319" s="325"/>
      <c r="BO319" s="83"/>
      <c r="BP319" s="26"/>
      <c r="BQ319" s="325"/>
      <c r="BR319" s="325"/>
      <c r="BS319" s="325"/>
      <c r="BT319" s="325"/>
      <c r="BU319" s="83"/>
      <c r="BV319" s="26"/>
      <c r="BW319" s="325"/>
      <c r="BX319" s="325"/>
      <c r="BY319" s="325"/>
      <c r="BZ319" s="325"/>
      <c r="CA319" s="83"/>
      <c r="CB319" s="26"/>
      <c r="CC319" s="325"/>
      <c r="CD319" s="325"/>
      <c r="CE319" s="325"/>
      <c r="CF319" s="325"/>
      <c r="CG319" s="83"/>
      <c r="CH319" s="26"/>
      <c r="CI319" s="325"/>
      <c r="CJ319" s="325"/>
      <c r="CK319" s="325"/>
      <c r="CL319" s="325"/>
      <c r="CM319" s="83"/>
      <c r="CN319" s="26"/>
      <c r="CO319" s="325"/>
      <c r="CP319" s="325"/>
      <c r="CQ319" s="325"/>
      <c r="CR319" s="325"/>
      <c r="CS319" s="83"/>
      <c r="CT319" s="26"/>
      <c r="CU319" s="325"/>
      <c r="CV319" s="325"/>
      <c r="CW319" s="325"/>
      <c r="CX319" s="325"/>
      <c r="CY319" s="83"/>
      <c r="CZ319" s="26"/>
      <c r="DA319" s="325"/>
      <c r="DB319" s="325"/>
      <c r="DC319" s="325"/>
      <c r="DD319" s="325"/>
      <c r="DE319" s="83"/>
      <c r="DF319" s="26"/>
      <c r="DG319" s="325"/>
      <c r="DH319" s="325"/>
      <c r="DI319" s="325"/>
      <c r="DJ319" s="325"/>
      <c r="DK319" s="83"/>
      <c r="DL319" s="26"/>
      <c r="DM319" s="325"/>
      <c r="DN319" s="325"/>
      <c r="DO319" s="325"/>
      <c r="DP319" s="325"/>
      <c r="DQ319" s="83"/>
      <c r="DR319" s="26"/>
      <c r="DS319" s="325"/>
      <c r="DT319" s="325"/>
      <c r="DU319" s="325"/>
      <c r="DV319" s="325"/>
      <c r="DW319" s="83"/>
      <c r="DX319" s="26"/>
      <c r="DY319" s="325"/>
      <c r="DZ319" s="325"/>
      <c r="EA319" s="325"/>
      <c r="EB319" s="325"/>
      <c r="EC319" s="83"/>
      <c r="ED319" s="26"/>
      <c r="EE319" s="325"/>
      <c r="EF319" s="325"/>
      <c r="EG319" s="325"/>
      <c r="EH319" s="325"/>
      <c r="EI319" s="83"/>
      <c r="EJ319" s="26"/>
      <c r="EK319" s="325"/>
      <c r="EL319" s="325"/>
      <c r="EM319" s="325"/>
      <c r="EN319" s="325"/>
      <c r="EO319" s="83"/>
      <c r="EP319" s="26"/>
      <c r="EQ319" s="325"/>
      <c r="ER319" s="325"/>
      <c r="ES319" s="325"/>
      <c r="ET319" s="325"/>
      <c r="EU319" s="83"/>
      <c r="EV319" s="90"/>
    </row>
    <row r="320" spans="1:152" ht="12.75" hidden="1" customHeight="1" outlineLevel="1">
      <c r="A320" s="41" t="s">
        <v>6427</v>
      </c>
      <c r="B320" s="520"/>
      <c r="C320" s="83"/>
      <c r="D320" s="83"/>
      <c r="E320" s="83"/>
      <c r="F320" s="83"/>
      <c r="G320" s="83"/>
      <c r="H320" s="83"/>
      <c r="I320" s="83"/>
      <c r="J320" s="83"/>
      <c r="K320" s="83"/>
      <c r="L320" s="83"/>
      <c r="M320" s="83"/>
      <c r="N320" s="26"/>
      <c r="O320" s="83"/>
      <c r="P320" s="83"/>
      <c r="Q320" s="83"/>
      <c r="R320" s="83"/>
      <c r="S320" s="83"/>
      <c r="T320" s="26"/>
      <c r="U320" s="83"/>
      <c r="V320" s="83"/>
      <c r="W320" s="83"/>
      <c r="X320" s="83"/>
      <c r="Y320" s="83"/>
      <c r="Z320" s="26"/>
      <c r="AA320" s="83"/>
      <c r="AB320" s="83"/>
      <c r="AC320" s="83"/>
      <c r="AD320" s="83"/>
      <c r="AE320" s="83"/>
      <c r="AF320" s="26"/>
      <c r="AG320" s="657">
        <f>-(AG140-AG100)</f>
        <v>1.6399999999999988</v>
      </c>
      <c r="AH320" s="657">
        <f>-(AH140-AH100)</f>
        <v>4.4849999999999994</v>
      </c>
      <c r="AI320" s="657">
        <f>-(AI140-AI100)</f>
        <v>3.7469999999999999</v>
      </c>
      <c r="AJ320" s="657">
        <f>-(AJ140-AJ100)</f>
        <v>6.536999999999999</v>
      </c>
      <c r="AK320" s="85">
        <f>SUM(AG320:AJ320)</f>
        <v>16.408999999999999</v>
      </c>
      <c r="AL320" s="26"/>
      <c r="AM320" s="657">
        <f>-(AM140-AM100)</f>
        <v>0.47100000000000009</v>
      </c>
      <c r="AN320" s="657">
        <f>-(AN140-AN100)</f>
        <v>1.0209999999999999</v>
      </c>
      <c r="AO320" s="657">
        <f>-(AO140-AO100)</f>
        <v>3.5940000000000003</v>
      </c>
      <c r="AP320" s="657">
        <f>-(AP140-AP100)</f>
        <v>5.8079999999999998</v>
      </c>
      <c r="AQ320" s="85">
        <f>SUM(AM320:AP320)</f>
        <v>10.894</v>
      </c>
      <c r="AR320" s="26"/>
      <c r="AS320" s="657">
        <f>-(AS140-AS100)</f>
        <v>0</v>
      </c>
      <c r="AT320" s="657">
        <f>-(AT140-AT100)</f>
        <v>19.673999999999999</v>
      </c>
      <c r="AU320" s="657">
        <f>-(AU140-AU100)</f>
        <v>0</v>
      </c>
      <c r="AV320" s="657">
        <f>-(AV140-AV100)</f>
        <v>7.7780000000000005</v>
      </c>
      <c r="AW320" s="85">
        <f>SUM(AS320:AV320)</f>
        <v>27.451999999999998</v>
      </c>
      <c r="AX320" s="26"/>
      <c r="AY320" s="657">
        <f>-(AY140-AY100)</f>
        <v>0</v>
      </c>
      <c r="AZ320" s="657">
        <f>-(AZ140-AZ100)</f>
        <v>-1.4000000000000004</v>
      </c>
      <c r="BA320" s="657">
        <f>-(BA140-BA100)</f>
        <v>32.6</v>
      </c>
      <c r="BB320" s="657">
        <f>-(BB140-BB100)</f>
        <v>3.2999999999999972</v>
      </c>
      <c r="BC320" s="85">
        <f>SUM(AY320:BB320)</f>
        <v>34.5</v>
      </c>
      <c r="BD320" s="26"/>
      <c r="BE320" s="657">
        <f>-(BE140-BE100)</f>
        <v>1.5</v>
      </c>
      <c r="BF320" s="657">
        <f>-(BF140-BF100)</f>
        <v>2.3000000000000007</v>
      </c>
      <c r="BG320" s="657">
        <f>-(BG140-BG100)</f>
        <v>17.8</v>
      </c>
      <c r="BH320" s="657">
        <f>-(BH140-BH100)</f>
        <v>1</v>
      </c>
      <c r="BI320" s="85">
        <f>SUM(BE320:BH320)</f>
        <v>22.6</v>
      </c>
      <c r="BJ320" s="26"/>
      <c r="BK320" s="657">
        <f>-(BK140-BK100)</f>
        <v>9.9930000000000003</v>
      </c>
      <c r="BL320" s="657">
        <f>-(BL140-BL100)</f>
        <v>3.5999999999999979</v>
      </c>
      <c r="BM320" s="657">
        <f>-(BM140-BM100)</f>
        <v>9.5</v>
      </c>
      <c r="BN320" s="657">
        <f>-(BN140-BN100)</f>
        <v>5.4999999999999964</v>
      </c>
      <c r="BO320" s="85">
        <f>SUM(BK320:BN320)</f>
        <v>28.592999999999993</v>
      </c>
      <c r="BP320" s="26"/>
      <c r="BQ320" s="657">
        <f>-(BQ140-BQ100)</f>
        <v>7.3000000000000043</v>
      </c>
      <c r="BR320" s="657">
        <f>-(BR140-BR100)</f>
        <v>9.4000000000000021</v>
      </c>
      <c r="BS320" s="657">
        <f>-(BS140-BS100)</f>
        <v>16.900000000000002</v>
      </c>
      <c r="BT320" s="657">
        <f>-(BT140-BT100)</f>
        <v>8.8000000000000043</v>
      </c>
      <c r="BU320" s="85">
        <f>SUM(BQ320:BT320)</f>
        <v>42.400000000000013</v>
      </c>
      <c r="BV320" s="26"/>
      <c r="BW320" s="657">
        <f>-(BW140-BW100+BW141*BW66)</f>
        <v>2.7006309148264949</v>
      </c>
      <c r="BX320" s="657">
        <f>-(BX140-BX100+BX141*BX66)</f>
        <v>4.6535571542765819</v>
      </c>
      <c r="BY320" s="657">
        <f>-(BY140-BY100+BY141*BY66)</f>
        <v>6.5632158590308407</v>
      </c>
      <c r="BZ320" s="657">
        <f>-(BZ140-BZ100+BZ141*BZ66)</f>
        <v>31.721460176991151</v>
      </c>
      <c r="CA320" s="85">
        <f>SUM(BW320:BZ320)</f>
        <v>45.638864105125066</v>
      </c>
      <c r="CB320" s="26"/>
      <c r="CC320" s="657">
        <f>-(CC140-CC100+CC141*CC66)</f>
        <v>16.256701030927843</v>
      </c>
      <c r="CD320" s="657">
        <f>-(CD140-CD100+CD141*CD66)</f>
        <v>11.81194029850745</v>
      </c>
      <c r="CE320" s="657">
        <f>-(CE140-CE100+CE141*CE66)</f>
        <v>14.332812499999996</v>
      </c>
      <c r="CF320" s="657">
        <f>-(CF140-CF100+CF141*CF66)</f>
        <v>10.331005110732535</v>
      </c>
      <c r="CG320" s="85">
        <f>SUM(CC320:CF320)</f>
        <v>52.732458940167824</v>
      </c>
      <c r="CH320" s="26"/>
      <c r="CI320" s="657">
        <f>-(CI140-CI100+CI141*CI66)</f>
        <v>9.1170886075949404</v>
      </c>
      <c r="CJ320" s="657">
        <f>-(CJ140-CJ100+CJ141*CJ66)</f>
        <v>6.1434292866082565</v>
      </c>
      <c r="CK320" s="657">
        <f>-(CK140-CK100+CK141*CK66)</f>
        <v>5.4085076708507636</v>
      </c>
      <c r="CL320" s="657">
        <f>-(CL140-CL100+CL141*CL66)</f>
        <v>10.526575342465755</v>
      </c>
      <c r="CM320" s="85">
        <f>SUM(CI320:CL320)</f>
        <v>31.195600907519715</v>
      </c>
      <c r="CN320" s="26"/>
      <c r="CO320" s="657">
        <f>-(CO140-CO100+CO141*CO66)</f>
        <v>11.441065088757398</v>
      </c>
      <c r="CP320" s="657">
        <f>-(CP140-CP100+CP141*CP66)</f>
        <v>4.8343949044586001</v>
      </c>
      <c r="CQ320" s="657">
        <f>-(CQ140-CQ100+CQ141*CQ66)</f>
        <v>10.412705366922228</v>
      </c>
      <c r="CR320" s="657">
        <f>-(CR140-CR100+CR141*CR66)</f>
        <v>7.7508073196986</v>
      </c>
      <c r="CS320" s="85">
        <f>SUM(CO320:CR320)</f>
        <v>34.438972679836823</v>
      </c>
      <c r="CT320" s="26"/>
      <c r="CU320" s="657">
        <f>-(CU140-CU100+CU141*CU66)</f>
        <v>13.628307692307693</v>
      </c>
      <c r="CV320" s="657">
        <f>-(CV140-CV100+CV141*CV66)</f>
        <v>4.158110882956656E-2</v>
      </c>
      <c r="CW320" s="657">
        <f>-(CW140-CW100+CW141*CW66)</f>
        <v>24.656598240469208</v>
      </c>
      <c r="CX320" s="657">
        <f>-(CX140-CX100+CX141*CX66)</f>
        <v>16.565277777777773</v>
      </c>
      <c r="CY320" s="85">
        <f>SUM(CU320:CX320)</f>
        <v>54.891764819384242</v>
      </c>
      <c r="CZ320" s="26"/>
      <c r="DA320" s="657">
        <f>-(DA140-DA100+DA141*DA66)</f>
        <v>8.4479452054794422</v>
      </c>
      <c r="DB320" s="657">
        <f>-(DB140-DB100+DB141*DB66)</f>
        <v>5.6555555555555639</v>
      </c>
      <c r="DC320" s="657">
        <f>-(DC140-DC100+DC141*DC66)</f>
        <v>11.879825834542814</v>
      </c>
      <c r="DD320" s="657">
        <f>-(DD140-DD100+DD141*DD66)</f>
        <v>22.98266199649737</v>
      </c>
      <c r="DE320" s="85">
        <f>SUM(DA320:DD320)</f>
        <v>48.965988592075192</v>
      </c>
      <c r="DF320" s="26"/>
      <c r="DG320" s="657">
        <f>-(DG140-DG100+DG141*DG66)</f>
        <v>11.010112359550559</v>
      </c>
      <c r="DH320" s="657">
        <f>-(DH140-DH100+DH141*DH66)</f>
        <v>7.8069264069263848</v>
      </c>
      <c r="DI320" s="657">
        <f>-(DI140-DI100+DI141*DI66)</f>
        <v>16.056034482758626</v>
      </c>
      <c r="DJ320" s="657">
        <f>-(DJ140-DJ100+DJ141*DJ66)</f>
        <v>145.59302325581399</v>
      </c>
      <c r="DK320" s="85">
        <f>SUM(DG320:DJ320)</f>
        <v>180.46609650504956</v>
      </c>
      <c r="DL320" s="26"/>
      <c r="DM320" s="657">
        <f>-(DM140-DM100+DM141*DM66)</f>
        <v>15.382568807339455</v>
      </c>
      <c r="DN320" s="657">
        <f>-(DN140-DN100+DN141*25%)</f>
        <v>-286.66666666666379</v>
      </c>
      <c r="DO320" s="657">
        <f>-(DO140-DO100+DO141*DO66)</f>
        <v>40.834821428571225</v>
      </c>
      <c r="DP320" s="657">
        <f>-(DP140-DP100+DP141*DP66)</f>
        <v>27.073684210526249</v>
      </c>
      <c r="DQ320" s="85">
        <f>SUM(DM320:DP320)</f>
        <v>-203.37559222022688</v>
      </c>
      <c r="DR320" s="26"/>
      <c r="DS320" s="657">
        <f>-(DS140-DS100+DS141*DS66)</f>
        <v>-17.333652383798793</v>
      </c>
      <c r="DT320" s="657">
        <f>-(DT140-DT100+DT141*DT66)</f>
        <v>-0.89767123287670358</v>
      </c>
      <c r="DU320" s="657">
        <f>-(DU140-DU100+DU141*DU66)</f>
        <v>-21.290487238979118</v>
      </c>
      <c r="DV320" s="657">
        <f>-(DV140-DV100+DV141*DV66)</f>
        <v>-22.889120095124852</v>
      </c>
      <c r="DW320" s="85">
        <f>SUM(DS320:DV320)</f>
        <v>-62.410930950779466</v>
      </c>
      <c r="DX320" s="26"/>
      <c r="DY320" s="657">
        <f>-(DY140-DY100+DY141*DY66)</f>
        <v>-16.414827018121908</v>
      </c>
      <c r="DZ320" s="657">
        <f>-(DZ140-DZ100+DZ141*DZ66)</f>
        <v>-18.312658227848104</v>
      </c>
      <c r="EA320" s="657">
        <f>-(EA140-EA100+EA141*EA66)</f>
        <v>-12.865287769784175</v>
      </c>
      <c r="EB320" s="657">
        <f>-(EB140-EB100+EB141*EB66)</f>
        <v>10.033585476550684</v>
      </c>
      <c r="EC320" s="85">
        <f>SUM(DY320:EB320)</f>
        <v>-37.559187539203506</v>
      </c>
      <c r="ED320" s="26"/>
      <c r="EE320" s="657">
        <f>-(EE140-EE100+EE141*EE66)</f>
        <v>-1.203471407022306</v>
      </c>
      <c r="EF320" s="657">
        <f>-(EF140-EF100+EF141*EF66)</f>
        <v>38.645413179663194</v>
      </c>
      <c r="EG320" s="657">
        <f>-(EG140-EG100+EG141*EG66)</f>
        <v>-65.424647039287521</v>
      </c>
      <c r="EH320" s="657">
        <f>-(EH140-EH100+EH141*EH66)</f>
        <v>-97.803309409305854</v>
      </c>
      <c r="EI320" s="85">
        <f>SUM(EE320:EH320)</f>
        <v>-125.78601467595249</v>
      </c>
      <c r="EJ320" s="26"/>
      <c r="EK320" s="657">
        <f>-(EK140-EK100+EK141*EK66)</f>
        <v>53.689994529421227</v>
      </c>
      <c r="EL320" s="657">
        <f>-(EL140-EL100+EL141*EL66)</f>
        <v>71.915669949917586</v>
      </c>
      <c r="EM320" s="657">
        <f>-(EM140-EM100+EM141*EM66)</f>
        <v>-6.5560935845236195</v>
      </c>
      <c r="EN320" s="657">
        <f>-(EN140-EN100+EN141*EN66)</f>
        <v>-8.5023790825270105</v>
      </c>
      <c r="EO320" s="85">
        <f>SUM(EK320:EN320)</f>
        <v>110.54719181228818</v>
      </c>
      <c r="EP320" s="26"/>
      <c r="EQ320" s="657">
        <f>-(EQ140-EQ100+EQ141*EQ66)</f>
        <v>68.494049758972665</v>
      </c>
      <c r="ER320" s="657">
        <f>-(ER140-ER100+ER141*ER66)</f>
        <v>105.78394435191629</v>
      </c>
      <c r="ES320" s="657">
        <f>-(ES140-ES100+ES141*ES66)</f>
        <v>-11.335831280650634</v>
      </c>
      <c r="ET320" s="657">
        <f>-(ET140-ET100+ET141*ET66)</f>
        <v>-15.671281971189185</v>
      </c>
      <c r="EU320" s="85">
        <f>SUM(EQ320:ET320)</f>
        <v>147.27088085904913</v>
      </c>
      <c r="EV320" s="90"/>
    </row>
    <row r="321" spans="1:152" ht="12.75" hidden="1" customHeight="1" outlineLevel="1">
      <c r="A321" s="658" t="s">
        <v>3343</v>
      </c>
      <c r="B321" s="526"/>
      <c r="C321" s="226"/>
      <c r="D321" s="226"/>
      <c r="E321" s="226"/>
      <c r="F321" s="226"/>
      <c r="G321" s="226"/>
      <c r="H321" s="226"/>
      <c r="I321" s="226"/>
      <c r="J321" s="226"/>
      <c r="K321" s="226"/>
      <c r="L321" s="226"/>
      <c r="M321" s="226"/>
      <c r="N321" s="113"/>
      <c r="O321" s="226"/>
      <c r="P321" s="226"/>
      <c r="Q321" s="226"/>
      <c r="R321" s="226"/>
      <c r="S321" s="226"/>
      <c r="T321" s="113"/>
      <c r="U321" s="226"/>
      <c r="V321" s="226"/>
      <c r="W321" s="226"/>
      <c r="X321" s="226"/>
      <c r="Y321" s="226"/>
      <c r="Z321" s="113"/>
      <c r="AA321" s="226"/>
      <c r="AB321" s="226"/>
      <c r="AC321" s="226"/>
      <c r="AD321" s="226"/>
      <c r="AE321" s="226"/>
      <c r="AF321" s="113"/>
      <c r="AG321" s="659">
        <f>AG140+AG320</f>
        <v>14.116</v>
      </c>
      <c r="AH321" s="659">
        <f>AH140+AH320</f>
        <v>12.702</v>
      </c>
      <c r="AI321" s="659">
        <f>AI140+AI320</f>
        <v>8.8940000000000001</v>
      </c>
      <c r="AJ321" s="659">
        <f>AJ140+AJ320</f>
        <v>15.866</v>
      </c>
      <c r="AK321" s="659">
        <f>AK140+AK320</f>
        <v>51.578000000000003</v>
      </c>
      <c r="AL321" s="659"/>
      <c r="AM321" s="659">
        <f>AM140+AM320</f>
        <v>6.9960000000000004</v>
      </c>
      <c r="AN321" s="659">
        <f>AN140+AN320</f>
        <v>5.37</v>
      </c>
      <c r="AO321" s="659">
        <f>AO140+AO320</f>
        <v>2.1480000000000006</v>
      </c>
      <c r="AP321" s="659">
        <f>AP140+AP320</f>
        <v>2.9419999999999997</v>
      </c>
      <c r="AQ321" s="659">
        <f>AQ140+AQ320</f>
        <v>17.456000000000003</v>
      </c>
      <c r="AR321" s="659"/>
      <c r="AS321" s="659">
        <f>AS140+AS320</f>
        <v>2.371</v>
      </c>
      <c r="AT321" s="659">
        <f>AT140+AT320</f>
        <v>4.0830000000000002</v>
      </c>
      <c r="AU321" s="659">
        <f>AU140+AU320</f>
        <v>7.1390000000000002</v>
      </c>
      <c r="AV321" s="659">
        <f>AV140+AV320</f>
        <v>16.739000000000001</v>
      </c>
      <c r="AW321" s="659">
        <f>AW140+AW320</f>
        <v>30.332000000000001</v>
      </c>
      <c r="AX321" s="659"/>
      <c r="AY321" s="659">
        <f>AY140+AY320</f>
        <v>13.5</v>
      </c>
      <c r="AZ321" s="659">
        <f>AZ140+AZ320</f>
        <v>11</v>
      </c>
      <c r="BA321" s="659">
        <f>BA140+BA320</f>
        <v>12.600000000000001</v>
      </c>
      <c r="BB321" s="659">
        <f>BB140+BB320</f>
        <v>19.399999999999999</v>
      </c>
      <c r="BC321" s="659">
        <f>BC140+BC320</f>
        <v>56.5</v>
      </c>
      <c r="BD321" s="659"/>
      <c r="BE321" s="659">
        <f>BE140+BE320</f>
        <v>20.3</v>
      </c>
      <c r="BF321" s="659">
        <f>BF140+BF320</f>
        <v>19.8</v>
      </c>
      <c r="BG321" s="659">
        <f>BG140+BG320</f>
        <v>20.5</v>
      </c>
      <c r="BH321" s="659">
        <f>BH140+BH320</f>
        <v>20.100000000000001</v>
      </c>
      <c r="BI321" s="777">
        <f>BI140+BI320</f>
        <v>80.7</v>
      </c>
      <c r="BJ321" s="659"/>
      <c r="BK321" s="659">
        <f>BK140+BK320</f>
        <v>24.3</v>
      </c>
      <c r="BL321" s="659">
        <f>BL140+BL320</f>
        <v>21.7</v>
      </c>
      <c r="BM321" s="659">
        <f>BM140+BM320</f>
        <v>26.1</v>
      </c>
      <c r="BN321" s="659">
        <f>BN140+BN320</f>
        <v>33.299999999999997</v>
      </c>
      <c r="BO321" s="659">
        <f>BO140+BO320</f>
        <v>105.39999999999999</v>
      </c>
      <c r="BP321" s="659"/>
      <c r="BQ321" s="659">
        <f>BQ140+BQ320</f>
        <v>35.200000000000003</v>
      </c>
      <c r="BR321" s="659">
        <f>BR140+BR320</f>
        <v>35.700000000000003</v>
      </c>
      <c r="BS321" s="659">
        <f>BS140+BS320</f>
        <v>42.1</v>
      </c>
      <c r="BT321" s="659">
        <f>BT140+BT320</f>
        <v>43.2</v>
      </c>
      <c r="BU321" s="659">
        <f>BU140+BU320</f>
        <v>156.20000000000002</v>
      </c>
      <c r="BV321" s="659"/>
      <c r="BW321" s="659">
        <f>BW140+BW320</f>
        <v>34.9006309148265</v>
      </c>
      <c r="BX321" s="659">
        <f>BX140+BX320</f>
        <v>39.953557154276581</v>
      </c>
      <c r="BY321" s="659">
        <f>BY140+BY320</f>
        <v>38.263215859030836</v>
      </c>
      <c r="BZ321" s="659">
        <f>BZ140+BZ320</f>
        <v>1.4214601769911503</v>
      </c>
      <c r="CA321" s="659">
        <f>CA140+CA320</f>
        <v>114.53886410512507</v>
      </c>
      <c r="CB321" s="659"/>
      <c r="CC321" s="659">
        <f>CC140+CC320</f>
        <v>28.956701030927842</v>
      </c>
      <c r="CD321" s="659">
        <f>CD140+CD320</f>
        <v>14.71194029850745</v>
      </c>
      <c r="CE321" s="659">
        <f>CE140+CE320</f>
        <v>16.832812499999996</v>
      </c>
      <c r="CF321" s="659">
        <f>CF140+CF320</f>
        <v>18.931005110732535</v>
      </c>
      <c r="CG321" s="659">
        <f>CG140+CG320</f>
        <v>79.432458940167834</v>
      </c>
      <c r="CH321" s="659"/>
      <c r="CI321" s="659">
        <f>CI140+CI320</f>
        <v>19.61708860759494</v>
      </c>
      <c r="CJ321" s="659">
        <f>CJ140+CJ320</f>
        <v>26.143429286608256</v>
      </c>
      <c r="CK321" s="659">
        <f>CK140+CK320</f>
        <v>23.508507670850765</v>
      </c>
      <c r="CL321" s="659">
        <f>CL140+CL320</f>
        <v>21.926575342465753</v>
      </c>
      <c r="CM321" s="659">
        <f>CM140+CM320</f>
        <v>91.195600907519719</v>
      </c>
      <c r="CN321" s="659"/>
      <c r="CO321" s="659">
        <f>CO140+CO320</f>
        <v>26.641065088757397</v>
      </c>
      <c r="CP321" s="659">
        <f>CP140+CP320</f>
        <v>27.834394904458598</v>
      </c>
      <c r="CQ321" s="659">
        <f>CQ140+CQ320</f>
        <v>28.912705366922228</v>
      </c>
      <c r="CR321" s="659">
        <f>CR140+CR320</f>
        <v>28.6508073196986</v>
      </c>
      <c r="CS321" s="659">
        <f>CS140+CS320</f>
        <v>112.03897267983682</v>
      </c>
      <c r="CT321" s="659"/>
      <c r="CU321" s="659">
        <f>CU140+CU320</f>
        <v>32.228307692307695</v>
      </c>
      <c r="CV321" s="659">
        <f>CV140+CV320</f>
        <v>27.541581108829568</v>
      </c>
      <c r="CW321" s="659">
        <f>CW140+CW320</f>
        <v>29.556598240469206</v>
      </c>
      <c r="CX321" s="659">
        <f>CX140+CX320</f>
        <v>28.165277777777774</v>
      </c>
      <c r="CY321" s="659">
        <f>CY140+CY320</f>
        <v>117.49176481938424</v>
      </c>
      <c r="CZ321" s="659"/>
      <c r="DA321" s="659">
        <f>DA140+DA320</f>
        <v>25.447945205479442</v>
      </c>
      <c r="DB321" s="659">
        <f>DB140+DB320</f>
        <v>25.755555555555567</v>
      </c>
      <c r="DC321" s="659">
        <f>DC140+DC320</f>
        <v>23.479825834542815</v>
      </c>
      <c r="DD321" s="659">
        <f>DD140+DD320</f>
        <v>25.382661996497369</v>
      </c>
      <c r="DE321" s="659">
        <f>DE140+DE320</f>
        <v>100.0659885920752</v>
      </c>
      <c r="DF321" s="659"/>
      <c r="DG321" s="659">
        <f>DG140+DG320</f>
        <v>18.310112359550558</v>
      </c>
      <c r="DH321" s="659">
        <f>DH140+DH320</f>
        <v>19.406926406926384</v>
      </c>
      <c r="DI321" s="659">
        <f>DI140+DI320</f>
        <v>16.956034482758625</v>
      </c>
      <c r="DJ321" s="659">
        <f>DJ140+DJ320</f>
        <v>126.99302325581399</v>
      </c>
      <c r="DK321" s="659">
        <f>DK140+DK320</f>
        <v>181.66609650504955</v>
      </c>
      <c r="DL321" s="659"/>
      <c r="DM321" s="659">
        <f>DM140+DM320</f>
        <v>18.082568807339456</v>
      </c>
      <c r="DN321" s="659">
        <f>DN140+DN320</f>
        <v>-50.266666666663781</v>
      </c>
      <c r="DO321" s="659">
        <f>DO140+DO320</f>
        <v>62.134821428571229</v>
      </c>
      <c r="DP321" s="659">
        <f>DP140+DP320</f>
        <v>38.87368421052625</v>
      </c>
      <c r="DQ321" s="659">
        <f>DQ140+DQ320</f>
        <v>68.824407779773111</v>
      </c>
      <c r="DR321" s="659"/>
      <c r="DS321" s="659">
        <f>DS140+DS320</f>
        <v>-2.9336523837987922</v>
      </c>
      <c r="DT321" s="659">
        <f>DT140+DT320</f>
        <v>19.002328767123295</v>
      </c>
      <c r="DU321" s="659">
        <f>DU140+DU320</f>
        <v>-7.790487238979118</v>
      </c>
      <c r="DV321" s="659">
        <f>DV140+DV320</f>
        <v>-20.589120095124851</v>
      </c>
      <c r="DW321" s="659">
        <f>DW140+DW320</f>
        <v>-12.310930950779472</v>
      </c>
      <c r="DX321" s="659"/>
      <c r="DY321" s="659">
        <f>DY140+DY320</f>
        <v>-8.214827018121909</v>
      </c>
      <c r="DZ321" s="659">
        <f>DZ140+DZ320</f>
        <v>-0.7126582278481024</v>
      </c>
      <c r="EA321" s="659">
        <f>EA140+EA320</f>
        <v>-4.2652877697841749</v>
      </c>
      <c r="EB321" s="659">
        <f>EB140+EB320</f>
        <v>-14.766414523449317</v>
      </c>
      <c r="EC321" s="659">
        <f>EC140+EC320</f>
        <v>-27.959187539203509</v>
      </c>
      <c r="ED321" s="659"/>
      <c r="EE321" s="659">
        <f>EE140+EE320</f>
        <v>12.417528979627118</v>
      </c>
      <c r="EF321" s="659">
        <f>EF140+EF320</f>
        <v>69.788763448853786</v>
      </c>
      <c r="EG321" s="659">
        <f>EG140+EG320</f>
        <v>-57.686848576767694</v>
      </c>
      <c r="EH321" s="659">
        <f>EH140+EH320</f>
        <v>-49.086063762741531</v>
      </c>
      <c r="EI321" s="659">
        <f>EI140+EI320</f>
        <v>-24.566619911028312</v>
      </c>
      <c r="EJ321" s="659"/>
      <c r="EK321" s="659">
        <f>EK140+EK320</f>
        <v>37.968633877009651</v>
      </c>
      <c r="EL321" s="659">
        <f>EL140+EL320</f>
        <v>46.109849977235264</v>
      </c>
      <c r="EM321" s="659">
        <f>EM140+EM320</f>
        <v>26.480467922618086</v>
      </c>
      <c r="EN321" s="659">
        <f>EN140+EN320</f>
        <v>36.526895412635028</v>
      </c>
      <c r="EO321" s="659">
        <f>EO140+EO320</f>
        <v>147.08584718949803</v>
      </c>
      <c r="EP321" s="659"/>
      <c r="EQ321" s="659">
        <f>EQ140+EQ320</f>
        <v>44.697749890442118</v>
      </c>
      <c r="ER321" s="659">
        <f>ER140+ER320</f>
        <v>61.504520159961942</v>
      </c>
      <c r="ES321" s="659">
        <f>ES140+ES320</f>
        <v>50.379156403253162</v>
      </c>
      <c r="ET321" s="659">
        <f>ET140+ET320</f>
        <v>72.371409855945956</v>
      </c>
      <c r="EU321" s="659">
        <f>EU140+EU320</f>
        <v>228.95283630960316</v>
      </c>
      <c r="EV321" s="270"/>
    </row>
    <row r="322" spans="1:152" ht="12.75" hidden="1" customHeight="1" outlineLevel="1">
      <c r="A322" s="90" t="s">
        <v>7218</v>
      </c>
      <c r="B322" s="520"/>
      <c r="C322" s="104"/>
      <c r="D322" s="104"/>
      <c r="E322" s="104"/>
      <c r="F322" s="104"/>
      <c r="G322" s="104"/>
      <c r="H322" s="90"/>
      <c r="I322" s="104"/>
      <c r="J322" s="104"/>
      <c r="K322" s="104"/>
      <c r="L322" s="104"/>
      <c r="M322" s="104"/>
      <c r="N322" s="90"/>
      <c r="O322" s="104"/>
      <c r="P322" s="104"/>
      <c r="Q322" s="104"/>
      <c r="R322" s="104"/>
      <c r="S322" s="104"/>
      <c r="T322" s="90"/>
      <c r="U322" s="104"/>
      <c r="V322" s="104"/>
      <c r="W322" s="104"/>
      <c r="X322" s="104"/>
      <c r="Y322" s="104"/>
      <c r="Z322" s="90"/>
      <c r="AA322" s="104"/>
      <c r="AB322" s="104"/>
      <c r="AC322" s="104"/>
      <c r="AD322" s="104"/>
      <c r="AE322" s="104"/>
      <c r="AF322" s="90"/>
      <c r="AG322" s="104"/>
      <c r="AH322" s="104"/>
      <c r="AI322" s="104"/>
      <c r="AJ322" s="104"/>
      <c r="AK322" s="104"/>
      <c r="AL322" s="90"/>
      <c r="AM322" s="104"/>
      <c r="AN322" s="104"/>
      <c r="AO322" s="104"/>
      <c r="AP322" s="104"/>
      <c r="AQ322" s="104"/>
      <c r="AR322" s="90"/>
      <c r="AS322" s="104"/>
      <c r="AT322" s="104"/>
      <c r="AU322" s="104"/>
      <c r="AV322" s="104"/>
      <c r="AW322" s="104"/>
      <c r="AX322" s="90"/>
      <c r="AY322" s="104"/>
      <c r="AZ322" s="104"/>
      <c r="BA322" s="104"/>
      <c r="BB322" s="104"/>
      <c r="BC322" s="208"/>
      <c r="BD322" s="90"/>
      <c r="BE322" s="778"/>
      <c r="BF322" s="778"/>
      <c r="BG322" s="104"/>
      <c r="BH322" s="104"/>
      <c r="BI322" s="104"/>
      <c r="BJ322" s="90"/>
      <c r="BK322" s="104"/>
      <c r="BL322" s="104"/>
      <c r="BM322" s="104"/>
      <c r="BN322" s="104"/>
      <c r="BO322" s="104"/>
      <c r="BP322" s="90"/>
      <c r="BQ322" s="104"/>
      <c r="BR322" s="104"/>
      <c r="BS322" s="104"/>
      <c r="BT322" s="104"/>
      <c r="BU322" s="104"/>
      <c r="BV322" s="90"/>
      <c r="BW322" s="104"/>
      <c r="BX322" s="104"/>
      <c r="BY322" s="104"/>
      <c r="BZ322" s="104"/>
      <c r="CA322" s="104"/>
      <c r="CB322" s="90"/>
      <c r="CC322" s="104"/>
      <c r="CD322" s="104"/>
      <c r="CE322" s="104"/>
      <c r="CF322" s="104"/>
      <c r="CG322" s="104"/>
      <c r="CH322" s="90"/>
      <c r="CI322" s="104"/>
      <c r="CJ322" s="104"/>
      <c r="CK322" s="104"/>
      <c r="CL322" s="104"/>
      <c r="CM322" s="104"/>
      <c r="CN322" s="90"/>
      <c r="CO322" s="104"/>
      <c r="CP322" s="104"/>
      <c r="CQ322" s="104"/>
      <c r="CR322" s="104"/>
      <c r="CS322" s="104"/>
      <c r="CT322" s="90"/>
      <c r="CU322" s="208">
        <f t="shared" ref="CU322:DE322" si="75">CU93-CU138</f>
        <v>0</v>
      </c>
      <c r="CV322" s="208">
        <f t="shared" si="75"/>
        <v>0</v>
      </c>
      <c r="CW322" s="208">
        <f t="shared" si="75"/>
        <v>0</v>
      </c>
      <c r="CX322" s="208">
        <f t="shared" si="75"/>
        <v>0</v>
      </c>
      <c r="CY322" s="208">
        <f t="shared" si="75"/>
        <v>0</v>
      </c>
      <c r="CZ322" s="90"/>
      <c r="DA322" s="208">
        <f t="shared" si="75"/>
        <v>0</v>
      </c>
      <c r="DB322" s="208">
        <f t="shared" si="75"/>
        <v>0</v>
      </c>
      <c r="DC322" s="208">
        <f t="shared" si="75"/>
        <v>0</v>
      </c>
      <c r="DD322" s="208">
        <f t="shared" si="75"/>
        <v>0</v>
      </c>
      <c r="DE322" s="208">
        <f t="shared" si="75"/>
        <v>0</v>
      </c>
      <c r="DF322" s="90"/>
      <c r="DG322" s="208">
        <f t="shared" ref="DG322:DQ322" si="76">DG93-DG138</f>
        <v>3.6</v>
      </c>
      <c r="DH322" s="208">
        <f t="shared" si="76"/>
        <v>0</v>
      </c>
      <c r="DI322" s="208">
        <f t="shared" si="76"/>
        <v>0.70000000000000018</v>
      </c>
      <c r="DJ322" s="208">
        <f t="shared" si="76"/>
        <v>0</v>
      </c>
      <c r="DK322" s="208">
        <f t="shared" si="76"/>
        <v>4.3000000000000025</v>
      </c>
      <c r="DL322" s="90"/>
      <c r="DM322" s="208">
        <f t="shared" si="76"/>
        <v>-1</v>
      </c>
      <c r="DN322" s="208">
        <f t="shared" si="76"/>
        <v>-2.4</v>
      </c>
      <c r="DO322" s="208">
        <f t="shared" si="76"/>
        <v>0</v>
      </c>
      <c r="DP322" s="208">
        <f t="shared" si="76"/>
        <v>0</v>
      </c>
      <c r="DQ322" s="208">
        <f t="shared" si="76"/>
        <v>-4.6293399999999991</v>
      </c>
      <c r="DR322" s="90"/>
      <c r="DS322" s="208">
        <f t="shared" ref="DS322:EC322" si="77">DS93-DS138</f>
        <v>0</v>
      </c>
      <c r="DT322" s="208">
        <f t="shared" si="77"/>
        <v>0.30000000000000071</v>
      </c>
      <c r="DU322" s="208">
        <f t="shared" si="77"/>
        <v>-0.40000000000000036</v>
      </c>
      <c r="DV322" s="208">
        <f t="shared" si="77"/>
        <v>0.29999999999999938</v>
      </c>
      <c r="DW322" s="208">
        <f t="shared" si="77"/>
        <v>0.19999999999999574</v>
      </c>
      <c r="DX322" s="90"/>
      <c r="DY322" s="208">
        <f t="shared" si="77"/>
        <v>-5.7</v>
      </c>
      <c r="DZ322" s="208">
        <f t="shared" si="77"/>
        <v>13.5</v>
      </c>
      <c r="EA322" s="208">
        <f t="shared" si="77"/>
        <v>1.6999999999999993</v>
      </c>
      <c r="EB322" s="208">
        <f t="shared" si="77"/>
        <v>7</v>
      </c>
      <c r="EC322" s="208">
        <f t="shared" si="77"/>
        <v>16.500000000000014</v>
      </c>
      <c r="ED322" s="90"/>
      <c r="EE322" s="208">
        <f t="shared" ref="EE322:EO322" si="78">EE93-EE138</f>
        <v>0</v>
      </c>
      <c r="EF322" s="208">
        <f t="shared" si="78"/>
        <v>0</v>
      </c>
      <c r="EG322" s="208">
        <f t="shared" si="78"/>
        <v>0</v>
      </c>
      <c r="EH322" s="208">
        <f t="shared" si="78"/>
        <v>0</v>
      </c>
      <c r="EI322" s="208">
        <f t="shared" si="78"/>
        <v>0</v>
      </c>
      <c r="EJ322" s="90"/>
      <c r="EK322" s="208">
        <f t="shared" si="78"/>
        <v>0</v>
      </c>
      <c r="EL322" s="208">
        <f t="shared" si="78"/>
        <v>0</v>
      </c>
      <c r="EM322" s="208">
        <f t="shared" si="78"/>
        <v>0</v>
      </c>
      <c r="EN322" s="208">
        <f t="shared" si="78"/>
        <v>0</v>
      </c>
      <c r="EO322" s="208">
        <f t="shared" si="78"/>
        <v>0</v>
      </c>
      <c r="EP322" s="90"/>
      <c r="EQ322" s="208">
        <f t="shared" ref="EQ322:EU322" si="79">EQ93-EQ138</f>
        <v>0</v>
      </c>
      <c r="ER322" s="208">
        <f t="shared" si="79"/>
        <v>0</v>
      </c>
      <c r="ES322" s="208">
        <f t="shared" si="79"/>
        <v>0</v>
      </c>
      <c r="ET322" s="208">
        <f t="shared" si="79"/>
        <v>0</v>
      </c>
      <c r="EU322" s="208">
        <f t="shared" si="79"/>
        <v>0</v>
      </c>
      <c r="EV322" s="90"/>
    </row>
    <row r="323" spans="1:152" collapsed="1">
      <c r="A323" s="52" t="s">
        <v>6428</v>
      </c>
      <c r="B323" s="105"/>
      <c r="C323" s="90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</row>
    <row r="324" spans="1:152" ht="12.75" hidden="1" customHeight="1" outlineLevel="1">
      <c r="A324" s="90" t="s">
        <v>3344</v>
      </c>
      <c r="B324" s="105"/>
      <c r="C324" s="104" t="s">
        <v>3345</v>
      </c>
      <c r="D324" s="104" t="s">
        <v>3345</v>
      </c>
      <c r="E324" s="104" t="s">
        <v>3345</v>
      </c>
      <c r="F324" s="104" t="s">
        <v>3345</v>
      </c>
      <c r="G324" s="90" t="s">
        <v>3345</v>
      </c>
      <c r="H324" s="90"/>
      <c r="I324" s="104" t="s">
        <v>3345</v>
      </c>
      <c r="J324" s="104" t="s">
        <v>3345</v>
      </c>
      <c r="K324" s="104" t="s">
        <v>3345</v>
      </c>
      <c r="L324" s="104" t="s">
        <v>3345</v>
      </c>
      <c r="M324" s="90" t="s">
        <v>3345</v>
      </c>
      <c r="N324" s="90"/>
      <c r="O324" s="104" t="s">
        <v>3345</v>
      </c>
      <c r="P324" s="104" t="s">
        <v>3345</v>
      </c>
      <c r="Q324" s="104" t="s">
        <v>3345</v>
      </c>
      <c r="R324" s="104" t="s">
        <v>3345</v>
      </c>
      <c r="S324" s="90" t="s">
        <v>3345</v>
      </c>
      <c r="T324" s="90"/>
      <c r="U324" s="104" t="s">
        <v>3345</v>
      </c>
      <c r="V324" s="104" t="s">
        <v>3345</v>
      </c>
      <c r="W324" s="104" t="s">
        <v>3345</v>
      </c>
      <c r="X324" s="104" t="s">
        <v>3345</v>
      </c>
      <c r="Y324" s="90" t="s">
        <v>3345</v>
      </c>
      <c r="Z324" s="90"/>
      <c r="AA324" s="104" t="s">
        <v>3345</v>
      </c>
      <c r="AB324" s="104" t="s">
        <v>3345</v>
      </c>
      <c r="AC324" s="104" t="s">
        <v>3345</v>
      </c>
      <c r="AD324" s="104" t="s">
        <v>3345</v>
      </c>
      <c r="AE324" s="90" t="s">
        <v>3345</v>
      </c>
      <c r="AF324" s="90"/>
      <c r="AG324" s="104" t="s">
        <v>3345</v>
      </c>
      <c r="AH324" s="104" t="s">
        <v>3345</v>
      </c>
      <c r="AI324" s="104" t="s">
        <v>3345</v>
      </c>
      <c r="AJ324" s="104" t="s">
        <v>3345</v>
      </c>
      <c r="AK324" s="90" t="s">
        <v>3345</v>
      </c>
      <c r="AL324" s="90"/>
      <c r="AM324" s="104" t="s">
        <v>3345</v>
      </c>
      <c r="AN324" s="104" t="s">
        <v>3345</v>
      </c>
      <c r="AO324" s="104" t="s">
        <v>3345</v>
      </c>
      <c r="AP324" s="104" t="s">
        <v>3345</v>
      </c>
      <c r="AQ324" s="90" t="s">
        <v>3345</v>
      </c>
      <c r="AR324" s="90"/>
      <c r="AS324" s="104" t="s">
        <v>3345</v>
      </c>
      <c r="AT324" s="104" t="s">
        <v>3345</v>
      </c>
      <c r="AU324" s="104" t="s">
        <v>3345</v>
      </c>
      <c r="AV324" s="104" t="s">
        <v>3345</v>
      </c>
      <c r="AW324" s="90" t="s">
        <v>3345</v>
      </c>
      <c r="AX324" s="90"/>
      <c r="AY324" s="104" t="s">
        <v>3345</v>
      </c>
      <c r="AZ324" s="104" t="s">
        <v>3345</v>
      </c>
      <c r="BA324" s="104" t="s">
        <v>3345</v>
      </c>
      <c r="BB324" s="104" t="s">
        <v>3345</v>
      </c>
      <c r="BC324" s="90" t="s">
        <v>3345</v>
      </c>
      <c r="BD324" s="90"/>
      <c r="BE324" s="104" t="s">
        <v>3345</v>
      </c>
      <c r="BF324" s="104" t="s">
        <v>3345</v>
      </c>
      <c r="BG324" s="104" t="s">
        <v>3345</v>
      </c>
      <c r="BH324" s="104" t="s">
        <v>3345</v>
      </c>
      <c r="BI324" s="104" t="s">
        <v>3345</v>
      </c>
      <c r="BJ324" s="90"/>
      <c r="BK324" s="104" t="s">
        <v>3345</v>
      </c>
      <c r="BL324" s="104" t="s">
        <v>3345</v>
      </c>
      <c r="BM324" s="104" t="s">
        <v>3345</v>
      </c>
      <c r="BN324" s="104" t="s">
        <v>3345</v>
      </c>
      <c r="BO324" s="104" t="s">
        <v>3345</v>
      </c>
      <c r="BP324" s="90"/>
      <c r="BQ324" s="104" t="s">
        <v>3345</v>
      </c>
      <c r="BR324" s="104" t="s">
        <v>3345</v>
      </c>
      <c r="BS324" s="104" t="s">
        <v>3345</v>
      </c>
      <c r="BT324" s="104" t="s">
        <v>3345</v>
      </c>
      <c r="BU324" s="104" t="s">
        <v>3345</v>
      </c>
      <c r="BV324" s="90"/>
      <c r="BW324" s="104" t="s">
        <v>3345</v>
      </c>
      <c r="BX324" s="104" t="s">
        <v>3345</v>
      </c>
      <c r="BY324" s="104" t="s">
        <v>3345</v>
      </c>
      <c r="BZ324" s="104" t="s">
        <v>3345</v>
      </c>
      <c r="CA324" s="104" t="s">
        <v>3345</v>
      </c>
      <c r="CB324" s="90"/>
      <c r="CC324" s="104" t="s">
        <v>3345</v>
      </c>
      <c r="CD324" s="104" t="s">
        <v>3345</v>
      </c>
      <c r="CE324" s="104" t="s">
        <v>3345</v>
      </c>
      <c r="CF324" s="104" t="s">
        <v>3345</v>
      </c>
      <c r="CG324" s="104" t="s">
        <v>3345</v>
      </c>
      <c r="CH324" s="90"/>
      <c r="CI324" s="104" t="s">
        <v>3345</v>
      </c>
      <c r="CJ324" s="104" t="s">
        <v>3345</v>
      </c>
      <c r="CK324" s="104" t="s">
        <v>3345</v>
      </c>
      <c r="CL324" s="104" t="s">
        <v>3345</v>
      </c>
      <c r="CM324" s="104" t="s">
        <v>3345</v>
      </c>
      <c r="CN324" s="90"/>
      <c r="CO324" s="104" t="s">
        <v>3345</v>
      </c>
      <c r="CP324" s="104" t="s">
        <v>3345</v>
      </c>
      <c r="CQ324" s="104" t="s">
        <v>3345</v>
      </c>
      <c r="CR324" s="104" t="s">
        <v>3345</v>
      </c>
      <c r="CS324" s="104" t="s">
        <v>3345</v>
      </c>
      <c r="CT324" s="90"/>
      <c r="CU324" s="104" t="s">
        <v>3345</v>
      </c>
      <c r="CV324" s="104" t="s">
        <v>3345</v>
      </c>
      <c r="CW324" s="104" t="s">
        <v>3345</v>
      </c>
      <c r="CX324" s="104" t="s">
        <v>3345</v>
      </c>
      <c r="CY324" s="104" t="s">
        <v>3345</v>
      </c>
      <c r="CZ324" s="90"/>
      <c r="DA324" s="104" t="s">
        <v>3345</v>
      </c>
      <c r="DB324" s="104" t="s">
        <v>3345</v>
      </c>
      <c r="DC324" s="104" t="s">
        <v>3345</v>
      </c>
      <c r="DD324" s="104" t="s">
        <v>3345</v>
      </c>
      <c r="DE324" s="104" t="s">
        <v>3345</v>
      </c>
      <c r="DF324" s="90"/>
      <c r="DG324" s="104" t="s">
        <v>3345</v>
      </c>
      <c r="DH324" s="104" t="s">
        <v>3345</v>
      </c>
      <c r="DI324" s="104" t="s">
        <v>3345</v>
      </c>
      <c r="DJ324" s="104" t="s">
        <v>3345</v>
      </c>
      <c r="DK324" s="104" t="s">
        <v>3345</v>
      </c>
      <c r="DL324" s="90"/>
      <c r="DM324" s="104" t="s">
        <v>3345</v>
      </c>
      <c r="DN324" s="104" t="s">
        <v>3345</v>
      </c>
      <c r="DO324" s="104" t="s">
        <v>3345</v>
      </c>
      <c r="DP324" s="104" t="s">
        <v>3345</v>
      </c>
      <c r="DQ324" s="104" t="s">
        <v>3345</v>
      </c>
      <c r="DR324" s="90"/>
      <c r="DS324" s="104" t="s">
        <v>3345</v>
      </c>
      <c r="DT324" s="104" t="s">
        <v>3345</v>
      </c>
      <c r="DU324" s="104" t="s">
        <v>3345</v>
      </c>
      <c r="DV324" s="104" t="s">
        <v>3345</v>
      </c>
      <c r="DW324" s="104" t="s">
        <v>3345</v>
      </c>
      <c r="DX324" s="90"/>
      <c r="DY324" s="104" t="s">
        <v>3345</v>
      </c>
      <c r="DZ324" s="104" t="s">
        <v>3345</v>
      </c>
      <c r="EA324" s="104" t="s">
        <v>3345</v>
      </c>
      <c r="EB324" s="104" t="s">
        <v>3345</v>
      </c>
      <c r="EC324" s="104" t="s">
        <v>3345</v>
      </c>
      <c r="ED324" s="90"/>
      <c r="EE324" s="104" t="s">
        <v>3345</v>
      </c>
      <c r="EF324" s="104" t="s">
        <v>3345</v>
      </c>
      <c r="EG324" s="104" t="s">
        <v>3345</v>
      </c>
      <c r="EH324" s="104" t="s">
        <v>3345</v>
      </c>
      <c r="EI324" s="104" t="s">
        <v>3345</v>
      </c>
      <c r="EJ324" s="90"/>
      <c r="EK324" s="104" t="s">
        <v>3345</v>
      </c>
      <c r="EL324" s="104" t="s">
        <v>3345</v>
      </c>
      <c r="EM324" s="104" t="s">
        <v>3345</v>
      </c>
      <c r="EN324" s="104" t="s">
        <v>3345</v>
      </c>
      <c r="EO324" s="104" t="s">
        <v>3345</v>
      </c>
      <c r="EP324" s="90"/>
      <c r="EQ324" s="104" t="s">
        <v>3345</v>
      </c>
      <c r="ER324" s="104" t="s">
        <v>3345</v>
      </c>
      <c r="ES324" s="104" t="s">
        <v>3345</v>
      </c>
      <c r="ET324" s="104" t="s">
        <v>3345</v>
      </c>
      <c r="EU324" s="104" t="s">
        <v>3345</v>
      </c>
      <c r="EV324" s="90"/>
    </row>
    <row r="325" spans="1:152" ht="12.75" hidden="1" customHeight="1" outlineLevel="1">
      <c r="A325" s="61" t="str">
        <f>A76</f>
        <v>Reported Stock-based compensation expense</v>
      </c>
      <c r="B325" s="61">
        <f t="shared" ref="B325:BM325" si="80">B76</f>
        <v>0</v>
      </c>
      <c r="C325" s="61">
        <f t="shared" si="80"/>
        <v>0</v>
      </c>
      <c r="D325" s="61">
        <f t="shared" si="80"/>
        <v>0</v>
      </c>
      <c r="E325" s="61">
        <f t="shared" si="80"/>
        <v>0</v>
      </c>
      <c r="F325" s="61">
        <f t="shared" si="80"/>
        <v>0</v>
      </c>
      <c r="G325" s="61">
        <f t="shared" si="80"/>
        <v>0</v>
      </c>
      <c r="H325" s="61">
        <f t="shared" si="80"/>
        <v>0</v>
      </c>
      <c r="I325" s="61">
        <f t="shared" si="80"/>
        <v>0</v>
      </c>
      <c r="J325" s="61">
        <f t="shared" si="80"/>
        <v>0</v>
      </c>
      <c r="K325" s="61">
        <f t="shared" si="80"/>
        <v>0</v>
      </c>
      <c r="L325" s="61">
        <f t="shared" si="80"/>
        <v>0</v>
      </c>
      <c r="M325" s="61">
        <f t="shared" si="80"/>
        <v>0</v>
      </c>
      <c r="N325" s="61">
        <f t="shared" si="80"/>
        <v>0</v>
      </c>
      <c r="O325" s="61">
        <f t="shared" si="80"/>
        <v>0</v>
      </c>
      <c r="P325" s="61">
        <f t="shared" si="80"/>
        <v>0</v>
      </c>
      <c r="Q325" s="61">
        <f t="shared" si="80"/>
        <v>0</v>
      </c>
      <c r="R325" s="61">
        <f t="shared" si="80"/>
        <v>0</v>
      </c>
      <c r="S325" s="61">
        <f t="shared" si="80"/>
        <v>0</v>
      </c>
      <c r="T325" s="61">
        <f t="shared" si="80"/>
        <v>0</v>
      </c>
      <c r="U325" s="61">
        <f t="shared" si="80"/>
        <v>0</v>
      </c>
      <c r="V325" s="61">
        <f t="shared" si="80"/>
        <v>0</v>
      </c>
      <c r="W325" s="61">
        <f t="shared" si="80"/>
        <v>0</v>
      </c>
      <c r="X325" s="61">
        <f t="shared" si="80"/>
        <v>0</v>
      </c>
      <c r="Y325" s="61">
        <f t="shared" si="80"/>
        <v>0</v>
      </c>
      <c r="Z325" s="61">
        <f t="shared" si="80"/>
        <v>0</v>
      </c>
      <c r="AA325" s="61">
        <f t="shared" si="80"/>
        <v>0</v>
      </c>
      <c r="AB325" s="61">
        <f t="shared" si="80"/>
        <v>0</v>
      </c>
      <c r="AC325" s="61">
        <f t="shared" si="80"/>
        <v>0</v>
      </c>
      <c r="AD325" s="61">
        <f t="shared" si="80"/>
        <v>0</v>
      </c>
      <c r="AE325" s="61">
        <f t="shared" si="80"/>
        <v>0</v>
      </c>
      <c r="AF325" s="61">
        <f t="shared" si="80"/>
        <v>0</v>
      </c>
      <c r="AG325" s="61">
        <f t="shared" si="80"/>
        <v>0</v>
      </c>
      <c r="AH325" s="61">
        <f t="shared" si="80"/>
        <v>0</v>
      </c>
      <c r="AI325" s="61">
        <f t="shared" si="80"/>
        <v>0</v>
      </c>
      <c r="AJ325" s="61">
        <f t="shared" si="80"/>
        <v>0</v>
      </c>
      <c r="AK325" s="61">
        <f t="shared" si="80"/>
        <v>0</v>
      </c>
      <c r="AL325" s="61">
        <f t="shared" si="80"/>
        <v>0</v>
      </c>
      <c r="AM325" s="61">
        <f t="shared" si="80"/>
        <v>0</v>
      </c>
      <c r="AN325" s="61">
        <f t="shared" si="80"/>
        <v>0</v>
      </c>
      <c r="AO325" s="61">
        <f t="shared" si="80"/>
        <v>0</v>
      </c>
      <c r="AP325" s="61">
        <f t="shared" si="80"/>
        <v>0</v>
      </c>
      <c r="AQ325" s="61">
        <f t="shared" si="80"/>
        <v>0</v>
      </c>
      <c r="AR325" s="61">
        <f t="shared" si="80"/>
        <v>0</v>
      </c>
      <c r="AS325" s="61">
        <f t="shared" si="80"/>
        <v>0</v>
      </c>
      <c r="AT325" s="61">
        <f t="shared" si="80"/>
        <v>0</v>
      </c>
      <c r="AU325" s="61">
        <f t="shared" si="80"/>
        <v>0</v>
      </c>
      <c r="AV325" s="61">
        <f t="shared" si="80"/>
        <v>0</v>
      </c>
      <c r="AW325" s="61">
        <f t="shared" si="80"/>
        <v>0</v>
      </c>
      <c r="AX325" s="61">
        <f t="shared" si="80"/>
        <v>0</v>
      </c>
      <c r="AY325" s="61">
        <f t="shared" si="80"/>
        <v>0</v>
      </c>
      <c r="AZ325" s="61">
        <f t="shared" si="80"/>
        <v>0</v>
      </c>
      <c r="BA325" s="61">
        <f t="shared" si="80"/>
        <v>0</v>
      </c>
      <c r="BB325" s="61">
        <f t="shared" si="80"/>
        <v>0</v>
      </c>
      <c r="BC325" s="61">
        <f t="shared" si="80"/>
        <v>0</v>
      </c>
      <c r="BD325" s="61">
        <f t="shared" si="80"/>
        <v>0</v>
      </c>
      <c r="BE325" s="61">
        <f t="shared" si="80"/>
        <v>1</v>
      </c>
      <c r="BF325" s="61">
        <f t="shared" si="80"/>
        <v>1.3</v>
      </c>
      <c r="BG325" s="61">
        <f t="shared" si="80"/>
        <v>1.1000000000000001</v>
      </c>
      <c r="BH325" s="61">
        <f t="shared" si="80"/>
        <v>1.9</v>
      </c>
      <c r="BI325" s="61">
        <f t="shared" si="80"/>
        <v>5.3</v>
      </c>
      <c r="BJ325" s="61">
        <f t="shared" si="80"/>
        <v>0</v>
      </c>
      <c r="BK325" s="61">
        <f t="shared" si="80"/>
        <v>21.1</v>
      </c>
      <c r="BL325" s="61">
        <f t="shared" si="80"/>
        <v>20.7</v>
      </c>
      <c r="BM325" s="61">
        <f t="shared" si="80"/>
        <v>34.200000000000003</v>
      </c>
      <c r="BN325" s="61">
        <f t="shared" ref="BN325:DY325" si="81">BN76</f>
        <v>17.7</v>
      </c>
      <c r="BO325" s="61">
        <f t="shared" si="81"/>
        <v>93.7</v>
      </c>
      <c r="BP325" s="61">
        <f t="shared" si="81"/>
        <v>0</v>
      </c>
      <c r="BQ325" s="61">
        <f t="shared" si="81"/>
        <v>14.8</v>
      </c>
      <c r="BR325" s="61">
        <f t="shared" si="81"/>
        <v>21.1</v>
      </c>
      <c r="BS325" s="61">
        <f t="shared" si="81"/>
        <v>37.299999999999997</v>
      </c>
      <c r="BT325" s="61">
        <f t="shared" si="81"/>
        <v>26.2</v>
      </c>
      <c r="BU325" s="61">
        <f t="shared" si="81"/>
        <v>99.4</v>
      </c>
      <c r="BV325" s="61">
        <f t="shared" si="81"/>
        <v>0</v>
      </c>
      <c r="BW325" s="61">
        <f t="shared" si="81"/>
        <v>25.2</v>
      </c>
      <c r="BX325" s="61">
        <f t="shared" si="81"/>
        <v>23.2</v>
      </c>
      <c r="BY325" s="61">
        <f t="shared" si="81"/>
        <v>22.5</v>
      </c>
      <c r="BZ325" s="61">
        <f t="shared" si="81"/>
        <v>18.7</v>
      </c>
      <c r="CA325" s="61">
        <f t="shared" si="81"/>
        <v>89.600000000000009</v>
      </c>
      <c r="CB325" s="61">
        <f t="shared" si="81"/>
        <v>0</v>
      </c>
      <c r="CC325" s="61">
        <f t="shared" si="81"/>
        <v>23</v>
      </c>
      <c r="CD325" s="61">
        <f t="shared" si="81"/>
        <v>21.2</v>
      </c>
      <c r="CE325" s="61">
        <f t="shared" si="81"/>
        <v>30.3</v>
      </c>
      <c r="CF325" s="61">
        <f t="shared" si="81"/>
        <v>18.899999999999999</v>
      </c>
      <c r="CG325" s="61">
        <f t="shared" si="81"/>
        <v>93.4</v>
      </c>
      <c r="CH325" s="61">
        <f t="shared" si="81"/>
        <v>0</v>
      </c>
      <c r="CI325" s="61">
        <f t="shared" si="81"/>
        <v>24.3</v>
      </c>
      <c r="CJ325" s="61">
        <f t="shared" si="81"/>
        <v>20.999999999999996</v>
      </c>
      <c r="CK325" s="61">
        <f t="shared" si="81"/>
        <v>17</v>
      </c>
      <c r="CL325" s="61">
        <f t="shared" si="81"/>
        <v>18.399999999999999</v>
      </c>
      <c r="CM325" s="61">
        <f t="shared" si="81"/>
        <v>80.699999999999989</v>
      </c>
      <c r="CN325" s="61">
        <f t="shared" si="81"/>
        <v>0</v>
      </c>
      <c r="CO325" s="61">
        <f t="shared" si="81"/>
        <v>25.9</v>
      </c>
      <c r="CP325" s="61">
        <f t="shared" si="81"/>
        <v>27.3</v>
      </c>
      <c r="CQ325" s="61">
        <f t="shared" si="81"/>
        <v>25.6</v>
      </c>
      <c r="CR325" s="61">
        <f t="shared" si="81"/>
        <v>30</v>
      </c>
      <c r="CS325" s="61">
        <f t="shared" si="81"/>
        <v>108.80000000000001</v>
      </c>
      <c r="CT325" s="61">
        <f t="shared" si="81"/>
        <v>0</v>
      </c>
      <c r="CU325" s="61">
        <f t="shared" si="81"/>
        <v>33.4</v>
      </c>
      <c r="CV325" s="61">
        <f t="shared" si="81"/>
        <v>33.5</v>
      </c>
      <c r="CW325" s="61">
        <f t="shared" si="81"/>
        <v>51.8</v>
      </c>
      <c r="CX325" s="61">
        <f t="shared" si="81"/>
        <v>37.5</v>
      </c>
      <c r="CY325" s="61">
        <f t="shared" si="81"/>
        <v>156.19999999999999</v>
      </c>
      <c r="CZ325" s="61">
        <f t="shared" si="81"/>
        <v>0</v>
      </c>
      <c r="DA325" s="61">
        <f t="shared" si="81"/>
        <v>32</v>
      </c>
      <c r="DB325" s="61">
        <f t="shared" si="81"/>
        <v>31</v>
      </c>
      <c r="DC325" s="61">
        <f t="shared" si="81"/>
        <v>31.6</v>
      </c>
      <c r="DD325" s="61">
        <f t="shared" si="81"/>
        <v>36.1</v>
      </c>
      <c r="DE325" s="61">
        <f t="shared" si="81"/>
        <v>130.69999999999999</v>
      </c>
      <c r="DF325" s="61">
        <f t="shared" si="81"/>
        <v>0</v>
      </c>
      <c r="DG325" s="61">
        <f t="shared" si="81"/>
        <v>33.6</v>
      </c>
      <c r="DH325" s="61">
        <f t="shared" si="81"/>
        <v>39.799999999999997</v>
      </c>
      <c r="DI325" s="61">
        <f t="shared" si="81"/>
        <v>43.1</v>
      </c>
      <c r="DJ325" s="61">
        <f t="shared" si="81"/>
        <v>49.1</v>
      </c>
      <c r="DK325" s="61">
        <f t="shared" si="81"/>
        <v>165.6</v>
      </c>
      <c r="DL325" s="61">
        <f t="shared" si="81"/>
        <v>0</v>
      </c>
      <c r="DM325" s="61">
        <f t="shared" si="81"/>
        <v>50.2</v>
      </c>
      <c r="DN325" s="61">
        <f t="shared" si="81"/>
        <v>40.700000000000003</v>
      </c>
      <c r="DO325" s="61">
        <f t="shared" si="81"/>
        <v>50.2</v>
      </c>
      <c r="DP325" s="61">
        <f t="shared" si="81"/>
        <v>56.1</v>
      </c>
      <c r="DQ325" s="61">
        <f t="shared" si="81"/>
        <v>197.20000000000002</v>
      </c>
      <c r="DR325" s="61"/>
      <c r="DS325" s="61">
        <f t="shared" si="81"/>
        <v>56.9</v>
      </c>
      <c r="DT325" s="61">
        <f t="shared" si="81"/>
        <v>54.3</v>
      </c>
      <c r="DU325" s="61">
        <f t="shared" si="81"/>
        <v>56.6</v>
      </c>
      <c r="DV325" s="61">
        <f t="shared" si="81"/>
        <v>59.3</v>
      </c>
      <c r="DW325" s="61">
        <f t="shared" si="81"/>
        <v>227.09999999999997</v>
      </c>
      <c r="DX325" s="61"/>
      <c r="DY325" s="61">
        <f t="shared" si="81"/>
        <v>59</v>
      </c>
      <c r="DZ325" s="61">
        <f t="shared" ref="DZ325:EI325" si="82">DZ76</f>
        <v>58.8</v>
      </c>
      <c r="EA325" s="61">
        <f t="shared" si="82"/>
        <v>65.099999999999994</v>
      </c>
      <c r="EB325" s="61">
        <f t="shared" si="82"/>
        <v>62.1</v>
      </c>
      <c r="EC325" s="61">
        <f t="shared" si="82"/>
        <v>244.99999999999997</v>
      </c>
      <c r="ED325" s="61">
        <f t="shared" si="82"/>
        <v>0</v>
      </c>
      <c r="EE325" s="61">
        <f t="shared" si="82"/>
        <v>61</v>
      </c>
      <c r="EF325" s="61">
        <f t="shared" si="82"/>
        <v>61</v>
      </c>
      <c r="EG325" s="61">
        <f t="shared" si="82"/>
        <v>61</v>
      </c>
      <c r="EH325" s="61">
        <f t="shared" si="82"/>
        <v>61</v>
      </c>
      <c r="EI325" s="61">
        <f t="shared" si="82"/>
        <v>244</v>
      </c>
      <c r="EJ325" s="61">
        <f t="shared" ref="EJ325:EO325" si="83">EJ76</f>
        <v>0</v>
      </c>
      <c r="EK325" s="61">
        <f t="shared" si="83"/>
        <v>61</v>
      </c>
      <c r="EL325" s="61">
        <f t="shared" si="83"/>
        <v>61</v>
      </c>
      <c r="EM325" s="61">
        <f t="shared" si="83"/>
        <v>61</v>
      </c>
      <c r="EN325" s="61">
        <f t="shared" si="83"/>
        <v>61</v>
      </c>
      <c r="EO325" s="61">
        <f t="shared" si="83"/>
        <v>244</v>
      </c>
      <c r="EP325" s="61">
        <f t="shared" ref="EP325:EU325" si="84">EP76</f>
        <v>0</v>
      </c>
      <c r="EQ325" s="61">
        <f t="shared" si="84"/>
        <v>61</v>
      </c>
      <c r="ER325" s="61">
        <f t="shared" si="84"/>
        <v>61</v>
      </c>
      <c r="ES325" s="61">
        <f t="shared" si="84"/>
        <v>61</v>
      </c>
      <c r="ET325" s="61">
        <f t="shared" si="84"/>
        <v>61</v>
      </c>
      <c r="EU325" s="61">
        <f t="shared" si="84"/>
        <v>244</v>
      </c>
      <c r="EV325" s="90"/>
    </row>
    <row r="326" spans="1:152" ht="12.75" hidden="1" customHeight="1" outlineLevel="1">
      <c r="A326" s="90"/>
      <c r="B326" s="105"/>
      <c r="C326" s="90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</row>
    <row r="327" spans="1:152" ht="12.75" hidden="1" customHeight="1" outlineLevel="1">
      <c r="A327" s="90"/>
      <c r="B327" s="105"/>
      <c r="C327" s="90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</row>
    <row r="328" spans="1:152" collapsed="1">
      <c r="A328" s="90"/>
      <c r="B328" s="225"/>
      <c r="C328" s="90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</row>
    <row r="329" spans="1:152">
      <c r="A329" s="90"/>
      <c r="B329" s="225"/>
      <c r="C329" s="90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</row>
    <row r="330" spans="1:152">
      <c r="A330" s="52" t="s">
        <v>661</v>
      </c>
      <c r="B330" s="225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52"/>
      <c r="AE330" s="52"/>
      <c r="AF330" s="52"/>
      <c r="AG330" s="52"/>
      <c r="AH330" s="52"/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/>
      <c r="BB330" s="52"/>
      <c r="BC330" s="52"/>
      <c r="BD330" s="52"/>
      <c r="BE330" s="52"/>
      <c r="BF330" s="52"/>
      <c r="BG330" s="52"/>
      <c r="BH330" s="52"/>
      <c r="BI330" s="52"/>
      <c r="BJ330" s="52"/>
      <c r="BK330" s="52"/>
      <c r="BL330" s="52"/>
      <c r="BM330" s="52"/>
      <c r="BN330" s="52"/>
      <c r="BO330" s="52"/>
      <c r="BP330" s="52"/>
      <c r="BQ330" s="52"/>
      <c r="BR330" s="52"/>
      <c r="BS330" s="52"/>
      <c r="BT330" s="52"/>
      <c r="BU330" s="52"/>
      <c r="BV330" s="52"/>
      <c r="BW330" s="52"/>
      <c r="BX330" s="52"/>
      <c r="BY330" s="52"/>
      <c r="BZ330" s="52"/>
      <c r="CA330" s="52"/>
      <c r="CB330" s="52"/>
      <c r="CC330" s="52"/>
      <c r="CD330" s="52"/>
      <c r="CE330" s="52"/>
      <c r="CF330" s="52"/>
      <c r="CG330" s="52"/>
      <c r="CH330" s="52"/>
      <c r="CI330" s="52"/>
      <c r="CJ330" s="52"/>
      <c r="CK330" s="52"/>
      <c r="CL330" s="52"/>
      <c r="CM330" s="52"/>
      <c r="CN330" s="52"/>
      <c r="CO330" s="52"/>
      <c r="CP330" s="52"/>
      <c r="CQ330" s="52"/>
      <c r="CR330" s="52"/>
      <c r="CS330" s="52"/>
      <c r="CT330" s="52"/>
      <c r="CU330" s="52"/>
      <c r="CV330" s="52"/>
      <c r="CW330" s="52"/>
      <c r="CX330" s="52"/>
      <c r="CY330" s="52"/>
      <c r="CZ330" s="52"/>
      <c r="DA330" s="52"/>
      <c r="DB330" s="52"/>
      <c r="DC330" s="52"/>
      <c r="DD330" s="52"/>
      <c r="DE330" s="52"/>
      <c r="DF330" s="52"/>
      <c r="DG330" s="52"/>
      <c r="DH330" s="52"/>
      <c r="DI330" s="52"/>
      <c r="DJ330" s="52"/>
      <c r="DK330" s="52"/>
      <c r="DL330" s="52"/>
      <c r="DM330" s="52"/>
      <c r="DN330" s="52"/>
      <c r="DO330" s="52"/>
      <c r="DP330" s="52"/>
      <c r="DQ330" s="52"/>
      <c r="DR330" s="52"/>
      <c r="DS330" s="52"/>
      <c r="DT330" s="52"/>
      <c r="DU330" s="52"/>
      <c r="DV330" s="52"/>
      <c r="DW330" s="52"/>
      <c r="DX330" s="52"/>
      <c r="DY330" s="52"/>
      <c r="DZ330" s="52"/>
      <c r="EA330" s="52"/>
      <c r="EB330" s="52"/>
      <c r="EC330" s="52"/>
      <c r="ED330" s="52"/>
      <c r="EE330" s="52"/>
      <c r="EF330" s="52"/>
      <c r="EG330" s="52"/>
      <c r="EH330" s="52"/>
      <c r="EI330" s="52"/>
      <c r="EJ330" s="52"/>
      <c r="EK330" s="52"/>
      <c r="EL330" s="52"/>
      <c r="EM330" s="52"/>
      <c r="EN330" s="52"/>
      <c r="EO330" s="52"/>
      <c r="EP330" s="52"/>
      <c r="EQ330" s="52"/>
      <c r="ER330" s="52"/>
      <c r="ES330" s="52"/>
      <c r="ET330" s="52"/>
      <c r="EU330" s="52"/>
      <c r="EV330" s="52"/>
    </row>
    <row r="331" spans="1:152" ht="12.75" hidden="1" customHeight="1" outlineLevel="1">
      <c r="A331" s="455" t="s">
        <v>660</v>
      </c>
      <c r="B331" s="752"/>
      <c r="C331" s="756"/>
      <c r="D331" s="756"/>
      <c r="E331" s="756"/>
      <c r="F331" s="756"/>
      <c r="G331" s="756"/>
      <c r="H331" s="756"/>
      <c r="I331" s="756"/>
      <c r="J331" s="756"/>
      <c r="K331" s="756"/>
      <c r="L331" s="756"/>
      <c r="M331" s="756"/>
      <c r="N331" s="756"/>
      <c r="O331" s="756"/>
      <c r="P331" s="756"/>
      <c r="Q331" s="756"/>
      <c r="R331" s="756"/>
      <c r="S331" s="756"/>
      <c r="T331" s="756"/>
      <c r="U331" s="756"/>
      <c r="V331" s="756"/>
      <c r="W331" s="756"/>
      <c r="X331" s="756"/>
      <c r="Y331" s="756"/>
      <c r="Z331" s="756"/>
      <c r="AA331" s="756"/>
      <c r="AB331" s="756"/>
      <c r="AC331" s="756"/>
      <c r="AD331" s="756"/>
      <c r="AE331" s="756"/>
      <c r="AF331" s="756"/>
      <c r="AG331" s="756"/>
      <c r="AH331" s="455"/>
      <c r="AI331" s="756"/>
      <c r="AJ331" s="756"/>
      <c r="AK331" s="756"/>
      <c r="AL331" s="756"/>
      <c r="AM331" s="756"/>
      <c r="AN331" s="756"/>
      <c r="AO331" s="756"/>
      <c r="AP331" s="756"/>
      <c r="AQ331" s="756"/>
      <c r="AR331" s="756"/>
      <c r="AS331" s="756"/>
      <c r="AT331" s="756"/>
      <c r="AU331" s="756"/>
      <c r="AV331" s="756"/>
      <c r="AW331" s="756"/>
      <c r="AX331" s="756"/>
      <c r="AY331" s="756"/>
      <c r="AZ331" s="756"/>
      <c r="BA331" s="756"/>
      <c r="BB331" s="756"/>
      <c r="BC331" s="756"/>
      <c r="BD331" s="756"/>
      <c r="BE331" s="756"/>
      <c r="BF331" s="756"/>
      <c r="BG331" s="756"/>
      <c r="BH331" s="756"/>
      <c r="BI331" s="756"/>
      <c r="BJ331" s="756"/>
      <c r="BK331" s="756"/>
      <c r="BL331" s="756"/>
      <c r="BM331" s="756"/>
      <c r="BN331" s="756"/>
      <c r="BO331" s="756"/>
      <c r="BP331" s="756"/>
      <c r="BQ331" s="756"/>
      <c r="BR331" s="756"/>
      <c r="BS331" s="756"/>
      <c r="BT331" s="756"/>
      <c r="BU331" s="756"/>
      <c r="BV331" s="756"/>
      <c r="BW331" s="756"/>
      <c r="BX331" s="756"/>
      <c r="BY331" s="756"/>
      <c r="BZ331" s="756"/>
      <c r="CA331" s="756"/>
      <c r="CB331" s="756"/>
      <c r="CC331" s="756"/>
      <c r="CD331" s="756"/>
      <c r="CE331" s="756"/>
      <c r="CF331" s="756"/>
      <c r="CG331" s="756"/>
      <c r="CH331" s="756"/>
      <c r="CI331" s="756"/>
      <c r="CJ331" s="756"/>
      <c r="CK331" s="756"/>
      <c r="CL331" s="756"/>
      <c r="CM331" s="756"/>
      <c r="CN331" s="756"/>
      <c r="CO331" s="756"/>
      <c r="CP331" s="756"/>
      <c r="CQ331" s="756"/>
      <c r="CR331" s="756"/>
      <c r="CS331" s="756"/>
      <c r="CT331" s="756"/>
      <c r="CU331" s="756"/>
      <c r="CV331" s="756"/>
      <c r="CW331" s="756"/>
      <c r="CX331" s="756"/>
      <c r="CY331" s="756"/>
      <c r="CZ331" s="756"/>
      <c r="DA331" s="756"/>
      <c r="DB331" s="756"/>
      <c r="DC331" s="756"/>
      <c r="DD331" s="756"/>
      <c r="DE331" s="756"/>
      <c r="DF331" s="756"/>
      <c r="DG331" s="756"/>
      <c r="DH331" s="756"/>
      <c r="DI331" s="756"/>
      <c r="DJ331" s="756"/>
      <c r="DK331" s="756"/>
      <c r="DL331" s="756"/>
      <c r="DM331" s="756"/>
      <c r="DN331" s="756"/>
      <c r="DO331" s="756"/>
      <c r="DP331" s="756"/>
      <c r="DQ331" s="756"/>
      <c r="DR331" s="756"/>
      <c r="DS331" s="756"/>
      <c r="DT331" s="756"/>
      <c r="DU331" s="756"/>
      <c r="DV331" s="756"/>
      <c r="DW331" s="756"/>
      <c r="DX331" s="756"/>
      <c r="DY331" s="756"/>
      <c r="DZ331" s="756"/>
      <c r="EA331" s="756"/>
      <c r="EB331" s="756"/>
      <c r="EC331" s="756"/>
      <c r="ED331" s="756"/>
      <c r="EE331" s="756"/>
      <c r="EF331" s="756"/>
      <c r="EG331" s="756"/>
      <c r="EH331" s="756"/>
      <c r="EI331" s="756"/>
      <c r="EJ331" s="756"/>
      <c r="EK331" s="756"/>
      <c r="EL331" s="756"/>
      <c r="EM331" s="756"/>
      <c r="EN331" s="756"/>
      <c r="EO331" s="756"/>
      <c r="EP331" s="756"/>
      <c r="EQ331" s="756"/>
      <c r="ER331" s="756"/>
      <c r="ES331" s="756"/>
      <c r="ET331" s="756"/>
      <c r="EU331" s="756"/>
      <c r="EV331" s="455"/>
    </row>
    <row r="332" spans="1:152" ht="12.75" hidden="1" customHeight="1" outlineLevel="2">
      <c r="A332" s="753" t="s">
        <v>662</v>
      </c>
      <c r="B332" s="750"/>
      <c r="C332" s="378"/>
      <c r="D332" s="378"/>
      <c r="E332" s="378"/>
      <c r="F332" s="378"/>
      <c r="G332" s="378"/>
      <c r="H332" s="378"/>
      <c r="I332" s="378"/>
      <c r="J332" s="378" t="s">
        <v>2332</v>
      </c>
      <c r="K332" s="378"/>
      <c r="L332" s="378"/>
      <c r="M332" s="378"/>
      <c r="N332" s="378"/>
      <c r="O332" s="378"/>
      <c r="P332" s="378"/>
      <c r="Q332" s="378"/>
      <c r="R332" s="378"/>
      <c r="S332" s="378"/>
      <c r="T332" s="378"/>
      <c r="U332" s="378" t="s">
        <v>2333</v>
      </c>
      <c r="V332" s="378"/>
      <c r="W332" s="378"/>
      <c r="X332" s="378"/>
      <c r="Y332" s="378"/>
      <c r="Z332" s="378"/>
      <c r="AA332" s="378"/>
      <c r="AB332" s="378" t="s">
        <v>2334</v>
      </c>
      <c r="AC332" s="378"/>
      <c r="AD332" s="378"/>
      <c r="AE332" s="378"/>
      <c r="AF332" s="378"/>
      <c r="AG332" s="378"/>
      <c r="AH332" s="378" t="s">
        <v>6858</v>
      </c>
      <c r="AI332" s="378"/>
      <c r="AJ332" s="378"/>
      <c r="AK332" s="378"/>
      <c r="AL332" s="378"/>
      <c r="AM332" s="378"/>
      <c r="AN332" s="378"/>
      <c r="AO332" s="378"/>
      <c r="AP332" s="378"/>
      <c r="AQ332" s="378"/>
      <c r="AR332" s="378"/>
      <c r="AS332" s="378" t="s">
        <v>6859</v>
      </c>
      <c r="AT332" s="378"/>
      <c r="AU332" s="378"/>
      <c r="AV332" s="378"/>
      <c r="AW332" s="378"/>
      <c r="AX332" s="378"/>
      <c r="AY332" s="378" t="s">
        <v>6860</v>
      </c>
      <c r="AZ332" s="378"/>
      <c r="BA332" s="378"/>
      <c r="BB332" s="378"/>
      <c r="BC332" s="378"/>
      <c r="BD332" s="378"/>
      <c r="BE332" s="378" t="s">
        <v>6861</v>
      </c>
      <c r="BF332" s="378"/>
      <c r="BG332" s="378"/>
      <c r="BH332" s="378"/>
      <c r="BI332" s="378"/>
      <c r="BJ332" s="378"/>
      <c r="BK332" s="378"/>
      <c r="BL332" s="378"/>
      <c r="BM332" s="378"/>
      <c r="BN332" s="378"/>
      <c r="BO332" s="378"/>
      <c r="BP332" s="378"/>
      <c r="BQ332" s="378"/>
      <c r="BR332" s="378"/>
      <c r="BS332" s="378"/>
      <c r="BT332" s="378"/>
      <c r="BU332" s="378"/>
      <c r="BV332" s="378"/>
      <c r="BW332" s="378"/>
      <c r="BX332" s="378"/>
      <c r="BY332" s="378"/>
      <c r="BZ332" s="378"/>
      <c r="CA332" s="378"/>
      <c r="CB332" s="378"/>
      <c r="CC332" s="378"/>
      <c r="CD332" s="378"/>
      <c r="CE332" s="378"/>
      <c r="CF332" s="378"/>
      <c r="CG332" s="378"/>
      <c r="CH332" s="378"/>
      <c r="CI332" s="378"/>
      <c r="CJ332" s="378"/>
      <c r="CK332" s="378"/>
      <c r="CL332" s="378"/>
      <c r="CM332" s="378"/>
      <c r="CN332" s="378"/>
      <c r="CO332" s="378"/>
      <c r="CP332" s="378"/>
      <c r="CQ332" s="378"/>
      <c r="CR332" s="378"/>
      <c r="CS332" s="378"/>
      <c r="CT332" s="378"/>
      <c r="CU332" s="378"/>
      <c r="CV332" s="378"/>
      <c r="CW332" s="378"/>
      <c r="CX332" s="378"/>
      <c r="CY332" s="378"/>
      <c r="CZ332" s="378"/>
      <c r="DA332" s="378"/>
      <c r="DB332" s="378"/>
      <c r="DC332" s="378"/>
      <c r="DD332" s="378"/>
      <c r="DE332" s="378"/>
      <c r="DF332" s="378"/>
      <c r="DG332" s="378"/>
      <c r="DH332" s="378"/>
      <c r="DI332" s="378"/>
      <c r="DJ332" s="378"/>
      <c r="DK332" s="378"/>
      <c r="DL332" s="378"/>
      <c r="DM332" s="378"/>
      <c r="DN332" s="378"/>
      <c r="DO332" s="378"/>
      <c r="DP332" s="378"/>
      <c r="DQ332" s="378"/>
      <c r="DR332" s="378"/>
      <c r="DS332" s="378"/>
      <c r="DT332" s="378"/>
      <c r="DU332" s="378"/>
      <c r="DV332" s="378"/>
      <c r="DW332" s="378"/>
      <c r="DX332" s="378"/>
      <c r="DY332" s="378"/>
      <c r="DZ332" s="378"/>
      <c r="EA332" s="378"/>
      <c r="EB332" s="378"/>
      <c r="EC332" s="378"/>
      <c r="ED332" s="378"/>
      <c r="EE332" s="378"/>
      <c r="EF332" s="378"/>
      <c r="EG332" s="378"/>
      <c r="EH332" s="378"/>
      <c r="EI332" s="378"/>
      <c r="EJ332" s="378"/>
      <c r="EK332" s="378"/>
      <c r="EL332" s="378"/>
      <c r="EM332" s="378"/>
      <c r="EN332" s="378"/>
      <c r="EO332" s="378"/>
      <c r="EP332" s="378"/>
      <c r="EQ332" s="378"/>
      <c r="ER332" s="378"/>
      <c r="ES332" s="378"/>
      <c r="ET332" s="378"/>
      <c r="EU332" s="378"/>
      <c r="EV332" s="378"/>
    </row>
    <row r="333" spans="1:152" ht="12.75" hidden="1" customHeight="1" outlineLevel="2">
      <c r="A333" s="754" t="s">
        <v>2331</v>
      </c>
      <c r="B333" s="751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 t="s">
        <v>2335</v>
      </c>
      <c r="AD333" s="104"/>
      <c r="AE333" s="104"/>
      <c r="AF333" s="104"/>
      <c r="AG333" s="104"/>
      <c r="AH333" s="104"/>
      <c r="AI333" s="104" t="s">
        <v>2332</v>
      </c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 t="s">
        <v>2333</v>
      </c>
      <c r="AW333" s="104"/>
      <c r="AX333" s="104"/>
      <c r="AY333" s="104"/>
      <c r="AZ333" s="104"/>
      <c r="BA333" s="104"/>
      <c r="BB333" s="104" t="s">
        <v>6857</v>
      </c>
      <c r="BC333" s="104"/>
      <c r="BD333" s="104"/>
      <c r="BE333" s="104"/>
      <c r="BF333" s="104"/>
      <c r="BG333" s="104"/>
      <c r="BH333" s="104"/>
      <c r="BI333" s="104"/>
      <c r="BJ333" s="104"/>
      <c r="BK333" s="104" t="s">
        <v>6858</v>
      </c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  <c r="BY333" s="104"/>
      <c r="BZ333" s="104"/>
      <c r="CA333" s="104"/>
      <c r="CB333" s="104"/>
      <c r="CC333" s="104"/>
      <c r="CD333" s="104"/>
      <c r="CE333" s="104"/>
      <c r="CF333" s="104"/>
      <c r="CG333" s="104"/>
      <c r="CH333" s="104"/>
      <c r="CI333" s="104"/>
      <c r="CJ333" s="104"/>
      <c r="CK333" s="104"/>
      <c r="CL333" s="104"/>
      <c r="CM333" s="104"/>
      <c r="CN333" s="104"/>
      <c r="CO333" s="104"/>
      <c r="CP333" s="104"/>
      <c r="CQ333" s="104"/>
      <c r="CR333" s="104"/>
      <c r="CS333" s="104"/>
      <c r="CT333" s="104"/>
      <c r="CU333" s="104"/>
      <c r="CV333" s="104"/>
      <c r="CW333" s="104"/>
      <c r="CX333" s="104"/>
      <c r="CY333" s="104"/>
      <c r="CZ333" s="104"/>
      <c r="DA333" s="104"/>
      <c r="DB333" s="104"/>
      <c r="DC333" s="104"/>
      <c r="DD333" s="104"/>
      <c r="DE333" s="104"/>
      <c r="DF333" s="104"/>
      <c r="DG333" s="104"/>
      <c r="DH333" s="104"/>
      <c r="DI333" s="104"/>
      <c r="DJ333" s="104"/>
      <c r="DK333" s="104"/>
      <c r="DL333" s="104"/>
      <c r="DM333" s="104"/>
      <c r="DN333" s="104"/>
      <c r="DO333" s="104"/>
      <c r="DP333" s="104"/>
      <c r="DQ333" s="104"/>
      <c r="DR333" s="104"/>
      <c r="DS333" s="104"/>
      <c r="DT333" s="104"/>
      <c r="DU333" s="104"/>
      <c r="DV333" s="104"/>
      <c r="DW333" s="104"/>
      <c r="DX333" s="104"/>
      <c r="DY333" s="104"/>
      <c r="DZ333" s="104"/>
      <c r="EA333" s="104"/>
      <c r="EB333" s="104"/>
      <c r="EC333" s="104"/>
      <c r="ED333" s="104"/>
      <c r="EE333" s="104"/>
      <c r="EF333" s="104"/>
      <c r="EG333" s="104"/>
      <c r="EH333" s="104"/>
      <c r="EI333" s="104"/>
      <c r="EJ333" s="104"/>
      <c r="EK333" s="104"/>
      <c r="EL333" s="104"/>
      <c r="EM333" s="104"/>
      <c r="EN333" s="104"/>
      <c r="EO333" s="104"/>
      <c r="EP333" s="104"/>
      <c r="EQ333" s="104"/>
      <c r="ER333" s="104"/>
      <c r="ES333" s="104"/>
      <c r="ET333" s="104"/>
      <c r="EU333" s="104"/>
      <c r="EV333" s="104"/>
    </row>
    <row r="334" spans="1:152" ht="12.75" hidden="1" customHeight="1" outlineLevel="1" collapsed="1">
      <c r="A334" s="69" t="s">
        <v>6862</v>
      </c>
      <c r="B334" s="755"/>
      <c r="C334" s="745"/>
      <c r="D334" s="745"/>
      <c r="E334" s="745"/>
      <c r="F334" s="745"/>
      <c r="G334" s="745"/>
      <c r="H334" s="745"/>
      <c r="I334" s="745"/>
      <c r="J334" s="745"/>
      <c r="K334" s="745"/>
      <c r="L334" s="745"/>
      <c r="M334" s="745"/>
      <c r="N334" s="745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5"/>
      <c r="AS334" s="745"/>
      <c r="AT334" s="745"/>
      <c r="AU334" s="745"/>
      <c r="AV334" s="745"/>
      <c r="AW334" s="745"/>
      <c r="AX334" s="745"/>
      <c r="AY334" s="745"/>
      <c r="AZ334" s="745"/>
      <c r="BA334" s="745"/>
      <c r="BB334" s="745"/>
      <c r="BC334" s="745"/>
      <c r="BD334" s="745"/>
      <c r="BE334" s="745"/>
      <c r="BF334" s="745"/>
      <c r="BG334" s="745"/>
      <c r="BH334" s="745"/>
      <c r="BI334" s="745"/>
      <c r="BJ334" s="745"/>
      <c r="BK334" s="745"/>
      <c r="BL334" s="745"/>
      <c r="BM334" s="745"/>
      <c r="BN334" s="745"/>
      <c r="BO334" s="745"/>
      <c r="BP334" s="745"/>
      <c r="BQ334" s="745"/>
      <c r="BR334" s="745"/>
      <c r="BS334" s="745"/>
      <c r="BT334" s="745"/>
      <c r="BU334" s="745"/>
      <c r="BV334" s="745"/>
      <c r="BW334" s="745"/>
      <c r="BX334" s="745"/>
      <c r="BY334" s="745"/>
      <c r="BZ334" s="745"/>
      <c r="CA334" s="745"/>
      <c r="CB334" s="745"/>
      <c r="CC334" s="745"/>
      <c r="CD334" s="745"/>
      <c r="CE334" s="745"/>
      <c r="CF334" s="745"/>
      <c r="CG334" s="745"/>
      <c r="CH334" s="745"/>
      <c r="CI334" s="745"/>
      <c r="CJ334" s="745"/>
      <c r="CK334" s="745"/>
      <c r="CL334" s="745"/>
      <c r="CM334" s="745"/>
      <c r="CN334" s="745"/>
      <c r="CO334" s="745"/>
      <c r="CP334" s="745"/>
      <c r="CQ334" s="745"/>
      <c r="CR334" s="745"/>
      <c r="CS334" s="745"/>
      <c r="CT334" s="745"/>
      <c r="CU334" s="745"/>
      <c r="CV334" s="745"/>
      <c r="CW334" s="745"/>
      <c r="CX334" s="745"/>
      <c r="CY334" s="745"/>
      <c r="CZ334" s="745"/>
      <c r="DA334" s="745"/>
      <c r="DB334" s="745"/>
      <c r="DC334" s="745"/>
      <c r="DD334" s="745"/>
      <c r="DE334" s="745"/>
      <c r="DF334" s="745"/>
      <c r="DG334" s="745"/>
      <c r="DH334" s="745"/>
      <c r="DI334" s="745"/>
      <c r="DJ334" s="745"/>
      <c r="DK334" s="745"/>
      <c r="DL334" s="745"/>
      <c r="DM334" s="745"/>
      <c r="DN334" s="745"/>
      <c r="DO334" s="745"/>
      <c r="DP334" s="745"/>
      <c r="DQ334" s="745"/>
      <c r="DR334" s="745"/>
      <c r="DS334" s="745"/>
      <c r="DT334" s="745"/>
      <c r="DU334" s="745"/>
      <c r="DV334" s="745"/>
      <c r="DW334" s="745"/>
      <c r="DX334" s="745"/>
      <c r="DY334" s="745"/>
      <c r="DZ334" s="745"/>
      <c r="EA334" s="745"/>
      <c r="EB334" s="745"/>
      <c r="EC334" s="745"/>
      <c r="ED334" s="745"/>
      <c r="EE334" s="745"/>
      <c r="EF334" s="745"/>
      <c r="EG334" s="745"/>
      <c r="EH334" s="745"/>
      <c r="EI334" s="745"/>
      <c r="EJ334" s="745"/>
      <c r="EK334" s="745"/>
      <c r="EL334" s="745"/>
      <c r="EM334" s="745"/>
      <c r="EN334" s="745"/>
      <c r="EO334" s="745"/>
      <c r="EP334" s="745"/>
      <c r="EQ334" s="745"/>
      <c r="ER334" s="745"/>
      <c r="ES334" s="745"/>
      <c r="ET334" s="745"/>
      <c r="EU334" s="745"/>
      <c r="EV334" s="69"/>
    </row>
    <row r="335" spans="1:152" ht="12.75" hidden="1" customHeight="1" outlineLevel="2">
      <c r="A335" s="753" t="s">
        <v>662</v>
      </c>
      <c r="B335" s="225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 t="s">
        <v>6863</v>
      </c>
      <c r="X335" s="104"/>
      <c r="Y335" s="104"/>
      <c r="Z335" s="104"/>
      <c r="AA335" s="104" t="s">
        <v>6864</v>
      </c>
      <c r="AB335" s="104"/>
      <c r="AC335" s="104" t="s">
        <v>6865</v>
      </c>
      <c r="AD335" s="104" t="s">
        <v>6866</v>
      </c>
      <c r="AE335" s="104"/>
      <c r="AF335" s="104"/>
      <c r="AG335" s="104"/>
      <c r="AH335" s="104"/>
      <c r="AI335" s="104" t="s">
        <v>6867</v>
      </c>
      <c r="AJ335" s="104"/>
      <c r="AK335" s="104"/>
      <c r="AL335" s="104"/>
      <c r="AM335" s="104"/>
      <c r="AN335" s="104"/>
      <c r="AO335" s="104" t="s">
        <v>6869</v>
      </c>
      <c r="AP335" s="104"/>
      <c r="AQ335" s="104"/>
      <c r="AR335" s="104"/>
      <c r="AS335" s="104" t="s">
        <v>6868</v>
      </c>
      <c r="AT335" s="104"/>
      <c r="AU335" s="104"/>
      <c r="AV335" s="104"/>
      <c r="AW335" s="104"/>
      <c r="AX335" s="104"/>
      <c r="AY335" s="104"/>
      <c r="AZ335" s="104" t="s">
        <v>6870</v>
      </c>
      <c r="BA335" s="104"/>
      <c r="BB335" s="104"/>
      <c r="BC335" s="104"/>
      <c r="BD335" s="104"/>
      <c r="BE335" s="104" t="s">
        <v>6871</v>
      </c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  <c r="BY335" s="104"/>
      <c r="BZ335" s="104"/>
      <c r="CA335" s="104"/>
      <c r="CB335" s="104"/>
      <c r="CC335" s="104"/>
      <c r="CD335" s="104"/>
      <c r="CE335" s="104"/>
      <c r="CF335" s="104"/>
      <c r="CG335" s="104"/>
      <c r="CH335" s="104"/>
      <c r="CI335" s="104"/>
      <c r="CJ335" s="104"/>
      <c r="CK335" s="104"/>
      <c r="CL335" s="104"/>
      <c r="CM335" s="104"/>
      <c r="CN335" s="104"/>
      <c r="CO335" s="104"/>
      <c r="CP335" s="104"/>
      <c r="CQ335" s="104"/>
      <c r="CR335" s="104"/>
      <c r="CS335" s="104"/>
      <c r="CT335" s="104"/>
      <c r="CU335" s="104"/>
      <c r="CV335" s="104"/>
      <c r="CW335" s="104"/>
      <c r="CX335" s="104"/>
      <c r="CY335" s="104"/>
      <c r="CZ335" s="104"/>
      <c r="DA335" s="104"/>
      <c r="DB335" s="104"/>
      <c r="DC335" s="104"/>
      <c r="DD335" s="104"/>
      <c r="DE335" s="104"/>
      <c r="DF335" s="104"/>
      <c r="DG335" s="104"/>
      <c r="DH335" s="104"/>
      <c r="DI335" s="104"/>
      <c r="DJ335" s="104"/>
      <c r="DK335" s="104"/>
      <c r="DL335" s="104"/>
      <c r="DM335" s="104"/>
      <c r="DN335" s="104"/>
      <c r="DO335" s="104"/>
      <c r="DP335" s="104"/>
      <c r="DQ335" s="104"/>
      <c r="DR335" s="104"/>
      <c r="DS335" s="104"/>
      <c r="DT335" s="104"/>
      <c r="DU335" s="104"/>
      <c r="DV335" s="104"/>
      <c r="DW335" s="104"/>
      <c r="DX335" s="104"/>
      <c r="DY335" s="104"/>
      <c r="DZ335" s="104"/>
      <c r="EA335" s="104"/>
      <c r="EB335" s="104"/>
      <c r="EC335" s="104"/>
      <c r="ED335" s="104"/>
      <c r="EE335" s="104"/>
      <c r="EF335" s="104"/>
      <c r="EG335" s="104"/>
      <c r="EH335" s="104"/>
      <c r="EI335" s="104"/>
      <c r="EJ335" s="104"/>
      <c r="EK335" s="104"/>
      <c r="EL335" s="104"/>
      <c r="EM335" s="104"/>
      <c r="EN335" s="104"/>
      <c r="EO335" s="104"/>
      <c r="EP335" s="104"/>
      <c r="EQ335" s="104"/>
      <c r="ER335" s="104"/>
      <c r="ES335" s="104"/>
      <c r="ET335" s="104"/>
      <c r="EU335" s="104"/>
      <c r="EV335" s="90"/>
    </row>
    <row r="336" spans="1:152" ht="12.75" hidden="1" customHeight="1" outlineLevel="2">
      <c r="A336" s="754" t="s">
        <v>2331</v>
      </c>
      <c r="B336" s="225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 t="s">
        <v>6868</v>
      </c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  <c r="BY336" s="104"/>
      <c r="BZ336" s="104"/>
      <c r="CA336" s="104"/>
      <c r="CB336" s="104"/>
      <c r="CC336" s="104"/>
      <c r="CD336" s="104"/>
      <c r="CE336" s="104"/>
      <c r="CF336" s="104"/>
      <c r="CG336" s="104"/>
      <c r="CH336" s="104"/>
      <c r="CI336" s="104"/>
      <c r="CJ336" s="104"/>
      <c r="CK336" s="104"/>
      <c r="CL336" s="104"/>
      <c r="CM336" s="104"/>
      <c r="CN336" s="104"/>
      <c r="CO336" s="104"/>
      <c r="CP336" s="104"/>
      <c r="CQ336" s="104"/>
      <c r="CR336" s="104"/>
      <c r="CS336" s="104"/>
      <c r="CT336" s="104"/>
      <c r="CU336" s="104"/>
      <c r="CV336" s="104"/>
      <c r="CW336" s="104"/>
      <c r="CX336" s="104"/>
      <c r="CY336" s="104"/>
      <c r="CZ336" s="104"/>
      <c r="DA336" s="104"/>
      <c r="DB336" s="104"/>
      <c r="DC336" s="104"/>
      <c r="DD336" s="104"/>
      <c r="DE336" s="104"/>
      <c r="DF336" s="104"/>
      <c r="DG336" s="104"/>
      <c r="DH336" s="104"/>
      <c r="DI336" s="104"/>
      <c r="DJ336" s="104"/>
      <c r="DK336" s="104"/>
      <c r="DL336" s="104"/>
      <c r="DM336" s="104"/>
      <c r="DN336" s="104"/>
      <c r="DO336" s="104"/>
      <c r="DP336" s="104"/>
      <c r="DQ336" s="104"/>
      <c r="DR336" s="104"/>
      <c r="DS336" s="104"/>
      <c r="DT336" s="104"/>
      <c r="DU336" s="104"/>
      <c r="DV336" s="104"/>
      <c r="DW336" s="104"/>
      <c r="DX336" s="104"/>
      <c r="DY336" s="104"/>
      <c r="DZ336" s="104"/>
      <c r="EA336" s="104"/>
      <c r="EB336" s="104"/>
      <c r="EC336" s="104"/>
      <c r="ED336" s="104"/>
      <c r="EE336" s="104"/>
      <c r="EF336" s="104"/>
      <c r="EG336" s="104"/>
      <c r="EH336" s="104"/>
      <c r="EI336" s="104"/>
      <c r="EJ336" s="104"/>
      <c r="EK336" s="104"/>
      <c r="EL336" s="104"/>
      <c r="EM336" s="104"/>
      <c r="EN336" s="104"/>
      <c r="EO336" s="104"/>
      <c r="EP336" s="104"/>
      <c r="EQ336" s="104"/>
      <c r="ER336" s="104"/>
      <c r="ES336" s="104"/>
      <c r="ET336" s="104"/>
      <c r="EU336" s="104"/>
      <c r="EV336" s="90"/>
    </row>
    <row r="337" spans="1:151" ht="12.75" hidden="1" customHeight="1" outlineLevel="1" collapsed="1"/>
    <row r="338" spans="1:151" ht="12.75" hidden="1" customHeight="1" outlineLevel="1"/>
    <row r="339" spans="1:151" ht="12.75" hidden="1" customHeight="1" outlineLevel="1"/>
    <row r="340" spans="1:151" ht="12.75" hidden="1" customHeight="1" outlineLevel="1"/>
    <row r="341" spans="1:151" ht="12.75" hidden="1" customHeight="1" outlineLevel="1"/>
    <row r="342" spans="1:151" collapsed="1"/>
    <row r="344" spans="1:151">
      <c r="A344" s="2031" t="s">
        <v>7101</v>
      </c>
    </row>
    <row r="345" spans="1:151">
      <c r="A345" s="2031" t="s">
        <v>7102</v>
      </c>
      <c r="CO345" s="1786">
        <f>+CO85+CF!CO88</f>
        <v>143.59999999999997</v>
      </c>
      <c r="CP345" s="1786">
        <f>+CP85+CF!CP88</f>
        <v>168.5</v>
      </c>
      <c r="CQ345" s="1786">
        <f>+CQ85+CF!CQ88</f>
        <v>166.09999999999991</v>
      </c>
      <c r="CR345" s="1786">
        <f>+CR85+CF!CR88</f>
        <v>170.7</v>
      </c>
      <c r="CS345" s="1786">
        <f>+CS85+CF!CS88</f>
        <v>648.90000000000009</v>
      </c>
      <c r="CT345" s="1786">
        <f>+CT85+CF!CT88</f>
        <v>0</v>
      </c>
      <c r="CU345" s="1786">
        <f>+CU85+CF!CU88</f>
        <v>174.2</v>
      </c>
      <c r="CV345" s="1786">
        <f>+CV85+CF!CV88</f>
        <v>173.1</v>
      </c>
      <c r="CW345" s="1786">
        <f>+CW85+CF!CW88</f>
        <v>180</v>
      </c>
      <c r="CX345" s="1786">
        <f>+CX85+CF!CX88</f>
        <v>187.09999999999991</v>
      </c>
      <c r="CY345" s="1786">
        <f>+CY85+CF!CY88</f>
        <v>714.39999999999986</v>
      </c>
      <c r="CZ345" s="1786">
        <f>+CZ85+CF!CZ88</f>
        <v>0</v>
      </c>
      <c r="DA345" s="1786">
        <f>+DA85+CF!DA88</f>
        <v>169.99999999999991</v>
      </c>
      <c r="DB345" s="1786">
        <f>+DB85+CF!DB88</f>
        <v>168.60000000000008</v>
      </c>
      <c r="DC345" s="1786">
        <f>+DC85+CF!DC88</f>
        <v>152.90000000000003</v>
      </c>
      <c r="DD345" s="1786">
        <f>+DD85+CF!DD88</f>
        <v>147.89999999999981</v>
      </c>
      <c r="DE345" s="1786">
        <f>+DE85+CF!DE88</f>
        <v>639.4</v>
      </c>
      <c r="DF345" s="1786">
        <f>+DF85+CF!DF88</f>
        <v>0</v>
      </c>
      <c r="DG345" s="1786">
        <f>+DG85+CF!DG88</f>
        <v>138.1</v>
      </c>
      <c r="DH345" s="1786">
        <f>+DH85+CF!DH88</f>
        <v>152.2999999999999</v>
      </c>
      <c r="DI345" s="1786">
        <f>+DI85+CF!DI88</f>
        <v>116.90000000000002</v>
      </c>
      <c r="DJ345" s="1786">
        <f>+DJ85+CF!DJ88</f>
        <v>121</v>
      </c>
      <c r="DK345" s="1786">
        <f>+DK85+CF!DK88</f>
        <v>528.29999999999984</v>
      </c>
      <c r="DL345" s="1786"/>
      <c r="DM345" s="1786">
        <f>+DM85+CF!DM88</f>
        <v>131.90000000000003</v>
      </c>
      <c r="DN345" s="1786">
        <f>+DN85+CF!DN88</f>
        <v>101.40000000000005</v>
      </c>
      <c r="DO345" s="1786">
        <f>+DO85+CF!DO88</f>
        <v>90.799999999999912</v>
      </c>
      <c r="DP345" s="1786">
        <f>+DP85+CF!DP88</f>
        <v>102.39999999999996</v>
      </c>
      <c r="DQ345" s="1786">
        <f>+DQ85+CF!DQ88</f>
        <v>426.49999999999983</v>
      </c>
      <c r="DR345" s="1786"/>
      <c r="DS345" s="1786">
        <f>+DS85+CF!DS88</f>
        <v>10.399999999999999</v>
      </c>
      <c r="DT345" s="1786">
        <f>+DT85+CF!DT88</f>
        <v>58.900000000000041</v>
      </c>
      <c r="DU345" s="1786">
        <f>+DU85+CF!DU88</f>
        <v>-8.7999999999999829</v>
      </c>
      <c r="DV345" s="1786">
        <f>+DV85+CF!DV88</f>
        <v>-46.800000000000011</v>
      </c>
      <c r="DW345" s="1786">
        <f>+DW85+CF!DW88</f>
        <v>13.699999999999989</v>
      </c>
      <c r="DX345" s="1786">
        <f>+DX85+CF!DX88</f>
        <v>0</v>
      </c>
      <c r="DY345" s="1786">
        <f>+DY85+CF!DY88</f>
        <v>-11.099999999999945</v>
      </c>
      <c r="DZ345" s="1786">
        <f>+DZ85+CF!DZ88</f>
        <v>-0.40000000000006963</v>
      </c>
      <c r="EA345" s="1786">
        <f>+EA85+CF!EA88</f>
        <v>-1.5000000000000426</v>
      </c>
      <c r="EB345" s="1786">
        <f>+EB85+CF!EB88</f>
        <v>9.3999999999999488</v>
      </c>
      <c r="EC345" s="1786">
        <f>+EC85+CF!EC88</f>
        <v>-3.6000000000004491</v>
      </c>
      <c r="ED345" s="1786">
        <f>+ED85+CF!ED88</f>
        <v>0</v>
      </c>
      <c r="EE345" s="1786">
        <f>+EE85+CF!EE88</f>
        <v>46.49132005108612</v>
      </c>
      <c r="EF345" s="1786">
        <f>+EF85+CF!EF88</f>
        <v>80.687031371361314</v>
      </c>
      <c r="EG345" s="1786">
        <f>+EG85+CF!EG88</f>
        <v>116.14495641490711</v>
      </c>
      <c r="EH345" s="1786">
        <f>+EH85+CF!EH88</f>
        <v>145.86883038294576</v>
      </c>
      <c r="EI345" s="1786">
        <f>+EI85+CF!EI88</f>
        <v>389.19213822030048</v>
      </c>
      <c r="EJ345" s="1786">
        <f>+EJ85+CF!EJ88</f>
        <v>0</v>
      </c>
      <c r="EK345" s="1786">
        <f>+EK85+CF!EK88</f>
        <v>176.35461046381451</v>
      </c>
      <c r="EL345" s="1786">
        <f>+EL85+CF!EL88</f>
        <v>221.59764983540157</v>
      </c>
      <c r="EM345" s="1786">
        <f>+EM85+CF!EM88</f>
        <v>255.91326360805067</v>
      </c>
      <c r="EN345" s="1786">
        <f>+EN85+CF!EN88</f>
        <v>313.8300699315339</v>
      </c>
      <c r="EO345" s="1786">
        <f>+EO85+CF!EO88</f>
        <v>967.69559383880051</v>
      </c>
      <c r="EP345" s="1786">
        <f>+EP85+CF!EP88</f>
        <v>0</v>
      </c>
      <c r="EQ345" s="1786">
        <f>+EQ85+CF!EQ88</f>
        <v>215.65100521142702</v>
      </c>
      <c r="ER345" s="1786">
        <f>+ER85+CF!ER88</f>
        <v>310.39963296697289</v>
      </c>
      <c r="ES345" s="1786">
        <f>+ES85+CF!ES88</f>
        <v>393.30651817058964</v>
      </c>
      <c r="ET345" s="1786">
        <f>+ET85+CF!ET88</f>
        <v>519.46438517413071</v>
      </c>
      <c r="EU345" s="1786">
        <f>+EU85+CF!EU88</f>
        <v>1438.8215415231202</v>
      </c>
    </row>
    <row r="346" spans="1:151">
      <c r="A346" s="2031" t="s">
        <v>7103</v>
      </c>
      <c r="CO346" s="1786">
        <f t="shared" ref="CO346:CR346" si="85">+CO345-CO89</f>
        <v>14.599999999999994</v>
      </c>
      <c r="CP346" s="1786">
        <f t="shared" si="85"/>
        <v>17.800000000000011</v>
      </c>
      <c r="CQ346" s="1786">
        <f t="shared" si="85"/>
        <v>19.300000000000011</v>
      </c>
      <c r="CR346" s="1786">
        <f t="shared" si="85"/>
        <v>18.599999999999994</v>
      </c>
      <c r="CS346" s="1786">
        <f>+CS345-CS89</f>
        <v>70.299999999999955</v>
      </c>
      <c r="CT346" s="1786">
        <f t="shared" ref="CT346:EI346" si="86">+CT345-CT89</f>
        <v>0</v>
      </c>
      <c r="CU346" s="1786">
        <f t="shared" si="86"/>
        <v>17.599999999999994</v>
      </c>
      <c r="CV346" s="1786">
        <f t="shared" si="86"/>
        <v>17.5</v>
      </c>
      <c r="CW346" s="1786">
        <f t="shared" si="86"/>
        <v>23.699999999999989</v>
      </c>
      <c r="CX346" s="1786">
        <f t="shared" si="86"/>
        <v>23</v>
      </c>
      <c r="CY346" s="1786">
        <f t="shared" si="86"/>
        <v>81.799999999999955</v>
      </c>
      <c r="CZ346" s="1786">
        <f t="shared" si="86"/>
        <v>0</v>
      </c>
      <c r="DA346" s="1786">
        <f t="shared" si="86"/>
        <v>21.599999999999994</v>
      </c>
      <c r="DB346" s="1786">
        <f t="shared" si="86"/>
        <v>20.300000000000011</v>
      </c>
      <c r="DC346" s="1786">
        <f t="shared" si="86"/>
        <v>18.199999999999989</v>
      </c>
      <c r="DD346" s="1786">
        <f t="shared" si="86"/>
        <v>20.599999999999994</v>
      </c>
      <c r="DE346" s="1786">
        <f t="shared" si="86"/>
        <v>80.700000000000045</v>
      </c>
      <c r="DF346" s="1786">
        <f t="shared" si="86"/>
        <v>0</v>
      </c>
      <c r="DG346" s="1786">
        <f t="shared" si="86"/>
        <v>23.900000000000006</v>
      </c>
      <c r="DH346" s="1786">
        <f t="shared" si="86"/>
        <v>24.599999999999994</v>
      </c>
      <c r="DI346" s="1786">
        <f t="shared" si="86"/>
        <v>22.600000000000009</v>
      </c>
      <c r="DJ346" s="1786">
        <f t="shared" si="86"/>
        <v>21.900000000000006</v>
      </c>
      <c r="DK346" s="1786">
        <f t="shared" si="86"/>
        <v>93</v>
      </c>
      <c r="DL346" s="1786"/>
      <c r="DM346" s="1786">
        <f t="shared" si="86"/>
        <v>22.400000000000006</v>
      </c>
      <c r="DN346" s="1786">
        <f t="shared" si="86"/>
        <v>20.200000000000003</v>
      </c>
      <c r="DO346" s="1786">
        <f t="shared" si="86"/>
        <v>19.700000000000003</v>
      </c>
      <c r="DP346" s="1786">
        <f t="shared" si="86"/>
        <v>19.899999999999991</v>
      </c>
      <c r="DQ346" s="1786">
        <f t="shared" si="86"/>
        <v>82.199999999999989</v>
      </c>
      <c r="DR346" s="1786"/>
      <c r="DS346" s="1786">
        <f t="shared" si="86"/>
        <v>18.8</v>
      </c>
      <c r="DT346" s="1786">
        <f t="shared" si="86"/>
        <v>18.5</v>
      </c>
      <c r="DU346" s="1786">
        <f t="shared" si="86"/>
        <v>17.2</v>
      </c>
      <c r="DV346" s="1786">
        <f t="shared" si="86"/>
        <v>17.299999999999997</v>
      </c>
      <c r="DW346" s="1786">
        <f t="shared" si="86"/>
        <v>71.8</v>
      </c>
      <c r="DX346" s="1786">
        <f t="shared" si="86"/>
        <v>0</v>
      </c>
      <c r="DY346" s="1786">
        <f t="shared" si="86"/>
        <v>10.399999999999999</v>
      </c>
      <c r="DZ346" s="1786">
        <f t="shared" si="86"/>
        <v>8.9</v>
      </c>
      <c r="EA346" s="1786">
        <f t="shared" si="86"/>
        <v>8.6999999999999993</v>
      </c>
      <c r="EB346" s="1786">
        <f t="shared" si="86"/>
        <v>8.6000000000000014</v>
      </c>
      <c r="EC346" s="1786">
        <f t="shared" si="86"/>
        <v>36.6</v>
      </c>
      <c r="ED346" s="1786">
        <f t="shared" si="86"/>
        <v>0</v>
      </c>
      <c r="EE346" s="1786">
        <f t="shared" si="86"/>
        <v>7.8999999999999986</v>
      </c>
      <c r="EF346" s="1786">
        <f t="shared" si="86"/>
        <v>6.4000000000000057</v>
      </c>
      <c r="EG346" s="1786">
        <f t="shared" si="86"/>
        <v>6.2000000000000028</v>
      </c>
      <c r="EH346" s="1786">
        <f t="shared" si="86"/>
        <v>6.5</v>
      </c>
      <c r="EI346" s="1786">
        <f t="shared" si="86"/>
        <v>27</v>
      </c>
      <c r="EJ346" s="1786">
        <f t="shared" ref="EJ346:EO346" si="87">+EJ345-EJ89</f>
        <v>0</v>
      </c>
      <c r="EK346" s="1786">
        <f t="shared" si="87"/>
        <v>7.9000000000000057</v>
      </c>
      <c r="EL346" s="1786">
        <f t="shared" si="87"/>
        <v>6.4000000000000057</v>
      </c>
      <c r="EM346" s="1786">
        <f t="shared" si="87"/>
        <v>6.1999999999999886</v>
      </c>
      <c r="EN346" s="1786">
        <f t="shared" si="87"/>
        <v>6.5</v>
      </c>
      <c r="EO346" s="1786">
        <f t="shared" si="87"/>
        <v>27</v>
      </c>
      <c r="EP346" s="1786">
        <f t="shared" ref="EP346:EU346" si="88">+EP345-EP89</f>
        <v>0</v>
      </c>
      <c r="EQ346" s="1786">
        <f t="shared" si="88"/>
        <v>7.9000000000000057</v>
      </c>
      <c r="ER346" s="1786">
        <f t="shared" si="88"/>
        <v>6.3999999999999773</v>
      </c>
      <c r="ES346" s="1786">
        <f t="shared" si="88"/>
        <v>6.1999999999999886</v>
      </c>
      <c r="ET346" s="1786">
        <f t="shared" si="88"/>
        <v>6.5</v>
      </c>
      <c r="EU346" s="1786">
        <f t="shared" si="88"/>
        <v>27</v>
      </c>
    </row>
    <row r="347" spans="1:151">
      <c r="A347" s="2031" t="s">
        <v>7104</v>
      </c>
      <c r="CO347" s="2031">
        <v>1</v>
      </c>
      <c r="CP347" s="2031">
        <v>1</v>
      </c>
      <c r="CQ347" s="2031">
        <v>1</v>
      </c>
      <c r="CR347" s="2031">
        <v>1</v>
      </c>
      <c r="CS347" s="2031">
        <v>1</v>
      </c>
      <c r="CT347" s="2031">
        <v>1</v>
      </c>
      <c r="CU347" s="2031">
        <v>1</v>
      </c>
      <c r="CV347" s="2031">
        <v>1</v>
      </c>
      <c r="CW347" s="2031">
        <v>1</v>
      </c>
      <c r="CX347" s="2031">
        <v>1</v>
      </c>
      <c r="CY347" s="2031">
        <v>1</v>
      </c>
      <c r="CZ347" s="2031">
        <v>1</v>
      </c>
      <c r="DA347" s="2031">
        <v>1</v>
      </c>
      <c r="DB347" s="2031">
        <v>1</v>
      </c>
      <c r="DC347" s="2031">
        <v>1</v>
      </c>
      <c r="DD347" s="2031">
        <v>1</v>
      </c>
      <c r="DE347" s="2031">
        <v>1</v>
      </c>
      <c r="DF347" s="2031">
        <v>1</v>
      </c>
      <c r="DG347" s="2031">
        <v>1</v>
      </c>
      <c r="DH347" s="2031">
        <v>1</v>
      </c>
      <c r="DI347" s="2031">
        <v>1</v>
      </c>
      <c r="DJ347" s="2031">
        <v>1</v>
      </c>
      <c r="DK347" s="2031">
        <v>1</v>
      </c>
      <c r="DL347" s="2031"/>
      <c r="DM347" s="2031">
        <v>1</v>
      </c>
      <c r="DN347" s="2031">
        <v>1</v>
      </c>
      <c r="DO347" s="2031">
        <v>1</v>
      </c>
      <c r="DP347" s="2031">
        <v>1</v>
      </c>
      <c r="DQ347" s="2031">
        <v>1</v>
      </c>
      <c r="DR347" s="2031"/>
      <c r="DS347" s="2031">
        <v>1</v>
      </c>
      <c r="DT347" s="2031">
        <v>1</v>
      </c>
      <c r="DU347">
        <v>1</v>
      </c>
      <c r="DV347" s="2031">
        <v>1</v>
      </c>
      <c r="DW347" s="2031">
        <v>1</v>
      </c>
      <c r="DX347" s="2031">
        <v>1</v>
      </c>
      <c r="DY347" s="2031">
        <v>1</v>
      </c>
      <c r="DZ347" s="2031">
        <v>1</v>
      </c>
      <c r="EA347" s="2031">
        <v>1</v>
      </c>
      <c r="EB347" s="2031">
        <v>1</v>
      </c>
      <c r="EC347" s="2031">
        <v>1</v>
      </c>
      <c r="ED347" s="2031">
        <v>1</v>
      </c>
      <c r="EE347" s="2031">
        <v>1</v>
      </c>
      <c r="EF347" s="2031">
        <v>1</v>
      </c>
      <c r="EG347" s="2031">
        <v>1</v>
      </c>
      <c r="EH347" s="2031">
        <v>1</v>
      </c>
      <c r="EI347" s="2031">
        <v>1</v>
      </c>
      <c r="EJ347" s="2117">
        <v>1</v>
      </c>
      <c r="EK347" s="2117">
        <v>1</v>
      </c>
      <c r="EL347" s="2117">
        <v>1</v>
      </c>
      <c r="EM347" s="2117">
        <v>1</v>
      </c>
      <c r="EN347" s="2117">
        <v>1</v>
      </c>
      <c r="EO347" s="2117">
        <v>1</v>
      </c>
      <c r="EP347" s="2291">
        <v>1</v>
      </c>
      <c r="EQ347" s="2291">
        <v>1</v>
      </c>
      <c r="ER347" s="2291">
        <v>1</v>
      </c>
      <c r="ES347" s="2291">
        <v>1</v>
      </c>
      <c r="ET347" s="2291">
        <v>1</v>
      </c>
      <c r="EU347" s="2291">
        <v>1</v>
      </c>
    </row>
  </sheetData>
  <dataConsolidate/>
  <customSheetViews>
    <customSheetView guid="{7ADDAC9C-E12E-468B-A7D0-D44A9895D58E}" scale="90" showGridLines="0" hiddenRows="1" hiddenColumns="1" showRuler="0"/>
    <customSheetView guid="{5A095E4E-6841-4715-B354-198715F5FF0A}" scale="90" showGridLines="0" hiddenRows="1" hiddenColumns="1" showRuler="0">
      <selection activeCell="G10" sqref="G10:S11"/>
    </customSheetView>
  </customSheetViews>
  <mergeCells count="10">
    <mergeCell ref="EQ6:ET6"/>
    <mergeCell ref="CI6:CL6"/>
    <mergeCell ref="CO6:CR6"/>
    <mergeCell ref="DA6:DD6"/>
    <mergeCell ref="DG6:DJ6"/>
    <mergeCell ref="EK6:EN6"/>
    <mergeCell ref="EE6:EH6"/>
    <mergeCell ref="DY6:EB6"/>
    <mergeCell ref="DS6:DV6"/>
    <mergeCell ref="DM6:DP6"/>
  </mergeCells>
  <phoneticPr fontId="3" type="noConversion"/>
  <pageMargins left="0" right="0" top="0" bottom="0" header="0" footer="0"/>
  <pageSetup paperSize="5" orientation="landscape" r:id="rId1"/>
  <headerFooter alignWithMargins="0">
    <oddFooter>&amp;L&amp;"Arial,Bold"&amp;8Keith Weiss - 212.761.4149</oddFooter>
  </headerFooter>
  <rowBreaks count="1" manualBreakCount="1">
    <brk id="199" max="66" man="1"/>
  </rowBreaks>
  <colBreaks count="1" manualBreakCount="1">
    <brk id="73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2"/>
    <pageSetUpPr autoPageBreaks="0" fitToPage="1"/>
  </sheetPr>
  <dimension ref="A1:FJ310"/>
  <sheetViews>
    <sheetView showGridLines="0" zoomScaleNormal="100" workbookViewId="0">
      <pane xSplit="1" ySplit="7" topLeftCell="B9" activePane="bottomRight" state="frozen"/>
      <selection activeCell="CS13" sqref="CS13"/>
      <selection pane="topRight" activeCell="CS13" sqref="CS13"/>
      <selection pane="bottomLeft" activeCell="CS13" sqref="CS13"/>
      <selection pane="bottomRight" activeCell="A9" sqref="A1:FK1048576"/>
    </sheetView>
  </sheetViews>
  <sheetFormatPr defaultRowHeight="12.75" outlineLevelRow="1" outlineLevelCol="2"/>
  <cols>
    <col min="1" max="1" width="32" customWidth="1"/>
    <col min="2" max="2" width="9.140625" hidden="1" customWidth="1" outlineLevel="1"/>
    <col min="3" max="5" width="8" hidden="1" customWidth="1" outlineLevel="1"/>
    <col min="6" max="7" width="7.42578125" hidden="1" customWidth="1" outlineLevel="1"/>
    <col min="8" max="8" width="2.140625" hidden="1" customWidth="1" outlineLevel="1"/>
    <col min="9" max="10" width="8" hidden="1" customWidth="1" outlineLevel="1"/>
    <col min="11" max="13" width="7.42578125" hidden="1" customWidth="1" outlineLevel="2"/>
    <col min="14" max="14" width="2.140625" hidden="1" customWidth="1" outlineLevel="2"/>
    <col min="15" max="16" width="7" hidden="1" customWidth="1" outlineLevel="2"/>
    <col min="17" max="18" width="7.7109375" hidden="1" customWidth="1" outlineLevel="2"/>
    <col min="19" max="19" width="7" hidden="1" customWidth="1" outlineLevel="1" collapsed="1"/>
    <col min="20" max="20" width="1.42578125" hidden="1" customWidth="1" outlineLevel="2"/>
    <col min="21" max="21" width="8.5703125" hidden="1" customWidth="1" outlineLevel="2"/>
    <col min="22" max="24" width="7.7109375" hidden="1" customWidth="1" outlineLevel="2"/>
    <col min="25" max="25" width="7.7109375" hidden="1" customWidth="1" outlineLevel="1" collapsed="1"/>
    <col min="26" max="26" width="1.7109375" hidden="1" customWidth="1" outlineLevel="2"/>
    <col min="27" max="30" width="7.7109375" hidden="1" customWidth="1" outlineLevel="2"/>
    <col min="31" max="31" width="7.85546875" hidden="1" customWidth="1" outlineLevel="1" collapsed="1"/>
    <col min="32" max="32" width="1.7109375" hidden="1" customWidth="1" outlineLevel="2"/>
    <col min="33" max="33" width="8.7109375" hidden="1" customWidth="1" outlineLevel="2"/>
    <col min="34" max="36" width="7.7109375" hidden="1" customWidth="1" outlineLevel="2"/>
    <col min="37" max="37" width="8.140625" hidden="1" customWidth="1" outlineLevel="1" collapsed="1"/>
    <col min="38" max="38" width="1.7109375" hidden="1" customWidth="1" outlineLevel="2"/>
    <col min="39" max="41" width="7.7109375" hidden="1" customWidth="1" outlineLevel="2"/>
    <col min="42" max="42" width="8" hidden="1" customWidth="1" outlineLevel="2"/>
    <col min="43" max="43" width="7.7109375" hidden="1" customWidth="1" outlineLevel="1" collapsed="1"/>
    <col min="44" max="44" width="1.7109375" hidden="1" customWidth="1" outlineLevel="2"/>
    <col min="45" max="47" width="7.7109375" hidden="1" customWidth="1" outlineLevel="2"/>
    <col min="48" max="48" width="8.7109375" hidden="1" customWidth="1" outlineLevel="2"/>
    <col min="49" max="49" width="9.42578125" hidden="1" customWidth="1" outlineLevel="1" collapsed="1"/>
    <col min="50" max="50" width="1.42578125" hidden="1" customWidth="1" outlineLevel="2"/>
    <col min="51" max="54" width="6.7109375" hidden="1" customWidth="1" outlineLevel="2"/>
    <col min="55" max="55" width="6.7109375" hidden="1" customWidth="1" outlineLevel="1" collapsed="1"/>
    <col min="56" max="56" width="1.7109375" hidden="1" customWidth="1" outlineLevel="2" collapsed="1"/>
    <col min="57" max="60" width="6.7109375" hidden="1" customWidth="1" outlineLevel="2"/>
    <col min="61" max="61" width="6.7109375" hidden="1" customWidth="1" outlineLevel="1" collapsed="1"/>
    <col min="62" max="62" width="1.7109375" hidden="1" customWidth="1" collapsed="1"/>
    <col min="63" max="66" width="6.7109375" hidden="1" customWidth="1" outlineLevel="1"/>
    <col min="67" max="67" width="6.7109375" hidden="1" customWidth="1" collapsed="1"/>
    <col min="68" max="68" width="1.7109375" hidden="1" customWidth="1" outlineLevel="1"/>
    <col min="69" max="72" width="6.7109375" hidden="1" customWidth="1" outlineLevel="1"/>
    <col min="73" max="73" width="6.7109375" hidden="1" customWidth="1" collapsed="1"/>
    <col min="74" max="74" width="1.7109375" hidden="1" customWidth="1" outlineLevel="1"/>
    <col min="75" max="78" width="6.7109375" hidden="1" customWidth="1" outlineLevel="1"/>
    <col min="79" max="79" width="6.7109375" hidden="1" customWidth="1" collapsed="1"/>
    <col min="80" max="80" width="1.7109375" hidden="1" customWidth="1"/>
    <col min="81" max="84" width="6.7109375" hidden="1" customWidth="1" outlineLevel="1"/>
    <col min="85" max="85" width="7.42578125" hidden="1" customWidth="1" collapsed="1"/>
    <col min="86" max="86" width="1.7109375" hidden="1" customWidth="1" outlineLevel="1"/>
    <col min="87" max="90" width="6.7109375" hidden="1" customWidth="1" outlineLevel="1"/>
    <col min="91" max="91" width="6.7109375" hidden="1" customWidth="1" collapsed="1"/>
    <col min="92" max="92" width="1.85546875" hidden="1" customWidth="1" outlineLevel="1"/>
    <col min="93" max="96" width="6.7109375" hidden="1" customWidth="1" outlineLevel="1"/>
    <col min="97" max="97" width="6.7109375" hidden="1" customWidth="1" collapsed="1"/>
    <col min="98" max="98" width="1.85546875" hidden="1" customWidth="1" outlineLevel="1"/>
    <col min="99" max="99" width="7" hidden="1" customWidth="1" outlineLevel="1"/>
    <col min="100" max="102" width="6.7109375" hidden="1" customWidth="1" outlineLevel="1"/>
    <col min="103" max="103" width="6.7109375" hidden="1" customWidth="1" collapsed="1"/>
    <col min="104" max="104" width="1.85546875" hidden="1" customWidth="1" outlineLevel="1"/>
    <col min="105" max="108" width="6.7109375" hidden="1" customWidth="1" outlineLevel="1"/>
    <col min="109" max="109" width="6.7109375" hidden="1" customWidth="1" collapsed="1"/>
    <col min="110" max="110" width="1.85546875" hidden="1" customWidth="1" outlineLevel="1"/>
    <col min="111" max="114" width="6.7109375" hidden="1" customWidth="1" outlineLevel="1"/>
    <col min="115" max="115" width="7.5703125" bestFit="1" customWidth="1" collapsed="1"/>
    <col min="116" max="116" width="1.85546875" hidden="1" customWidth="1" outlineLevel="1"/>
    <col min="117" max="117" width="6.7109375" style="1901" hidden="1" customWidth="1" outlineLevel="1"/>
    <col min="118" max="120" width="6.7109375" hidden="1" customWidth="1" outlineLevel="1"/>
    <col min="121" max="121" width="8" customWidth="1" collapsed="1"/>
    <col min="122" max="122" width="1.85546875" style="2032" hidden="1" customWidth="1" outlineLevel="1"/>
    <col min="123" max="126" width="6.7109375" hidden="1" customWidth="1" outlineLevel="1"/>
    <col min="127" max="127" width="7.5703125" customWidth="1" collapsed="1"/>
    <col min="128" max="128" width="1.7109375" style="1787" customWidth="1" outlineLevel="1"/>
    <col min="129" max="129" width="7.85546875" style="1787" customWidth="1" outlineLevel="1"/>
    <col min="130" max="132" width="6.7109375" style="1787" customWidth="1" outlineLevel="1"/>
    <col min="133" max="133" width="7.28515625" style="1787" customWidth="1"/>
    <col min="134" max="134" width="1.7109375" style="2032" customWidth="1" outlineLevel="1"/>
    <col min="135" max="135" width="7.85546875" style="2021" customWidth="1" outlineLevel="1"/>
    <col min="136" max="136" width="6.7109375" style="2021" customWidth="1" outlineLevel="1"/>
    <col min="137" max="138" width="6.7109375" style="2008" customWidth="1" outlineLevel="1"/>
    <col min="139" max="139" width="7.7109375" style="2008" customWidth="1"/>
    <col min="140" max="140" width="1.7109375" style="2117" hidden="1" customWidth="1" outlineLevel="1"/>
    <col min="141" max="141" width="7.85546875" style="2117" hidden="1" customWidth="1" outlineLevel="1"/>
    <col min="142" max="144" width="6.7109375" style="2117" hidden="1" customWidth="1" outlineLevel="1"/>
    <col min="145" max="145" width="7.7109375" style="2117" customWidth="1" collapsed="1"/>
    <col min="146" max="146" width="1.7109375" style="2291" hidden="1" customWidth="1" outlineLevel="1"/>
    <col min="147" max="147" width="7.85546875" style="2291" hidden="1" customWidth="1" outlineLevel="1"/>
    <col min="148" max="150" width="6.7109375" style="2291" hidden="1" customWidth="1" outlineLevel="1"/>
    <col min="151" max="151" width="7.7109375" style="2291" customWidth="1" collapsed="1"/>
    <col min="152" max="152" width="9.5703125" customWidth="1"/>
    <col min="153" max="158" width="1.7109375" customWidth="1"/>
    <col min="159" max="159" width="66.5703125" bestFit="1" customWidth="1"/>
  </cols>
  <sheetData>
    <row r="1" spans="1:166" ht="20.100000000000001" customHeight="1">
      <c r="A1" s="1" t="str">
        <f>Model!A1</f>
        <v>Autodesk</v>
      </c>
      <c r="B1" s="32"/>
      <c r="C1" s="90"/>
      <c r="D1" s="90"/>
      <c r="E1" s="90"/>
      <c r="F1" s="90"/>
      <c r="G1" s="61"/>
      <c r="H1" s="90"/>
      <c r="I1" s="90"/>
      <c r="J1" s="90"/>
      <c r="K1" s="3"/>
      <c r="L1" s="3"/>
      <c r="M1" s="3"/>
      <c r="N1" s="3"/>
      <c r="O1" s="2"/>
      <c r="P1" s="3"/>
      <c r="Q1" s="2"/>
      <c r="R1" s="2"/>
      <c r="S1" s="3"/>
      <c r="T1" s="3"/>
      <c r="U1" s="2"/>
      <c r="V1" s="3"/>
      <c r="W1" s="2"/>
      <c r="X1" s="3"/>
      <c r="Y1" s="3"/>
      <c r="Z1" s="3"/>
      <c r="AA1" s="2"/>
      <c r="AB1" s="3"/>
      <c r="AC1" s="2"/>
      <c r="AD1" s="2"/>
      <c r="AE1" s="3"/>
      <c r="AF1" s="3"/>
      <c r="AG1" s="2"/>
      <c r="AH1" s="3"/>
      <c r="AI1" s="2"/>
      <c r="AJ1" s="2"/>
      <c r="AK1" s="3"/>
      <c r="AL1" s="3"/>
      <c r="AM1" s="3"/>
      <c r="AN1" s="3"/>
      <c r="AO1" s="3"/>
      <c r="AP1" s="3"/>
      <c r="AQ1" s="161"/>
      <c r="AR1" s="3"/>
      <c r="AS1" s="3"/>
      <c r="AT1" s="3"/>
      <c r="AU1" s="3"/>
      <c r="AV1" s="3"/>
      <c r="AW1" s="161"/>
      <c r="AX1" s="86"/>
      <c r="AY1" s="3"/>
      <c r="AZ1" s="3"/>
      <c r="BA1" s="3"/>
      <c r="BB1" s="3"/>
      <c r="BC1" s="161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4"/>
      <c r="CO1" s="4"/>
      <c r="CP1" s="4"/>
      <c r="CQ1" s="268"/>
      <c r="CR1" s="4"/>
      <c r="CS1" s="4"/>
      <c r="CT1" s="4"/>
      <c r="CU1" s="4"/>
      <c r="CV1" s="4"/>
      <c r="CW1" s="4"/>
      <c r="CX1" s="4"/>
      <c r="CY1" s="4"/>
      <c r="CZ1" s="4"/>
      <c r="DA1" s="1755"/>
      <c r="DB1" s="1755"/>
      <c r="DC1" s="1757"/>
      <c r="DD1" s="1757"/>
      <c r="DE1" s="1757"/>
      <c r="DF1" s="1757"/>
      <c r="DG1" s="1755"/>
      <c r="DH1" s="1755"/>
      <c r="DI1" s="1759"/>
      <c r="DJ1" s="1755"/>
      <c r="DK1" s="1757"/>
      <c r="DL1" s="1757"/>
      <c r="DM1" s="1755"/>
      <c r="DN1" s="1796"/>
      <c r="DO1" s="1796"/>
      <c r="DP1" s="1796"/>
      <c r="DQ1" s="1796"/>
      <c r="DR1" s="1757"/>
      <c r="DS1" s="1796"/>
      <c r="DT1" s="1796"/>
      <c r="DU1" s="1796"/>
      <c r="DV1" s="1796"/>
      <c r="DW1" s="1796"/>
      <c r="DX1" s="1757"/>
      <c r="DY1" s="1796"/>
      <c r="DZ1" s="1796"/>
      <c r="EA1" s="1796"/>
      <c r="EB1" s="1796"/>
      <c r="EC1" s="1796"/>
      <c r="ED1" s="1796"/>
      <c r="EE1" s="1796"/>
      <c r="EF1" s="1796"/>
      <c r="EG1" s="1796"/>
      <c r="EH1" s="1796"/>
      <c r="EI1" s="1796"/>
      <c r="EJ1" s="1796"/>
      <c r="EK1" s="1796"/>
      <c r="EL1" s="1796"/>
      <c r="EM1" s="1796"/>
      <c r="EN1" s="1796"/>
      <c r="EO1" s="1796"/>
      <c r="EP1" s="1796"/>
      <c r="EQ1" s="1796"/>
      <c r="ER1" s="1796"/>
      <c r="ES1" s="1796"/>
      <c r="ET1" s="1796"/>
      <c r="EU1" s="1796"/>
      <c r="EV1" s="4" t="s">
        <v>1038</v>
      </c>
      <c r="EW1" s="4"/>
      <c r="EX1" s="4"/>
      <c r="EY1" s="4"/>
      <c r="EZ1" s="4"/>
      <c r="FA1" s="4"/>
      <c r="FB1" s="4"/>
      <c r="FI1" s="1990"/>
      <c r="FJ1" s="1990"/>
    </row>
    <row r="2" spans="1:166" ht="20.100000000000001" customHeight="1">
      <c r="A2" s="5" t="s">
        <v>91</v>
      </c>
      <c r="B2" s="32"/>
      <c r="C2" s="90"/>
      <c r="D2" s="90"/>
      <c r="E2" s="90"/>
      <c r="F2" s="90"/>
      <c r="G2" s="61"/>
      <c r="H2" s="90"/>
      <c r="I2" s="90"/>
      <c r="J2" s="90"/>
      <c r="K2" s="7"/>
      <c r="L2" s="7"/>
      <c r="M2" s="7"/>
      <c r="N2" s="7"/>
      <c r="O2" s="6"/>
      <c r="P2" s="6"/>
      <c r="Q2" s="6"/>
      <c r="R2" s="6"/>
      <c r="S2" s="6"/>
      <c r="T2" s="7"/>
      <c r="U2" s="6"/>
      <c r="V2" s="6"/>
      <c r="W2" s="6"/>
      <c r="X2" s="6"/>
      <c r="Y2" s="6"/>
      <c r="Z2" s="7"/>
      <c r="AA2" s="6"/>
      <c r="AB2" s="6"/>
      <c r="AC2" s="6"/>
      <c r="AD2" s="6"/>
      <c r="AE2" s="6"/>
      <c r="AF2" s="7"/>
      <c r="AG2" s="6"/>
      <c r="AH2" s="6"/>
      <c r="AI2" s="6"/>
      <c r="AJ2" s="6"/>
      <c r="AK2" s="6"/>
      <c r="AL2" s="7"/>
      <c r="AM2" s="8"/>
      <c r="AN2" s="7" t="s">
        <v>2521</v>
      </c>
      <c r="AO2" s="6"/>
      <c r="AP2" s="7"/>
      <c r="AQ2" s="162"/>
      <c r="AR2" s="7"/>
      <c r="AS2" s="8"/>
      <c r="AT2" s="7"/>
      <c r="AU2" s="6"/>
      <c r="AV2" s="7"/>
      <c r="AW2" s="162"/>
      <c r="AX2" s="122"/>
      <c r="AY2" s="8"/>
      <c r="AZ2" s="7"/>
      <c r="BA2" s="7"/>
      <c r="BB2" s="7"/>
      <c r="BC2" s="162"/>
      <c r="BD2" s="7"/>
      <c r="BE2" s="7"/>
      <c r="BF2" s="7"/>
      <c r="BG2" s="7"/>
      <c r="BH2" s="7"/>
      <c r="BI2" s="7"/>
      <c r="BJ2" s="7"/>
      <c r="BK2" s="834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1758"/>
      <c r="DB2" s="1756"/>
      <c r="DC2" s="1756"/>
      <c r="DD2" s="1758"/>
      <c r="DE2" s="1758"/>
      <c r="DF2" s="1758"/>
      <c r="DG2" s="1758"/>
      <c r="DH2" s="1758"/>
      <c r="DI2" s="1758"/>
      <c r="DJ2" s="1758"/>
      <c r="DK2" s="1758"/>
      <c r="DL2" s="1758"/>
      <c r="DM2" s="1758"/>
      <c r="DN2" s="1758"/>
      <c r="DO2" s="1758"/>
      <c r="DP2" s="1758"/>
      <c r="DQ2" s="1758"/>
      <c r="DR2" s="1758"/>
      <c r="DS2" s="1756"/>
      <c r="DT2" s="1756"/>
      <c r="DU2" s="1756"/>
      <c r="DV2" s="1756"/>
      <c r="DW2" s="1758"/>
      <c r="DX2" s="1757"/>
      <c r="DY2" s="1796"/>
      <c r="DZ2" s="1796"/>
      <c r="EA2" s="1796"/>
      <c r="EB2" s="1796"/>
      <c r="EC2" s="1796"/>
      <c r="ED2" s="1796"/>
      <c r="EE2" s="1796"/>
      <c r="EF2" s="1796"/>
      <c r="EG2" s="1796"/>
      <c r="EH2" s="1796"/>
      <c r="EI2" s="1796"/>
      <c r="EJ2" s="1796"/>
      <c r="EK2" s="1796"/>
      <c r="EL2" s="1796"/>
      <c r="EM2" s="1796"/>
      <c r="EN2" s="1796"/>
      <c r="EO2" s="1796"/>
      <c r="EP2" s="1796"/>
      <c r="EQ2" s="1796"/>
      <c r="ER2" s="1796"/>
      <c r="ES2" s="1796"/>
      <c r="ET2" s="1796"/>
      <c r="EU2" s="1796"/>
      <c r="EV2" s="4"/>
      <c r="EW2" s="4"/>
      <c r="EX2" s="4"/>
      <c r="EY2" s="4"/>
      <c r="EZ2" s="4"/>
      <c r="FA2" s="4"/>
      <c r="FB2" s="4"/>
      <c r="FI2" s="1990"/>
      <c r="FJ2" s="1990"/>
    </row>
    <row r="3" spans="1:166" ht="9.75" customHeight="1">
      <c r="A3" s="11" t="s">
        <v>651</v>
      </c>
      <c r="B3" s="32"/>
      <c r="C3" s="90"/>
      <c r="D3" s="90"/>
      <c r="E3" s="90"/>
      <c r="F3" s="90"/>
      <c r="G3" s="61"/>
      <c r="H3" s="90"/>
      <c r="I3" s="90"/>
      <c r="J3" s="90"/>
      <c r="K3" s="12"/>
      <c r="L3" s="12"/>
      <c r="M3" s="12"/>
      <c r="N3" s="12"/>
      <c r="O3" s="12"/>
      <c r="P3" s="12"/>
      <c r="Q3" s="12"/>
      <c r="R3" s="12"/>
      <c r="S3" s="13"/>
      <c r="T3" s="12"/>
      <c r="U3" s="12"/>
      <c r="V3" s="12"/>
      <c r="W3" s="12"/>
      <c r="X3" s="13"/>
      <c r="Y3" s="13"/>
      <c r="Z3" s="13"/>
      <c r="AA3" s="12"/>
      <c r="AB3" s="12"/>
      <c r="AC3" s="12"/>
      <c r="AD3" s="12"/>
      <c r="AE3" s="13"/>
      <c r="AF3" s="13"/>
      <c r="AG3" s="12"/>
      <c r="AH3" s="12"/>
      <c r="AI3" s="12"/>
      <c r="AJ3" s="12"/>
      <c r="AK3" s="13"/>
      <c r="AL3" s="13"/>
      <c r="AM3" s="12"/>
      <c r="AN3" s="12"/>
      <c r="AO3" s="12"/>
      <c r="AP3" s="12"/>
      <c r="AQ3" s="163"/>
      <c r="AR3" s="13"/>
      <c r="AS3" s="12"/>
      <c r="AT3" s="12"/>
      <c r="AU3" s="12"/>
      <c r="AV3" s="12"/>
      <c r="AW3" s="163"/>
      <c r="AX3" s="90"/>
      <c r="AY3" s="12"/>
      <c r="AZ3" s="12"/>
      <c r="BA3" s="12"/>
      <c r="BB3" s="12"/>
      <c r="BC3" s="163"/>
      <c r="BD3" s="90"/>
      <c r="BE3" s="13"/>
      <c r="BF3" s="13"/>
      <c r="BG3" s="13"/>
      <c r="BH3" s="13"/>
      <c r="BI3" s="13"/>
      <c r="BJ3" s="90"/>
      <c r="BK3" s="13"/>
      <c r="BL3" s="13"/>
      <c r="BM3" s="13"/>
      <c r="BN3" s="13"/>
      <c r="BO3" s="13"/>
      <c r="BP3" s="90"/>
      <c r="BQ3" s="13"/>
      <c r="BR3" s="13"/>
      <c r="BS3" s="13"/>
      <c r="BT3" s="13"/>
      <c r="BU3" s="13"/>
      <c r="BV3" s="90"/>
      <c r="BW3" s="13"/>
      <c r="BX3" s="13"/>
      <c r="BY3" s="13"/>
      <c r="BZ3" s="13"/>
      <c r="CA3" s="13"/>
      <c r="CB3" s="90"/>
      <c r="CC3" s="13"/>
      <c r="CD3" s="13"/>
      <c r="CE3" s="13"/>
      <c r="CF3" s="13"/>
      <c r="CG3" s="13"/>
      <c r="CH3" s="90"/>
      <c r="CI3" s="13"/>
      <c r="CJ3" s="13"/>
      <c r="CK3" s="13"/>
      <c r="CL3" s="13"/>
      <c r="CM3" s="13"/>
      <c r="CN3" s="90"/>
      <c r="CO3" s="13"/>
      <c r="CP3" s="13"/>
      <c r="CQ3" s="13"/>
      <c r="CR3" s="13"/>
      <c r="CS3" s="13"/>
      <c r="CT3" s="90"/>
      <c r="CU3" s="13"/>
      <c r="CV3" s="13"/>
      <c r="CW3" s="13"/>
      <c r="CX3" s="13"/>
      <c r="CY3" s="13"/>
      <c r="CZ3" s="90"/>
      <c r="DA3" s="13"/>
      <c r="DB3" s="13"/>
      <c r="DC3" s="13"/>
      <c r="DD3" s="13"/>
      <c r="DE3" s="13"/>
      <c r="DF3" s="90"/>
      <c r="DG3" s="13"/>
      <c r="DH3" s="13"/>
      <c r="DI3" s="13"/>
      <c r="DJ3" s="13"/>
      <c r="DK3" s="13"/>
      <c r="DL3" s="90"/>
      <c r="DM3" s="13"/>
      <c r="DN3" s="13"/>
      <c r="DO3" s="13"/>
      <c r="DP3" s="13"/>
      <c r="DQ3" s="13"/>
      <c r="DR3" s="90"/>
      <c r="DS3" s="13"/>
      <c r="DT3" s="13"/>
      <c r="DU3" s="13"/>
      <c r="DV3" s="13"/>
      <c r="DW3" s="13"/>
      <c r="DX3" s="2126"/>
      <c r="DY3" s="12"/>
      <c r="DZ3" s="13"/>
      <c r="EA3" s="13"/>
      <c r="EB3" s="13"/>
      <c r="EC3" s="13"/>
      <c r="ED3" s="12"/>
      <c r="EE3" s="13"/>
      <c r="EF3" s="13"/>
      <c r="EG3" s="13"/>
      <c r="EH3" s="13"/>
      <c r="EI3" s="13"/>
      <c r="EJ3" s="12"/>
      <c r="EK3" s="13"/>
      <c r="EL3" s="13"/>
      <c r="EM3" s="13"/>
      <c r="EN3" s="13"/>
      <c r="EO3" s="13"/>
      <c r="EP3" s="12"/>
      <c r="EQ3" s="13"/>
      <c r="ER3" s="13"/>
      <c r="ES3" s="13"/>
      <c r="ET3" s="13"/>
      <c r="EU3" s="13"/>
      <c r="EV3" s="12"/>
      <c r="EW3" s="12"/>
      <c r="EX3" s="12"/>
      <c r="EY3" s="12"/>
      <c r="EZ3" s="12"/>
      <c r="FA3" s="12"/>
      <c r="FB3" s="12"/>
      <c r="FI3" s="1990"/>
      <c r="FJ3" s="1990"/>
    </row>
    <row r="4" spans="1:166" ht="15" hidden="1" customHeight="1" outlineLevel="1">
      <c r="DM4"/>
      <c r="DR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</row>
    <row r="5" spans="1:166" ht="11.25" customHeight="1" collapsed="1">
      <c r="A5" s="14"/>
      <c r="B5" s="32"/>
      <c r="C5" s="1244">
        <v>1997</v>
      </c>
      <c r="D5" s="841"/>
      <c r="E5" s="1245"/>
      <c r="F5" s="841"/>
      <c r="G5" s="1246"/>
      <c r="H5" s="18"/>
      <c r="I5" s="1244">
        <v>1998</v>
      </c>
      <c r="J5" s="841"/>
      <c r="K5" s="1245"/>
      <c r="L5" s="841"/>
      <c r="M5" s="1245"/>
      <c r="N5" s="18"/>
      <c r="O5" s="1244">
        <f>Model!O6</f>
        <v>1999</v>
      </c>
      <c r="P5" s="841"/>
      <c r="Q5" s="1245"/>
      <c r="R5" s="841"/>
      <c r="S5" s="841"/>
      <c r="T5" s="18"/>
      <c r="U5" s="1244">
        <f>Model!U6</f>
        <v>2000</v>
      </c>
      <c r="V5" s="841"/>
      <c r="W5" s="1245"/>
      <c r="X5" s="841"/>
      <c r="Y5" s="841"/>
      <c r="Z5" s="18"/>
      <c r="AA5" s="1244">
        <f>Model!AA6</f>
        <v>2001</v>
      </c>
      <c r="AB5" s="841"/>
      <c r="AC5" s="1245"/>
      <c r="AD5" s="841"/>
      <c r="AE5" s="841"/>
      <c r="AF5" s="18"/>
      <c r="AG5" s="1244">
        <f>Model!AG6</f>
        <v>2002</v>
      </c>
      <c r="AH5" s="841"/>
      <c r="AI5" s="1245"/>
      <c r="AJ5" s="841"/>
      <c r="AK5" s="841"/>
      <c r="AL5" s="18"/>
      <c r="AM5" s="1244">
        <f>Model!AM6</f>
        <v>2003</v>
      </c>
      <c r="AN5" s="841"/>
      <c r="AO5" s="1245"/>
      <c r="AP5" s="841"/>
      <c r="AQ5" s="1304"/>
      <c r="AR5" s="18"/>
      <c r="AS5" s="1244" t="str">
        <f>Model!AS6</f>
        <v>2004</v>
      </c>
      <c r="AT5" s="841"/>
      <c r="AU5" s="1245"/>
      <c r="AV5" s="841"/>
      <c r="AW5" s="1304"/>
      <c r="AX5" s="81"/>
      <c r="AY5" s="1244" t="str">
        <f>Model!AY6</f>
        <v>2005</v>
      </c>
      <c r="AZ5" s="1244"/>
      <c r="BA5" s="1244"/>
      <c r="BB5" s="1244"/>
      <c r="BC5" s="1244"/>
      <c r="BD5" s="18"/>
      <c r="BE5" s="841" t="str">
        <f>Model!BE6</f>
        <v>2006</v>
      </c>
      <c r="BF5" s="841"/>
      <c r="BG5" s="1245"/>
      <c r="BH5" s="841"/>
      <c r="BI5" s="841"/>
      <c r="BJ5" s="18"/>
      <c r="BK5" s="1244" t="str">
        <f>Model!BK6</f>
        <v>2007</v>
      </c>
      <c r="BL5" s="841"/>
      <c r="BM5" s="1245"/>
      <c r="BN5" s="841"/>
      <c r="BO5" s="841"/>
      <c r="BP5" s="18"/>
      <c r="BQ5" s="1244" t="str">
        <f>Model!BQ6</f>
        <v>2008</v>
      </c>
      <c r="BR5" s="841"/>
      <c r="BS5" s="841"/>
      <c r="BT5" s="841"/>
      <c r="BU5" s="841"/>
      <c r="BV5" s="18"/>
      <c r="BW5" s="1244" t="str">
        <f>Model!BW6</f>
        <v>2009</v>
      </c>
      <c r="BX5" s="841"/>
      <c r="BY5" s="1245"/>
      <c r="BZ5" s="841"/>
      <c r="CA5" s="841"/>
      <c r="CB5" s="18"/>
      <c r="CC5" s="2307" t="str">
        <f>Model!CC6</f>
        <v>2010</v>
      </c>
      <c r="CD5" s="2310"/>
      <c r="CE5" s="2310"/>
      <c r="CF5" s="2310"/>
      <c r="CH5" s="1445"/>
      <c r="CI5" s="1244" t="str">
        <f>Model!CI6</f>
        <v>2011</v>
      </c>
      <c r="CJ5" s="16"/>
      <c r="CK5" s="17"/>
      <c r="CL5" s="16"/>
      <c r="CM5" s="16"/>
      <c r="CN5" s="1445"/>
      <c r="CO5" s="15" t="str">
        <f>Model!CO6</f>
        <v>2012</v>
      </c>
      <c r="CP5" s="16"/>
      <c r="CQ5" s="17"/>
      <c r="CR5" s="16"/>
      <c r="CS5" s="16"/>
      <c r="CT5" s="1445"/>
      <c r="CU5" s="2307" t="str">
        <f>Model!CU6</f>
        <v>2013</v>
      </c>
      <c r="CV5" s="2307"/>
      <c r="CW5" s="2307"/>
      <c r="CX5" s="2307"/>
      <c r="CY5" s="16"/>
      <c r="CZ5" s="1445"/>
      <c r="DA5" s="15" t="str">
        <f>Model!DA6</f>
        <v>2014</v>
      </c>
      <c r="DB5" s="16"/>
      <c r="DC5" s="17"/>
      <c r="DD5" s="16"/>
      <c r="DE5" s="16"/>
      <c r="DF5" s="1445"/>
      <c r="DG5" s="2252" t="str">
        <f>Model!DG6</f>
        <v>2015</v>
      </c>
      <c r="DH5" s="16"/>
      <c r="DI5" s="17"/>
      <c r="DJ5" s="16"/>
      <c r="DK5" s="16"/>
      <c r="DL5" s="1445"/>
      <c r="DM5" s="2252" t="str">
        <f>Model!DM6</f>
        <v>2016</v>
      </c>
      <c r="DN5" s="16"/>
      <c r="DO5" s="17"/>
      <c r="DP5" s="16"/>
      <c r="DQ5" s="16"/>
      <c r="DR5" s="16"/>
      <c r="DS5" s="2252" t="str">
        <f>Model!DS6</f>
        <v>2017</v>
      </c>
      <c r="DT5" s="16"/>
      <c r="DU5" s="17"/>
      <c r="DV5" s="16"/>
      <c r="DW5" s="16"/>
      <c r="DX5" s="16"/>
      <c r="DY5" s="2252" t="str">
        <f>Model!DY6</f>
        <v>2018</v>
      </c>
      <c r="DZ5" s="16"/>
      <c r="EA5" s="17"/>
      <c r="EB5" s="16"/>
      <c r="EC5" s="16"/>
      <c r="ED5" s="19"/>
      <c r="EE5" s="15" t="str">
        <f>Model!EE6</f>
        <v>2019e</v>
      </c>
      <c r="EF5" s="16"/>
      <c r="EG5" s="17"/>
      <c r="EH5" s="16"/>
      <c r="EI5" s="16"/>
      <c r="EJ5" s="19"/>
      <c r="EK5" s="15" t="str">
        <f>Model!EK6</f>
        <v>2020e</v>
      </c>
      <c r="EL5" s="16"/>
      <c r="EM5" s="17"/>
      <c r="EN5" s="16"/>
      <c r="EO5" s="16"/>
      <c r="EP5" s="19"/>
      <c r="EQ5" s="15" t="str">
        <f>Model!EQ6</f>
        <v>2021e</v>
      </c>
      <c r="ER5" s="16"/>
      <c r="ES5" s="17"/>
      <c r="ET5" s="16"/>
      <c r="EU5" s="16"/>
      <c r="EV5" s="19"/>
      <c r="EW5" s="19"/>
      <c r="EX5" s="19"/>
      <c r="EY5" s="19"/>
      <c r="EZ5" s="19"/>
      <c r="FA5" s="19"/>
      <c r="FB5" s="19"/>
      <c r="FI5" s="1990"/>
      <c r="FJ5" s="1990"/>
    </row>
    <row r="6" spans="1:166">
      <c r="A6" s="1320"/>
      <c r="B6" s="1321"/>
      <c r="C6" s="842" t="s">
        <v>5260</v>
      </c>
      <c r="D6" s="842" t="s">
        <v>5259</v>
      </c>
      <c r="E6" s="842" t="s">
        <v>5258</v>
      </c>
      <c r="F6" s="842" t="s">
        <v>1045</v>
      </c>
      <c r="G6" s="2287" t="s">
        <v>5141</v>
      </c>
      <c r="H6" s="842"/>
      <c r="I6" s="842" t="s">
        <v>1046</v>
      </c>
      <c r="J6" s="842" t="s">
        <v>1047</v>
      </c>
      <c r="K6" s="842" t="s">
        <v>1048</v>
      </c>
      <c r="L6" s="842" t="s">
        <v>1049</v>
      </c>
      <c r="M6" s="842" t="s">
        <v>5142</v>
      </c>
      <c r="N6" s="842"/>
      <c r="O6" s="842" t="str">
        <f>Model!O7</f>
        <v>4/98</v>
      </c>
      <c r="P6" s="842" t="str">
        <f>Model!P7</f>
        <v>7/98</v>
      </c>
      <c r="Q6" s="842" t="str">
        <f>Model!Q7</f>
        <v>10/98</v>
      </c>
      <c r="R6" s="842" t="str">
        <f>Model!R7</f>
        <v>1/99</v>
      </c>
      <c r="S6" s="842" t="str">
        <f>Model!S7</f>
        <v>FY99</v>
      </c>
      <c r="T6" s="842"/>
      <c r="U6" s="842" t="str">
        <f>Model!U7</f>
        <v>4/99</v>
      </c>
      <c r="V6" s="842" t="str">
        <f>Model!V7</f>
        <v>7/99</v>
      </c>
      <c r="W6" s="842" t="str">
        <f>Model!W7</f>
        <v>10/99</v>
      </c>
      <c r="X6" s="842" t="str">
        <f>Model!X7</f>
        <v>1/00</v>
      </c>
      <c r="Y6" s="842" t="str">
        <f>Model!Y7</f>
        <v>FY00</v>
      </c>
      <c r="Z6" s="842"/>
      <c r="AA6" s="842" t="str">
        <f>Model!AA7</f>
        <v>4/00</v>
      </c>
      <c r="AB6" s="842" t="str">
        <f>Model!AB7</f>
        <v>7/00</v>
      </c>
      <c r="AC6" s="842" t="str">
        <f>Model!AC7</f>
        <v>10/00</v>
      </c>
      <c r="AD6" s="842" t="str">
        <f>Model!AD7</f>
        <v>1/01</v>
      </c>
      <c r="AE6" s="842" t="str">
        <f>Model!AE7</f>
        <v>FY01</v>
      </c>
      <c r="AF6" s="842"/>
      <c r="AG6" s="842" t="str">
        <f>Model!AG7</f>
        <v>4/01</v>
      </c>
      <c r="AH6" s="842" t="str">
        <f>Model!AH7</f>
        <v>7/01</v>
      </c>
      <c r="AI6" s="842" t="str">
        <f>Model!AI7</f>
        <v>10/01</v>
      </c>
      <c r="AJ6" s="842" t="str">
        <f>Model!AJ7</f>
        <v>1/02</v>
      </c>
      <c r="AK6" s="842" t="str">
        <f>Model!AK7</f>
        <v>FY02</v>
      </c>
      <c r="AL6" s="842"/>
      <c r="AM6" s="842" t="str">
        <f>Model!AM7</f>
        <v>4/02</v>
      </c>
      <c r="AN6" s="842" t="str">
        <f>Model!AN7</f>
        <v>7/02</v>
      </c>
      <c r="AO6" s="842" t="str">
        <f>Model!AO7</f>
        <v>10/02</v>
      </c>
      <c r="AP6" s="842" t="str">
        <f>Model!AP7</f>
        <v>1/03</v>
      </c>
      <c r="AQ6" s="842" t="str">
        <f>Model!AQ7</f>
        <v>FY03</v>
      </c>
      <c r="AR6" s="842"/>
      <c r="AS6" s="842" t="str">
        <f>Model!AS7</f>
        <v>4/03</v>
      </c>
      <c r="AT6" s="842" t="str">
        <f>Model!AT7</f>
        <v>7/03</v>
      </c>
      <c r="AU6" s="842" t="str">
        <f>Model!AU7</f>
        <v>10/03</v>
      </c>
      <c r="AV6" s="842" t="str">
        <f>Model!AV7</f>
        <v xml:space="preserve"> 1/04</v>
      </c>
      <c r="AW6" s="842" t="str">
        <f>Model!AW7</f>
        <v>FY04</v>
      </c>
      <c r="AX6" s="2287"/>
      <c r="AY6" s="842" t="str">
        <f>Model!AY7</f>
        <v xml:space="preserve"> 4/04</v>
      </c>
      <c r="AZ6" s="842" t="str">
        <f>Model!AZ7</f>
        <v xml:space="preserve"> 07/04</v>
      </c>
      <c r="BA6" s="842" t="str">
        <f>Model!BA7</f>
        <v>10/04</v>
      </c>
      <c r="BB6" s="842" t="str">
        <f>Model!BB7</f>
        <v>1/05</v>
      </c>
      <c r="BC6" s="842" t="str">
        <f>Model!BC7</f>
        <v>FY05</v>
      </c>
      <c r="BD6" s="842"/>
      <c r="BE6" s="842" t="str">
        <f>Model!BE7</f>
        <v>4/05</v>
      </c>
      <c r="BF6" s="842" t="str">
        <f>Model!BF7</f>
        <v>7/05</v>
      </c>
      <c r="BG6" s="842" t="str">
        <f>Model!BG7</f>
        <v>10/05</v>
      </c>
      <c r="BH6" s="842" t="str">
        <f>Model!BH7</f>
        <v>1/06</v>
      </c>
      <c r="BI6" s="842" t="str">
        <f>Model!BI7</f>
        <v>FY06</v>
      </c>
      <c r="BJ6" s="842"/>
      <c r="BK6" s="842" t="str">
        <f>Model!BK7</f>
        <v>4/06</v>
      </c>
      <c r="BL6" s="842" t="str">
        <f>Model!BL7</f>
        <v>7/06</v>
      </c>
      <c r="BM6" s="842" t="str">
        <f>Model!BM7</f>
        <v>10/06</v>
      </c>
      <c r="BN6" s="842" t="str">
        <f>Model!BN7</f>
        <v>1/07</v>
      </c>
      <c r="BO6" s="1249" t="str">
        <f>Model!BO7</f>
        <v>FY07</v>
      </c>
      <c r="BP6" s="842"/>
      <c r="BQ6" s="842" t="str">
        <f>Model!BQ7</f>
        <v>4/07</v>
      </c>
      <c r="BR6" s="842" t="str">
        <f>Model!BR7</f>
        <v>7/07</v>
      </c>
      <c r="BS6" s="842" t="str">
        <f>Model!BS7</f>
        <v>10/07</v>
      </c>
      <c r="BT6" s="842" t="str">
        <f>Model!BT7</f>
        <v>1/08</v>
      </c>
      <c r="BU6" s="1249" t="str">
        <f>Model!BU7</f>
        <v>FY08</v>
      </c>
      <c r="BV6" s="842"/>
      <c r="BW6" s="842" t="str">
        <f>Model!BW7</f>
        <v>4/08</v>
      </c>
      <c r="BX6" s="842" t="str">
        <f>Model!BX7</f>
        <v>7/08</v>
      </c>
      <c r="BY6" s="842" t="str">
        <f>Model!BY7</f>
        <v>10/08</v>
      </c>
      <c r="BZ6" s="842" t="str">
        <f>Model!BZ7</f>
        <v>1/09</v>
      </c>
      <c r="CA6" s="1249" t="str">
        <f>Model!CA7</f>
        <v>FY09</v>
      </c>
      <c r="CB6" s="842"/>
      <c r="CC6" s="842" t="str">
        <f>Model!CC7</f>
        <v>4/09</v>
      </c>
      <c r="CD6" s="842" t="str">
        <f>Model!CD7</f>
        <v>7/09</v>
      </c>
      <c r="CE6" s="842" t="str">
        <f>Model!CE7</f>
        <v>10/09</v>
      </c>
      <c r="CF6" s="842" t="str">
        <f>Model!CF7</f>
        <v>1/10</v>
      </c>
      <c r="CG6" s="1249" t="str">
        <f>Model!CG7</f>
        <v>FY10</v>
      </c>
      <c r="CH6" s="842"/>
      <c r="CI6" s="842" t="str">
        <f>Model!CI7</f>
        <v>4/10</v>
      </c>
      <c r="CJ6" s="842" t="str">
        <f>Model!CJ7</f>
        <v>7/10</v>
      </c>
      <c r="CK6" s="842" t="str">
        <f>Model!CK7</f>
        <v>10/10</v>
      </c>
      <c r="CL6" s="842" t="str">
        <f>Model!CL7</f>
        <v>1/11</v>
      </c>
      <c r="CM6" s="1249" t="str">
        <f>Model!CM7</f>
        <v>FY11</v>
      </c>
      <c r="CN6" s="842"/>
      <c r="CO6" s="842" t="str">
        <f>Model!CO7</f>
        <v>4/11</v>
      </c>
      <c r="CP6" s="842" t="str">
        <f>Model!CP7</f>
        <v>7/11</v>
      </c>
      <c r="CQ6" s="842" t="str">
        <f>Model!CQ7</f>
        <v>10/11</v>
      </c>
      <c r="CR6" s="842" t="str">
        <f>Model!CR7</f>
        <v>1/12</v>
      </c>
      <c r="CS6" s="1249" t="str">
        <f>Model!CS7</f>
        <v>FY12</v>
      </c>
      <c r="CT6" s="842"/>
      <c r="CU6" s="842" t="str">
        <f>Model!CU7</f>
        <v>4/12</v>
      </c>
      <c r="CV6" s="842" t="str">
        <f>Model!CV7</f>
        <v>7/12</v>
      </c>
      <c r="CW6" s="842" t="str">
        <f>Model!CW7</f>
        <v>10/12</v>
      </c>
      <c r="CX6" s="842" t="str">
        <f>Model!CX7</f>
        <v>1/13</v>
      </c>
      <c r="CY6" s="1249" t="str">
        <f>Model!CY7</f>
        <v>FY13</v>
      </c>
      <c r="CZ6" s="842"/>
      <c r="DA6" s="842" t="str">
        <f>Model!DA7</f>
        <v>4/13</v>
      </c>
      <c r="DB6" s="842" t="str">
        <f>Model!DB7</f>
        <v>7/13</v>
      </c>
      <c r="DC6" s="842" t="str">
        <f>Model!DC7</f>
        <v>10/13</v>
      </c>
      <c r="DD6" s="842" t="str">
        <f>Model!DD7</f>
        <v>1/14</v>
      </c>
      <c r="DE6" s="1249" t="str">
        <f>Model!DE7</f>
        <v>FY14</v>
      </c>
      <c r="DF6" s="842"/>
      <c r="DG6" s="842" t="str">
        <f>Model!DG7</f>
        <v>4/14</v>
      </c>
      <c r="DH6" s="842" t="str">
        <f>Model!DH7</f>
        <v>7/14</v>
      </c>
      <c r="DI6" s="842" t="str">
        <f>Model!DI7</f>
        <v>10/14</v>
      </c>
      <c r="DJ6" s="842" t="str">
        <f>Model!DJ7</f>
        <v>1/15</v>
      </c>
      <c r="DK6" s="1249" t="str">
        <f>Model!DK7</f>
        <v>FY15</v>
      </c>
      <c r="DL6" s="842"/>
      <c r="DM6" s="842" t="str">
        <f>Model!DM7</f>
        <v>4/15</v>
      </c>
      <c r="DN6" s="842" t="str">
        <f>Model!DN7</f>
        <v>7/15</v>
      </c>
      <c r="DO6" s="842" t="str">
        <f>Model!DO7</f>
        <v>10/15</v>
      </c>
      <c r="DP6" s="842" t="str">
        <f>Model!DP7</f>
        <v>1/16</v>
      </c>
      <c r="DQ6" s="1249" t="str">
        <f>Model!DQ7</f>
        <v>FY16</v>
      </c>
      <c r="DR6" s="842"/>
      <c r="DS6" s="842" t="str">
        <f>Model!DS7</f>
        <v>4/16</v>
      </c>
      <c r="DT6" s="842" t="str">
        <f>Model!DT7</f>
        <v>7/16</v>
      </c>
      <c r="DU6" s="842" t="str">
        <f>Model!DU7</f>
        <v>10/16</v>
      </c>
      <c r="DV6" s="2288" t="str">
        <f>Model!DV7</f>
        <v>1/17</v>
      </c>
      <c r="DW6" s="2288" t="str">
        <f>Model!DW7</f>
        <v>FY17</v>
      </c>
      <c r="DX6" s="2289"/>
      <c r="DY6" s="842" t="str">
        <f>Model!DY7</f>
        <v>4/17</v>
      </c>
      <c r="DZ6" s="842" t="str">
        <f>Model!DZ7</f>
        <v>7/17</v>
      </c>
      <c r="EA6" s="842" t="str">
        <f>Model!EA7</f>
        <v>10/17</v>
      </c>
      <c r="EB6" s="842" t="str">
        <f>Model!EB7</f>
        <v>1/18</v>
      </c>
      <c r="EC6" s="1249" t="str">
        <f>Model!EC7</f>
        <v>FY18</v>
      </c>
      <c r="ED6" s="2289"/>
      <c r="EE6" s="842" t="str">
        <f>Model!EE7</f>
        <v>4/18e</v>
      </c>
      <c r="EF6" s="842" t="str">
        <f>Model!EF7</f>
        <v>7/18e</v>
      </c>
      <c r="EG6" s="842" t="str">
        <f>Model!EG7</f>
        <v>10/18e</v>
      </c>
      <c r="EH6" s="842" t="str">
        <f>Model!EH7</f>
        <v>1/19e</v>
      </c>
      <c r="EI6" s="1249" t="str">
        <f>Model!EI7</f>
        <v>FY19e</v>
      </c>
      <c r="EJ6" s="2289"/>
      <c r="EK6" s="842" t="str">
        <f>Model!EK7</f>
        <v>4/19e</v>
      </c>
      <c r="EL6" s="842" t="str">
        <f>Model!EL7</f>
        <v>7/19e</v>
      </c>
      <c r="EM6" s="842" t="str">
        <f>Model!EM7</f>
        <v>10/19e</v>
      </c>
      <c r="EN6" s="842" t="str">
        <f>Model!EN7</f>
        <v>1/20e</v>
      </c>
      <c r="EO6" s="1249" t="str">
        <f>Model!EO7</f>
        <v>FY20e</v>
      </c>
      <c r="EP6" s="2289"/>
      <c r="EQ6" s="842" t="str">
        <f>Model!EQ7</f>
        <v>4/20e</v>
      </c>
      <c r="ER6" s="842" t="str">
        <f>Model!ER7</f>
        <v>7/20e</v>
      </c>
      <c r="ES6" s="842" t="str">
        <f>Model!ES7</f>
        <v>10/20e</v>
      </c>
      <c r="ET6" s="842" t="str">
        <f>Model!ET7</f>
        <v>1/21e</v>
      </c>
      <c r="EU6" s="1249" t="str">
        <f>Model!EU7</f>
        <v>FY21e</v>
      </c>
      <c r="EV6" s="21"/>
      <c r="EW6" s="21"/>
      <c r="EX6" s="21"/>
      <c r="EY6" s="21"/>
      <c r="EZ6" s="21"/>
      <c r="FA6" s="21"/>
      <c r="FB6" s="21"/>
      <c r="FI6" s="1990"/>
      <c r="FJ6" s="1990"/>
    </row>
    <row r="7" spans="1:166" ht="5.25" customHeight="1">
      <c r="A7" s="2290"/>
      <c r="B7" s="2286"/>
      <c r="C7" s="113"/>
      <c r="D7" s="113"/>
      <c r="E7" s="113"/>
      <c r="F7" s="113"/>
      <c r="G7" s="270"/>
      <c r="H7" s="113"/>
      <c r="I7" s="113"/>
      <c r="J7" s="113"/>
      <c r="K7" s="24"/>
      <c r="L7" s="24"/>
      <c r="M7" s="24"/>
      <c r="N7" s="24"/>
      <c r="O7" s="23"/>
      <c r="P7" s="24"/>
      <c r="Q7" s="24"/>
      <c r="R7" s="24"/>
      <c r="S7" s="24"/>
      <c r="T7" s="24"/>
      <c r="U7" s="23"/>
      <c r="V7" s="24"/>
      <c r="W7" s="24"/>
      <c r="X7" s="24"/>
      <c r="Y7" s="24"/>
      <c r="Z7" s="24"/>
      <c r="AA7" s="23"/>
      <c r="AB7" s="24"/>
      <c r="AC7" s="24"/>
      <c r="AD7" s="24"/>
      <c r="AE7" s="24"/>
      <c r="AF7" s="24"/>
      <c r="AG7" s="23"/>
      <c r="AH7" s="24"/>
      <c r="AI7" s="24"/>
      <c r="AJ7" s="24"/>
      <c r="AK7" s="24"/>
      <c r="AL7" s="24"/>
      <c r="AM7" s="24"/>
      <c r="AN7" s="24"/>
      <c r="AO7" s="24"/>
      <c r="AP7" s="24"/>
      <c r="AQ7" s="164"/>
      <c r="AR7" s="24"/>
      <c r="AS7" s="24"/>
      <c r="AT7" s="24"/>
      <c r="AU7" s="24"/>
      <c r="AV7" s="24"/>
      <c r="AW7" s="164"/>
      <c r="AX7" s="77"/>
      <c r="AY7" s="24"/>
      <c r="AZ7" s="24"/>
      <c r="BA7" s="24"/>
      <c r="BB7" s="24"/>
      <c r="BC7" s="164"/>
      <c r="BD7" s="24"/>
      <c r="BE7" s="147"/>
      <c r="BF7" s="24"/>
      <c r="BG7" s="24"/>
      <c r="BH7" s="24"/>
      <c r="BI7" s="24"/>
      <c r="BJ7" s="24"/>
      <c r="BK7" s="24"/>
      <c r="BL7" s="24"/>
      <c r="BM7" s="24"/>
      <c r="BN7" s="24"/>
      <c r="BO7" s="1250"/>
      <c r="BP7" s="24"/>
      <c r="BQ7" s="24"/>
      <c r="BR7" s="24"/>
      <c r="BS7" s="24"/>
      <c r="BT7" s="24"/>
      <c r="BU7" s="1250"/>
      <c r="BV7" s="24"/>
      <c r="BW7" s="24"/>
      <c r="BX7" s="24"/>
      <c r="BY7" s="24"/>
      <c r="BZ7" s="24"/>
      <c r="CA7" s="1250"/>
      <c r="CB7" s="24"/>
      <c r="CC7" s="24"/>
      <c r="CD7" s="24"/>
      <c r="CE7" s="24"/>
      <c r="CF7" s="24"/>
      <c r="CG7" s="1250"/>
      <c r="CH7" s="24"/>
      <c r="CI7" s="24"/>
      <c r="CJ7" s="24"/>
      <c r="CK7" s="24"/>
      <c r="CL7" s="24"/>
      <c r="CM7" s="1250"/>
      <c r="CN7" s="24"/>
      <c r="CO7" s="24"/>
      <c r="CP7" s="24"/>
      <c r="CQ7" s="24"/>
      <c r="CR7" s="24"/>
      <c r="CS7" s="1250"/>
      <c r="CT7" s="24"/>
      <c r="CU7" s="24"/>
      <c r="CV7" s="24"/>
      <c r="CW7" s="24"/>
      <c r="CX7" s="24"/>
      <c r="CY7" s="1250"/>
      <c r="CZ7" s="24"/>
      <c r="DA7" s="24"/>
      <c r="DB7" s="24"/>
      <c r="DC7" s="24"/>
      <c r="DD7" s="24"/>
      <c r="DE7" s="1250"/>
      <c r="DF7" s="24"/>
      <c r="DG7" s="24"/>
      <c r="DH7" s="24"/>
      <c r="DI7" s="24"/>
      <c r="DJ7" s="24"/>
      <c r="DK7" s="1250"/>
      <c r="DL7" s="24"/>
      <c r="DM7" s="24"/>
      <c r="DN7" s="24"/>
      <c r="DO7" s="24"/>
      <c r="DP7" s="24"/>
      <c r="DQ7" s="1250"/>
      <c r="DR7" s="24"/>
      <c r="DS7" s="24"/>
      <c r="DT7" s="147"/>
      <c r="DU7" s="24"/>
      <c r="DV7" s="2085"/>
      <c r="DW7" s="2128"/>
      <c r="DX7" s="147"/>
      <c r="DY7" s="24"/>
      <c r="DZ7" s="24"/>
      <c r="EA7" s="24"/>
      <c r="EB7" s="24"/>
      <c r="EC7" s="2128"/>
      <c r="ED7" s="147"/>
      <c r="EE7" s="24"/>
      <c r="EF7" s="24"/>
      <c r="EG7" s="24"/>
      <c r="EH7" s="24"/>
      <c r="EI7" s="2128"/>
      <c r="EJ7" s="147"/>
      <c r="EK7" s="24"/>
      <c r="EL7" s="24"/>
      <c r="EM7" s="24"/>
      <c r="EN7" s="24"/>
      <c r="EO7" s="2128"/>
      <c r="EP7" s="147"/>
      <c r="EQ7" s="24"/>
      <c r="ER7" s="24"/>
      <c r="ES7" s="24"/>
      <c r="ET7" s="24"/>
      <c r="EU7" s="2128"/>
      <c r="EV7" s="24"/>
      <c r="EW7" s="24"/>
      <c r="EX7" s="24"/>
      <c r="EY7" s="24"/>
      <c r="EZ7" s="24"/>
      <c r="FA7" s="24"/>
      <c r="FB7" s="24"/>
      <c r="FI7" s="1990"/>
      <c r="FJ7" s="1990"/>
    </row>
    <row r="8" spans="1:166" ht="10.5" customHeight="1">
      <c r="A8" s="60" t="s">
        <v>5567</v>
      </c>
      <c r="B8" s="32"/>
      <c r="C8" s="90"/>
      <c r="D8" s="90"/>
      <c r="E8" s="90"/>
      <c r="F8" s="90"/>
      <c r="G8" s="61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73"/>
      <c r="X8" s="73"/>
      <c r="Y8" s="73"/>
      <c r="Z8" s="73"/>
      <c r="AA8" s="73"/>
      <c r="AB8" s="73"/>
      <c r="AC8" s="96"/>
      <c r="AD8" s="96"/>
      <c r="AE8" s="73"/>
      <c r="AF8" s="65"/>
      <c r="AG8" s="73"/>
      <c r="AH8" s="73"/>
      <c r="AI8" s="96"/>
      <c r="AJ8" s="96"/>
      <c r="AK8" s="73"/>
      <c r="AL8" s="65"/>
      <c r="AM8" s="96"/>
      <c r="AN8" s="96"/>
      <c r="AO8" s="96"/>
      <c r="AP8" s="96"/>
      <c r="AQ8" s="96"/>
      <c r="AR8" s="65"/>
      <c r="AS8" s="96"/>
      <c r="AT8" s="96"/>
      <c r="AU8" s="96"/>
      <c r="AV8" s="73"/>
      <c r="AW8" s="96"/>
      <c r="AX8" s="65"/>
      <c r="AY8" s="73"/>
      <c r="AZ8" s="73"/>
      <c r="BA8" s="73"/>
      <c r="BB8" s="73"/>
      <c r="BC8" s="96"/>
      <c r="BD8" s="65"/>
      <c r="BE8" s="73"/>
      <c r="BF8" s="73"/>
      <c r="BG8" s="73"/>
      <c r="BH8" s="73"/>
      <c r="BI8" s="594"/>
      <c r="BJ8" s="65"/>
      <c r="BK8" s="73"/>
      <c r="BL8" s="73"/>
      <c r="BM8" s="73"/>
      <c r="BN8" s="73"/>
      <c r="BO8" s="1306"/>
      <c r="BP8" s="65"/>
      <c r="BQ8" s="73"/>
      <c r="BR8" s="73"/>
      <c r="BS8" s="73"/>
      <c r="BT8" s="73"/>
      <c r="BU8" s="1306"/>
      <c r="BV8" s="65"/>
      <c r="BW8" s="73"/>
      <c r="BX8" s="73"/>
      <c r="BY8" s="73"/>
      <c r="BZ8" s="73"/>
      <c r="CA8" s="1306"/>
      <c r="CB8" s="65"/>
      <c r="CC8" s="73"/>
      <c r="CD8" s="73"/>
      <c r="CE8" s="73"/>
      <c r="CF8" s="73"/>
      <c r="CG8" s="1306"/>
      <c r="CH8" s="65"/>
      <c r="CI8" s="73"/>
      <c r="CJ8" s="73"/>
      <c r="CK8" s="73"/>
      <c r="CL8" s="73"/>
      <c r="CM8" s="1306"/>
      <c r="CN8" s="65"/>
      <c r="CO8" s="73"/>
      <c r="CP8" s="73"/>
      <c r="CQ8" s="73"/>
      <c r="CR8" s="73"/>
      <c r="CS8" s="1306"/>
      <c r="CT8" s="65"/>
      <c r="CU8" s="73"/>
      <c r="CV8" s="73"/>
      <c r="CW8" s="73"/>
      <c r="CX8" s="73"/>
      <c r="CY8" s="1306"/>
      <c r="CZ8" s="65"/>
      <c r="DA8" s="73"/>
      <c r="DB8" s="73"/>
      <c r="DC8" s="73"/>
      <c r="DD8" s="73"/>
      <c r="DE8" s="1306"/>
      <c r="DF8" s="65"/>
      <c r="DG8" s="73"/>
      <c r="DH8" s="73"/>
      <c r="DI8" s="73"/>
      <c r="DJ8" s="73"/>
      <c r="DK8" s="1306"/>
      <c r="DL8" s="65"/>
      <c r="DM8" s="73"/>
      <c r="DN8" s="73"/>
      <c r="DO8" s="73"/>
      <c r="DP8" s="73"/>
      <c r="DQ8" s="1306"/>
      <c r="DR8" s="65"/>
      <c r="DS8" s="73"/>
      <c r="DT8" s="73"/>
      <c r="DU8" s="73"/>
      <c r="DV8" s="73"/>
      <c r="DW8" s="1306"/>
      <c r="DX8" s="74"/>
      <c r="DY8" s="2127"/>
      <c r="DZ8" s="73"/>
      <c r="EA8" s="73"/>
      <c r="EB8" s="73"/>
      <c r="EC8" s="1306"/>
      <c r="ED8" s="74"/>
      <c r="EE8" s="73"/>
      <c r="EF8" s="73"/>
      <c r="EG8" s="73"/>
      <c r="EH8" s="73"/>
      <c r="EI8" s="1306"/>
      <c r="EJ8" s="74"/>
      <c r="EK8" s="73"/>
      <c r="EL8" s="73"/>
      <c r="EM8" s="73"/>
      <c r="EN8" s="73"/>
      <c r="EO8" s="1306"/>
      <c r="EP8" s="74"/>
      <c r="EQ8" s="73"/>
      <c r="ER8" s="73"/>
      <c r="ES8" s="73"/>
      <c r="ET8" s="73"/>
      <c r="EU8" s="1306"/>
      <c r="EV8" s="74"/>
      <c r="EW8" s="74"/>
      <c r="EX8" s="74"/>
      <c r="EY8" s="74"/>
      <c r="EZ8" s="74"/>
      <c r="FA8" s="74"/>
      <c r="FB8" s="74"/>
      <c r="FI8" s="1990"/>
      <c r="FJ8" s="1990"/>
    </row>
    <row r="9" spans="1:166" ht="10.5" customHeight="1">
      <c r="A9" s="41" t="s">
        <v>1626</v>
      </c>
      <c r="B9" s="32"/>
      <c r="C9" s="61">
        <v>102.94499999999999</v>
      </c>
      <c r="D9" s="61">
        <v>116.803</v>
      </c>
      <c r="E9" s="61">
        <v>87.759</v>
      </c>
      <c r="F9" s="61">
        <v>64.813999999999993</v>
      </c>
      <c r="G9" s="61">
        <f>F9</f>
        <v>64.813999999999993</v>
      </c>
      <c r="H9" s="90"/>
      <c r="I9" s="61">
        <v>49.189</v>
      </c>
      <c r="J9" s="61">
        <v>37.165999999999997</v>
      </c>
      <c r="K9" s="61">
        <v>43.024000000000001</v>
      </c>
      <c r="L9" s="61">
        <v>96.088999999999999</v>
      </c>
      <c r="M9" s="61">
        <v>96.088999999999999</v>
      </c>
      <c r="N9" s="61"/>
      <c r="O9" s="62">
        <v>124.78400000000001</v>
      </c>
      <c r="P9" s="62">
        <v>43.402000000000001</v>
      </c>
      <c r="Q9" s="62">
        <v>76.64</v>
      </c>
      <c r="R9" s="61">
        <v>258.94099999999997</v>
      </c>
      <c r="S9" s="61">
        <f t="shared" ref="S9:S16" si="0">R9</f>
        <v>258.94099999999997</v>
      </c>
      <c r="T9" s="61"/>
      <c r="U9" s="61">
        <v>193.333</v>
      </c>
      <c r="V9" s="61">
        <v>172.53899999999999</v>
      </c>
      <c r="W9" s="62">
        <v>183.19399999999999</v>
      </c>
      <c r="X9" s="61">
        <v>108.64100000000001</v>
      </c>
      <c r="Y9" s="61">
        <f t="shared" ref="Y9:Y16" si="1">X9</f>
        <v>108.64100000000001</v>
      </c>
      <c r="Z9" s="61"/>
      <c r="AA9" s="62">
        <v>105.363</v>
      </c>
      <c r="AB9" s="62">
        <v>89.599000000000004</v>
      </c>
      <c r="AC9" s="62">
        <v>95.9</v>
      </c>
      <c r="AD9" s="62">
        <v>116.39100000000001</v>
      </c>
      <c r="AE9" s="61">
        <f t="shared" ref="AE9:AE16" si="2">AD9</f>
        <v>116.39100000000001</v>
      </c>
      <c r="AF9" s="61"/>
      <c r="AG9" s="62">
        <v>143.02099999999999</v>
      </c>
      <c r="AH9" s="62">
        <v>128.03</v>
      </c>
      <c r="AI9" s="62">
        <v>130.72900000000001</v>
      </c>
      <c r="AJ9" s="62">
        <v>157.68700000000001</v>
      </c>
      <c r="AK9" s="61">
        <f t="shared" ref="AK9:AK16" si="3">AJ9</f>
        <v>157.68700000000001</v>
      </c>
      <c r="AL9" s="61"/>
      <c r="AM9" s="62">
        <v>137.62700000000001</v>
      </c>
      <c r="AN9" s="62">
        <v>144.83500000000001</v>
      </c>
      <c r="AO9" s="62">
        <v>164.44</v>
      </c>
      <c r="AP9" s="62">
        <v>186.37700000000001</v>
      </c>
      <c r="AQ9" s="61">
        <f t="shared" ref="AQ9:AQ16" si="4">AP9</f>
        <v>186.37700000000001</v>
      </c>
      <c r="AR9" s="61"/>
      <c r="AS9" s="62">
        <v>179.44300000000001</v>
      </c>
      <c r="AT9" s="62">
        <v>219.42400000000001</v>
      </c>
      <c r="AU9" s="62">
        <v>234.71</v>
      </c>
      <c r="AV9" s="62">
        <v>282.24900000000002</v>
      </c>
      <c r="AW9" s="61">
        <f t="shared" ref="AW9:AW16" si="5">AV9</f>
        <v>282.24900000000002</v>
      </c>
      <c r="AX9" s="61"/>
      <c r="AY9" s="62">
        <v>304.10000000000002</v>
      </c>
      <c r="AZ9" s="62">
        <v>346</v>
      </c>
      <c r="BA9" s="62">
        <v>377.1</v>
      </c>
      <c r="BB9" s="62">
        <v>517.70000000000005</v>
      </c>
      <c r="BC9" s="61">
        <f t="shared" ref="BC9:BC16" si="6">BB9</f>
        <v>517.70000000000005</v>
      </c>
      <c r="BD9" s="61"/>
      <c r="BE9" s="61">
        <v>518.1</v>
      </c>
      <c r="BF9" s="61">
        <v>478.7</v>
      </c>
      <c r="BG9" s="61">
        <v>390.9</v>
      </c>
      <c r="BH9" s="61">
        <v>287.2</v>
      </c>
      <c r="BI9" s="61">
        <f t="shared" ref="BI9:BI16" si="7">BH9</f>
        <v>287.2</v>
      </c>
      <c r="BJ9" s="61"/>
      <c r="BK9" s="61">
        <v>257.3</v>
      </c>
      <c r="BL9" s="61">
        <v>439.1</v>
      </c>
      <c r="BM9" s="61">
        <v>514.9</v>
      </c>
      <c r="BN9" s="61">
        <v>665.9</v>
      </c>
      <c r="BO9" s="1125">
        <f t="shared" ref="BO9:BO16" si="8">BN9</f>
        <v>665.9</v>
      </c>
      <c r="BP9" s="61"/>
      <c r="BQ9" s="61">
        <v>762.3</v>
      </c>
      <c r="BR9" s="61">
        <v>774.9</v>
      </c>
      <c r="BS9" s="61">
        <v>828.3</v>
      </c>
      <c r="BT9" s="61">
        <v>917.9</v>
      </c>
      <c r="BU9" s="1125">
        <f t="shared" ref="BU9:BU16" si="9">BT9</f>
        <v>917.9</v>
      </c>
      <c r="BV9" s="61"/>
      <c r="BW9" s="61">
        <v>909.1</v>
      </c>
      <c r="BX9" s="61">
        <v>929.6</v>
      </c>
      <c r="BY9" s="61">
        <v>796.4</v>
      </c>
      <c r="BZ9" s="61">
        <v>917.6</v>
      </c>
      <c r="CA9" s="1125">
        <f t="shared" ref="CA9:CA16" si="10">BZ9</f>
        <v>917.6</v>
      </c>
      <c r="CB9" s="61"/>
      <c r="CC9" s="61">
        <v>880.5</v>
      </c>
      <c r="CD9" s="61">
        <v>668.5</v>
      </c>
      <c r="CE9" s="61">
        <v>698.5</v>
      </c>
      <c r="CF9" s="61">
        <v>838.7</v>
      </c>
      <c r="CG9" s="1125">
        <f t="shared" ref="CG9:CG16" si="11">CF9</f>
        <v>838.7</v>
      </c>
      <c r="CH9" s="61"/>
      <c r="CI9" s="61">
        <v>938.1</v>
      </c>
      <c r="CJ9" s="61">
        <v>850</v>
      </c>
      <c r="CK9" s="61">
        <v>904.3</v>
      </c>
      <c r="CL9" s="61">
        <v>1075.0999999999999</v>
      </c>
      <c r="CM9" s="1125">
        <f t="shared" ref="CM9:CM16" si="12">CL9</f>
        <v>1075.0999999999999</v>
      </c>
      <c r="CN9" s="61"/>
      <c r="CO9" s="61">
        <v>1091.4000000000001</v>
      </c>
      <c r="CP9" s="61">
        <v>1131.5</v>
      </c>
      <c r="CQ9" s="61">
        <v>1103.3</v>
      </c>
      <c r="CR9" s="61">
        <v>1156.9000000000001</v>
      </c>
      <c r="CS9" s="1125">
        <f t="shared" ref="CS9:CS16" si="13">CR9</f>
        <v>1156.9000000000001</v>
      </c>
      <c r="CT9" s="61"/>
      <c r="CU9" s="61">
        <v>1074.5</v>
      </c>
      <c r="CV9" s="61">
        <v>930.2</v>
      </c>
      <c r="CW9" s="61">
        <v>827</v>
      </c>
      <c r="CX9" s="61">
        <v>1612.2</v>
      </c>
      <c r="CY9" s="1125">
        <f t="shared" ref="CY9:CY16" si="14">CX9</f>
        <v>1612.2</v>
      </c>
      <c r="CZ9" s="61"/>
      <c r="DA9" s="61">
        <v>1655.8</v>
      </c>
      <c r="DB9" s="61">
        <v>1401</v>
      </c>
      <c r="DC9" s="61">
        <v>1473.4</v>
      </c>
      <c r="DD9" s="61">
        <v>1853</v>
      </c>
      <c r="DE9" s="1125">
        <f t="shared" ref="DE9:DE16" si="15">DD9</f>
        <v>1853</v>
      </c>
      <c r="DF9" s="61"/>
      <c r="DG9" s="61">
        <v>1609.6</v>
      </c>
      <c r="DH9" s="61">
        <v>1323.1</v>
      </c>
      <c r="DI9" s="61">
        <v>1345</v>
      </c>
      <c r="DJ9" s="61">
        <v>1410.6</v>
      </c>
      <c r="DK9" s="1125">
        <f t="shared" ref="DK9:DK16" si="16">DJ9</f>
        <v>1410.6</v>
      </c>
      <c r="DL9" s="61"/>
      <c r="DM9" s="61">
        <v>1182.7</v>
      </c>
      <c r="DN9" s="61">
        <v>1473.1</v>
      </c>
      <c r="DO9" s="61">
        <v>1337.5</v>
      </c>
      <c r="DP9" s="61">
        <v>1353</v>
      </c>
      <c r="DQ9" s="1125">
        <f t="shared" ref="DQ9:DQ16" si="17">DP9</f>
        <v>1353</v>
      </c>
      <c r="DR9" s="61"/>
      <c r="DS9" s="61">
        <v>1223.4000000000001</v>
      </c>
      <c r="DT9" s="61">
        <v>1467.3</v>
      </c>
      <c r="DU9" s="61">
        <v>1436.5</v>
      </c>
      <c r="DV9" s="61">
        <v>1213.0999999999999</v>
      </c>
      <c r="DW9" s="1125">
        <f t="shared" ref="DW9:DW16" si="18">DV9</f>
        <v>1213.0999999999999</v>
      </c>
      <c r="DX9" s="45"/>
      <c r="DY9" s="61">
        <v>1340.2</v>
      </c>
      <c r="DZ9" s="61">
        <v>1174.0999999999999</v>
      </c>
      <c r="EA9" s="61">
        <v>1025.2</v>
      </c>
      <c r="EB9" s="61">
        <v>1078</v>
      </c>
      <c r="EC9" s="1125">
        <f t="shared" ref="EC9:EC16" si="19">EB9</f>
        <v>1078</v>
      </c>
      <c r="ED9" s="45"/>
      <c r="EE9" s="61">
        <f>CF!EE70</f>
        <v>962.55048680050049</v>
      </c>
      <c r="EF9" s="61">
        <f>CF!EF70</f>
        <v>834.72444962333657</v>
      </c>
      <c r="EG9" s="61">
        <f>CF!EG70</f>
        <v>721.75403330329448</v>
      </c>
      <c r="EH9" s="61">
        <f>CF!EH70</f>
        <v>922.909719801964</v>
      </c>
      <c r="EI9" s="1125">
        <f t="shared" ref="EI9:EI16" si="20">EH9</f>
        <v>922.909719801964</v>
      </c>
      <c r="EJ9" s="45"/>
      <c r="EK9" s="61">
        <f>CF!EK70</f>
        <v>754.86152733184178</v>
      </c>
      <c r="EL9" s="61">
        <f>CF!EL70</f>
        <v>768.169122735408</v>
      </c>
      <c r="EM9" s="61">
        <f>CF!EM70</f>
        <v>804.74456360030194</v>
      </c>
      <c r="EN9" s="61">
        <f>CF!EN70</f>
        <v>1259.005091444742</v>
      </c>
      <c r="EO9" s="1125">
        <f t="shared" ref="EO9:EO16" si="21">EN9</f>
        <v>1259.005091444742</v>
      </c>
      <c r="EP9" s="45"/>
      <c r="EQ9" s="61">
        <f>CF!EQ70</f>
        <v>1237.8724015236335</v>
      </c>
      <c r="ER9" s="61">
        <f>CF!ER70</f>
        <v>1303.0079736910207</v>
      </c>
      <c r="ES9" s="61">
        <f>CF!ES70</f>
        <v>1361.6000680668703</v>
      </c>
      <c r="ET9" s="61">
        <f>CF!ET70</f>
        <v>1786.8765939376035</v>
      </c>
      <c r="EU9" s="1125">
        <f t="shared" ref="EU9:EU16" si="22">ET9</f>
        <v>1786.8765939376035</v>
      </c>
      <c r="EV9" s="45"/>
      <c r="EW9" s="45"/>
      <c r="EX9" s="45"/>
      <c r="EY9" s="45"/>
      <c r="EZ9" s="45"/>
      <c r="FA9" s="45"/>
      <c r="FB9" s="45"/>
      <c r="FI9" s="1990"/>
      <c r="FJ9" s="1990"/>
    </row>
    <row r="10" spans="1:166" ht="10.5" customHeight="1">
      <c r="A10" s="41" t="s">
        <v>5190</v>
      </c>
      <c r="B10" s="32"/>
      <c r="C10" s="61">
        <v>71.05</v>
      </c>
      <c r="D10" s="61">
        <v>76.427999999999997</v>
      </c>
      <c r="E10" s="61">
        <v>72.841999999999999</v>
      </c>
      <c r="F10" s="61">
        <v>117.971</v>
      </c>
      <c r="G10" s="61">
        <f t="shared" ref="G10:G15" si="23">F10</f>
        <v>117.971</v>
      </c>
      <c r="H10" s="90"/>
      <c r="I10" s="61">
        <v>140.31299999999999</v>
      </c>
      <c r="J10" s="61">
        <v>187.965</v>
      </c>
      <c r="K10" s="61">
        <v>169.95599999999999</v>
      </c>
      <c r="L10" s="61">
        <v>100.399</v>
      </c>
      <c r="M10" s="61">
        <v>100.399</v>
      </c>
      <c r="N10" s="61"/>
      <c r="O10" s="62">
        <v>145.232</v>
      </c>
      <c r="P10" s="62">
        <v>249.99799999999999</v>
      </c>
      <c r="Q10" s="62">
        <v>261.03199999999998</v>
      </c>
      <c r="R10" s="61">
        <v>102.756</v>
      </c>
      <c r="S10" s="61">
        <f t="shared" si="0"/>
        <v>102.756</v>
      </c>
      <c r="T10" s="61"/>
      <c r="U10" s="61">
        <v>233.47800000000001</v>
      </c>
      <c r="V10" s="61">
        <v>263.75799999999998</v>
      </c>
      <c r="W10" s="62">
        <v>210.458</v>
      </c>
      <c r="X10" s="61">
        <v>250.29</v>
      </c>
      <c r="Y10" s="61">
        <f t="shared" si="1"/>
        <v>250.29</v>
      </c>
      <c r="Z10" s="61"/>
      <c r="AA10" s="62">
        <v>138.965</v>
      </c>
      <c r="AB10" s="62">
        <v>159.43600000000001</v>
      </c>
      <c r="AC10" s="62">
        <v>147.00299999999999</v>
      </c>
      <c r="AD10" s="62">
        <v>142.96100000000001</v>
      </c>
      <c r="AE10" s="61">
        <f t="shared" si="2"/>
        <v>142.96100000000001</v>
      </c>
      <c r="AF10" s="61"/>
      <c r="AG10" s="62">
        <v>82.397999999999996</v>
      </c>
      <c r="AH10" s="62">
        <v>146.76900000000001</v>
      </c>
      <c r="AI10" s="62">
        <v>121.801</v>
      </c>
      <c r="AJ10" s="62">
        <v>180.124</v>
      </c>
      <c r="AK10" s="61">
        <f t="shared" si="3"/>
        <v>180.124</v>
      </c>
      <c r="AL10" s="61"/>
      <c r="AM10" s="62">
        <v>120.206</v>
      </c>
      <c r="AN10" s="62">
        <v>113.181</v>
      </c>
      <c r="AO10" s="62">
        <v>65.185000000000002</v>
      </c>
      <c r="AP10" s="62">
        <v>60.643000000000001</v>
      </c>
      <c r="AQ10" s="61">
        <f t="shared" si="4"/>
        <v>60.643000000000001</v>
      </c>
      <c r="AR10" s="61"/>
      <c r="AS10" s="62">
        <v>59.046999999999997</v>
      </c>
      <c r="AT10" s="62">
        <v>42.93</v>
      </c>
      <c r="AU10" s="62">
        <v>66.125</v>
      </c>
      <c r="AV10" s="62">
        <v>81.275000000000006</v>
      </c>
      <c r="AW10" s="61">
        <f t="shared" si="5"/>
        <v>81.275000000000006</v>
      </c>
      <c r="AX10" s="61"/>
      <c r="AY10" s="62">
        <v>215.2</v>
      </c>
      <c r="AZ10" s="62">
        <v>225.7</v>
      </c>
      <c r="BA10" s="62">
        <v>140.80000000000001</v>
      </c>
      <c r="BB10" s="62">
        <v>15</v>
      </c>
      <c r="BC10" s="61">
        <f t="shared" si="6"/>
        <v>15</v>
      </c>
      <c r="BD10" s="61"/>
      <c r="BE10" s="61">
        <v>19.7</v>
      </c>
      <c r="BF10" s="61">
        <v>42.8</v>
      </c>
      <c r="BG10" s="61">
        <v>157.1</v>
      </c>
      <c r="BH10" s="61">
        <v>90.3</v>
      </c>
      <c r="BI10" s="61">
        <f t="shared" si="7"/>
        <v>90.3</v>
      </c>
      <c r="BJ10" s="61"/>
      <c r="BK10" s="61">
        <v>128.5</v>
      </c>
      <c r="BL10" s="62">
        <v>29.1</v>
      </c>
      <c r="BM10" s="61">
        <v>82.4</v>
      </c>
      <c r="BN10" s="61">
        <v>112</v>
      </c>
      <c r="BO10" s="1125">
        <f t="shared" si="8"/>
        <v>112</v>
      </c>
      <c r="BP10" s="61"/>
      <c r="BQ10" s="61">
        <v>201.7</v>
      </c>
      <c r="BR10" s="61">
        <v>52</v>
      </c>
      <c r="BS10" s="61">
        <v>44.3</v>
      </c>
      <c r="BT10" s="61">
        <v>31.4</v>
      </c>
      <c r="BU10" s="1125">
        <f t="shared" si="9"/>
        <v>31.4</v>
      </c>
      <c r="BV10" s="61"/>
      <c r="BW10" s="61">
        <v>32.9</v>
      </c>
      <c r="BX10" s="61">
        <v>32.6</v>
      </c>
      <c r="BY10" s="61">
        <v>136.80000000000001</v>
      </c>
      <c r="BZ10" s="61">
        <v>63.5</v>
      </c>
      <c r="CA10" s="1125">
        <f t="shared" si="10"/>
        <v>63.5</v>
      </c>
      <c r="CB10" s="61"/>
      <c r="CC10" s="61">
        <v>78.400000000000006</v>
      </c>
      <c r="CD10" s="61">
        <v>267.89999999999998</v>
      </c>
      <c r="CE10" s="61">
        <v>263.10000000000002</v>
      </c>
      <c r="CF10" s="61">
        <v>161.9</v>
      </c>
      <c r="CG10" s="1125">
        <f t="shared" si="11"/>
        <v>161.9</v>
      </c>
      <c r="CH10" s="61"/>
      <c r="CI10" s="61">
        <v>121.7</v>
      </c>
      <c r="CJ10" s="61">
        <v>236.6</v>
      </c>
      <c r="CK10" s="61">
        <v>232.5</v>
      </c>
      <c r="CL10" s="61">
        <v>199.2</v>
      </c>
      <c r="CM10" s="1125">
        <f t="shared" si="12"/>
        <v>199.2</v>
      </c>
      <c r="CN10" s="61"/>
      <c r="CO10" s="61">
        <v>258.39999999999998</v>
      </c>
      <c r="CP10" s="61">
        <v>241.8</v>
      </c>
      <c r="CQ10" s="61">
        <v>240.3</v>
      </c>
      <c r="CR10" s="61">
        <v>254.4</v>
      </c>
      <c r="CS10" s="1125">
        <f t="shared" si="13"/>
        <v>254.4</v>
      </c>
      <c r="CT10" s="61"/>
      <c r="CU10" s="61">
        <v>437.5</v>
      </c>
      <c r="CV10" s="61">
        <v>500.5</v>
      </c>
      <c r="CW10" s="61">
        <v>502.1</v>
      </c>
      <c r="CX10" s="61">
        <v>342.1</v>
      </c>
      <c r="CY10" s="1125">
        <f t="shared" si="14"/>
        <v>342.1</v>
      </c>
      <c r="CZ10" s="61"/>
      <c r="DA10" s="61">
        <v>432.1</v>
      </c>
      <c r="DB10" s="61">
        <v>596.9</v>
      </c>
      <c r="DC10" s="61">
        <v>587.1</v>
      </c>
      <c r="DD10" s="61">
        <v>414.1</v>
      </c>
      <c r="DE10" s="1125">
        <f t="shared" si="15"/>
        <v>414.1</v>
      </c>
      <c r="DF10" s="61"/>
      <c r="DG10" s="61">
        <v>510.1</v>
      </c>
      <c r="DH10" s="61">
        <v>583.29999999999995</v>
      </c>
      <c r="DI10" s="61">
        <v>556.4</v>
      </c>
      <c r="DJ10" s="61">
        <v>615.79999999999995</v>
      </c>
      <c r="DK10" s="1125">
        <f t="shared" si="16"/>
        <v>615.79999999999995</v>
      </c>
      <c r="DL10" s="61"/>
      <c r="DM10" s="61">
        <v>648.20000000000005</v>
      </c>
      <c r="DN10" s="61">
        <v>916.8</v>
      </c>
      <c r="DO10" s="61">
        <v>946.8</v>
      </c>
      <c r="DP10" s="61">
        <v>897.9</v>
      </c>
      <c r="DQ10" s="1125">
        <f t="shared" si="17"/>
        <v>897.9</v>
      </c>
      <c r="DR10" s="61"/>
      <c r="DS10" s="61">
        <v>1043.9000000000001</v>
      </c>
      <c r="DT10" s="61">
        <v>597.6</v>
      </c>
      <c r="DU10" s="61">
        <v>532.4</v>
      </c>
      <c r="DV10" s="61">
        <v>686.8</v>
      </c>
      <c r="DW10" s="1125">
        <f t="shared" si="18"/>
        <v>686.8</v>
      </c>
      <c r="DX10" s="45"/>
      <c r="DY10" s="61">
        <v>471.1</v>
      </c>
      <c r="DZ10" s="61">
        <v>533.6</v>
      </c>
      <c r="EA10" s="61">
        <v>428.7</v>
      </c>
      <c r="EB10" s="61">
        <v>245.2</v>
      </c>
      <c r="EC10" s="1125">
        <f t="shared" si="19"/>
        <v>245.2</v>
      </c>
      <c r="ED10" s="45"/>
      <c r="EE10" s="63">
        <f>EB10</f>
        <v>245.2</v>
      </c>
      <c r="EF10" s="63">
        <f>EE10</f>
        <v>245.2</v>
      </c>
      <c r="EG10" s="63">
        <f>EF10</f>
        <v>245.2</v>
      </c>
      <c r="EH10" s="63">
        <f>EG10</f>
        <v>245.2</v>
      </c>
      <c r="EI10" s="1125">
        <f t="shared" si="20"/>
        <v>245.2</v>
      </c>
      <c r="EJ10" s="45"/>
      <c r="EK10" s="63">
        <f>EH10</f>
        <v>245.2</v>
      </c>
      <c r="EL10" s="63">
        <f>EK10</f>
        <v>245.2</v>
      </c>
      <c r="EM10" s="63">
        <f>EL10</f>
        <v>245.2</v>
      </c>
      <c r="EN10" s="63">
        <f>EM10</f>
        <v>245.2</v>
      </c>
      <c r="EO10" s="1125">
        <f t="shared" si="21"/>
        <v>245.2</v>
      </c>
      <c r="EP10" s="45"/>
      <c r="EQ10" s="63">
        <f>EN10</f>
        <v>245.2</v>
      </c>
      <c r="ER10" s="63">
        <f>EQ10</f>
        <v>245.2</v>
      </c>
      <c r="ES10" s="63">
        <f>ER10</f>
        <v>245.2</v>
      </c>
      <c r="ET10" s="63">
        <f>ES10</f>
        <v>245.2</v>
      </c>
      <c r="EU10" s="1125">
        <f t="shared" si="22"/>
        <v>245.2</v>
      </c>
      <c r="EV10" s="45"/>
      <c r="EW10" s="45"/>
      <c r="EX10" s="45"/>
      <c r="EY10" s="45"/>
      <c r="EZ10" s="45"/>
      <c r="FA10" s="45"/>
      <c r="FB10" s="45"/>
      <c r="FI10" s="1990"/>
      <c r="FJ10" s="1990"/>
    </row>
    <row r="11" spans="1:166" ht="10.5" customHeight="1">
      <c r="A11" s="41" t="s">
        <v>5245</v>
      </c>
      <c r="B11" s="32"/>
      <c r="C11" s="61">
        <v>107.038</v>
      </c>
      <c r="D11" s="61">
        <v>87.873000000000005</v>
      </c>
      <c r="E11" s="61">
        <v>86.384</v>
      </c>
      <c r="F11" s="61">
        <v>68.576999999999998</v>
      </c>
      <c r="G11" s="61">
        <f t="shared" si="23"/>
        <v>68.576999999999998</v>
      </c>
      <c r="H11" s="90"/>
      <c r="I11" s="61">
        <v>73.394000000000005</v>
      </c>
      <c r="J11" s="61">
        <v>85.858999999999995</v>
      </c>
      <c r="K11" s="61">
        <v>78.344999999999999</v>
      </c>
      <c r="L11" s="61">
        <v>60.856000000000002</v>
      </c>
      <c r="M11" s="61">
        <v>60.856000000000002</v>
      </c>
      <c r="N11" s="61"/>
      <c r="O11" s="62">
        <v>64.578999999999994</v>
      </c>
      <c r="P11" s="62">
        <v>84.078999999999994</v>
      </c>
      <c r="Q11" s="62">
        <v>89.602999999999994</v>
      </c>
      <c r="R11" s="61">
        <v>114.901</v>
      </c>
      <c r="S11" s="61">
        <f t="shared" si="0"/>
        <v>114.901</v>
      </c>
      <c r="T11" s="61"/>
      <c r="U11" s="61">
        <v>127.49299999999999</v>
      </c>
      <c r="V11" s="61">
        <v>133.07</v>
      </c>
      <c r="W11" s="62">
        <v>123.38200000000001</v>
      </c>
      <c r="X11" s="61">
        <v>110.839</v>
      </c>
      <c r="Y11" s="61">
        <f t="shared" si="1"/>
        <v>110.839</v>
      </c>
      <c r="Z11" s="61"/>
      <c r="AA11" s="62">
        <v>120.456</v>
      </c>
      <c r="AB11" s="62">
        <v>154.76499999999999</v>
      </c>
      <c r="AC11" s="62">
        <v>150.495</v>
      </c>
      <c r="AD11" s="62">
        <v>157.422</v>
      </c>
      <c r="AE11" s="61">
        <f t="shared" si="2"/>
        <v>157.422</v>
      </c>
      <c r="AF11" s="61"/>
      <c r="AG11" s="62">
        <v>150.477</v>
      </c>
      <c r="AH11" s="62">
        <v>159.36699999999999</v>
      </c>
      <c r="AI11" s="62">
        <v>141.43799999999999</v>
      </c>
      <c r="AJ11" s="62">
        <v>140.465</v>
      </c>
      <c r="AK11" s="61">
        <f t="shared" si="3"/>
        <v>140.465</v>
      </c>
      <c r="AL11" s="61"/>
      <c r="AM11" s="62">
        <v>125.65</v>
      </c>
      <c r="AN11" s="62">
        <v>129.03899999999999</v>
      </c>
      <c r="AO11" s="62">
        <v>129.00700000000001</v>
      </c>
      <c r="AP11" s="62">
        <v>132.803</v>
      </c>
      <c r="AQ11" s="61">
        <f t="shared" si="4"/>
        <v>132.803</v>
      </c>
      <c r="AR11" s="61"/>
      <c r="AS11" s="62">
        <v>133.596</v>
      </c>
      <c r="AT11" s="62">
        <v>138.018</v>
      </c>
      <c r="AU11" s="62">
        <v>131.62299999999999</v>
      </c>
      <c r="AV11" s="62">
        <v>166.816</v>
      </c>
      <c r="AW11" s="61">
        <f t="shared" si="5"/>
        <v>166.816</v>
      </c>
      <c r="AX11" s="61"/>
      <c r="AY11" s="62">
        <v>142.6</v>
      </c>
      <c r="AZ11" s="62">
        <v>156.30000000000001</v>
      </c>
      <c r="BA11" s="62">
        <v>168</v>
      </c>
      <c r="BB11" s="62">
        <v>196.8</v>
      </c>
      <c r="BC11" s="61">
        <f t="shared" si="6"/>
        <v>196.8</v>
      </c>
      <c r="BD11" s="61"/>
      <c r="BE11" s="61">
        <v>190.2</v>
      </c>
      <c r="BF11" s="61">
        <v>202.4</v>
      </c>
      <c r="BG11" s="61">
        <v>201.8</v>
      </c>
      <c r="BH11" s="61">
        <v>261.39999999999998</v>
      </c>
      <c r="BI11" s="61">
        <f t="shared" si="7"/>
        <v>261.39999999999998</v>
      </c>
      <c r="BJ11" s="61"/>
      <c r="BK11" s="61">
        <v>276.39999999999998</v>
      </c>
      <c r="BL11" s="61">
        <v>258.7</v>
      </c>
      <c r="BM11" s="61">
        <v>256</v>
      </c>
      <c r="BN11" s="61">
        <v>301.3</v>
      </c>
      <c r="BO11" s="1125">
        <f t="shared" si="8"/>
        <v>301.3</v>
      </c>
      <c r="BP11" s="61"/>
      <c r="BQ11" s="61">
        <v>260.39999999999998</v>
      </c>
      <c r="BR11" s="61">
        <v>278.39999999999998</v>
      </c>
      <c r="BS11" s="61">
        <v>299.2</v>
      </c>
      <c r="BT11" s="61">
        <v>386.5</v>
      </c>
      <c r="BU11" s="1125">
        <f t="shared" si="9"/>
        <v>386.5</v>
      </c>
      <c r="BV11" s="61"/>
      <c r="BW11" s="61">
        <v>333.5</v>
      </c>
      <c r="BX11" s="61">
        <v>325.2</v>
      </c>
      <c r="BY11" s="61">
        <v>291.39999999999998</v>
      </c>
      <c r="BZ11" s="61">
        <v>316.5</v>
      </c>
      <c r="CA11" s="1125">
        <f t="shared" si="10"/>
        <v>316.5</v>
      </c>
      <c r="CB11" s="61"/>
      <c r="CC11" s="61">
        <v>228.6</v>
      </c>
      <c r="CD11" s="61">
        <v>223.9</v>
      </c>
      <c r="CE11" s="61">
        <v>215.7</v>
      </c>
      <c r="CF11" s="61">
        <v>277.39999999999998</v>
      </c>
      <c r="CG11" s="1125">
        <f t="shared" si="11"/>
        <v>277.39999999999998</v>
      </c>
      <c r="CH11" s="61"/>
      <c r="CI11" s="61">
        <v>218.1</v>
      </c>
      <c r="CJ11" s="61">
        <v>231</v>
      </c>
      <c r="CK11" s="61">
        <v>240.1</v>
      </c>
      <c r="CL11" s="61">
        <v>318.39999999999998</v>
      </c>
      <c r="CM11" s="1125">
        <f t="shared" si="12"/>
        <v>318.39999999999998</v>
      </c>
      <c r="CN11" s="61"/>
      <c r="CO11" s="61">
        <v>271</v>
      </c>
      <c r="CP11" s="61">
        <v>297</v>
      </c>
      <c r="CQ11" s="61">
        <v>259.2</v>
      </c>
      <c r="CR11" s="61">
        <v>395.1</v>
      </c>
      <c r="CS11" s="1125">
        <f t="shared" si="13"/>
        <v>395.1</v>
      </c>
      <c r="CT11" s="61"/>
      <c r="CU11" s="61">
        <v>300.60000000000002</v>
      </c>
      <c r="CV11" s="61">
        <v>361.4</v>
      </c>
      <c r="CW11" s="61">
        <v>293.3</v>
      </c>
      <c r="CX11" s="61">
        <v>495.1</v>
      </c>
      <c r="CY11" s="1125">
        <f t="shared" si="14"/>
        <v>495.1</v>
      </c>
      <c r="CZ11" s="61"/>
      <c r="DA11" s="61">
        <v>285.8</v>
      </c>
      <c r="DB11" s="61">
        <v>303.89999999999998</v>
      </c>
      <c r="DC11" s="61">
        <v>304.10000000000002</v>
      </c>
      <c r="DD11" s="61">
        <v>423.7</v>
      </c>
      <c r="DE11" s="1125">
        <f t="shared" si="15"/>
        <v>423.7</v>
      </c>
      <c r="DF11" s="61"/>
      <c r="DG11" s="61">
        <v>323.3</v>
      </c>
      <c r="DH11" s="61">
        <v>365.3</v>
      </c>
      <c r="DI11" s="61">
        <v>375.7</v>
      </c>
      <c r="DJ11" s="61">
        <v>458.9</v>
      </c>
      <c r="DK11" s="1125">
        <f t="shared" si="16"/>
        <v>458.9</v>
      </c>
      <c r="DL11" s="61"/>
      <c r="DM11" s="61">
        <v>316</v>
      </c>
      <c r="DN11" s="61">
        <v>394.1</v>
      </c>
      <c r="DO11" s="61">
        <v>362.3</v>
      </c>
      <c r="DP11" s="61">
        <v>653.6</v>
      </c>
      <c r="DQ11" s="1125">
        <f t="shared" si="17"/>
        <v>653.6</v>
      </c>
      <c r="DR11" s="61"/>
      <c r="DS11" s="61">
        <v>256.39999999999998</v>
      </c>
      <c r="DT11" s="61">
        <v>306.89999999999998</v>
      </c>
      <c r="DU11" s="61">
        <v>259.8</v>
      </c>
      <c r="DV11" s="61">
        <v>452.3</v>
      </c>
      <c r="DW11" s="1125">
        <f t="shared" si="18"/>
        <v>452.3</v>
      </c>
      <c r="DX11" s="45"/>
      <c r="DY11" s="61">
        <v>231.5</v>
      </c>
      <c r="DZ11" s="61">
        <v>265.60000000000002</v>
      </c>
      <c r="EA11" s="61">
        <v>307.8</v>
      </c>
      <c r="EB11" s="61">
        <v>438.2</v>
      </c>
      <c r="EC11" s="1125">
        <f t="shared" si="19"/>
        <v>438.2</v>
      </c>
      <c r="ED11" s="45"/>
      <c r="EE11" s="61">
        <f>(EE56*Model!EE$31)/90</f>
        <v>268.98918213590423</v>
      </c>
      <c r="EF11" s="61">
        <f>(EF56*Model!EF$31)/90</f>
        <v>286.03690072126977</v>
      </c>
      <c r="EG11" s="61">
        <f>(EG56*Model!EG$31)/90</f>
        <v>349.68251665092191</v>
      </c>
      <c r="EH11" s="61">
        <f>(EH56*Model!EH$31)/90</f>
        <v>461.68028181762895</v>
      </c>
      <c r="EI11" s="1125">
        <f t="shared" si="20"/>
        <v>461.68028181762895</v>
      </c>
      <c r="EJ11" s="45"/>
      <c r="EK11" s="61">
        <f>(EK56*Model!EK$31)/90</f>
        <v>333.74508019577468</v>
      </c>
      <c r="EL11" s="61">
        <f>(EL56*Model!EL$31)/90</f>
        <v>433.97863235032872</v>
      </c>
      <c r="EM11" s="61">
        <f>(EM56*Model!EM$31)/90</f>
        <v>476.66239948488374</v>
      </c>
      <c r="EN11" s="61">
        <f>(EN56*Model!EN$31)/90</f>
        <v>559.99286842562742</v>
      </c>
      <c r="EO11" s="1125">
        <f t="shared" si="21"/>
        <v>559.99286842562742</v>
      </c>
      <c r="EP11" s="45"/>
      <c r="EQ11" s="61">
        <f>(EQ56*Model!EQ$31)/90</f>
        <v>371.18752564753265</v>
      </c>
      <c r="ER11" s="61">
        <f>(ER56*Model!ER$31)/90</f>
        <v>512.81215135116975</v>
      </c>
      <c r="ES11" s="61">
        <f>(ES56*Model!ES$31)/90</f>
        <v>585.80194073586881</v>
      </c>
      <c r="ET11" s="61">
        <f>(ET56*Model!ET$31)/90</f>
        <v>773.4822553532174</v>
      </c>
      <c r="EU11" s="1125">
        <f t="shared" si="22"/>
        <v>773.4822553532174</v>
      </c>
      <c r="EV11" s="45"/>
      <c r="EW11" s="45"/>
      <c r="EX11" s="45"/>
      <c r="EY11" s="45"/>
      <c r="EZ11" s="45"/>
      <c r="FA11" s="45"/>
      <c r="FB11" s="45"/>
      <c r="FI11" s="1990"/>
      <c r="FJ11" s="1990"/>
    </row>
    <row r="12" spans="1:166" ht="10.5" customHeight="1">
      <c r="A12" s="41" t="s">
        <v>5650</v>
      </c>
      <c r="B12" s="32"/>
      <c r="C12" s="61">
        <v>9.9</v>
      </c>
      <c r="D12" s="61">
        <v>10.978999999999999</v>
      </c>
      <c r="E12" s="61">
        <v>9.0120000000000005</v>
      </c>
      <c r="F12" s="61">
        <v>7.34</v>
      </c>
      <c r="G12" s="61">
        <f t="shared" si="23"/>
        <v>7.34</v>
      </c>
      <c r="H12" s="90"/>
      <c r="I12" s="61">
        <v>7.1520000000000001</v>
      </c>
      <c r="J12" s="61">
        <v>6.548</v>
      </c>
      <c r="K12" s="61">
        <v>6.3970000000000002</v>
      </c>
      <c r="L12" s="61">
        <v>7.351</v>
      </c>
      <c r="M12" s="61">
        <v>7.351</v>
      </c>
      <c r="N12" s="61"/>
      <c r="O12" s="62">
        <v>5.4390000000000001</v>
      </c>
      <c r="P12" s="62">
        <v>6.3579999999999997</v>
      </c>
      <c r="Q12" s="62">
        <v>6.6669999999999998</v>
      </c>
      <c r="R12" s="61">
        <v>23.169</v>
      </c>
      <c r="S12" s="61">
        <f t="shared" si="0"/>
        <v>23.169</v>
      </c>
      <c r="T12" s="61"/>
      <c r="U12" s="61">
        <v>22.593</v>
      </c>
      <c r="V12" s="61">
        <v>23.492999999999999</v>
      </c>
      <c r="W12" s="62">
        <v>23.100999999999999</v>
      </c>
      <c r="X12" s="61">
        <v>19.263999999999999</v>
      </c>
      <c r="Y12" s="61">
        <f t="shared" si="1"/>
        <v>19.263999999999999</v>
      </c>
      <c r="Z12" s="61"/>
      <c r="AA12" s="62">
        <v>16.402000000000001</v>
      </c>
      <c r="AB12" s="62">
        <v>15.28</v>
      </c>
      <c r="AC12" s="62">
        <v>18.07</v>
      </c>
      <c r="AD12" s="62">
        <v>17.254999999999999</v>
      </c>
      <c r="AE12" s="61">
        <f t="shared" si="2"/>
        <v>17.254999999999999</v>
      </c>
      <c r="AF12" s="61"/>
      <c r="AG12" s="62">
        <v>17.114000000000001</v>
      </c>
      <c r="AH12" s="62">
        <v>20.567</v>
      </c>
      <c r="AI12" s="62">
        <v>20.788</v>
      </c>
      <c r="AJ12" s="62">
        <v>17.998999999999999</v>
      </c>
      <c r="AK12" s="61">
        <f t="shared" si="3"/>
        <v>17.998999999999999</v>
      </c>
      <c r="AL12" s="61"/>
      <c r="AM12" s="62">
        <v>16.995000000000001</v>
      </c>
      <c r="AN12" s="62">
        <v>17.643000000000001</v>
      </c>
      <c r="AO12" s="62">
        <v>15.51</v>
      </c>
      <c r="AP12" s="62">
        <v>12.284000000000001</v>
      </c>
      <c r="AQ12" s="61">
        <f t="shared" si="4"/>
        <v>12.284000000000001</v>
      </c>
      <c r="AR12" s="61"/>
      <c r="AS12" s="62">
        <v>8.8490000000000002</v>
      </c>
      <c r="AT12" s="62">
        <v>11.606</v>
      </c>
      <c r="AU12" s="62">
        <v>11.773</v>
      </c>
      <c r="AV12" s="62">
        <v>17.364999999999998</v>
      </c>
      <c r="AW12" s="61">
        <f t="shared" si="5"/>
        <v>17.364999999999998</v>
      </c>
      <c r="AX12" s="61"/>
      <c r="AY12" s="62">
        <v>16.7</v>
      </c>
      <c r="AZ12" s="62">
        <v>16.3</v>
      </c>
      <c r="BA12" s="62">
        <v>12.5</v>
      </c>
      <c r="BB12" s="62">
        <v>12.5</v>
      </c>
      <c r="BC12" s="61">
        <f t="shared" si="6"/>
        <v>12.5</v>
      </c>
      <c r="BD12" s="61"/>
      <c r="BE12" s="61">
        <v>14.7</v>
      </c>
      <c r="BF12" s="61">
        <v>14.3</v>
      </c>
      <c r="BG12" s="61">
        <v>15.1</v>
      </c>
      <c r="BH12" s="61">
        <v>14.2</v>
      </c>
      <c r="BI12" s="61">
        <f>BH12</f>
        <v>14.2</v>
      </c>
      <c r="BJ12" s="61"/>
      <c r="BK12" s="61">
        <v>13.2</v>
      </c>
      <c r="BL12" s="61">
        <v>7</v>
      </c>
      <c r="BM12" s="61">
        <v>7.5</v>
      </c>
      <c r="BN12" s="61">
        <v>5.5</v>
      </c>
      <c r="BO12" s="1125">
        <f>BN12</f>
        <v>5.5</v>
      </c>
      <c r="BP12" s="61"/>
      <c r="BQ12" s="61">
        <v>0</v>
      </c>
      <c r="BR12" s="61">
        <v>0</v>
      </c>
      <c r="BS12" s="61">
        <v>0</v>
      </c>
      <c r="BT12" s="61">
        <v>0</v>
      </c>
      <c r="BU12" s="1125">
        <f>BT12</f>
        <v>0</v>
      </c>
      <c r="BV12" s="61"/>
      <c r="BW12" s="61">
        <v>0</v>
      </c>
      <c r="BX12" s="61">
        <v>0</v>
      </c>
      <c r="BY12" s="61">
        <v>0</v>
      </c>
      <c r="BZ12" s="61">
        <v>0</v>
      </c>
      <c r="CA12" s="1125">
        <f>BZ12</f>
        <v>0</v>
      </c>
      <c r="CB12" s="61"/>
      <c r="CC12" s="61">
        <v>0</v>
      </c>
      <c r="CD12" s="61">
        <v>0</v>
      </c>
      <c r="CE12" s="61">
        <v>0</v>
      </c>
      <c r="CF12" s="61">
        <v>0</v>
      </c>
      <c r="CG12" s="1125">
        <f>CF12</f>
        <v>0</v>
      </c>
      <c r="CH12" s="61"/>
      <c r="CI12" s="61">
        <v>0</v>
      </c>
      <c r="CJ12" s="61">
        <v>0</v>
      </c>
      <c r="CK12" s="61">
        <v>0</v>
      </c>
      <c r="CL12" s="61">
        <v>0</v>
      </c>
      <c r="CM12" s="1125">
        <f>CL12</f>
        <v>0</v>
      </c>
      <c r="CN12" s="61"/>
      <c r="CO12" s="61">
        <v>0</v>
      </c>
      <c r="CP12" s="61">
        <v>0</v>
      </c>
      <c r="CQ12" s="61">
        <v>0</v>
      </c>
      <c r="CR12" s="61">
        <v>0</v>
      </c>
      <c r="CS12" s="1125">
        <f>CR12</f>
        <v>0</v>
      </c>
      <c r="CT12" s="61"/>
      <c r="CU12" s="61">
        <v>0</v>
      </c>
      <c r="CV12" s="61">
        <v>0</v>
      </c>
      <c r="CW12" s="61">
        <v>0</v>
      </c>
      <c r="CX12" s="61">
        <v>0</v>
      </c>
      <c r="CY12" s="1125">
        <f>CX12</f>
        <v>0</v>
      </c>
      <c r="CZ12" s="61"/>
      <c r="DA12" s="61">
        <v>0</v>
      </c>
      <c r="DB12" s="61">
        <v>0</v>
      </c>
      <c r="DC12" s="61">
        <v>0</v>
      </c>
      <c r="DD12" s="61">
        <v>0</v>
      </c>
      <c r="DE12" s="1125">
        <f>DD12</f>
        <v>0</v>
      </c>
      <c r="DF12" s="61"/>
      <c r="DG12" s="61">
        <v>0</v>
      </c>
      <c r="DH12" s="61">
        <v>0</v>
      </c>
      <c r="DI12" s="61">
        <v>0</v>
      </c>
      <c r="DJ12" s="61">
        <v>0</v>
      </c>
      <c r="DK12" s="1125">
        <f>DJ12</f>
        <v>0</v>
      </c>
      <c r="DL12" s="61"/>
      <c r="DM12" s="61">
        <v>0</v>
      </c>
      <c r="DN12" s="61">
        <f>Model!DN263*DN91</f>
        <v>0</v>
      </c>
      <c r="DO12" s="61">
        <v>0</v>
      </c>
      <c r="DP12" s="61">
        <v>0</v>
      </c>
      <c r="DQ12" s="1125">
        <f>DP12</f>
        <v>0</v>
      </c>
      <c r="DR12" s="61"/>
      <c r="DS12" s="61">
        <v>0</v>
      </c>
      <c r="DT12" s="61">
        <v>0</v>
      </c>
      <c r="DU12" s="61">
        <v>0</v>
      </c>
      <c r="DV12" s="61">
        <v>0</v>
      </c>
      <c r="DW12" s="1125">
        <f t="shared" si="18"/>
        <v>0</v>
      </c>
      <c r="DX12" s="45"/>
      <c r="DY12" s="61">
        <v>0</v>
      </c>
      <c r="DZ12" s="61">
        <v>0</v>
      </c>
      <c r="EA12" s="61">
        <v>0</v>
      </c>
      <c r="EB12" s="61">
        <v>0</v>
      </c>
      <c r="EC12" s="1125">
        <f t="shared" si="19"/>
        <v>0</v>
      </c>
      <c r="ED12" s="45"/>
      <c r="EE12" s="61">
        <f>Model!EE263*EE91</f>
        <v>0</v>
      </c>
      <c r="EF12" s="61">
        <f>Model!EF263*EF91</f>
        <v>0</v>
      </c>
      <c r="EG12" s="61">
        <f>Model!EG263*EG91</f>
        <v>0</v>
      </c>
      <c r="EH12" s="61">
        <f>Model!EH263*EH91</f>
        <v>0</v>
      </c>
      <c r="EI12" s="1125">
        <f t="shared" si="20"/>
        <v>0</v>
      </c>
      <c r="EJ12" s="45"/>
      <c r="EK12" s="61">
        <f>Model!EK263*EK91</f>
        <v>0</v>
      </c>
      <c r="EL12" s="61">
        <f>Model!EL263*EL91</f>
        <v>0</v>
      </c>
      <c r="EM12" s="61">
        <f>Model!EM263*EM91</f>
        <v>0</v>
      </c>
      <c r="EN12" s="61">
        <f>Model!EN263*EN91</f>
        <v>0</v>
      </c>
      <c r="EO12" s="1125">
        <f t="shared" si="21"/>
        <v>0</v>
      </c>
      <c r="EP12" s="45"/>
      <c r="EQ12" s="61">
        <f>Model!EQ263*EQ91</f>
        <v>0</v>
      </c>
      <c r="ER12" s="61">
        <f>Model!ER263*ER91</f>
        <v>0</v>
      </c>
      <c r="ES12" s="61">
        <f>Model!ES263*ES91</f>
        <v>0</v>
      </c>
      <c r="ET12" s="61">
        <f>Model!ET263*ET91</f>
        <v>0</v>
      </c>
      <c r="EU12" s="1125">
        <f t="shared" si="22"/>
        <v>0</v>
      </c>
      <c r="EV12" s="45"/>
      <c r="EW12" s="45"/>
      <c r="EX12" s="45"/>
      <c r="EY12" s="45"/>
      <c r="EZ12" s="45"/>
      <c r="FA12" s="45"/>
      <c r="FB12" s="45"/>
      <c r="FI12" s="1990"/>
      <c r="FJ12" s="1990"/>
    </row>
    <row r="13" spans="1:166" ht="10.5" customHeight="1">
      <c r="A13" s="41" t="s">
        <v>5165</v>
      </c>
      <c r="B13" s="32"/>
      <c r="C13" s="61">
        <v>34.616</v>
      </c>
      <c r="D13" s="61">
        <v>30.047999999999998</v>
      </c>
      <c r="E13" s="61">
        <v>26.791</v>
      </c>
      <c r="F13" s="61">
        <v>35.616</v>
      </c>
      <c r="G13" s="61">
        <f t="shared" si="23"/>
        <v>35.616</v>
      </c>
      <c r="H13" s="90"/>
      <c r="I13" s="61">
        <v>35.375999999999998</v>
      </c>
      <c r="J13" s="61">
        <v>36.682000000000002</v>
      </c>
      <c r="K13" s="61">
        <v>37.978000000000002</v>
      </c>
      <c r="L13" s="61">
        <v>27.577000000000002</v>
      </c>
      <c r="M13" s="61">
        <v>27.577000000000002</v>
      </c>
      <c r="N13" s="61"/>
      <c r="O13" s="62">
        <v>43.283999999999999</v>
      </c>
      <c r="P13" s="62">
        <v>28.486000000000001</v>
      </c>
      <c r="Q13" s="62">
        <v>25.295999999999999</v>
      </c>
      <c r="R13" s="61">
        <v>20.323</v>
      </c>
      <c r="S13" s="61">
        <f t="shared" si="0"/>
        <v>20.323</v>
      </c>
      <c r="T13" s="61"/>
      <c r="U13" s="61">
        <v>20.794</v>
      </c>
      <c r="V13" s="61">
        <v>24.721</v>
      </c>
      <c r="W13" s="62">
        <v>28.253</v>
      </c>
      <c r="X13" s="61">
        <v>27.67</v>
      </c>
      <c r="Y13" s="61">
        <f t="shared" si="1"/>
        <v>27.67</v>
      </c>
      <c r="Z13" s="61"/>
      <c r="AA13" s="62">
        <v>28.286000000000001</v>
      </c>
      <c r="AB13" s="62">
        <v>30.574000000000002</v>
      </c>
      <c r="AC13" s="62">
        <v>25.558</v>
      </c>
      <c r="AD13" s="62">
        <v>26.696000000000002</v>
      </c>
      <c r="AE13" s="61">
        <f t="shared" si="2"/>
        <v>26.696000000000002</v>
      </c>
      <c r="AF13" s="61"/>
      <c r="AG13" s="62">
        <v>26.622</v>
      </c>
      <c r="AH13" s="62">
        <v>29.134</v>
      </c>
      <c r="AI13" s="62">
        <v>29.693999999999999</v>
      </c>
      <c r="AJ13" s="62">
        <v>31.477</v>
      </c>
      <c r="AK13" s="61">
        <f t="shared" si="3"/>
        <v>31.477</v>
      </c>
      <c r="AL13" s="61"/>
      <c r="AM13" s="62">
        <v>30.099</v>
      </c>
      <c r="AN13" s="62">
        <v>31.442</v>
      </c>
      <c r="AO13" s="62">
        <v>33.027000000000001</v>
      </c>
      <c r="AP13" s="62">
        <v>28.922999999999998</v>
      </c>
      <c r="AQ13" s="61">
        <f t="shared" si="4"/>
        <v>28.922999999999998</v>
      </c>
      <c r="AR13" s="61"/>
      <c r="AS13" s="62">
        <v>26.579000000000001</v>
      </c>
      <c r="AT13" s="62">
        <v>28.344999999999999</v>
      </c>
      <c r="AU13" s="62">
        <v>28.614999999999998</v>
      </c>
      <c r="AV13" s="62">
        <v>25.41</v>
      </c>
      <c r="AW13" s="61">
        <f t="shared" si="5"/>
        <v>25.41</v>
      </c>
      <c r="AX13" s="61"/>
      <c r="AY13" s="62">
        <v>24.2</v>
      </c>
      <c r="AZ13" s="62">
        <v>21.5</v>
      </c>
      <c r="BA13" s="62">
        <v>57</v>
      </c>
      <c r="BB13" s="62">
        <v>14.3</v>
      </c>
      <c r="BC13" s="61">
        <f t="shared" si="6"/>
        <v>14.3</v>
      </c>
      <c r="BD13" s="61"/>
      <c r="BE13" s="61">
        <v>25.6</v>
      </c>
      <c r="BF13" s="61">
        <v>43.3</v>
      </c>
      <c r="BG13" s="61">
        <v>68.900000000000006</v>
      </c>
      <c r="BH13" s="61">
        <v>64.400000000000006</v>
      </c>
      <c r="BI13" s="61">
        <f>BH13</f>
        <v>64.400000000000006</v>
      </c>
      <c r="BJ13" s="61"/>
      <c r="BK13" s="61">
        <v>85.9</v>
      </c>
      <c r="BL13" s="61">
        <v>76.8</v>
      </c>
      <c r="BM13" s="61">
        <v>80.3</v>
      </c>
      <c r="BN13" s="61">
        <v>78.099999999999994</v>
      </c>
      <c r="BO13" s="1125">
        <f>BN13</f>
        <v>78.099999999999994</v>
      </c>
      <c r="BP13" s="61"/>
      <c r="BQ13" s="61">
        <v>116.8</v>
      </c>
      <c r="BR13" s="61">
        <v>112.6</v>
      </c>
      <c r="BS13" s="61">
        <v>99.8</v>
      </c>
      <c r="BT13" s="61">
        <v>98.1</v>
      </c>
      <c r="BU13" s="1125">
        <f>BT13</f>
        <v>98.1</v>
      </c>
      <c r="BV13" s="61"/>
      <c r="BW13" s="61">
        <v>96.7</v>
      </c>
      <c r="BX13" s="61">
        <v>58.2</v>
      </c>
      <c r="BY13" s="61">
        <v>34.6</v>
      </c>
      <c r="BZ13" s="61">
        <v>31.1</v>
      </c>
      <c r="CA13" s="1125">
        <f>BZ13</f>
        <v>31.1</v>
      </c>
      <c r="CB13" s="61"/>
      <c r="CC13" s="61">
        <v>47</v>
      </c>
      <c r="CD13" s="61">
        <v>48.3</v>
      </c>
      <c r="CE13" s="61">
        <v>49.8</v>
      </c>
      <c r="CF13" s="61">
        <v>44.2</v>
      </c>
      <c r="CG13" s="1125">
        <f>CF13</f>
        <v>44.2</v>
      </c>
      <c r="CH13" s="61"/>
      <c r="CI13" s="61">
        <v>43.8</v>
      </c>
      <c r="CJ13" s="61">
        <v>43.6</v>
      </c>
      <c r="CK13" s="61">
        <v>44.7</v>
      </c>
      <c r="CL13" s="61">
        <v>56.8</v>
      </c>
      <c r="CM13" s="1125">
        <f>CL13</f>
        <v>56.8</v>
      </c>
      <c r="CN13" s="61"/>
      <c r="CO13" s="61">
        <v>39.1</v>
      </c>
      <c r="CP13" s="61">
        <v>35.299999999999997</v>
      </c>
      <c r="CQ13" s="61">
        <v>34.200000000000003</v>
      </c>
      <c r="CR13" s="61">
        <v>30.1</v>
      </c>
      <c r="CS13" s="1125">
        <f>CR13</f>
        <v>30.1</v>
      </c>
      <c r="CT13" s="61"/>
      <c r="CU13" s="61">
        <v>38.700000000000003</v>
      </c>
      <c r="CV13" s="61">
        <v>44.8</v>
      </c>
      <c r="CW13" s="61">
        <v>48.4</v>
      </c>
      <c r="CX13" s="61">
        <v>42.2</v>
      </c>
      <c r="CY13" s="1125">
        <f>CX13</f>
        <v>42.2</v>
      </c>
      <c r="CZ13" s="61"/>
      <c r="DA13" s="61">
        <v>56</v>
      </c>
      <c r="DB13" s="61">
        <v>51.6</v>
      </c>
      <c r="DC13" s="61">
        <v>53.5</v>
      </c>
      <c r="DD13" s="61">
        <v>56.8</v>
      </c>
      <c r="DE13" s="1125">
        <f>DD13</f>
        <v>56.8</v>
      </c>
      <c r="DF13" s="61"/>
      <c r="DG13" s="61">
        <v>54.5</v>
      </c>
      <c r="DH13" s="61">
        <v>76.3</v>
      </c>
      <c r="DI13" s="61">
        <v>80.7</v>
      </c>
      <c r="DJ13" s="61">
        <v>85.1</v>
      </c>
      <c r="DK13" s="1125">
        <f>DJ13</f>
        <v>85.1</v>
      </c>
      <c r="DL13" s="61"/>
      <c r="DM13" s="61">
        <v>81.2</v>
      </c>
      <c r="DN13" s="61">
        <v>10</v>
      </c>
      <c r="DO13" s="61">
        <v>10.199999999999999</v>
      </c>
      <c r="DP13" s="61">
        <v>0</v>
      </c>
      <c r="DQ13" s="1125">
        <f>DP13</f>
        <v>0</v>
      </c>
      <c r="DR13" s="61"/>
      <c r="DS13" s="61">
        <f>DP13</f>
        <v>0</v>
      </c>
      <c r="DT13" s="61">
        <v>0</v>
      </c>
      <c r="DU13" s="61">
        <v>0</v>
      </c>
      <c r="DV13" s="61">
        <v>0</v>
      </c>
      <c r="DW13" s="1125">
        <f t="shared" si="18"/>
        <v>0</v>
      </c>
      <c r="DX13" s="45"/>
      <c r="DY13" s="61">
        <f>DV13</f>
        <v>0</v>
      </c>
      <c r="DZ13" s="61">
        <v>0</v>
      </c>
      <c r="EA13" s="61">
        <v>0</v>
      </c>
      <c r="EB13" s="61">
        <v>0</v>
      </c>
      <c r="EC13" s="1125">
        <f t="shared" si="19"/>
        <v>0</v>
      </c>
      <c r="ED13" s="45"/>
      <c r="EE13" s="63">
        <f>EB13</f>
        <v>0</v>
      </c>
      <c r="EF13" s="63">
        <f>EE13</f>
        <v>0</v>
      </c>
      <c r="EG13" s="63">
        <f>EF13</f>
        <v>0</v>
      </c>
      <c r="EH13" s="63">
        <f>EG13</f>
        <v>0</v>
      </c>
      <c r="EI13" s="1125">
        <f t="shared" si="20"/>
        <v>0</v>
      </c>
      <c r="EJ13" s="45"/>
      <c r="EK13" s="63">
        <f>EH13</f>
        <v>0</v>
      </c>
      <c r="EL13" s="63">
        <f>EK13</f>
        <v>0</v>
      </c>
      <c r="EM13" s="63">
        <f>EL13</f>
        <v>0</v>
      </c>
      <c r="EN13" s="63">
        <f>EM13</f>
        <v>0</v>
      </c>
      <c r="EO13" s="1125">
        <f t="shared" si="21"/>
        <v>0</v>
      </c>
      <c r="EP13" s="45"/>
      <c r="EQ13" s="63">
        <f>EN13</f>
        <v>0</v>
      </c>
      <c r="ER13" s="63">
        <f>EQ13</f>
        <v>0</v>
      </c>
      <c r="ES13" s="63">
        <f>ER13</f>
        <v>0</v>
      </c>
      <c r="ET13" s="63">
        <f>ES13</f>
        <v>0</v>
      </c>
      <c r="EU13" s="1125">
        <f t="shared" si="22"/>
        <v>0</v>
      </c>
      <c r="EV13" s="45"/>
      <c r="EW13" s="45"/>
      <c r="EX13" s="45"/>
      <c r="EY13" s="45"/>
      <c r="EZ13" s="45"/>
      <c r="FA13" s="45"/>
      <c r="FB13" s="45"/>
      <c r="FI13" s="1990"/>
      <c r="FJ13" s="1990"/>
    </row>
    <row r="14" spans="1:166" ht="10.5" customHeight="1">
      <c r="A14" s="41" t="s">
        <v>6300</v>
      </c>
      <c r="B14" s="32"/>
      <c r="C14" s="45"/>
      <c r="D14" s="45"/>
      <c r="E14" s="45"/>
      <c r="F14" s="45"/>
      <c r="G14" s="61">
        <f t="shared" si="23"/>
        <v>0</v>
      </c>
      <c r="H14" s="90"/>
      <c r="I14" s="45"/>
      <c r="J14" s="45"/>
      <c r="K14" s="45"/>
      <c r="L14" s="45"/>
      <c r="M14" s="45"/>
      <c r="N14" s="61"/>
      <c r="O14" s="62">
        <v>0</v>
      </c>
      <c r="P14" s="62">
        <v>0</v>
      </c>
      <c r="Q14" s="62">
        <v>0</v>
      </c>
      <c r="R14" s="61">
        <v>0</v>
      </c>
      <c r="S14" s="61">
        <f t="shared" si="0"/>
        <v>0</v>
      </c>
      <c r="T14" s="61"/>
      <c r="U14" s="61">
        <v>0</v>
      </c>
      <c r="V14" s="61">
        <v>0</v>
      </c>
      <c r="W14" s="62">
        <v>0</v>
      </c>
      <c r="X14" s="61">
        <v>0</v>
      </c>
      <c r="Y14" s="61">
        <f t="shared" si="1"/>
        <v>0</v>
      </c>
      <c r="Z14" s="61"/>
      <c r="AA14" s="61">
        <v>0</v>
      </c>
      <c r="AB14" s="61">
        <v>0</v>
      </c>
      <c r="AC14" s="62">
        <v>0</v>
      </c>
      <c r="AD14" s="61">
        <v>0</v>
      </c>
      <c r="AE14" s="61">
        <f t="shared" si="2"/>
        <v>0</v>
      </c>
      <c r="AF14" s="61"/>
      <c r="AG14" s="62">
        <v>0</v>
      </c>
      <c r="AH14" s="62">
        <v>0</v>
      </c>
      <c r="AI14" s="62">
        <v>0</v>
      </c>
      <c r="AJ14" s="62">
        <v>0</v>
      </c>
      <c r="AK14" s="61">
        <f t="shared" si="3"/>
        <v>0</v>
      </c>
      <c r="AL14" s="61"/>
      <c r="AM14" s="62">
        <v>0</v>
      </c>
      <c r="AN14" s="62">
        <v>0</v>
      </c>
      <c r="AO14" s="62">
        <v>0</v>
      </c>
      <c r="AP14" s="62">
        <v>0</v>
      </c>
      <c r="AQ14" s="61">
        <f t="shared" si="4"/>
        <v>0</v>
      </c>
      <c r="AR14" s="61"/>
      <c r="AS14" s="62">
        <v>0</v>
      </c>
      <c r="AT14" s="62">
        <v>24.128</v>
      </c>
      <c r="AU14" s="62">
        <v>24.128</v>
      </c>
      <c r="AV14" s="62">
        <v>0</v>
      </c>
      <c r="AW14" s="61">
        <f t="shared" si="5"/>
        <v>0</v>
      </c>
      <c r="AX14" s="61"/>
      <c r="AY14" s="62">
        <v>0</v>
      </c>
      <c r="AZ14" s="62">
        <v>0</v>
      </c>
      <c r="BA14" s="62">
        <v>0</v>
      </c>
      <c r="BB14" s="62">
        <v>0</v>
      </c>
      <c r="BC14" s="61">
        <f t="shared" si="6"/>
        <v>0</v>
      </c>
      <c r="BD14" s="61"/>
      <c r="BE14" s="61">
        <v>0</v>
      </c>
      <c r="BF14" s="61">
        <v>0</v>
      </c>
      <c r="BG14" s="61">
        <v>0</v>
      </c>
      <c r="BH14" s="61">
        <v>0</v>
      </c>
      <c r="BI14" s="61">
        <f>BH14</f>
        <v>0</v>
      </c>
      <c r="BJ14" s="61"/>
      <c r="BK14" s="61">
        <v>0</v>
      </c>
      <c r="BL14" s="61">
        <v>0</v>
      </c>
      <c r="BM14" s="61">
        <v>0</v>
      </c>
      <c r="BN14" s="61">
        <v>0</v>
      </c>
      <c r="BO14" s="1125">
        <f>BN14</f>
        <v>0</v>
      </c>
      <c r="BP14" s="61"/>
      <c r="BQ14" s="61">
        <v>0</v>
      </c>
      <c r="BR14" s="61">
        <v>0</v>
      </c>
      <c r="BS14" s="61">
        <v>0</v>
      </c>
      <c r="BT14" s="61">
        <v>0</v>
      </c>
      <c r="BU14" s="1125">
        <f>BT14</f>
        <v>0</v>
      </c>
      <c r="BV14" s="61"/>
      <c r="BW14" s="61">
        <v>0</v>
      </c>
      <c r="BX14" s="61">
        <v>0</v>
      </c>
      <c r="BY14" s="61">
        <v>0</v>
      </c>
      <c r="BZ14" s="61">
        <v>0</v>
      </c>
      <c r="CA14" s="1125">
        <f>BZ14</f>
        <v>0</v>
      </c>
      <c r="CB14" s="61"/>
      <c r="CC14" s="61">
        <v>0</v>
      </c>
      <c r="CD14" s="61">
        <v>0</v>
      </c>
      <c r="CE14" s="61">
        <v>0</v>
      </c>
      <c r="CF14" s="61">
        <v>0</v>
      </c>
      <c r="CG14" s="1125">
        <f>CF14</f>
        <v>0</v>
      </c>
      <c r="CH14" s="61"/>
      <c r="CI14" s="61">
        <v>0</v>
      </c>
      <c r="CJ14" s="61">
        <v>0</v>
      </c>
      <c r="CK14" s="61">
        <v>0</v>
      </c>
      <c r="CL14" s="61">
        <v>0</v>
      </c>
      <c r="CM14" s="1125">
        <f>CL14</f>
        <v>0</v>
      </c>
      <c r="CN14" s="61"/>
      <c r="CO14" s="61">
        <v>0</v>
      </c>
      <c r="CP14" s="61">
        <v>0</v>
      </c>
      <c r="CQ14" s="61">
        <v>0</v>
      </c>
      <c r="CR14" s="61">
        <v>0</v>
      </c>
      <c r="CS14" s="1125">
        <f>CR14</f>
        <v>0</v>
      </c>
      <c r="CT14" s="61"/>
      <c r="CU14" s="61">
        <v>0</v>
      </c>
      <c r="CV14" s="61">
        <v>0</v>
      </c>
      <c r="CW14" s="61">
        <v>0</v>
      </c>
      <c r="CX14" s="61">
        <v>0</v>
      </c>
      <c r="CY14" s="1125">
        <f>CX14</f>
        <v>0</v>
      </c>
      <c r="CZ14" s="61"/>
      <c r="DA14" s="61">
        <v>0</v>
      </c>
      <c r="DB14" s="61">
        <v>0</v>
      </c>
      <c r="DC14" s="61">
        <v>0</v>
      </c>
      <c r="DD14" s="61">
        <v>0</v>
      </c>
      <c r="DE14" s="1125">
        <f>DD14</f>
        <v>0</v>
      </c>
      <c r="DF14" s="61"/>
      <c r="DG14" s="61">
        <v>0</v>
      </c>
      <c r="DH14" s="61">
        <v>0</v>
      </c>
      <c r="DI14" s="61">
        <v>0</v>
      </c>
      <c r="DJ14" s="61">
        <v>0</v>
      </c>
      <c r="DK14" s="1125">
        <f>DJ14</f>
        <v>0</v>
      </c>
      <c r="DL14" s="61"/>
      <c r="DM14" s="61">
        <v>0</v>
      </c>
      <c r="DN14" s="61">
        <v>0</v>
      </c>
      <c r="DO14" s="61">
        <v>0</v>
      </c>
      <c r="DP14" s="61">
        <v>0</v>
      </c>
      <c r="DQ14" s="1125">
        <f>DP14</f>
        <v>0</v>
      </c>
      <c r="DR14" s="61"/>
      <c r="DS14" s="61">
        <v>0</v>
      </c>
      <c r="DT14" s="61">
        <v>0</v>
      </c>
      <c r="DU14" s="61">
        <v>0</v>
      </c>
      <c r="DV14" s="61">
        <v>0</v>
      </c>
      <c r="DW14" s="1125">
        <f t="shared" si="18"/>
        <v>0</v>
      </c>
      <c r="DX14" s="45"/>
      <c r="DY14" s="61">
        <v>0</v>
      </c>
      <c r="DZ14" s="61">
        <v>0</v>
      </c>
      <c r="EA14" s="61">
        <v>0</v>
      </c>
      <c r="EB14" s="61">
        <v>0</v>
      </c>
      <c r="EC14" s="1125">
        <f t="shared" si="19"/>
        <v>0</v>
      </c>
      <c r="ED14" s="45"/>
      <c r="EE14" s="63">
        <v>0</v>
      </c>
      <c r="EF14" s="63">
        <v>0</v>
      </c>
      <c r="EG14" s="63">
        <v>0</v>
      </c>
      <c r="EH14" s="63">
        <v>0</v>
      </c>
      <c r="EI14" s="1125">
        <f t="shared" si="20"/>
        <v>0</v>
      </c>
      <c r="EJ14" s="45"/>
      <c r="EK14" s="63">
        <v>0</v>
      </c>
      <c r="EL14" s="63">
        <v>0</v>
      </c>
      <c r="EM14" s="63">
        <v>0</v>
      </c>
      <c r="EN14" s="63">
        <v>0</v>
      </c>
      <c r="EO14" s="1125">
        <f t="shared" si="21"/>
        <v>0</v>
      </c>
      <c r="EP14" s="45"/>
      <c r="EQ14" s="63">
        <v>0</v>
      </c>
      <c r="ER14" s="63">
        <v>0</v>
      </c>
      <c r="ES14" s="63">
        <v>0</v>
      </c>
      <c r="ET14" s="63">
        <v>0</v>
      </c>
      <c r="EU14" s="1125">
        <f t="shared" si="22"/>
        <v>0</v>
      </c>
      <c r="EV14" s="45"/>
      <c r="EW14" s="45"/>
      <c r="EX14" s="45"/>
      <c r="EY14" s="45"/>
      <c r="EZ14" s="45"/>
      <c r="FA14" s="45"/>
      <c r="FB14" s="45"/>
      <c r="FI14" s="1990"/>
      <c r="FJ14" s="1990"/>
    </row>
    <row r="15" spans="1:166" ht="10.5" customHeight="1">
      <c r="A15" s="41" t="s">
        <v>334</v>
      </c>
      <c r="B15" s="32"/>
      <c r="C15" s="61">
        <v>16.521000000000001</v>
      </c>
      <c r="D15" s="61">
        <v>18.47</v>
      </c>
      <c r="E15" s="61">
        <v>16.085999999999999</v>
      </c>
      <c r="F15" s="61">
        <v>16.21</v>
      </c>
      <c r="G15" s="61">
        <f t="shared" si="23"/>
        <v>16.21</v>
      </c>
      <c r="H15" s="90"/>
      <c r="I15" s="61">
        <v>19.733000000000001</v>
      </c>
      <c r="J15" s="61">
        <v>17.728000000000002</v>
      </c>
      <c r="K15" s="61">
        <v>15.967000000000001</v>
      </c>
      <c r="L15" s="61">
        <v>15.43</v>
      </c>
      <c r="M15" s="61">
        <v>15.43</v>
      </c>
      <c r="N15" s="61"/>
      <c r="O15" s="62">
        <v>13.24</v>
      </c>
      <c r="P15" s="62">
        <v>17.050999999999998</v>
      </c>
      <c r="Q15" s="62">
        <v>19.841999999999999</v>
      </c>
      <c r="R15" s="61">
        <v>24.324999999999999</v>
      </c>
      <c r="S15" s="61">
        <f t="shared" si="0"/>
        <v>24.324999999999999</v>
      </c>
      <c r="T15" s="61"/>
      <c r="U15" s="61">
        <v>26.975999999999999</v>
      </c>
      <c r="V15" s="61">
        <v>25.27</v>
      </c>
      <c r="W15" s="62">
        <v>25.529</v>
      </c>
      <c r="X15" s="61">
        <v>28.555</v>
      </c>
      <c r="Y15" s="61">
        <f t="shared" si="1"/>
        <v>28.555</v>
      </c>
      <c r="Z15" s="61"/>
      <c r="AA15" s="62">
        <v>25.154</v>
      </c>
      <c r="AB15" s="62">
        <v>23.805</v>
      </c>
      <c r="AC15" s="62">
        <v>27.506</v>
      </c>
      <c r="AD15" s="62">
        <v>30.596</v>
      </c>
      <c r="AE15" s="61">
        <f t="shared" si="2"/>
        <v>30.596</v>
      </c>
      <c r="AF15" s="61"/>
      <c r="AG15" s="62">
        <v>35.462000000000003</v>
      </c>
      <c r="AH15" s="62">
        <v>35.835000000000001</v>
      </c>
      <c r="AI15" s="62">
        <v>39.151000000000003</v>
      </c>
      <c r="AJ15" s="62">
        <v>36.118000000000002</v>
      </c>
      <c r="AK15" s="61">
        <f t="shared" si="3"/>
        <v>36.118000000000002</v>
      </c>
      <c r="AL15" s="61"/>
      <c r="AM15" s="62">
        <v>30.992999999999999</v>
      </c>
      <c r="AN15" s="62">
        <v>32.24</v>
      </c>
      <c r="AO15" s="62">
        <v>29.555</v>
      </c>
      <c r="AP15" s="62">
        <v>28.602</v>
      </c>
      <c r="AQ15" s="61">
        <f t="shared" si="4"/>
        <v>28.602</v>
      </c>
      <c r="AR15" s="61"/>
      <c r="AS15" s="62">
        <v>28.329000000000001</v>
      </c>
      <c r="AT15" s="62">
        <v>30.61</v>
      </c>
      <c r="AU15" s="62">
        <v>28.201000000000001</v>
      </c>
      <c r="AV15" s="62">
        <v>24.137</v>
      </c>
      <c r="AW15" s="61">
        <f t="shared" si="5"/>
        <v>24.137</v>
      </c>
      <c r="AX15" s="61"/>
      <c r="AY15" s="62">
        <v>27.8</v>
      </c>
      <c r="AZ15" s="62">
        <v>26</v>
      </c>
      <c r="BA15" s="62">
        <v>25.9</v>
      </c>
      <c r="BB15" s="62">
        <v>25.5</v>
      </c>
      <c r="BC15" s="61">
        <f t="shared" si="6"/>
        <v>25.5</v>
      </c>
      <c r="BD15" s="61"/>
      <c r="BE15" s="61">
        <v>28.4</v>
      </c>
      <c r="BF15" s="61">
        <v>24.5</v>
      </c>
      <c r="BG15" s="61">
        <v>26.1</v>
      </c>
      <c r="BH15" s="61">
        <v>29.3</v>
      </c>
      <c r="BI15" s="61">
        <f>BH15</f>
        <v>29.3</v>
      </c>
      <c r="BJ15" s="61"/>
      <c r="BK15" s="61">
        <v>25.6</v>
      </c>
      <c r="BL15" s="61">
        <v>25.2</v>
      </c>
      <c r="BM15" s="61">
        <v>27.5</v>
      </c>
      <c r="BN15" s="61">
        <v>26.9</v>
      </c>
      <c r="BO15" s="1125">
        <f>BN15</f>
        <v>26.9</v>
      </c>
      <c r="BP15" s="61"/>
      <c r="BQ15" s="61">
        <v>43.3</v>
      </c>
      <c r="BR15" s="61">
        <v>47</v>
      </c>
      <c r="BS15" s="61">
        <v>48.7</v>
      </c>
      <c r="BT15" s="61">
        <v>47.9</v>
      </c>
      <c r="BU15" s="1125">
        <f>BT15</f>
        <v>47.9</v>
      </c>
      <c r="BV15" s="61"/>
      <c r="BW15" s="61">
        <v>51.2</v>
      </c>
      <c r="BX15" s="61">
        <v>56.9</v>
      </c>
      <c r="BY15" s="61">
        <v>51.2</v>
      </c>
      <c r="BZ15" s="61">
        <v>59.3</v>
      </c>
      <c r="CA15" s="1125">
        <f>BZ15</f>
        <v>59.3</v>
      </c>
      <c r="CB15" s="61"/>
      <c r="CC15" s="61">
        <v>67.7</v>
      </c>
      <c r="CD15" s="61">
        <v>58.7</v>
      </c>
      <c r="CE15" s="61">
        <v>60</v>
      </c>
      <c r="CF15" s="61">
        <v>57.4</v>
      </c>
      <c r="CG15" s="1125">
        <f>CF15</f>
        <v>57.4</v>
      </c>
      <c r="CH15" s="61"/>
      <c r="CI15" s="61">
        <v>72.3</v>
      </c>
      <c r="CJ15" s="61">
        <v>56.2</v>
      </c>
      <c r="CK15" s="61">
        <v>49.2</v>
      </c>
      <c r="CL15" s="61">
        <v>64.8</v>
      </c>
      <c r="CM15" s="1125">
        <f>CL15</f>
        <v>64.8</v>
      </c>
      <c r="CN15" s="61"/>
      <c r="CO15" s="61">
        <v>72.5</v>
      </c>
      <c r="CP15" s="61">
        <v>73.2</v>
      </c>
      <c r="CQ15" s="61">
        <v>61.6</v>
      </c>
      <c r="CR15" s="61">
        <v>59.4</v>
      </c>
      <c r="CS15" s="1125">
        <f>CR15</f>
        <v>59.4</v>
      </c>
      <c r="CT15" s="61"/>
      <c r="CU15" s="61">
        <v>60.8</v>
      </c>
      <c r="CV15" s="61">
        <v>65.8</v>
      </c>
      <c r="CW15" s="61">
        <v>53.8</v>
      </c>
      <c r="CX15" s="61">
        <v>60.8</v>
      </c>
      <c r="CY15" s="1125">
        <f>CX15</f>
        <v>60.8</v>
      </c>
      <c r="CZ15" s="61"/>
      <c r="DA15" s="61">
        <v>81.400000000000006</v>
      </c>
      <c r="DB15" s="61">
        <v>83.1</v>
      </c>
      <c r="DC15" s="61">
        <v>99.8</v>
      </c>
      <c r="DD15" s="61">
        <v>87.4</v>
      </c>
      <c r="DE15" s="1125">
        <f>DD15</f>
        <v>87.4</v>
      </c>
      <c r="DF15" s="61"/>
      <c r="DG15" s="61">
        <v>92.8</v>
      </c>
      <c r="DH15" s="61">
        <v>102</v>
      </c>
      <c r="DI15" s="61">
        <v>100.9</v>
      </c>
      <c r="DJ15" s="61">
        <v>100.9</v>
      </c>
      <c r="DK15" s="1125">
        <f>DJ15</f>
        <v>100.9</v>
      </c>
      <c r="DL15" s="61"/>
      <c r="DM15" s="61">
        <v>112.9</v>
      </c>
      <c r="DN15" s="61">
        <v>105.8</v>
      </c>
      <c r="DO15" s="61">
        <v>90.7</v>
      </c>
      <c r="DP15" s="61">
        <v>88.6</v>
      </c>
      <c r="DQ15" s="1125">
        <f>DP15</f>
        <v>88.6</v>
      </c>
      <c r="DR15" s="61"/>
      <c r="DS15" s="61">
        <v>105.3</v>
      </c>
      <c r="DT15" s="61">
        <v>114.7</v>
      </c>
      <c r="DU15" s="61">
        <v>103.4</v>
      </c>
      <c r="DV15" s="61">
        <v>109.6</v>
      </c>
      <c r="DW15" s="1125">
        <f t="shared" si="18"/>
        <v>109.6</v>
      </c>
      <c r="DX15" s="45"/>
      <c r="DY15" s="61">
        <v>96.9</v>
      </c>
      <c r="DZ15" s="61">
        <v>110</v>
      </c>
      <c r="EA15" s="61">
        <v>110.2</v>
      </c>
      <c r="EB15" s="61">
        <v>116.5</v>
      </c>
      <c r="EC15" s="1125">
        <f t="shared" si="19"/>
        <v>116.5</v>
      </c>
      <c r="ED15" s="45"/>
      <c r="EE15" s="61">
        <f>Model!EE263*BS!EE90</f>
        <v>99.522415470538988</v>
      </c>
      <c r="EF15" s="61">
        <f>Model!EF263*BS!EF90</f>
        <v>112.86960520476593</v>
      </c>
      <c r="EG15" s="61">
        <f>Model!EG263*BS!EG90</f>
        <v>112.78289929240403</v>
      </c>
      <c r="EH15" s="61">
        <f>Model!EH263*BS!EH90</f>
        <v>120.47608991355865</v>
      </c>
      <c r="EI15" s="1125">
        <f t="shared" si="20"/>
        <v>120.47608991355865</v>
      </c>
      <c r="EJ15" s="45"/>
      <c r="EK15" s="61">
        <f>Model!EK263*BS!EK90</f>
        <v>119.56398876666066</v>
      </c>
      <c r="EL15" s="61">
        <f>Model!EL263*BS!EL90</f>
        <v>131.75067559954036</v>
      </c>
      <c r="EM15" s="61">
        <f>Model!EM263*BS!EM90</f>
        <v>131.7198418069226</v>
      </c>
      <c r="EN15" s="61">
        <f>Model!EN263*BS!EN90</f>
        <v>139.36940833743304</v>
      </c>
      <c r="EO15" s="1125">
        <f t="shared" si="21"/>
        <v>139.36940833743304</v>
      </c>
      <c r="EP15" s="45"/>
      <c r="EQ15" s="61">
        <f>Model!EQ263*BS!EQ90</f>
        <v>160.37454851828602</v>
      </c>
      <c r="ER15" s="61">
        <f>Model!ER263*BS!ER90</f>
        <v>176.3294141849926</v>
      </c>
      <c r="ES15" s="61">
        <f>Model!ES263*BS!ES90</f>
        <v>178.49416031733989</v>
      </c>
      <c r="ET15" s="61">
        <f>Model!ET263*BS!ET90</f>
        <v>187.41104739529317</v>
      </c>
      <c r="EU15" s="1125">
        <f t="shared" si="22"/>
        <v>187.41104739529317</v>
      </c>
      <c r="EV15" s="45"/>
      <c r="EW15" s="45"/>
      <c r="EX15" s="45"/>
      <c r="EY15" s="45"/>
      <c r="EZ15" s="45"/>
      <c r="FA15" s="45"/>
      <c r="FB15" s="45"/>
      <c r="FI15" s="1990"/>
      <c r="FJ15" s="1990"/>
    </row>
    <row r="16" spans="1:166" ht="10.5" customHeight="1">
      <c r="A16" s="50" t="s">
        <v>5568</v>
      </c>
      <c r="B16" s="32"/>
      <c r="C16" s="51">
        <f>SUM(C9:C15)</f>
        <v>342.07</v>
      </c>
      <c r="D16" s="51">
        <f>SUM(D9:D15)</f>
        <v>340.601</v>
      </c>
      <c r="E16" s="51">
        <f>SUM(E9:E15)</f>
        <v>298.87400000000002</v>
      </c>
      <c r="F16" s="51">
        <f>SUM(F9:F15)</f>
        <v>310.52799999999996</v>
      </c>
      <c r="G16" s="51">
        <f>F16</f>
        <v>310.52799999999996</v>
      </c>
      <c r="H16" s="32"/>
      <c r="I16" s="51">
        <f>SUM(I9:I15)</f>
        <v>325.15699999999993</v>
      </c>
      <c r="J16" s="51">
        <f>SUM(J9:J15)</f>
        <v>371.94800000000004</v>
      </c>
      <c r="K16" s="51">
        <f>SUM(K9:K15)</f>
        <v>351.66699999999997</v>
      </c>
      <c r="L16" s="51">
        <f>SUM(L9:L15)</f>
        <v>307.702</v>
      </c>
      <c r="M16" s="51">
        <f>SUM(M9:M15)</f>
        <v>307.702</v>
      </c>
      <c r="N16" s="34"/>
      <c r="O16" s="51">
        <f>SUM(O9:O15)</f>
        <v>396.55800000000005</v>
      </c>
      <c r="P16" s="51">
        <f>SUM(P9:P15)</f>
        <v>429.37399999999997</v>
      </c>
      <c r="Q16" s="51">
        <f>SUM(Q9:Q15)</f>
        <v>479.07999999999993</v>
      </c>
      <c r="R16" s="51">
        <f>SUM(R9:R15)</f>
        <v>544.41500000000008</v>
      </c>
      <c r="S16" s="51">
        <f t="shared" si="0"/>
        <v>544.41500000000008</v>
      </c>
      <c r="T16" s="42"/>
      <c r="U16" s="51">
        <f>SUM(U9:U15)</f>
        <v>624.66700000000003</v>
      </c>
      <c r="V16" s="51">
        <f>SUM(V9:V15)</f>
        <v>642.851</v>
      </c>
      <c r="W16" s="51">
        <f>SUM(W9:W15)</f>
        <v>593.91700000000003</v>
      </c>
      <c r="X16" s="51">
        <f>SUM(X9:X15)</f>
        <v>545.2589999999999</v>
      </c>
      <c r="Y16" s="51">
        <f t="shared" si="1"/>
        <v>545.2589999999999</v>
      </c>
      <c r="Z16" s="51"/>
      <c r="AA16" s="51">
        <f>SUM(AA9:AA15)</f>
        <v>434.62599999999998</v>
      </c>
      <c r="AB16" s="51">
        <f>SUM(AB9:AB15)</f>
        <v>473.459</v>
      </c>
      <c r="AC16" s="51">
        <f>SUM(AC9:AC15)</f>
        <v>464.53200000000004</v>
      </c>
      <c r="AD16" s="51">
        <f>SUM(AD9:AD15)</f>
        <v>491.32100000000003</v>
      </c>
      <c r="AE16" s="51">
        <f t="shared" si="2"/>
        <v>491.32100000000003</v>
      </c>
      <c r="AF16" s="42"/>
      <c r="AG16" s="51">
        <f>SUM(AG9:AG15)</f>
        <v>455.09399999999994</v>
      </c>
      <c r="AH16" s="51">
        <f>SUM(AH9:AH15)</f>
        <v>519.702</v>
      </c>
      <c r="AI16" s="51">
        <f>SUM(AI9:AI15)</f>
        <v>483.60100000000006</v>
      </c>
      <c r="AJ16" s="51">
        <f>SUM(AJ9:AJ15)</f>
        <v>563.87000000000012</v>
      </c>
      <c r="AK16" s="51">
        <f t="shared" si="3"/>
        <v>563.87000000000012</v>
      </c>
      <c r="AL16" s="42"/>
      <c r="AM16" s="51">
        <f>SUM(AM9:AM15)</f>
        <v>461.57000000000005</v>
      </c>
      <c r="AN16" s="51">
        <f>SUM(AN9:AN15)</f>
        <v>468.38</v>
      </c>
      <c r="AO16" s="51">
        <f>SUM(AO9:AO15)</f>
        <v>436.72399999999999</v>
      </c>
      <c r="AP16" s="51">
        <f>SUM(AP9:AP15)</f>
        <v>449.63199999999995</v>
      </c>
      <c r="AQ16" s="51">
        <f t="shared" si="4"/>
        <v>449.63199999999995</v>
      </c>
      <c r="AR16" s="42"/>
      <c r="AS16" s="51">
        <f>SUM(AS9:AS15)</f>
        <v>435.84300000000002</v>
      </c>
      <c r="AT16" s="51">
        <f>SUM(AT9:AT15)</f>
        <v>495.06099999999998</v>
      </c>
      <c r="AU16" s="51">
        <f>SUM(AU9:AU15)</f>
        <v>525.17500000000007</v>
      </c>
      <c r="AV16" s="51">
        <f>SUM(AV9:AV15)</f>
        <v>597.25199999999995</v>
      </c>
      <c r="AW16" s="51">
        <f t="shared" si="5"/>
        <v>597.25199999999995</v>
      </c>
      <c r="AX16" s="42"/>
      <c r="AY16" s="51">
        <f>SUM(AY9:AY15)</f>
        <v>730.6</v>
      </c>
      <c r="AZ16" s="51">
        <f>SUM(AZ9:AZ15)</f>
        <v>791.8</v>
      </c>
      <c r="BA16" s="51">
        <f>SUM(BA9:BA15)</f>
        <v>781.30000000000007</v>
      </c>
      <c r="BB16" s="51">
        <f>SUM(BB9:BB15)</f>
        <v>781.8</v>
      </c>
      <c r="BC16" s="51">
        <f t="shared" si="6"/>
        <v>781.8</v>
      </c>
      <c r="BD16" s="42"/>
      <c r="BE16" s="51">
        <f>SUM(BE9:BE15)</f>
        <v>796.7</v>
      </c>
      <c r="BF16" s="51">
        <f>SUM(BF9:BF15)</f>
        <v>805.99999999999989</v>
      </c>
      <c r="BG16" s="51">
        <f>SUM(BG9:BG15)</f>
        <v>859.9</v>
      </c>
      <c r="BH16" s="51">
        <f>SUM(BH9:BH15)</f>
        <v>746.8</v>
      </c>
      <c r="BI16" s="51">
        <f t="shared" si="7"/>
        <v>746.8</v>
      </c>
      <c r="BJ16" s="42"/>
      <c r="BK16" s="51">
        <f>SUM(BK9:BK15)</f>
        <v>786.90000000000009</v>
      </c>
      <c r="BL16" s="51">
        <f>SUM(BL9:BL15)</f>
        <v>835.90000000000009</v>
      </c>
      <c r="BM16" s="51">
        <f>SUM(BM9:BM15)</f>
        <v>968.59999999999991</v>
      </c>
      <c r="BN16" s="51">
        <f>SUM(BN9:BN15)</f>
        <v>1189.7</v>
      </c>
      <c r="BO16" s="1307">
        <f t="shared" si="8"/>
        <v>1189.7</v>
      </c>
      <c r="BP16" s="42"/>
      <c r="BQ16" s="51">
        <f>SUM(BQ9:BQ15)</f>
        <v>1384.5</v>
      </c>
      <c r="BR16" s="51">
        <f>SUM(BR9:BR15)</f>
        <v>1264.8999999999999</v>
      </c>
      <c r="BS16" s="51">
        <f>SUM(BS9:BS15)</f>
        <v>1320.3</v>
      </c>
      <c r="BT16" s="51">
        <f>SUM(BT9:BT15)</f>
        <v>1481.8</v>
      </c>
      <c r="BU16" s="1307">
        <f t="shared" si="9"/>
        <v>1481.8</v>
      </c>
      <c r="BV16" s="42"/>
      <c r="BW16" s="51">
        <f>SUM(BW9:BW15)</f>
        <v>1423.4</v>
      </c>
      <c r="BX16" s="51">
        <f>SUM(BX9:BX15)</f>
        <v>1402.5000000000002</v>
      </c>
      <c r="BY16" s="51">
        <f>SUM(BY9:BY15)</f>
        <v>1310.3999999999999</v>
      </c>
      <c r="BZ16" s="51">
        <f>SUM(BZ9:BZ15)</f>
        <v>1387.9999999999998</v>
      </c>
      <c r="CA16" s="1307">
        <f t="shared" si="10"/>
        <v>1387.9999999999998</v>
      </c>
      <c r="CB16" s="42"/>
      <c r="CC16" s="51">
        <f>SUM(CC9:CC15)</f>
        <v>1302.2</v>
      </c>
      <c r="CD16" s="51">
        <f>SUM(CD9:CD15)</f>
        <v>1267.3</v>
      </c>
      <c r="CE16" s="51">
        <f>SUM(CE9:CE15)</f>
        <v>1287.0999999999999</v>
      </c>
      <c r="CF16" s="51">
        <f>SUM(CF9:CF15)</f>
        <v>1379.6000000000001</v>
      </c>
      <c r="CG16" s="1307">
        <f t="shared" si="11"/>
        <v>1379.6000000000001</v>
      </c>
      <c r="CH16" s="42"/>
      <c r="CI16" s="51">
        <f>SUM(CI9:CI15)</f>
        <v>1393.9999999999998</v>
      </c>
      <c r="CJ16" s="51">
        <f>SUM(CJ9:CJ15)</f>
        <v>1417.3999999999999</v>
      </c>
      <c r="CK16" s="51">
        <f>SUM(CK9:CK15)</f>
        <v>1470.8</v>
      </c>
      <c r="CL16" s="51">
        <f>SUM(CL9:CL15)</f>
        <v>1714.2999999999997</v>
      </c>
      <c r="CM16" s="1307">
        <f t="shared" si="12"/>
        <v>1714.2999999999997</v>
      </c>
      <c r="CN16" s="42"/>
      <c r="CO16" s="51">
        <f>SUM(CO9:CO15)</f>
        <v>1732.4</v>
      </c>
      <c r="CP16" s="51">
        <f>SUM(CP9:CP15)</f>
        <v>1778.8</v>
      </c>
      <c r="CQ16" s="51">
        <f>SUM(CQ9:CQ15)</f>
        <v>1698.6</v>
      </c>
      <c r="CR16" s="51">
        <f>SUM(CR9:CR15)</f>
        <v>1895.9</v>
      </c>
      <c r="CS16" s="1307">
        <f t="shared" si="13"/>
        <v>1895.9</v>
      </c>
      <c r="CT16" s="42"/>
      <c r="CU16" s="51">
        <f>SUM(CU9:CU15)</f>
        <v>1912.1</v>
      </c>
      <c r="CV16" s="51">
        <f>SUM(CV9:CV15)</f>
        <v>1902.6999999999998</v>
      </c>
      <c r="CW16" s="51">
        <f>SUM(CW9:CW15)</f>
        <v>1724.6</v>
      </c>
      <c r="CX16" s="51">
        <f>SUM(CX9:CX15)</f>
        <v>2552.4</v>
      </c>
      <c r="CY16" s="1307">
        <f t="shared" si="14"/>
        <v>2552.4</v>
      </c>
      <c r="CZ16" s="42"/>
      <c r="DA16" s="51">
        <f>SUM(DA9:DA15)</f>
        <v>2511.1000000000004</v>
      </c>
      <c r="DB16" s="51">
        <f>SUM(DB9:DB15)</f>
        <v>2436.5</v>
      </c>
      <c r="DC16" s="51">
        <f>SUM(DC9:DC15)</f>
        <v>2517.9</v>
      </c>
      <c r="DD16" s="51">
        <f>SUM(DD9:DD15)</f>
        <v>2835</v>
      </c>
      <c r="DE16" s="1307">
        <f t="shared" si="15"/>
        <v>2835</v>
      </c>
      <c r="DF16" s="42"/>
      <c r="DG16" s="51">
        <f>SUM(DG9:DG15)</f>
        <v>2590.3000000000002</v>
      </c>
      <c r="DH16" s="51">
        <f>SUM(DH9:DH15)</f>
        <v>2450</v>
      </c>
      <c r="DI16" s="51">
        <f>SUM(DI9:DI15)</f>
        <v>2458.6999999999998</v>
      </c>
      <c r="DJ16" s="51">
        <f>SUM(DJ9:DJ15)</f>
        <v>2671.2999999999997</v>
      </c>
      <c r="DK16" s="1307">
        <f t="shared" si="16"/>
        <v>2671.2999999999997</v>
      </c>
      <c r="DL16" s="42"/>
      <c r="DM16" s="51">
        <f>SUM(DM9:DM15)</f>
        <v>2341</v>
      </c>
      <c r="DN16" s="51">
        <f>SUM(DN9:DN15)</f>
        <v>2899.7999999999997</v>
      </c>
      <c r="DO16" s="51">
        <f>SUM(DO9:DO15)</f>
        <v>2747.5</v>
      </c>
      <c r="DP16" s="51">
        <f>SUM(DP9:DP15)</f>
        <v>2993.1</v>
      </c>
      <c r="DQ16" s="1307">
        <f t="shared" si="17"/>
        <v>2993.1</v>
      </c>
      <c r="DR16" s="42"/>
      <c r="DS16" s="51">
        <f>SUM(DS9:DS15)</f>
        <v>2629.0000000000005</v>
      </c>
      <c r="DT16" s="51">
        <f>SUM(DT9:DT15)</f>
        <v>2486.5</v>
      </c>
      <c r="DU16" s="51">
        <f>SUM(DU9:DU15)</f>
        <v>2332.1000000000004</v>
      </c>
      <c r="DV16" s="51">
        <f>SUM(DV9:DV15)</f>
        <v>2461.7999999999997</v>
      </c>
      <c r="DW16" s="1307">
        <f t="shared" si="18"/>
        <v>2461.7999999999997</v>
      </c>
      <c r="DX16" s="42"/>
      <c r="DY16" s="51">
        <f>SUM(DY9:DY15)</f>
        <v>2139.7000000000003</v>
      </c>
      <c r="DZ16" s="51">
        <f>SUM(DZ9:DZ15)</f>
        <v>2083.2999999999997</v>
      </c>
      <c r="EA16" s="51">
        <f>SUM(EA9:EA15)</f>
        <v>1871.9</v>
      </c>
      <c r="EB16" s="51">
        <f>SUM(EB9:EB15)</f>
        <v>1877.9</v>
      </c>
      <c r="EC16" s="1307">
        <f t="shared" si="19"/>
        <v>1877.9</v>
      </c>
      <c r="ED16" s="42"/>
      <c r="EE16" s="51">
        <f>SUM(EE9:EE15)</f>
        <v>1576.2620844069438</v>
      </c>
      <c r="EF16" s="51">
        <f>SUM(EF9:EF15)</f>
        <v>1478.8309555493724</v>
      </c>
      <c r="EG16" s="51">
        <f>SUM(EG9:EG15)</f>
        <v>1429.4194492466202</v>
      </c>
      <c r="EH16" s="51">
        <f>SUM(EH9:EH15)</f>
        <v>1750.2660915331517</v>
      </c>
      <c r="EI16" s="1307">
        <f t="shared" si="20"/>
        <v>1750.2660915331517</v>
      </c>
      <c r="EJ16" s="42"/>
      <c r="EK16" s="51">
        <f>SUM(EK9:EK15)</f>
        <v>1453.3705962942772</v>
      </c>
      <c r="EL16" s="51">
        <f>SUM(EL9:EL15)</f>
        <v>1579.098430685277</v>
      </c>
      <c r="EM16" s="51">
        <f>SUM(EM9:EM15)</f>
        <v>1658.3268048921084</v>
      </c>
      <c r="EN16" s="51">
        <f>SUM(EN9:EN15)</f>
        <v>2203.5673682078022</v>
      </c>
      <c r="EO16" s="1307">
        <f t="shared" si="21"/>
        <v>2203.5673682078022</v>
      </c>
      <c r="EP16" s="42"/>
      <c r="EQ16" s="51">
        <f>SUM(EQ9:EQ15)</f>
        <v>2014.6344756894521</v>
      </c>
      <c r="ER16" s="51">
        <f>SUM(ER9:ER15)</f>
        <v>2237.349539227183</v>
      </c>
      <c r="ES16" s="51">
        <f>SUM(ES9:ES15)</f>
        <v>2371.0961691200787</v>
      </c>
      <c r="ET16" s="51">
        <f>SUM(ET9:ET15)</f>
        <v>2992.9698966861142</v>
      </c>
      <c r="EU16" s="1307">
        <f t="shared" si="22"/>
        <v>2992.9698966861142</v>
      </c>
      <c r="EV16" s="81"/>
      <c r="EW16" s="81"/>
      <c r="EX16" s="81"/>
      <c r="EY16" s="81"/>
      <c r="EZ16" s="81"/>
      <c r="FA16" s="81"/>
      <c r="FB16" s="81"/>
      <c r="FI16" s="1990"/>
      <c r="FJ16" s="1990"/>
    </row>
    <row r="17" spans="1:166" ht="5.25" customHeight="1">
      <c r="A17" s="75"/>
      <c r="B17" s="32"/>
      <c r="C17" s="90"/>
      <c r="D17" s="90"/>
      <c r="E17" s="90"/>
      <c r="F17" s="90"/>
      <c r="G17" s="61"/>
      <c r="H17" s="90"/>
      <c r="I17" s="90"/>
      <c r="J17" s="90"/>
      <c r="K17" s="77"/>
      <c r="L17" s="77"/>
      <c r="M17" s="77"/>
      <c r="N17" s="77"/>
      <c r="O17" s="76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6"/>
      <c r="AB17" s="77"/>
      <c r="AC17" s="77"/>
      <c r="AD17" s="77"/>
      <c r="AE17" s="77"/>
      <c r="AF17" s="77"/>
      <c r="AG17" s="76"/>
      <c r="AH17" s="77"/>
      <c r="AI17" s="77"/>
      <c r="AJ17" s="77"/>
      <c r="AK17" s="77"/>
      <c r="AL17" s="61"/>
      <c r="AM17" s="76"/>
      <c r="AN17" s="77"/>
      <c r="AO17" s="77"/>
      <c r="AP17" s="77"/>
      <c r="AQ17" s="77"/>
      <c r="AR17" s="77"/>
      <c r="AS17" s="76"/>
      <c r="AT17" s="77"/>
      <c r="AU17" s="77"/>
      <c r="AV17" s="77"/>
      <c r="AW17" s="77"/>
      <c r="AX17" s="77"/>
      <c r="AY17" s="76"/>
      <c r="AZ17" s="77"/>
      <c r="BA17" s="77"/>
      <c r="BB17" s="77"/>
      <c r="BC17" s="77"/>
      <c r="BD17" s="77"/>
      <c r="BE17" s="75"/>
      <c r="BF17" s="75"/>
      <c r="BG17" s="77"/>
      <c r="BH17" s="75"/>
      <c r="BI17" s="77"/>
      <c r="BJ17" s="77"/>
      <c r="BK17" s="75"/>
      <c r="BL17" s="75"/>
      <c r="BM17" s="77"/>
      <c r="BN17" s="75"/>
      <c r="BO17" s="1308"/>
      <c r="BP17" s="77"/>
      <c r="BQ17" s="75"/>
      <c r="BR17" s="77"/>
      <c r="BS17" s="77"/>
      <c r="BT17" s="77"/>
      <c r="BU17" s="1308"/>
      <c r="BV17" s="77"/>
      <c r="BW17" s="75"/>
      <c r="BX17" s="75"/>
      <c r="BY17" s="75"/>
      <c r="BZ17" s="75"/>
      <c r="CA17" s="1308"/>
      <c r="CB17" s="77"/>
      <c r="CC17" s="75"/>
      <c r="CD17" s="75"/>
      <c r="CE17" s="75"/>
      <c r="CF17" s="75"/>
      <c r="CG17" s="1308"/>
      <c r="CH17" s="77"/>
      <c r="CI17" s="75"/>
      <c r="CJ17" s="75"/>
      <c r="CK17" s="75"/>
      <c r="CL17" s="75"/>
      <c r="CM17" s="1308"/>
      <c r="CN17" s="77"/>
      <c r="CO17" s="75"/>
      <c r="CP17" s="75"/>
      <c r="CQ17" s="75"/>
      <c r="CR17" s="75"/>
      <c r="CS17" s="1308"/>
      <c r="CT17" s="77"/>
      <c r="CU17" s="75"/>
      <c r="CV17" s="75"/>
      <c r="CW17" s="75"/>
      <c r="CX17" s="75"/>
      <c r="CY17" s="1308"/>
      <c r="CZ17" s="77"/>
      <c r="DA17" s="75"/>
      <c r="DB17" s="75"/>
      <c r="DC17" s="75"/>
      <c r="DD17" s="75"/>
      <c r="DE17" s="1308"/>
      <c r="DF17" s="77"/>
      <c r="DG17" s="75"/>
      <c r="DH17" s="75"/>
      <c r="DI17" s="75"/>
      <c r="DJ17" s="75"/>
      <c r="DK17" s="1308"/>
      <c r="DL17" s="77"/>
      <c r="DM17" s="75"/>
      <c r="DN17" s="75"/>
      <c r="DO17" s="75"/>
      <c r="DP17" s="75"/>
      <c r="DQ17" s="1308"/>
      <c r="DR17" s="77"/>
      <c r="DS17" s="75"/>
      <c r="DT17" s="75"/>
      <c r="DU17" s="75"/>
      <c r="DV17" s="75"/>
      <c r="DW17" s="2128"/>
      <c r="DX17" s="75"/>
      <c r="DY17" s="75"/>
      <c r="DZ17" s="75"/>
      <c r="EA17" s="75"/>
      <c r="EB17" s="75"/>
      <c r="EC17" s="2128"/>
      <c r="ED17" s="75"/>
      <c r="EE17" s="77"/>
      <c r="EF17" s="77"/>
      <c r="EG17" s="77"/>
      <c r="EH17" s="77"/>
      <c r="EI17" s="2128"/>
      <c r="EJ17" s="75"/>
      <c r="EK17" s="77"/>
      <c r="EL17" s="77"/>
      <c r="EM17" s="77"/>
      <c r="EN17" s="77"/>
      <c r="EO17" s="2128"/>
      <c r="EP17" s="75"/>
      <c r="EQ17" s="77"/>
      <c r="ER17" s="77"/>
      <c r="ES17" s="77"/>
      <c r="ET17" s="77"/>
      <c r="EU17" s="2128"/>
      <c r="EV17" s="77"/>
      <c r="EW17" s="77"/>
      <c r="EX17" s="77"/>
      <c r="EY17" s="77"/>
      <c r="EZ17" s="77"/>
      <c r="FA17" s="77"/>
      <c r="FB17" s="77"/>
      <c r="FI17" s="1990"/>
      <c r="FJ17" s="1990"/>
    </row>
    <row r="18" spans="1:166">
      <c r="A18" s="241" t="s">
        <v>5190</v>
      </c>
      <c r="B18" s="32"/>
      <c r="C18" s="61">
        <v>88.027000000000001</v>
      </c>
      <c r="D18" s="61">
        <v>80.406000000000006</v>
      </c>
      <c r="E18" s="61">
        <v>93.265000000000001</v>
      </c>
      <c r="F18" s="61">
        <v>103.523</v>
      </c>
      <c r="G18" s="61">
        <f t="shared" ref="G18:G23" si="24">F18</f>
        <v>103.523</v>
      </c>
      <c r="H18" s="90"/>
      <c r="I18" s="90">
        <v>110.20699999999999</v>
      </c>
      <c r="J18" s="90">
        <v>102.429</v>
      </c>
      <c r="K18" s="61">
        <v>105.01300000000001</v>
      </c>
      <c r="L18" s="61">
        <v>104.831</v>
      </c>
      <c r="M18" s="61">
        <v>104.831</v>
      </c>
      <c r="N18" s="61"/>
      <c r="O18" s="62">
        <v>97.569000000000003</v>
      </c>
      <c r="P18" s="62">
        <v>0</v>
      </c>
      <c r="Q18" s="62">
        <v>0</v>
      </c>
      <c r="R18" s="61">
        <v>66.265000000000001</v>
      </c>
      <c r="S18" s="61">
        <f t="shared" ref="S18:S24" si="25">R18</f>
        <v>66.265000000000001</v>
      </c>
      <c r="T18" s="142"/>
      <c r="U18" s="61">
        <v>85.858999999999995</v>
      </c>
      <c r="V18" s="61">
        <v>83.671000000000006</v>
      </c>
      <c r="W18" s="142">
        <v>156.239</v>
      </c>
      <c r="X18" s="61">
        <v>181.99199999999999</v>
      </c>
      <c r="Y18" s="61">
        <f t="shared" ref="Y18:Y24" si="26">X18</f>
        <v>181.99199999999999</v>
      </c>
      <c r="Z18" s="142"/>
      <c r="AA18" s="142">
        <v>189.42500000000001</v>
      </c>
      <c r="AB18" s="142">
        <v>193.13300000000001</v>
      </c>
      <c r="AC18" s="142">
        <v>190.59299999999999</v>
      </c>
      <c r="AD18" s="142">
        <v>163.148</v>
      </c>
      <c r="AE18" s="61">
        <f t="shared" ref="AE18:AE24" si="27">AD18</f>
        <v>163.148</v>
      </c>
      <c r="AF18" s="142"/>
      <c r="AG18" s="142">
        <v>169.35900000000001</v>
      </c>
      <c r="AH18" s="142">
        <v>157.904</v>
      </c>
      <c r="AI18" s="142">
        <v>175.113</v>
      </c>
      <c r="AJ18" s="142">
        <v>166.8</v>
      </c>
      <c r="AK18" s="61">
        <f t="shared" ref="AK18:AK24" si="28">AJ18</f>
        <v>166.8</v>
      </c>
      <c r="AL18" s="61"/>
      <c r="AM18" s="142">
        <v>165.12799999999999</v>
      </c>
      <c r="AN18" s="142">
        <v>148.72800000000001</v>
      </c>
      <c r="AO18" s="142">
        <v>165.595</v>
      </c>
      <c r="AP18" s="142">
        <v>164.029</v>
      </c>
      <c r="AQ18" s="61">
        <f t="shared" ref="AQ18:AQ24" si="29">AP18</f>
        <v>164.029</v>
      </c>
      <c r="AR18" s="142"/>
      <c r="AS18" s="142">
        <v>163.297</v>
      </c>
      <c r="AT18" s="142">
        <v>149.572</v>
      </c>
      <c r="AU18" s="142">
        <v>152.34299999999999</v>
      </c>
      <c r="AV18" s="142">
        <v>165.976</v>
      </c>
      <c r="AW18" s="61">
        <f t="shared" ref="AW18:AW24" si="30">AV18</f>
        <v>165.976</v>
      </c>
      <c r="AX18" s="142"/>
      <c r="AY18" s="142">
        <v>0</v>
      </c>
      <c r="AZ18" s="142">
        <v>0</v>
      </c>
      <c r="BA18" s="142">
        <v>0</v>
      </c>
      <c r="BB18" s="142">
        <v>0</v>
      </c>
      <c r="BC18" s="61">
        <f t="shared" ref="BC18:BC24" si="31">BB18</f>
        <v>0</v>
      </c>
      <c r="BD18" s="142"/>
      <c r="BE18" s="142">
        <v>0</v>
      </c>
      <c r="BF18" s="142">
        <v>0</v>
      </c>
      <c r="BG18" s="142">
        <v>0</v>
      </c>
      <c r="BH18" s="142">
        <v>0</v>
      </c>
      <c r="BI18" s="142">
        <f>BH18</f>
        <v>0</v>
      </c>
      <c r="BJ18" s="142"/>
      <c r="BK18" s="142">
        <v>0</v>
      </c>
      <c r="BL18" s="142">
        <f>0</f>
        <v>0</v>
      </c>
      <c r="BM18" s="142">
        <v>0</v>
      </c>
      <c r="BN18" s="142">
        <v>0</v>
      </c>
      <c r="BO18" s="1107">
        <f>BN18</f>
        <v>0</v>
      </c>
      <c r="BP18" s="142"/>
      <c r="BQ18" s="142">
        <v>0</v>
      </c>
      <c r="BR18" s="142">
        <f>0</f>
        <v>0</v>
      </c>
      <c r="BS18" s="142">
        <v>0</v>
      </c>
      <c r="BT18" s="142">
        <v>8.4</v>
      </c>
      <c r="BU18" s="1107">
        <f>BT18</f>
        <v>8.4</v>
      </c>
      <c r="BV18" s="142"/>
      <c r="BW18" s="142">
        <v>8.3000000000000007</v>
      </c>
      <c r="BX18" s="142">
        <v>8.3000000000000007</v>
      </c>
      <c r="BY18" s="142">
        <v>8.3000000000000007</v>
      </c>
      <c r="BZ18" s="142">
        <v>7.6</v>
      </c>
      <c r="CA18" s="1107">
        <f>BZ18</f>
        <v>7.6</v>
      </c>
      <c r="CB18" s="142"/>
      <c r="CC18" s="142">
        <v>7.6</v>
      </c>
      <c r="CD18" s="142">
        <v>92.3</v>
      </c>
      <c r="CE18" s="142">
        <v>92</v>
      </c>
      <c r="CF18" s="142">
        <v>125.6</v>
      </c>
      <c r="CG18" s="1107">
        <f>CF18</f>
        <v>125.6</v>
      </c>
      <c r="CH18" s="142"/>
      <c r="CI18" s="142">
        <v>179.5</v>
      </c>
      <c r="CJ18" s="142">
        <v>184.1</v>
      </c>
      <c r="CK18" s="142">
        <v>199.8</v>
      </c>
      <c r="CL18" s="142">
        <v>192.6</v>
      </c>
      <c r="CM18" s="1107">
        <f>CL18</f>
        <v>192.6</v>
      </c>
      <c r="CN18" s="142"/>
      <c r="CO18" s="142">
        <v>175.9</v>
      </c>
      <c r="CP18" s="142">
        <v>179.2</v>
      </c>
      <c r="CQ18" s="142">
        <v>190.6</v>
      </c>
      <c r="CR18" s="142">
        <v>192.8</v>
      </c>
      <c r="CS18" s="1107">
        <f>CR18</f>
        <v>192.8</v>
      </c>
      <c r="CT18" s="142"/>
      <c r="CU18" s="142">
        <v>284.10000000000002</v>
      </c>
      <c r="CV18" s="142">
        <v>286.10000000000002</v>
      </c>
      <c r="CW18" s="142">
        <v>408.3</v>
      </c>
      <c r="CX18" s="142">
        <v>411.1</v>
      </c>
      <c r="CY18" s="1107">
        <f>CX18</f>
        <v>411.1</v>
      </c>
      <c r="CZ18" s="142"/>
      <c r="DA18" s="142">
        <v>392</v>
      </c>
      <c r="DB18" s="142">
        <v>410.1</v>
      </c>
      <c r="DC18" s="142">
        <v>418.5</v>
      </c>
      <c r="DD18" s="142">
        <v>277.3</v>
      </c>
      <c r="DE18" s="1107">
        <f>DD18</f>
        <v>277.3</v>
      </c>
      <c r="DF18" s="142"/>
      <c r="DG18" s="142">
        <v>268.2</v>
      </c>
      <c r="DH18" s="142">
        <v>262.10000000000002</v>
      </c>
      <c r="DI18" s="142">
        <v>255.5</v>
      </c>
      <c r="DJ18" s="142">
        <v>273</v>
      </c>
      <c r="DK18" s="1107">
        <f>DJ18</f>
        <v>273</v>
      </c>
      <c r="DL18" s="142"/>
      <c r="DM18" s="142">
        <v>440.3</v>
      </c>
      <c r="DN18" s="142">
        <v>562.5</v>
      </c>
      <c r="DO18" s="142">
        <v>540.1</v>
      </c>
      <c r="DP18" s="142">
        <v>532.29999999999995</v>
      </c>
      <c r="DQ18" s="1107">
        <f>DP18</f>
        <v>532.29999999999995</v>
      </c>
      <c r="DR18" s="142"/>
      <c r="DS18" s="142">
        <v>538.9</v>
      </c>
      <c r="DT18" s="142">
        <v>505.6</v>
      </c>
      <c r="DU18" s="142">
        <v>455</v>
      </c>
      <c r="DV18" s="142">
        <v>306.2</v>
      </c>
      <c r="DW18" s="1107">
        <f>DV18</f>
        <v>306.2</v>
      </c>
      <c r="DX18" s="142"/>
      <c r="DY18" s="142">
        <v>264.39999999999998</v>
      </c>
      <c r="DZ18" s="142">
        <v>236</v>
      </c>
      <c r="EA18" s="142">
        <v>264.3</v>
      </c>
      <c r="EB18" s="142">
        <v>190.8</v>
      </c>
      <c r="EC18" s="2225">
        <f>EB18</f>
        <v>190.8</v>
      </c>
      <c r="ED18" s="142"/>
      <c r="EE18" s="2224">
        <f>EB18</f>
        <v>190.8</v>
      </c>
      <c r="EF18" s="2224">
        <f>EE18</f>
        <v>190.8</v>
      </c>
      <c r="EG18" s="2224">
        <f>EF18</f>
        <v>190.8</v>
      </c>
      <c r="EH18" s="2224">
        <f>EG18</f>
        <v>190.8</v>
      </c>
      <c r="EI18" s="2225">
        <f>EH18</f>
        <v>190.8</v>
      </c>
      <c r="EJ18" s="142"/>
      <c r="EK18" s="2224">
        <f>EH18</f>
        <v>190.8</v>
      </c>
      <c r="EL18" s="2224">
        <f>EK18</f>
        <v>190.8</v>
      </c>
      <c r="EM18" s="2224">
        <f>EL18</f>
        <v>190.8</v>
      </c>
      <c r="EN18" s="2224">
        <f>EM18</f>
        <v>190.8</v>
      </c>
      <c r="EO18" s="2225">
        <f>EN18</f>
        <v>190.8</v>
      </c>
      <c r="EP18" s="142"/>
      <c r="EQ18" s="2224">
        <f>EN18</f>
        <v>190.8</v>
      </c>
      <c r="ER18" s="2224">
        <f>EQ18</f>
        <v>190.8</v>
      </c>
      <c r="ES18" s="2224">
        <f>ER18</f>
        <v>190.8</v>
      </c>
      <c r="ET18" s="2224">
        <f>ES18</f>
        <v>190.8</v>
      </c>
      <c r="EU18" s="2225">
        <f>ET18</f>
        <v>190.8</v>
      </c>
      <c r="EV18" s="142"/>
      <c r="EW18" s="142"/>
      <c r="EX18" s="142"/>
      <c r="EY18" s="142"/>
      <c r="EZ18" s="142"/>
      <c r="FA18" s="142"/>
      <c r="FB18" s="142"/>
      <c r="FI18" s="1990"/>
      <c r="FJ18" s="1990"/>
    </row>
    <row r="19" spans="1:166" ht="10.5" customHeight="1">
      <c r="A19" s="41" t="s">
        <v>3504</v>
      </c>
      <c r="B19" s="32"/>
      <c r="C19" s="61">
        <v>48.398000000000003</v>
      </c>
      <c r="D19" s="61">
        <v>48.737000000000002</v>
      </c>
      <c r="E19" s="61">
        <v>48.353999999999999</v>
      </c>
      <c r="F19" s="61">
        <v>44.05</v>
      </c>
      <c r="G19" s="61">
        <f t="shared" si="24"/>
        <v>44.05</v>
      </c>
      <c r="H19" s="90"/>
      <c r="I19" s="90">
        <v>45.243000000000002</v>
      </c>
      <c r="J19" s="90">
        <v>43.459000000000003</v>
      </c>
      <c r="K19" s="61">
        <v>41.646999999999998</v>
      </c>
      <c r="L19" s="61">
        <v>39.139000000000003</v>
      </c>
      <c r="M19" s="61">
        <v>39.139000000000003</v>
      </c>
      <c r="N19" s="61"/>
      <c r="O19" s="62">
        <v>38.963000000000001</v>
      </c>
      <c r="P19" s="62">
        <v>39.302</v>
      </c>
      <c r="Q19" s="62">
        <v>39.159999999999997</v>
      </c>
      <c r="R19" s="61">
        <v>48.655000000000001</v>
      </c>
      <c r="S19" s="61">
        <f t="shared" si="25"/>
        <v>48.655000000000001</v>
      </c>
      <c r="T19" s="61"/>
      <c r="U19" s="61">
        <v>46.94</v>
      </c>
      <c r="V19" s="61">
        <v>45.084000000000003</v>
      </c>
      <c r="W19" s="62">
        <v>43.258000000000003</v>
      </c>
      <c r="X19" s="61">
        <v>41.884</v>
      </c>
      <c r="Y19" s="61">
        <f t="shared" si="26"/>
        <v>41.884</v>
      </c>
      <c r="Z19" s="61"/>
      <c r="AA19" s="62">
        <v>45.045000000000002</v>
      </c>
      <c r="AB19" s="62">
        <v>46.814</v>
      </c>
      <c r="AC19" s="62">
        <v>47.317999999999998</v>
      </c>
      <c r="AD19" s="62">
        <v>53.996000000000002</v>
      </c>
      <c r="AE19" s="61">
        <f t="shared" si="27"/>
        <v>53.996000000000002</v>
      </c>
      <c r="AF19" s="61"/>
      <c r="AG19" s="62">
        <v>60.433999999999997</v>
      </c>
      <c r="AH19" s="62">
        <v>66.458000000000027</v>
      </c>
      <c r="AI19" s="62">
        <v>69.674999999999997</v>
      </c>
      <c r="AJ19" s="62">
        <v>72.819999999999993</v>
      </c>
      <c r="AK19" s="61">
        <f t="shared" si="28"/>
        <v>72.819999999999993</v>
      </c>
      <c r="AL19" s="61"/>
      <c r="AM19" s="62">
        <v>75.37299999999999</v>
      </c>
      <c r="AN19" s="62">
        <v>79.629000000000019</v>
      </c>
      <c r="AO19" s="62">
        <v>77.758999999999986</v>
      </c>
      <c r="AP19" s="62">
        <v>76.121999999999986</v>
      </c>
      <c r="AQ19" s="62">
        <v>76.121999999999986</v>
      </c>
      <c r="AR19" s="61"/>
      <c r="AS19" s="62">
        <v>71.558999999999997</v>
      </c>
      <c r="AT19" s="62">
        <v>72.995000000000005</v>
      </c>
      <c r="AU19" s="62">
        <v>69.319000000000017</v>
      </c>
      <c r="AV19" s="62">
        <v>66.47399999999999</v>
      </c>
      <c r="AW19" s="62">
        <v>66.47399999999999</v>
      </c>
      <c r="AX19" s="61"/>
      <c r="AY19" s="62">
        <v>63.6</v>
      </c>
      <c r="AZ19" s="62">
        <v>64.400000000000006</v>
      </c>
      <c r="BA19" s="62">
        <v>67.900000000000006</v>
      </c>
      <c r="BB19" s="62">
        <v>69.599999999999994</v>
      </c>
      <c r="BC19" s="62">
        <f t="shared" si="31"/>
        <v>69.599999999999994</v>
      </c>
      <c r="BD19" s="61"/>
      <c r="BE19" s="61">
        <v>65.599999999999994</v>
      </c>
      <c r="BF19" s="61">
        <v>61.1</v>
      </c>
      <c r="BG19" s="61">
        <v>60.1</v>
      </c>
      <c r="BH19" s="61">
        <v>61.4</v>
      </c>
      <c r="BI19" s="61">
        <f t="shared" ref="BI19:BI24" si="32">BH19</f>
        <v>61.4</v>
      </c>
      <c r="BJ19" s="61"/>
      <c r="BK19" s="61">
        <v>65.900000000000006</v>
      </c>
      <c r="BL19" s="61">
        <v>64.8</v>
      </c>
      <c r="BM19" s="61">
        <v>64.099999999999994</v>
      </c>
      <c r="BN19" s="61">
        <v>65.599999999999994</v>
      </c>
      <c r="BO19" s="1125">
        <f t="shared" ref="BO19:BO24" si="33">BN19</f>
        <v>65.599999999999994</v>
      </c>
      <c r="BP19" s="61"/>
      <c r="BQ19" s="61">
        <v>63.9</v>
      </c>
      <c r="BR19" s="61">
        <v>66.5</v>
      </c>
      <c r="BS19" s="61">
        <v>68.7</v>
      </c>
      <c r="BT19" s="61">
        <v>80.2</v>
      </c>
      <c r="BU19" s="1125">
        <f t="shared" ref="BU19:BU24" si="34">BT19</f>
        <v>80.2</v>
      </c>
      <c r="BV19" s="61"/>
      <c r="BW19" s="61">
        <v>84.3</v>
      </c>
      <c r="BX19" s="61">
        <v>109.2</v>
      </c>
      <c r="BY19" s="61">
        <v>116.6</v>
      </c>
      <c r="BZ19" s="61">
        <v>120.6</v>
      </c>
      <c r="CA19" s="1125">
        <f t="shared" ref="CA19:CA24" si="35">BZ19</f>
        <v>120.6</v>
      </c>
      <c r="CB19" s="61"/>
      <c r="CC19" s="61">
        <v>120.7</v>
      </c>
      <c r="CD19" s="61">
        <v>118.3</v>
      </c>
      <c r="CE19" s="61">
        <v>111.9</v>
      </c>
      <c r="CF19" s="61">
        <v>101.6</v>
      </c>
      <c r="CG19" s="1125">
        <f t="shared" ref="CG19:CG24" si="36">CF19</f>
        <v>101.6</v>
      </c>
      <c r="CH19" s="61"/>
      <c r="CI19" s="61">
        <v>95.5</v>
      </c>
      <c r="CJ19" s="61">
        <v>88.5</v>
      </c>
      <c r="CK19" s="61">
        <v>84.8</v>
      </c>
      <c r="CL19" s="61">
        <v>84.5</v>
      </c>
      <c r="CM19" s="1125">
        <f t="shared" ref="CM19:CM24" si="37">CL19</f>
        <v>84.5</v>
      </c>
      <c r="CN19" s="61"/>
      <c r="CO19" s="61">
        <v>99.8</v>
      </c>
      <c r="CP19" s="61">
        <v>105.2</v>
      </c>
      <c r="CQ19" s="61">
        <v>102.1</v>
      </c>
      <c r="CR19" s="61">
        <v>104.5</v>
      </c>
      <c r="CS19" s="1125">
        <f t="shared" ref="CS19:CS24" si="38">CR19</f>
        <v>104.5</v>
      </c>
      <c r="CT19" s="61"/>
      <c r="CU19" s="61">
        <v>104</v>
      </c>
      <c r="CV19" s="61">
        <v>109</v>
      </c>
      <c r="CW19" s="61">
        <v>114.6</v>
      </c>
      <c r="CX19" s="61">
        <v>114.9</v>
      </c>
      <c r="CY19" s="1125">
        <f t="shared" ref="CY19:CY24" si="39">CX19</f>
        <v>114.9</v>
      </c>
      <c r="CZ19" s="61"/>
      <c r="DA19" s="61">
        <v>129</v>
      </c>
      <c r="DB19" s="61">
        <v>133.4</v>
      </c>
      <c r="DC19" s="61">
        <v>134.1</v>
      </c>
      <c r="DD19" s="61">
        <v>130.30000000000001</v>
      </c>
      <c r="DE19" s="1125">
        <f t="shared" ref="DE19:DE24" si="40">DD19</f>
        <v>130.30000000000001</v>
      </c>
      <c r="DF19" s="61"/>
      <c r="DG19" s="61">
        <v>142.1</v>
      </c>
      <c r="DH19" s="61">
        <v>146.9</v>
      </c>
      <c r="DI19" s="61">
        <v>160.4</v>
      </c>
      <c r="DJ19" s="61">
        <v>159.19999999999999</v>
      </c>
      <c r="DK19" s="1125">
        <f t="shared" ref="DK19:DK24" si="41">DJ19</f>
        <v>159.19999999999999</v>
      </c>
      <c r="DL19" s="61"/>
      <c r="DM19" s="61">
        <v>156.9</v>
      </c>
      <c r="DN19" s="61">
        <v>158.19999999999999</v>
      </c>
      <c r="DO19" s="61">
        <v>155.30000000000001</v>
      </c>
      <c r="DP19" s="61">
        <v>169.3</v>
      </c>
      <c r="DQ19" s="1125">
        <f t="shared" ref="DQ19:DQ24" si="42">DP19</f>
        <v>169.3</v>
      </c>
      <c r="DR19" s="61"/>
      <c r="DS19" s="61">
        <v>174.9</v>
      </c>
      <c r="DT19" s="61">
        <v>173</v>
      </c>
      <c r="DU19" s="61">
        <v>168.3</v>
      </c>
      <c r="DV19" s="61">
        <v>158.6</v>
      </c>
      <c r="DW19" s="1125">
        <f t="shared" ref="DW19:DW24" si="43">DV19</f>
        <v>158.6</v>
      </c>
      <c r="DX19" s="45"/>
      <c r="DY19" s="61">
        <v>150.4</v>
      </c>
      <c r="DZ19" s="61">
        <v>153</v>
      </c>
      <c r="EA19" s="61">
        <v>148.1</v>
      </c>
      <c r="EB19" s="61">
        <v>145</v>
      </c>
      <c r="EC19" s="1125">
        <f t="shared" ref="EC19:EC24" si="44">EB19</f>
        <v>145</v>
      </c>
      <c r="ED19" s="45"/>
      <c r="EE19" s="61">
        <f>EE109</f>
        <v>144.14907242746426</v>
      </c>
      <c r="EF19" s="61">
        <f>EF109</f>
        <v>149.26947196722256</v>
      </c>
      <c r="EG19" s="61">
        <f>EG109</f>
        <v>149.03466814214073</v>
      </c>
      <c r="EH19" s="61">
        <f>EH109</f>
        <v>147.04957846371713</v>
      </c>
      <c r="EI19" s="1125">
        <f t="shared" ref="EI19:EI24" si="45">EH19</f>
        <v>147.04957846371713</v>
      </c>
      <c r="EJ19" s="45"/>
      <c r="EK19" s="61">
        <f>EK109</f>
        <v>139.58871305727632</v>
      </c>
      <c r="EL19" s="61">
        <f>EL109</f>
        <v>145.5578693954543</v>
      </c>
      <c r="EM19" s="61">
        <f>EM109</f>
        <v>144.74486771326917</v>
      </c>
      <c r="EN19" s="61">
        <f>EN109</f>
        <v>141.54369535324156</v>
      </c>
      <c r="EO19" s="1125">
        <f t="shared" ref="EO19:EO24" si="46">EN19</f>
        <v>141.54369535324156</v>
      </c>
      <c r="EP19" s="45"/>
      <c r="EQ19" s="61">
        <f>EQ109</f>
        <v>131.31372405998377</v>
      </c>
      <c r="ER19" s="61">
        <f>ER109</f>
        <v>136.99994117597362</v>
      </c>
      <c r="ES19" s="61">
        <f>ES109</f>
        <v>134.44657591070791</v>
      </c>
      <c r="ET19" s="61">
        <f>ET109</f>
        <v>128.93651845182808</v>
      </c>
      <c r="EU19" s="1125">
        <f t="shared" ref="EU19:EU24" si="47">ET19</f>
        <v>128.93651845182808</v>
      </c>
      <c r="EV19" s="45"/>
      <c r="EW19" s="45"/>
      <c r="EX19" s="45"/>
      <c r="EY19" s="45"/>
      <c r="EZ19" s="45"/>
      <c r="FA19" s="45"/>
      <c r="FB19" s="45"/>
      <c r="FI19" s="1990"/>
      <c r="FJ19" s="1990"/>
    </row>
    <row r="20" spans="1:166" ht="10.5" customHeight="1">
      <c r="A20" s="41" t="s">
        <v>3503</v>
      </c>
      <c r="B20" s="32"/>
      <c r="C20" s="61">
        <v>20.103000000000002</v>
      </c>
      <c r="D20" s="61">
        <v>19.515999999999998</v>
      </c>
      <c r="E20" s="61">
        <v>17.768000000000001</v>
      </c>
      <c r="F20" s="61">
        <v>15.916</v>
      </c>
      <c r="G20" s="61">
        <f t="shared" si="24"/>
        <v>15.916</v>
      </c>
      <c r="H20" s="90"/>
      <c r="I20" s="90">
        <v>24.922000000000001</v>
      </c>
      <c r="J20" s="90">
        <v>21.920999999999999</v>
      </c>
      <c r="K20" s="61">
        <v>33.997999999999998</v>
      </c>
      <c r="L20" s="61">
        <v>33.372999999999998</v>
      </c>
      <c r="M20" s="61">
        <v>33.372999999999998</v>
      </c>
      <c r="N20" s="61"/>
      <c r="O20" s="62">
        <v>31.071000000000002</v>
      </c>
      <c r="P20" s="62">
        <v>37.036000000000001</v>
      </c>
      <c r="Q20" s="62">
        <v>34.64</v>
      </c>
      <c r="R20" s="61">
        <v>40.630000000000003</v>
      </c>
      <c r="S20" s="61">
        <f t="shared" si="25"/>
        <v>40.630000000000003</v>
      </c>
      <c r="T20" s="61"/>
      <c r="U20" s="61">
        <v>42.695999999999998</v>
      </c>
      <c r="V20" s="61">
        <v>37.417999999999999</v>
      </c>
      <c r="W20" s="62">
        <v>32.837000000000003</v>
      </c>
      <c r="X20" s="61">
        <v>29.029</v>
      </c>
      <c r="Y20" s="61">
        <f t="shared" si="26"/>
        <v>29.029</v>
      </c>
      <c r="Z20" s="61"/>
      <c r="AA20" s="62">
        <v>25.376999999999999</v>
      </c>
      <c r="AB20" s="62">
        <v>21.434999999999999</v>
      </c>
      <c r="AC20" s="62">
        <v>18.076000000000001</v>
      </c>
      <c r="AD20" s="62">
        <v>16.402999999999999</v>
      </c>
      <c r="AE20" s="61">
        <f t="shared" si="27"/>
        <v>16.402999999999999</v>
      </c>
      <c r="AF20" s="61"/>
      <c r="AG20" s="62">
        <v>15.836</v>
      </c>
      <c r="AH20" s="62">
        <v>14.41</v>
      </c>
      <c r="AI20" s="62">
        <v>18.739000000000001</v>
      </c>
      <c r="AJ20" s="62">
        <v>19.335999999999999</v>
      </c>
      <c r="AK20" s="61">
        <f t="shared" si="28"/>
        <v>19.335999999999999</v>
      </c>
      <c r="AL20" s="61"/>
      <c r="AM20" s="62">
        <v>36.094000000000001</v>
      </c>
      <c r="AN20" s="62">
        <v>32.100999999999999</v>
      </c>
      <c r="AO20" s="62">
        <v>30.931999999999999</v>
      </c>
      <c r="AP20" s="62">
        <v>30.125</v>
      </c>
      <c r="AQ20" s="62">
        <f t="shared" si="29"/>
        <v>30.125</v>
      </c>
      <c r="AR20" s="61"/>
      <c r="AS20" s="62">
        <v>27.574000000000002</v>
      </c>
      <c r="AT20" s="62">
        <v>23.788</v>
      </c>
      <c r="AU20" s="62">
        <v>21.637</v>
      </c>
      <c r="AV20" s="62">
        <v>19.378</v>
      </c>
      <c r="AW20" s="62">
        <f t="shared" si="30"/>
        <v>19.378</v>
      </c>
      <c r="AX20" s="61"/>
      <c r="AY20" s="62">
        <v>18.5</v>
      </c>
      <c r="AZ20" s="62">
        <v>17</v>
      </c>
      <c r="BA20" s="62">
        <v>13.1</v>
      </c>
      <c r="BB20" s="62">
        <v>9.3000000000000007</v>
      </c>
      <c r="BC20" s="62">
        <f t="shared" si="31"/>
        <v>9.3000000000000007</v>
      </c>
      <c r="BD20" s="61"/>
      <c r="BE20" s="61">
        <v>10.3</v>
      </c>
      <c r="BF20" s="61">
        <v>16.2</v>
      </c>
      <c r="BG20" s="61">
        <v>16.2</v>
      </c>
      <c r="BH20" s="61">
        <v>49.8</v>
      </c>
      <c r="BI20" s="61">
        <f t="shared" si="32"/>
        <v>49.8</v>
      </c>
      <c r="BJ20" s="61"/>
      <c r="BK20" s="61">
        <v>51.9</v>
      </c>
      <c r="BL20" s="61">
        <v>48.8</v>
      </c>
      <c r="BM20" s="61">
        <v>54.8</v>
      </c>
      <c r="BN20" s="61">
        <v>51.3</v>
      </c>
      <c r="BO20" s="1125">
        <f t="shared" si="33"/>
        <v>51.3</v>
      </c>
      <c r="BP20" s="61"/>
      <c r="BQ20" s="61">
        <v>47.9</v>
      </c>
      <c r="BR20" s="61">
        <v>51.2</v>
      </c>
      <c r="BS20" s="61">
        <v>60</v>
      </c>
      <c r="BT20" s="61">
        <v>64.400000000000006</v>
      </c>
      <c r="BU20" s="1125">
        <f t="shared" si="34"/>
        <v>64.400000000000006</v>
      </c>
      <c r="BV20" s="61"/>
      <c r="BW20" s="61">
        <v>60.6</v>
      </c>
      <c r="BX20" s="61">
        <v>106.2</v>
      </c>
      <c r="BY20" s="61">
        <v>107.7</v>
      </c>
      <c r="BZ20" s="61">
        <v>113.3</v>
      </c>
      <c r="CA20" s="1125">
        <f t="shared" si="35"/>
        <v>113.3</v>
      </c>
      <c r="CB20" s="61"/>
      <c r="CC20" s="61">
        <v>105</v>
      </c>
      <c r="CD20" s="61">
        <v>96.7</v>
      </c>
      <c r="CE20" s="61">
        <v>88.9</v>
      </c>
      <c r="CF20" s="61">
        <v>88</v>
      </c>
      <c r="CG20" s="1125">
        <f t="shared" si="36"/>
        <v>88</v>
      </c>
      <c r="CH20" s="61"/>
      <c r="CI20" s="61">
        <v>80.099999999999994</v>
      </c>
      <c r="CJ20" s="61">
        <v>73.599999999999994</v>
      </c>
      <c r="CK20" s="61">
        <v>65.3</v>
      </c>
      <c r="CL20" s="61">
        <v>57.2</v>
      </c>
      <c r="CM20" s="1125">
        <f t="shared" si="37"/>
        <v>57.2</v>
      </c>
      <c r="CN20" s="61"/>
      <c r="CO20" s="61">
        <v>62.8</v>
      </c>
      <c r="CP20" s="61">
        <v>69.400000000000006</v>
      </c>
      <c r="CQ20" s="61">
        <v>90.4</v>
      </c>
      <c r="CR20" s="61">
        <v>84.6</v>
      </c>
      <c r="CS20" s="1125">
        <f t="shared" si="38"/>
        <v>84.6</v>
      </c>
      <c r="CT20" s="61"/>
      <c r="CU20" s="61">
        <v>74.8</v>
      </c>
      <c r="CV20" s="61">
        <v>71.400000000000006</v>
      </c>
      <c r="CW20" s="61">
        <v>75.900000000000006</v>
      </c>
      <c r="CX20" s="61">
        <v>76</v>
      </c>
      <c r="CY20" s="1125">
        <f t="shared" si="39"/>
        <v>76</v>
      </c>
      <c r="CZ20" s="61"/>
      <c r="DA20" s="61">
        <v>69.2</v>
      </c>
      <c r="DB20" s="61">
        <v>63.1</v>
      </c>
      <c r="DC20" s="61">
        <v>54.3</v>
      </c>
      <c r="DD20" s="61">
        <v>63.1</v>
      </c>
      <c r="DE20" s="1125">
        <f t="shared" si="40"/>
        <v>63.1</v>
      </c>
      <c r="DF20" s="61"/>
      <c r="DG20" s="61">
        <v>89.4</v>
      </c>
      <c r="DH20" s="61">
        <v>100.7</v>
      </c>
      <c r="DI20" s="61">
        <v>97.2</v>
      </c>
      <c r="DJ20" s="61">
        <v>86.5</v>
      </c>
      <c r="DK20" s="1125">
        <f t="shared" si="41"/>
        <v>86.5</v>
      </c>
      <c r="DL20" s="61"/>
      <c r="DM20" s="61">
        <v>84.8</v>
      </c>
      <c r="DN20" s="61">
        <v>73.2</v>
      </c>
      <c r="DO20" s="61">
        <v>76.099999999999994</v>
      </c>
      <c r="DP20" s="61">
        <v>70.8</v>
      </c>
      <c r="DQ20" s="1125">
        <f t="shared" si="42"/>
        <v>70.8</v>
      </c>
      <c r="DR20" s="61"/>
      <c r="DS20" s="61">
        <v>70</v>
      </c>
      <c r="DT20" s="61">
        <v>66.599999999999994</v>
      </c>
      <c r="DU20" s="61">
        <v>53.9</v>
      </c>
      <c r="DV20" s="61">
        <v>45.7</v>
      </c>
      <c r="DW20" s="1125">
        <f t="shared" si="43"/>
        <v>45.7</v>
      </c>
      <c r="DX20" s="45"/>
      <c r="DY20" s="61">
        <v>41.1</v>
      </c>
      <c r="DZ20" s="61">
        <v>34</v>
      </c>
      <c r="EA20" s="61">
        <v>29.9</v>
      </c>
      <c r="EB20" s="61">
        <v>27.1</v>
      </c>
      <c r="EC20" s="1125">
        <f t="shared" si="44"/>
        <v>27.1</v>
      </c>
      <c r="ED20" s="45"/>
      <c r="EE20" s="61">
        <f>EE116</f>
        <v>51.700000000000102</v>
      </c>
      <c r="EF20" s="61">
        <f>EF116</f>
        <v>50.60000000000008</v>
      </c>
      <c r="EG20" s="61">
        <f>EG116</f>
        <v>49.500000000000057</v>
      </c>
      <c r="EH20" s="61">
        <f>EH116</f>
        <v>48.400000000000034</v>
      </c>
      <c r="EI20" s="1125">
        <f t="shared" si="45"/>
        <v>48.400000000000034</v>
      </c>
      <c r="EJ20" s="45"/>
      <c r="EK20" s="61">
        <f>EK116</f>
        <v>47.300000000000011</v>
      </c>
      <c r="EL20" s="61">
        <f>EL116</f>
        <v>46.199999999999989</v>
      </c>
      <c r="EM20" s="61">
        <f>EM116</f>
        <v>45.099999999999966</v>
      </c>
      <c r="EN20" s="61">
        <f>EN116</f>
        <v>43.999999999999943</v>
      </c>
      <c r="EO20" s="1125">
        <f t="shared" si="46"/>
        <v>43.999999999999943</v>
      </c>
      <c r="EP20" s="45"/>
      <c r="EQ20" s="61">
        <f>EQ116</f>
        <v>42.89999999999992</v>
      </c>
      <c r="ER20" s="61">
        <f>ER116</f>
        <v>41.799999999999898</v>
      </c>
      <c r="ES20" s="61">
        <f>ES116</f>
        <v>40.699999999999875</v>
      </c>
      <c r="ET20" s="61">
        <f>ET116</f>
        <v>39.599999999999852</v>
      </c>
      <c r="EU20" s="1125">
        <f t="shared" si="47"/>
        <v>39.599999999999852</v>
      </c>
      <c r="EV20" s="45"/>
      <c r="EW20" s="45"/>
      <c r="EX20" s="45"/>
      <c r="EY20" s="45"/>
      <c r="EZ20" s="45"/>
      <c r="FA20" s="45"/>
      <c r="FB20" s="45"/>
      <c r="FI20" s="1990"/>
      <c r="FJ20" s="1990"/>
    </row>
    <row r="21" spans="1:166" ht="10.5" customHeight="1">
      <c r="A21" s="41" t="s">
        <v>346</v>
      </c>
      <c r="B21" s="32"/>
      <c r="C21" s="61">
        <v>0</v>
      </c>
      <c r="D21" s="61">
        <v>0</v>
      </c>
      <c r="E21" s="61">
        <v>0</v>
      </c>
      <c r="F21" s="61">
        <v>0</v>
      </c>
      <c r="G21" s="61">
        <f t="shared" si="24"/>
        <v>0</v>
      </c>
      <c r="H21" s="90"/>
      <c r="I21" s="61">
        <v>0</v>
      </c>
      <c r="J21" s="61">
        <v>0</v>
      </c>
      <c r="K21" s="61">
        <v>0</v>
      </c>
      <c r="L21" s="61">
        <v>44.981999999999999</v>
      </c>
      <c r="M21" s="61">
        <v>44.981999999999999</v>
      </c>
      <c r="N21" s="61"/>
      <c r="O21" s="62">
        <v>41.933999999999997</v>
      </c>
      <c r="P21" s="62">
        <v>76.935000000000002</v>
      </c>
      <c r="Q21" s="62">
        <v>72.945999999999998</v>
      </c>
      <c r="R21" s="61">
        <v>85.546000000000006</v>
      </c>
      <c r="S21" s="61">
        <f t="shared" si="25"/>
        <v>85.546000000000006</v>
      </c>
      <c r="T21" s="61"/>
      <c r="U21" s="61">
        <v>91.611000000000004</v>
      </c>
      <c r="V21" s="61">
        <v>88.567999999999998</v>
      </c>
      <c r="W21" s="62">
        <v>81.537999999999997</v>
      </c>
      <c r="X21" s="61">
        <v>75.489000000000004</v>
      </c>
      <c r="Y21" s="61">
        <f t="shared" si="26"/>
        <v>75.489000000000004</v>
      </c>
      <c r="Z21" s="61"/>
      <c r="AA21" s="62">
        <v>68.352000000000004</v>
      </c>
      <c r="AB21" s="62">
        <v>61.277000000000001</v>
      </c>
      <c r="AC21" s="62">
        <v>56.08</v>
      </c>
      <c r="AD21" s="62">
        <v>54.273000000000003</v>
      </c>
      <c r="AE21" s="61">
        <f t="shared" si="27"/>
        <v>54.273000000000003</v>
      </c>
      <c r="AF21" s="61"/>
      <c r="AG21" s="62">
        <v>49.357999999999997</v>
      </c>
      <c r="AH21" s="62">
        <v>44.743000000000002</v>
      </c>
      <c r="AI21" s="62">
        <v>47.58</v>
      </c>
      <c r="AJ21" s="62">
        <v>39.987000000000002</v>
      </c>
      <c r="AK21" s="61">
        <f t="shared" si="28"/>
        <v>39.987000000000002</v>
      </c>
      <c r="AL21" s="61"/>
      <c r="AM21" s="62">
        <v>162.655</v>
      </c>
      <c r="AN21" s="62">
        <v>162.68199999999999</v>
      </c>
      <c r="AO21" s="62">
        <v>170.21700000000001</v>
      </c>
      <c r="AP21" s="62">
        <v>155.94499999999999</v>
      </c>
      <c r="AQ21" s="61">
        <f t="shared" si="29"/>
        <v>155.94499999999999</v>
      </c>
      <c r="AR21" s="61"/>
      <c r="AS21" s="62">
        <v>160.29300000000001</v>
      </c>
      <c r="AT21" s="62">
        <v>160.22999999999999</v>
      </c>
      <c r="AU21" s="62">
        <v>160.16399999999999</v>
      </c>
      <c r="AV21" s="62">
        <v>160.09399999999999</v>
      </c>
      <c r="AW21" s="61">
        <f t="shared" si="30"/>
        <v>160.09399999999999</v>
      </c>
      <c r="AX21" s="61"/>
      <c r="AY21" s="62">
        <v>163.9</v>
      </c>
      <c r="AZ21" s="62">
        <v>166.7</v>
      </c>
      <c r="BA21" s="62">
        <v>166.7</v>
      </c>
      <c r="BB21" s="62">
        <v>166.6</v>
      </c>
      <c r="BC21" s="61">
        <f t="shared" si="31"/>
        <v>166.6</v>
      </c>
      <c r="BD21" s="61"/>
      <c r="BE21" s="61">
        <v>172.4</v>
      </c>
      <c r="BF21" s="61">
        <v>188.7</v>
      </c>
      <c r="BG21" s="61">
        <v>194.7</v>
      </c>
      <c r="BH21" s="61">
        <v>318.2</v>
      </c>
      <c r="BI21" s="61">
        <f t="shared" si="32"/>
        <v>318.2</v>
      </c>
      <c r="BJ21" s="61"/>
      <c r="BK21" s="61">
        <v>354.3</v>
      </c>
      <c r="BL21" s="61">
        <v>366.5</v>
      </c>
      <c r="BM21" s="61">
        <v>364</v>
      </c>
      <c r="BN21" s="61">
        <v>355.3</v>
      </c>
      <c r="BO21" s="1125">
        <f t="shared" si="33"/>
        <v>355.3</v>
      </c>
      <c r="BP21" s="61"/>
      <c r="BQ21" s="61">
        <v>356.1</v>
      </c>
      <c r="BR21" s="61">
        <v>365.7</v>
      </c>
      <c r="BS21" s="61">
        <v>390.8</v>
      </c>
      <c r="BT21" s="61">
        <v>443.4</v>
      </c>
      <c r="BU21" s="1125">
        <f t="shared" si="34"/>
        <v>443.4</v>
      </c>
      <c r="BV21" s="61"/>
      <c r="BW21" s="61">
        <v>447.6</v>
      </c>
      <c r="BX21" s="61">
        <v>626.9</v>
      </c>
      <c r="BY21" s="61">
        <v>632.29999999999995</v>
      </c>
      <c r="BZ21" s="61">
        <v>542.5</v>
      </c>
      <c r="CA21" s="1125">
        <f t="shared" si="35"/>
        <v>542.5</v>
      </c>
      <c r="CB21" s="61"/>
      <c r="CC21" s="61">
        <v>520.70000000000005</v>
      </c>
      <c r="CD21" s="61">
        <v>525.5</v>
      </c>
      <c r="CE21" s="61">
        <v>530.5</v>
      </c>
      <c r="CF21" s="61">
        <v>542.9</v>
      </c>
      <c r="CG21" s="1125">
        <f t="shared" si="36"/>
        <v>542.9</v>
      </c>
      <c r="CH21" s="61"/>
      <c r="CI21" s="61">
        <v>540.29999999999995</v>
      </c>
      <c r="CJ21" s="61">
        <v>545.70000000000005</v>
      </c>
      <c r="CK21" s="61">
        <v>549.70000000000005</v>
      </c>
      <c r="CL21" s="61">
        <v>554.1</v>
      </c>
      <c r="CM21" s="1125">
        <f t="shared" si="37"/>
        <v>554.1</v>
      </c>
      <c r="CN21" s="61"/>
      <c r="CO21" s="61">
        <v>605.70000000000005</v>
      </c>
      <c r="CP21" s="61">
        <v>607.4</v>
      </c>
      <c r="CQ21" s="61">
        <v>653.9</v>
      </c>
      <c r="CR21" s="61">
        <v>682.4</v>
      </c>
      <c r="CS21" s="1125">
        <f t="shared" si="38"/>
        <v>682.4</v>
      </c>
      <c r="CT21" s="61"/>
      <c r="CU21" s="61">
        <v>682.9</v>
      </c>
      <c r="CV21" s="61">
        <v>739.2</v>
      </c>
      <c r="CW21" s="61">
        <v>824.6</v>
      </c>
      <c r="CX21" s="61">
        <v>871.5</v>
      </c>
      <c r="CY21" s="1125">
        <f t="shared" si="39"/>
        <v>871.5</v>
      </c>
      <c r="CZ21" s="61"/>
      <c r="DA21" s="61">
        <v>895.7</v>
      </c>
      <c r="DB21" s="61">
        <v>903.2</v>
      </c>
      <c r="DC21" s="61">
        <v>922.3</v>
      </c>
      <c r="DD21" s="61">
        <v>1009.9</v>
      </c>
      <c r="DE21" s="1125">
        <f t="shared" si="40"/>
        <v>1009.9</v>
      </c>
      <c r="DF21" s="61"/>
      <c r="DG21" s="61">
        <v>1263</v>
      </c>
      <c r="DH21" s="61">
        <v>1447.6</v>
      </c>
      <c r="DI21" s="61">
        <v>1474.1</v>
      </c>
      <c r="DJ21" s="61">
        <v>1456.2</v>
      </c>
      <c r="DK21" s="1125">
        <f t="shared" si="41"/>
        <v>1456.2</v>
      </c>
      <c r="DL21" s="61"/>
      <c r="DM21" s="61">
        <v>1476.1</v>
      </c>
      <c r="DN21" s="61">
        <v>1473.8</v>
      </c>
      <c r="DO21" s="61">
        <v>1515</v>
      </c>
      <c r="DP21" s="61">
        <v>1535</v>
      </c>
      <c r="DQ21" s="1125">
        <f t="shared" si="42"/>
        <v>1535</v>
      </c>
      <c r="DR21" s="61"/>
      <c r="DS21" s="61">
        <v>1580.5</v>
      </c>
      <c r="DT21" s="61">
        <v>1597.4</v>
      </c>
      <c r="DU21" s="61">
        <v>1557.3</v>
      </c>
      <c r="DV21" s="61">
        <v>1561.1</v>
      </c>
      <c r="DW21" s="1125">
        <f t="shared" si="43"/>
        <v>1561.1</v>
      </c>
      <c r="DX21" s="45"/>
      <c r="DY21" s="61">
        <v>1570.7</v>
      </c>
      <c r="DZ21" s="61">
        <v>1588.6</v>
      </c>
      <c r="EA21" s="61">
        <v>1588.7</v>
      </c>
      <c r="EB21" s="61">
        <v>1620.2</v>
      </c>
      <c r="EC21" s="1125">
        <f t="shared" si="44"/>
        <v>1620.2</v>
      </c>
      <c r="ED21" s="45"/>
      <c r="EE21" s="63">
        <f>EB21</f>
        <v>1620.2</v>
      </c>
      <c r="EF21" s="63">
        <f t="shared" ref="EF21:EF22" si="48">EE21</f>
        <v>1620.2</v>
      </c>
      <c r="EG21" s="63">
        <f t="shared" ref="EG21:EG22" si="49">EF21</f>
        <v>1620.2</v>
      </c>
      <c r="EH21" s="63">
        <f t="shared" ref="EH21:EH22" si="50">EG21</f>
        <v>1620.2</v>
      </c>
      <c r="EI21" s="1125">
        <f t="shared" si="45"/>
        <v>1620.2</v>
      </c>
      <c r="EJ21" s="45"/>
      <c r="EK21" s="63">
        <f>EH21</f>
        <v>1620.2</v>
      </c>
      <c r="EL21" s="63">
        <f t="shared" ref="EL21:EL22" si="51">EK21</f>
        <v>1620.2</v>
      </c>
      <c r="EM21" s="63">
        <f t="shared" ref="EM21:EM22" si="52">EL21</f>
        <v>1620.2</v>
      </c>
      <c r="EN21" s="63">
        <f t="shared" ref="EN21:EN22" si="53">EM21</f>
        <v>1620.2</v>
      </c>
      <c r="EO21" s="1125">
        <f t="shared" si="46"/>
        <v>1620.2</v>
      </c>
      <c r="EP21" s="45"/>
      <c r="EQ21" s="63">
        <f>EN21</f>
        <v>1620.2</v>
      </c>
      <c r="ER21" s="63">
        <f t="shared" ref="ER21:ER22" si="54">EQ21</f>
        <v>1620.2</v>
      </c>
      <c r="ES21" s="63">
        <f t="shared" ref="ES21:ES22" si="55">ER21</f>
        <v>1620.2</v>
      </c>
      <c r="ET21" s="63">
        <f t="shared" ref="ET21:ET22" si="56">ES21</f>
        <v>1620.2</v>
      </c>
      <c r="EU21" s="1125">
        <f t="shared" si="47"/>
        <v>1620.2</v>
      </c>
      <c r="EV21" s="45"/>
      <c r="EW21" s="45"/>
      <c r="EX21" s="45"/>
      <c r="EY21" s="45"/>
      <c r="EZ21" s="45"/>
      <c r="FA21" s="45"/>
      <c r="FB21" s="45"/>
      <c r="FI21" s="1990"/>
      <c r="FJ21" s="1990"/>
    </row>
    <row r="22" spans="1:166" ht="10.5" customHeight="1">
      <c r="A22" s="41" t="s">
        <v>5172</v>
      </c>
      <c r="B22" s="32"/>
      <c r="C22" s="61">
        <v>0</v>
      </c>
      <c r="D22" s="61">
        <v>0</v>
      </c>
      <c r="E22" s="61">
        <v>0</v>
      </c>
      <c r="F22" s="61">
        <v>0</v>
      </c>
      <c r="G22" s="61">
        <f t="shared" si="24"/>
        <v>0</v>
      </c>
      <c r="H22" s="90"/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/>
      <c r="O22" s="62">
        <v>1.25</v>
      </c>
      <c r="P22" s="62">
        <v>6.2930000000000001</v>
      </c>
      <c r="Q22" s="62">
        <v>14.063000000000001</v>
      </c>
      <c r="R22" s="61">
        <v>12.147</v>
      </c>
      <c r="S22" s="61">
        <f t="shared" si="25"/>
        <v>12.147</v>
      </c>
      <c r="T22" s="61"/>
      <c r="U22" s="61">
        <v>14.56</v>
      </c>
      <c r="V22" s="61">
        <v>14.462</v>
      </c>
      <c r="W22" s="62">
        <v>22.63</v>
      </c>
      <c r="X22" s="61">
        <v>27.818000000000001</v>
      </c>
      <c r="Y22" s="61">
        <f t="shared" si="26"/>
        <v>27.818000000000001</v>
      </c>
      <c r="Z22" s="61"/>
      <c r="AA22" s="62">
        <v>29.457999999999998</v>
      </c>
      <c r="AB22" s="62">
        <v>29.981000000000002</v>
      </c>
      <c r="AC22" s="62">
        <v>41.156999999999996</v>
      </c>
      <c r="AD22" s="62">
        <v>18.242000000000001</v>
      </c>
      <c r="AE22" s="61">
        <f>AD22</f>
        <v>18.242000000000001</v>
      </c>
      <c r="AF22" s="61"/>
      <c r="AG22" s="62">
        <v>17.934999999999999</v>
      </c>
      <c r="AH22" s="62">
        <v>19.334</v>
      </c>
      <c r="AI22" s="62">
        <v>47.136000000000003</v>
      </c>
      <c r="AJ22" s="62">
        <v>29.459</v>
      </c>
      <c r="AK22" s="61">
        <f>AJ22</f>
        <v>29.459</v>
      </c>
      <c r="AL22" s="61"/>
      <c r="AM22" s="62">
        <v>18.498999999999999</v>
      </c>
      <c r="AN22" s="62">
        <v>15.913</v>
      </c>
      <c r="AO22" s="62">
        <v>9.7609999999999992</v>
      </c>
      <c r="AP22" s="62">
        <v>0</v>
      </c>
      <c r="AQ22" s="61">
        <f>AP22</f>
        <v>0</v>
      </c>
      <c r="AR22" s="61"/>
      <c r="AS22" s="62">
        <v>6.0590000000000002</v>
      </c>
      <c r="AT22" s="62">
        <v>6.81</v>
      </c>
      <c r="AU22" s="62">
        <v>0</v>
      </c>
      <c r="AV22" s="62">
        <v>0</v>
      </c>
      <c r="AW22" s="61">
        <f>AV22</f>
        <v>0</v>
      </c>
      <c r="AX22" s="61"/>
      <c r="AY22" s="62">
        <v>3</v>
      </c>
      <c r="AZ22" s="62">
        <v>-0.8</v>
      </c>
      <c r="BA22" s="62">
        <v>42.4</v>
      </c>
      <c r="BB22" s="62">
        <v>103.5</v>
      </c>
      <c r="BC22" s="61">
        <f t="shared" si="31"/>
        <v>103.5</v>
      </c>
      <c r="BD22" s="61"/>
      <c r="BE22" s="61">
        <v>113.8</v>
      </c>
      <c r="BF22" s="61">
        <v>88.6</v>
      </c>
      <c r="BG22" s="61">
        <v>137.69999999999999</v>
      </c>
      <c r="BH22" s="61">
        <v>124.2</v>
      </c>
      <c r="BI22" s="61">
        <f t="shared" si="32"/>
        <v>124.2</v>
      </c>
      <c r="BJ22" s="61"/>
      <c r="BK22" s="61">
        <v>94</v>
      </c>
      <c r="BL22" s="61">
        <v>79.5</v>
      </c>
      <c r="BM22" s="61">
        <v>70</v>
      </c>
      <c r="BN22" s="61">
        <v>59.8</v>
      </c>
      <c r="BO22" s="1125">
        <f t="shared" si="33"/>
        <v>59.8</v>
      </c>
      <c r="BP22" s="61"/>
      <c r="BQ22" s="61">
        <v>61.9</v>
      </c>
      <c r="BR22" s="61">
        <v>51.8</v>
      </c>
      <c r="BS22" s="61">
        <v>69.3</v>
      </c>
      <c r="BT22" s="61">
        <v>51.3</v>
      </c>
      <c r="BU22" s="1125">
        <f t="shared" si="34"/>
        <v>51.3</v>
      </c>
      <c r="BV22" s="61"/>
      <c r="BW22" s="61">
        <v>39.799999999999997</v>
      </c>
      <c r="BX22" s="61">
        <v>67.5</v>
      </c>
      <c r="BY22" s="61">
        <v>86.2</v>
      </c>
      <c r="BZ22" s="61">
        <v>125.7</v>
      </c>
      <c r="CA22" s="1125">
        <f t="shared" si="35"/>
        <v>125.7</v>
      </c>
      <c r="CB22" s="61"/>
      <c r="CC22" s="61">
        <v>88.3</v>
      </c>
      <c r="CD22" s="61">
        <v>92.7</v>
      </c>
      <c r="CE22" s="61">
        <v>92.7</v>
      </c>
      <c r="CF22" s="61">
        <v>101.9</v>
      </c>
      <c r="CG22" s="1125">
        <f t="shared" si="36"/>
        <v>101.9</v>
      </c>
      <c r="CH22" s="61"/>
      <c r="CI22" s="61">
        <v>112.4</v>
      </c>
      <c r="CJ22" s="61">
        <v>113.1</v>
      </c>
      <c r="CK22" s="61">
        <v>107.7</v>
      </c>
      <c r="CL22" s="61">
        <v>90.7</v>
      </c>
      <c r="CM22" s="1125">
        <f t="shared" si="37"/>
        <v>90.7</v>
      </c>
      <c r="CN22" s="61"/>
      <c r="CO22" s="61">
        <v>102.7</v>
      </c>
      <c r="CP22" s="61">
        <v>118.8</v>
      </c>
      <c r="CQ22" s="61">
        <v>138.69999999999999</v>
      </c>
      <c r="CR22" s="61">
        <v>135.80000000000001</v>
      </c>
      <c r="CS22" s="1125">
        <f t="shared" si="38"/>
        <v>135.80000000000001</v>
      </c>
      <c r="CT22" s="61"/>
      <c r="CU22" s="61">
        <v>129.30000000000001</v>
      </c>
      <c r="CV22" s="61">
        <v>136.80000000000001</v>
      </c>
      <c r="CW22" s="61">
        <v>128.30000000000001</v>
      </c>
      <c r="CX22" s="61">
        <v>122.8</v>
      </c>
      <c r="CY22" s="1125">
        <f>CX22</f>
        <v>122.8</v>
      </c>
      <c r="CZ22" s="61"/>
      <c r="DA22" s="61">
        <v>134.30000000000001</v>
      </c>
      <c r="DB22" s="61">
        <v>125.3</v>
      </c>
      <c r="DC22" s="61">
        <v>118.3</v>
      </c>
      <c r="DD22" s="61">
        <v>131.1</v>
      </c>
      <c r="DE22" s="1125">
        <f>DD22</f>
        <v>131.1</v>
      </c>
      <c r="DF22" s="61"/>
      <c r="DG22" s="61">
        <v>93.6</v>
      </c>
      <c r="DH22" s="61">
        <v>86.8</v>
      </c>
      <c r="DI22" s="61">
        <v>97.7</v>
      </c>
      <c r="DJ22" s="61">
        <v>100</v>
      </c>
      <c r="DK22" s="1125">
        <f>DJ22</f>
        <v>100</v>
      </c>
      <c r="DL22" s="61"/>
      <c r="DM22" s="61">
        <v>106.8</v>
      </c>
      <c r="DN22" s="61">
        <v>4.2</v>
      </c>
      <c r="DO22" s="61">
        <v>4.4000000000000004</v>
      </c>
      <c r="DP22" s="61">
        <v>9.1999999999999993</v>
      </c>
      <c r="DQ22" s="1125">
        <f>DP22</f>
        <v>9.1999999999999993</v>
      </c>
      <c r="DR22" s="61"/>
      <c r="DS22" s="61">
        <v>9.8000000000000007</v>
      </c>
      <c r="DT22" s="61">
        <v>9.8000000000000007</v>
      </c>
      <c r="DU22" s="61">
        <v>49.6</v>
      </c>
      <c r="DV22" s="61">
        <v>62.4</v>
      </c>
      <c r="DW22" s="1125">
        <f t="shared" si="43"/>
        <v>62.4</v>
      </c>
      <c r="DX22" s="45"/>
      <c r="DY22" s="61">
        <v>64</v>
      </c>
      <c r="DZ22" s="61">
        <v>66.2</v>
      </c>
      <c r="EA22" s="61">
        <v>64.7</v>
      </c>
      <c r="EB22" s="61">
        <v>81.7</v>
      </c>
      <c r="EC22" s="1125">
        <f t="shared" si="44"/>
        <v>81.7</v>
      </c>
      <c r="ED22" s="45"/>
      <c r="EE22" s="63">
        <f>EB22</f>
        <v>81.7</v>
      </c>
      <c r="EF22" s="63">
        <f t="shared" si="48"/>
        <v>81.7</v>
      </c>
      <c r="EG22" s="63">
        <f t="shared" si="49"/>
        <v>81.7</v>
      </c>
      <c r="EH22" s="63">
        <f t="shared" si="50"/>
        <v>81.7</v>
      </c>
      <c r="EI22" s="1125">
        <f t="shared" si="45"/>
        <v>81.7</v>
      </c>
      <c r="EJ22" s="45"/>
      <c r="EK22" s="63">
        <f>EH22</f>
        <v>81.7</v>
      </c>
      <c r="EL22" s="63">
        <f t="shared" si="51"/>
        <v>81.7</v>
      </c>
      <c r="EM22" s="63">
        <f t="shared" si="52"/>
        <v>81.7</v>
      </c>
      <c r="EN22" s="63">
        <f t="shared" si="53"/>
        <v>81.7</v>
      </c>
      <c r="EO22" s="1125">
        <f t="shared" si="46"/>
        <v>81.7</v>
      </c>
      <c r="EP22" s="45"/>
      <c r="EQ22" s="63">
        <f>EN22</f>
        <v>81.7</v>
      </c>
      <c r="ER22" s="63">
        <f t="shared" si="54"/>
        <v>81.7</v>
      </c>
      <c r="ES22" s="63">
        <f t="shared" si="55"/>
        <v>81.7</v>
      </c>
      <c r="ET22" s="63">
        <f t="shared" si="56"/>
        <v>81.7</v>
      </c>
      <c r="EU22" s="1125">
        <f t="shared" si="47"/>
        <v>81.7</v>
      </c>
      <c r="EV22" s="45"/>
      <c r="EW22" s="45"/>
      <c r="EX22" s="45"/>
      <c r="EY22" s="45"/>
      <c r="EZ22" s="45"/>
      <c r="FA22" s="45"/>
      <c r="FB22" s="45"/>
      <c r="FI22" s="1990"/>
      <c r="FJ22" s="1990"/>
    </row>
    <row r="23" spans="1:166" ht="13.5" thickBot="1">
      <c r="A23" s="41" t="s">
        <v>5166</v>
      </c>
      <c r="B23" s="32"/>
      <c r="C23" s="61">
        <v>21.600999999999999</v>
      </c>
      <c r="D23" s="61">
        <v>21.504999999999999</v>
      </c>
      <c r="E23" s="61">
        <v>18.902000000000001</v>
      </c>
      <c r="F23" s="61">
        <v>18.216000000000001</v>
      </c>
      <c r="G23" s="61">
        <f t="shared" si="24"/>
        <v>18.216000000000001</v>
      </c>
      <c r="H23" s="90"/>
      <c r="I23" s="90">
        <v>37.790999999999997</v>
      </c>
      <c r="J23" s="90">
        <v>38.100999999999999</v>
      </c>
      <c r="K23" s="61">
        <v>36.640999999999998</v>
      </c>
      <c r="L23" s="61">
        <v>33.463000000000001</v>
      </c>
      <c r="M23" s="61">
        <v>33.463000000000001</v>
      </c>
      <c r="N23" s="61"/>
      <c r="O23" s="62">
        <v>16.027999999999999</v>
      </c>
      <c r="P23" s="62">
        <v>16.911999999999999</v>
      </c>
      <c r="Q23" s="62">
        <v>22.655999999999999</v>
      </c>
      <c r="R23" s="61">
        <v>25.602</v>
      </c>
      <c r="S23" s="61">
        <f t="shared" si="25"/>
        <v>25.602</v>
      </c>
      <c r="T23" s="61"/>
      <c r="U23" s="61">
        <v>23.962</v>
      </c>
      <c r="V23" s="61">
        <v>16.268999999999998</v>
      </c>
      <c r="W23" s="62">
        <v>14.476000000000001</v>
      </c>
      <c r="X23" s="61">
        <v>5.8550000000000004</v>
      </c>
      <c r="Y23" s="61">
        <f t="shared" si="26"/>
        <v>5.8550000000000004</v>
      </c>
      <c r="Z23" s="61"/>
      <c r="AA23" s="62">
        <v>21.102</v>
      </c>
      <c r="AB23" s="62">
        <v>18.109000000000002</v>
      </c>
      <c r="AC23" s="62">
        <v>12.188000000000001</v>
      </c>
      <c r="AD23" s="62">
        <v>10.375999999999999</v>
      </c>
      <c r="AE23" s="61">
        <f t="shared" si="27"/>
        <v>10.375999999999999</v>
      </c>
      <c r="AF23" s="61"/>
      <c r="AG23" s="62">
        <v>9.08</v>
      </c>
      <c r="AH23" s="62">
        <v>7.8650000000000002</v>
      </c>
      <c r="AI23" s="62">
        <v>11.329000000000001</v>
      </c>
      <c r="AJ23" s="62">
        <v>10.172000000000001</v>
      </c>
      <c r="AK23" s="61">
        <f t="shared" si="28"/>
        <v>10.172000000000001</v>
      </c>
      <c r="AL23" s="61"/>
      <c r="AM23" s="62">
        <v>10.311999999999999</v>
      </c>
      <c r="AN23" s="62">
        <v>10.569000000000001</v>
      </c>
      <c r="AO23" s="62">
        <v>9.4969999999999999</v>
      </c>
      <c r="AP23" s="62">
        <v>7.7969999999999997</v>
      </c>
      <c r="AQ23" s="61">
        <f t="shared" si="29"/>
        <v>7.7969999999999997</v>
      </c>
      <c r="AR23" s="61"/>
      <c r="AS23" s="62">
        <v>7.8380000000000001</v>
      </c>
      <c r="AT23" s="62">
        <v>7.657</v>
      </c>
      <c r="AU23" s="62">
        <v>6.19</v>
      </c>
      <c r="AV23" s="62">
        <v>7.9859999999999998</v>
      </c>
      <c r="AW23" s="61">
        <f t="shared" si="30"/>
        <v>7.9859999999999998</v>
      </c>
      <c r="AX23" s="61"/>
      <c r="AY23" s="62">
        <v>9.9</v>
      </c>
      <c r="AZ23" s="62">
        <v>9.6</v>
      </c>
      <c r="BA23" s="62">
        <v>9</v>
      </c>
      <c r="BB23" s="62">
        <v>9.8000000000000007</v>
      </c>
      <c r="BC23" s="61">
        <f t="shared" si="31"/>
        <v>9.8000000000000007</v>
      </c>
      <c r="BD23" s="61"/>
      <c r="BE23" s="61">
        <v>15.8</v>
      </c>
      <c r="BF23" s="61">
        <v>16.899999999999999</v>
      </c>
      <c r="BG23" s="61">
        <v>18.3</v>
      </c>
      <c r="BH23" s="61">
        <v>55.4</v>
      </c>
      <c r="BI23" s="61">
        <f t="shared" si="32"/>
        <v>55.4</v>
      </c>
      <c r="BJ23" s="61"/>
      <c r="BK23" s="61">
        <v>81.5</v>
      </c>
      <c r="BL23" s="61">
        <v>80</v>
      </c>
      <c r="BM23" s="61">
        <v>78.8</v>
      </c>
      <c r="BN23" s="61">
        <v>75.8</v>
      </c>
      <c r="BO23" s="1125">
        <f t="shared" si="33"/>
        <v>75.8</v>
      </c>
      <c r="BP23" s="61"/>
      <c r="BQ23" s="61">
        <v>75.099999999999994</v>
      </c>
      <c r="BR23" s="61">
        <v>78</v>
      </c>
      <c r="BS23" s="61">
        <v>81.900000000000006</v>
      </c>
      <c r="BT23" s="61">
        <v>79.400000000000006</v>
      </c>
      <c r="BU23" s="1125">
        <f t="shared" si="34"/>
        <v>79.400000000000006</v>
      </c>
      <c r="BV23" s="61"/>
      <c r="BW23" s="61">
        <v>76</v>
      </c>
      <c r="BX23" s="61">
        <v>122.9</v>
      </c>
      <c r="BY23" s="61">
        <v>112.2</v>
      </c>
      <c r="BZ23" s="61">
        <v>123</v>
      </c>
      <c r="CA23" s="1125">
        <f t="shared" si="35"/>
        <v>123</v>
      </c>
      <c r="CB23" s="61"/>
      <c r="CC23" s="61">
        <v>125</v>
      </c>
      <c r="CD23" s="61">
        <v>118.3</v>
      </c>
      <c r="CE23" s="61">
        <v>112.3</v>
      </c>
      <c r="CF23" s="61">
        <v>107.6</v>
      </c>
      <c r="CG23" s="1125">
        <f t="shared" si="36"/>
        <v>107.6</v>
      </c>
      <c r="CH23" s="61"/>
      <c r="CI23" s="61">
        <v>99.9</v>
      </c>
      <c r="CJ23" s="61">
        <v>102.6</v>
      </c>
      <c r="CK23" s="61">
        <v>103</v>
      </c>
      <c r="CL23" s="61">
        <v>94.2</v>
      </c>
      <c r="CM23" s="1125">
        <f t="shared" si="37"/>
        <v>94.2</v>
      </c>
      <c r="CN23" s="61"/>
      <c r="CO23" s="61">
        <v>122.9</v>
      </c>
      <c r="CP23" s="61">
        <v>114.9</v>
      </c>
      <c r="CQ23" s="61">
        <v>130.69999999999999</v>
      </c>
      <c r="CR23" s="61">
        <v>131.80000000000001</v>
      </c>
      <c r="CS23" s="1125">
        <f t="shared" si="38"/>
        <v>131.80000000000001</v>
      </c>
      <c r="CT23" s="61"/>
      <c r="CU23" s="61">
        <v>129.80000000000001</v>
      </c>
      <c r="CV23" s="61">
        <v>130.69999999999999</v>
      </c>
      <c r="CW23" s="61">
        <v>152.9</v>
      </c>
      <c r="CX23" s="61">
        <v>159.69999999999999</v>
      </c>
      <c r="CY23" s="1125">
        <f t="shared" si="39"/>
        <v>159.69999999999999</v>
      </c>
      <c r="CZ23" s="61"/>
      <c r="DA23" s="61">
        <v>158.4</v>
      </c>
      <c r="DB23" s="61">
        <v>151.69999999999999</v>
      </c>
      <c r="DC23" s="61">
        <v>156.1</v>
      </c>
      <c r="DD23" s="61">
        <v>148.30000000000001</v>
      </c>
      <c r="DE23" s="1125">
        <f t="shared" si="40"/>
        <v>148.30000000000001</v>
      </c>
      <c r="DF23" s="61"/>
      <c r="DG23" s="61">
        <v>202</v>
      </c>
      <c r="DH23" s="61">
        <v>209.3</v>
      </c>
      <c r="DI23" s="61">
        <v>193.2</v>
      </c>
      <c r="DJ23" s="61">
        <v>167.6</v>
      </c>
      <c r="DK23" s="1125">
        <f t="shared" si="41"/>
        <v>167.6</v>
      </c>
      <c r="DL23" s="61"/>
      <c r="DM23" s="61">
        <v>170</v>
      </c>
      <c r="DN23" s="61">
        <v>170.1</v>
      </c>
      <c r="DO23" s="61">
        <v>181.6</v>
      </c>
      <c r="DP23" s="61">
        <v>205.6</v>
      </c>
      <c r="DQ23" s="1125">
        <f t="shared" si="42"/>
        <v>205.6</v>
      </c>
      <c r="DR23" s="61"/>
      <c r="DS23" s="61">
        <v>202.5</v>
      </c>
      <c r="DT23" s="61">
        <v>208.5</v>
      </c>
      <c r="DU23" s="61">
        <v>213</v>
      </c>
      <c r="DV23" s="61">
        <v>202</v>
      </c>
      <c r="DW23" s="1125">
        <f t="shared" si="43"/>
        <v>202</v>
      </c>
      <c r="DX23" s="45"/>
      <c r="DY23" s="61">
        <v>201.1</v>
      </c>
      <c r="DZ23" s="61">
        <v>192.9</v>
      </c>
      <c r="EA23" s="61">
        <v>184.4</v>
      </c>
      <c r="EB23" s="61">
        <v>170.9</v>
      </c>
      <c r="EC23" s="1125">
        <f t="shared" si="44"/>
        <v>170.9</v>
      </c>
      <c r="ED23" s="45"/>
      <c r="EE23" s="61">
        <f>Model!EE261*EE84</f>
        <v>192.13507063796851</v>
      </c>
      <c r="EF23" s="61">
        <f>Model!EF261*EF84</f>
        <v>196.77187694953699</v>
      </c>
      <c r="EG23" s="61">
        <f>Model!EG261*EG84</f>
        <v>194.40923047769439</v>
      </c>
      <c r="EH23" s="61">
        <f>Model!EH261*EH84</f>
        <v>182.71513980145562</v>
      </c>
      <c r="EI23" s="1125">
        <f t="shared" si="45"/>
        <v>182.71513980145562</v>
      </c>
      <c r="EJ23" s="45"/>
      <c r="EK23" s="61">
        <f>Model!EK261*EK84</f>
        <v>185.16512807596416</v>
      </c>
      <c r="EL23" s="61">
        <f>Model!EL261*EL84</f>
        <v>190.21689363711221</v>
      </c>
      <c r="EM23" s="61">
        <f>Model!EM261*EM84</f>
        <v>184.3254853518396</v>
      </c>
      <c r="EN23" s="61">
        <f>Model!EN261*EN84</f>
        <v>164.90570413433701</v>
      </c>
      <c r="EO23" s="1125">
        <f t="shared" si="46"/>
        <v>164.90570413433701</v>
      </c>
      <c r="EP23" s="45"/>
      <c r="EQ23" s="61">
        <f>Model!EQ261*EQ84</f>
        <v>160.14178576434676</v>
      </c>
      <c r="ER23" s="61">
        <f>Model!ER261*ER84</f>
        <v>161.25239670538841</v>
      </c>
      <c r="ES23" s="61">
        <f>Model!ES261*ES84</f>
        <v>150.54479419618801</v>
      </c>
      <c r="ET23" s="61">
        <f>Model!ET261*ET84</f>
        <v>123.68502316956462</v>
      </c>
      <c r="EU23" s="1125">
        <f t="shared" si="47"/>
        <v>123.68502316956462</v>
      </c>
      <c r="EV23" s="45"/>
      <c r="EW23" s="45"/>
      <c r="EX23" s="45"/>
      <c r="EY23" s="45"/>
      <c r="EZ23" s="45"/>
      <c r="FA23" s="45"/>
      <c r="FB23" s="45"/>
      <c r="FI23" s="1990"/>
      <c r="FJ23" s="1990"/>
    </row>
    <row r="24" spans="1:166" ht="13.5" customHeight="1" thickBot="1">
      <c r="A24" s="134" t="s">
        <v>5569</v>
      </c>
      <c r="B24" s="1314"/>
      <c r="C24" s="369">
        <f>C16+C18+C19+SUM(C20:C23)</f>
        <v>520.19899999999996</v>
      </c>
      <c r="D24" s="369">
        <f>D16+D18+D19+SUM(D20:D23)</f>
        <v>510.76500000000004</v>
      </c>
      <c r="E24" s="369">
        <f>E16+E18+E19+SUM(E20:E23)</f>
        <v>477.16300000000001</v>
      </c>
      <c r="F24" s="369">
        <f>F16+F18+F19+SUM(F20:F23)</f>
        <v>492.23299999999995</v>
      </c>
      <c r="G24" s="369">
        <f>G16+G18+G19+SUM(G20:G23)</f>
        <v>492.23299999999995</v>
      </c>
      <c r="H24" s="369"/>
      <c r="I24" s="369">
        <f>I16+I18+I19+SUM(I20:I23)</f>
        <v>543.31999999999994</v>
      </c>
      <c r="J24" s="369">
        <f>J16+J18+J19+SUM(J20:J23)</f>
        <v>577.85800000000006</v>
      </c>
      <c r="K24" s="369">
        <f>K16+K18+K19+SUM(K20:K23)</f>
        <v>568.96599999999989</v>
      </c>
      <c r="L24" s="369">
        <f>L16+L18+L19+SUM(L20:L23)</f>
        <v>563.49</v>
      </c>
      <c r="M24" s="369">
        <f>M16+M18+M19+SUM(M20:M23)</f>
        <v>563.49</v>
      </c>
      <c r="N24" s="369"/>
      <c r="O24" s="369">
        <f>SUM(O16:O23)</f>
        <v>623.37300000000005</v>
      </c>
      <c r="P24" s="369">
        <f>SUM(P16:P23)</f>
        <v>605.85199999999998</v>
      </c>
      <c r="Q24" s="369">
        <f>SUM(Q16:Q23)</f>
        <v>662.54499999999985</v>
      </c>
      <c r="R24" s="369">
        <f>R16+R18+R19+SUM(R20:R23)</f>
        <v>823.26</v>
      </c>
      <c r="S24" s="369">
        <f t="shared" si="25"/>
        <v>823.26</v>
      </c>
      <c r="T24" s="369"/>
      <c r="U24" s="369">
        <f>U16+U18+U19+SUM(U20:U23)</f>
        <v>930.29500000000007</v>
      </c>
      <c r="V24" s="369">
        <f>V16+V18+V19+SUM(V20:V23)</f>
        <v>928.32299999999998</v>
      </c>
      <c r="W24" s="369">
        <f>SUM(W16:W23)</f>
        <v>944.8950000000001</v>
      </c>
      <c r="X24" s="369">
        <f>X16+X18+X19+SUM(X20:X23)</f>
        <v>907.32599999999991</v>
      </c>
      <c r="Y24" s="369">
        <f t="shared" si="26"/>
        <v>907.32599999999991</v>
      </c>
      <c r="Z24" s="369"/>
      <c r="AA24" s="369">
        <f>AA16+AA18+AA19+SUM(AA20:AA23)</f>
        <v>813.38499999999988</v>
      </c>
      <c r="AB24" s="369">
        <f>AB16+AB18+AB19+SUM(AB20:AB23)</f>
        <v>844.20799999999997</v>
      </c>
      <c r="AC24" s="369">
        <f>AC16+AC18+AC19+SUM(AC20:AC23)</f>
        <v>829.94399999999996</v>
      </c>
      <c r="AD24" s="369">
        <f>AD16+AD18+AD19+SUM(AD20:AD23)</f>
        <v>807.75900000000001</v>
      </c>
      <c r="AE24" s="369">
        <f t="shared" si="27"/>
        <v>807.75900000000001</v>
      </c>
      <c r="AF24" s="369"/>
      <c r="AG24" s="369">
        <f>AG16+AG18+AG19+SUM(AG20:AG23)</f>
        <v>777.096</v>
      </c>
      <c r="AH24" s="369">
        <f>AH16+AH18+AH19+SUM(AH20:AH23)</f>
        <v>830.41600000000005</v>
      </c>
      <c r="AI24" s="369">
        <f>AI16+AI18+AI19+SUM(AI20:AI23)</f>
        <v>853.173</v>
      </c>
      <c r="AJ24" s="369">
        <f>AJ16+AJ18+AJ19+SUM(AJ20:AJ23)</f>
        <v>902.44399999999996</v>
      </c>
      <c r="AK24" s="369">
        <f t="shared" si="28"/>
        <v>902.44399999999996</v>
      </c>
      <c r="AL24" s="1315"/>
      <c r="AM24" s="369">
        <f>AM16+AM18+AM19+SUM(AM20:AM23)</f>
        <v>929.63100000000009</v>
      </c>
      <c r="AN24" s="369">
        <f>AN16+AN18+AN19+SUM(AN20:AN23)</f>
        <v>918.00199999999995</v>
      </c>
      <c r="AO24" s="369">
        <f>AO16+AO18+AO19+SUM(AO20:AO23)</f>
        <v>900.4849999999999</v>
      </c>
      <c r="AP24" s="369">
        <f>AP16+AP18+AP19+SUM(AP20:AP23)</f>
        <v>883.64999999999986</v>
      </c>
      <c r="AQ24" s="369">
        <f t="shared" si="29"/>
        <v>883.64999999999986</v>
      </c>
      <c r="AR24" s="369"/>
      <c r="AS24" s="369">
        <f>AS16+AS18+AS19+SUM(AS20:AS23)</f>
        <v>872.46299999999997</v>
      </c>
      <c r="AT24" s="369">
        <f>AT16+AT18+AT19+SUM(AT20:AT23)</f>
        <v>916.11300000000006</v>
      </c>
      <c r="AU24" s="369">
        <f>AU16+AU18+AU19+SUM(AU20:AU23)</f>
        <v>934.82799999999997</v>
      </c>
      <c r="AV24" s="369">
        <f>AV16+AV18+AV19+SUM(AV20:AV23)</f>
        <v>1017.16</v>
      </c>
      <c r="AW24" s="369">
        <f t="shared" si="30"/>
        <v>1017.16</v>
      </c>
      <c r="AX24" s="369"/>
      <c r="AY24" s="369">
        <f>AY16+AY18+AY19+SUM(AY20:AY23)</f>
        <v>989.5</v>
      </c>
      <c r="AZ24" s="369">
        <f>AZ16+AZ18+AZ19+SUM(AZ20:AZ23)</f>
        <v>1048.6999999999998</v>
      </c>
      <c r="BA24" s="369">
        <f>BA16+BA18+BA19+SUM(BA20:BA23)</f>
        <v>1080.4000000000001</v>
      </c>
      <c r="BB24" s="369">
        <f>BB16+BB18+BB19+SUM(BB20:BB23)</f>
        <v>1140.5999999999999</v>
      </c>
      <c r="BC24" s="369">
        <f t="shared" si="31"/>
        <v>1140.5999999999999</v>
      </c>
      <c r="BD24" s="369"/>
      <c r="BE24" s="369">
        <f>BE16+BE18+BE19+BE20+BE21+BE22+BE23</f>
        <v>1174.5999999999999</v>
      </c>
      <c r="BF24" s="369">
        <f>SUM(BF16:BF23)</f>
        <v>1177.5</v>
      </c>
      <c r="BG24" s="369">
        <f>SUM(BG16:BG23)</f>
        <v>1286.9000000000001</v>
      </c>
      <c r="BH24" s="369">
        <f>SUM(BH16:BH23)</f>
        <v>1355.8</v>
      </c>
      <c r="BI24" s="369">
        <f t="shared" si="32"/>
        <v>1355.8</v>
      </c>
      <c r="BJ24" s="369"/>
      <c r="BK24" s="369">
        <f>SUM(BK16:BK23)</f>
        <v>1434.5</v>
      </c>
      <c r="BL24" s="369">
        <f>SUM(BL16:BL23)</f>
        <v>1475.5</v>
      </c>
      <c r="BM24" s="369">
        <f>SUM(BM16:BM23)</f>
        <v>1600.2999999999997</v>
      </c>
      <c r="BN24" s="369">
        <f>SUM(BN16:BN23)</f>
        <v>1797.4999999999998</v>
      </c>
      <c r="BO24" s="1309">
        <f t="shared" si="33"/>
        <v>1797.4999999999998</v>
      </c>
      <c r="BP24" s="369"/>
      <c r="BQ24" s="369">
        <f>SUM(BQ16:BQ23)</f>
        <v>1989.4</v>
      </c>
      <c r="BR24" s="369">
        <f>SUM(BR16:BR23)</f>
        <v>1878.1</v>
      </c>
      <c r="BS24" s="369">
        <f>SUM(BS16:BS23)</f>
        <v>1991</v>
      </c>
      <c r="BT24" s="369">
        <f>SUM(BT16:BT23)</f>
        <v>2208.9000000000005</v>
      </c>
      <c r="BU24" s="1309">
        <f t="shared" si="34"/>
        <v>2208.9000000000005</v>
      </c>
      <c r="BV24" s="369"/>
      <c r="BW24" s="369">
        <f>SUM(BW16:BW23)</f>
        <v>2140</v>
      </c>
      <c r="BX24" s="369">
        <f>SUM(BX16:BX23)</f>
        <v>2443.5000000000005</v>
      </c>
      <c r="BY24" s="369">
        <f>SUM(BY16:BY23)</f>
        <v>2373.6999999999994</v>
      </c>
      <c r="BZ24" s="369">
        <f>SUM(BZ16:BZ23)</f>
        <v>2420.6999999999994</v>
      </c>
      <c r="CA24" s="1309">
        <f t="shared" si="35"/>
        <v>2420.6999999999994</v>
      </c>
      <c r="CB24" s="369"/>
      <c r="CC24" s="369">
        <f>SUM(CC16:CC23)</f>
        <v>2269.5</v>
      </c>
      <c r="CD24" s="369">
        <f>SUM(CD16:CD23)</f>
        <v>2311.1</v>
      </c>
      <c r="CE24" s="369">
        <f>SUM(CE16:CE23)</f>
        <v>2315.4</v>
      </c>
      <c r="CF24" s="369">
        <f>SUM(CF16:CF23)</f>
        <v>2447.1999999999998</v>
      </c>
      <c r="CG24" s="1316">
        <f t="shared" si="36"/>
        <v>2447.1999999999998</v>
      </c>
      <c r="CH24" s="369"/>
      <c r="CI24" s="369">
        <f>SUM(CI16:CI23)</f>
        <v>2501.6999999999998</v>
      </c>
      <c r="CJ24" s="369">
        <f>SUM(CJ16:CJ23)</f>
        <v>2524.9999999999995</v>
      </c>
      <c r="CK24" s="369">
        <f>SUM(CK16:CK23)</f>
        <v>2581.0999999999995</v>
      </c>
      <c r="CL24" s="369">
        <f>SUM(CL16:CL23)</f>
        <v>2787.599999999999</v>
      </c>
      <c r="CM24" s="1316">
        <f t="shared" si="37"/>
        <v>2787.599999999999</v>
      </c>
      <c r="CN24" s="369"/>
      <c r="CO24" s="1649">
        <f>SUM(CO16:CO23)</f>
        <v>2902.2000000000003</v>
      </c>
      <c r="CP24" s="369">
        <f>SUM(CP16:CP23)</f>
        <v>2973.7000000000003</v>
      </c>
      <c r="CQ24" s="369">
        <f>SUM(CQ16:CQ23)</f>
        <v>3004.9999999999995</v>
      </c>
      <c r="CR24" s="369">
        <f>SUM(CR16:CR23)</f>
        <v>3227.8000000000006</v>
      </c>
      <c r="CS24" s="1316">
        <f t="shared" si="38"/>
        <v>3227.8000000000006</v>
      </c>
      <c r="CT24" s="369"/>
      <c r="CU24" s="1649">
        <f>SUM(CU16:CU23)</f>
        <v>3317.0000000000005</v>
      </c>
      <c r="CV24" s="369">
        <f>SUM(CV16:CV23)</f>
        <v>3375.8999999999996</v>
      </c>
      <c r="CW24" s="369">
        <f>SUM(CW16:CW23)</f>
        <v>3429.2000000000003</v>
      </c>
      <c r="CX24" s="369">
        <f>SUM(CX16:CX23)</f>
        <v>4308.3999999999996</v>
      </c>
      <c r="CY24" s="1316">
        <f t="shared" si="39"/>
        <v>4308.3999999999996</v>
      </c>
      <c r="CZ24" s="369"/>
      <c r="DA24" s="369">
        <f>SUM(DA16:DA23)</f>
        <v>4289.7</v>
      </c>
      <c r="DB24" s="369">
        <f>SUM(DB16:DB23)</f>
        <v>4223.3</v>
      </c>
      <c r="DC24" s="369">
        <f>SUM(DC16:DC23)</f>
        <v>4321.5000000000009</v>
      </c>
      <c r="DD24" s="369">
        <f>SUM(DD16:DD23)</f>
        <v>4595.0000000000009</v>
      </c>
      <c r="DE24" s="1316">
        <f t="shared" si="40"/>
        <v>4595.0000000000009</v>
      </c>
      <c r="DF24" s="369"/>
      <c r="DG24" s="369">
        <f>SUM(DG16:DG23)</f>
        <v>4648.6000000000004</v>
      </c>
      <c r="DH24" s="369">
        <f>SUM(DH16:DH23)</f>
        <v>4703.3999999999996</v>
      </c>
      <c r="DI24" s="369">
        <f>SUM(DI16:DI23)</f>
        <v>4736.7999999999993</v>
      </c>
      <c r="DJ24" s="369">
        <f>SUM(DJ16:DJ23)</f>
        <v>4913.8</v>
      </c>
      <c r="DK24" s="1316">
        <f t="shared" si="41"/>
        <v>4913.8</v>
      </c>
      <c r="DL24" s="369"/>
      <c r="DM24" s="369">
        <f>SUM(DM16:DM23)</f>
        <v>4775.9000000000005</v>
      </c>
      <c r="DN24" s="369">
        <f>SUM(DN16:DN23)</f>
        <v>5341.7999999999993</v>
      </c>
      <c r="DO24" s="369">
        <f>SUM(DO16:DO23)</f>
        <v>5220</v>
      </c>
      <c r="DP24" s="369">
        <f>SUM(DP16:DP23)</f>
        <v>5515.3</v>
      </c>
      <c r="DQ24" s="1316">
        <f t="shared" si="42"/>
        <v>5515.3</v>
      </c>
      <c r="DR24" s="369"/>
      <c r="DS24" s="369">
        <f>SUM(DS16:DS23)</f>
        <v>5205.6000000000013</v>
      </c>
      <c r="DT24" s="369">
        <f>SUM(DT16:DT23)</f>
        <v>5047.4000000000005</v>
      </c>
      <c r="DU24" s="369">
        <f>SUM(DU16:DU23)</f>
        <v>4829.2000000000007</v>
      </c>
      <c r="DV24" s="369">
        <f>SUM(DV16:DV23)</f>
        <v>4797.7999999999993</v>
      </c>
      <c r="DW24" s="1316">
        <f t="shared" si="43"/>
        <v>4797.7999999999993</v>
      </c>
      <c r="DX24" s="2125"/>
      <c r="DY24" s="369">
        <f>SUM(DY16:DY23)</f>
        <v>4431.4000000000005</v>
      </c>
      <c r="DZ24" s="369">
        <f>SUM(DZ16:DZ23)</f>
        <v>4353.9999999999991</v>
      </c>
      <c r="EA24" s="369">
        <f>SUM(EA16:EA23)</f>
        <v>4152</v>
      </c>
      <c r="EB24" s="369">
        <f>SUM(EB16:EB23)</f>
        <v>4113.5999999999995</v>
      </c>
      <c r="EC24" s="1316">
        <f t="shared" si="44"/>
        <v>4113.5999999999995</v>
      </c>
      <c r="ED24" s="2125"/>
      <c r="EE24" s="369">
        <f>SUM(EE16:EE23)</f>
        <v>3856.9462274723764</v>
      </c>
      <c r="EF24" s="369">
        <f>SUM(EF16:EF23)</f>
        <v>3768.1723044661317</v>
      </c>
      <c r="EG24" s="369">
        <f>SUM(EG16:EG23)</f>
        <v>3715.0633478664554</v>
      </c>
      <c r="EH24" s="369">
        <f>SUM(EH16:EH23)</f>
        <v>4021.1308097983247</v>
      </c>
      <c r="EI24" s="1316">
        <f t="shared" si="45"/>
        <v>4021.1308097983247</v>
      </c>
      <c r="EJ24" s="2125"/>
      <c r="EK24" s="369">
        <f>SUM(EK16:EK23)</f>
        <v>3718.1244374275175</v>
      </c>
      <c r="EL24" s="369">
        <f>SUM(EL16:EL23)</f>
        <v>3853.7731937178432</v>
      </c>
      <c r="EM24" s="369">
        <f>SUM(EM16:EM23)</f>
        <v>3925.1971579572169</v>
      </c>
      <c r="EN24" s="369">
        <f>SUM(EN16:EN23)</f>
        <v>4446.7167676953804</v>
      </c>
      <c r="EO24" s="1316">
        <f t="shared" si="46"/>
        <v>4446.7167676953804</v>
      </c>
      <c r="EP24" s="2125"/>
      <c r="EQ24" s="369">
        <f>SUM(EQ16:EQ23)</f>
        <v>4241.6899855137826</v>
      </c>
      <c r="ER24" s="369">
        <f>SUM(ER16:ER23)</f>
        <v>4470.1018771085446</v>
      </c>
      <c r="ES24" s="369">
        <f>SUM(ES16:ES23)</f>
        <v>4589.4875392269751</v>
      </c>
      <c r="ET24" s="369">
        <f>SUM(ET16:ET23)</f>
        <v>5177.8914383075071</v>
      </c>
      <c r="EU24" s="1316">
        <f t="shared" si="47"/>
        <v>5177.8914383075071</v>
      </c>
      <c r="EV24" s="81"/>
      <c r="EW24" s="81"/>
      <c r="EX24" s="81"/>
      <c r="EY24" s="81"/>
      <c r="EZ24" s="81"/>
      <c r="FA24" s="81"/>
      <c r="FB24" s="81"/>
      <c r="FI24" s="1990"/>
      <c r="FJ24" s="1990"/>
    </row>
    <row r="25" spans="1:166" ht="5.25" customHeight="1">
      <c r="A25" s="75"/>
      <c r="B25" s="32"/>
      <c r="C25" s="90"/>
      <c r="D25" s="90"/>
      <c r="E25" s="90"/>
      <c r="F25" s="90"/>
      <c r="G25" s="61"/>
      <c r="H25" s="90"/>
      <c r="I25" s="90"/>
      <c r="J25" s="90"/>
      <c r="K25" s="169"/>
      <c r="L25" s="169"/>
      <c r="M25" s="169"/>
      <c r="N25" s="169"/>
      <c r="O25" s="76"/>
      <c r="P25" s="77"/>
      <c r="Q25" s="77"/>
      <c r="R25" s="77"/>
      <c r="S25" s="77"/>
      <c r="T25" s="77"/>
      <c r="U25" s="76"/>
      <c r="V25" s="77"/>
      <c r="W25" s="77"/>
      <c r="X25" s="77"/>
      <c r="Y25" s="77"/>
      <c r="Z25" s="77"/>
      <c r="AA25" s="76"/>
      <c r="AB25" s="77"/>
      <c r="AC25" s="77"/>
      <c r="AD25" s="77"/>
      <c r="AE25" s="77"/>
      <c r="AF25" s="77"/>
      <c r="AG25" s="76"/>
      <c r="AH25" s="77"/>
      <c r="AI25" s="77"/>
      <c r="AJ25" s="77"/>
      <c r="AK25" s="77"/>
      <c r="AL25" s="61"/>
      <c r="AM25" s="77"/>
      <c r="AN25" s="77"/>
      <c r="AO25" s="77"/>
      <c r="AP25" s="77"/>
      <c r="AQ25" s="555"/>
      <c r="AR25" s="77"/>
      <c r="AS25" s="77"/>
      <c r="AT25" s="77"/>
      <c r="AU25" s="77"/>
      <c r="AV25" s="77"/>
      <c r="AW25" s="555"/>
      <c r="AX25" s="77"/>
      <c r="AY25" s="77"/>
      <c r="AZ25" s="77"/>
      <c r="BA25" s="77"/>
      <c r="BB25" s="77"/>
      <c r="BC25" s="555"/>
      <c r="BD25" s="77"/>
      <c r="BE25" s="75"/>
      <c r="BF25" s="75"/>
      <c r="BG25" s="77"/>
      <c r="BH25" s="77"/>
      <c r="BI25" s="77"/>
      <c r="BJ25" s="77"/>
      <c r="BK25" s="75"/>
      <c r="BL25" s="77"/>
      <c r="BM25" s="77"/>
      <c r="BN25" s="77"/>
      <c r="BO25" s="1308"/>
      <c r="BP25" s="77"/>
      <c r="BQ25" s="75"/>
      <c r="BR25" s="77"/>
      <c r="BS25" s="77"/>
      <c r="BT25" s="77"/>
      <c r="BU25" s="1308"/>
      <c r="BV25" s="77"/>
      <c r="BW25" s="75"/>
      <c r="BX25" s="75"/>
      <c r="BY25" s="75"/>
      <c r="BZ25" s="75"/>
      <c r="CA25" s="1308"/>
      <c r="CB25" s="77"/>
      <c r="CC25" s="75"/>
      <c r="CD25" s="75"/>
      <c r="CE25" s="75"/>
      <c r="CF25" s="75"/>
      <c r="CG25" s="1308"/>
      <c r="CH25" s="77"/>
      <c r="CI25" s="75"/>
      <c r="CJ25" s="75"/>
      <c r="CK25" s="75"/>
      <c r="CL25" s="75"/>
      <c r="CM25" s="1308"/>
      <c r="CN25" s="77"/>
      <c r="CO25" s="75"/>
      <c r="CP25" s="77"/>
      <c r="CQ25" s="75"/>
      <c r="CR25" s="75"/>
      <c r="CS25" s="1308"/>
      <c r="CT25" s="77"/>
      <c r="CU25" s="75"/>
      <c r="CV25" s="77"/>
      <c r="CW25" s="75"/>
      <c r="CX25" s="75"/>
      <c r="CY25" s="1308"/>
      <c r="CZ25" s="77"/>
      <c r="DA25" s="75"/>
      <c r="DB25" s="75"/>
      <c r="DC25" s="75"/>
      <c r="DD25" s="75"/>
      <c r="DE25" s="1308"/>
      <c r="DF25" s="77"/>
      <c r="DG25" s="75"/>
      <c r="DH25" s="75"/>
      <c r="DI25" s="75"/>
      <c r="DJ25" s="77"/>
      <c r="DK25" s="1308"/>
      <c r="DL25" s="77"/>
      <c r="DM25" s="75"/>
      <c r="DN25" s="75"/>
      <c r="DO25" s="75"/>
      <c r="DP25" s="77"/>
      <c r="DQ25" s="1308"/>
      <c r="DR25" s="77"/>
      <c r="DS25" s="75"/>
      <c r="DT25" s="75"/>
      <c r="DU25" s="75"/>
      <c r="DV25" s="77"/>
      <c r="DX25" s="75"/>
      <c r="DY25" s="75"/>
      <c r="DZ25" s="75"/>
      <c r="EA25" s="75"/>
      <c r="EB25" s="77"/>
      <c r="ED25" s="75"/>
      <c r="EE25" s="77"/>
      <c r="EF25" s="77"/>
      <c r="EG25" s="77"/>
      <c r="EH25" s="77"/>
      <c r="EJ25" s="75"/>
      <c r="EK25" s="77"/>
      <c r="EL25" s="77"/>
      <c r="EM25" s="77"/>
      <c r="EN25" s="77"/>
      <c r="EP25" s="75"/>
      <c r="EQ25" s="77"/>
      <c r="ER25" s="77"/>
      <c r="ES25" s="77"/>
      <c r="ET25" s="77"/>
      <c r="EV25" s="77"/>
      <c r="EW25" s="77"/>
      <c r="EX25" s="77"/>
      <c r="EY25" s="77"/>
      <c r="EZ25" s="77"/>
      <c r="FA25" s="77"/>
      <c r="FB25" s="77"/>
      <c r="FI25" s="1990"/>
      <c r="FJ25" s="1990"/>
    </row>
    <row r="26" spans="1:166" ht="10.5" customHeight="1">
      <c r="A26" s="60" t="s">
        <v>5570</v>
      </c>
      <c r="B26" s="32"/>
      <c r="C26" s="90"/>
      <c r="D26" s="90"/>
      <c r="E26" s="90"/>
      <c r="F26" s="90"/>
      <c r="G26" s="61"/>
      <c r="H26" s="90"/>
      <c r="I26" s="90"/>
      <c r="J26" s="90"/>
      <c r="K26" s="253"/>
      <c r="L26" s="253"/>
      <c r="M26" s="253"/>
      <c r="N26" s="253"/>
      <c r="O26" s="73"/>
      <c r="P26" s="73"/>
      <c r="Q26" s="73"/>
      <c r="R26" s="73"/>
      <c r="S26" s="73"/>
      <c r="T26" s="65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65"/>
      <c r="AG26" s="73"/>
      <c r="AH26" s="73"/>
      <c r="AI26" s="73"/>
      <c r="AJ26" s="73"/>
      <c r="AK26" s="73"/>
      <c r="AL26" s="61"/>
      <c r="AM26" s="73"/>
      <c r="AN26" s="73"/>
      <c r="AO26" s="73"/>
      <c r="AP26" s="73"/>
      <c r="AQ26" s="96"/>
      <c r="AR26" s="65"/>
      <c r="AS26" s="73"/>
      <c r="AT26" s="73"/>
      <c r="AU26" s="73"/>
      <c r="AV26" s="73"/>
      <c r="AW26" s="96"/>
      <c r="AX26" s="65"/>
      <c r="AY26" s="73"/>
      <c r="AZ26" s="73"/>
      <c r="BA26" s="65"/>
      <c r="BB26" s="73"/>
      <c r="BC26" s="96"/>
      <c r="BD26" s="65"/>
      <c r="BE26" s="73"/>
      <c r="BF26" s="73"/>
      <c r="BG26" s="73"/>
      <c r="BH26" s="73"/>
      <c r="BI26" s="73"/>
      <c r="BJ26" s="65"/>
      <c r="BK26" s="73"/>
      <c r="BL26" s="73"/>
      <c r="BM26" s="73"/>
      <c r="BN26" s="73"/>
      <c r="BO26" s="1306"/>
      <c r="BP26" s="65"/>
      <c r="BQ26" s="73"/>
      <c r="BR26" s="73"/>
      <c r="BS26" s="73"/>
      <c r="BT26" s="73"/>
      <c r="BU26" s="1306"/>
      <c r="BV26" s="65"/>
      <c r="BW26" s="73"/>
      <c r="BX26" s="73"/>
      <c r="BY26" s="73"/>
      <c r="BZ26" s="73"/>
      <c r="CA26" s="1306"/>
      <c r="CB26" s="65"/>
      <c r="CC26" s="73"/>
      <c r="CD26" s="73"/>
      <c r="CE26" s="73"/>
      <c r="CF26" s="73"/>
      <c r="CG26" s="1306"/>
      <c r="CH26" s="65"/>
      <c r="CI26" s="73"/>
      <c r="CJ26" s="73"/>
      <c r="CK26" s="73"/>
      <c r="CL26" s="73"/>
      <c r="CM26" s="1306"/>
      <c r="CN26" s="65"/>
      <c r="CO26" s="73"/>
      <c r="CP26" s="73"/>
      <c r="CQ26" s="73"/>
      <c r="CR26" s="73"/>
      <c r="CS26" s="1306"/>
      <c r="CT26" s="65"/>
      <c r="CU26" s="73"/>
      <c r="CV26" s="73"/>
      <c r="CW26" s="73"/>
      <c r="CX26" s="73"/>
      <c r="CY26" s="1306"/>
      <c r="CZ26" s="65"/>
      <c r="DA26" s="73"/>
      <c r="DB26" s="73"/>
      <c r="DC26" s="73"/>
      <c r="DD26" s="73"/>
      <c r="DE26" s="1306"/>
      <c r="DF26" s="65"/>
      <c r="DG26" s="73"/>
      <c r="DH26" s="73"/>
      <c r="DI26" s="73"/>
      <c r="DJ26" s="73"/>
      <c r="DK26" s="1306"/>
      <c r="DL26" s="65"/>
      <c r="DM26" s="73"/>
      <c r="DN26" s="73"/>
      <c r="DO26" s="73"/>
      <c r="DP26" s="73"/>
      <c r="DQ26" s="1306"/>
      <c r="DR26" s="65"/>
      <c r="DS26" s="73"/>
      <c r="DT26" s="73"/>
      <c r="DU26" s="73"/>
      <c r="DV26" s="73"/>
      <c r="DW26" s="1306"/>
      <c r="DX26" s="74"/>
      <c r="DY26" s="73"/>
      <c r="DZ26" s="73"/>
      <c r="EA26" s="73"/>
      <c r="EB26" s="73"/>
      <c r="EC26" s="1306"/>
      <c r="ED26" s="74"/>
      <c r="EE26" s="73"/>
      <c r="EF26" s="73"/>
      <c r="EG26" s="73"/>
      <c r="EH26" s="73"/>
      <c r="EI26" s="1306"/>
      <c r="EJ26" s="74"/>
      <c r="EK26" s="73"/>
      <c r="EL26" s="73"/>
      <c r="EM26" s="73"/>
      <c r="EN26" s="73"/>
      <c r="EO26" s="1306"/>
      <c r="EP26" s="74"/>
      <c r="EQ26" s="73"/>
      <c r="ER26" s="73"/>
      <c r="ES26" s="73"/>
      <c r="ET26" s="73"/>
      <c r="EU26" s="1306"/>
      <c r="EV26" s="74"/>
      <c r="EW26" s="74"/>
      <c r="EX26" s="74"/>
      <c r="EY26" s="74"/>
      <c r="EZ26" s="74"/>
      <c r="FA26" s="74"/>
      <c r="FB26" s="74"/>
      <c r="FI26" s="1990"/>
      <c r="FJ26" s="1990"/>
    </row>
    <row r="27" spans="1:166" ht="10.5" customHeight="1">
      <c r="A27" s="41" t="s">
        <v>5571</v>
      </c>
      <c r="B27" s="32"/>
      <c r="C27" s="61">
        <v>23.952999999999999</v>
      </c>
      <c r="D27" s="61">
        <v>25.036999999999999</v>
      </c>
      <c r="E27" s="61">
        <v>22.486000000000001</v>
      </c>
      <c r="F27" s="61">
        <v>24.556999999999999</v>
      </c>
      <c r="G27" s="61">
        <f t="shared" ref="G27:G34" si="57">F27</f>
        <v>24.556999999999999</v>
      </c>
      <c r="H27" s="61"/>
      <c r="I27" s="61">
        <v>32.154000000000003</v>
      </c>
      <c r="J27" s="61">
        <v>27.21</v>
      </c>
      <c r="K27" s="61">
        <v>27.984000000000002</v>
      </c>
      <c r="L27" s="61">
        <v>26.417000000000002</v>
      </c>
      <c r="M27" s="61">
        <f t="shared" ref="M27:M33" si="58">L27</f>
        <v>26.417000000000002</v>
      </c>
      <c r="N27" s="61"/>
      <c r="O27" s="62">
        <v>23.725000000000001</v>
      </c>
      <c r="P27" s="62">
        <v>27.5</v>
      </c>
      <c r="Q27" s="62">
        <v>29.66</v>
      </c>
      <c r="R27" s="62">
        <v>49.052999999999997</v>
      </c>
      <c r="S27" s="62">
        <f t="shared" ref="S27:S34" si="59">R27</f>
        <v>49.052999999999997</v>
      </c>
      <c r="T27" s="61"/>
      <c r="U27" s="62">
        <v>41.953000000000003</v>
      </c>
      <c r="V27" s="62">
        <v>47.033000000000001</v>
      </c>
      <c r="W27" s="62">
        <v>40.667000000000002</v>
      </c>
      <c r="X27" s="62">
        <v>45.31</v>
      </c>
      <c r="Y27" s="62">
        <f t="shared" ref="Y27:Y34" si="60">X27</f>
        <v>45.31</v>
      </c>
      <c r="Z27" s="62"/>
      <c r="AA27" s="62">
        <v>38.826999999999998</v>
      </c>
      <c r="AB27" s="62">
        <v>49.604999999999997</v>
      </c>
      <c r="AC27" s="62">
        <v>47.75</v>
      </c>
      <c r="AD27" s="62">
        <v>47.962000000000003</v>
      </c>
      <c r="AE27" s="62">
        <f t="shared" ref="AE27:AE34" si="61">AD27</f>
        <v>47.962000000000003</v>
      </c>
      <c r="AF27" s="61"/>
      <c r="AG27" s="62">
        <v>52.216000000000001</v>
      </c>
      <c r="AH27" s="62">
        <v>54.241</v>
      </c>
      <c r="AI27" s="62">
        <v>48.731999999999999</v>
      </c>
      <c r="AJ27" s="62">
        <v>53.768999999999998</v>
      </c>
      <c r="AK27" s="62">
        <f t="shared" ref="AK27:AK34" si="62">AJ27</f>
        <v>53.768999999999998</v>
      </c>
      <c r="AL27" s="61"/>
      <c r="AM27" s="62">
        <v>47.448999999999998</v>
      </c>
      <c r="AN27" s="62">
        <v>46.084000000000003</v>
      </c>
      <c r="AO27" s="62">
        <v>46.1</v>
      </c>
      <c r="AP27" s="62">
        <v>45.122</v>
      </c>
      <c r="AQ27" s="62">
        <f t="shared" ref="AQ27:AQ34" si="63">AP27</f>
        <v>45.122</v>
      </c>
      <c r="AR27" s="61"/>
      <c r="AS27" s="62">
        <v>43.966000000000001</v>
      </c>
      <c r="AT27" s="62">
        <v>47.238</v>
      </c>
      <c r="AU27" s="62">
        <v>50.816000000000003</v>
      </c>
      <c r="AV27" s="62">
        <v>52.307000000000002</v>
      </c>
      <c r="AW27" s="62">
        <f t="shared" ref="AW27:AW34" si="64">AV27</f>
        <v>52.307000000000002</v>
      </c>
      <c r="AX27" s="61"/>
      <c r="AY27" s="62">
        <v>46.6</v>
      </c>
      <c r="AZ27" s="62">
        <v>44.4</v>
      </c>
      <c r="BA27" s="62">
        <v>50.8</v>
      </c>
      <c r="BB27" s="62">
        <v>46.4</v>
      </c>
      <c r="BC27" s="62">
        <f t="shared" ref="BC27:BC34" si="65">BB27</f>
        <v>46.4</v>
      </c>
      <c r="BD27" s="61"/>
      <c r="BE27" s="61">
        <v>61.2</v>
      </c>
      <c r="BF27" s="61">
        <v>62.7</v>
      </c>
      <c r="BG27" s="61">
        <v>62.4</v>
      </c>
      <c r="BH27" s="61">
        <v>56.4</v>
      </c>
      <c r="BI27" s="61">
        <f>BH27</f>
        <v>56.4</v>
      </c>
      <c r="BJ27" s="61"/>
      <c r="BK27" s="61">
        <v>59.8</v>
      </c>
      <c r="BL27" s="61">
        <v>47.8</v>
      </c>
      <c r="BM27" s="61">
        <v>70.900000000000006</v>
      </c>
      <c r="BN27" s="61">
        <v>61</v>
      </c>
      <c r="BO27" s="1125">
        <f>BN27</f>
        <v>61</v>
      </c>
      <c r="BP27" s="61"/>
      <c r="BQ27" s="61">
        <v>76.8</v>
      </c>
      <c r="BR27" s="61">
        <v>77.099999999999994</v>
      </c>
      <c r="BS27" s="61">
        <v>77.2</v>
      </c>
      <c r="BT27" s="61">
        <v>79.3</v>
      </c>
      <c r="BU27" s="1125">
        <f t="shared" ref="BU27:BU34" si="66">BT27</f>
        <v>79.3</v>
      </c>
      <c r="BV27" s="61"/>
      <c r="BW27" s="61">
        <v>73.7</v>
      </c>
      <c r="BX27" s="61">
        <v>78.099999999999994</v>
      </c>
      <c r="BY27" s="61">
        <v>76</v>
      </c>
      <c r="BZ27" s="61">
        <v>62.4</v>
      </c>
      <c r="CA27" s="1125">
        <f t="shared" ref="CA27:CA34" si="67">BZ27</f>
        <v>62.4</v>
      </c>
      <c r="CB27" s="61"/>
      <c r="CC27" s="61">
        <v>65</v>
      </c>
      <c r="CD27" s="61">
        <v>56.7</v>
      </c>
      <c r="CE27" s="61">
        <v>60</v>
      </c>
      <c r="CF27" s="61">
        <v>67.8</v>
      </c>
      <c r="CG27" s="1125">
        <f t="shared" ref="CG27:CG34" si="68">CF27</f>
        <v>67.8</v>
      </c>
      <c r="CH27" s="61"/>
      <c r="CI27" s="61">
        <v>90.4</v>
      </c>
      <c r="CJ27" s="61">
        <v>79</v>
      </c>
      <c r="CK27" s="61">
        <v>86.1</v>
      </c>
      <c r="CL27" s="61">
        <v>76.8</v>
      </c>
      <c r="CM27" s="1125">
        <f t="shared" ref="CM27:CM34" si="69">CL27</f>
        <v>76.8</v>
      </c>
      <c r="CN27" s="61"/>
      <c r="CO27" s="61">
        <v>101.7</v>
      </c>
      <c r="CP27" s="61">
        <v>89.8</v>
      </c>
      <c r="CQ27" s="61">
        <v>81.900000000000006</v>
      </c>
      <c r="CR27" s="61">
        <v>89.3</v>
      </c>
      <c r="CS27" s="1125">
        <f t="shared" ref="CS27:CS34" si="70">CR27</f>
        <v>89.3</v>
      </c>
      <c r="CT27" s="61"/>
      <c r="CU27" s="61">
        <v>88.9</v>
      </c>
      <c r="CV27" s="61">
        <v>82.9</v>
      </c>
      <c r="CW27" s="61">
        <v>75.900000000000006</v>
      </c>
      <c r="CX27" s="61">
        <v>94.2</v>
      </c>
      <c r="CY27" s="1125">
        <f t="shared" ref="CY27:CY34" si="71">CX27</f>
        <v>94.2</v>
      </c>
      <c r="CZ27" s="61"/>
      <c r="DA27" s="61">
        <v>86.1</v>
      </c>
      <c r="DB27" s="61">
        <v>74.400000000000006</v>
      </c>
      <c r="DC27" s="61">
        <v>75.3</v>
      </c>
      <c r="DD27" s="61">
        <v>84.5</v>
      </c>
      <c r="DE27" s="1125">
        <f t="shared" ref="DE27:DE34" si="72">DD27</f>
        <v>84.5</v>
      </c>
      <c r="DF27" s="61"/>
      <c r="DG27" s="61">
        <v>90.3</v>
      </c>
      <c r="DH27" s="61">
        <v>92.4</v>
      </c>
      <c r="DI27" s="61">
        <v>99.1</v>
      </c>
      <c r="DJ27" s="61">
        <v>100.5</v>
      </c>
      <c r="DK27" s="1125">
        <f t="shared" ref="DK27:DK34" si="73">DJ27</f>
        <v>100.5</v>
      </c>
      <c r="DL27" s="61"/>
      <c r="DM27" s="61">
        <v>93.1</v>
      </c>
      <c r="DN27" s="2006">
        <v>90.8</v>
      </c>
      <c r="DO27" s="61">
        <v>104.6</v>
      </c>
      <c r="DP27" s="61">
        <v>119.9</v>
      </c>
      <c r="DQ27" s="1125">
        <f t="shared" ref="DQ27:DQ34" si="74">DP27</f>
        <v>119.9</v>
      </c>
      <c r="DR27" s="61"/>
      <c r="DS27" s="61">
        <v>107.2</v>
      </c>
      <c r="DT27" s="61">
        <v>110.3</v>
      </c>
      <c r="DU27" s="61">
        <v>102.8</v>
      </c>
      <c r="DV27" s="61">
        <v>93.5</v>
      </c>
      <c r="DW27" s="1125">
        <f t="shared" ref="DW27:DW34" si="75">DV27</f>
        <v>93.5</v>
      </c>
      <c r="DX27" s="45"/>
      <c r="DY27" s="61">
        <v>93.4</v>
      </c>
      <c r="DZ27" s="61">
        <v>93</v>
      </c>
      <c r="EA27" s="61">
        <v>93.3</v>
      </c>
      <c r="EB27" s="61">
        <v>94.7</v>
      </c>
      <c r="EC27" s="1125">
        <f t="shared" ref="EC27:EC34" si="76">EB27</f>
        <v>94.7</v>
      </c>
      <c r="ED27" s="45"/>
      <c r="EE27" s="61">
        <f>(EE58*(Model!EE48+Model!EE79))/90</f>
        <v>100.23994442329354</v>
      </c>
      <c r="EF27" s="61">
        <f>(EF58*(Model!EF48+Model!EF79))/90</f>
        <v>100.70385314403259</v>
      </c>
      <c r="EG27" s="61">
        <f>(EG58*(Model!EG48+Model!EG79))/90</f>
        <v>101.79240213098787</v>
      </c>
      <c r="EH27" s="61">
        <f>(EH58*(Model!EH48+Model!EH79))/90</f>
        <v>104.29430771786788</v>
      </c>
      <c r="EI27" s="1125">
        <f t="shared" ref="EI27:EI34" si="77">EH27</f>
        <v>104.29430771786788</v>
      </c>
      <c r="EJ27" s="45"/>
      <c r="EK27" s="61">
        <f>(EK58*(Model!EK48+Model!EK79))/90</f>
        <v>77.373154273764456</v>
      </c>
      <c r="EL27" s="61">
        <f>(EL58*(Model!EL48+Model!EL79))/90</f>
        <v>76.748798909115322</v>
      </c>
      <c r="EM27" s="61">
        <f>(EM58*(Model!EM48+Model!EM79))/90</f>
        <v>91.891780448372245</v>
      </c>
      <c r="EN27" s="61">
        <f>(EN58*(Model!EN48+Model!EN79))/90</f>
        <v>85.621737059466653</v>
      </c>
      <c r="EO27" s="1125">
        <f t="shared" ref="EO27:EO34" si="78">EN27</f>
        <v>85.621737059466653</v>
      </c>
      <c r="EP27" s="45"/>
      <c r="EQ27" s="61">
        <f>(EQ58*(Model!EQ48+Model!EQ79))/90</f>
        <v>76.625126139139383</v>
      </c>
      <c r="ER27" s="61">
        <f>(ER58*(Model!ER48+Model!ER79))/90</f>
        <v>76.865031105501387</v>
      </c>
      <c r="ES27" s="61">
        <f>(ES58*(Model!ES48+Model!ES79))/90</f>
        <v>92.555333817301275</v>
      </c>
      <c r="ET27" s="61">
        <f>(ET58*(Model!ET48+Model!ET79))/90</f>
        <v>52.426608150429004</v>
      </c>
      <c r="EU27" s="1125">
        <f t="shared" ref="EU27:EU34" si="79">ET27</f>
        <v>52.426608150429004</v>
      </c>
      <c r="EV27" s="45"/>
      <c r="EW27" s="45"/>
      <c r="EX27" s="45"/>
      <c r="EY27" s="45"/>
      <c r="EZ27" s="45"/>
      <c r="FA27" s="45"/>
      <c r="FB27" s="45"/>
      <c r="FI27" s="1990"/>
      <c r="FJ27" s="1990"/>
    </row>
    <row r="28" spans="1:166" ht="10.5" customHeight="1">
      <c r="A28" s="41" t="s">
        <v>3789</v>
      </c>
      <c r="B28" s="32"/>
      <c r="C28" s="61">
        <v>18.201000000000001</v>
      </c>
      <c r="D28" s="61">
        <v>19.951000000000001</v>
      </c>
      <c r="E28" s="61">
        <v>18.257999999999999</v>
      </c>
      <c r="F28" s="61">
        <v>18.099</v>
      </c>
      <c r="G28" s="61">
        <f t="shared" si="57"/>
        <v>18.099</v>
      </c>
      <c r="H28" s="61"/>
      <c r="I28" s="61">
        <v>18.587</v>
      </c>
      <c r="J28" s="61">
        <v>22.969000000000001</v>
      </c>
      <c r="K28" s="61">
        <v>25.271000000000001</v>
      </c>
      <c r="L28" s="61">
        <v>34.962000000000003</v>
      </c>
      <c r="M28" s="61">
        <f t="shared" si="58"/>
        <v>34.962000000000003</v>
      </c>
      <c r="N28" s="61"/>
      <c r="O28" s="62">
        <v>27.901</v>
      </c>
      <c r="P28" s="62">
        <v>30.053999999999998</v>
      </c>
      <c r="Q28" s="62">
        <v>37.94</v>
      </c>
      <c r="R28" s="62">
        <v>49.591999999999999</v>
      </c>
      <c r="S28" s="62">
        <f t="shared" si="59"/>
        <v>49.591999999999999</v>
      </c>
      <c r="T28" s="61"/>
      <c r="U28" s="62">
        <v>38.389000000000003</v>
      </c>
      <c r="V28" s="62">
        <v>44.832999999999998</v>
      </c>
      <c r="W28" s="62">
        <v>50.497</v>
      </c>
      <c r="X28" s="62">
        <v>50.448</v>
      </c>
      <c r="Y28" s="62">
        <f t="shared" si="60"/>
        <v>50.448</v>
      </c>
      <c r="Z28" s="62"/>
      <c r="AA28" s="62">
        <v>39.188000000000002</v>
      </c>
      <c r="AB28" s="62">
        <v>45.97</v>
      </c>
      <c r="AC28" s="62">
        <v>45.252000000000002</v>
      </c>
      <c r="AD28" s="62">
        <v>55.906999999999996</v>
      </c>
      <c r="AE28" s="62">
        <f t="shared" si="61"/>
        <v>55.906999999999996</v>
      </c>
      <c r="AF28" s="61"/>
      <c r="AG28" s="62">
        <v>41.631999999999998</v>
      </c>
      <c r="AH28" s="62">
        <v>48.213000000000001</v>
      </c>
      <c r="AI28" s="62">
        <v>50.790999999999997</v>
      </c>
      <c r="AJ28" s="62">
        <v>56.606999999999999</v>
      </c>
      <c r="AK28" s="62">
        <f t="shared" si="62"/>
        <v>56.606999999999999</v>
      </c>
      <c r="AL28" s="61"/>
      <c r="AM28" s="62">
        <v>36.289000000000001</v>
      </c>
      <c r="AN28" s="62">
        <v>45.259</v>
      </c>
      <c r="AO28" s="62">
        <v>41.976999999999997</v>
      </c>
      <c r="AP28" s="62">
        <v>43.106999999999999</v>
      </c>
      <c r="AQ28" s="62">
        <f t="shared" si="63"/>
        <v>43.106999999999999</v>
      </c>
      <c r="AR28" s="61"/>
      <c r="AS28" s="62">
        <v>46.62</v>
      </c>
      <c r="AT28" s="62">
        <v>50.854999999999997</v>
      </c>
      <c r="AU28" s="62">
        <v>63.161000000000001</v>
      </c>
      <c r="AV28" s="62">
        <v>90.123000000000005</v>
      </c>
      <c r="AW28" s="62">
        <f t="shared" si="64"/>
        <v>90.123000000000005</v>
      </c>
      <c r="AX28" s="61"/>
      <c r="AY28" s="62">
        <v>65.900000000000006</v>
      </c>
      <c r="AZ28" s="62">
        <v>84.9</v>
      </c>
      <c r="BA28" s="62">
        <v>107.9</v>
      </c>
      <c r="BB28" s="62">
        <v>140.6</v>
      </c>
      <c r="BC28" s="62">
        <f t="shared" si="65"/>
        <v>140.6</v>
      </c>
      <c r="BD28" s="61"/>
      <c r="BE28" s="61">
        <v>72.900000000000006</v>
      </c>
      <c r="BF28" s="61">
        <v>89.1</v>
      </c>
      <c r="BG28" s="61">
        <v>102</v>
      </c>
      <c r="BH28" s="61">
        <v>121.3</v>
      </c>
      <c r="BI28" s="61">
        <f>BH28</f>
        <v>121.3</v>
      </c>
      <c r="BJ28" s="61"/>
      <c r="BK28" s="61">
        <v>75.400000000000006</v>
      </c>
      <c r="BL28" s="61">
        <v>86.6</v>
      </c>
      <c r="BM28" s="61">
        <v>99.9</v>
      </c>
      <c r="BN28" s="61">
        <v>120.7</v>
      </c>
      <c r="BO28" s="1125">
        <f>BN28</f>
        <v>120.7</v>
      </c>
      <c r="BP28" s="61"/>
      <c r="BQ28" s="61">
        <v>83.6</v>
      </c>
      <c r="BR28" s="61">
        <v>102.5</v>
      </c>
      <c r="BS28" s="61">
        <v>121.7</v>
      </c>
      <c r="BT28" s="61">
        <v>162.4</v>
      </c>
      <c r="BU28" s="1125">
        <f t="shared" si="66"/>
        <v>162.4</v>
      </c>
      <c r="BV28" s="61"/>
      <c r="BW28" s="61">
        <v>90.5</v>
      </c>
      <c r="BX28" s="61">
        <v>108</v>
      </c>
      <c r="BY28" s="61">
        <v>112.2</v>
      </c>
      <c r="BZ28" s="61">
        <v>124.3</v>
      </c>
      <c r="CA28" s="1125">
        <f t="shared" si="67"/>
        <v>124.3</v>
      </c>
      <c r="CB28" s="61"/>
      <c r="CC28" s="61">
        <v>83.9</v>
      </c>
      <c r="CD28" s="61">
        <v>88.4</v>
      </c>
      <c r="CE28" s="61">
        <v>98.9</v>
      </c>
      <c r="CF28" s="61">
        <v>115.6</v>
      </c>
      <c r="CG28" s="1125">
        <f t="shared" si="68"/>
        <v>115.6</v>
      </c>
      <c r="CH28" s="61"/>
      <c r="CI28" s="61">
        <v>78.400000000000006</v>
      </c>
      <c r="CJ28" s="61">
        <v>100.5</v>
      </c>
      <c r="CK28" s="61">
        <v>131.4</v>
      </c>
      <c r="CL28" s="61">
        <v>193.1</v>
      </c>
      <c r="CM28" s="1125">
        <f t="shared" si="69"/>
        <v>193.1</v>
      </c>
      <c r="CN28" s="61"/>
      <c r="CO28" s="61">
        <v>106</v>
      </c>
      <c r="CP28" s="61">
        <v>121.5</v>
      </c>
      <c r="CQ28" s="61">
        <v>154.30000000000001</v>
      </c>
      <c r="CR28" s="61">
        <v>183.9</v>
      </c>
      <c r="CS28" s="1125">
        <f t="shared" si="70"/>
        <v>183.9</v>
      </c>
      <c r="CT28" s="61"/>
      <c r="CU28" s="61">
        <v>127.8</v>
      </c>
      <c r="CV28" s="61">
        <v>136.6</v>
      </c>
      <c r="CW28" s="61">
        <v>155.6</v>
      </c>
      <c r="CX28" s="61">
        <v>189.6</v>
      </c>
      <c r="CY28" s="1125">
        <f t="shared" si="71"/>
        <v>189.6</v>
      </c>
      <c r="CZ28" s="61"/>
      <c r="DA28" s="61">
        <v>123.2</v>
      </c>
      <c r="DB28" s="61">
        <v>125.7</v>
      </c>
      <c r="DC28" s="61">
        <v>154.69999999999999</v>
      </c>
      <c r="DD28" s="61">
        <v>181.2</v>
      </c>
      <c r="DE28" s="1125">
        <f t="shared" si="72"/>
        <v>181.2</v>
      </c>
      <c r="DF28" s="61"/>
      <c r="DG28" s="61">
        <v>156.6</v>
      </c>
      <c r="DH28" s="61">
        <v>165.7</v>
      </c>
      <c r="DI28" s="61">
        <v>195.3</v>
      </c>
      <c r="DJ28" s="61">
        <v>253.3</v>
      </c>
      <c r="DK28" s="1125">
        <f t="shared" si="73"/>
        <v>253.3</v>
      </c>
      <c r="DL28" s="61"/>
      <c r="DM28" s="61">
        <v>163.6</v>
      </c>
      <c r="DN28" s="2006">
        <v>172.2</v>
      </c>
      <c r="DO28" s="61">
        <v>193.8</v>
      </c>
      <c r="DP28" s="61">
        <v>243.3</v>
      </c>
      <c r="DQ28" s="1125">
        <f t="shared" si="74"/>
        <v>243.3</v>
      </c>
      <c r="DR28" s="61"/>
      <c r="DS28" s="61">
        <v>132.80000000000001</v>
      </c>
      <c r="DT28" s="61">
        <v>160</v>
      </c>
      <c r="DU28" s="61">
        <v>187.6</v>
      </c>
      <c r="DV28" s="61">
        <v>238.2</v>
      </c>
      <c r="DW28" s="1125">
        <f t="shared" si="75"/>
        <v>238.2</v>
      </c>
      <c r="DX28" s="45"/>
      <c r="DY28" s="61">
        <v>132.80000000000001</v>
      </c>
      <c r="DZ28" s="61">
        <v>161.69999999999999</v>
      </c>
      <c r="EA28" s="61">
        <v>195.9</v>
      </c>
      <c r="EB28" s="61">
        <v>250.9</v>
      </c>
      <c r="EC28" s="1125">
        <f t="shared" si="76"/>
        <v>250.9</v>
      </c>
      <c r="ED28" s="45"/>
      <c r="EE28" s="61">
        <f>Model!EE31*EE87</f>
        <v>152.19189703308749</v>
      </c>
      <c r="EF28" s="61">
        <f>Model!EF31*EF87</f>
        <v>191.59087845522336</v>
      </c>
      <c r="EG28" s="61">
        <f>Model!EG31*EG87</f>
        <v>241.67746106260833</v>
      </c>
      <c r="EH28" s="61">
        <f>Model!EH31*EH87</f>
        <v>358.51650675783776</v>
      </c>
      <c r="EI28" s="1125">
        <f t="shared" si="77"/>
        <v>358.51650675783776</v>
      </c>
      <c r="EJ28" s="45"/>
      <c r="EK28" s="61">
        <f>Model!EK31*EK87</f>
        <v>154.29906276375061</v>
      </c>
      <c r="EL28" s="61">
        <f>Model!EL31*EL87</f>
        <v>199.50360392163228</v>
      </c>
      <c r="EM28" s="61">
        <f>Model!EM31*EM87</f>
        <v>259.863678078541</v>
      </c>
      <c r="EN28" s="61">
        <f>Model!EN31*EN87</f>
        <v>388.45309587970854</v>
      </c>
      <c r="EO28" s="1125">
        <f t="shared" si="78"/>
        <v>388.45309587970854</v>
      </c>
      <c r="EP28" s="45"/>
      <c r="EQ28" s="61">
        <f>Model!EQ31*EQ87</f>
        <v>133.20447472061309</v>
      </c>
      <c r="ER28" s="61">
        <f>Model!ER31*ER87</f>
        <v>192.44692468429309</v>
      </c>
      <c r="ES28" s="61">
        <f>Model!ES31*ES87</f>
        <v>270.99968335828692</v>
      </c>
      <c r="ET28" s="61">
        <f>Model!ET31*ET87</f>
        <v>413.29323108959233</v>
      </c>
      <c r="EU28" s="1125">
        <f t="shared" si="79"/>
        <v>413.29323108959233</v>
      </c>
      <c r="EV28" s="45"/>
      <c r="EW28" s="45"/>
      <c r="EX28" s="45"/>
      <c r="EY28" s="45"/>
      <c r="EZ28" s="45"/>
      <c r="FA28" s="45"/>
      <c r="FB28" s="45"/>
      <c r="FI28" s="1990"/>
      <c r="FJ28" s="1990"/>
    </row>
    <row r="29" spans="1:166" ht="10.5" customHeight="1">
      <c r="A29" s="41" t="s">
        <v>5173</v>
      </c>
      <c r="B29" s="32"/>
      <c r="C29" s="61">
        <v>68.314999999999998</v>
      </c>
      <c r="D29" s="61">
        <v>68.917000000000002</v>
      </c>
      <c r="E29" s="61">
        <v>62.774000000000001</v>
      </c>
      <c r="F29" s="61">
        <v>75.061000000000007</v>
      </c>
      <c r="G29" s="61">
        <f t="shared" si="57"/>
        <v>75.061000000000007</v>
      </c>
      <c r="H29" s="61"/>
      <c r="I29" s="61">
        <v>70.646000000000001</v>
      </c>
      <c r="J29" s="61">
        <v>77.253</v>
      </c>
      <c r="K29" s="61">
        <v>76.363</v>
      </c>
      <c r="L29" s="61">
        <v>76.465000000000003</v>
      </c>
      <c r="M29" s="61">
        <f t="shared" si="58"/>
        <v>76.465000000000003</v>
      </c>
      <c r="N29" s="61"/>
      <c r="O29" s="62">
        <v>83.688999999999993</v>
      </c>
      <c r="P29" s="62">
        <v>84.575000000000003</v>
      </c>
      <c r="Q29" s="62">
        <v>92.685000000000002</v>
      </c>
      <c r="R29" s="62">
        <v>96.730999999999995</v>
      </c>
      <c r="S29" s="62">
        <f t="shared" si="59"/>
        <v>96.730999999999995</v>
      </c>
      <c r="T29" s="61"/>
      <c r="U29" s="62">
        <v>93.192999999999998</v>
      </c>
      <c r="V29" s="62">
        <v>67.192999999999998</v>
      </c>
      <c r="W29" s="62">
        <v>74.081999999999994</v>
      </c>
      <c r="X29" s="62">
        <v>88.006</v>
      </c>
      <c r="Y29" s="62">
        <f t="shared" si="60"/>
        <v>88.006</v>
      </c>
      <c r="Z29" s="62"/>
      <c r="AA29" s="62">
        <v>83.492999999999995</v>
      </c>
      <c r="AB29" s="62">
        <v>95.27</v>
      </c>
      <c r="AC29" s="62">
        <v>105.34</v>
      </c>
      <c r="AD29" s="62">
        <v>97.108999999999995</v>
      </c>
      <c r="AE29" s="62">
        <f t="shared" si="61"/>
        <v>97.108999999999995</v>
      </c>
      <c r="AF29" s="61"/>
      <c r="AG29" s="62">
        <v>101.788</v>
      </c>
      <c r="AH29" s="62">
        <v>103.626</v>
      </c>
      <c r="AI29" s="62">
        <v>103.80500000000001</v>
      </c>
      <c r="AJ29" s="62">
        <v>91.921999999999997</v>
      </c>
      <c r="AK29" s="62">
        <f t="shared" si="62"/>
        <v>91.921999999999997</v>
      </c>
      <c r="AL29" s="61"/>
      <c r="AM29" s="62">
        <v>82.786000000000001</v>
      </c>
      <c r="AN29" s="62">
        <v>71.25</v>
      </c>
      <c r="AO29" s="62">
        <v>62.994</v>
      </c>
      <c r="AP29" s="62">
        <v>39.802</v>
      </c>
      <c r="AQ29" s="62">
        <f t="shared" si="63"/>
        <v>39.802</v>
      </c>
      <c r="AR29" s="61"/>
      <c r="AS29" s="62">
        <v>47.322000000000003</v>
      </c>
      <c r="AT29" s="62">
        <v>58.201999999999998</v>
      </c>
      <c r="AU29" s="62">
        <v>54.679000000000002</v>
      </c>
      <c r="AV29" s="62">
        <v>50.695</v>
      </c>
      <c r="AW29" s="62">
        <f t="shared" si="64"/>
        <v>50.695</v>
      </c>
      <c r="AX29" s="61"/>
      <c r="AY29" s="62">
        <v>44.4</v>
      </c>
      <c r="AZ29" s="62">
        <v>45.5</v>
      </c>
      <c r="BA29" s="62">
        <v>37.700000000000003</v>
      </c>
      <c r="BB29" s="62">
        <v>41.5</v>
      </c>
      <c r="BC29" s="62">
        <f t="shared" si="65"/>
        <v>41.5</v>
      </c>
      <c r="BD29" s="61"/>
      <c r="BE29" s="61">
        <v>53.7</v>
      </c>
      <c r="BF29" s="61">
        <v>22.8</v>
      </c>
      <c r="BG29" s="61">
        <v>40.299999999999997</v>
      </c>
      <c r="BH29" s="61">
        <v>10.8</v>
      </c>
      <c r="BI29" s="61">
        <f>BH29</f>
        <v>10.8</v>
      </c>
      <c r="BJ29" s="61"/>
      <c r="BK29" s="61">
        <v>21.1</v>
      </c>
      <c r="BL29" s="61">
        <v>20.9</v>
      </c>
      <c r="BM29" s="61">
        <v>17</v>
      </c>
      <c r="BN29" s="61">
        <v>23.6</v>
      </c>
      <c r="BO29" s="1125">
        <f>BN29</f>
        <v>23.6</v>
      </c>
      <c r="BP29" s="61"/>
      <c r="BQ29" s="61">
        <v>16.100000000000001</v>
      </c>
      <c r="BR29" s="61">
        <v>14.6</v>
      </c>
      <c r="BS29" s="61">
        <v>2</v>
      </c>
      <c r="BT29" s="61">
        <v>14.4</v>
      </c>
      <c r="BU29" s="1125">
        <f t="shared" si="66"/>
        <v>14.4</v>
      </c>
      <c r="BV29" s="61"/>
      <c r="BW29" s="61">
        <v>18.8</v>
      </c>
      <c r="BX29" s="61">
        <v>21.2</v>
      </c>
      <c r="BY29" s="61">
        <v>20.399999999999999</v>
      </c>
      <c r="BZ29" s="61">
        <v>16.7</v>
      </c>
      <c r="CA29" s="1125">
        <f t="shared" si="67"/>
        <v>16.7</v>
      </c>
      <c r="CB29" s="61"/>
      <c r="CC29" s="61">
        <v>19.100000000000001</v>
      </c>
      <c r="CD29" s="61">
        <v>17.899999999999999</v>
      </c>
      <c r="CE29" s="61">
        <v>9.8000000000000007</v>
      </c>
      <c r="CF29" s="61">
        <v>8.4</v>
      </c>
      <c r="CG29" s="1125">
        <f t="shared" si="68"/>
        <v>8.4</v>
      </c>
      <c r="CH29" s="61"/>
      <c r="CI29" s="61">
        <v>15.3</v>
      </c>
      <c r="CJ29" s="61">
        <v>23</v>
      </c>
      <c r="CK29" s="61">
        <v>28.3</v>
      </c>
      <c r="CL29" s="61">
        <v>28.6</v>
      </c>
      <c r="CM29" s="1125">
        <f t="shared" si="69"/>
        <v>28.6</v>
      </c>
      <c r="CN29" s="61"/>
      <c r="CO29" s="61">
        <v>24.2</v>
      </c>
      <c r="CP29" s="61">
        <v>15.3</v>
      </c>
      <c r="CQ29" s="61">
        <v>22.3</v>
      </c>
      <c r="CR29" s="61">
        <v>14.4</v>
      </c>
      <c r="CS29" s="1125">
        <f t="shared" si="70"/>
        <v>14.4</v>
      </c>
      <c r="CT29" s="61"/>
      <c r="CU29" s="61">
        <v>17.399999999999999</v>
      </c>
      <c r="CV29" s="61">
        <v>17</v>
      </c>
      <c r="CW29" s="61">
        <v>14.2</v>
      </c>
      <c r="CX29" s="61">
        <v>13.9</v>
      </c>
      <c r="CY29" s="1125">
        <f t="shared" si="71"/>
        <v>13.9</v>
      </c>
      <c r="CZ29" s="61"/>
      <c r="DA29" s="61">
        <v>35.4</v>
      </c>
      <c r="DB29" s="61">
        <v>42.5</v>
      </c>
      <c r="DC29" s="61">
        <v>37.200000000000003</v>
      </c>
      <c r="DD29" s="61">
        <v>24.3</v>
      </c>
      <c r="DE29" s="1125">
        <f t="shared" si="72"/>
        <v>24.3</v>
      </c>
      <c r="DF29" s="61"/>
      <c r="DG29" s="61">
        <v>36.4</v>
      </c>
      <c r="DH29" s="61">
        <v>37.299999999999997</v>
      </c>
      <c r="DI29" s="61">
        <v>38.299999999999997</v>
      </c>
      <c r="DJ29" s="61">
        <v>28.2</v>
      </c>
      <c r="DK29" s="1125">
        <f t="shared" si="73"/>
        <v>28.2</v>
      </c>
      <c r="DL29" s="61"/>
      <c r="DM29" s="61">
        <v>29</v>
      </c>
      <c r="DN29" s="2006">
        <v>52.3</v>
      </c>
      <c r="DO29" s="61">
        <v>28.2</v>
      </c>
      <c r="DP29" s="61">
        <v>29.4</v>
      </c>
      <c r="DQ29" s="1125">
        <f t="shared" si="74"/>
        <v>29.4</v>
      </c>
      <c r="DR29" s="61"/>
      <c r="DS29" s="61">
        <v>25.1</v>
      </c>
      <c r="DT29" s="61">
        <v>54.1</v>
      </c>
      <c r="DU29" s="61">
        <v>85.9</v>
      </c>
      <c r="DV29" s="61">
        <v>46.8</v>
      </c>
      <c r="DW29" s="1125">
        <f t="shared" si="75"/>
        <v>46.8</v>
      </c>
      <c r="DX29" s="45"/>
      <c r="DY29" s="61">
        <v>23.2</v>
      </c>
      <c r="DZ29" s="61">
        <v>21.3</v>
      </c>
      <c r="EA29" s="61">
        <v>21.7</v>
      </c>
      <c r="EB29" s="61">
        <v>28</v>
      </c>
      <c r="EC29" s="1125">
        <f t="shared" si="76"/>
        <v>28</v>
      </c>
      <c r="ED29" s="45"/>
      <c r="EE29" s="63">
        <f>EB29</f>
        <v>28</v>
      </c>
      <c r="EF29" s="63">
        <f>EE29</f>
        <v>28</v>
      </c>
      <c r="EG29" s="63">
        <f>EF29</f>
        <v>28</v>
      </c>
      <c r="EH29" s="63">
        <f>EG29</f>
        <v>28</v>
      </c>
      <c r="EI29" s="1125">
        <f t="shared" si="77"/>
        <v>28</v>
      </c>
      <c r="EJ29" s="45"/>
      <c r="EK29" s="63">
        <f>EH29</f>
        <v>28</v>
      </c>
      <c r="EL29" s="63">
        <f>EK29</f>
        <v>28</v>
      </c>
      <c r="EM29" s="63">
        <f>EL29</f>
        <v>28</v>
      </c>
      <c r="EN29" s="63">
        <f>EM29</f>
        <v>28</v>
      </c>
      <c r="EO29" s="1125">
        <f t="shared" si="78"/>
        <v>28</v>
      </c>
      <c r="EP29" s="45"/>
      <c r="EQ29" s="63">
        <f>EN29</f>
        <v>28</v>
      </c>
      <c r="ER29" s="63">
        <f>EQ29</f>
        <v>28</v>
      </c>
      <c r="ES29" s="63">
        <f>ER29</f>
        <v>28</v>
      </c>
      <c r="ET29" s="63">
        <f>ES29</f>
        <v>28</v>
      </c>
      <c r="EU29" s="1125">
        <f t="shared" si="79"/>
        <v>28</v>
      </c>
      <c r="EV29" s="45"/>
      <c r="EW29" s="45"/>
      <c r="EX29" s="45"/>
      <c r="EY29" s="45"/>
      <c r="EZ29" s="45"/>
      <c r="FA29" s="45"/>
      <c r="FB29" s="45"/>
      <c r="FI29" s="1990"/>
      <c r="FJ29" s="1990"/>
    </row>
    <row r="30" spans="1:166" ht="10.5" customHeight="1">
      <c r="A30" s="41" t="s">
        <v>5642</v>
      </c>
      <c r="B30" s="32"/>
      <c r="C30" s="61">
        <v>0</v>
      </c>
      <c r="D30" s="61">
        <v>0</v>
      </c>
      <c r="E30" s="61">
        <v>0</v>
      </c>
      <c r="F30" s="61">
        <v>0</v>
      </c>
      <c r="G30" s="61">
        <f t="shared" si="57"/>
        <v>0</v>
      </c>
      <c r="H30" s="61"/>
      <c r="I30" s="61">
        <v>0</v>
      </c>
      <c r="J30" s="61">
        <v>0</v>
      </c>
      <c r="K30" s="61">
        <v>0</v>
      </c>
      <c r="L30" s="61">
        <v>18.934000000000001</v>
      </c>
      <c r="M30" s="61">
        <f t="shared" si="58"/>
        <v>18.934000000000001</v>
      </c>
      <c r="N30" s="61"/>
      <c r="O30" s="62">
        <v>16.187999999999999</v>
      </c>
      <c r="P30" s="62">
        <v>17.747</v>
      </c>
      <c r="Q30" s="62">
        <v>16.734999999999999</v>
      </c>
      <c r="R30" s="62">
        <v>24.832999999999998</v>
      </c>
      <c r="S30" s="62">
        <f>R30</f>
        <v>24.832999999999998</v>
      </c>
      <c r="T30" s="61"/>
      <c r="U30" s="62">
        <v>40.878999999999998</v>
      </c>
      <c r="V30" s="62">
        <v>49.822000000000003</v>
      </c>
      <c r="W30" s="62">
        <v>43.703000000000003</v>
      </c>
      <c r="X30" s="62">
        <v>33.603999999999999</v>
      </c>
      <c r="Y30" s="62">
        <f>X30</f>
        <v>33.603999999999999</v>
      </c>
      <c r="Z30" s="62"/>
      <c r="AA30" s="62">
        <v>40.956000000000003</v>
      </c>
      <c r="AB30" s="62">
        <v>43.825000000000003</v>
      </c>
      <c r="AC30" s="62">
        <v>45.83</v>
      </c>
      <c r="AD30" s="62">
        <v>50.993000000000002</v>
      </c>
      <c r="AE30" s="62">
        <f>AD30</f>
        <v>50.993000000000002</v>
      </c>
      <c r="AF30" s="61"/>
      <c r="AG30" s="62">
        <v>49.670999999999999</v>
      </c>
      <c r="AH30" s="62">
        <v>59</v>
      </c>
      <c r="AI30" s="62">
        <v>59.9</v>
      </c>
      <c r="AJ30" s="62">
        <v>65.474000000000004</v>
      </c>
      <c r="AK30" s="62">
        <f>AJ30</f>
        <v>65.474000000000004</v>
      </c>
      <c r="AL30" s="61"/>
      <c r="AM30" s="62">
        <v>68.016999999999996</v>
      </c>
      <c r="AN30" s="62">
        <v>74.221999999999994</v>
      </c>
      <c r="AO30" s="62">
        <v>76.656000000000006</v>
      </c>
      <c r="AP30" s="62">
        <v>93.241</v>
      </c>
      <c r="AQ30" s="62">
        <f>AP30</f>
        <v>93.241</v>
      </c>
      <c r="AR30" s="61"/>
      <c r="AS30" s="62">
        <v>96.168000000000006</v>
      </c>
      <c r="AT30" s="62">
        <v>104.378</v>
      </c>
      <c r="AU30" s="62">
        <v>107.248</v>
      </c>
      <c r="AV30" s="62">
        <v>127.276</v>
      </c>
      <c r="AW30" s="62">
        <f t="shared" si="64"/>
        <v>127.276</v>
      </c>
      <c r="AX30" s="61"/>
      <c r="AY30" s="62">
        <v>136</v>
      </c>
      <c r="AZ30" s="62">
        <v>147.1</v>
      </c>
      <c r="BA30" s="62">
        <v>153.5</v>
      </c>
      <c r="BB30" s="62">
        <v>173.6</v>
      </c>
      <c r="BC30" s="62">
        <f t="shared" si="65"/>
        <v>173.6</v>
      </c>
      <c r="BD30" s="61"/>
      <c r="BE30" s="62">
        <v>193</v>
      </c>
      <c r="BF30" s="62">
        <v>193.4</v>
      </c>
      <c r="BG30" s="62">
        <v>194.6</v>
      </c>
      <c r="BH30" s="62">
        <v>230.7</v>
      </c>
      <c r="BI30" s="62">
        <f>BH30</f>
        <v>230.7</v>
      </c>
      <c r="BJ30" s="61"/>
      <c r="BK30" s="62">
        <v>266.7</v>
      </c>
      <c r="BL30" s="62">
        <v>264.5</v>
      </c>
      <c r="BM30" s="62">
        <v>264.8</v>
      </c>
      <c r="BN30" s="62">
        <v>311.39999999999998</v>
      </c>
      <c r="BO30" s="1166">
        <f>BN30</f>
        <v>311.39999999999998</v>
      </c>
      <c r="BP30" s="61"/>
      <c r="BQ30" s="62">
        <v>327.7</v>
      </c>
      <c r="BR30" s="62">
        <v>335.5</v>
      </c>
      <c r="BS30" s="62">
        <v>343.9</v>
      </c>
      <c r="BT30" s="62">
        <v>400.7</v>
      </c>
      <c r="BU30" s="1166">
        <f t="shared" si="66"/>
        <v>400.7</v>
      </c>
      <c r="BV30" s="61"/>
      <c r="BW30" s="62">
        <v>431.3</v>
      </c>
      <c r="BX30" s="62">
        <v>440.7</v>
      </c>
      <c r="BY30" s="62">
        <v>387.5</v>
      </c>
      <c r="BZ30" s="62">
        <v>438.8</v>
      </c>
      <c r="CA30" s="1166">
        <f t="shared" si="67"/>
        <v>438.8</v>
      </c>
      <c r="CB30" s="61"/>
      <c r="CC30" s="62">
        <v>453.1</v>
      </c>
      <c r="CD30" s="62">
        <v>424.4</v>
      </c>
      <c r="CE30" s="62">
        <v>401.2</v>
      </c>
      <c r="CF30" s="62">
        <v>444.6</v>
      </c>
      <c r="CG30" s="1166">
        <f t="shared" si="68"/>
        <v>444.6</v>
      </c>
      <c r="CH30" s="61"/>
      <c r="CI30" s="62">
        <v>470.6</v>
      </c>
      <c r="CJ30" s="62">
        <v>454.2</v>
      </c>
      <c r="CK30" s="62">
        <v>430</v>
      </c>
      <c r="CL30" s="62">
        <v>496.2</v>
      </c>
      <c r="CM30" s="1166">
        <f t="shared" si="69"/>
        <v>496.2</v>
      </c>
      <c r="CN30" s="61"/>
      <c r="CO30" s="62">
        <v>518.9</v>
      </c>
      <c r="CP30" s="62">
        <v>525.29999999999995</v>
      </c>
      <c r="CQ30" s="62">
        <v>499.9</v>
      </c>
      <c r="CR30" s="62">
        <v>582.29999999999995</v>
      </c>
      <c r="CS30" s="1166">
        <f t="shared" si="70"/>
        <v>582.29999999999995</v>
      </c>
      <c r="CT30" s="61"/>
      <c r="CU30" s="62">
        <v>584.70000000000005</v>
      </c>
      <c r="CV30" s="62">
        <v>590.9</v>
      </c>
      <c r="CW30" s="62">
        <v>558.1</v>
      </c>
      <c r="CX30" s="62">
        <v>647</v>
      </c>
      <c r="CY30" s="1166">
        <f t="shared" si="71"/>
        <v>647</v>
      </c>
      <c r="CZ30" s="61"/>
      <c r="DA30" s="62">
        <v>663.7</v>
      </c>
      <c r="DB30" s="62">
        <v>636.9</v>
      </c>
      <c r="DC30" s="62">
        <v>610.79999999999995</v>
      </c>
      <c r="DD30" s="62">
        <v>696.2</v>
      </c>
      <c r="DE30" s="1166">
        <f t="shared" si="72"/>
        <v>696.2</v>
      </c>
      <c r="DF30" s="61"/>
      <c r="DG30" s="62">
        <v>749.7</v>
      </c>
      <c r="DH30" s="62">
        <v>763</v>
      </c>
      <c r="DI30" s="62">
        <v>775.1</v>
      </c>
      <c r="DJ30" s="62">
        <v>900.8</v>
      </c>
      <c r="DK30" s="1166">
        <f t="shared" si="73"/>
        <v>900.8</v>
      </c>
      <c r="DL30" s="61"/>
      <c r="DM30" s="62">
        <v>893.4</v>
      </c>
      <c r="DN30" s="1991">
        <v>881.6</v>
      </c>
      <c r="DO30" s="62">
        <v>877</v>
      </c>
      <c r="DP30" s="62">
        <v>1068.9000000000001</v>
      </c>
      <c r="DQ30" s="1166">
        <f t="shared" si="74"/>
        <v>1068.9000000000001</v>
      </c>
      <c r="DR30" s="61"/>
      <c r="DS30" s="62">
        <v>1091.8</v>
      </c>
      <c r="DT30" s="62">
        <v>1107.0999999999999</v>
      </c>
      <c r="DU30" s="62">
        <v>1099.0999999999999</v>
      </c>
      <c r="DV30" s="62">
        <v>1282.8</v>
      </c>
      <c r="DW30" s="1166">
        <f t="shared" si="75"/>
        <v>1282.8</v>
      </c>
      <c r="DX30" s="45"/>
      <c r="DY30" s="62">
        <v>1291.5</v>
      </c>
      <c r="DZ30" s="62">
        <v>1308.5</v>
      </c>
      <c r="EA30" s="62">
        <v>1333.1</v>
      </c>
      <c r="EB30" s="62">
        <v>1551.6</v>
      </c>
      <c r="EC30" s="1166">
        <f t="shared" si="76"/>
        <v>1551.6</v>
      </c>
      <c r="ED30" s="45"/>
      <c r="EE30" s="62">
        <f>Metrics!EE391-EE37</f>
        <v>1601.1323121797952</v>
      </c>
      <c r="EF30" s="62">
        <f>Metrics!EF391-EF37</f>
        <v>1642.8886673089914</v>
      </c>
      <c r="EG30" s="62">
        <f>Metrics!EG391-EG37</f>
        <v>1629.65336621399</v>
      </c>
      <c r="EH30" s="62">
        <f>Metrics!EH391-EH37</f>
        <v>1800.9730525960349</v>
      </c>
      <c r="EI30" s="1166">
        <f t="shared" si="77"/>
        <v>1800.9730525960349</v>
      </c>
      <c r="EJ30" s="45"/>
      <c r="EK30" s="62">
        <f>Metrics!EK391-EK37</f>
        <v>1874.7553978499191</v>
      </c>
      <c r="EL30" s="62">
        <f>Metrics!EL391-EL37</f>
        <v>1943.3150464465791</v>
      </c>
      <c r="EM30" s="62">
        <f>Metrics!EM391-EM37</f>
        <v>1940.5580443878866</v>
      </c>
      <c r="EN30" s="62">
        <f>Metrics!EN391-EN37</f>
        <v>2162.9592427769635</v>
      </c>
      <c r="EO30" s="1166">
        <f t="shared" si="78"/>
        <v>2162.9592427769635</v>
      </c>
      <c r="EP30" s="45"/>
      <c r="EQ30" s="62">
        <f>Metrics!EQ391-EQ37</f>
        <v>2274.649921610277</v>
      </c>
      <c r="ER30" s="62">
        <f>Metrics!ER391-ER37</f>
        <v>2341.4797942806404</v>
      </c>
      <c r="ES30" s="62">
        <f>Metrics!ES391-ES37</f>
        <v>2295.1016230416481</v>
      </c>
      <c r="ET30" s="62">
        <f>Metrics!ET391-ET37</f>
        <v>2475.7993108254091</v>
      </c>
      <c r="EU30" s="1166">
        <f t="shared" si="79"/>
        <v>2475.7993108254091</v>
      </c>
      <c r="EV30" s="45"/>
      <c r="EW30" s="45"/>
      <c r="EX30" s="45"/>
      <c r="EY30" s="45"/>
      <c r="EZ30" s="45"/>
      <c r="FA30" s="45"/>
      <c r="FB30" s="45"/>
      <c r="FI30" s="1990"/>
      <c r="FJ30" s="1990"/>
    </row>
    <row r="31" spans="1:166" ht="10.5" customHeight="1">
      <c r="A31" s="41" t="s">
        <v>3829</v>
      </c>
      <c r="B31" s="32"/>
      <c r="C31" s="61">
        <v>0</v>
      </c>
      <c r="D31" s="61">
        <v>0</v>
      </c>
      <c r="E31" s="61">
        <v>0</v>
      </c>
      <c r="F31" s="61">
        <v>0</v>
      </c>
      <c r="G31" s="61">
        <f t="shared" si="57"/>
        <v>0</v>
      </c>
      <c r="H31" s="61"/>
      <c r="I31" s="61">
        <v>0</v>
      </c>
      <c r="J31" s="61">
        <v>0</v>
      </c>
      <c r="K31" s="61">
        <v>0</v>
      </c>
      <c r="L31" s="61">
        <v>0</v>
      </c>
      <c r="M31" s="61">
        <f t="shared" si="58"/>
        <v>0</v>
      </c>
      <c r="N31" s="61"/>
      <c r="O31" s="62">
        <v>29.327999999999999</v>
      </c>
      <c r="P31" s="62">
        <v>0</v>
      </c>
      <c r="Q31" s="62">
        <v>0</v>
      </c>
      <c r="R31" s="62">
        <v>0</v>
      </c>
      <c r="S31" s="62">
        <f>R31</f>
        <v>0</v>
      </c>
      <c r="T31" s="61"/>
      <c r="U31" s="62">
        <v>0</v>
      </c>
      <c r="V31" s="62">
        <v>0</v>
      </c>
      <c r="W31" s="62">
        <v>0</v>
      </c>
      <c r="X31" s="62">
        <v>0</v>
      </c>
      <c r="Y31" s="62">
        <f>X31</f>
        <v>0</v>
      </c>
      <c r="Z31" s="62"/>
      <c r="AA31" s="62">
        <v>0</v>
      </c>
      <c r="AB31" s="62">
        <v>0</v>
      </c>
      <c r="AC31" s="62">
        <v>0</v>
      </c>
      <c r="AD31" s="62">
        <v>0</v>
      </c>
      <c r="AE31" s="62">
        <f>AD31</f>
        <v>0</v>
      </c>
      <c r="AF31" s="61"/>
      <c r="AG31" s="62">
        <v>0</v>
      </c>
      <c r="AH31" s="62">
        <v>0</v>
      </c>
      <c r="AI31" s="62">
        <v>0</v>
      </c>
      <c r="AJ31" s="62">
        <v>0</v>
      </c>
      <c r="AK31" s="62">
        <f>AJ31</f>
        <v>0</v>
      </c>
      <c r="AL31" s="61"/>
      <c r="AM31" s="62">
        <v>0</v>
      </c>
      <c r="AN31" s="62">
        <v>0</v>
      </c>
      <c r="AO31" s="62">
        <v>0</v>
      </c>
      <c r="AP31" s="62">
        <v>0</v>
      </c>
      <c r="AQ31" s="62">
        <f>AP31</f>
        <v>0</v>
      </c>
      <c r="AR31" s="61"/>
      <c r="AS31" s="62">
        <v>0</v>
      </c>
      <c r="AT31" s="62">
        <v>0</v>
      </c>
      <c r="AU31" s="62">
        <v>0</v>
      </c>
      <c r="AV31" s="62">
        <v>0</v>
      </c>
      <c r="AW31" s="62">
        <f t="shared" si="64"/>
        <v>0</v>
      </c>
      <c r="AX31" s="61"/>
      <c r="AY31" s="62">
        <v>0</v>
      </c>
      <c r="AZ31" s="62">
        <v>0</v>
      </c>
      <c r="BA31" s="62">
        <v>0</v>
      </c>
      <c r="BB31" s="62">
        <v>0</v>
      </c>
      <c r="BC31" s="62">
        <f t="shared" si="65"/>
        <v>0</v>
      </c>
      <c r="BD31" s="61"/>
      <c r="BE31" s="62">
        <v>0</v>
      </c>
      <c r="BF31" s="62">
        <v>0</v>
      </c>
      <c r="BG31" s="62">
        <v>0</v>
      </c>
      <c r="BH31" s="62">
        <v>0</v>
      </c>
      <c r="BI31" s="62">
        <v>0</v>
      </c>
      <c r="BJ31" s="61"/>
      <c r="BK31" s="62">
        <v>0</v>
      </c>
      <c r="BL31" s="62">
        <v>0</v>
      </c>
      <c r="BM31" s="62">
        <v>0</v>
      </c>
      <c r="BN31" s="62">
        <v>0</v>
      </c>
      <c r="BO31" s="1166">
        <f>BN31</f>
        <v>0</v>
      </c>
      <c r="BP31" s="61"/>
      <c r="BQ31" s="62">
        <v>0</v>
      </c>
      <c r="BR31" s="62">
        <v>0</v>
      </c>
      <c r="BS31" s="62">
        <v>0</v>
      </c>
      <c r="BT31" s="62">
        <v>0</v>
      </c>
      <c r="BU31" s="1166">
        <f t="shared" si="66"/>
        <v>0</v>
      </c>
      <c r="BV31" s="61"/>
      <c r="BW31" s="62">
        <v>0</v>
      </c>
      <c r="BX31" s="62">
        <v>0</v>
      </c>
      <c r="BY31" s="62">
        <v>0</v>
      </c>
      <c r="BZ31" s="62">
        <v>0</v>
      </c>
      <c r="CA31" s="1166">
        <f t="shared" si="67"/>
        <v>0</v>
      </c>
      <c r="CB31" s="61"/>
      <c r="CC31" s="62">
        <v>0</v>
      </c>
      <c r="CD31" s="62">
        <v>0</v>
      </c>
      <c r="CE31" s="62">
        <v>0</v>
      </c>
      <c r="CF31" s="62">
        <v>0</v>
      </c>
      <c r="CG31" s="1166">
        <f t="shared" si="68"/>
        <v>0</v>
      </c>
      <c r="CH31" s="61"/>
      <c r="CI31" s="62">
        <v>0</v>
      </c>
      <c r="CJ31" s="62">
        <v>0</v>
      </c>
      <c r="CK31" s="62">
        <v>0</v>
      </c>
      <c r="CL31" s="62">
        <v>0</v>
      </c>
      <c r="CM31" s="1166">
        <f t="shared" si="69"/>
        <v>0</v>
      </c>
      <c r="CN31" s="61"/>
      <c r="CO31" s="62">
        <v>0</v>
      </c>
      <c r="CP31" s="62">
        <v>0</v>
      </c>
      <c r="CQ31" s="62">
        <v>0</v>
      </c>
      <c r="CR31" s="62">
        <v>0</v>
      </c>
      <c r="CS31" s="1166">
        <f t="shared" si="70"/>
        <v>0</v>
      </c>
      <c r="CT31" s="61"/>
      <c r="CU31" s="62">
        <v>0</v>
      </c>
      <c r="CV31" s="62">
        <v>0</v>
      </c>
      <c r="CW31" s="62">
        <v>0</v>
      </c>
      <c r="CX31" s="62">
        <v>0</v>
      </c>
      <c r="CY31" s="1166">
        <f t="shared" si="71"/>
        <v>0</v>
      </c>
      <c r="CZ31" s="61"/>
      <c r="DA31" s="62">
        <v>0</v>
      </c>
      <c r="DB31" s="62">
        <v>0</v>
      </c>
      <c r="DC31" s="62">
        <v>0</v>
      </c>
      <c r="DD31" s="62">
        <v>0</v>
      </c>
      <c r="DE31" s="1166">
        <f t="shared" si="72"/>
        <v>0</v>
      </c>
      <c r="DF31" s="61"/>
      <c r="DG31" s="62">
        <v>0</v>
      </c>
      <c r="DH31" s="62">
        <v>0</v>
      </c>
      <c r="DI31" s="62">
        <v>0</v>
      </c>
      <c r="DJ31" s="62">
        <v>0</v>
      </c>
      <c r="DK31" s="1166">
        <f t="shared" si="73"/>
        <v>0</v>
      </c>
      <c r="DL31" s="61"/>
      <c r="DM31" s="62">
        <v>0</v>
      </c>
      <c r="DN31" s="1991">
        <v>0</v>
      </c>
      <c r="DO31" s="62">
        <v>0</v>
      </c>
      <c r="DP31" s="62">
        <v>0</v>
      </c>
      <c r="DQ31" s="1166">
        <f t="shared" si="74"/>
        <v>0</v>
      </c>
      <c r="DR31" s="61"/>
      <c r="DS31" s="62">
        <v>0</v>
      </c>
      <c r="DT31" s="62">
        <v>0</v>
      </c>
      <c r="DU31" s="62">
        <v>0</v>
      </c>
      <c r="DV31" s="62">
        <v>0</v>
      </c>
      <c r="DW31" s="1166">
        <f t="shared" si="75"/>
        <v>0</v>
      </c>
      <c r="DX31" s="45"/>
      <c r="DY31" s="62">
        <v>0</v>
      </c>
      <c r="DZ31" s="62">
        <v>0</v>
      </c>
      <c r="EA31" s="62">
        <v>0</v>
      </c>
      <c r="EB31" s="62">
        <v>0</v>
      </c>
      <c r="EC31" s="1166">
        <f t="shared" si="76"/>
        <v>0</v>
      </c>
      <c r="ED31" s="45"/>
      <c r="EE31" s="62">
        <v>0</v>
      </c>
      <c r="EF31" s="62">
        <v>0</v>
      </c>
      <c r="EG31" s="62">
        <v>0</v>
      </c>
      <c r="EH31" s="62">
        <v>0</v>
      </c>
      <c r="EI31" s="1166">
        <f t="shared" si="77"/>
        <v>0</v>
      </c>
      <c r="EJ31" s="45"/>
      <c r="EK31" s="62">
        <v>0</v>
      </c>
      <c r="EL31" s="62">
        <v>0</v>
      </c>
      <c r="EM31" s="62">
        <v>0</v>
      </c>
      <c r="EN31" s="62">
        <v>0</v>
      </c>
      <c r="EO31" s="1166">
        <f t="shared" si="78"/>
        <v>0</v>
      </c>
      <c r="EP31" s="45"/>
      <c r="EQ31" s="62">
        <v>0</v>
      </c>
      <c r="ER31" s="62">
        <v>0</v>
      </c>
      <c r="ES31" s="62">
        <v>0</v>
      </c>
      <c r="ET31" s="62">
        <v>0</v>
      </c>
      <c r="EU31" s="1166">
        <f t="shared" si="79"/>
        <v>0</v>
      </c>
      <c r="EV31" s="45"/>
      <c r="EW31" s="45"/>
      <c r="EX31" s="45"/>
      <c r="EY31" s="45"/>
      <c r="EZ31" s="45"/>
      <c r="FA31" s="45"/>
      <c r="FB31" s="45"/>
      <c r="FI31" s="1990"/>
      <c r="FJ31" s="1990"/>
    </row>
    <row r="32" spans="1:166" ht="10.5" customHeight="1">
      <c r="A32" s="41" t="s">
        <v>4334</v>
      </c>
      <c r="B32" s="32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2"/>
      <c r="P32" s="62"/>
      <c r="Q32" s="62"/>
      <c r="R32" s="62"/>
      <c r="S32" s="62"/>
      <c r="T32" s="61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1"/>
      <c r="AG32" s="62"/>
      <c r="AH32" s="62"/>
      <c r="AI32" s="62"/>
      <c r="AJ32" s="62"/>
      <c r="AK32" s="62"/>
      <c r="AL32" s="61"/>
      <c r="AM32" s="62"/>
      <c r="AN32" s="62"/>
      <c r="AO32" s="62"/>
      <c r="AP32" s="62"/>
      <c r="AQ32" s="62"/>
      <c r="AR32" s="61"/>
      <c r="AS32" s="62"/>
      <c r="AT32" s="62"/>
      <c r="AU32" s="62"/>
      <c r="AV32" s="62"/>
      <c r="AW32" s="62"/>
      <c r="AX32" s="61"/>
      <c r="AY32" s="62"/>
      <c r="AZ32" s="62"/>
      <c r="BA32" s="62"/>
      <c r="BB32" s="62"/>
      <c r="BC32" s="62"/>
      <c r="BD32" s="61"/>
      <c r="BE32" s="62"/>
      <c r="BF32" s="62"/>
      <c r="BG32" s="62"/>
      <c r="BH32" s="62"/>
      <c r="BI32" s="62"/>
      <c r="BJ32" s="61"/>
      <c r="BK32" s="62"/>
      <c r="BL32" s="62"/>
      <c r="BM32" s="62"/>
      <c r="BN32" s="62"/>
      <c r="BO32" s="1166"/>
      <c r="BP32" s="61"/>
      <c r="BQ32" s="62"/>
      <c r="BR32" s="62"/>
      <c r="BS32" s="62"/>
      <c r="BT32" s="62"/>
      <c r="BU32" s="1166"/>
      <c r="BV32" s="61"/>
      <c r="BW32" s="62">
        <v>0</v>
      </c>
      <c r="BX32" s="62">
        <v>120</v>
      </c>
      <c r="BY32" s="62">
        <v>3.9</v>
      </c>
      <c r="BZ32" s="62">
        <v>52.1</v>
      </c>
      <c r="CA32" s="1166">
        <f t="shared" si="67"/>
        <v>52.1</v>
      </c>
      <c r="CB32" s="61"/>
      <c r="CC32" s="62">
        <v>2.1</v>
      </c>
      <c r="CD32" s="62">
        <v>0</v>
      </c>
      <c r="CE32" s="62">
        <v>0</v>
      </c>
      <c r="CF32" s="62">
        <v>0</v>
      </c>
      <c r="CG32" s="1166">
        <f t="shared" si="68"/>
        <v>0</v>
      </c>
      <c r="CH32" s="61"/>
      <c r="CI32" s="62">
        <v>0</v>
      </c>
      <c r="CJ32" s="62">
        <v>0</v>
      </c>
      <c r="CK32" s="62">
        <v>0</v>
      </c>
      <c r="CL32" s="62">
        <v>0</v>
      </c>
      <c r="CM32" s="1166">
        <f t="shared" si="69"/>
        <v>0</v>
      </c>
      <c r="CN32" s="61"/>
      <c r="CO32" s="62">
        <v>0</v>
      </c>
      <c r="CP32" s="62">
        <v>0</v>
      </c>
      <c r="CQ32" s="62">
        <v>0</v>
      </c>
      <c r="CR32" s="62">
        <v>0</v>
      </c>
      <c r="CS32" s="1166">
        <f t="shared" si="70"/>
        <v>0</v>
      </c>
      <c r="CT32" s="61"/>
      <c r="CU32" s="62">
        <v>0</v>
      </c>
      <c r="CV32" s="62">
        <v>0</v>
      </c>
      <c r="CW32" s="62">
        <v>110</v>
      </c>
      <c r="CX32" s="62">
        <v>0</v>
      </c>
      <c r="CY32" s="1166">
        <f t="shared" si="71"/>
        <v>0</v>
      </c>
      <c r="CZ32" s="61"/>
      <c r="DA32" s="62">
        <v>0</v>
      </c>
      <c r="DB32" s="62">
        <v>0</v>
      </c>
      <c r="DC32" s="62">
        <v>0</v>
      </c>
      <c r="DD32" s="62">
        <v>0</v>
      </c>
      <c r="DE32" s="1166">
        <f t="shared" si="72"/>
        <v>0</v>
      </c>
      <c r="DF32" s="61"/>
      <c r="DG32" s="62">
        <v>0</v>
      </c>
      <c r="DH32" s="62">
        <v>0</v>
      </c>
      <c r="DI32" s="62">
        <v>0</v>
      </c>
      <c r="DJ32" s="62">
        <v>0</v>
      </c>
      <c r="DK32" s="1166">
        <f t="shared" si="73"/>
        <v>0</v>
      </c>
      <c r="DL32" s="61"/>
      <c r="DM32" s="62">
        <v>0</v>
      </c>
      <c r="DN32" s="1991">
        <v>0</v>
      </c>
      <c r="DO32" s="62">
        <v>0</v>
      </c>
      <c r="DP32" s="62">
        <v>0</v>
      </c>
      <c r="DQ32" s="1166">
        <f t="shared" si="74"/>
        <v>0</v>
      </c>
      <c r="DR32" s="61"/>
      <c r="DS32" s="62">
        <v>0</v>
      </c>
      <c r="DT32" s="62">
        <v>0</v>
      </c>
      <c r="DU32" s="62">
        <v>0</v>
      </c>
      <c r="DV32" s="62">
        <v>398.7</v>
      </c>
      <c r="DW32" s="1166">
        <f t="shared" si="75"/>
        <v>398.7</v>
      </c>
      <c r="DX32" s="45"/>
      <c r="DY32" s="62">
        <v>399.1</v>
      </c>
      <c r="DZ32" s="62">
        <v>0</v>
      </c>
      <c r="EA32" s="62">
        <v>0</v>
      </c>
      <c r="EB32" s="62">
        <v>0</v>
      </c>
      <c r="EC32" s="1166">
        <f t="shared" si="76"/>
        <v>0</v>
      </c>
      <c r="ED32" s="45"/>
      <c r="EE32" s="62">
        <v>0</v>
      </c>
      <c r="EF32" s="62">
        <v>0</v>
      </c>
      <c r="EG32" s="62">
        <v>0</v>
      </c>
      <c r="EH32" s="62">
        <v>0</v>
      </c>
      <c r="EI32" s="1166">
        <f t="shared" si="77"/>
        <v>0</v>
      </c>
      <c r="EJ32" s="45"/>
      <c r="EK32" s="62">
        <v>0</v>
      </c>
      <c r="EL32" s="62">
        <v>0</v>
      </c>
      <c r="EM32" s="62">
        <v>0</v>
      </c>
      <c r="EN32" s="62">
        <v>0</v>
      </c>
      <c r="EO32" s="1166">
        <f t="shared" si="78"/>
        <v>0</v>
      </c>
      <c r="EP32" s="45"/>
      <c r="EQ32" s="62">
        <v>0</v>
      </c>
      <c r="ER32" s="62">
        <v>0</v>
      </c>
      <c r="ES32" s="62">
        <v>0</v>
      </c>
      <c r="ET32" s="62">
        <v>0</v>
      </c>
      <c r="EU32" s="1166">
        <f t="shared" si="79"/>
        <v>0</v>
      </c>
      <c r="EV32" s="45"/>
      <c r="EW32" s="45"/>
      <c r="EX32" s="45"/>
      <c r="EY32" s="45"/>
      <c r="EZ32" s="45"/>
      <c r="FA32" s="45"/>
      <c r="FB32" s="45"/>
      <c r="FI32" s="1990"/>
      <c r="FJ32" s="1990"/>
    </row>
    <row r="33" spans="1:166" ht="10.5" customHeight="1">
      <c r="A33" s="41" t="s">
        <v>5164</v>
      </c>
      <c r="B33" s="32"/>
      <c r="C33" s="61">
        <v>32.783999999999999</v>
      </c>
      <c r="D33" s="61">
        <v>36.360999999999997</v>
      </c>
      <c r="E33" s="61">
        <v>34.082000000000001</v>
      </c>
      <c r="F33" s="61">
        <v>32.454000000000001</v>
      </c>
      <c r="G33" s="61">
        <f t="shared" si="57"/>
        <v>32.454000000000001</v>
      </c>
      <c r="H33" s="61"/>
      <c r="I33" s="61">
        <v>50.508000000000003</v>
      </c>
      <c r="J33" s="61">
        <v>62.201000000000001</v>
      </c>
      <c r="K33" s="61">
        <v>68.132999999999996</v>
      </c>
      <c r="L33" s="61">
        <v>42.709000000000003</v>
      </c>
      <c r="M33" s="61">
        <f t="shared" si="58"/>
        <v>42.709000000000003</v>
      </c>
      <c r="N33" s="61"/>
      <c r="O33" s="62">
        <v>41.926000000000002</v>
      </c>
      <c r="P33" s="62">
        <v>54.097999999999999</v>
      </c>
      <c r="Q33" s="62">
        <v>50.506999999999998</v>
      </c>
      <c r="R33" s="62">
        <v>58.905000000000001</v>
      </c>
      <c r="S33" s="62">
        <f>R33</f>
        <v>58.905000000000001</v>
      </c>
      <c r="T33" s="61"/>
      <c r="U33" s="62">
        <v>67.316999999999993</v>
      </c>
      <c r="V33" s="62">
        <v>71.655000000000001</v>
      </c>
      <c r="W33" s="62">
        <v>79.364999999999995</v>
      </c>
      <c r="X33" s="62">
        <v>82.024000000000001</v>
      </c>
      <c r="Y33" s="62">
        <f>X33</f>
        <v>82.024000000000001</v>
      </c>
      <c r="Z33" s="62"/>
      <c r="AA33" s="62">
        <v>76.424999999999997</v>
      </c>
      <c r="AB33" s="62">
        <v>85.468000000000004</v>
      </c>
      <c r="AC33" s="62">
        <v>78.912000000000006</v>
      </c>
      <c r="AD33" s="62">
        <v>81.941999999999993</v>
      </c>
      <c r="AE33" s="62">
        <f>AD33</f>
        <v>81.941999999999993</v>
      </c>
      <c r="AF33" s="61"/>
      <c r="AG33" s="62">
        <v>80.259</v>
      </c>
      <c r="AH33" s="62">
        <v>92.963999999999999</v>
      </c>
      <c r="AI33" s="62">
        <v>96.81</v>
      </c>
      <c r="AJ33" s="62">
        <v>101.946</v>
      </c>
      <c r="AK33" s="62">
        <f>AJ33</f>
        <v>101.946</v>
      </c>
      <c r="AL33" s="61"/>
      <c r="AM33" s="62">
        <v>89.430999999999997</v>
      </c>
      <c r="AN33" s="62">
        <v>87.832999999999998</v>
      </c>
      <c r="AO33" s="62">
        <v>83.070999999999998</v>
      </c>
      <c r="AP33" s="62">
        <v>86.994</v>
      </c>
      <c r="AQ33" s="62">
        <f>AP33</f>
        <v>86.994</v>
      </c>
      <c r="AR33" s="61"/>
      <c r="AS33" s="62">
        <v>74.281999999999996</v>
      </c>
      <c r="AT33" s="62">
        <v>69.581999999999994</v>
      </c>
      <c r="AU33" s="62">
        <v>56.790999999999997</v>
      </c>
      <c r="AV33" s="62">
        <v>61.814</v>
      </c>
      <c r="AW33" s="62">
        <f t="shared" si="64"/>
        <v>61.814</v>
      </c>
      <c r="AX33" s="61"/>
      <c r="AY33" s="62">
        <v>56.2</v>
      </c>
      <c r="AZ33" s="62">
        <v>61.1</v>
      </c>
      <c r="BA33" s="62">
        <v>53.9</v>
      </c>
      <c r="BB33" s="62">
        <v>61.1</v>
      </c>
      <c r="BC33" s="62">
        <f t="shared" si="65"/>
        <v>61.1</v>
      </c>
      <c r="BD33" s="61"/>
      <c r="BE33" s="61">
        <v>47</v>
      </c>
      <c r="BF33" s="61">
        <v>54.2</v>
      </c>
      <c r="BG33" s="61">
        <v>48</v>
      </c>
      <c r="BH33" s="61">
        <v>68.599999999999994</v>
      </c>
      <c r="BI33" s="61">
        <f>BH33</f>
        <v>68.599999999999994</v>
      </c>
      <c r="BJ33" s="61"/>
      <c r="BK33" s="61">
        <v>77.8</v>
      </c>
      <c r="BL33" s="61">
        <v>77</v>
      </c>
      <c r="BM33" s="61">
        <v>59.6</v>
      </c>
      <c r="BN33" s="61">
        <v>57.5</v>
      </c>
      <c r="BO33" s="1125">
        <f>BN33</f>
        <v>57.5</v>
      </c>
      <c r="BP33" s="61"/>
      <c r="BQ33" s="61">
        <v>80.8</v>
      </c>
      <c r="BR33" s="61">
        <v>67.8</v>
      </c>
      <c r="BS33" s="61">
        <v>63.3</v>
      </c>
      <c r="BT33" s="61">
        <v>89.7</v>
      </c>
      <c r="BU33" s="1125">
        <f t="shared" si="66"/>
        <v>89.7</v>
      </c>
      <c r="BV33" s="61"/>
      <c r="BW33" s="61">
        <f>40+80.2</f>
        <v>120.2</v>
      </c>
      <c r="BX33" s="61">
        <v>101</v>
      </c>
      <c r="BY33" s="61">
        <v>64.3</v>
      </c>
      <c r="BZ33" s="61">
        <v>105.8</v>
      </c>
      <c r="CA33" s="1125">
        <f t="shared" si="67"/>
        <v>105.8</v>
      </c>
      <c r="CB33" s="61"/>
      <c r="CC33" s="61">
        <v>58.6</v>
      </c>
      <c r="CD33" s="61">
        <v>74.3</v>
      </c>
      <c r="CE33" s="61">
        <v>57.4</v>
      </c>
      <c r="CF33" s="61">
        <v>67.599999999999994</v>
      </c>
      <c r="CG33" s="1125">
        <f t="shared" si="68"/>
        <v>67.599999999999994</v>
      </c>
      <c r="CH33" s="61"/>
      <c r="CI33" s="61">
        <v>56.3</v>
      </c>
      <c r="CJ33" s="61">
        <v>66.400000000000006</v>
      </c>
      <c r="CK33" s="61">
        <v>58.9</v>
      </c>
      <c r="CL33" s="61">
        <v>75.099999999999994</v>
      </c>
      <c r="CM33" s="1125">
        <f t="shared" si="69"/>
        <v>75.099999999999994</v>
      </c>
      <c r="CN33" s="61"/>
      <c r="CO33" s="61">
        <v>68.7</v>
      </c>
      <c r="CP33" s="61">
        <v>75.2</v>
      </c>
      <c r="CQ33" s="61">
        <v>55.2</v>
      </c>
      <c r="CR33" s="61">
        <v>84.2</v>
      </c>
      <c r="CS33" s="1125">
        <f t="shared" si="70"/>
        <v>84.2</v>
      </c>
      <c r="CT33" s="61"/>
      <c r="CU33" s="61">
        <v>56.7</v>
      </c>
      <c r="CV33" s="61">
        <v>74</v>
      </c>
      <c r="CW33" s="61">
        <v>71.599999999999994</v>
      </c>
      <c r="CX33" s="61">
        <v>99</v>
      </c>
      <c r="CY33" s="1125">
        <f t="shared" si="71"/>
        <v>99</v>
      </c>
      <c r="CZ33" s="61"/>
      <c r="DA33" s="61">
        <v>71.400000000000006</v>
      </c>
      <c r="DB33" s="61">
        <v>76.400000000000006</v>
      </c>
      <c r="DC33" s="61">
        <v>70.099999999999994</v>
      </c>
      <c r="DD33" s="61">
        <v>85.3</v>
      </c>
      <c r="DE33" s="1125">
        <f t="shared" si="72"/>
        <v>85.3</v>
      </c>
      <c r="DF33" s="61"/>
      <c r="DG33" s="61">
        <v>85.7</v>
      </c>
      <c r="DH33" s="61">
        <v>98.9</v>
      </c>
      <c r="DI33" s="61">
        <v>85.5</v>
      </c>
      <c r="DJ33" s="61">
        <v>117.3</v>
      </c>
      <c r="DK33" s="1125">
        <f t="shared" si="73"/>
        <v>117.3</v>
      </c>
      <c r="DL33" s="61"/>
      <c r="DM33" s="61">
        <v>91.2</v>
      </c>
      <c r="DN33" s="2006">
        <v>116.9</v>
      </c>
      <c r="DO33" s="61">
        <v>107.6</v>
      </c>
      <c r="DP33" s="61">
        <v>129.5</v>
      </c>
      <c r="DQ33" s="1125">
        <f t="shared" si="74"/>
        <v>129.5</v>
      </c>
      <c r="DR33" s="61"/>
      <c r="DS33" s="61">
        <v>117.6</v>
      </c>
      <c r="DT33" s="61">
        <v>128.1</v>
      </c>
      <c r="DU33" s="61">
        <v>122.2</v>
      </c>
      <c r="DV33" s="61">
        <v>134.9</v>
      </c>
      <c r="DW33" s="1125">
        <f t="shared" si="75"/>
        <v>134.9</v>
      </c>
      <c r="DX33" s="45"/>
      <c r="DY33" s="61">
        <v>109.6</v>
      </c>
      <c r="DZ33" s="61">
        <v>117.2</v>
      </c>
      <c r="EA33" s="61">
        <v>106</v>
      </c>
      <c r="EB33" s="61">
        <v>198</v>
      </c>
      <c r="EC33" s="1125">
        <f t="shared" si="76"/>
        <v>198</v>
      </c>
      <c r="ED33" s="45"/>
      <c r="EE33" s="61">
        <f>Model!EE263*EE92</f>
        <v>93.426795905857361</v>
      </c>
      <c r="EF33" s="61">
        <f>Model!EF263*EF92</f>
        <v>101.03368796806616</v>
      </c>
      <c r="EG33" s="61">
        <f>Model!EG263*EG92</f>
        <v>89.23870148639898</v>
      </c>
      <c r="EH33" s="61">
        <f>Model!EH263*EH92</f>
        <v>195.82982851958104</v>
      </c>
      <c r="EI33" s="1125">
        <f t="shared" si="77"/>
        <v>195.82982851958104</v>
      </c>
      <c r="EJ33" s="45"/>
      <c r="EK33" s="61">
        <f>Model!EK263*EK92</f>
        <v>36.282628174658093</v>
      </c>
      <c r="EL33" s="61">
        <f>Model!EL263*EL92</f>
        <v>43.249959613442925</v>
      </c>
      <c r="EM33" s="61">
        <f>Model!EM263*EM92</f>
        <v>31.427748775761223</v>
      </c>
      <c r="EN33" s="61">
        <f>Model!EN263*EN92</f>
        <v>137.43889851971255</v>
      </c>
      <c r="EO33" s="1125">
        <f t="shared" si="78"/>
        <v>137.43889851971255</v>
      </c>
      <c r="EP33" s="45"/>
      <c r="EQ33" s="61">
        <f>Model!EQ263*EQ92</f>
        <v>36.796778057335217</v>
      </c>
      <c r="ER33" s="61">
        <f>Model!ER263*ER92</f>
        <v>44.83427720861458</v>
      </c>
      <c r="ES33" s="61">
        <f>Model!ES263*ES92</f>
        <v>32.974523629731543</v>
      </c>
      <c r="ET33" s="61">
        <f>Model!ET263*ET92</f>
        <v>144.79015502256354</v>
      </c>
      <c r="EU33" s="1125">
        <f t="shared" si="79"/>
        <v>144.79015502256354</v>
      </c>
      <c r="EV33" s="45"/>
      <c r="EW33" s="45"/>
      <c r="EX33" s="45"/>
      <c r="EY33" s="45"/>
      <c r="EZ33" s="45"/>
      <c r="FA33" s="45"/>
      <c r="FB33" s="45"/>
      <c r="FI33" s="1990"/>
      <c r="FJ33" s="1990"/>
    </row>
    <row r="34" spans="1:166" ht="10.5" customHeight="1">
      <c r="A34" s="480" t="s">
        <v>342</v>
      </c>
      <c r="B34" s="32"/>
      <c r="C34" s="42">
        <f>SUM(C27:C33)</f>
        <v>143.25299999999999</v>
      </c>
      <c r="D34" s="42">
        <f>SUM(D27:D33)</f>
        <v>150.26599999999999</v>
      </c>
      <c r="E34" s="42">
        <f>SUM(E27:E33)</f>
        <v>137.6</v>
      </c>
      <c r="F34" s="42">
        <f>SUM(F27:F33)</f>
        <v>150.17100000000002</v>
      </c>
      <c r="G34" s="42">
        <f t="shared" si="57"/>
        <v>150.17100000000002</v>
      </c>
      <c r="H34" s="32"/>
      <c r="I34" s="42">
        <f>SUM(I27:I33)</f>
        <v>171.89500000000001</v>
      </c>
      <c r="J34" s="42">
        <f>SUM(J27:J33)</f>
        <v>189.63300000000001</v>
      </c>
      <c r="K34" s="42">
        <f>SUM(K27:K33)</f>
        <v>197.75099999999998</v>
      </c>
      <c r="L34" s="42">
        <f>SUM(L27:L33)</f>
        <v>199.48699999999999</v>
      </c>
      <c r="M34" s="42">
        <f t="shared" ref="M34:M39" si="80">L34</f>
        <v>199.48699999999999</v>
      </c>
      <c r="N34" s="42"/>
      <c r="O34" s="42">
        <f>SUM(O27:O33)</f>
        <v>222.75700000000001</v>
      </c>
      <c r="P34" s="42">
        <f>SUM(P27:P33)</f>
        <v>213.97400000000005</v>
      </c>
      <c r="Q34" s="42">
        <f>SUM(Q27:Q33)</f>
        <v>227.52699999999999</v>
      </c>
      <c r="R34" s="42">
        <f>SUM(R27:R33)</f>
        <v>279.11399999999998</v>
      </c>
      <c r="S34" s="42">
        <f t="shared" si="59"/>
        <v>279.11399999999998</v>
      </c>
      <c r="T34" s="42"/>
      <c r="U34" s="42">
        <f>SUM(U27:U33)</f>
        <v>281.73099999999999</v>
      </c>
      <c r="V34" s="42">
        <f>SUM(V27:V33)</f>
        <v>280.536</v>
      </c>
      <c r="W34" s="42">
        <f>SUM(W27:W33)</f>
        <v>288.31399999999996</v>
      </c>
      <c r="X34" s="42">
        <f>SUM(X27:X33)</f>
        <v>299.392</v>
      </c>
      <c r="Y34" s="42">
        <f t="shared" si="60"/>
        <v>299.392</v>
      </c>
      <c r="Z34" s="42"/>
      <c r="AA34" s="42">
        <f>SUM(AA27:AA33)</f>
        <v>278.88900000000001</v>
      </c>
      <c r="AB34" s="42">
        <f>SUM(AB27:AB33)</f>
        <v>320.13799999999998</v>
      </c>
      <c r="AC34" s="42">
        <f>SUM(AC27:AC33)</f>
        <v>323.08400000000006</v>
      </c>
      <c r="AD34" s="42">
        <f>SUM(AD27:AD33)</f>
        <v>333.91300000000001</v>
      </c>
      <c r="AE34" s="42">
        <f t="shared" si="61"/>
        <v>333.91300000000001</v>
      </c>
      <c r="AF34" s="42"/>
      <c r="AG34" s="42">
        <f>SUM(AG27:AG33)</f>
        <v>325.56599999999997</v>
      </c>
      <c r="AH34" s="42">
        <f>SUM(AH27:AH33)</f>
        <v>358.04400000000004</v>
      </c>
      <c r="AI34" s="42">
        <f>SUM(AI27:AI33)</f>
        <v>360.03800000000001</v>
      </c>
      <c r="AJ34" s="42">
        <f>SUM(AJ27:AJ33)</f>
        <v>369.71799999999996</v>
      </c>
      <c r="AK34" s="42">
        <f t="shared" si="62"/>
        <v>369.71799999999996</v>
      </c>
      <c r="AL34" s="42"/>
      <c r="AM34" s="42">
        <f>SUM(AM27:AM33)</f>
        <v>323.97199999999998</v>
      </c>
      <c r="AN34" s="42">
        <f>SUM(AN27:AN33)</f>
        <v>324.64800000000002</v>
      </c>
      <c r="AO34" s="42">
        <f>SUM(AO27:AO33)</f>
        <v>310.798</v>
      </c>
      <c r="AP34" s="42">
        <f>SUM(AP27:AP33)</f>
        <v>308.26599999999996</v>
      </c>
      <c r="AQ34" s="42">
        <f t="shared" si="63"/>
        <v>308.26599999999996</v>
      </c>
      <c r="AR34" s="42"/>
      <c r="AS34" s="42">
        <f>SUM(AS27:AS33)</f>
        <v>308.358</v>
      </c>
      <c r="AT34" s="42">
        <f>SUM(AT27:AT33)</f>
        <v>330.255</v>
      </c>
      <c r="AU34" s="42">
        <f>SUM(AU27:AU33)</f>
        <v>332.69499999999999</v>
      </c>
      <c r="AV34" s="42">
        <f>SUM(AV27:AV33)</f>
        <v>382.21500000000003</v>
      </c>
      <c r="AW34" s="42">
        <f t="shared" si="64"/>
        <v>382.21500000000003</v>
      </c>
      <c r="AX34" s="42"/>
      <c r="AY34" s="42">
        <f>SUM(AY27:AY33)</f>
        <v>349.09999999999997</v>
      </c>
      <c r="AZ34" s="42">
        <f>SUM(AZ27:AZ33)</f>
        <v>383</v>
      </c>
      <c r="BA34" s="42">
        <f>SUM(BA27:BA33)</f>
        <v>403.79999999999995</v>
      </c>
      <c r="BB34" s="42">
        <f>SUM(BB27:BB33)</f>
        <v>463.20000000000005</v>
      </c>
      <c r="BC34" s="42">
        <f t="shared" si="65"/>
        <v>463.20000000000005</v>
      </c>
      <c r="BD34" s="42"/>
      <c r="BE34" s="42">
        <f>SUM(BE27:BE33)</f>
        <v>427.8</v>
      </c>
      <c r="BF34" s="42">
        <f>SUM(BF27:BF33)</f>
        <v>422.2</v>
      </c>
      <c r="BG34" s="42">
        <f>SUM(BG27:BG33)</f>
        <v>447.29999999999995</v>
      </c>
      <c r="BH34" s="42">
        <f>SUM(BH27:BH33)</f>
        <v>487.79999999999995</v>
      </c>
      <c r="BI34" s="42">
        <f>BH34</f>
        <v>487.79999999999995</v>
      </c>
      <c r="BJ34" s="42"/>
      <c r="BK34" s="42">
        <f>SUM(BK27:BK33)</f>
        <v>500.8</v>
      </c>
      <c r="BL34" s="42">
        <f>SUM(BL27:BL33)</f>
        <v>496.79999999999995</v>
      </c>
      <c r="BM34" s="42">
        <f>SUM(BM27:BM33)</f>
        <v>512.20000000000005</v>
      </c>
      <c r="BN34" s="42">
        <f>SUM(BN27:BN33)</f>
        <v>574.19999999999993</v>
      </c>
      <c r="BO34" s="1310">
        <f>BN34</f>
        <v>574.19999999999993</v>
      </c>
      <c r="BP34" s="42"/>
      <c r="BQ34" s="42">
        <f>SUM(BQ27:BQ33)</f>
        <v>584.99999999999989</v>
      </c>
      <c r="BR34" s="42">
        <f>SUM(BR27:BR33)</f>
        <v>597.5</v>
      </c>
      <c r="BS34" s="42">
        <f>SUM(BS27:BS33)</f>
        <v>608.09999999999991</v>
      </c>
      <c r="BT34" s="42">
        <f>SUM(BT27:BT33)</f>
        <v>746.5</v>
      </c>
      <c r="BU34" s="1310">
        <f t="shared" si="66"/>
        <v>746.5</v>
      </c>
      <c r="BV34" s="42"/>
      <c r="BW34" s="42">
        <f>SUM(BW27:BW33)</f>
        <v>734.5</v>
      </c>
      <c r="BX34" s="42">
        <f>SUM(BX27:BX33)</f>
        <v>869</v>
      </c>
      <c r="BY34" s="42">
        <f>SUM(BY27:BY33)</f>
        <v>664.3</v>
      </c>
      <c r="BZ34" s="42">
        <f>SUM(BZ27:BZ33)</f>
        <v>800.1</v>
      </c>
      <c r="CA34" s="1310">
        <f t="shared" si="67"/>
        <v>800.1</v>
      </c>
      <c r="CB34" s="42"/>
      <c r="CC34" s="42">
        <f>SUM(CC27:CC33)</f>
        <v>681.80000000000007</v>
      </c>
      <c r="CD34" s="42">
        <f>SUM(CD27:CD33)</f>
        <v>661.69999999999993</v>
      </c>
      <c r="CE34" s="42">
        <f>SUM(CE27:CE33)</f>
        <v>627.29999999999995</v>
      </c>
      <c r="CF34" s="42">
        <f>SUM(CF27:CF33)</f>
        <v>704</v>
      </c>
      <c r="CG34" s="1310">
        <f t="shared" si="68"/>
        <v>704</v>
      </c>
      <c r="CH34" s="42"/>
      <c r="CI34" s="42">
        <f>SUM(CI27:CI33)</f>
        <v>711</v>
      </c>
      <c r="CJ34" s="42">
        <f>SUM(CJ27:CJ33)</f>
        <v>723.1</v>
      </c>
      <c r="CK34" s="42">
        <f>SUM(CK27:CK33)</f>
        <v>734.69999999999993</v>
      </c>
      <c r="CL34" s="42">
        <f>SUM(CL27:CL33)</f>
        <v>869.80000000000007</v>
      </c>
      <c r="CM34" s="1310">
        <f t="shared" si="69"/>
        <v>869.80000000000007</v>
      </c>
      <c r="CN34" s="42"/>
      <c r="CO34" s="42">
        <f>SUM(CO27:CO33)</f>
        <v>819.5</v>
      </c>
      <c r="CP34" s="42">
        <f>SUM(CP27:CP33)</f>
        <v>827.1</v>
      </c>
      <c r="CQ34" s="42">
        <f>SUM(CQ27:CQ33)</f>
        <v>813.6</v>
      </c>
      <c r="CR34" s="42">
        <f>SUM(CR27:CR33)</f>
        <v>954.09999999999991</v>
      </c>
      <c r="CS34" s="1310">
        <f t="shared" si="70"/>
        <v>954.09999999999991</v>
      </c>
      <c r="CT34" s="42"/>
      <c r="CU34" s="42">
        <f>SUM(CU27:CU33)</f>
        <v>875.50000000000011</v>
      </c>
      <c r="CV34" s="42">
        <f>SUM(CV27:CV33)</f>
        <v>901.4</v>
      </c>
      <c r="CW34" s="42">
        <f>SUM(CW27:CW33)</f>
        <v>985.4</v>
      </c>
      <c r="CX34" s="42">
        <f>SUM(CX27:CX33)</f>
        <v>1043.7</v>
      </c>
      <c r="CY34" s="1310">
        <f t="shared" si="71"/>
        <v>1043.7</v>
      </c>
      <c r="CZ34" s="42"/>
      <c r="DA34" s="42">
        <f>SUM(DA27:DA33)</f>
        <v>979.80000000000007</v>
      </c>
      <c r="DB34" s="42">
        <f>SUM(DB27:DB33)</f>
        <v>955.9</v>
      </c>
      <c r="DC34" s="42">
        <f>SUM(DC27:DC33)</f>
        <v>948.1</v>
      </c>
      <c r="DD34" s="42">
        <f>SUM(DD27:DD33)</f>
        <v>1071.5</v>
      </c>
      <c r="DE34" s="1310">
        <f t="shared" si="72"/>
        <v>1071.5</v>
      </c>
      <c r="DF34" s="42"/>
      <c r="DG34" s="42">
        <f>SUM(DG27:DG33)</f>
        <v>1118.7</v>
      </c>
      <c r="DH34" s="42">
        <f>SUM(DH27:DH33)</f>
        <v>1157.3000000000002</v>
      </c>
      <c r="DI34" s="42">
        <f>SUM(DI27:DI33)</f>
        <v>1193.3</v>
      </c>
      <c r="DJ34" s="42">
        <f>SUM(DJ27:DJ33)</f>
        <v>1400.1</v>
      </c>
      <c r="DK34" s="1310">
        <f t="shared" si="73"/>
        <v>1400.1</v>
      </c>
      <c r="DL34" s="42"/>
      <c r="DM34" s="42">
        <f>SUM(DM27:DM33)</f>
        <v>1270.3</v>
      </c>
      <c r="DN34" s="2007">
        <f>SUM(DN27:DN33)</f>
        <v>1313.8000000000002</v>
      </c>
      <c r="DO34" s="42">
        <f>SUM(DO27:DO33)</f>
        <v>1311.1999999999998</v>
      </c>
      <c r="DP34" s="42">
        <f>SUM(DP27:DP33)</f>
        <v>1591</v>
      </c>
      <c r="DQ34" s="1310">
        <f t="shared" si="74"/>
        <v>1591</v>
      </c>
      <c r="DR34" s="42"/>
      <c r="DS34" s="42">
        <f>SUM(DS27:DS33)</f>
        <v>1474.5</v>
      </c>
      <c r="DT34" s="42">
        <f>SUM(DT27:DT33)</f>
        <v>1559.6</v>
      </c>
      <c r="DU34" s="42">
        <f>SUM(DU27:DU33)</f>
        <v>1597.6</v>
      </c>
      <c r="DV34" s="42">
        <f>SUM(DV27:DV33)</f>
        <v>2194.9</v>
      </c>
      <c r="DW34" s="1310">
        <f t="shared" si="75"/>
        <v>2194.9</v>
      </c>
      <c r="DX34" s="42"/>
      <c r="DY34" s="42">
        <f>SUM(DY27:DY33)</f>
        <v>2049.6</v>
      </c>
      <c r="DZ34" s="42">
        <f>SUM(DZ27:DZ33)</f>
        <v>1701.7</v>
      </c>
      <c r="EA34" s="42">
        <f>SUM(EA27:EA33)</f>
        <v>1750</v>
      </c>
      <c r="EB34" s="42">
        <f>SUM(EB27:EB33)</f>
        <v>2123.1999999999998</v>
      </c>
      <c r="EC34" s="1310">
        <f t="shared" si="76"/>
        <v>2123.1999999999998</v>
      </c>
      <c r="ED34" s="42"/>
      <c r="EE34" s="42">
        <f>SUM(EE27:EE33)</f>
        <v>1974.9909495420336</v>
      </c>
      <c r="EF34" s="42">
        <f>SUM(EF27:EF33)</f>
        <v>2064.2170868763137</v>
      </c>
      <c r="EG34" s="42">
        <f>SUM(EG27:EG33)</f>
        <v>2090.3619308939851</v>
      </c>
      <c r="EH34" s="42">
        <f>SUM(EH27:EH33)</f>
        <v>2487.6136955913216</v>
      </c>
      <c r="EI34" s="1310">
        <f t="shared" si="77"/>
        <v>2487.6136955913216</v>
      </c>
      <c r="EJ34" s="42"/>
      <c r="EK34" s="42">
        <f>SUM(EK27:EK33)</f>
        <v>2170.7102430620921</v>
      </c>
      <c r="EL34" s="42">
        <f>SUM(EL27:EL33)</f>
        <v>2290.8174088907699</v>
      </c>
      <c r="EM34" s="42">
        <f>SUM(EM27:EM33)</f>
        <v>2351.7412516905611</v>
      </c>
      <c r="EN34" s="42">
        <f>SUM(EN27:EN33)</f>
        <v>2802.4729742358509</v>
      </c>
      <c r="EO34" s="1310">
        <f t="shared" si="78"/>
        <v>2802.4729742358509</v>
      </c>
      <c r="EP34" s="42"/>
      <c r="EQ34" s="42">
        <f>SUM(EQ27:EQ33)</f>
        <v>2549.276300527365</v>
      </c>
      <c r="ER34" s="42">
        <f>SUM(ER27:ER33)</f>
        <v>2683.6260272790491</v>
      </c>
      <c r="ES34" s="42">
        <f>SUM(ES27:ES33)</f>
        <v>2719.6311638469679</v>
      </c>
      <c r="ET34" s="42">
        <f>SUM(ET27:ET33)</f>
        <v>3114.3093050879938</v>
      </c>
      <c r="EU34" s="1310">
        <f t="shared" si="79"/>
        <v>3114.3093050879938</v>
      </c>
      <c r="EV34" s="81"/>
      <c r="EW34" s="81"/>
      <c r="EX34" s="81"/>
      <c r="EY34" s="81"/>
      <c r="EZ34" s="81"/>
      <c r="FA34" s="81"/>
      <c r="FB34" s="81"/>
      <c r="FI34" s="1990"/>
      <c r="FJ34" s="1990"/>
    </row>
    <row r="35" spans="1:166" ht="5.25" customHeight="1">
      <c r="A35" s="75"/>
      <c r="B35" s="32"/>
      <c r="C35" s="90"/>
      <c r="D35" s="90"/>
      <c r="E35" s="90"/>
      <c r="F35" s="90"/>
      <c r="G35" s="61"/>
      <c r="H35" s="90"/>
      <c r="I35" s="90"/>
      <c r="J35" s="90"/>
      <c r="K35" s="77"/>
      <c r="L35" s="77"/>
      <c r="M35" s="62"/>
      <c r="N35" s="77"/>
      <c r="O35" s="76"/>
      <c r="P35" s="77"/>
      <c r="Q35" s="77"/>
      <c r="R35" s="77"/>
      <c r="S35" s="77"/>
      <c r="T35" s="77"/>
      <c r="U35" s="76"/>
      <c r="V35" s="77"/>
      <c r="W35" s="77"/>
      <c r="X35" s="77"/>
      <c r="Y35" s="77"/>
      <c r="Z35" s="77"/>
      <c r="AA35" s="76"/>
      <c r="AB35" s="77"/>
      <c r="AC35" s="77"/>
      <c r="AD35" s="77"/>
      <c r="AE35" s="77"/>
      <c r="AF35" s="77"/>
      <c r="AG35" s="76"/>
      <c r="AH35" s="77"/>
      <c r="AI35" s="77"/>
      <c r="AJ35" s="77"/>
      <c r="AK35" s="77"/>
      <c r="AL35" s="61"/>
      <c r="AM35" s="76"/>
      <c r="AN35" s="77"/>
      <c r="AO35" s="77"/>
      <c r="AP35" s="77"/>
      <c r="AQ35" s="77"/>
      <c r="AR35" s="77"/>
      <c r="AS35" s="76"/>
      <c r="AT35" s="77"/>
      <c r="AU35" s="77"/>
      <c r="AV35" s="77"/>
      <c r="AW35" s="77"/>
      <c r="AX35" s="77"/>
      <c r="AY35" s="76"/>
      <c r="AZ35" s="77"/>
      <c r="BA35" s="77"/>
      <c r="BB35" s="77"/>
      <c r="BC35" s="77"/>
      <c r="BD35" s="77"/>
      <c r="BE35" s="75"/>
      <c r="BF35" s="75"/>
      <c r="BG35" s="77"/>
      <c r="BH35" s="75"/>
      <c r="BI35" s="77"/>
      <c r="BJ35" s="77"/>
      <c r="BK35" s="75"/>
      <c r="BL35" s="75"/>
      <c r="BM35" s="77"/>
      <c r="BN35" s="75"/>
      <c r="BO35" s="1308"/>
      <c r="BP35" s="77"/>
      <c r="BQ35" s="75"/>
      <c r="BR35" s="77"/>
      <c r="BS35" s="77"/>
      <c r="BT35" s="77"/>
      <c r="BU35" s="1308"/>
      <c r="BV35" s="77"/>
      <c r="BW35" s="75"/>
      <c r="BX35" s="75"/>
      <c r="BY35" s="75"/>
      <c r="BZ35" s="75"/>
      <c r="CA35" s="1308"/>
      <c r="CB35" s="77"/>
      <c r="CC35" s="75"/>
      <c r="CD35" s="75"/>
      <c r="CE35" s="75"/>
      <c r="CF35" s="75"/>
      <c r="CG35" s="1308"/>
      <c r="CH35" s="77"/>
      <c r="CI35" s="75"/>
      <c r="CJ35" s="75"/>
      <c r="CK35" s="75"/>
      <c r="CL35" s="75"/>
      <c r="CM35" s="1308"/>
      <c r="CN35" s="77"/>
      <c r="CO35" s="75"/>
      <c r="CP35" s="77"/>
      <c r="CQ35" s="75"/>
      <c r="CR35" s="75"/>
      <c r="CS35" s="1308"/>
      <c r="CT35" s="77"/>
      <c r="CU35" s="75"/>
      <c r="CV35" s="77"/>
      <c r="CW35" s="75"/>
      <c r="CX35" s="75"/>
      <c r="CY35" s="1308"/>
      <c r="CZ35" s="77"/>
      <c r="DA35" s="75"/>
      <c r="DB35" s="75"/>
      <c r="DC35" s="75"/>
      <c r="DD35" s="75"/>
      <c r="DE35" s="1308"/>
      <c r="DF35" s="77"/>
      <c r="DG35" s="75"/>
      <c r="DH35" s="75"/>
      <c r="DI35" s="75"/>
      <c r="DJ35" s="75"/>
      <c r="DK35" s="1308"/>
      <c r="DL35" s="77"/>
      <c r="DM35" s="75"/>
      <c r="DN35" s="75"/>
      <c r="DO35" s="75"/>
      <c r="DP35" s="75"/>
      <c r="DQ35" s="1308"/>
      <c r="DR35" s="77"/>
      <c r="DS35" s="75"/>
      <c r="DT35" s="75"/>
      <c r="DU35" s="75"/>
      <c r="DV35" s="75"/>
      <c r="DX35" s="75"/>
      <c r="DY35" s="75"/>
      <c r="DZ35" s="75"/>
      <c r="EA35" s="75"/>
      <c r="EB35" s="75"/>
      <c r="ED35" s="75"/>
      <c r="EE35" s="77"/>
      <c r="EF35" s="77"/>
      <c r="EG35" s="77"/>
      <c r="EH35" s="77"/>
      <c r="EJ35" s="75"/>
      <c r="EK35" s="77"/>
      <c r="EL35" s="77"/>
      <c r="EM35" s="77"/>
      <c r="EN35" s="77"/>
      <c r="EP35" s="75"/>
      <c r="EQ35" s="77"/>
      <c r="ER35" s="77"/>
      <c r="ES35" s="77"/>
      <c r="ET35" s="77"/>
      <c r="EV35" s="77"/>
      <c r="EW35" s="77"/>
      <c r="EX35" s="77"/>
      <c r="EY35" s="77"/>
      <c r="EZ35" s="77"/>
      <c r="FA35" s="77"/>
      <c r="FB35" s="77"/>
      <c r="FI35" s="1990"/>
      <c r="FJ35" s="1990"/>
    </row>
    <row r="36" spans="1:166" ht="10.5" customHeight="1">
      <c r="A36" s="41" t="s">
        <v>5165</v>
      </c>
      <c r="B36" s="32"/>
      <c r="C36" s="61">
        <v>3.617</v>
      </c>
      <c r="D36" s="61">
        <v>1.66</v>
      </c>
      <c r="E36" s="61">
        <v>0.27500000000000002</v>
      </c>
      <c r="F36" s="61">
        <v>2.9740000000000002</v>
      </c>
      <c r="G36" s="61">
        <f>F36</f>
        <v>2.9740000000000002</v>
      </c>
      <c r="H36" s="61"/>
      <c r="I36" s="61">
        <v>4.9470000000000001</v>
      </c>
      <c r="J36" s="61">
        <v>3.4529999999999998</v>
      </c>
      <c r="K36" s="61">
        <v>1.87</v>
      </c>
      <c r="L36" s="61">
        <v>0.48099999999999998</v>
      </c>
      <c r="M36" s="62">
        <f t="shared" si="80"/>
        <v>0.48099999999999998</v>
      </c>
      <c r="N36" s="61"/>
      <c r="O36" s="62">
        <v>0.504</v>
      </c>
      <c r="P36" s="62">
        <v>0.49199999999999999</v>
      </c>
      <c r="Q36" s="62">
        <v>0.499</v>
      </c>
      <c r="R36" s="61">
        <v>3.3330000000000002</v>
      </c>
      <c r="S36" s="61">
        <f>R36</f>
        <v>3.3330000000000002</v>
      </c>
      <c r="T36" s="61"/>
      <c r="U36" s="62">
        <v>2.585</v>
      </c>
      <c r="V36" s="62">
        <v>1.5620000000000001</v>
      </c>
      <c r="W36" s="62">
        <v>1.0669999999999999</v>
      </c>
      <c r="X36" s="61">
        <v>4.38</v>
      </c>
      <c r="Y36" s="61">
        <f>X36</f>
        <v>4.38</v>
      </c>
      <c r="Z36" s="61"/>
      <c r="AA36" s="62">
        <v>4.0819999999999999</v>
      </c>
      <c r="AB36" s="62">
        <v>4.0780000000000003</v>
      </c>
      <c r="AC36" s="62">
        <v>4.0430000000000001</v>
      </c>
      <c r="AD36" s="62">
        <v>0</v>
      </c>
      <c r="AE36" s="61">
        <f>AD36</f>
        <v>0</v>
      </c>
      <c r="AF36" s="61"/>
      <c r="AG36" s="62">
        <v>0</v>
      </c>
      <c r="AH36" s="62">
        <v>0</v>
      </c>
      <c r="AI36" s="62">
        <v>0</v>
      </c>
      <c r="AJ36" s="62">
        <v>0</v>
      </c>
      <c r="AK36" s="61">
        <f>AJ36</f>
        <v>0</v>
      </c>
      <c r="AL36" s="61"/>
      <c r="AM36" s="62">
        <v>0</v>
      </c>
      <c r="AN36" s="62">
        <v>0</v>
      </c>
      <c r="AO36" s="62">
        <v>0</v>
      </c>
      <c r="AP36" s="62">
        <v>1.6779999999999999</v>
      </c>
      <c r="AQ36" s="61">
        <f>AP36</f>
        <v>1.6779999999999999</v>
      </c>
      <c r="AR36" s="61"/>
      <c r="AS36" s="62">
        <v>0</v>
      </c>
      <c r="AT36" s="62">
        <v>0</v>
      </c>
      <c r="AU36" s="62">
        <v>1.4610000000000001</v>
      </c>
      <c r="AV36" s="62">
        <v>7.8490000000000002</v>
      </c>
      <c r="AW36" s="61">
        <f>AV36</f>
        <v>7.8490000000000002</v>
      </c>
      <c r="AX36" s="61"/>
      <c r="AY36" s="62">
        <v>0</v>
      </c>
      <c r="AZ36" s="62">
        <v>0</v>
      </c>
      <c r="BA36" s="62">
        <v>0</v>
      </c>
      <c r="BB36" s="62">
        <v>0</v>
      </c>
      <c r="BC36" s="62">
        <f>BB36</f>
        <v>0</v>
      </c>
      <c r="BD36" s="61"/>
      <c r="BE36" s="61">
        <v>0</v>
      </c>
      <c r="BF36" s="61">
        <v>0</v>
      </c>
      <c r="BG36" s="61">
        <v>0</v>
      </c>
      <c r="BH36" s="61">
        <v>0</v>
      </c>
      <c r="BI36" s="62">
        <f t="shared" ref="BI36:BI42" si="81">BH36</f>
        <v>0</v>
      </c>
      <c r="BJ36" s="61"/>
      <c r="BK36" s="61">
        <v>0</v>
      </c>
      <c r="BL36" s="61">
        <v>0</v>
      </c>
      <c r="BM36" s="61">
        <v>0</v>
      </c>
      <c r="BN36" s="61">
        <v>0</v>
      </c>
      <c r="BO36" s="1166">
        <f t="shared" ref="BO36:BO42" si="82">BN36</f>
        <v>0</v>
      </c>
      <c r="BP36" s="61"/>
      <c r="BQ36" s="61">
        <v>0</v>
      </c>
      <c r="BR36" s="61">
        <f>BO36</f>
        <v>0</v>
      </c>
      <c r="BS36" s="61">
        <v>0</v>
      </c>
      <c r="BT36" s="61">
        <f>BS36</f>
        <v>0</v>
      </c>
      <c r="BU36" s="1125">
        <f>BR36</f>
        <v>0</v>
      </c>
      <c r="BV36" s="61"/>
      <c r="BW36" s="61">
        <v>0</v>
      </c>
      <c r="BX36" s="61">
        <v>0</v>
      </c>
      <c r="BY36" s="61">
        <v>0</v>
      </c>
      <c r="BZ36" s="61">
        <v>0</v>
      </c>
      <c r="CA36" s="1125">
        <f>BX36</f>
        <v>0</v>
      </c>
      <c r="CB36" s="61"/>
      <c r="CC36" s="61">
        <v>0</v>
      </c>
      <c r="CD36" s="61">
        <v>0</v>
      </c>
      <c r="CE36" s="61">
        <v>0</v>
      </c>
      <c r="CF36" s="61">
        <v>0</v>
      </c>
      <c r="CG36" s="1125">
        <f>CD36</f>
        <v>0</v>
      </c>
      <c r="CH36" s="61"/>
      <c r="CI36" s="61">
        <v>0</v>
      </c>
      <c r="CJ36" s="61">
        <v>0</v>
      </c>
      <c r="CK36" s="61">
        <f>CH36</f>
        <v>0</v>
      </c>
      <c r="CL36" s="61">
        <v>0</v>
      </c>
      <c r="CM36" s="1125">
        <f>CJ36</f>
        <v>0</v>
      </c>
      <c r="CN36" s="61"/>
      <c r="CO36" s="61">
        <v>0</v>
      </c>
      <c r="CP36" s="61">
        <v>0</v>
      </c>
      <c r="CQ36" s="61">
        <v>0</v>
      </c>
      <c r="CR36" s="61">
        <v>0</v>
      </c>
      <c r="CS36" s="1125">
        <f>CP36</f>
        <v>0</v>
      </c>
      <c r="CT36" s="61"/>
      <c r="CU36" s="61">
        <v>0</v>
      </c>
      <c r="CV36" s="61">
        <v>0</v>
      </c>
      <c r="CW36" s="61">
        <v>0</v>
      </c>
      <c r="CX36" s="61">
        <v>0</v>
      </c>
      <c r="CY36" s="1125">
        <f>CV36</f>
        <v>0</v>
      </c>
      <c r="CZ36" s="61"/>
      <c r="DA36" s="61">
        <v>0</v>
      </c>
      <c r="DB36" s="61">
        <f>CY36</f>
        <v>0</v>
      </c>
      <c r="DC36" s="61">
        <v>0</v>
      </c>
      <c r="DD36" s="61">
        <f>DA36</f>
        <v>0</v>
      </c>
      <c r="DE36" s="1125">
        <f>DB36</f>
        <v>0</v>
      </c>
      <c r="DF36" s="61"/>
      <c r="DG36" s="61">
        <v>0</v>
      </c>
      <c r="DH36" s="61">
        <v>0</v>
      </c>
      <c r="DI36" s="61">
        <v>0</v>
      </c>
      <c r="DJ36" s="61">
        <v>0</v>
      </c>
      <c r="DK36" s="1125">
        <f>DH36</f>
        <v>0</v>
      </c>
      <c r="DL36" s="61"/>
      <c r="DM36" s="61">
        <v>0</v>
      </c>
      <c r="DN36" s="2006">
        <v>28.9</v>
      </c>
      <c r="DO36" s="61">
        <v>54.9</v>
      </c>
      <c r="DP36" s="61">
        <v>63.2</v>
      </c>
      <c r="DQ36" s="1125">
        <f>+DP36</f>
        <v>63.2</v>
      </c>
      <c r="DR36" s="61"/>
      <c r="DS36" s="61">
        <v>78.099999999999994</v>
      </c>
      <c r="DT36" s="61">
        <v>66.599999999999994</v>
      </c>
      <c r="DU36" s="61">
        <v>75.900000000000006</v>
      </c>
      <c r="DV36" s="61">
        <v>91.5</v>
      </c>
      <c r="DW36" s="1125">
        <f>+DV36</f>
        <v>91.5</v>
      </c>
      <c r="DX36" s="45"/>
      <c r="DY36" s="61">
        <v>91.7</v>
      </c>
      <c r="DZ36" s="61">
        <v>100.9</v>
      </c>
      <c r="EA36" s="61">
        <v>97.9</v>
      </c>
      <c r="EB36" s="61">
        <v>66.599999999999994</v>
      </c>
      <c r="EC36" s="1125">
        <f>EB36</f>
        <v>66.599999999999994</v>
      </c>
      <c r="ED36" s="45"/>
      <c r="EE36" s="61">
        <f>+EB36</f>
        <v>66.599999999999994</v>
      </c>
      <c r="EF36" s="61">
        <f>+EE36</f>
        <v>66.599999999999994</v>
      </c>
      <c r="EG36" s="61">
        <f>+EF36</f>
        <v>66.599999999999994</v>
      </c>
      <c r="EH36" s="61">
        <f>+EG36</f>
        <v>66.599999999999994</v>
      </c>
      <c r="EI36" s="1125">
        <f>EF36</f>
        <v>66.599999999999994</v>
      </c>
      <c r="EJ36" s="45"/>
      <c r="EK36" s="61">
        <f>+EH36</f>
        <v>66.599999999999994</v>
      </c>
      <c r="EL36" s="61">
        <f>+EK36</f>
        <v>66.599999999999994</v>
      </c>
      <c r="EM36" s="61">
        <f>+EL36</f>
        <v>66.599999999999994</v>
      </c>
      <c r="EN36" s="61">
        <f>+EM36</f>
        <v>66.599999999999994</v>
      </c>
      <c r="EO36" s="1125">
        <f>EL36</f>
        <v>66.599999999999994</v>
      </c>
      <c r="EP36" s="45"/>
      <c r="EQ36" s="61">
        <f>+EN36</f>
        <v>66.599999999999994</v>
      </c>
      <c r="ER36" s="61">
        <f>+EQ36</f>
        <v>66.599999999999994</v>
      </c>
      <c r="ES36" s="61">
        <f>+ER36</f>
        <v>66.599999999999994</v>
      </c>
      <c r="ET36" s="61">
        <f>+ES36</f>
        <v>66.599999999999994</v>
      </c>
      <c r="EU36" s="1125">
        <f>ER36</f>
        <v>66.599999999999994</v>
      </c>
      <c r="EV36" s="45"/>
      <c r="EW36" s="45"/>
      <c r="EX36" s="45"/>
      <c r="EY36" s="45"/>
      <c r="EZ36" s="45"/>
      <c r="FA36" s="45"/>
      <c r="FB36" s="45"/>
      <c r="FI36" s="1990"/>
      <c r="FJ36" s="1990"/>
    </row>
    <row r="37" spans="1:166" ht="10.5" customHeight="1">
      <c r="A37" s="41" t="s">
        <v>1436</v>
      </c>
      <c r="B37" s="32"/>
      <c r="C37" s="61">
        <v>0</v>
      </c>
      <c r="D37" s="61">
        <v>0</v>
      </c>
      <c r="E37" s="61">
        <v>0</v>
      </c>
      <c r="F37" s="61">
        <v>0</v>
      </c>
      <c r="G37" s="61">
        <f>F37</f>
        <v>0</v>
      </c>
      <c r="H37" s="61"/>
      <c r="I37" s="61">
        <v>0</v>
      </c>
      <c r="J37" s="61">
        <v>0</v>
      </c>
      <c r="K37" s="61">
        <v>0</v>
      </c>
      <c r="L37" s="61">
        <v>0</v>
      </c>
      <c r="M37" s="62">
        <f t="shared" si="80"/>
        <v>0</v>
      </c>
      <c r="N37" s="61"/>
      <c r="O37" s="62">
        <v>0</v>
      </c>
      <c r="P37" s="62">
        <v>0</v>
      </c>
      <c r="Q37" s="62">
        <v>0</v>
      </c>
      <c r="R37" s="61">
        <v>0</v>
      </c>
      <c r="S37" s="61">
        <f>R37</f>
        <v>0</v>
      </c>
      <c r="T37" s="61"/>
      <c r="U37" s="62">
        <v>0</v>
      </c>
      <c r="V37" s="62">
        <v>0</v>
      </c>
      <c r="W37" s="62">
        <v>0</v>
      </c>
      <c r="X37" s="61">
        <v>0</v>
      </c>
      <c r="Y37" s="61">
        <f>X37</f>
        <v>0</v>
      </c>
      <c r="Z37" s="61"/>
      <c r="AA37" s="62">
        <v>0</v>
      </c>
      <c r="AB37" s="62">
        <v>0</v>
      </c>
      <c r="AC37" s="62">
        <v>0</v>
      </c>
      <c r="AD37" s="62">
        <v>0</v>
      </c>
      <c r="AE37" s="61">
        <f>AD37</f>
        <v>0</v>
      </c>
      <c r="AF37" s="61"/>
      <c r="AG37" s="62">
        <v>0</v>
      </c>
      <c r="AH37" s="62">
        <v>0</v>
      </c>
      <c r="AI37" s="62">
        <v>0</v>
      </c>
      <c r="AJ37" s="62">
        <v>0</v>
      </c>
      <c r="AK37" s="61">
        <f>AJ37</f>
        <v>0</v>
      </c>
      <c r="AL37" s="61"/>
      <c r="AM37" s="62">
        <v>0</v>
      </c>
      <c r="AN37" s="62">
        <v>0</v>
      </c>
      <c r="AO37" s="62">
        <v>0</v>
      </c>
      <c r="AP37" s="62">
        <v>0</v>
      </c>
      <c r="AQ37" s="61">
        <f>AP37</f>
        <v>0</v>
      </c>
      <c r="AR37" s="61"/>
      <c r="AS37" s="62">
        <v>0</v>
      </c>
      <c r="AT37" s="62">
        <v>0</v>
      </c>
      <c r="AU37" s="62">
        <v>0</v>
      </c>
      <c r="AV37" s="62">
        <v>0</v>
      </c>
      <c r="AW37" s="61">
        <f>AV37</f>
        <v>0</v>
      </c>
      <c r="AX37" s="61"/>
      <c r="AY37" s="62">
        <v>0</v>
      </c>
      <c r="AZ37" s="62">
        <v>2.1</v>
      </c>
      <c r="BA37" s="62">
        <v>0</v>
      </c>
      <c r="BB37" s="62">
        <v>15.5</v>
      </c>
      <c r="BC37" s="62">
        <f>BB37</f>
        <v>15.5</v>
      </c>
      <c r="BD37" s="61"/>
      <c r="BE37" s="61">
        <v>20</v>
      </c>
      <c r="BF37" s="61">
        <v>25.2</v>
      </c>
      <c r="BG37" s="61">
        <v>32.5</v>
      </c>
      <c r="BH37" s="61">
        <v>35.799999999999997</v>
      </c>
      <c r="BI37" s="62">
        <f t="shared" si="81"/>
        <v>35.799999999999997</v>
      </c>
      <c r="BJ37" s="61"/>
      <c r="BK37" s="61">
        <v>41.2</v>
      </c>
      <c r="BL37" s="61">
        <v>47.7</v>
      </c>
      <c r="BM37" s="61">
        <v>49</v>
      </c>
      <c r="BN37" s="61">
        <v>67.400000000000006</v>
      </c>
      <c r="BO37" s="1166">
        <f t="shared" si="82"/>
        <v>67.400000000000006</v>
      </c>
      <c r="BP37" s="61"/>
      <c r="BQ37" s="61">
        <v>72.2</v>
      </c>
      <c r="BR37" s="61">
        <v>76.400000000000006</v>
      </c>
      <c r="BS37" s="61">
        <v>80</v>
      </c>
      <c r="BT37" s="61">
        <v>105.4</v>
      </c>
      <c r="BU37" s="1166">
        <f>BT37</f>
        <v>105.4</v>
      </c>
      <c r="BV37" s="61"/>
      <c r="BW37" s="61">
        <v>118.4</v>
      </c>
      <c r="BX37" s="61">
        <v>121.9</v>
      </c>
      <c r="BY37" s="61">
        <v>111.9</v>
      </c>
      <c r="BZ37" s="61">
        <v>113.3</v>
      </c>
      <c r="CA37" s="1166">
        <f>BZ37</f>
        <v>113.3</v>
      </c>
      <c r="CB37" s="61"/>
      <c r="CC37" s="61">
        <v>80.900000000000006</v>
      </c>
      <c r="CD37" s="61">
        <v>77.5</v>
      </c>
      <c r="CE37" s="61">
        <v>68.3</v>
      </c>
      <c r="CF37" s="61">
        <v>71.900000000000006</v>
      </c>
      <c r="CG37" s="1166">
        <f>CF37</f>
        <v>71.900000000000006</v>
      </c>
      <c r="CH37" s="61"/>
      <c r="CI37" s="61">
        <v>73.099999999999994</v>
      </c>
      <c r="CJ37" s="61">
        <v>71.900000000000006</v>
      </c>
      <c r="CK37" s="61">
        <v>77.099999999999994</v>
      </c>
      <c r="CL37" s="61">
        <v>91.7</v>
      </c>
      <c r="CM37" s="1166">
        <f>CL37</f>
        <v>91.7</v>
      </c>
      <c r="CN37" s="61"/>
      <c r="CO37" s="61">
        <v>103.5</v>
      </c>
      <c r="CP37" s="61">
        <v>117.1</v>
      </c>
      <c r="CQ37" s="61">
        <v>120</v>
      </c>
      <c r="CR37" s="61">
        <v>136.9</v>
      </c>
      <c r="CS37" s="1166">
        <f>CR37</f>
        <v>136.9</v>
      </c>
      <c r="CT37" s="61"/>
      <c r="CU37" s="61">
        <v>142.19999999999999</v>
      </c>
      <c r="CV37" s="61">
        <v>161.1</v>
      </c>
      <c r="CW37" s="61">
        <v>155.6</v>
      </c>
      <c r="CX37" s="61">
        <v>187.6</v>
      </c>
      <c r="CY37" s="1166">
        <f t="shared" ref="CY37:CY42" si="83">CX37</f>
        <v>187.6</v>
      </c>
      <c r="CZ37" s="61"/>
      <c r="DA37" s="61">
        <v>187.7</v>
      </c>
      <c r="DB37" s="61">
        <v>168.6</v>
      </c>
      <c r="DC37" s="61">
        <v>154.9</v>
      </c>
      <c r="DD37" s="61">
        <v>204.4</v>
      </c>
      <c r="DE37" s="1166">
        <f t="shared" ref="DE37:DE42" si="84">DD37</f>
        <v>204.4</v>
      </c>
      <c r="DF37" s="61"/>
      <c r="DG37" s="61">
        <v>213.8</v>
      </c>
      <c r="DH37" s="61">
        <v>217.8</v>
      </c>
      <c r="DI37" s="61">
        <v>231.1</v>
      </c>
      <c r="DJ37" s="61">
        <v>256.3</v>
      </c>
      <c r="DK37" s="1166">
        <f t="shared" ref="DK37:DK42" si="85">DJ37</f>
        <v>256.3</v>
      </c>
      <c r="DL37" s="61"/>
      <c r="DM37" s="61">
        <v>260.3</v>
      </c>
      <c r="DN37" s="2006">
        <v>354.7</v>
      </c>
      <c r="DO37" s="61">
        <v>335.3</v>
      </c>
      <c r="DP37" s="61">
        <v>450.3</v>
      </c>
      <c r="DQ37" s="1166">
        <f t="shared" ref="DQ37:DQ42" si="86">DP37</f>
        <v>450.3</v>
      </c>
      <c r="DR37" s="61"/>
      <c r="DS37" s="61">
        <v>431.9</v>
      </c>
      <c r="DT37" s="61">
        <v>412.9</v>
      </c>
      <c r="DU37" s="61">
        <v>433.9</v>
      </c>
      <c r="DV37" s="61">
        <v>505.2</v>
      </c>
      <c r="DW37" s="1166">
        <f t="shared" ref="DW37:DW42" si="87">DV37</f>
        <v>505.2</v>
      </c>
      <c r="DX37" s="45"/>
      <c r="DY37" s="61">
        <v>510</v>
      </c>
      <c r="DZ37" s="61">
        <v>467.5</v>
      </c>
      <c r="EA37" s="61">
        <v>430.8</v>
      </c>
      <c r="EB37" s="61">
        <v>403.5</v>
      </c>
      <c r="EC37" s="1166">
        <f t="shared" ref="EC37:EC42" si="88">EB37</f>
        <v>403.5</v>
      </c>
      <c r="ED37" s="45"/>
      <c r="EE37" s="61">
        <f>Metrics!EE391*(BS!EB37/(BS!EB37+BS!EB30))</f>
        <v>416.38108273043787</v>
      </c>
      <c r="EF37" s="61">
        <f>Metrics!EF391*(BS!EE37/(BS!EE37+BS!EE30))</f>
        <v>427.23999565556721</v>
      </c>
      <c r="EG37" s="61">
        <f>Metrics!EG391*(BS!EF37/(BS!EF37+BS!EF30))</f>
        <v>423.79810084257861</v>
      </c>
      <c r="EH37" s="61">
        <f>Metrics!EH391*(BS!EG37/(BS!EG37+BS!EG30))</f>
        <v>468.35049414958758</v>
      </c>
      <c r="EI37" s="1166">
        <f t="shared" ref="EI37:EI42" si="89">EH37</f>
        <v>468.35049414958758</v>
      </c>
      <c r="EJ37" s="45"/>
      <c r="EK37" s="61">
        <f>Metrics!EK391*(BS!EH37/(BS!EH37+BS!EH30))</f>
        <v>487.53789831943953</v>
      </c>
      <c r="EL37" s="61">
        <f>Metrics!EL391*(BS!EK37/(BS!EK37+BS!EK30))</f>
        <v>505.36711861381463</v>
      </c>
      <c r="EM37" s="61">
        <f>Metrics!EM391*(BS!EL37/(BS!EL37+BS!EL30))</f>
        <v>504.65014882090247</v>
      </c>
      <c r="EN37" s="61">
        <f>Metrics!EN391*(BS!EM37/(BS!EM37+BS!EM30))</f>
        <v>562.48650068349116</v>
      </c>
      <c r="EO37" s="1166">
        <f t="shared" ref="EO37:EO42" si="90">EN37</f>
        <v>562.48650068349116</v>
      </c>
      <c r="EP37" s="45"/>
      <c r="EQ37" s="61">
        <f>Metrics!EQ391*(BS!EN37/(BS!EN37+BS!EN30))</f>
        <v>591.53212385263396</v>
      </c>
      <c r="ER37" s="61">
        <f>Metrics!ER391*(BS!EQ37/(BS!EQ37+BS!EQ30))</f>
        <v>608.91150876014342</v>
      </c>
      <c r="ES37" s="61">
        <f>Metrics!ES391*(BS!ER37/(BS!ER37+BS!ER30))</f>
        <v>596.85067343213791</v>
      </c>
      <c r="ET37" s="61">
        <f>Metrics!ET391*(BS!ES37/(BS!ES37+BS!ES30))</f>
        <v>643.84185480668509</v>
      </c>
      <c r="EU37" s="1166">
        <f t="shared" ref="EU37:EU42" si="91">ET37</f>
        <v>643.84185480668509</v>
      </c>
      <c r="EV37" s="45"/>
      <c r="EW37" s="45"/>
      <c r="EX37" s="45"/>
      <c r="EY37" s="45"/>
      <c r="EZ37" s="45"/>
      <c r="FA37" s="45"/>
      <c r="FB37" s="45"/>
      <c r="FI37" s="1990"/>
      <c r="FJ37" s="1990"/>
    </row>
    <row r="38" spans="1:166" ht="10.5" customHeight="1">
      <c r="A38" s="41" t="s">
        <v>3829</v>
      </c>
      <c r="B38" s="32"/>
      <c r="C38" s="61">
        <v>28.1</v>
      </c>
      <c r="D38" s="61">
        <v>28.561</v>
      </c>
      <c r="E38" s="61">
        <v>29.021000000000001</v>
      </c>
      <c r="F38" s="61">
        <v>29.327999999999999</v>
      </c>
      <c r="G38" s="61">
        <f>F38</f>
        <v>29.327999999999999</v>
      </c>
      <c r="H38" s="61"/>
      <c r="I38" s="61">
        <v>29.327999999999999</v>
      </c>
      <c r="J38" s="61">
        <v>29.327999999999999</v>
      </c>
      <c r="K38" s="61">
        <v>29.327999999999999</v>
      </c>
      <c r="L38" s="61">
        <v>29.327999999999999</v>
      </c>
      <c r="M38" s="62">
        <f t="shared" si="80"/>
        <v>29.327999999999999</v>
      </c>
      <c r="N38" s="61"/>
      <c r="O38" s="45">
        <v>0</v>
      </c>
      <c r="P38" s="62">
        <v>0</v>
      </c>
      <c r="Q38" s="62">
        <v>2.12</v>
      </c>
      <c r="R38" s="61">
        <v>0</v>
      </c>
      <c r="S38" s="61">
        <f>R38</f>
        <v>0</v>
      </c>
      <c r="T38" s="61"/>
      <c r="U38" s="62">
        <v>0</v>
      </c>
      <c r="V38" s="62">
        <v>0</v>
      </c>
      <c r="W38" s="62">
        <v>0</v>
      </c>
      <c r="X38" s="61">
        <v>0</v>
      </c>
      <c r="Y38" s="61">
        <f>X38</f>
        <v>0</v>
      </c>
      <c r="Z38" s="61"/>
      <c r="AA38" s="62">
        <v>0</v>
      </c>
      <c r="AB38" s="62">
        <v>0</v>
      </c>
      <c r="AC38" s="62">
        <v>0</v>
      </c>
      <c r="AD38" s="62">
        <v>0</v>
      </c>
      <c r="AE38" s="61">
        <f>AD38</f>
        <v>0</v>
      </c>
      <c r="AF38" s="61"/>
      <c r="AG38" s="62">
        <v>0</v>
      </c>
      <c r="AH38" s="62">
        <v>0</v>
      </c>
      <c r="AI38" s="62">
        <v>0</v>
      </c>
      <c r="AJ38" s="62">
        <v>0</v>
      </c>
      <c r="AK38" s="61">
        <f>AJ38</f>
        <v>0</v>
      </c>
      <c r="AL38" s="61"/>
      <c r="AM38" s="62">
        <v>0</v>
      </c>
      <c r="AN38" s="62">
        <v>0</v>
      </c>
      <c r="AO38" s="62">
        <v>0</v>
      </c>
      <c r="AP38" s="62">
        <v>0</v>
      </c>
      <c r="AQ38" s="61">
        <f>AP38</f>
        <v>0</v>
      </c>
      <c r="AR38" s="61"/>
      <c r="AS38" s="62">
        <v>0</v>
      </c>
      <c r="AT38" s="62">
        <v>0</v>
      </c>
      <c r="AU38" s="62">
        <v>0</v>
      </c>
      <c r="AV38" s="62">
        <v>0</v>
      </c>
      <c r="AW38" s="61">
        <f>AV38</f>
        <v>0</v>
      </c>
      <c r="AX38" s="61"/>
      <c r="AY38" s="62">
        <v>0</v>
      </c>
      <c r="AZ38" s="62">
        <v>0</v>
      </c>
      <c r="BA38" s="62">
        <v>0</v>
      </c>
      <c r="BB38" s="62">
        <v>0</v>
      </c>
      <c r="BC38" s="62">
        <f>BB38</f>
        <v>0</v>
      </c>
      <c r="BD38" s="61"/>
      <c r="BE38" s="61">
        <v>0</v>
      </c>
      <c r="BF38" s="61">
        <v>0</v>
      </c>
      <c r="BG38" s="61">
        <v>0</v>
      </c>
      <c r="BH38" s="61">
        <v>0</v>
      </c>
      <c r="BI38" s="62">
        <f t="shared" si="81"/>
        <v>0</v>
      </c>
      <c r="BJ38" s="61"/>
      <c r="BK38" s="61">
        <v>0</v>
      </c>
      <c r="BL38" s="61">
        <f>BK38</f>
        <v>0</v>
      </c>
      <c r="BM38" s="61">
        <v>0</v>
      </c>
      <c r="BN38" s="61">
        <v>0</v>
      </c>
      <c r="BO38" s="1166">
        <f t="shared" si="82"/>
        <v>0</v>
      </c>
      <c r="BP38" s="61"/>
      <c r="BQ38" s="61">
        <v>0</v>
      </c>
      <c r="BR38" s="61">
        <f t="shared" ref="BR38:BT41" si="92">BQ38</f>
        <v>0</v>
      </c>
      <c r="BS38" s="61">
        <f t="shared" si="92"/>
        <v>0</v>
      </c>
      <c r="BT38" s="61">
        <f t="shared" si="92"/>
        <v>0</v>
      </c>
      <c r="BU38" s="1166">
        <f>BT38</f>
        <v>0</v>
      </c>
      <c r="BV38" s="61"/>
      <c r="BW38" s="61">
        <v>0</v>
      </c>
      <c r="BX38" s="61">
        <v>0</v>
      </c>
      <c r="BY38" s="61">
        <v>0</v>
      </c>
      <c r="BZ38" s="61">
        <v>0</v>
      </c>
      <c r="CA38" s="1166">
        <f>BZ38</f>
        <v>0</v>
      </c>
      <c r="CB38" s="61"/>
      <c r="CC38" s="61">
        <v>0</v>
      </c>
      <c r="CD38" s="61">
        <v>0</v>
      </c>
      <c r="CE38" s="61">
        <v>0</v>
      </c>
      <c r="CF38" s="61">
        <v>0</v>
      </c>
      <c r="CG38" s="1166">
        <f>CF38</f>
        <v>0</v>
      </c>
      <c r="CH38" s="61"/>
      <c r="CI38" s="61">
        <v>0</v>
      </c>
      <c r="CJ38" s="61">
        <v>0</v>
      </c>
      <c r="CK38" s="61">
        <v>0</v>
      </c>
      <c r="CL38" s="61">
        <v>0</v>
      </c>
      <c r="CM38" s="1166">
        <f>CL38</f>
        <v>0</v>
      </c>
      <c r="CN38" s="61"/>
      <c r="CO38" s="61">
        <v>0</v>
      </c>
      <c r="CP38" s="61">
        <v>0</v>
      </c>
      <c r="CQ38" s="61">
        <v>0</v>
      </c>
      <c r="CR38" s="61">
        <v>0</v>
      </c>
      <c r="CS38" s="1166">
        <f>CR38</f>
        <v>0</v>
      </c>
      <c r="CT38" s="61"/>
      <c r="CU38" s="61">
        <v>0</v>
      </c>
      <c r="CV38" s="61">
        <v>0</v>
      </c>
      <c r="CW38" s="61">
        <v>0</v>
      </c>
      <c r="CX38" s="61">
        <v>0</v>
      </c>
      <c r="CY38" s="1166">
        <f t="shared" si="83"/>
        <v>0</v>
      </c>
      <c r="CZ38" s="61"/>
      <c r="DA38" s="61">
        <v>0</v>
      </c>
      <c r="DB38" s="61">
        <f>DA38</f>
        <v>0</v>
      </c>
      <c r="DC38" s="61">
        <v>0</v>
      </c>
      <c r="DD38" s="61">
        <f>DC38</f>
        <v>0</v>
      </c>
      <c r="DE38" s="1166">
        <f t="shared" si="84"/>
        <v>0</v>
      </c>
      <c r="DF38" s="61"/>
      <c r="DG38" s="61">
        <v>0</v>
      </c>
      <c r="DH38" s="61">
        <v>0</v>
      </c>
      <c r="DI38" s="61">
        <v>0</v>
      </c>
      <c r="DJ38" s="61">
        <v>0</v>
      </c>
      <c r="DK38" s="1166">
        <f t="shared" si="85"/>
        <v>0</v>
      </c>
      <c r="DL38" s="61"/>
      <c r="DM38" s="61">
        <v>0</v>
      </c>
      <c r="DN38" s="2006">
        <f t="shared" ref="DN38:DN41" si="93">DM38</f>
        <v>0</v>
      </c>
      <c r="DO38" s="61">
        <v>0</v>
      </c>
      <c r="DP38" s="61">
        <v>0</v>
      </c>
      <c r="DQ38" s="1166">
        <f t="shared" si="86"/>
        <v>0</v>
      </c>
      <c r="DR38" s="61"/>
      <c r="DS38" s="61">
        <v>0</v>
      </c>
      <c r="DT38" s="61">
        <v>0</v>
      </c>
      <c r="DU38" s="61">
        <v>0</v>
      </c>
      <c r="DV38" s="61">
        <v>0</v>
      </c>
      <c r="DW38" s="1166">
        <f t="shared" si="87"/>
        <v>0</v>
      </c>
      <c r="DX38" s="45"/>
      <c r="DY38" s="61">
        <v>0</v>
      </c>
      <c r="DZ38" s="61">
        <v>0</v>
      </c>
      <c r="EA38" s="61">
        <v>0</v>
      </c>
      <c r="EB38" s="61">
        <v>0</v>
      </c>
      <c r="EC38" s="1166">
        <f t="shared" si="88"/>
        <v>0</v>
      </c>
      <c r="ED38" s="45"/>
      <c r="EE38" s="61">
        <f>EB38</f>
        <v>0</v>
      </c>
      <c r="EF38" s="61">
        <f t="shared" ref="EF38:EF41" si="94">EE38</f>
        <v>0</v>
      </c>
      <c r="EG38" s="61">
        <f t="shared" ref="EG38:EG41" si="95">EF38</f>
        <v>0</v>
      </c>
      <c r="EH38" s="61">
        <f t="shared" ref="EH38:EH41" si="96">EG38</f>
        <v>0</v>
      </c>
      <c r="EI38" s="1166">
        <f t="shared" si="89"/>
        <v>0</v>
      </c>
      <c r="EJ38" s="45"/>
      <c r="EK38" s="61">
        <f>EH38</f>
        <v>0</v>
      </c>
      <c r="EL38" s="61">
        <f t="shared" ref="EL38:EL41" si="97">EK38</f>
        <v>0</v>
      </c>
      <c r="EM38" s="61">
        <f t="shared" ref="EM38:EM41" si="98">EL38</f>
        <v>0</v>
      </c>
      <c r="EN38" s="61">
        <f t="shared" ref="EN38:EN41" si="99">EM38</f>
        <v>0</v>
      </c>
      <c r="EO38" s="1166">
        <f t="shared" si="90"/>
        <v>0</v>
      </c>
      <c r="EP38" s="45"/>
      <c r="EQ38" s="61">
        <f>EN38</f>
        <v>0</v>
      </c>
      <c r="ER38" s="61">
        <f t="shared" ref="ER38:ER41" si="100">EQ38</f>
        <v>0</v>
      </c>
      <c r="ES38" s="61">
        <f t="shared" ref="ES38:ES41" si="101">ER38</f>
        <v>0</v>
      </c>
      <c r="ET38" s="61">
        <f t="shared" ref="ET38:ET41" si="102">ES38</f>
        <v>0</v>
      </c>
      <c r="EU38" s="1166">
        <f t="shared" si="91"/>
        <v>0</v>
      </c>
      <c r="EV38" s="45"/>
      <c r="EW38" s="45"/>
      <c r="EX38" s="45"/>
      <c r="EY38" s="45"/>
      <c r="EZ38" s="45"/>
      <c r="FA38" s="45"/>
      <c r="FB38" s="45"/>
      <c r="FI38" s="1990"/>
      <c r="FJ38" s="1990"/>
    </row>
    <row r="39" spans="1:166" ht="10.5" customHeight="1">
      <c r="A39" s="41" t="s">
        <v>1090</v>
      </c>
      <c r="B39" s="32"/>
      <c r="C39" s="61">
        <v>1.82</v>
      </c>
      <c r="D39" s="61">
        <v>1.871</v>
      </c>
      <c r="E39" s="61">
        <f>1.907+64.5</f>
        <v>66.406999999999996</v>
      </c>
      <c r="F39" s="61">
        <f>1.646+64.5</f>
        <v>66.146000000000001</v>
      </c>
      <c r="G39" s="61">
        <f>F39</f>
        <v>66.146000000000001</v>
      </c>
      <c r="H39" s="61"/>
      <c r="I39" s="61">
        <f>1.614+64.5</f>
        <v>66.114000000000004</v>
      </c>
      <c r="J39" s="61">
        <f>1.706+64.5</f>
        <v>66.206000000000003</v>
      </c>
      <c r="K39" s="61">
        <v>1.796</v>
      </c>
      <c r="L39" s="61">
        <v>1.2549999999999999</v>
      </c>
      <c r="M39" s="62">
        <f t="shared" si="80"/>
        <v>1.2549999999999999</v>
      </c>
      <c r="N39" s="61"/>
      <c r="O39" s="62">
        <v>2.0249999999999999</v>
      </c>
      <c r="P39" s="62">
        <v>2.0070000000000001</v>
      </c>
      <c r="Q39" s="62">
        <v>0</v>
      </c>
      <c r="R39" s="61">
        <v>3.4860000000000002</v>
      </c>
      <c r="S39" s="61">
        <f>R39</f>
        <v>3.4860000000000002</v>
      </c>
      <c r="T39" s="61"/>
      <c r="U39" s="62">
        <v>1.369</v>
      </c>
      <c r="V39" s="62">
        <v>1.9139999999999999</v>
      </c>
      <c r="W39" s="62">
        <v>1.518</v>
      </c>
      <c r="X39" s="61">
        <v>1.2549999999999999</v>
      </c>
      <c r="Y39" s="61">
        <f>X39</f>
        <v>1.2549999999999999</v>
      </c>
      <c r="Z39" s="61"/>
      <c r="AA39" s="62">
        <v>1.361</v>
      </c>
      <c r="AB39" s="62">
        <v>1.24</v>
      </c>
      <c r="AC39" s="62">
        <v>1.284</v>
      </c>
      <c r="AD39" s="62">
        <v>1.208</v>
      </c>
      <c r="AE39" s="61">
        <f>AD39</f>
        <v>1.208</v>
      </c>
      <c r="AF39" s="61"/>
      <c r="AG39" s="62">
        <v>1.915</v>
      </c>
      <c r="AH39" s="62">
        <v>1.4370000000000001</v>
      </c>
      <c r="AI39" s="62">
        <v>1.5840000000000001</v>
      </c>
      <c r="AJ39" s="62">
        <v>3.4119999999999999</v>
      </c>
      <c r="AK39" s="61">
        <f>AJ39</f>
        <v>3.4119999999999999</v>
      </c>
      <c r="AL39" s="61"/>
      <c r="AM39" s="62">
        <v>3.72</v>
      </c>
      <c r="AN39" s="62">
        <v>4.0629999999999997</v>
      </c>
      <c r="AO39" s="62">
        <v>4.16</v>
      </c>
      <c r="AP39" s="62">
        <v>4.4980000000000002</v>
      </c>
      <c r="AQ39" s="61">
        <f>AP39</f>
        <v>4.4980000000000002</v>
      </c>
      <c r="AR39" s="61"/>
      <c r="AS39" s="62">
        <v>4.7670000000000003</v>
      </c>
      <c r="AT39" s="62">
        <v>5.0369999999999999</v>
      </c>
      <c r="AU39" s="62">
        <v>4.1859999999999999</v>
      </c>
      <c r="AV39" s="62">
        <v>5.4530000000000003</v>
      </c>
      <c r="AW39" s="61">
        <f>AV39</f>
        <v>5.4530000000000003</v>
      </c>
      <c r="AX39" s="61"/>
      <c r="AY39" s="62">
        <v>3.6</v>
      </c>
      <c r="AZ39" s="62">
        <v>1.8</v>
      </c>
      <c r="BA39" s="62">
        <v>2.1</v>
      </c>
      <c r="BB39" s="62">
        <v>12.1</v>
      </c>
      <c r="BC39" s="62">
        <f>BB39</f>
        <v>12.1</v>
      </c>
      <c r="BD39" s="61"/>
      <c r="BE39" s="61">
        <v>11.5</v>
      </c>
      <c r="BF39" s="61">
        <v>10.9</v>
      </c>
      <c r="BG39" s="61">
        <v>19.3</v>
      </c>
      <c r="BH39" s="61">
        <v>29.2</v>
      </c>
      <c r="BI39" s="62">
        <f t="shared" si="81"/>
        <v>29.2</v>
      </c>
      <c r="BJ39" s="61"/>
      <c r="BK39" s="61">
        <v>34.6</v>
      </c>
      <c r="BL39" s="61">
        <v>36</v>
      </c>
      <c r="BM39" s="61">
        <v>38.5</v>
      </c>
      <c r="BN39" s="61">
        <v>40.9</v>
      </c>
      <c r="BO39" s="1166">
        <f t="shared" si="82"/>
        <v>40.9</v>
      </c>
      <c r="BP39" s="61"/>
      <c r="BQ39" s="61">
        <f>44.2+43.8</f>
        <v>88</v>
      </c>
      <c r="BR39" s="61">
        <f>45.3+46.2</f>
        <v>91.5</v>
      </c>
      <c r="BS39" s="61">
        <f>77.1+47</f>
        <v>124.1</v>
      </c>
      <c r="BT39" s="61">
        <f>86.5+40</f>
        <v>126.5</v>
      </c>
      <c r="BU39" s="1166">
        <f>BT39</f>
        <v>126.5</v>
      </c>
      <c r="BV39" s="61"/>
      <c r="BW39" s="61">
        <f>93.1+58.6</f>
        <v>151.69999999999999</v>
      </c>
      <c r="BX39" s="61">
        <f>101.4+29.2+62.1</f>
        <v>192.7</v>
      </c>
      <c r="BY39" s="61">
        <f>112.5+27.7+57.2</f>
        <v>197.39999999999998</v>
      </c>
      <c r="BZ39" s="61">
        <f>116.9+22.7+57</f>
        <v>196.6</v>
      </c>
      <c r="CA39" s="1166">
        <f>BZ39</f>
        <v>196.6</v>
      </c>
      <c r="CB39" s="61"/>
      <c r="CC39" s="61">
        <f>120.5+57.8</f>
        <v>178.3</v>
      </c>
      <c r="CD39" s="61">
        <f>122.5+64.3</f>
        <v>186.8</v>
      </c>
      <c r="CE39" s="61">
        <f>64.9+123.2</f>
        <v>188.10000000000002</v>
      </c>
      <c r="CF39" s="61">
        <f>70.6+127.2</f>
        <v>197.8</v>
      </c>
      <c r="CG39" s="1166">
        <f>CF39</f>
        <v>197.8</v>
      </c>
      <c r="CH39" s="61"/>
      <c r="CI39" s="61">
        <f>131.1+72.4</f>
        <v>203.5</v>
      </c>
      <c r="CJ39" s="61">
        <f>135.1+69.1</f>
        <v>204.2</v>
      </c>
      <c r="CK39" s="61">
        <f>139.2+74</f>
        <v>213.2</v>
      </c>
      <c r="CL39" s="61">
        <f>77.7+139.1</f>
        <v>216.8</v>
      </c>
      <c r="CM39" s="1166">
        <f>CL39</f>
        <v>216.8</v>
      </c>
      <c r="CN39" s="61"/>
      <c r="CO39" s="61">
        <f>144+84</f>
        <v>228</v>
      </c>
      <c r="CP39" s="61">
        <f>157.4+83</f>
        <v>240.4</v>
      </c>
      <c r="CQ39" s="61">
        <f>161.3+82.6</f>
        <v>243.9</v>
      </c>
      <c r="CR39" s="61">
        <f>174.8+79.1</f>
        <v>253.9</v>
      </c>
      <c r="CS39" s="1166">
        <f>CR39</f>
        <v>253.9</v>
      </c>
      <c r="CT39" s="61"/>
      <c r="CU39" s="61">
        <f>171.7+82.3</f>
        <v>254</v>
      </c>
      <c r="CV39" s="61">
        <f>179+83.1</f>
        <v>262.10000000000002</v>
      </c>
      <c r="CW39" s="61">
        <f>184.4+86</f>
        <v>270.39999999999998</v>
      </c>
      <c r="CX39" s="61">
        <f>194.2+94.1</f>
        <v>288.29999999999995</v>
      </c>
      <c r="CY39" s="1166">
        <f t="shared" si="83"/>
        <v>288.29999999999995</v>
      </c>
      <c r="CZ39" s="61"/>
      <c r="DA39" s="61">
        <f>193.3+98.6</f>
        <v>291.89999999999998</v>
      </c>
      <c r="DB39" s="61">
        <f>203.4+98.3</f>
        <v>301.7</v>
      </c>
      <c r="DC39" s="61">
        <f>209+101.4</f>
        <v>310.39999999999998</v>
      </c>
      <c r="DD39" s="61">
        <f>211.8+99.4</f>
        <v>311.20000000000005</v>
      </c>
      <c r="DE39" s="1166">
        <f t="shared" si="84"/>
        <v>311.20000000000005</v>
      </c>
      <c r="DF39" s="61"/>
      <c r="DG39" s="61">
        <f>170.5+110.3</f>
        <v>280.8</v>
      </c>
      <c r="DH39" s="61">
        <f>186.8+111.3</f>
        <v>298.10000000000002</v>
      </c>
      <c r="DI39" s="61">
        <f>182+114.9</f>
        <v>296.89999999999998</v>
      </c>
      <c r="DJ39" s="61">
        <f>158.8+132.2</f>
        <v>291</v>
      </c>
      <c r="DK39" s="1166">
        <f t="shared" si="85"/>
        <v>291</v>
      </c>
      <c r="DL39" s="61"/>
      <c r="DM39" s="61">
        <f>139.6+133.9</f>
        <v>273.5</v>
      </c>
      <c r="DN39" s="2006">
        <f>124+132.1</f>
        <v>256.10000000000002</v>
      </c>
      <c r="DO39" s="61">
        <f>163.8+134.8</f>
        <v>298.60000000000002</v>
      </c>
      <c r="DP39" s="61">
        <f>137.6+161.4</f>
        <v>299</v>
      </c>
      <c r="DQ39" s="1166">
        <f t="shared" si="86"/>
        <v>299</v>
      </c>
      <c r="DR39" s="61"/>
      <c r="DS39" s="61">
        <f>153.8+143</f>
        <v>296.8</v>
      </c>
      <c r="DT39" s="61">
        <f>144.7+42.7</f>
        <v>187.39999999999998</v>
      </c>
      <c r="DU39" s="61">
        <f>131.3+40</f>
        <v>171.3</v>
      </c>
      <c r="DV39" s="61">
        <f>138.4+39.3</f>
        <v>177.7</v>
      </c>
      <c r="DW39" s="1166">
        <f t="shared" si="87"/>
        <v>177.7</v>
      </c>
      <c r="DX39" s="45"/>
      <c r="DY39" s="61">
        <f>32.1+147.5</f>
        <v>179.6</v>
      </c>
      <c r="DZ39" s="61">
        <f>150.3+33.2</f>
        <v>183.5</v>
      </c>
      <c r="EA39" s="61">
        <f>149.3+31.3</f>
        <v>180.60000000000002</v>
      </c>
      <c r="EB39" s="61">
        <f>148.7+41.6</f>
        <v>190.29999999999998</v>
      </c>
      <c r="EC39" s="1166">
        <f t="shared" si="88"/>
        <v>190.29999999999998</v>
      </c>
      <c r="ED39" s="45"/>
      <c r="EE39" s="61">
        <f>EB39</f>
        <v>190.29999999999998</v>
      </c>
      <c r="EF39" s="61">
        <f t="shared" si="94"/>
        <v>190.29999999999998</v>
      </c>
      <c r="EG39" s="61">
        <f t="shared" si="95"/>
        <v>190.29999999999998</v>
      </c>
      <c r="EH39" s="61">
        <f t="shared" si="96"/>
        <v>190.29999999999998</v>
      </c>
      <c r="EI39" s="1166">
        <f t="shared" si="89"/>
        <v>190.29999999999998</v>
      </c>
      <c r="EJ39" s="45"/>
      <c r="EK39" s="61">
        <f>EH39</f>
        <v>190.29999999999998</v>
      </c>
      <c r="EL39" s="61">
        <f t="shared" si="97"/>
        <v>190.29999999999998</v>
      </c>
      <c r="EM39" s="61">
        <f t="shared" si="98"/>
        <v>190.29999999999998</v>
      </c>
      <c r="EN39" s="61">
        <f t="shared" si="99"/>
        <v>190.29999999999998</v>
      </c>
      <c r="EO39" s="1166">
        <f t="shared" si="90"/>
        <v>190.29999999999998</v>
      </c>
      <c r="EP39" s="45"/>
      <c r="EQ39" s="61">
        <f>EN39</f>
        <v>190.29999999999998</v>
      </c>
      <c r="ER39" s="61">
        <f t="shared" si="100"/>
        <v>190.29999999999998</v>
      </c>
      <c r="ES39" s="61">
        <f t="shared" si="101"/>
        <v>190.29999999999998</v>
      </c>
      <c r="ET39" s="61">
        <f t="shared" si="102"/>
        <v>190.29999999999998</v>
      </c>
      <c r="EU39" s="1166">
        <f t="shared" si="91"/>
        <v>190.29999999999998</v>
      </c>
      <c r="EV39" s="45"/>
      <c r="EW39" s="45"/>
      <c r="EX39" s="45"/>
      <c r="EY39" s="45"/>
      <c r="EZ39" s="45"/>
      <c r="FA39" s="45"/>
      <c r="FB39" s="45"/>
      <c r="FI39" s="1990"/>
      <c r="FJ39" s="1990"/>
    </row>
    <row r="40" spans="1:166" ht="10.5" customHeight="1">
      <c r="A40" s="41" t="s">
        <v>1660</v>
      </c>
      <c r="B40" s="32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2"/>
      <c r="N40" s="61"/>
      <c r="O40" s="62"/>
      <c r="P40" s="62"/>
      <c r="Q40" s="62"/>
      <c r="R40" s="61"/>
      <c r="S40" s="61"/>
      <c r="T40" s="61"/>
      <c r="U40" s="62"/>
      <c r="V40" s="62"/>
      <c r="W40" s="62"/>
      <c r="X40" s="61"/>
      <c r="Y40" s="61"/>
      <c r="Z40" s="61"/>
      <c r="AA40" s="62"/>
      <c r="AB40" s="62"/>
      <c r="AC40" s="62"/>
      <c r="AD40" s="62"/>
      <c r="AE40" s="61"/>
      <c r="AF40" s="61"/>
      <c r="AG40" s="62"/>
      <c r="AH40" s="62"/>
      <c r="AI40" s="62"/>
      <c r="AJ40" s="62"/>
      <c r="AK40" s="61"/>
      <c r="AL40" s="61"/>
      <c r="AM40" s="62"/>
      <c r="AN40" s="62"/>
      <c r="AO40" s="62"/>
      <c r="AP40" s="62"/>
      <c r="AQ40" s="61"/>
      <c r="AR40" s="61"/>
      <c r="AS40" s="62"/>
      <c r="AT40" s="62"/>
      <c r="AU40" s="62"/>
      <c r="AV40" s="62"/>
      <c r="AW40" s="61"/>
      <c r="AX40" s="61"/>
      <c r="AY40" s="62"/>
      <c r="AZ40" s="62"/>
      <c r="BA40" s="62"/>
      <c r="BB40" s="62"/>
      <c r="BC40" s="62"/>
      <c r="BD40" s="61"/>
      <c r="BE40" s="61"/>
      <c r="BF40" s="61"/>
      <c r="BG40" s="61"/>
      <c r="BH40" s="61"/>
      <c r="BI40" s="62"/>
      <c r="BJ40" s="61"/>
      <c r="BK40" s="61"/>
      <c r="BL40" s="61"/>
      <c r="BM40" s="61"/>
      <c r="BN40" s="61"/>
      <c r="BO40" s="1166"/>
      <c r="BP40" s="61"/>
      <c r="BQ40" s="61"/>
      <c r="BR40" s="61"/>
      <c r="BS40" s="61"/>
      <c r="BT40" s="61"/>
      <c r="BU40" s="1166"/>
      <c r="BV40" s="61"/>
      <c r="BW40" s="61"/>
      <c r="BX40" s="61"/>
      <c r="BY40" s="61"/>
      <c r="BZ40" s="61"/>
      <c r="CA40" s="1166"/>
      <c r="CB40" s="61"/>
      <c r="CC40" s="61">
        <v>0</v>
      </c>
      <c r="CD40" s="61">
        <v>0</v>
      </c>
      <c r="CE40" s="61">
        <v>0</v>
      </c>
      <c r="CF40" s="61">
        <v>0</v>
      </c>
      <c r="CG40" s="1166">
        <v>0</v>
      </c>
      <c r="CH40" s="61"/>
      <c r="CI40" s="61">
        <v>0</v>
      </c>
      <c r="CJ40" s="61">
        <v>0</v>
      </c>
      <c r="CK40" s="61">
        <v>0</v>
      </c>
      <c r="CL40" s="61">
        <v>0</v>
      </c>
      <c r="CM40" s="1166">
        <v>0</v>
      </c>
      <c r="CN40" s="61"/>
      <c r="CO40" s="61">
        <v>0</v>
      </c>
      <c r="CP40" s="61">
        <v>0</v>
      </c>
      <c r="CQ40" s="61">
        <v>0</v>
      </c>
      <c r="CR40" s="61">
        <v>0</v>
      </c>
      <c r="CS40" s="1166">
        <v>0</v>
      </c>
      <c r="CT40" s="61"/>
      <c r="CU40" s="61">
        <v>0</v>
      </c>
      <c r="CV40" s="61">
        <v>0</v>
      </c>
      <c r="CW40" s="61">
        <v>0</v>
      </c>
      <c r="CX40" s="61">
        <v>745.6</v>
      </c>
      <c r="CY40" s="1166">
        <f t="shared" si="83"/>
        <v>745.6</v>
      </c>
      <c r="CZ40" s="61"/>
      <c r="DA40" s="61">
        <v>745.8</v>
      </c>
      <c r="DB40" s="61">
        <v>746</v>
      </c>
      <c r="DC40" s="61">
        <v>746.2</v>
      </c>
      <c r="DD40" s="61">
        <v>746.4</v>
      </c>
      <c r="DE40" s="1166">
        <f t="shared" si="84"/>
        <v>746.4</v>
      </c>
      <c r="DF40" s="61"/>
      <c r="DG40" s="61">
        <v>746.6</v>
      </c>
      <c r="DH40" s="61">
        <v>746.8</v>
      </c>
      <c r="DI40" s="61">
        <v>747</v>
      </c>
      <c r="DJ40" s="61">
        <v>747.2</v>
      </c>
      <c r="DK40" s="1166">
        <f t="shared" si="85"/>
        <v>747.2</v>
      </c>
      <c r="DL40" s="61"/>
      <c r="DM40" s="61">
        <v>747.4</v>
      </c>
      <c r="DN40" s="2006">
        <v>1486.2</v>
      </c>
      <c r="DO40" s="61">
        <v>1486.9</v>
      </c>
      <c r="DP40" s="61">
        <v>1487.7</v>
      </c>
      <c r="DQ40" s="1166">
        <f t="shared" si="86"/>
        <v>1487.7</v>
      </c>
      <c r="DR40" s="61"/>
      <c r="DS40" s="61">
        <v>1488.4</v>
      </c>
      <c r="DT40" s="61">
        <v>1489.2</v>
      </c>
      <c r="DU40" s="61">
        <v>1489.9</v>
      </c>
      <c r="DV40" s="61">
        <v>1092</v>
      </c>
      <c r="DW40" s="1166">
        <f t="shared" si="87"/>
        <v>1092</v>
      </c>
      <c r="DX40" s="45"/>
      <c r="DY40" s="61">
        <v>1092.4000000000001</v>
      </c>
      <c r="DZ40" s="61">
        <v>1584.9</v>
      </c>
      <c r="EA40" s="61">
        <v>1585.4</v>
      </c>
      <c r="EB40" s="61">
        <v>1586</v>
      </c>
      <c r="EC40" s="1166">
        <f t="shared" si="88"/>
        <v>1586</v>
      </c>
      <c r="ED40" s="45"/>
      <c r="EE40" s="61">
        <f>EB40</f>
        <v>1586</v>
      </c>
      <c r="EF40" s="61">
        <f t="shared" si="94"/>
        <v>1586</v>
      </c>
      <c r="EG40" s="61">
        <f t="shared" si="95"/>
        <v>1586</v>
      </c>
      <c r="EH40" s="61">
        <f t="shared" si="96"/>
        <v>1586</v>
      </c>
      <c r="EI40" s="1166">
        <f t="shared" si="89"/>
        <v>1586</v>
      </c>
      <c r="EJ40" s="45"/>
      <c r="EK40" s="61">
        <f>EH40</f>
        <v>1586</v>
      </c>
      <c r="EL40" s="61">
        <f t="shared" si="97"/>
        <v>1586</v>
      </c>
      <c r="EM40" s="61">
        <f t="shared" si="98"/>
        <v>1586</v>
      </c>
      <c r="EN40" s="61">
        <f t="shared" si="99"/>
        <v>1586</v>
      </c>
      <c r="EO40" s="1166">
        <f t="shared" si="90"/>
        <v>1586</v>
      </c>
      <c r="EP40" s="45"/>
      <c r="EQ40" s="61">
        <f>EN40</f>
        <v>1586</v>
      </c>
      <c r="ER40" s="61">
        <f t="shared" si="100"/>
        <v>1586</v>
      </c>
      <c r="ES40" s="61">
        <f t="shared" si="101"/>
        <v>1586</v>
      </c>
      <c r="ET40" s="61">
        <f t="shared" si="102"/>
        <v>1586</v>
      </c>
      <c r="EU40" s="1166">
        <f t="shared" si="91"/>
        <v>1586</v>
      </c>
      <c r="EV40" s="45"/>
      <c r="EW40" s="45"/>
      <c r="EX40" s="45"/>
      <c r="EY40" s="45"/>
      <c r="EZ40" s="45"/>
      <c r="FA40" s="45"/>
      <c r="FB40" s="45"/>
      <c r="FI40" s="1990"/>
      <c r="FJ40" s="1990"/>
    </row>
    <row r="41" spans="1:166" ht="10.5" customHeight="1">
      <c r="A41" s="41" t="s">
        <v>6301</v>
      </c>
      <c r="B41" s="32"/>
      <c r="C41" s="62">
        <v>0</v>
      </c>
      <c r="D41" s="62">
        <v>0</v>
      </c>
      <c r="E41" s="62">
        <v>0</v>
      </c>
      <c r="F41" s="62">
        <v>0</v>
      </c>
      <c r="G41" s="62">
        <f>F41</f>
        <v>0</v>
      </c>
      <c r="H41" s="61"/>
      <c r="I41" s="62">
        <v>0</v>
      </c>
      <c r="J41" s="62">
        <v>0</v>
      </c>
      <c r="K41" s="62">
        <v>0</v>
      </c>
      <c r="L41" s="62">
        <v>0</v>
      </c>
      <c r="M41" s="62">
        <f>L41</f>
        <v>0</v>
      </c>
      <c r="N41" s="61"/>
      <c r="O41" s="62">
        <v>0</v>
      </c>
      <c r="P41" s="62">
        <v>0</v>
      </c>
      <c r="Q41" s="62">
        <v>0</v>
      </c>
      <c r="R41" s="62">
        <v>0</v>
      </c>
      <c r="S41" s="62">
        <f>R41</f>
        <v>0</v>
      </c>
      <c r="T41" s="61"/>
      <c r="U41" s="62">
        <v>0</v>
      </c>
      <c r="V41" s="62">
        <v>0</v>
      </c>
      <c r="W41" s="62">
        <v>0</v>
      </c>
      <c r="X41" s="62">
        <v>0</v>
      </c>
      <c r="Y41" s="62">
        <f>X41</f>
        <v>0</v>
      </c>
      <c r="Z41" s="61"/>
      <c r="AA41" s="62">
        <v>0</v>
      </c>
      <c r="AB41" s="62">
        <v>0</v>
      </c>
      <c r="AC41" s="62">
        <v>13.73</v>
      </c>
      <c r="AD41" s="62">
        <v>12.964</v>
      </c>
      <c r="AE41" s="62">
        <f>AD41</f>
        <v>12.964</v>
      </c>
      <c r="AF41" s="61"/>
      <c r="AG41" s="62">
        <v>12.21</v>
      </c>
      <c r="AH41" s="62">
        <v>11.548999999999999</v>
      </c>
      <c r="AI41" s="62">
        <v>0</v>
      </c>
      <c r="AJ41" s="62">
        <v>0</v>
      </c>
      <c r="AK41" s="62">
        <f>AJ41</f>
        <v>0</v>
      </c>
      <c r="AL41" s="61"/>
      <c r="AM41" s="62">
        <v>0</v>
      </c>
      <c r="AN41" s="62">
        <v>0</v>
      </c>
      <c r="AO41" s="62">
        <v>0</v>
      </c>
      <c r="AP41" s="62">
        <v>0</v>
      </c>
      <c r="AQ41" s="62">
        <f>AP41</f>
        <v>0</v>
      </c>
      <c r="AR41" s="61"/>
      <c r="AS41" s="62">
        <v>0</v>
      </c>
      <c r="AT41" s="62">
        <v>0</v>
      </c>
      <c r="AU41" s="62">
        <v>0</v>
      </c>
      <c r="AV41" s="62">
        <v>0</v>
      </c>
      <c r="AW41" s="61">
        <f>AV41</f>
        <v>0</v>
      </c>
      <c r="AX41" s="61"/>
      <c r="AY41" s="62">
        <v>0</v>
      </c>
      <c r="AZ41" s="62">
        <v>0</v>
      </c>
      <c r="BA41" s="62">
        <v>0</v>
      </c>
      <c r="BB41" s="62">
        <v>0</v>
      </c>
      <c r="BC41" s="62">
        <f>BB41</f>
        <v>0</v>
      </c>
      <c r="BD41" s="61"/>
      <c r="BE41" s="61">
        <v>0</v>
      </c>
      <c r="BF41" s="61">
        <f>BE41</f>
        <v>0</v>
      </c>
      <c r="BG41" s="61">
        <v>0</v>
      </c>
      <c r="BH41" s="61">
        <v>0</v>
      </c>
      <c r="BI41" s="62">
        <f t="shared" si="81"/>
        <v>0</v>
      </c>
      <c r="BJ41" s="61"/>
      <c r="BK41" s="61">
        <v>0</v>
      </c>
      <c r="BL41" s="61">
        <f>BK41</f>
        <v>0</v>
      </c>
      <c r="BM41" s="61">
        <v>0</v>
      </c>
      <c r="BN41" s="61">
        <v>0</v>
      </c>
      <c r="BO41" s="1166">
        <f t="shared" si="82"/>
        <v>0</v>
      </c>
      <c r="BP41" s="61"/>
      <c r="BQ41" s="61">
        <v>0</v>
      </c>
      <c r="BR41" s="61">
        <f t="shared" si="92"/>
        <v>0</v>
      </c>
      <c r="BS41" s="61">
        <f t="shared" si="92"/>
        <v>0</v>
      </c>
      <c r="BT41" s="61">
        <f t="shared" si="92"/>
        <v>0</v>
      </c>
      <c r="BU41" s="1166">
        <f>BT41</f>
        <v>0</v>
      </c>
      <c r="BV41" s="61"/>
      <c r="BW41" s="61">
        <v>0</v>
      </c>
      <c r="BX41" s="61">
        <v>0</v>
      </c>
      <c r="BY41" s="61">
        <v>0</v>
      </c>
      <c r="BZ41" s="61">
        <v>0</v>
      </c>
      <c r="CA41" s="1166">
        <f>BZ41</f>
        <v>0</v>
      </c>
      <c r="CB41" s="61"/>
      <c r="CC41" s="61">
        <v>0</v>
      </c>
      <c r="CD41" s="61">
        <f>CC41</f>
        <v>0</v>
      </c>
      <c r="CE41" s="61">
        <v>0</v>
      </c>
      <c r="CF41" s="61">
        <v>0</v>
      </c>
      <c r="CG41" s="1166">
        <f>CF41</f>
        <v>0</v>
      </c>
      <c r="CH41" s="61"/>
      <c r="CI41" s="61">
        <f>CF41</f>
        <v>0</v>
      </c>
      <c r="CJ41" s="61">
        <f>CI41</f>
        <v>0</v>
      </c>
      <c r="CK41" s="61">
        <f>CJ41</f>
        <v>0</v>
      </c>
      <c r="CL41" s="61">
        <v>0</v>
      </c>
      <c r="CM41" s="1166">
        <f>CL41</f>
        <v>0</v>
      </c>
      <c r="CN41" s="61"/>
      <c r="CO41" s="61">
        <v>0</v>
      </c>
      <c r="CP41" s="61">
        <f>CO41</f>
        <v>0</v>
      </c>
      <c r="CQ41" s="61">
        <f>CP41</f>
        <v>0</v>
      </c>
      <c r="CR41" s="61">
        <v>0</v>
      </c>
      <c r="CS41" s="1166">
        <f>CR41</f>
        <v>0</v>
      </c>
      <c r="CT41" s="61"/>
      <c r="CU41" s="61">
        <f>CR41</f>
        <v>0</v>
      </c>
      <c r="CV41" s="61">
        <f>CU41</f>
        <v>0</v>
      </c>
      <c r="CW41" s="61">
        <v>0</v>
      </c>
      <c r="CX41" s="61">
        <f>CW41</f>
        <v>0</v>
      </c>
      <c r="CY41" s="1166">
        <f t="shared" si="83"/>
        <v>0</v>
      </c>
      <c r="CZ41" s="61"/>
      <c r="DA41" s="61">
        <v>0</v>
      </c>
      <c r="DB41" s="61">
        <f>DA41</f>
        <v>0</v>
      </c>
      <c r="DC41" s="61">
        <v>0</v>
      </c>
      <c r="DD41" s="61">
        <f>DC41</f>
        <v>0</v>
      </c>
      <c r="DE41" s="1166">
        <f t="shared" si="84"/>
        <v>0</v>
      </c>
      <c r="DF41" s="61"/>
      <c r="DG41" s="61">
        <f>DD41</f>
        <v>0</v>
      </c>
      <c r="DH41" s="61">
        <v>0</v>
      </c>
      <c r="DI41" s="61">
        <v>0</v>
      </c>
      <c r="DJ41" s="61">
        <v>0</v>
      </c>
      <c r="DK41" s="1166">
        <f t="shared" si="85"/>
        <v>0</v>
      </c>
      <c r="DL41" s="61"/>
      <c r="DM41" s="61">
        <v>0</v>
      </c>
      <c r="DN41" s="2006">
        <f t="shared" si="93"/>
        <v>0</v>
      </c>
      <c r="DO41" s="61">
        <v>0</v>
      </c>
      <c r="DP41" s="61">
        <f t="shared" ref="DP41" si="103">DO41</f>
        <v>0</v>
      </c>
      <c r="DQ41" s="1166">
        <f t="shared" si="86"/>
        <v>0</v>
      </c>
      <c r="DR41" s="61"/>
      <c r="DS41" s="61">
        <v>0</v>
      </c>
      <c r="DT41" s="61">
        <v>0</v>
      </c>
      <c r="DU41" s="61">
        <v>0</v>
      </c>
      <c r="DV41" s="61">
        <v>0</v>
      </c>
      <c r="DW41" s="1166">
        <f t="shared" si="87"/>
        <v>0</v>
      </c>
      <c r="DX41" s="45"/>
      <c r="DY41" s="61">
        <v>0</v>
      </c>
      <c r="DZ41" s="61">
        <v>0</v>
      </c>
      <c r="EA41" s="61">
        <v>0</v>
      </c>
      <c r="EB41" s="61">
        <v>0</v>
      </c>
      <c r="EC41" s="1166">
        <f t="shared" si="88"/>
        <v>0</v>
      </c>
      <c r="ED41" s="45"/>
      <c r="EE41" s="61">
        <f>EB41</f>
        <v>0</v>
      </c>
      <c r="EF41" s="61">
        <f t="shared" si="94"/>
        <v>0</v>
      </c>
      <c r="EG41" s="61">
        <f t="shared" si="95"/>
        <v>0</v>
      </c>
      <c r="EH41" s="61">
        <f t="shared" si="96"/>
        <v>0</v>
      </c>
      <c r="EI41" s="1166">
        <f t="shared" si="89"/>
        <v>0</v>
      </c>
      <c r="EJ41" s="45"/>
      <c r="EK41" s="61">
        <f>EH41</f>
        <v>0</v>
      </c>
      <c r="EL41" s="61">
        <f t="shared" si="97"/>
        <v>0</v>
      </c>
      <c r="EM41" s="61">
        <f t="shared" si="98"/>
        <v>0</v>
      </c>
      <c r="EN41" s="61">
        <f t="shared" si="99"/>
        <v>0</v>
      </c>
      <c r="EO41" s="1166">
        <f t="shared" si="90"/>
        <v>0</v>
      </c>
      <c r="EP41" s="45"/>
      <c r="EQ41" s="61">
        <f>EN41</f>
        <v>0</v>
      </c>
      <c r="ER41" s="61">
        <f t="shared" si="100"/>
        <v>0</v>
      </c>
      <c r="ES41" s="61">
        <f t="shared" si="101"/>
        <v>0</v>
      </c>
      <c r="ET41" s="61">
        <f t="shared" si="102"/>
        <v>0</v>
      </c>
      <c r="EU41" s="1166">
        <f t="shared" si="91"/>
        <v>0</v>
      </c>
      <c r="EV41" s="45"/>
      <c r="EW41" s="45"/>
      <c r="EX41" s="45"/>
      <c r="EY41" s="45"/>
      <c r="EZ41" s="45"/>
      <c r="FA41" s="45"/>
      <c r="FB41" s="45"/>
      <c r="FI41" s="1990"/>
      <c r="FJ41" s="1990"/>
    </row>
    <row r="42" spans="1:166" ht="13.5" customHeight="1">
      <c r="A42" s="135" t="s">
        <v>343</v>
      </c>
      <c r="B42" s="32"/>
      <c r="C42" s="370">
        <f>SUM(C34:C39)</f>
        <v>176.78999999999996</v>
      </c>
      <c r="D42" s="370">
        <f>SUM(D34:D39)</f>
        <v>182.358</v>
      </c>
      <c r="E42" s="370">
        <f>SUM(E34:E39)</f>
        <v>233.303</v>
      </c>
      <c r="F42" s="370">
        <f>SUM(F34:F41)</f>
        <v>248.61900000000003</v>
      </c>
      <c r="G42" s="370">
        <f>SUM(G34:G41)</f>
        <v>248.61900000000003</v>
      </c>
      <c r="H42" s="370"/>
      <c r="I42" s="370">
        <f>SUM(I34:I39)</f>
        <v>272.28399999999999</v>
      </c>
      <c r="J42" s="370">
        <f>SUM(J34:J39)</f>
        <v>288.62</v>
      </c>
      <c r="K42" s="370">
        <f>SUM(K34:K39)</f>
        <v>230.74499999999998</v>
      </c>
      <c r="L42" s="370">
        <f>SUM(L34:L41)</f>
        <v>230.55099999999999</v>
      </c>
      <c r="M42" s="370">
        <f>SUM(M34:M41)</f>
        <v>230.55099999999999</v>
      </c>
      <c r="N42" s="370"/>
      <c r="O42" s="370">
        <f>SUM(O34:O39)</f>
        <v>225.286</v>
      </c>
      <c r="P42" s="370">
        <f>SUM(P34:P39)</f>
        <v>216.47300000000004</v>
      </c>
      <c r="Q42" s="370">
        <f>SUM(Q34:Q39)</f>
        <v>230.14599999999999</v>
      </c>
      <c r="R42" s="370">
        <f>SUM(R34:R41)</f>
        <v>285.93299999999999</v>
      </c>
      <c r="S42" s="370">
        <f>SUM(S34:S41)</f>
        <v>285.93299999999999</v>
      </c>
      <c r="T42" s="370"/>
      <c r="U42" s="370">
        <f>SUM(U34:U41)</f>
        <v>285.685</v>
      </c>
      <c r="V42" s="370">
        <f>SUM(V34:V41)</f>
        <v>284.012</v>
      </c>
      <c r="W42" s="370">
        <f>SUM(W34:W39)</f>
        <v>290.89899999999994</v>
      </c>
      <c r="X42" s="370">
        <f>SUM(X34:X41)</f>
        <v>305.02699999999999</v>
      </c>
      <c r="Y42" s="370">
        <f>SUM(Y34:Y41)</f>
        <v>305.02699999999999</v>
      </c>
      <c r="Z42" s="370"/>
      <c r="AA42" s="370">
        <f>SUM(AA34:AA41)</f>
        <v>284.33199999999999</v>
      </c>
      <c r="AB42" s="370">
        <f>SUM(AB34:AB41)</f>
        <v>325.45599999999996</v>
      </c>
      <c r="AC42" s="370">
        <f>SUM(AC34:AC41)</f>
        <v>342.14100000000008</v>
      </c>
      <c r="AD42" s="370">
        <f>SUM(AD34:AD41)</f>
        <v>348.08500000000004</v>
      </c>
      <c r="AE42" s="370">
        <f>SUM(AE34:AE41)</f>
        <v>348.08500000000004</v>
      </c>
      <c r="AF42" s="370"/>
      <c r="AG42" s="370">
        <f>SUM(AG34:AG41)</f>
        <v>339.69099999999997</v>
      </c>
      <c r="AH42" s="370">
        <f>SUM(AH34:AH41)</f>
        <v>371.03000000000003</v>
      </c>
      <c r="AI42" s="370">
        <f>SUM(AI34:AI41)</f>
        <v>361.62200000000001</v>
      </c>
      <c r="AJ42" s="370">
        <f>SUM(AJ34:AJ41)</f>
        <v>373.12999999999994</v>
      </c>
      <c r="AK42" s="370">
        <f>SUM(AK34:AK41)</f>
        <v>373.12999999999994</v>
      </c>
      <c r="AL42" s="61"/>
      <c r="AM42" s="370">
        <f>SUM(AM34:AM41)</f>
        <v>327.69200000000001</v>
      </c>
      <c r="AN42" s="370">
        <f>SUM(AN34:AN41)</f>
        <v>328.71100000000001</v>
      </c>
      <c r="AO42" s="370">
        <f>SUM(AO34:AO41)</f>
        <v>314.95800000000003</v>
      </c>
      <c r="AP42" s="370">
        <f>SUM(AP34:AP41)</f>
        <v>314.44199999999995</v>
      </c>
      <c r="AQ42" s="370">
        <f>SUM(AQ34:AQ41)</f>
        <v>314.44199999999995</v>
      </c>
      <c r="AR42" s="370"/>
      <c r="AS42" s="370">
        <f>SUM(AS34:AS41)</f>
        <v>313.125</v>
      </c>
      <c r="AT42" s="370">
        <f>SUM(AT34:AT41)</f>
        <v>335.29199999999997</v>
      </c>
      <c r="AU42" s="370">
        <f>SUM(AU34:AU41)</f>
        <v>338.34199999999998</v>
      </c>
      <c r="AV42" s="370">
        <f>SUM(AV34:AV41)</f>
        <v>395.517</v>
      </c>
      <c r="AW42" s="370">
        <f>SUM(AW34:AW41)</f>
        <v>395.517</v>
      </c>
      <c r="AX42" s="370"/>
      <c r="AY42" s="370">
        <f>SUM(AY34:AY41)</f>
        <v>352.7</v>
      </c>
      <c r="AZ42" s="370">
        <f>SUM(AZ34:AZ41)</f>
        <v>386.90000000000003</v>
      </c>
      <c r="BA42" s="370">
        <f>SUM(BA34:BA41)</f>
        <v>405.9</v>
      </c>
      <c r="BB42" s="370">
        <f>SUM(BB34:BB41)</f>
        <v>490.80000000000007</v>
      </c>
      <c r="BC42" s="370">
        <f>SUM(BC34:BC41)</f>
        <v>490.80000000000007</v>
      </c>
      <c r="BD42" s="370"/>
      <c r="BE42" s="370">
        <f>SUM(BE34:BE39)</f>
        <v>459.3</v>
      </c>
      <c r="BF42" s="370">
        <f>SUM(BF34:BF39)</f>
        <v>458.29999999999995</v>
      </c>
      <c r="BG42" s="370">
        <f>SUM(BG34:BG39)</f>
        <v>499.09999999999997</v>
      </c>
      <c r="BH42" s="370">
        <f>SUM(BH34:BH39)</f>
        <v>552.79999999999995</v>
      </c>
      <c r="BI42" s="370">
        <f t="shared" si="81"/>
        <v>552.79999999999995</v>
      </c>
      <c r="BJ42" s="370"/>
      <c r="BK42" s="370">
        <f>SUM(BK34:BK39)</f>
        <v>576.6</v>
      </c>
      <c r="BL42" s="370">
        <f>SUM(BL34:BL39)</f>
        <v>580.5</v>
      </c>
      <c r="BM42" s="370">
        <f>SUM(BM34:BM39)</f>
        <v>599.70000000000005</v>
      </c>
      <c r="BN42" s="370">
        <f>SUM(BN34:BN39)</f>
        <v>682.49999999999989</v>
      </c>
      <c r="BO42" s="1311">
        <f t="shared" si="82"/>
        <v>682.49999999999989</v>
      </c>
      <c r="BP42" s="370"/>
      <c r="BQ42" s="370">
        <f>SUM(BQ34:BQ39)</f>
        <v>745.19999999999993</v>
      </c>
      <c r="BR42" s="370">
        <f>SUM(BR34:BR39)</f>
        <v>765.4</v>
      </c>
      <c r="BS42" s="370">
        <f>SUM(BS34:BS39)</f>
        <v>812.19999999999993</v>
      </c>
      <c r="BT42" s="370">
        <f>SUM(BT34:BT39)</f>
        <v>978.4</v>
      </c>
      <c r="BU42" s="1311">
        <f>BT42</f>
        <v>978.4</v>
      </c>
      <c r="BV42" s="370"/>
      <c r="BW42" s="370">
        <f>SUM(BW34:BW39)</f>
        <v>1004.5999999999999</v>
      </c>
      <c r="BX42" s="370">
        <f>SUM(BX34:BX39)</f>
        <v>1183.5999999999999</v>
      </c>
      <c r="BY42" s="370">
        <f>SUM(BY34:BY39)</f>
        <v>973.59999999999991</v>
      </c>
      <c r="BZ42" s="370">
        <f>SUM(BZ34:BZ39)</f>
        <v>1110</v>
      </c>
      <c r="CA42" s="1311">
        <f>BZ42</f>
        <v>1110</v>
      </c>
      <c r="CB42" s="370"/>
      <c r="CC42" s="370">
        <f>SUM(CC34:CC39)</f>
        <v>941</v>
      </c>
      <c r="CD42" s="370">
        <f>SUM(CD34:CD39)</f>
        <v>926</v>
      </c>
      <c r="CE42" s="370">
        <f>SUM(CE34:CE39)</f>
        <v>883.69999999999993</v>
      </c>
      <c r="CF42" s="370">
        <f>SUM(CF34:CF39)</f>
        <v>973.7</v>
      </c>
      <c r="CG42" s="1311">
        <f>CF42</f>
        <v>973.7</v>
      </c>
      <c r="CH42" s="370"/>
      <c r="CI42" s="370">
        <f>SUM(CI34:CI39)</f>
        <v>987.6</v>
      </c>
      <c r="CJ42" s="370">
        <f>SUM(CJ34:CJ39)</f>
        <v>999.2</v>
      </c>
      <c r="CK42" s="370">
        <f>SUM(CK34:CK39)</f>
        <v>1025</v>
      </c>
      <c r="CL42" s="370">
        <f>SUM(CL34:CL39)</f>
        <v>1178.3000000000002</v>
      </c>
      <c r="CM42" s="1311">
        <f>CL42</f>
        <v>1178.3000000000002</v>
      </c>
      <c r="CN42" s="370"/>
      <c r="CO42" s="370">
        <f>SUM(CO34:CO39)</f>
        <v>1151</v>
      </c>
      <c r="CP42" s="370">
        <f>SUM(CP34:CP39)</f>
        <v>1184.6000000000001</v>
      </c>
      <c r="CQ42" s="370">
        <f>SUM(CQ34:CQ39)</f>
        <v>1177.5</v>
      </c>
      <c r="CR42" s="370">
        <f>SUM(CR34:CR39)</f>
        <v>1344.9</v>
      </c>
      <c r="CS42" s="1311">
        <f>CR42</f>
        <v>1344.9</v>
      </c>
      <c r="CT42" s="370"/>
      <c r="CU42" s="370">
        <f>SUM(CU34:CU39)</f>
        <v>1271.7</v>
      </c>
      <c r="CV42" s="370">
        <f>SUM(CV34:CV39)</f>
        <v>1324.6</v>
      </c>
      <c r="CW42" s="370">
        <f>SUM(CW34:CW39)</f>
        <v>1411.4</v>
      </c>
      <c r="CX42" s="370">
        <f>SUM(CX34:CX41)</f>
        <v>2265.1999999999998</v>
      </c>
      <c r="CY42" s="1311">
        <f t="shared" si="83"/>
        <v>2265.1999999999998</v>
      </c>
      <c r="CZ42" s="370"/>
      <c r="DA42" s="370">
        <f>SUM(DA34:DA41)</f>
        <v>2205.1999999999998</v>
      </c>
      <c r="DB42" s="370">
        <f>SUM(DB34:DB41)</f>
        <v>2172.1999999999998</v>
      </c>
      <c r="DC42" s="370">
        <f>SUM(DC34:DC41)</f>
        <v>2159.6000000000004</v>
      </c>
      <c r="DD42" s="370">
        <f>SUM(DD34:DD41)</f>
        <v>2333.5</v>
      </c>
      <c r="DE42" s="1311">
        <f t="shared" si="84"/>
        <v>2333.5</v>
      </c>
      <c r="DF42" s="370"/>
      <c r="DG42" s="370">
        <f>SUM(DG34:DG41)</f>
        <v>2359.9</v>
      </c>
      <c r="DH42" s="370">
        <f>SUM(DH34:DH41)</f>
        <v>2420</v>
      </c>
      <c r="DI42" s="370">
        <f>SUM(DI34:DI41)</f>
        <v>2468.2999999999997</v>
      </c>
      <c r="DJ42" s="370">
        <f>SUM(DJ34:DJ41)</f>
        <v>2694.6</v>
      </c>
      <c r="DK42" s="1311">
        <f t="shared" si="85"/>
        <v>2694.6</v>
      </c>
      <c r="DL42" s="370"/>
      <c r="DM42" s="370">
        <f>SUM(DM34:DM41)</f>
        <v>2551.5</v>
      </c>
      <c r="DN42" s="370">
        <f>SUM(DN34:DN41)</f>
        <v>3439.7000000000007</v>
      </c>
      <c r="DO42" s="370">
        <f>SUM(DO34:DO41)</f>
        <v>3486.9</v>
      </c>
      <c r="DP42" s="370">
        <f>SUM(DP34:DP41)</f>
        <v>3891.2</v>
      </c>
      <c r="DQ42" s="1311">
        <f t="shared" si="86"/>
        <v>3891.2</v>
      </c>
      <c r="DR42" s="370"/>
      <c r="DS42" s="370">
        <f>SUM(DS34:DS41)</f>
        <v>3769.7000000000003</v>
      </c>
      <c r="DT42" s="370">
        <f>SUM(DT34:DT41)</f>
        <v>3715.7</v>
      </c>
      <c r="DU42" s="370">
        <f>SUM(DU34:DU41)</f>
        <v>3768.6000000000004</v>
      </c>
      <c r="DV42" s="370">
        <f>SUM(DV34:DV41)</f>
        <v>4061.2999999999997</v>
      </c>
      <c r="DW42" s="1311">
        <f t="shared" si="87"/>
        <v>4061.2999999999997</v>
      </c>
      <c r="DX42" s="2124"/>
      <c r="DY42" s="370">
        <f>SUM(DY34:DY41)</f>
        <v>3923.2999999999997</v>
      </c>
      <c r="DZ42" s="370">
        <f>SUM(DZ34:DZ41)</f>
        <v>4038.5000000000005</v>
      </c>
      <c r="EA42" s="370">
        <f>SUM(EA34:EA41)</f>
        <v>4044.7000000000003</v>
      </c>
      <c r="EB42" s="370">
        <f>SUM(EB34:EB41)</f>
        <v>4369.6000000000004</v>
      </c>
      <c r="EC42" s="1311">
        <f t="shared" si="88"/>
        <v>4369.6000000000004</v>
      </c>
      <c r="ED42" s="2124"/>
      <c r="EE42" s="370">
        <f>SUM(EE34:EE41)</f>
        <v>4234.2720322724717</v>
      </c>
      <c r="EF42" s="370">
        <f>SUM(EF34:EF41)</f>
        <v>4334.3570825318811</v>
      </c>
      <c r="EG42" s="370">
        <f>SUM(EG34:EG41)</f>
        <v>4357.0600317365643</v>
      </c>
      <c r="EH42" s="370">
        <f>SUM(EH34:EH41)</f>
        <v>4798.8641897409088</v>
      </c>
      <c r="EI42" s="1311">
        <f t="shared" si="89"/>
        <v>4798.8641897409088</v>
      </c>
      <c r="EJ42" s="2124"/>
      <c r="EK42" s="370">
        <f>SUM(EK34:EK41)</f>
        <v>4501.1481413815318</v>
      </c>
      <c r="EL42" s="370">
        <f>SUM(EL34:EL41)</f>
        <v>4639.0845275045849</v>
      </c>
      <c r="EM42" s="370">
        <f>SUM(EM34:EM41)</f>
        <v>4699.2914005114635</v>
      </c>
      <c r="EN42" s="370">
        <f>SUM(EN34:EN41)</f>
        <v>5207.8594749193417</v>
      </c>
      <c r="EO42" s="1311">
        <f t="shared" si="90"/>
        <v>5207.8594749193417</v>
      </c>
      <c r="EP42" s="2124"/>
      <c r="EQ42" s="370">
        <f>SUM(EQ34:EQ41)</f>
        <v>4983.7084243799991</v>
      </c>
      <c r="ER42" s="370">
        <f>SUM(ER34:ER41)</f>
        <v>5135.4375360391932</v>
      </c>
      <c r="ES42" s="370">
        <f>SUM(ES34:ES41)</f>
        <v>5159.3818372791056</v>
      </c>
      <c r="ET42" s="370">
        <f>SUM(ET34:ET41)</f>
        <v>5601.0511598946796</v>
      </c>
      <c r="EU42" s="1311">
        <f t="shared" si="91"/>
        <v>5601.0511598946796</v>
      </c>
      <c r="EV42" s="81"/>
      <c r="EW42" s="81"/>
      <c r="EX42" s="81"/>
      <c r="EY42" s="81"/>
      <c r="EZ42" s="81"/>
      <c r="FA42" s="81"/>
      <c r="FB42" s="81"/>
      <c r="FI42" s="1990"/>
      <c r="FJ42" s="1990"/>
    </row>
    <row r="43" spans="1:166" ht="5.25" customHeight="1">
      <c r="A43" s="75"/>
      <c r="B43" s="32"/>
      <c r="C43" s="90"/>
      <c r="D43" s="90"/>
      <c r="E43" s="90"/>
      <c r="F43" s="90"/>
      <c r="G43" s="61"/>
      <c r="H43" s="90"/>
      <c r="I43" s="90"/>
      <c r="J43" s="90"/>
      <c r="K43" s="77"/>
      <c r="L43" s="77"/>
      <c r="M43" s="77"/>
      <c r="N43" s="77"/>
      <c r="O43" s="76"/>
      <c r="P43" s="77"/>
      <c r="Q43" s="77"/>
      <c r="R43" s="77"/>
      <c r="S43" s="77"/>
      <c r="T43" s="77"/>
      <c r="U43" s="76"/>
      <c r="V43" s="77"/>
      <c r="W43" s="77"/>
      <c r="X43" s="77"/>
      <c r="Y43" s="77"/>
      <c r="Z43" s="77"/>
      <c r="AA43" s="76"/>
      <c r="AB43" s="77"/>
      <c r="AC43" s="77"/>
      <c r="AD43" s="77"/>
      <c r="AE43" s="77"/>
      <c r="AF43" s="77"/>
      <c r="AG43" s="76"/>
      <c r="AH43" s="77"/>
      <c r="AI43" s="77"/>
      <c r="AJ43" s="77"/>
      <c r="AK43" s="77"/>
      <c r="AL43" s="61"/>
      <c r="AM43" s="76"/>
      <c r="AN43" s="77"/>
      <c r="AO43" s="77"/>
      <c r="AP43" s="77"/>
      <c r="AQ43" s="77"/>
      <c r="AR43" s="77"/>
      <c r="AS43" s="76"/>
      <c r="AT43" s="77"/>
      <c r="AU43" s="77"/>
      <c r="AV43" s="77"/>
      <c r="AW43" s="77"/>
      <c r="AX43" s="77"/>
      <c r="AY43" s="76"/>
      <c r="AZ43" s="77"/>
      <c r="BA43" s="77"/>
      <c r="BB43" s="77"/>
      <c r="BC43" s="77"/>
      <c r="BD43" s="77"/>
      <c r="BE43" s="75"/>
      <c r="BF43" s="75"/>
      <c r="BG43" s="77"/>
      <c r="BH43" s="75"/>
      <c r="BI43" s="77"/>
      <c r="BJ43" s="77"/>
      <c r="BK43" s="75"/>
      <c r="BL43" s="75"/>
      <c r="BM43" s="77"/>
      <c r="BN43" s="75"/>
      <c r="BO43" s="1308"/>
      <c r="BP43" s="77"/>
      <c r="BQ43" s="75"/>
      <c r="BR43" s="77"/>
      <c r="BS43" s="77"/>
      <c r="BT43" s="77"/>
      <c r="BU43" s="1308"/>
      <c r="BV43" s="77"/>
      <c r="BW43" s="75"/>
      <c r="BX43" s="75"/>
      <c r="BY43" s="75"/>
      <c r="BZ43" s="75"/>
      <c r="CA43" s="1308"/>
      <c r="CB43" s="77"/>
      <c r="CC43" s="75"/>
      <c r="CD43" s="75"/>
      <c r="CE43" s="75"/>
      <c r="CF43" s="75"/>
      <c r="CG43" s="1308"/>
      <c r="CH43" s="77"/>
      <c r="CI43" s="75"/>
      <c r="CJ43" s="75"/>
      <c r="CK43" s="75"/>
      <c r="CL43" s="75"/>
      <c r="CM43" s="1308"/>
      <c r="CN43" s="77"/>
      <c r="CO43" s="75"/>
      <c r="CP43" s="75"/>
      <c r="CQ43" s="75"/>
      <c r="CR43" s="75"/>
      <c r="CS43" s="1308"/>
      <c r="CT43" s="77"/>
      <c r="CU43" s="75"/>
      <c r="CV43" s="75"/>
      <c r="CW43" s="75"/>
      <c r="CX43" s="75"/>
      <c r="CY43" s="1308"/>
      <c r="CZ43" s="77"/>
      <c r="DA43" s="75"/>
      <c r="DB43" s="75"/>
      <c r="DC43" s="75"/>
      <c r="DD43" s="75"/>
      <c r="DE43" s="1308"/>
      <c r="DF43" s="77"/>
      <c r="DG43" s="75"/>
      <c r="DH43" s="75"/>
      <c r="DI43" s="75"/>
      <c r="DJ43" s="75"/>
      <c r="DK43" s="1308"/>
      <c r="DL43" s="77"/>
      <c r="DM43" s="75"/>
      <c r="DN43" s="75"/>
      <c r="DO43" s="75"/>
      <c r="DP43" s="75"/>
      <c r="DQ43" s="1308"/>
      <c r="DR43" s="77"/>
      <c r="DS43" s="75"/>
      <c r="DT43" s="75"/>
      <c r="DU43" s="75"/>
      <c r="DV43" s="75"/>
      <c r="DX43" s="75"/>
      <c r="DY43" s="75"/>
      <c r="DZ43" s="75"/>
      <c r="EA43" s="75"/>
      <c r="EB43" s="75"/>
      <c r="ED43" s="75"/>
      <c r="EE43" s="77"/>
      <c r="EF43" s="77"/>
      <c r="EG43" s="77"/>
      <c r="EH43" s="77"/>
      <c r="EJ43" s="75"/>
      <c r="EK43" s="77"/>
      <c r="EL43" s="77"/>
      <c r="EM43" s="77"/>
      <c r="EN43" s="77"/>
      <c r="EP43" s="75"/>
      <c r="EQ43" s="77"/>
      <c r="ER43" s="77"/>
      <c r="ES43" s="77"/>
      <c r="ET43" s="77"/>
      <c r="EV43" s="77"/>
      <c r="EW43" s="77"/>
      <c r="EX43" s="77"/>
      <c r="EY43" s="77"/>
      <c r="EZ43" s="77"/>
      <c r="FA43" s="77"/>
      <c r="FB43" s="77"/>
      <c r="FI43" s="1990"/>
      <c r="FJ43" s="1990"/>
    </row>
    <row r="44" spans="1:166" ht="10.5" customHeight="1">
      <c r="A44" s="61" t="s">
        <v>86</v>
      </c>
      <c r="B44" s="32"/>
      <c r="C44" s="61">
        <v>149.19300000000001</v>
      </c>
      <c r="D44" s="61">
        <v>150.214</v>
      </c>
      <c r="E44" s="61">
        <v>141.47200000000001</v>
      </c>
      <c r="F44" s="61">
        <v>147.09100000000001</v>
      </c>
      <c r="G44" s="61">
        <f>F44</f>
        <v>147.09100000000001</v>
      </c>
      <c r="H44" s="61"/>
      <c r="I44" s="61">
        <v>245.46</v>
      </c>
      <c r="J44" s="61">
        <v>263.31700000000001</v>
      </c>
      <c r="K44" s="62">
        <v>304.15300000000002</v>
      </c>
      <c r="L44" s="62">
        <v>299.315</v>
      </c>
      <c r="M44" s="62">
        <f>L44</f>
        <v>299.315</v>
      </c>
      <c r="N44" s="62"/>
      <c r="O44" s="62">
        <v>342.31</v>
      </c>
      <c r="P44" s="62">
        <v>337.28399999999999</v>
      </c>
      <c r="Q44" s="62">
        <v>345.73500000000001</v>
      </c>
      <c r="R44" s="62">
        <v>470.80099999999999</v>
      </c>
      <c r="S44" s="62">
        <f>+R44</f>
        <v>470.80099999999999</v>
      </c>
      <c r="T44" s="77"/>
      <c r="U44" s="62">
        <v>605.03800000000001</v>
      </c>
      <c r="V44" s="62">
        <v>611.39</v>
      </c>
      <c r="W44" s="62">
        <v>620.125</v>
      </c>
      <c r="X44" s="62">
        <v>561.81399999999996</v>
      </c>
      <c r="Y44" s="62">
        <f>+X44</f>
        <v>561.81399999999996</v>
      </c>
      <c r="Z44" s="62"/>
      <c r="AA44" s="62">
        <v>545.44299999999998</v>
      </c>
      <c r="AB44" s="62">
        <v>514.99599999999998</v>
      </c>
      <c r="AC44" s="62">
        <v>473.00400000000002</v>
      </c>
      <c r="AD44" s="62">
        <v>424.65199999999999</v>
      </c>
      <c r="AE44" s="62">
        <f>+AD44</f>
        <v>424.65199999999999</v>
      </c>
      <c r="AF44" s="62"/>
      <c r="AG44" s="62">
        <v>407.82</v>
      </c>
      <c r="AH44" s="62">
        <v>417.81099999999998</v>
      </c>
      <c r="AI44" s="62">
        <v>433.77699999999999</v>
      </c>
      <c r="AJ44" s="62">
        <v>458.13499999999999</v>
      </c>
      <c r="AK44" s="62">
        <f>+AJ44</f>
        <v>458.13499999999999</v>
      </c>
      <c r="AL44" s="61"/>
      <c r="AM44" s="62">
        <v>522.68399999999997</v>
      </c>
      <c r="AN44" s="62">
        <v>497.74900000000002</v>
      </c>
      <c r="AO44" s="62">
        <v>501.11200000000002</v>
      </c>
      <c r="AP44" s="62">
        <v>479.87400000000002</v>
      </c>
      <c r="AQ44" s="62">
        <f>+AP44</f>
        <v>479.87400000000002</v>
      </c>
      <c r="AR44" s="77"/>
      <c r="AS44" s="62">
        <v>470.041</v>
      </c>
      <c r="AT44" s="62">
        <v>463.14800000000002</v>
      </c>
      <c r="AU44" s="62">
        <v>468.9</v>
      </c>
      <c r="AV44" s="62">
        <v>473.673</v>
      </c>
      <c r="AW44" s="62">
        <f>AV44</f>
        <v>473.673</v>
      </c>
      <c r="AX44" s="77"/>
      <c r="AY44" s="62">
        <v>547.6</v>
      </c>
      <c r="AZ44" s="62">
        <v>559.1</v>
      </c>
      <c r="BA44" s="62">
        <v>632.29999999999995</v>
      </c>
      <c r="BB44" s="62">
        <v>656.2</v>
      </c>
      <c r="BC44" s="62">
        <f>BB44</f>
        <v>656.2</v>
      </c>
      <c r="BD44" s="62"/>
      <c r="BE44" s="62">
        <v>694.8</v>
      </c>
      <c r="BF44" s="62">
        <v>719.3</v>
      </c>
      <c r="BG44" s="62">
        <v>783.6</v>
      </c>
      <c r="BH44" s="62">
        <v>803.8</v>
      </c>
      <c r="BI44" s="62">
        <f>BH44</f>
        <v>803.8</v>
      </c>
      <c r="BJ44" s="62"/>
      <c r="BK44" s="62">
        <v>835.1</v>
      </c>
      <c r="BL44" s="62">
        <v>842.1</v>
      </c>
      <c r="BM44" s="62">
        <v>890</v>
      </c>
      <c r="BN44" s="62">
        <v>908.3</v>
      </c>
      <c r="BO44" s="1166">
        <f>BN44</f>
        <v>908.3</v>
      </c>
      <c r="BP44" s="62"/>
      <c r="BQ44" s="62">
        <v>921.8</v>
      </c>
      <c r="BR44" s="62">
        <v>927.5</v>
      </c>
      <c r="BS44" s="62">
        <v>987.9</v>
      </c>
      <c r="BT44" s="62">
        <v>998.3</v>
      </c>
      <c r="BU44" s="1166">
        <f>BT44</f>
        <v>998.3</v>
      </c>
      <c r="BV44" s="62"/>
      <c r="BW44" s="62">
        <v>962.7</v>
      </c>
      <c r="BX44" s="62">
        <v>997.6</v>
      </c>
      <c r="BY44" s="62">
        <v>1059.2</v>
      </c>
      <c r="BZ44" s="62">
        <v>1080.4000000000001</v>
      </c>
      <c r="CA44" s="1166">
        <f>BZ44</f>
        <v>1080.4000000000001</v>
      </c>
      <c r="CB44" s="62"/>
      <c r="CC44" s="62">
        <v>1128.8</v>
      </c>
      <c r="CD44" s="62">
        <v>1166.5999999999999</v>
      </c>
      <c r="CE44" s="62">
        <v>1194.2</v>
      </c>
      <c r="CF44" s="62">
        <v>1204.3</v>
      </c>
      <c r="CG44" s="1166">
        <f>CF44</f>
        <v>1204.3</v>
      </c>
      <c r="CH44" s="62"/>
      <c r="CI44" s="62">
        <v>1237.5999999999999</v>
      </c>
      <c r="CJ44" s="62">
        <f>1225.1</f>
        <v>1225.0999999999999</v>
      </c>
      <c r="CK44" s="62">
        <v>1242.0999999999999</v>
      </c>
      <c r="CL44" s="62">
        <f>1267.2</f>
        <v>1267.2</v>
      </c>
      <c r="CM44" s="1166">
        <f t="shared" ref="CM44:CM50" si="104">CL44</f>
        <v>1267.2</v>
      </c>
      <c r="CN44" s="62"/>
      <c r="CO44" s="62">
        <v>1363.5</v>
      </c>
      <c r="CP44" s="62">
        <v>1356.5</v>
      </c>
      <c r="CQ44" s="62">
        <v>1359.9</v>
      </c>
      <c r="CR44" s="62">
        <v>1365.4</v>
      </c>
      <c r="CS44" s="1166">
        <f>CR44</f>
        <v>1365.4</v>
      </c>
      <c r="CT44" s="62"/>
      <c r="CU44" s="62">
        <v>1496.2</v>
      </c>
      <c r="CV44" s="62">
        <v>1457.3</v>
      </c>
      <c r="CW44" s="62">
        <v>1438.9</v>
      </c>
      <c r="CX44" s="62">
        <v>1449.8</v>
      </c>
      <c r="CY44" s="1166">
        <f>CX44</f>
        <v>1449.8</v>
      </c>
      <c r="CZ44" s="62"/>
      <c r="DA44" s="62">
        <v>1499.5</v>
      </c>
      <c r="DB44" s="62">
        <v>1455.8</v>
      </c>
      <c r="DC44" s="62">
        <v>1535.1</v>
      </c>
      <c r="DD44" s="62">
        <v>1637.3</v>
      </c>
      <c r="DE44" s="1166">
        <f>DD44</f>
        <v>1637.3</v>
      </c>
      <c r="DF44" s="62"/>
      <c r="DG44" s="62">
        <v>1683.1</v>
      </c>
      <c r="DH44" s="62">
        <v>1697.1</v>
      </c>
      <c r="DI44" s="62">
        <v>1731.2</v>
      </c>
      <c r="DJ44" s="62">
        <v>1773.1</v>
      </c>
      <c r="DK44" s="1166">
        <f>DJ44</f>
        <v>1773.1</v>
      </c>
      <c r="DL44" s="62"/>
      <c r="DM44" s="62">
        <v>1816.2</v>
      </c>
      <c r="DN44" s="62">
        <v>1808</v>
      </c>
      <c r="DO44" s="62">
        <v>1809.9</v>
      </c>
      <c r="DP44" s="62">
        <v>1821.5</v>
      </c>
      <c r="DQ44" s="1166">
        <f>DP44</f>
        <v>1821.5</v>
      </c>
      <c r="DR44" s="62"/>
      <c r="DS44" s="62">
        <v>1865.6</v>
      </c>
      <c r="DT44" s="62">
        <v>1857.1</v>
      </c>
      <c r="DU44" s="62">
        <v>1882.8</v>
      </c>
      <c r="DV44" s="62">
        <v>1876.3</v>
      </c>
      <c r="DW44" s="1166">
        <f>DV44</f>
        <v>1876.3</v>
      </c>
      <c r="DX44" s="62"/>
      <c r="DY44" s="62">
        <v>1899</v>
      </c>
      <c r="DZ44" s="62">
        <v>1934.8</v>
      </c>
      <c r="EA44" s="62">
        <v>1930.8</v>
      </c>
      <c r="EB44" s="62">
        <v>1952.7</v>
      </c>
      <c r="EC44" s="1166">
        <f>EB44</f>
        <v>1952.7</v>
      </c>
      <c r="ED44" s="62"/>
      <c r="EE44" s="481">
        <f>EB44+EE130</f>
        <v>1868.4577272727274</v>
      </c>
      <c r="EF44" s="481">
        <f>EE44+EF130</f>
        <v>1735.4854545454548</v>
      </c>
      <c r="EG44" s="481">
        <f>EF44+EG130</f>
        <v>1637.163181818182</v>
      </c>
      <c r="EH44" s="481">
        <f>EG44+EH130</f>
        <v>1499.1309090909092</v>
      </c>
      <c r="EI44" s="1166">
        <f>EH44</f>
        <v>1499.1309090909092</v>
      </c>
      <c r="EJ44" s="62"/>
      <c r="EK44" s="481">
        <f>EH44+EK130</f>
        <v>1395.3556022727273</v>
      </c>
      <c r="EL44" s="481">
        <f>EK44+EL130</f>
        <v>1237.9772954545456</v>
      </c>
      <c r="EM44" s="481">
        <f>EL44+EM130</f>
        <v>1118.7139886363639</v>
      </c>
      <c r="EN44" s="481">
        <f>EM44+EN130</f>
        <v>955.76968181818211</v>
      </c>
      <c r="EO44" s="1166">
        <f>EN44</f>
        <v>955.76968181818211</v>
      </c>
      <c r="EP44" s="62"/>
      <c r="EQ44" s="481">
        <f>EN44+EQ130</f>
        <v>829.88193664772757</v>
      </c>
      <c r="ER44" s="481">
        <f>EQ44+ER130</f>
        <v>645.03089147727303</v>
      </c>
      <c r="ES44" s="481">
        <f>ER44+ES130</f>
        <v>502.10634630681852</v>
      </c>
      <c r="ET44" s="481">
        <f>ES44+ET130</f>
        <v>311.13270113636401</v>
      </c>
      <c r="EU44" s="1166">
        <f>ET44</f>
        <v>311.13270113636401</v>
      </c>
      <c r="EV44" s="62"/>
      <c r="EW44" s="62"/>
      <c r="EX44" s="62"/>
      <c r="EY44" s="62"/>
      <c r="EZ44" s="62"/>
      <c r="FA44" s="62"/>
      <c r="FB44" s="62"/>
      <c r="FI44" s="1990"/>
      <c r="FJ44" s="1990"/>
    </row>
    <row r="45" spans="1:166" ht="10.5" customHeight="1">
      <c r="A45" s="61" t="s">
        <v>1091</v>
      </c>
      <c r="B45" s="32"/>
      <c r="C45" s="61">
        <v>7.2240000000000002</v>
      </c>
      <c r="D45" s="61">
        <v>1.3779999999999999</v>
      </c>
      <c r="E45" s="61">
        <v>-1.252</v>
      </c>
      <c r="F45" s="61">
        <v>-10.064</v>
      </c>
      <c r="G45" s="61">
        <f>F45</f>
        <v>-10.064</v>
      </c>
      <c r="H45" s="61"/>
      <c r="I45" s="61">
        <v>-13.61</v>
      </c>
      <c r="J45" s="61">
        <v>-7.1</v>
      </c>
      <c r="K45" s="62">
        <v>-8.5299999999999994</v>
      </c>
      <c r="L45" s="62">
        <v>-16.077999999999999</v>
      </c>
      <c r="M45" s="62">
        <f>L45</f>
        <v>-16.077999999999999</v>
      </c>
      <c r="N45" s="62"/>
      <c r="O45" s="62">
        <v>-17.135999999999999</v>
      </c>
      <c r="P45" s="62">
        <v>-18.702999999999999</v>
      </c>
      <c r="Q45" s="62">
        <v>-0.60199999999999998</v>
      </c>
      <c r="R45" s="62">
        <v>-14.132</v>
      </c>
      <c r="S45" s="62">
        <f>+R45</f>
        <v>-14.132</v>
      </c>
      <c r="T45" s="77"/>
      <c r="U45" s="62">
        <v>-15.525</v>
      </c>
      <c r="V45" s="62">
        <v>-19.128</v>
      </c>
      <c r="W45" s="62">
        <v>-15.648999999999999</v>
      </c>
      <c r="X45" s="62">
        <v>-14.821999999999999</v>
      </c>
      <c r="Y45" s="62">
        <f>+X45</f>
        <v>-14.821999999999999</v>
      </c>
      <c r="Z45" s="62"/>
      <c r="AA45" s="62">
        <v>-16.693999999999999</v>
      </c>
      <c r="AB45" s="62">
        <v>-15.869</v>
      </c>
      <c r="AC45" s="62">
        <v>-18.741</v>
      </c>
      <c r="AD45" s="62">
        <v>-16.103999999999999</v>
      </c>
      <c r="AE45" s="62">
        <f>+AD45</f>
        <v>-16.103999999999999</v>
      </c>
      <c r="AF45" s="62"/>
      <c r="AG45" s="62">
        <v>-18.722000000000001</v>
      </c>
      <c r="AH45" s="62">
        <v>-19.538</v>
      </c>
      <c r="AI45" s="62">
        <v>-17.856000000000002</v>
      </c>
      <c r="AJ45" s="62">
        <v>-19.972000000000001</v>
      </c>
      <c r="AK45" s="62">
        <f>+AJ45</f>
        <v>-19.972000000000001</v>
      </c>
      <c r="AL45" s="61"/>
      <c r="AM45" s="62">
        <v>-18.596</v>
      </c>
      <c r="AN45" s="62">
        <v>-15.369</v>
      </c>
      <c r="AO45" s="62">
        <v>-16.151</v>
      </c>
      <c r="AP45" s="62">
        <v>-11.568</v>
      </c>
      <c r="AQ45" s="62">
        <f>+AP45</f>
        <v>-11.568</v>
      </c>
      <c r="AR45" s="77"/>
      <c r="AS45" s="62">
        <v>-11.398999999999999</v>
      </c>
      <c r="AT45" s="62">
        <v>-10.194000000000001</v>
      </c>
      <c r="AU45" s="62">
        <v>-7.819</v>
      </c>
      <c r="AV45" s="62">
        <v>-4.7539999999999996</v>
      </c>
      <c r="AW45" s="62">
        <f>AV45</f>
        <v>-4.7539999999999996</v>
      </c>
      <c r="AX45" s="77"/>
      <c r="AY45" s="62">
        <v>-8.9</v>
      </c>
      <c r="AZ45" s="62">
        <v>-9.5</v>
      </c>
      <c r="BA45" s="62">
        <v>-4.4000000000000004</v>
      </c>
      <c r="BB45" s="62">
        <v>-2.8</v>
      </c>
      <c r="BC45" s="62">
        <f>BB45</f>
        <v>-2.8</v>
      </c>
      <c r="BD45" s="62"/>
      <c r="BE45" s="62">
        <v>-3.3</v>
      </c>
      <c r="BF45" s="62">
        <v>-8.5</v>
      </c>
      <c r="BG45" s="62">
        <v>-7.7</v>
      </c>
      <c r="BH45" s="62">
        <v>-7.4</v>
      </c>
      <c r="BI45" s="62">
        <f>BH45</f>
        <v>-7.4</v>
      </c>
      <c r="BJ45" s="62"/>
      <c r="BK45" s="62">
        <v>-5.7</v>
      </c>
      <c r="BL45" s="62">
        <v>-3</v>
      </c>
      <c r="BM45" s="62">
        <v>-3.3</v>
      </c>
      <c r="BN45" s="62">
        <v>-3.6</v>
      </c>
      <c r="BO45" s="1166">
        <f>BN45</f>
        <v>-3.6</v>
      </c>
      <c r="BP45" s="62"/>
      <c r="BQ45" s="62">
        <v>2.4</v>
      </c>
      <c r="BR45" s="62">
        <v>4.5</v>
      </c>
      <c r="BS45" s="62">
        <v>11.8</v>
      </c>
      <c r="BT45" s="62">
        <v>13.8</v>
      </c>
      <c r="BU45" s="1166">
        <f>BT45</f>
        <v>13.8</v>
      </c>
      <c r="BV45" s="62"/>
      <c r="BW45" s="62">
        <v>20.100000000000001</v>
      </c>
      <c r="BX45" s="62">
        <v>19.899999999999999</v>
      </c>
      <c r="BY45" s="62">
        <v>-6</v>
      </c>
      <c r="BZ45" s="62">
        <v>-11.2</v>
      </c>
      <c r="CA45" s="1166">
        <f>BZ45</f>
        <v>-11.2</v>
      </c>
      <c r="CB45" s="62"/>
      <c r="CC45" s="62">
        <v>-9.6999999999999993</v>
      </c>
      <c r="CD45" s="62">
        <v>-1.4</v>
      </c>
      <c r="CE45" s="62">
        <v>3.7</v>
      </c>
      <c r="CF45" s="62">
        <v>-3.5</v>
      </c>
      <c r="CG45" s="1166">
        <f>CF45</f>
        <v>-3.5</v>
      </c>
      <c r="CH45" s="62"/>
      <c r="CI45" s="62">
        <v>-1.1000000000000001</v>
      </c>
      <c r="CJ45" s="62">
        <v>-2.9</v>
      </c>
      <c r="CK45" s="62">
        <v>-4</v>
      </c>
      <c r="CL45" s="62">
        <v>-0.6</v>
      </c>
      <c r="CM45" s="1166">
        <f t="shared" si="104"/>
        <v>-0.6</v>
      </c>
      <c r="CN45" s="62"/>
      <c r="CO45" s="62">
        <v>4.8</v>
      </c>
      <c r="CP45" s="62">
        <v>14.3</v>
      </c>
      <c r="CQ45" s="62">
        <v>3.4</v>
      </c>
      <c r="CR45" s="62">
        <v>5.9</v>
      </c>
      <c r="CS45" s="1166">
        <f>CR45</f>
        <v>5.9</v>
      </c>
      <c r="CT45" s="62"/>
      <c r="CU45" s="62">
        <v>3.7</v>
      </c>
      <c r="CV45" s="62">
        <v>0.6</v>
      </c>
      <c r="CW45" s="62">
        <v>-6.4</v>
      </c>
      <c r="CX45" s="62">
        <v>-5.7</v>
      </c>
      <c r="CY45" s="1166">
        <f>CX45</f>
        <v>-5.7</v>
      </c>
      <c r="CZ45" s="62"/>
      <c r="DA45" s="62">
        <v>-2</v>
      </c>
      <c r="DB45" s="62">
        <v>-7.5</v>
      </c>
      <c r="DC45" s="62">
        <v>-4.0999999999999996</v>
      </c>
      <c r="DD45" s="62">
        <v>-0.6</v>
      </c>
      <c r="DE45" s="1166">
        <f>DD45</f>
        <v>-0.6</v>
      </c>
      <c r="DF45" s="62"/>
      <c r="DG45" s="62">
        <v>5.6</v>
      </c>
      <c r="DH45" s="62">
        <v>2.2999999999999998</v>
      </c>
      <c r="DI45" s="62">
        <v>-1.3</v>
      </c>
      <c r="DJ45" s="62">
        <v>-53.3</v>
      </c>
      <c r="DK45" s="1166">
        <f>DJ45</f>
        <v>-53.3</v>
      </c>
      <c r="DL45" s="62"/>
      <c r="DM45" s="62">
        <v>-56</v>
      </c>
      <c r="DN45" s="62">
        <v>-70.3</v>
      </c>
      <c r="DO45" s="62">
        <v>-86.5</v>
      </c>
      <c r="DP45" s="62">
        <v>-121.1</v>
      </c>
      <c r="DQ45" s="1166">
        <f>DP45</f>
        <v>-121.1</v>
      </c>
      <c r="DR45" s="62"/>
      <c r="DS45" s="62">
        <v>-121.5</v>
      </c>
      <c r="DT45" s="62">
        <v>-129.80000000000001</v>
      </c>
      <c r="DU45" s="62">
        <v>-187.5</v>
      </c>
      <c r="DV45" s="62">
        <v>-178.5</v>
      </c>
      <c r="DW45" s="1166">
        <f>DV45</f>
        <v>-178.5</v>
      </c>
      <c r="DX45" s="62"/>
      <c r="DY45" s="62">
        <v>-166.3</v>
      </c>
      <c r="DZ45" s="62">
        <v>-152.9</v>
      </c>
      <c r="EA45" s="62">
        <v>-155.5</v>
      </c>
      <c r="EB45" s="62">
        <v>-123.8</v>
      </c>
      <c r="EC45" s="1166">
        <f>EB45</f>
        <v>-123.8</v>
      </c>
      <c r="ED45" s="62"/>
      <c r="EE45" s="481">
        <f>EE168</f>
        <v>-67.139000000000124</v>
      </c>
      <c r="EF45" s="481">
        <f>EF168</f>
        <v>-60.739000000000487</v>
      </c>
      <c r="EG45" s="481">
        <f>EG168</f>
        <v>-36.938999999999851</v>
      </c>
      <c r="EH45" s="481">
        <f>EH168</f>
        <v>-28.288999999998396</v>
      </c>
      <c r="EI45" s="1166">
        <f>EH45</f>
        <v>-28.288999999998396</v>
      </c>
      <c r="EJ45" s="62"/>
      <c r="EK45" s="481">
        <f>EK168</f>
        <v>-20.388999999999214</v>
      </c>
      <c r="EL45" s="481">
        <f>EL168</f>
        <v>-13.989000000000487</v>
      </c>
      <c r="EM45" s="481">
        <f>EM168</f>
        <v>-7.7889999999997599</v>
      </c>
      <c r="EN45" s="481">
        <f>EN168</f>
        <v>-1.2889999999993051</v>
      </c>
      <c r="EO45" s="1166">
        <f>EN45</f>
        <v>-1.2889999999993051</v>
      </c>
      <c r="EP45" s="62"/>
      <c r="EQ45" s="481">
        <f>EQ168</f>
        <v>6.6110000000001037</v>
      </c>
      <c r="ER45" s="481">
        <f>ER168</f>
        <v>13.01099999999974</v>
      </c>
      <c r="ES45" s="481">
        <f>ES168</f>
        <v>19.211000000000922</v>
      </c>
      <c r="ET45" s="481">
        <f>ET168</f>
        <v>25.711000000000354</v>
      </c>
      <c r="EU45" s="1166">
        <f>ET45</f>
        <v>25.711000000000354</v>
      </c>
      <c r="EV45" s="62"/>
      <c r="EW45" s="62"/>
      <c r="EX45" s="62"/>
      <c r="EY45" s="62"/>
      <c r="EZ45" s="62"/>
      <c r="FA45" s="62"/>
      <c r="FB45" s="62"/>
      <c r="FI45" s="1990"/>
      <c r="FJ45" s="1990"/>
    </row>
    <row r="46" spans="1:166" ht="10.5" customHeight="1">
      <c r="A46" s="61" t="s">
        <v>4571</v>
      </c>
      <c r="B46" s="32"/>
      <c r="C46" s="61">
        <v>0</v>
      </c>
      <c r="D46" s="61">
        <v>0</v>
      </c>
      <c r="E46" s="61">
        <v>0</v>
      </c>
      <c r="F46" s="61">
        <v>0</v>
      </c>
      <c r="G46" s="61">
        <f>F46</f>
        <v>0</v>
      </c>
      <c r="H46" s="61"/>
      <c r="I46" s="61">
        <v>0</v>
      </c>
      <c r="J46" s="61">
        <v>0</v>
      </c>
      <c r="K46" s="61">
        <v>0</v>
      </c>
      <c r="L46" s="61">
        <v>0</v>
      </c>
      <c r="M46" s="62">
        <f>L46</f>
        <v>0</v>
      </c>
      <c r="N46" s="62"/>
      <c r="O46" s="62">
        <v>72.912999999999997</v>
      </c>
      <c r="P46" s="62">
        <v>0</v>
      </c>
      <c r="Q46" s="62">
        <v>0</v>
      </c>
      <c r="R46" s="62">
        <v>-0.55100000000000005</v>
      </c>
      <c r="S46" s="62">
        <f>+R46</f>
        <v>-0.55100000000000005</v>
      </c>
      <c r="T46" s="77"/>
      <c r="U46" s="62">
        <v>-0.35299999999999998</v>
      </c>
      <c r="V46" s="62">
        <v>-0.371</v>
      </c>
      <c r="W46" s="62">
        <v>-0.25600000000000001</v>
      </c>
      <c r="X46" s="62">
        <v>-1.3380000000000001</v>
      </c>
      <c r="Y46" s="62">
        <f>+X46</f>
        <v>-1.3380000000000001</v>
      </c>
      <c r="Z46" s="62"/>
      <c r="AA46" s="62">
        <v>-1.095</v>
      </c>
      <c r="AB46" s="62">
        <v>-1.1279999999999999</v>
      </c>
      <c r="AC46" s="62">
        <v>-0.92700000000000005</v>
      </c>
      <c r="AD46" s="62">
        <v>-1.1719999999999999</v>
      </c>
      <c r="AE46" s="62">
        <f>+AD46</f>
        <v>-1.1719999999999999</v>
      </c>
      <c r="AF46" s="62"/>
      <c r="AG46" s="62">
        <v>-1.0429999999999999</v>
      </c>
      <c r="AH46" s="62">
        <v>-1.139</v>
      </c>
      <c r="AI46" s="62">
        <v>-0.92</v>
      </c>
      <c r="AJ46" s="62">
        <v>-0.71299999999999997</v>
      </c>
      <c r="AK46" s="62">
        <f>+AJ46</f>
        <v>-0.71299999999999997</v>
      </c>
      <c r="AL46" s="61"/>
      <c r="AM46" s="62">
        <v>-5.0449999999999999</v>
      </c>
      <c r="AN46" s="62">
        <v>-4.3620000000000001</v>
      </c>
      <c r="AO46" s="62">
        <v>-3.38</v>
      </c>
      <c r="AP46" s="62">
        <v>-2.1850000000000001</v>
      </c>
      <c r="AQ46" s="62">
        <f>+AP46</f>
        <v>-2.1850000000000001</v>
      </c>
      <c r="AR46" s="77"/>
      <c r="AS46" s="62">
        <v>-1.44</v>
      </c>
      <c r="AT46" s="62">
        <v>-0.88</v>
      </c>
      <c r="AU46" s="62">
        <v>-0.72899999999999998</v>
      </c>
      <c r="AV46" s="62">
        <v>-0.45100000000000001</v>
      </c>
      <c r="AW46" s="62">
        <f>AV46</f>
        <v>-0.45100000000000001</v>
      </c>
      <c r="AX46" s="77"/>
      <c r="AY46" s="62">
        <v>-10.1</v>
      </c>
      <c r="AZ46" s="62">
        <v>-8.6999999999999993</v>
      </c>
      <c r="BA46" s="62">
        <v>-12.2</v>
      </c>
      <c r="BB46" s="62">
        <v>-10.5</v>
      </c>
      <c r="BC46" s="62">
        <f>BB46</f>
        <v>-10.5</v>
      </c>
      <c r="BD46" s="62"/>
      <c r="BE46" s="62">
        <v>-8.1999999999999993</v>
      </c>
      <c r="BF46" s="62">
        <v>-6.8</v>
      </c>
      <c r="BG46" s="62">
        <v>-5.4</v>
      </c>
      <c r="BH46" s="62">
        <v>-10.1</v>
      </c>
      <c r="BI46" s="62">
        <f>BH46</f>
        <v>-10.1</v>
      </c>
      <c r="BJ46" s="62"/>
      <c r="BK46" s="62">
        <v>0</v>
      </c>
      <c r="BL46" s="62">
        <f>BK46</f>
        <v>0</v>
      </c>
      <c r="BM46" s="62">
        <v>0</v>
      </c>
      <c r="BN46" s="62">
        <v>0</v>
      </c>
      <c r="BO46" s="1166">
        <f>BN46</f>
        <v>0</v>
      </c>
      <c r="BP46" s="62"/>
      <c r="BQ46" s="62">
        <v>0</v>
      </c>
      <c r="BR46" s="62">
        <f>BQ46</f>
        <v>0</v>
      </c>
      <c r="BS46" s="62">
        <v>0</v>
      </c>
      <c r="BT46" s="62">
        <f>BS46</f>
        <v>0</v>
      </c>
      <c r="BU46" s="1166">
        <f>BT46</f>
        <v>0</v>
      </c>
      <c r="BV46" s="62"/>
      <c r="BW46" s="62">
        <v>0</v>
      </c>
      <c r="BX46" s="62">
        <v>0</v>
      </c>
      <c r="BY46" s="62">
        <v>0</v>
      </c>
      <c r="BZ46" s="62">
        <v>0</v>
      </c>
      <c r="CA46" s="1166">
        <f>BZ46</f>
        <v>0</v>
      </c>
      <c r="CB46" s="62"/>
      <c r="CC46" s="62">
        <v>0</v>
      </c>
      <c r="CD46" s="62">
        <f>CC46</f>
        <v>0</v>
      </c>
      <c r="CE46" s="62">
        <v>0</v>
      </c>
      <c r="CF46" s="62">
        <v>0</v>
      </c>
      <c r="CG46" s="1166">
        <f>CF46</f>
        <v>0</v>
      </c>
      <c r="CH46" s="62"/>
      <c r="CI46" s="62">
        <v>0</v>
      </c>
      <c r="CJ46" s="62">
        <v>0</v>
      </c>
      <c r="CK46" s="62">
        <v>0</v>
      </c>
      <c r="CL46" s="62">
        <v>0</v>
      </c>
      <c r="CM46" s="1166">
        <f t="shared" si="104"/>
        <v>0</v>
      </c>
      <c r="CN46" s="62"/>
      <c r="CO46" s="62">
        <v>0</v>
      </c>
      <c r="CP46" s="62">
        <v>0</v>
      </c>
      <c r="CQ46" s="62">
        <v>0</v>
      </c>
      <c r="CR46" s="62">
        <f>CQ46</f>
        <v>0</v>
      </c>
      <c r="CS46" s="1166">
        <f>CR46</f>
        <v>0</v>
      </c>
      <c r="CT46" s="62"/>
      <c r="CU46" s="62">
        <v>0</v>
      </c>
      <c r="CV46" s="62">
        <v>0</v>
      </c>
      <c r="CW46" s="62">
        <v>0</v>
      </c>
      <c r="CX46" s="62">
        <v>0</v>
      </c>
      <c r="CY46" s="1166">
        <f>CX46</f>
        <v>0</v>
      </c>
      <c r="CZ46" s="62"/>
      <c r="DA46" s="62">
        <v>0</v>
      </c>
      <c r="DB46" s="62">
        <f>DA46</f>
        <v>0</v>
      </c>
      <c r="DC46" s="62">
        <f>DB46</f>
        <v>0</v>
      </c>
      <c r="DD46" s="62">
        <v>0</v>
      </c>
      <c r="DE46" s="1166">
        <f>DD46</f>
        <v>0</v>
      </c>
      <c r="DF46" s="62"/>
      <c r="DG46" s="62">
        <v>0</v>
      </c>
      <c r="DH46" s="62">
        <v>0</v>
      </c>
      <c r="DI46" s="62">
        <v>0</v>
      </c>
      <c r="DJ46" s="62">
        <v>0</v>
      </c>
      <c r="DK46" s="1166">
        <f>DJ46</f>
        <v>0</v>
      </c>
      <c r="DL46" s="62"/>
      <c r="DM46" s="62">
        <v>0</v>
      </c>
      <c r="DN46" s="62">
        <f>DM46</f>
        <v>0</v>
      </c>
      <c r="DO46" s="62">
        <f>DN46</f>
        <v>0</v>
      </c>
      <c r="DP46" s="62">
        <f>DO46</f>
        <v>0</v>
      </c>
      <c r="DQ46" s="1166">
        <f>DP46</f>
        <v>0</v>
      </c>
      <c r="DR46" s="62"/>
      <c r="DS46" s="62">
        <v>0</v>
      </c>
      <c r="DT46" s="62">
        <v>0</v>
      </c>
      <c r="DU46" s="62">
        <v>0</v>
      </c>
      <c r="DV46" s="62">
        <v>0</v>
      </c>
      <c r="DW46" s="1166">
        <f>DV46</f>
        <v>0</v>
      </c>
      <c r="DX46" s="62"/>
      <c r="DY46" s="62">
        <v>0</v>
      </c>
      <c r="DZ46" s="62">
        <v>0</v>
      </c>
      <c r="EA46" s="62">
        <v>0</v>
      </c>
      <c r="EB46" s="62">
        <v>0</v>
      </c>
      <c r="EC46" s="1166">
        <f>EB46</f>
        <v>0</v>
      </c>
      <c r="ED46" s="62"/>
      <c r="EE46" s="481">
        <f>EB46</f>
        <v>0</v>
      </c>
      <c r="EF46" s="481">
        <f>EE46</f>
        <v>0</v>
      </c>
      <c r="EG46" s="481">
        <f>EF46</f>
        <v>0</v>
      </c>
      <c r="EH46" s="481">
        <f>EG46</f>
        <v>0</v>
      </c>
      <c r="EI46" s="1166">
        <f>EH46</f>
        <v>0</v>
      </c>
      <c r="EJ46" s="62"/>
      <c r="EK46" s="481">
        <f>EH46</f>
        <v>0</v>
      </c>
      <c r="EL46" s="481">
        <f>EK46</f>
        <v>0</v>
      </c>
      <c r="EM46" s="481">
        <f>EL46</f>
        <v>0</v>
      </c>
      <c r="EN46" s="481">
        <f>EM46</f>
        <v>0</v>
      </c>
      <c r="EO46" s="1166">
        <f>EN46</f>
        <v>0</v>
      </c>
      <c r="EP46" s="62"/>
      <c r="EQ46" s="481">
        <f>EN46</f>
        <v>0</v>
      </c>
      <c r="ER46" s="481">
        <f>EQ46</f>
        <v>0</v>
      </c>
      <c r="ES46" s="481">
        <f>ER46</f>
        <v>0</v>
      </c>
      <c r="ET46" s="481">
        <f>ES46</f>
        <v>0</v>
      </c>
      <c r="EU46" s="1166">
        <f>ET46</f>
        <v>0</v>
      </c>
      <c r="EV46" s="62"/>
      <c r="EW46" s="62"/>
      <c r="EX46" s="62"/>
      <c r="EY46" s="62"/>
      <c r="EZ46" s="62"/>
      <c r="FA46" s="62"/>
      <c r="FB46" s="62"/>
      <c r="FI46" s="1990"/>
      <c r="FJ46" s="1990"/>
    </row>
    <row r="47" spans="1:166" ht="10.5" customHeight="1">
      <c r="A47" s="61" t="s">
        <v>6587</v>
      </c>
      <c r="B47" s="32"/>
      <c r="C47" s="61">
        <v>186.99199999999999</v>
      </c>
      <c r="D47" s="61">
        <v>176.815</v>
      </c>
      <c r="E47" s="61">
        <v>103.64</v>
      </c>
      <c r="F47" s="61">
        <v>106.587</v>
      </c>
      <c r="G47" s="61">
        <f>F47</f>
        <v>106.587</v>
      </c>
      <c r="H47" s="61"/>
      <c r="I47" s="142">
        <v>39.186</v>
      </c>
      <c r="J47" s="142">
        <v>33.021000000000001</v>
      </c>
      <c r="K47" s="142">
        <v>42.597999999999999</v>
      </c>
      <c r="L47" s="142">
        <v>49.701999999999998</v>
      </c>
      <c r="M47" s="62">
        <f>L47</f>
        <v>49.701999999999998</v>
      </c>
      <c r="N47" s="62"/>
      <c r="O47" s="62" t="s">
        <v>6442</v>
      </c>
      <c r="P47" s="62">
        <v>70.798000000000002</v>
      </c>
      <c r="Q47" s="62">
        <v>87.266000000000005</v>
      </c>
      <c r="R47" s="62">
        <v>81.209000000000003</v>
      </c>
      <c r="S47" s="62">
        <f>+R47</f>
        <v>81.209000000000003</v>
      </c>
      <c r="T47" s="77"/>
      <c r="U47" s="62">
        <v>55.45</v>
      </c>
      <c r="V47" s="62">
        <v>52.42</v>
      </c>
      <c r="W47" s="62">
        <v>49.776000000000003</v>
      </c>
      <c r="X47" s="62">
        <v>56.645000000000003</v>
      </c>
      <c r="Y47" s="62">
        <f>+X47</f>
        <v>56.645000000000003</v>
      </c>
      <c r="Z47" s="62"/>
      <c r="AA47" s="62">
        <v>1.399</v>
      </c>
      <c r="AB47" s="62">
        <v>20.753</v>
      </c>
      <c r="AC47" s="62">
        <v>34.466999999999999</v>
      </c>
      <c r="AD47" s="62">
        <v>52.298000000000002</v>
      </c>
      <c r="AE47" s="62">
        <f>+AD47</f>
        <v>52.298000000000002</v>
      </c>
      <c r="AF47" s="62"/>
      <c r="AG47" s="62">
        <v>49.35</v>
      </c>
      <c r="AH47" s="62">
        <v>62.252000000000002</v>
      </c>
      <c r="AI47" s="62">
        <v>76.55</v>
      </c>
      <c r="AJ47" s="62">
        <v>91.864000000000004</v>
      </c>
      <c r="AK47" s="62">
        <f>+AJ47</f>
        <v>91.864000000000004</v>
      </c>
      <c r="AL47" s="61"/>
      <c r="AM47" s="62">
        <v>102.896</v>
      </c>
      <c r="AN47" s="62">
        <v>111.273</v>
      </c>
      <c r="AO47" s="62">
        <v>103.946</v>
      </c>
      <c r="AP47" s="62">
        <v>103.087</v>
      </c>
      <c r="AQ47" s="62">
        <f>+AP47</f>
        <v>103.087</v>
      </c>
      <c r="AR47" s="77"/>
      <c r="AS47" s="62">
        <v>102.136</v>
      </c>
      <c r="AT47" s="62">
        <v>128.74700000000001</v>
      </c>
      <c r="AU47" s="62">
        <v>136.13399999999999</v>
      </c>
      <c r="AV47" s="62">
        <v>153.17500000000001</v>
      </c>
      <c r="AW47" s="62">
        <f>AV47</f>
        <v>153.17500000000001</v>
      </c>
      <c r="AX47" s="77"/>
      <c r="AY47" s="62">
        <v>108.2</v>
      </c>
      <c r="AZ47" s="62">
        <v>120.9</v>
      </c>
      <c r="BA47" s="62">
        <v>58.8</v>
      </c>
      <c r="BB47" s="62">
        <v>6.9</v>
      </c>
      <c r="BC47" s="62">
        <f>BB47</f>
        <v>6.9</v>
      </c>
      <c r="BD47" s="62"/>
      <c r="BE47" s="62">
        <v>32</v>
      </c>
      <c r="BF47" s="62">
        <v>15.2</v>
      </c>
      <c r="BG47" s="62">
        <v>17.3</v>
      </c>
      <c r="BH47" s="62">
        <v>16.7</v>
      </c>
      <c r="BI47" s="62">
        <f>BH47</f>
        <v>16.7</v>
      </c>
      <c r="BJ47" s="62"/>
      <c r="BK47" s="62">
        <v>28.5</v>
      </c>
      <c r="BL47" s="62">
        <v>55.9</v>
      </c>
      <c r="BM47" s="62">
        <v>113.9</v>
      </c>
      <c r="BN47" s="62">
        <v>210.3</v>
      </c>
      <c r="BO47" s="1166">
        <f>BN47</f>
        <v>210.3</v>
      </c>
      <c r="BP47" s="62"/>
      <c r="BQ47" s="62">
        <v>320</v>
      </c>
      <c r="BR47" s="62">
        <v>180.7</v>
      </c>
      <c r="BS47" s="62">
        <v>179.1</v>
      </c>
      <c r="BT47" s="62">
        <v>218.4</v>
      </c>
      <c r="BU47" s="1166">
        <f>BT47</f>
        <v>218.4</v>
      </c>
      <c r="BV47" s="62"/>
      <c r="BW47" s="62">
        <v>152.6</v>
      </c>
      <c r="BX47" s="62">
        <v>242.4</v>
      </c>
      <c r="BY47" s="62">
        <v>346.9</v>
      </c>
      <c r="BZ47" s="62">
        <v>241.5</v>
      </c>
      <c r="CA47" s="1166">
        <f>BZ47</f>
        <v>241.5</v>
      </c>
      <c r="CB47" s="62"/>
      <c r="CC47" s="62">
        <v>209.4</v>
      </c>
      <c r="CD47" s="62">
        <v>219.9</v>
      </c>
      <c r="CE47" s="62">
        <v>233.8</v>
      </c>
      <c r="CF47" s="62">
        <v>272.7</v>
      </c>
      <c r="CG47" s="1166">
        <f>CF47</f>
        <v>272.7</v>
      </c>
      <c r="CH47" s="62"/>
      <c r="CI47" s="62">
        <v>277.60000000000002</v>
      </c>
      <c r="CJ47" s="62">
        <v>303.60000000000002</v>
      </c>
      <c r="CK47" s="62">
        <v>318</v>
      </c>
      <c r="CL47" s="62">
        <v>342.7</v>
      </c>
      <c r="CM47" s="1166">
        <f t="shared" si="104"/>
        <v>342.7</v>
      </c>
      <c r="CN47" s="62"/>
      <c r="CO47" s="62">
        <v>382.9</v>
      </c>
      <c r="CP47" s="62">
        <v>418.3</v>
      </c>
      <c r="CQ47" s="62">
        <v>464.2</v>
      </c>
      <c r="CR47" s="62">
        <v>511.6</v>
      </c>
      <c r="CS47" s="1166">
        <f>CR47</f>
        <v>511.6</v>
      </c>
      <c r="CT47" s="62"/>
      <c r="CU47" s="62">
        <v>545.4</v>
      </c>
      <c r="CV47" s="62">
        <v>593.4</v>
      </c>
      <c r="CW47" s="62">
        <v>585.29999999999995</v>
      </c>
      <c r="CX47" s="62">
        <v>599.1</v>
      </c>
      <c r="CY47" s="1166">
        <f>CX47</f>
        <v>599.1</v>
      </c>
      <c r="CZ47" s="62"/>
      <c r="DA47" s="62">
        <v>587</v>
      </c>
      <c r="DB47" s="62">
        <v>602.79999999999995</v>
      </c>
      <c r="DC47" s="62">
        <v>630.9</v>
      </c>
      <c r="DD47" s="62">
        <v>624.79999999999995</v>
      </c>
      <c r="DE47" s="1166">
        <f>DD47</f>
        <v>624.79999999999995</v>
      </c>
      <c r="DF47" s="62"/>
      <c r="DG47" s="62">
        <v>600</v>
      </c>
      <c r="DH47" s="62">
        <v>584</v>
      </c>
      <c r="DI47" s="62">
        <v>538.6</v>
      </c>
      <c r="DJ47" s="62">
        <v>499.4</v>
      </c>
      <c r="DK47" s="1166">
        <f>DJ47</f>
        <v>499.4</v>
      </c>
      <c r="DL47" s="62"/>
      <c r="DM47" s="62">
        <v>464.2</v>
      </c>
      <c r="DN47" s="62">
        <v>164.4</v>
      </c>
      <c r="DO47" s="62">
        <v>9.6999999999999993</v>
      </c>
      <c r="DP47" s="62">
        <v>-76.3</v>
      </c>
      <c r="DQ47" s="1166">
        <f>DP47</f>
        <v>-76.3</v>
      </c>
      <c r="DR47" s="62"/>
      <c r="DS47" s="62">
        <v>-308.2</v>
      </c>
      <c r="DT47" s="62">
        <v>-395.6</v>
      </c>
      <c r="DU47" s="62">
        <v>-634.70000000000005</v>
      </c>
      <c r="DV47" s="62">
        <v>-961.3</v>
      </c>
      <c r="DW47" s="1166">
        <f>DV47</f>
        <v>-961.3</v>
      </c>
      <c r="DX47" s="62"/>
      <c r="DY47" s="62">
        <v>-1224.5999999999999</v>
      </c>
      <c r="DZ47" s="62">
        <v>-1466.4</v>
      </c>
      <c r="EA47" s="62">
        <v>-1668</v>
      </c>
      <c r="EB47" s="62">
        <v>-2084.9</v>
      </c>
      <c r="EC47" s="1166">
        <f>EB47</f>
        <v>-2084.9</v>
      </c>
      <c r="ED47" s="62"/>
      <c r="EE47" s="62">
        <f>EB47+Model!EE147-Model!EB195</f>
        <v>-2178.6445320728226</v>
      </c>
      <c r="EF47" s="62">
        <f>EE47+Model!EF147-Model!EE195</f>
        <v>-2240.931232611204</v>
      </c>
      <c r="EG47" s="62">
        <f>EF47+Model!EG147-Model!EF195</f>
        <v>-2242.2208656882908</v>
      </c>
      <c r="EH47" s="62">
        <f>EG47+Model!EH147-Model!EG195</f>
        <v>-2248.5752890334948</v>
      </c>
      <c r="EI47" s="1166">
        <f>EH47</f>
        <v>-2248.5752890334948</v>
      </c>
      <c r="EJ47" s="62"/>
      <c r="EK47" s="62">
        <f>EH47+Model!EK147-Model!EH195</f>
        <v>-2157.9903062267422</v>
      </c>
      <c r="EL47" s="62">
        <f>EK47+Model!EL147-Model!EK195</f>
        <v>-2009.2996292412868</v>
      </c>
      <c r="EM47" s="62">
        <f>EL47+Model!EM147-Model!EL195</f>
        <v>-1885.0192311906108</v>
      </c>
      <c r="EN47" s="62">
        <f>EM47+Model!EN147-Model!EM195</f>
        <v>-1715.623389042144</v>
      </c>
      <c r="EO47" s="1166">
        <f>EN47</f>
        <v>-1715.623389042144</v>
      </c>
      <c r="EP47" s="62"/>
      <c r="EQ47" s="62">
        <f>EN47+Model!EQ147-Model!EN195</f>
        <v>-1578.5113755139441</v>
      </c>
      <c r="ER47" s="62">
        <f>EQ47+Model!ER147-Model!EQ195</f>
        <v>-1323.3775504079215</v>
      </c>
      <c r="ES47" s="62">
        <f>ER47+Model!ES147-Model!ER195</f>
        <v>-1091.21164435895</v>
      </c>
      <c r="ET47" s="62">
        <f>ES47+Model!ET147-Model!ES195</f>
        <v>-760.0034227235368</v>
      </c>
      <c r="EU47" s="1166">
        <f>ET47</f>
        <v>-760.0034227235368</v>
      </c>
      <c r="EV47" s="62"/>
      <c r="EW47" s="62"/>
      <c r="EX47" s="62"/>
      <c r="EY47" s="62"/>
      <c r="EZ47" s="62"/>
      <c r="FA47" s="62"/>
      <c r="FB47" s="62"/>
      <c r="FI47" s="1990"/>
      <c r="FJ47" s="1990"/>
    </row>
    <row r="48" spans="1:166" ht="10.5" customHeight="1">
      <c r="A48" s="250" t="s">
        <v>1624</v>
      </c>
      <c r="B48" s="32"/>
      <c r="C48" s="482">
        <f>SUM(C44:C47)</f>
        <v>343.40899999999999</v>
      </c>
      <c r="D48" s="482">
        <f>SUM(D44:D47)</f>
        <v>328.40699999999998</v>
      </c>
      <c r="E48" s="660">
        <f>SUM(E44:E47)</f>
        <v>243.86</v>
      </c>
      <c r="F48" s="370">
        <f>SUM(F44:F47)</f>
        <v>243.61400000000003</v>
      </c>
      <c r="G48" s="370">
        <f>F48</f>
        <v>243.61400000000003</v>
      </c>
      <c r="H48" s="370"/>
      <c r="I48" s="482">
        <f>SUM(I44:I47)</f>
        <v>271.036</v>
      </c>
      <c r="J48" s="482">
        <f>SUM(J44:J47)</f>
        <v>289.238</v>
      </c>
      <c r="K48" s="660">
        <f>SUM(K44:K47)</f>
        <v>338.22100000000006</v>
      </c>
      <c r="L48" s="370">
        <f>SUM(L44:L47)</f>
        <v>332.93900000000002</v>
      </c>
      <c r="M48" s="370">
        <f>L48</f>
        <v>332.93900000000002</v>
      </c>
      <c r="N48" s="370"/>
      <c r="O48" s="482">
        <f>SUM(O44:O47)</f>
        <v>398.08699999999999</v>
      </c>
      <c r="P48" s="482">
        <f>SUM(P44:P47)</f>
        <v>389.37900000000002</v>
      </c>
      <c r="Q48" s="482">
        <f>SUM(Q44:Q47)</f>
        <v>432.39900000000006</v>
      </c>
      <c r="R48" s="370">
        <f>SUM(R44:R47)</f>
        <v>537.327</v>
      </c>
      <c r="S48" s="370">
        <f>R48</f>
        <v>537.327</v>
      </c>
      <c r="T48" s="370"/>
      <c r="U48" s="482">
        <f>SUM(U44:U47)</f>
        <v>644.61000000000013</v>
      </c>
      <c r="V48" s="482">
        <f>SUM(V44:V47)</f>
        <v>644.31099999999992</v>
      </c>
      <c r="W48" s="482">
        <f>SUM(W44:W47)</f>
        <v>653.99599999999998</v>
      </c>
      <c r="X48" s="370">
        <f>SUM(X44:X47)</f>
        <v>602.29899999999998</v>
      </c>
      <c r="Y48" s="370">
        <f>X48</f>
        <v>602.29899999999998</v>
      </c>
      <c r="Z48" s="370"/>
      <c r="AA48" s="482">
        <f>SUM(AA44:AA47)</f>
        <v>529.053</v>
      </c>
      <c r="AB48" s="482">
        <f>SUM(AB44:AB47)</f>
        <v>518.75199999999995</v>
      </c>
      <c r="AC48" s="482">
        <f>SUM(AC44:AC47)</f>
        <v>487.803</v>
      </c>
      <c r="AD48" s="482">
        <f>SUM(AD44:AD47)</f>
        <v>459.67399999999998</v>
      </c>
      <c r="AE48" s="370">
        <f>AD48</f>
        <v>459.67399999999998</v>
      </c>
      <c r="AF48" s="370"/>
      <c r="AG48" s="482">
        <f>SUM(AG44:AG47)</f>
        <v>437.40500000000003</v>
      </c>
      <c r="AH48" s="482">
        <f>SUM(AH44:AH47)</f>
        <v>459.38599999999997</v>
      </c>
      <c r="AI48" s="482">
        <f>SUM(AI44:AI47)</f>
        <v>491.55099999999999</v>
      </c>
      <c r="AJ48" s="482">
        <f>SUM(AJ44:AJ47)</f>
        <v>529.31399999999996</v>
      </c>
      <c r="AK48" s="370">
        <f>AJ48</f>
        <v>529.31399999999996</v>
      </c>
      <c r="AL48" s="61"/>
      <c r="AM48" s="482">
        <f>SUM(AM44:AM47)</f>
        <v>601.93899999999996</v>
      </c>
      <c r="AN48" s="482">
        <f>SUM(AN44:AN47)</f>
        <v>589.29099999999994</v>
      </c>
      <c r="AO48" s="482">
        <f>SUM(AO44:AO47)</f>
        <v>585.52700000000004</v>
      </c>
      <c r="AP48" s="482">
        <f>SUM(AP44:AP47)</f>
        <v>569.20800000000008</v>
      </c>
      <c r="AQ48" s="370">
        <f>AP48</f>
        <v>569.20800000000008</v>
      </c>
      <c r="AR48" s="370"/>
      <c r="AS48" s="482">
        <f>SUM(AS44:AS47)</f>
        <v>559.33799999999997</v>
      </c>
      <c r="AT48" s="482">
        <f>SUM(AT44:AT47)</f>
        <v>580.82100000000003</v>
      </c>
      <c r="AU48" s="482">
        <f>SUM(AU44:AU47)</f>
        <v>596.48599999999999</v>
      </c>
      <c r="AV48" s="482">
        <f>SUM(AV44:AV47)</f>
        <v>621.64300000000003</v>
      </c>
      <c r="AW48" s="370">
        <f>AV48</f>
        <v>621.64300000000003</v>
      </c>
      <c r="AX48" s="370"/>
      <c r="AY48" s="482">
        <f>SUM(AY44:AY47)</f>
        <v>636.80000000000007</v>
      </c>
      <c r="AZ48" s="482">
        <f>SUM(AZ44:AZ47)</f>
        <v>661.8</v>
      </c>
      <c r="BA48" s="482">
        <f>SUM(BA44:BA47)</f>
        <v>674.49999999999989</v>
      </c>
      <c r="BB48" s="482">
        <f>SUM(BB44:BB47)</f>
        <v>649.80000000000007</v>
      </c>
      <c r="BC48" s="370">
        <f>BB48</f>
        <v>649.80000000000007</v>
      </c>
      <c r="BD48" s="370"/>
      <c r="BE48" s="482">
        <f>SUM(BE44:BE47)</f>
        <v>715.3</v>
      </c>
      <c r="BF48" s="251">
        <f>SUM(BF44:BF47)</f>
        <v>719.2</v>
      </c>
      <c r="BG48" s="251">
        <f>SUM(BG44:BG47)</f>
        <v>787.8</v>
      </c>
      <c r="BH48" s="251">
        <f>SUM(BH44:BH47)</f>
        <v>803</v>
      </c>
      <c r="BI48" s="136">
        <f>BH48</f>
        <v>803</v>
      </c>
      <c r="BJ48" s="370"/>
      <c r="BK48" s="251">
        <f>SUM(BK44:BK47)</f>
        <v>857.9</v>
      </c>
      <c r="BL48" s="251">
        <f>SUM(BL44:BL47)</f>
        <v>895</v>
      </c>
      <c r="BM48" s="251">
        <f>SUM(BM44:BM47)</f>
        <v>1000.6</v>
      </c>
      <c r="BN48" s="251">
        <f>SUM(BN44:BN47)</f>
        <v>1115</v>
      </c>
      <c r="BO48" s="1312">
        <f>BN48</f>
        <v>1115</v>
      </c>
      <c r="BP48" s="370"/>
      <c r="BQ48" s="251">
        <f>SUM(BQ44:BQ47)</f>
        <v>1244.1999999999998</v>
      </c>
      <c r="BR48" s="251">
        <f>SUM(BR44:BR47)</f>
        <v>1112.7</v>
      </c>
      <c r="BS48" s="251">
        <f>SUM(BS44:BS47)</f>
        <v>1178.8</v>
      </c>
      <c r="BT48" s="251">
        <f>SUM(BT44:BT47)</f>
        <v>1230.5</v>
      </c>
      <c r="BU48" s="1312">
        <f>BT48</f>
        <v>1230.5</v>
      </c>
      <c r="BV48" s="370"/>
      <c r="BW48" s="251">
        <f>SUM(BW44:BW47)</f>
        <v>1135.4000000000001</v>
      </c>
      <c r="BX48" s="251">
        <f>SUM(BX44:BX47)</f>
        <v>1259.9000000000001</v>
      </c>
      <c r="BY48" s="251">
        <f>SUM(BY44:BY47)</f>
        <v>1400.1</v>
      </c>
      <c r="BZ48" s="251">
        <f>SUM(BZ44:BZ47)</f>
        <v>1310.7</v>
      </c>
      <c r="CA48" s="1313">
        <f>BZ48</f>
        <v>1310.7</v>
      </c>
      <c r="CB48" s="251"/>
      <c r="CC48" s="251">
        <f>SUM(CC44:CC47)</f>
        <v>1328.5</v>
      </c>
      <c r="CD48" s="251">
        <f>SUM(CD44:CD47)</f>
        <v>1385.1</v>
      </c>
      <c r="CE48" s="251">
        <f>SUM(CE44:CE47)</f>
        <v>1431.7</v>
      </c>
      <c r="CF48" s="251">
        <f>SUM(CF44:CF47)</f>
        <v>1473.5</v>
      </c>
      <c r="CG48" s="1312">
        <f>CF48</f>
        <v>1473.5</v>
      </c>
      <c r="CH48" s="251"/>
      <c r="CI48" s="251">
        <f>SUM(CI44:CI47)</f>
        <v>1514.1</v>
      </c>
      <c r="CJ48" s="251">
        <f>SUM(CJ44:CJ47)</f>
        <v>1525.7999999999997</v>
      </c>
      <c r="CK48" s="251">
        <f>SUM(CK44:CK47)</f>
        <v>1556.1</v>
      </c>
      <c r="CL48" s="251">
        <f>SUM(CL44:CL47)</f>
        <v>1609.3000000000002</v>
      </c>
      <c r="CM48" s="1312">
        <f t="shared" si="104"/>
        <v>1609.3000000000002</v>
      </c>
      <c r="CN48" s="251"/>
      <c r="CO48" s="251">
        <f>SUM(CO44:CO47)</f>
        <v>1751.1999999999998</v>
      </c>
      <c r="CP48" s="251">
        <f>SUM(CP44:CP47)</f>
        <v>1789.1</v>
      </c>
      <c r="CQ48" s="251">
        <f>SUM(CQ44:CQ47)</f>
        <v>1827.5000000000002</v>
      </c>
      <c r="CR48" s="251">
        <f>SUM(CR44:CR47)</f>
        <v>1882.9</v>
      </c>
      <c r="CS48" s="1312">
        <f>CR48</f>
        <v>1882.9</v>
      </c>
      <c r="CT48" s="251"/>
      <c r="CU48" s="251">
        <f>SUM(CU44:CU47)</f>
        <v>2045.3000000000002</v>
      </c>
      <c r="CV48" s="251">
        <f>SUM(CV44:CV47)</f>
        <v>2051.2999999999997</v>
      </c>
      <c r="CW48" s="251">
        <f>SUM(CW44:CW47)</f>
        <v>2017.8</v>
      </c>
      <c r="CX48" s="251">
        <f>SUM(CX44:CX47)</f>
        <v>2043.1999999999998</v>
      </c>
      <c r="CY48" s="1312">
        <f>CX48</f>
        <v>2043.1999999999998</v>
      </c>
      <c r="CZ48" s="251"/>
      <c r="DA48" s="251">
        <f>SUM(DA44:DA47)</f>
        <v>2084.5</v>
      </c>
      <c r="DB48" s="251">
        <f>SUM(DB44:DB47)</f>
        <v>2051.1</v>
      </c>
      <c r="DC48" s="251">
        <f>SUM(DC44:DC47)</f>
        <v>2161.9</v>
      </c>
      <c r="DD48" s="251">
        <f>SUM(DD44:DD47)</f>
        <v>2261.5</v>
      </c>
      <c r="DE48" s="1312">
        <f>DD48</f>
        <v>2261.5</v>
      </c>
      <c r="DF48" s="251"/>
      <c r="DG48" s="251">
        <f>SUM(DG44:DG47)</f>
        <v>2288.6999999999998</v>
      </c>
      <c r="DH48" s="251">
        <f>SUM(DH44:DH47)</f>
        <v>2283.3999999999996</v>
      </c>
      <c r="DI48" s="251">
        <f>SUM(DI44:DI47)</f>
        <v>2268.5</v>
      </c>
      <c r="DJ48" s="251">
        <f>SUM(DJ44:DJ47)</f>
        <v>2219.1999999999998</v>
      </c>
      <c r="DK48" s="1312">
        <f>DJ48</f>
        <v>2219.1999999999998</v>
      </c>
      <c r="DL48" s="251"/>
      <c r="DM48" s="251">
        <f>SUM(DM44:DM47)</f>
        <v>2224.4</v>
      </c>
      <c r="DN48" s="251">
        <f>SUM(DN44:DN47)</f>
        <v>1902.1000000000001</v>
      </c>
      <c r="DO48" s="251">
        <f>SUM(DO44:DO47)</f>
        <v>1733.1000000000001</v>
      </c>
      <c r="DP48" s="251">
        <f>SUM(DP44:DP47)</f>
        <v>1624.1000000000001</v>
      </c>
      <c r="DQ48" s="1312">
        <f>DP48</f>
        <v>1624.1000000000001</v>
      </c>
      <c r="DR48" s="251"/>
      <c r="DS48" s="251">
        <f>SUM(DS44:DS47)</f>
        <v>1435.8999999999999</v>
      </c>
      <c r="DT48" s="251">
        <f>SUM(DT44:DT47)</f>
        <v>1331.6999999999998</v>
      </c>
      <c r="DU48" s="251">
        <f>SUM(DU44:DU47)</f>
        <v>1060.5999999999999</v>
      </c>
      <c r="DV48" s="251">
        <f>SUM(DV44:DV47)</f>
        <v>736.5</v>
      </c>
      <c r="DW48" s="1312">
        <f>DV48</f>
        <v>736.5</v>
      </c>
      <c r="DX48" s="252"/>
      <c r="DY48" s="251">
        <f>SUM(DY44:DY47)</f>
        <v>508.10000000000014</v>
      </c>
      <c r="DZ48" s="251">
        <f>SUM(DZ44:DZ47)</f>
        <v>315.49999999999977</v>
      </c>
      <c r="EA48" s="251">
        <f>SUM(EA44:EA47)</f>
        <v>107.29999999999995</v>
      </c>
      <c r="EB48" s="251">
        <f>SUM(EB44:EB47)</f>
        <v>-256</v>
      </c>
      <c r="EC48" s="1312">
        <f>EB48</f>
        <v>-256</v>
      </c>
      <c r="ED48" s="252"/>
      <c r="EE48" s="251">
        <f>SUM(EE44:EE47)</f>
        <v>-377.32580480009528</v>
      </c>
      <c r="EF48" s="251">
        <f>SUM(EF44:EF47)</f>
        <v>-566.1847780657497</v>
      </c>
      <c r="EG48" s="251">
        <f>SUM(EG44:EG47)</f>
        <v>-641.99668387010865</v>
      </c>
      <c r="EH48" s="251">
        <f>SUM(EH44:EH47)</f>
        <v>-777.73337994258395</v>
      </c>
      <c r="EI48" s="1312">
        <f>EH48</f>
        <v>-777.73337994258395</v>
      </c>
      <c r="EJ48" s="252"/>
      <c r="EK48" s="251">
        <f>SUM(EK44:EK47)</f>
        <v>-783.02370395401408</v>
      </c>
      <c r="EL48" s="251">
        <f>SUM(EL44:EL47)</f>
        <v>-785.31133378674167</v>
      </c>
      <c r="EM48" s="251">
        <f>SUM(EM44:EM47)</f>
        <v>-774.09424255424665</v>
      </c>
      <c r="EN48" s="251">
        <f>SUM(EN44:EN47)</f>
        <v>-761.14270722396122</v>
      </c>
      <c r="EO48" s="1312">
        <f>EN48</f>
        <v>-761.14270722396122</v>
      </c>
      <c r="EP48" s="252"/>
      <c r="EQ48" s="251">
        <f>SUM(EQ44:EQ47)</f>
        <v>-742.01843886621646</v>
      </c>
      <c r="ER48" s="251">
        <f>SUM(ER44:ER47)</f>
        <v>-665.33565893064872</v>
      </c>
      <c r="ES48" s="251">
        <f>SUM(ES44:ES47)</f>
        <v>-569.89429805213058</v>
      </c>
      <c r="ET48" s="251">
        <f>SUM(ET44:ET47)</f>
        <v>-423.15972158717244</v>
      </c>
      <c r="EU48" s="1312">
        <f>ET48</f>
        <v>-423.15972158717244</v>
      </c>
      <c r="EV48" s="252"/>
      <c r="EW48" s="252"/>
      <c r="EX48" s="252"/>
      <c r="EY48" s="252"/>
      <c r="EZ48" s="252"/>
      <c r="FA48" s="252"/>
      <c r="FB48" s="252"/>
      <c r="FI48" s="1990"/>
      <c r="FJ48" s="1990"/>
    </row>
    <row r="49" spans="1:166" ht="13.5" thickBot="1">
      <c r="A49" s="75"/>
      <c r="B49" s="32"/>
      <c r="C49" s="90"/>
      <c r="D49" s="90"/>
      <c r="E49" s="90"/>
      <c r="F49" s="90"/>
      <c r="G49" s="61"/>
      <c r="H49" s="90"/>
      <c r="I49" s="90"/>
      <c r="J49" s="90"/>
      <c r="K49" s="77"/>
      <c r="L49" s="77"/>
      <c r="M49" s="77"/>
      <c r="N49" s="77"/>
      <c r="O49" s="76"/>
      <c r="P49" s="77"/>
      <c r="Q49" s="77" t="s">
        <v>6025</v>
      </c>
      <c r="R49" s="77"/>
      <c r="S49" s="77"/>
      <c r="T49" s="77"/>
      <c r="U49" s="76"/>
      <c r="V49" s="77"/>
      <c r="W49" s="77"/>
      <c r="X49" s="77"/>
      <c r="Y49" s="77"/>
      <c r="Z49" s="77"/>
      <c r="AA49" s="76"/>
      <c r="AB49" s="77"/>
      <c r="AC49" s="77"/>
      <c r="AD49" s="77"/>
      <c r="AE49" s="77"/>
      <c r="AF49" s="77"/>
      <c r="AG49" s="76"/>
      <c r="AH49" s="77"/>
      <c r="AI49" s="77"/>
      <c r="AJ49" s="77"/>
      <c r="AK49" s="77"/>
      <c r="AL49" s="61"/>
      <c r="AM49" s="76"/>
      <c r="AN49" s="77"/>
      <c r="AO49" s="77"/>
      <c r="AP49" s="77"/>
      <c r="AQ49" s="77"/>
      <c r="AR49" s="77"/>
      <c r="AS49" s="76"/>
      <c r="AT49" s="77"/>
      <c r="AU49" s="77"/>
      <c r="AV49" s="77"/>
      <c r="AW49" s="77"/>
      <c r="AX49" s="77"/>
      <c r="AY49" s="76"/>
      <c r="AZ49" s="77"/>
      <c r="BA49" s="77"/>
      <c r="BB49" s="77"/>
      <c r="BC49" s="77"/>
      <c r="BD49" s="77"/>
      <c r="BE49" s="75"/>
      <c r="BF49" s="77"/>
      <c r="BG49" s="77"/>
      <c r="BH49" s="77"/>
      <c r="BI49" s="77"/>
      <c r="BJ49" s="77"/>
      <c r="BK49" s="77"/>
      <c r="BL49" s="77"/>
      <c r="BM49" s="77"/>
      <c r="BN49" s="77"/>
      <c r="BO49" s="1308"/>
      <c r="BP49" s="77"/>
      <c r="BQ49" s="77"/>
      <c r="BR49" s="77"/>
      <c r="BS49" s="77"/>
      <c r="BT49" s="77"/>
      <c r="BU49" s="1308"/>
      <c r="BV49" s="77"/>
      <c r="BW49" s="75"/>
      <c r="BX49" s="75"/>
      <c r="BY49" s="77"/>
      <c r="BZ49" s="75"/>
      <c r="CA49" s="1308"/>
      <c r="CB49" s="77"/>
      <c r="CC49" s="77"/>
      <c r="CD49" s="77"/>
      <c r="CE49" s="77"/>
      <c r="CF49" s="77"/>
      <c r="CG49" s="1308"/>
      <c r="CH49" s="77"/>
      <c r="CI49" s="77"/>
      <c r="CJ49" s="77"/>
      <c r="CK49" s="75"/>
      <c r="CL49" s="75"/>
      <c r="CM49" s="1308"/>
      <c r="CN49" s="77"/>
      <c r="CO49" s="75"/>
      <c r="CP49" s="22"/>
      <c r="CQ49" s="22"/>
      <c r="CR49" s="75"/>
      <c r="CS49" s="1308"/>
      <c r="CT49" s="77"/>
      <c r="CU49" s="77"/>
      <c r="CV49" s="77"/>
      <c r="CW49" s="77"/>
      <c r="CX49" s="77"/>
      <c r="CY49" s="1308"/>
      <c r="CZ49" s="77"/>
      <c r="DA49" s="77"/>
      <c r="DB49" s="77"/>
      <c r="DC49" s="77"/>
      <c r="DD49" s="77"/>
      <c r="DE49" s="1308"/>
      <c r="DF49" s="77"/>
      <c r="DG49" s="77"/>
      <c r="DH49" s="77"/>
      <c r="DI49" s="77"/>
      <c r="DJ49" s="77"/>
      <c r="DK49" s="1308"/>
      <c r="DL49" s="77"/>
      <c r="DM49" s="77"/>
      <c r="DN49" s="77"/>
      <c r="DO49" s="77"/>
      <c r="DP49" s="77"/>
      <c r="DQ49" s="1308"/>
      <c r="DR49" s="77"/>
      <c r="DS49" s="77"/>
      <c r="DT49" s="75"/>
      <c r="DU49" s="75"/>
      <c r="DV49" s="77"/>
      <c r="DX49" s="75"/>
      <c r="DY49" s="77"/>
      <c r="DZ49" s="75"/>
      <c r="EA49" s="75"/>
      <c r="EB49" s="77"/>
      <c r="ED49" s="75"/>
      <c r="EE49" s="77"/>
      <c r="EF49" s="77"/>
      <c r="EG49" s="77"/>
      <c r="EH49" s="77"/>
      <c r="EJ49" s="75"/>
      <c r="EK49" s="77"/>
      <c r="EL49" s="77"/>
      <c r="EM49" s="77"/>
      <c r="EN49" s="77"/>
      <c r="EP49" s="75"/>
      <c r="EQ49" s="77"/>
      <c r="ER49" s="77"/>
      <c r="ES49" s="77"/>
      <c r="ET49" s="77"/>
      <c r="EV49" s="77"/>
      <c r="EW49" s="77"/>
      <c r="EX49" s="77"/>
      <c r="EY49" s="77"/>
      <c r="EZ49" s="77"/>
      <c r="FA49" s="77"/>
      <c r="FB49" s="77"/>
      <c r="FI49" s="1990"/>
      <c r="FJ49" s="1990"/>
    </row>
    <row r="50" spans="1:166" ht="13.5" customHeight="1" thickBot="1">
      <c r="A50" s="1696" t="s">
        <v>1625</v>
      </c>
      <c r="B50" s="1685"/>
      <c r="C50" s="1686">
        <f>C42+C48</f>
        <v>520.19899999999996</v>
      </c>
      <c r="D50" s="1686">
        <f>D42+D48</f>
        <v>510.76499999999999</v>
      </c>
      <c r="E50" s="1686">
        <f>E42+E48</f>
        <v>477.16300000000001</v>
      </c>
      <c r="F50" s="1686">
        <f>F42+F48</f>
        <v>492.23300000000006</v>
      </c>
      <c r="G50" s="1686">
        <f>F50</f>
        <v>492.23300000000006</v>
      </c>
      <c r="H50" s="1687"/>
      <c r="I50" s="1688">
        <f>I42+I48</f>
        <v>543.31999999999994</v>
      </c>
      <c r="J50" s="1688">
        <f>J42+J48</f>
        <v>577.85799999999995</v>
      </c>
      <c r="K50" s="1688">
        <f>K42+K48</f>
        <v>568.96600000000001</v>
      </c>
      <c r="L50" s="1688">
        <f>L42+L48</f>
        <v>563.49</v>
      </c>
      <c r="M50" s="1688">
        <f>L50</f>
        <v>563.49</v>
      </c>
      <c r="N50" s="1687"/>
      <c r="O50" s="1687">
        <f>O42+O48</f>
        <v>623.37300000000005</v>
      </c>
      <c r="P50" s="1687">
        <f>P42+P48</f>
        <v>605.85200000000009</v>
      </c>
      <c r="Q50" s="1687">
        <f>Q42+Q48</f>
        <v>662.54500000000007</v>
      </c>
      <c r="R50" s="1687">
        <f>R42+R48</f>
        <v>823.26</v>
      </c>
      <c r="S50" s="1687">
        <f>R50</f>
        <v>823.26</v>
      </c>
      <c r="T50" s="1687"/>
      <c r="U50" s="1687">
        <f>U42+U48</f>
        <v>930.29500000000007</v>
      </c>
      <c r="V50" s="1687">
        <f>V42+V48</f>
        <v>928.32299999999987</v>
      </c>
      <c r="W50" s="1687">
        <f>W42+W48</f>
        <v>944.89499999999998</v>
      </c>
      <c r="X50" s="1687">
        <f>X42+X48</f>
        <v>907.32600000000002</v>
      </c>
      <c r="Y50" s="1687">
        <f>X50</f>
        <v>907.32600000000002</v>
      </c>
      <c r="Z50" s="1687"/>
      <c r="AA50" s="1687">
        <f>AA42+AA48</f>
        <v>813.38499999999999</v>
      </c>
      <c r="AB50" s="1687">
        <f>AB42+AB48</f>
        <v>844.20799999999986</v>
      </c>
      <c r="AC50" s="1687">
        <f>AC42+AC48</f>
        <v>829.94400000000007</v>
      </c>
      <c r="AD50" s="1687">
        <f>AD42+AD48</f>
        <v>807.75900000000001</v>
      </c>
      <c r="AE50" s="1687">
        <f>AD50</f>
        <v>807.75900000000001</v>
      </c>
      <c r="AF50" s="1687"/>
      <c r="AG50" s="1687">
        <f>AG42+AG48</f>
        <v>777.096</v>
      </c>
      <c r="AH50" s="1687">
        <f>AH42+AH48</f>
        <v>830.41599999999994</v>
      </c>
      <c r="AI50" s="1687">
        <f>AI42+AI48</f>
        <v>853.173</v>
      </c>
      <c r="AJ50" s="1687">
        <f>AJ42+AJ48</f>
        <v>902.44399999999996</v>
      </c>
      <c r="AK50" s="1687">
        <f>AJ50</f>
        <v>902.44399999999996</v>
      </c>
      <c r="AL50" s="401"/>
      <c r="AM50" s="1687">
        <f>AM42+AM48</f>
        <v>929.63099999999997</v>
      </c>
      <c r="AN50" s="1687">
        <f>AN42+AN48</f>
        <v>918.00199999999995</v>
      </c>
      <c r="AO50" s="1687">
        <f>AO42+AO48</f>
        <v>900.48500000000013</v>
      </c>
      <c r="AP50" s="1687">
        <f>AP42+AP48</f>
        <v>883.65000000000009</v>
      </c>
      <c r="AQ50" s="1687">
        <f>AP50</f>
        <v>883.65000000000009</v>
      </c>
      <c r="AR50" s="1687"/>
      <c r="AS50" s="1687">
        <f>AS42+AS48</f>
        <v>872.46299999999997</v>
      </c>
      <c r="AT50" s="1687">
        <f>AT42+AT48</f>
        <v>916.11300000000006</v>
      </c>
      <c r="AU50" s="1687">
        <f>AU42+AU48</f>
        <v>934.82799999999997</v>
      </c>
      <c r="AV50" s="1687">
        <f>AV42+AV48</f>
        <v>1017.1600000000001</v>
      </c>
      <c r="AW50" s="1687">
        <f>AV50</f>
        <v>1017.1600000000001</v>
      </c>
      <c r="AX50" s="1687"/>
      <c r="AY50" s="1687">
        <f>AY42+AY48</f>
        <v>989.5</v>
      </c>
      <c r="AZ50" s="1687">
        <f>AZ42+AZ48</f>
        <v>1048.7</v>
      </c>
      <c r="BA50" s="1687">
        <f>BA42+BA48</f>
        <v>1080.3999999999999</v>
      </c>
      <c r="BB50" s="1687">
        <f>BB42+BB48</f>
        <v>1140.6000000000001</v>
      </c>
      <c r="BC50" s="1687">
        <f>BB50</f>
        <v>1140.6000000000001</v>
      </c>
      <c r="BD50" s="1687"/>
      <c r="BE50" s="1687">
        <f>BE42+BE48</f>
        <v>1174.5999999999999</v>
      </c>
      <c r="BF50" s="1592">
        <f>BF42+BF48</f>
        <v>1177.5</v>
      </c>
      <c r="BG50" s="1592">
        <f>BG42+BG48</f>
        <v>1286.8999999999999</v>
      </c>
      <c r="BH50" s="1592">
        <f>BH42+BH48</f>
        <v>1355.8</v>
      </c>
      <c r="BI50" s="1592">
        <f>BH50</f>
        <v>1355.8</v>
      </c>
      <c r="BJ50" s="1687"/>
      <c r="BK50" s="1592">
        <f>BK42+BK48</f>
        <v>1434.5</v>
      </c>
      <c r="BL50" s="1592">
        <f>BL42+BL48</f>
        <v>1475.5</v>
      </c>
      <c r="BM50" s="1592">
        <f>BM42+BM48</f>
        <v>1600.3000000000002</v>
      </c>
      <c r="BN50" s="1592">
        <f>BN42+BN48</f>
        <v>1797.5</v>
      </c>
      <c r="BO50" s="1689">
        <f>BN50</f>
        <v>1797.5</v>
      </c>
      <c r="BP50" s="1687"/>
      <c r="BQ50" s="1592">
        <f>BQ42+BQ48</f>
        <v>1989.3999999999996</v>
      </c>
      <c r="BR50" s="1592">
        <f>BR42+BR48</f>
        <v>1878.1</v>
      </c>
      <c r="BS50" s="1592">
        <f>BS42+BS48</f>
        <v>1991</v>
      </c>
      <c r="BT50" s="1592">
        <f>BT42+BT48</f>
        <v>2208.9</v>
      </c>
      <c r="BU50" s="1689">
        <f>BT50</f>
        <v>2208.9</v>
      </c>
      <c r="BV50" s="1687"/>
      <c r="BW50" s="1592">
        <f>BW42+BW48</f>
        <v>2140</v>
      </c>
      <c r="BX50" s="1592">
        <f>BX42+BX48</f>
        <v>2443.5</v>
      </c>
      <c r="BY50" s="1592">
        <f>BY42+BY48</f>
        <v>2373.6999999999998</v>
      </c>
      <c r="BZ50" s="1592">
        <f>BZ42+BZ48</f>
        <v>2420.6999999999998</v>
      </c>
      <c r="CA50" s="1694">
        <f>BZ50</f>
        <v>2420.6999999999998</v>
      </c>
      <c r="CB50" s="1695"/>
      <c r="CC50" s="1695">
        <f>CC42+CC48</f>
        <v>2269.5</v>
      </c>
      <c r="CD50" s="1695">
        <f>CD42+CD48</f>
        <v>2311.1</v>
      </c>
      <c r="CE50" s="1695">
        <f>CE42+CE48</f>
        <v>2315.4</v>
      </c>
      <c r="CF50" s="1695">
        <f>CF42+CF48</f>
        <v>2447.1999999999998</v>
      </c>
      <c r="CG50" s="1696">
        <f>CF50</f>
        <v>2447.1999999999998</v>
      </c>
      <c r="CH50" s="1695"/>
      <c r="CI50" s="1695">
        <f>CI42+CI48</f>
        <v>2501.6999999999998</v>
      </c>
      <c r="CJ50" s="1695">
        <f>CJ42+CJ48</f>
        <v>2525</v>
      </c>
      <c r="CK50" s="1695">
        <f>CK42+CK48</f>
        <v>2581.1</v>
      </c>
      <c r="CL50" s="1695">
        <f>CL42+CL48</f>
        <v>2787.6000000000004</v>
      </c>
      <c r="CM50" s="1696">
        <f t="shared" si="104"/>
        <v>2787.6000000000004</v>
      </c>
      <c r="CN50" s="1695"/>
      <c r="CO50" s="1697">
        <f>CO42+CO48</f>
        <v>2902.2</v>
      </c>
      <c r="CP50" s="1695">
        <f>CP42+CP48</f>
        <v>2973.7</v>
      </c>
      <c r="CQ50" s="1695">
        <f>CQ42+CQ48</f>
        <v>3005</v>
      </c>
      <c r="CR50" s="1695">
        <f>CR42+CR48</f>
        <v>3227.8</v>
      </c>
      <c r="CS50" s="1696">
        <f>CR50</f>
        <v>3227.8</v>
      </c>
      <c r="CT50" s="1695"/>
      <c r="CU50" s="1695">
        <f>CU42+CU48</f>
        <v>3317</v>
      </c>
      <c r="CV50" s="1695">
        <f>CV42+CV48</f>
        <v>3375.8999999999996</v>
      </c>
      <c r="CW50" s="1695">
        <f>CW42+CW48</f>
        <v>3429.2</v>
      </c>
      <c r="CX50" s="1695">
        <f>CX42+CX48</f>
        <v>4308.3999999999996</v>
      </c>
      <c r="CY50" s="1696">
        <f>CX50</f>
        <v>4308.3999999999996</v>
      </c>
      <c r="CZ50" s="1441"/>
      <c r="DA50" s="1695">
        <f>DA42+DA48</f>
        <v>4289.7</v>
      </c>
      <c r="DB50" s="1695">
        <f>DB42+DB48</f>
        <v>4223.2999999999993</v>
      </c>
      <c r="DC50" s="1695">
        <f>DC42+DC48</f>
        <v>4321.5</v>
      </c>
      <c r="DD50" s="1695">
        <f>DD42+DD48</f>
        <v>4595</v>
      </c>
      <c r="DE50" s="1442">
        <f>DD50</f>
        <v>4595</v>
      </c>
      <c r="DF50" s="1441"/>
      <c r="DG50" s="1441">
        <f>DG42+DG48</f>
        <v>4648.6000000000004</v>
      </c>
      <c r="DH50" s="1441">
        <f>DH42+DH48</f>
        <v>4703.3999999999996</v>
      </c>
      <c r="DI50" s="1441">
        <f>DI42+DI48</f>
        <v>4736.7999999999993</v>
      </c>
      <c r="DJ50" s="1695">
        <f>DJ42+DJ48</f>
        <v>4913.7999999999993</v>
      </c>
      <c r="DK50" s="1442">
        <f>DJ50</f>
        <v>4913.7999999999993</v>
      </c>
      <c r="DL50" s="1441"/>
      <c r="DM50" s="1441">
        <f>DM42+DM48</f>
        <v>4775.8999999999996</v>
      </c>
      <c r="DN50" s="1441">
        <f>DN42+DN48</f>
        <v>5341.8000000000011</v>
      </c>
      <c r="DO50" s="1441">
        <f>DO42+DO48</f>
        <v>5220</v>
      </c>
      <c r="DP50" s="1695">
        <f>DP42+DP48</f>
        <v>5515.3</v>
      </c>
      <c r="DQ50" s="1442">
        <f>DP50</f>
        <v>5515.3</v>
      </c>
      <c r="DR50" s="1441"/>
      <c r="DS50" s="1441">
        <f>DS42+DS48</f>
        <v>5205.6000000000004</v>
      </c>
      <c r="DT50" s="1441">
        <f>DT42+DT48</f>
        <v>5047.3999999999996</v>
      </c>
      <c r="DU50" s="1441">
        <f>DU42+DU48</f>
        <v>4829.2000000000007</v>
      </c>
      <c r="DV50" s="1695">
        <f>DV42+DV48</f>
        <v>4797.7999999999993</v>
      </c>
      <c r="DW50" s="1442">
        <f>DV50</f>
        <v>4797.7999999999993</v>
      </c>
      <c r="DX50" s="2125"/>
      <c r="DY50" s="1441">
        <f>DY42+DY48</f>
        <v>4431.3999999999996</v>
      </c>
      <c r="DZ50" s="1441">
        <f>DZ42+DZ48</f>
        <v>4354</v>
      </c>
      <c r="EA50" s="1441">
        <f>EA42+EA48</f>
        <v>4152</v>
      </c>
      <c r="EB50" s="1695">
        <f>EB42+EB48</f>
        <v>4113.6000000000004</v>
      </c>
      <c r="EC50" s="1442">
        <f>EB50</f>
        <v>4113.6000000000004</v>
      </c>
      <c r="ED50" s="2125"/>
      <c r="EE50" s="1441">
        <f>EE42+EE48</f>
        <v>3856.9462274723764</v>
      </c>
      <c r="EF50" s="1441">
        <f>EF42+EF48</f>
        <v>3768.1723044661312</v>
      </c>
      <c r="EG50" s="1441">
        <f>EG42+EG48</f>
        <v>3715.0633478664558</v>
      </c>
      <c r="EH50" s="1441">
        <f>EH42+EH48</f>
        <v>4021.1308097983247</v>
      </c>
      <c r="EI50" s="1442">
        <f>EH50</f>
        <v>4021.1308097983247</v>
      </c>
      <c r="EJ50" s="2125"/>
      <c r="EK50" s="1441">
        <f>EK42+EK48</f>
        <v>3718.1244374275175</v>
      </c>
      <c r="EL50" s="1441">
        <f>EL42+EL48</f>
        <v>3853.7731937178432</v>
      </c>
      <c r="EM50" s="1441">
        <f>EM42+EM48</f>
        <v>3925.1971579572169</v>
      </c>
      <c r="EN50" s="1441">
        <f>EN42+EN48</f>
        <v>4446.7167676953804</v>
      </c>
      <c r="EO50" s="1442">
        <f>EN50</f>
        <v>4446.7167676953804</v>
      </c>
      <c r="EP50" s="2125"/>
      <c r="EQ50" s="1441">
        <f>EQ42+EQ48</f>
        <v>4241.6899855137826</v>
      </c>
      <c r="ER50" s="1441">
        <f>ER42+ER48</f>
        <v>4470.1018771085446</v>
      </c>
      <c r="ES50" s="1441">
        <f>ES42+ES48</f>
        <v>4589.4875392269751</v>
      </c>
      <c r="ET50" s="1441">
        <f>ET42+ET48</f>
        <v>5177.8914383075071</v>
      </c>
      <c r="EU50" s="1442">
        <f>ET50</f>
        <v>5177.8914383075071</v>
      </c>
      <c r="EV50" s="81"/>
      <c r="EW50" s="81"/>
      <c r="EX50" s="81"/>
      <c r="EY50" s="81"/>
      <c r="EZ50" s="81"/>
      <c r="FA50" s="81"/>
      <c r="FB50" s="81"/>
      <c r="FI50" s="1990"/>
      <c r="FJ50" s="1990"/>
    </row>
    <row r="51" spans="1:166" ht="4.5" customHeight="1">
      <c r="A51" s="78"/>
      <c r="B51" s="32"/>
      <c r="C51" s="90"/>
      <c r="D51" s="90"/>
      <c r="E51" s="90"/>
      <c r="F51" s="90"/>
      <c r="G51" s="61"/>
      <c r="H51" s="90"/>
      <c r="I51" s="90"/>
      <c r="J51" s="90"/>
      <c r="K51" s="64"/>
      <c r="L51" s="64"/>
      <c r="M51" s="64"/>
      <c r="N51" s="64"/>
      <c r="O51" s="137"/>
      <c r="P51" s="137"/>
      <c r="Q51" s="137"/>
      <c r="R51" s="80"/>
      <c r="S51" s="80"/>
      <c r="T51" s="64"/>
      <c r="U51" s="137"/>
      <c r="V51" s="137"/>
      <c r="W51" s="137"/>
      <c r="X51" s="80"/>
      <c r="Y51" s="80"/>
      <c r="Z51" s="80"/>
      <c r="AA51" s="137"/>
      <c r="AB51" s="137"/>
      <c r="AC51" s="137"/>
      <c r="AD51" s="137"/>
      <c r="AE51" s="80"/>
      <c r="AF51" s="64"/>
      <c r="AG51" s="137"/>
      <c r="AH51" s="137"/>
      <c r="AI51" s="137"/>
      <c r="AJ51" s="137"/>
      <c r="AK51" s="80"/>
      <c r="AL51" s="64"/>
      <c r="AM51" s="137"/>
      <c r="AN51" s="137"/>
      <c r="AO51" s="137"/>
      <c r="AP51" s="137"/>
      <c r="AQ51" s="79"/>
      <c r="AR51" s="64"/>
      <c r="AS51" s="137"/>
      <c r="AT51" s="137"/>
      <c r="AU51" s="137"/>
      <c r="AV51" s="137"/>
      <c r="AW51" s="165"/>
      <c r="AX51" s="64"/>
      <c r="AY51" s="137"/>
      <c r="AZ51" s="137"/>
      <c r="BA51" s="158"/>
      <c r="BB51" s="137"/>
      <c r="BC51" s="275"/>
      <c r="BD51" s="64"/>
      <c r="BE51" s="152"/>
      <c r="BF51" s="592"/>
      <c r="BG51" s="137"/>
      <c r="BH51" s="152"/>
      <c r="BI51" s="151"/>
      <c r="BJ51" s="64"/>
      <c r="BK51" s="137"/>
      <c r="BL51" s="137"/>
      <c r="BM51" s="137"/>
      <c r="BN51" s="152"/>
      <c r="BO51" s="151"/>
      <c r="BP51" s="64"/>
      <c r="BQ51" s="137"/>
      <c r="BR51" s="137"/>
      <c r="BS51" s="152"/>
      <c r="BT51" s="152"/>
      <c r="BU51" s="151"/>
      <c r="BV51" s="64"/>
      <c r="BW51" s="137"/>
      <c r="BX51" s="137"/>
      <c r="BY51" s="137"/>
      <c r="BZ51" s="152"/>
      <c r="CA51" s="151"/>
      <c r="CB51" s="64"/>
      <c r="CC51" s="137"/>
      <c r="CD51" s="137"/>
      <c r="CE51" s="137"/>
      <c r="CF51" s="137"/>
      <c r="CG51" s="151"/>
      <c r="CH51" s="64"/>
      <c r="CI51" s="137"/>
      <c r="CJ51" s="137"/>
      <c r="CK51" s="137"/>
      <c r="CL51" s="152"/>
      <c r="CM51" s="151"/>
      <c r="CN51" s="64"/>
      <c r="CO51" s="137"/>
      <c r="CP51" s="137"/>
      <c r="CQ51" s="137"/>
      <c r="CR51" s="152"/>
      <c r="CS51" s="151"/>
      <c r="CT51" s="64"/>
      <c r="CU51" s="137"/>
      <c r="CV51" s="137"/>
      <c r="CW51" s="137"/>
      <c r="CX51" s="152"/>
      <c r="CY51" s="151"/>
      <c r="CZ51" s="64"/>
      <c r="DA51" s="137"/>
      <c r="DB51" s="137"/>
      <c r="DC51" s="137"/>
      <c r="DD51" s="152"/>
      <c r="DE51" s="151"/>
      <c r="DF51" s="64"/>
      <c r="DG51" s="137"/>
      <c r="DH51" s="137"/>
      <c r="DI51" s="137"/>
      <c r="DJ51" s="152"/>
      <c r="DK51" s="151"/>
      <c r="DL51" s="64"/>
      <c r="DM51" s="137"/>
      <c r="DN51" s="137"/>
      <c r="DO51" s="137"/>
      <c r="DP51" s="152"/>
      <c r="DQ51" s="151"/>
      <c r="DR51" s="64"/>
      <c r="DS51" s="137"/>
      <c r="DT51" s="137"/>
      <c r="DU51" s="137"/>
      <c r="DV51" s="152"/>
      <c r="DW51" s="151"/>
      <c r="DX51" s="81"/>
      <c r="DY51" s="137"/>
      <c r="DZ51" s="137"/>
      <c r="EA51" s="137"/>
      <c r="EB51" s="152"/>
      <c r="EC51" s="151"/>
      <c r="ED51" s="81"/>
      <c r="EE51" s="137"/>
      <c r="EF51" s="137"/>
      <c r="EG51" s="137"/>
      <c r="EH51" s="152"/>
      <c r="EI51" s="151"/>
      <c r="EJ51" s="81"/>
      <c r="EK51" s="137"/>
      <c r="EL51" s="137"/>
      <c r="EM51" s="137"/>
      <c r="EN51" s="152"/>
      <c r="EO51" s="151"/>
      <c r="EP51" s="81"/>
      <c r="EQ51" s="137"/>
      <c r="ER51" s="137"/>
      <c r="ES51" s="137"/>
      <c r="ET51" s="152"/>
      <c r="EU51" s="151"/>
      <c r="EV51" s="81"/>
      <c r="EW51" s="81"/>
      <c r="EX51" s="81"/>
      <c r="EY51" s="81"/>
      <c r="EZ51" s="81"/>
      <c r="FA51" s="81"/>
      <c r="FB51" s="81"/>
      <c r="FI51" s="1990"/>
      <c r="FJ51" s="1990"/>
    </row>
    <row r="52" spans="1:166" ht="10.5" customHeight="1">
      <c r="A52" s="22"/>
      <c r="B52" s="32"/>
      <c r="C52" s="661" t="str">
        <f>IF(C24=C50,"good","problem")</f>
        <v>good</v>
      </c>
      <c r="D52" s="661" t="str">
        <f t="shared" ref="D52:BQ52" si="105">IF(D24=D50,"good","problem")</f>
        <v>good</v>
      </c>
      <c r="E52" s="661" t="str">
        <f t="shared" si="105"/>
        <v>good</v>
      </c>
      <c r="F52" s="661" t="str">
        <f t="shared" si="105"/>
        <v>good</v>
      </c>
      <c r="G52" s="661" t="str">
        <f t="shared" si="105"/>
        <v>good</v>
      </c>
      <c r="H52" s="90"/>
      <c r="I52" s="661" t="str">
        <f t="shared" si="105"/>
        <v>good</v>
      </c>
      <c r="J52" s="661" t="str">
        <f t="shared" si="105"/>
        <v>good</v>
      </c>
      <c r="K52" s="661" t="str">
        <f t="shared" si="105"/>
        <v>good</v>
      </c>
      <c r="L52" s="661" t="str">
        <f t="shared" si="105"/>
        <v>good</v>
      </c>
      <c r="M52" s="661" t="str">
        <f t="shared" si="105"/>
        <v>good</v>
      </c>
      <c r="N52" s="661"/>
      <c r="O52" s="661" t="str">
        <f t="shared" si="105"/>
        <v>good</v>
      </c>
      <c r="P52" s="661" t="str">
        <f t="shared" si="105"/>
        <v>good</v>
      </c>
      <c r="Q52" s="661" t="str">
        <f t="shared" si="105"/>
        <v>good</v>
      </c>
      <c r="R52" s="661" t="str">
        <f t="shared" si="105"/>
        <v>good</v>
      </c>
      <c r="S52" s="661" t="str">
        <f t="shared" si="105"/>
        <v>good</v>
      </c>
      <c r="T52" s="147"/>
      <c r="U52" s="661" t="str">
        <f t="shared" si="105"/>
        <v>good</v>
      </c>
      <c r="V52" s="661" t="str">
        <f t="shared" si="105"/>
        <v>good</v>
      </c>
      <c r="W52" s="661" t="str">
        <f t="shared" si="105"/>
        <v>good</v>
      </c>
      <c r="X52" s="661" t="str">
        <f t="shared" si="105"/>
        <v>good</v>
      </c>
      <c r="Y52" s="661" t="str">
        <f t="shared" si="105"/>
        <v>good</v>
      </c>
      <c r="Z52" s="661"/>
      <c r="AA52" s="661" t="str">
        <f t="shared" si="105"/>
        <v>good</v>
      </c>
      <c r="AB52" s="661" t="str">
        <f t="shared" si="105"/>
        <v>good</v>
      </c>
      <c r="AC52" s="661" t="str">
        <f t="shared" si="105"/>
        <v>good</v>
      </c>
      <c r="AD52" s="661" t="str">
        <f t="shared" si="105"/>
        <v>good</v>
      </c>
      <c r="AE52" s="661" t="str">
        <f t="shared" si="105"/>
        <v>good</v>
      </c>
      <c r="AF52" s="147"/>
      <c r="AG52" s="661" t="str">
        <f t="shared" si="105"/>
        <v>good</v>
      </c>
      <c r="AH52" s="661" t="str">
        <f t="shared" si="105"/>
        <v>good</v>
      </c>
      <c r="AI52" s="661" t="str">
        <f t="shared" si="105"/>
        <v>good</v>
      </c>
      <c r="AJ52" s="661" t="str">
        <f t="shared" si="105"/>
        <v>good</v>
      </c>
      <c r="AK52" s="661" t="str">
        <f t="shared" si="105"/>
        <v>good</v>
      </c>
      <c r="AL52" s="147"/>
      <c r="AM52" s="661" t="str">
        <f t="shared" si="105"/>
        <v>good</v>
      </c>
      <c r="AN52" s="661" t="str">
        <f t="shared" si="105"/>
        <v>good</v>
      </c>
      <c r="AO52" s="661" t="str">
        <f t="shared" si="105"/>
        <v>good</v>
      </c>
      <c r="AP52" s="661" t="str">
        <f t="shared" si="105"/>
        <v>good</v>
      </c>
      <c r="AQ52" s="661" t="str">
        <f t="shared" si="105"/>
        <v>good</v>
      </c>
      <c r="AR52" s="147"/>
      <c r="AS52" s="661" t="str">
        <f t="shared" si="105"/>
        <v>good</v>
      </c>
      <c r="AT52" s="661" t="str">
        <f t="shared" si="105"/>
        <v>good</v>
      </c>
      <c r="AU52" s="661" t="str">
        <f t="shared" si="105"/>
        <v>good</v>
      </c>
      <c r="AV52" s="661" t="str">
        <f t="shared" si="105"/>
        <v>good</v>
      </c>
      <c r="AW52" s="661" t="str">
        <f t="shared" si="105"/>
        <v>good</v>
      </c>
      <c r="AX52" s="75"/>
      <c r="AY52" s="661" t="str">
        <f t="shared" si="105"/>
        <v>good</v>
      </c>
      <c r="AZ52" s="661" t="str">
        <f t="shared" si="105"/>
        <v>good</v>
      </c>
      <c r="BA52" s="661" t="str">
        <f t="shared" si="105"/>
        <v>good</v>
      </c>
      <c r="BB52" s="661" t="str">
        <f t="shared" si="105"/>
        <v>good</v>
      </c>
      <c r="BC52" s="661" t="str">
        <f t="shared" si="105"/>
        <v>good</v>
      </c>
      <c r="BD52" s="661"/>
      <c r="BE52" s="661" t="str">
        <f t="shared" si="105"/>
        <v>good</v>
      </c>
      <c r="BF52" s="661" t="str">
        <f t="shared" si="105"/>
        <v>good</v>
      </c>
      <c r="BG52" s="661" t="str">
        <f t="shared" si="105"/>
        <v>good</v>
      </c>
      <c r="BH52" s="661" t="str">
        <f t="shared" si="105"/>
        <v>good</v>
      </c>
      <c r="BI52" s="661" t="str">
        <f t="shared" si="105"/>
        <v>good</v>
      </c>
      <c r="BJ52" s="661"/>
      <c r="BK52" s="661" t="str">
        <f t="shared" si="105"/>
        <v>good</v>
      </c>
      <c r="BL52" s="661" t="str">
        <f t="shared" si="105"/>
        <v>good</v>
      </c>
      <c r="BM52" s="661" t="str">
        <f t="shared" si="105"/>
        <v>good</v>
      </c>
      <c r="BN52" s="661" t="str">
        <f t="shared" si="105"/>
        <v>good</v>
      </c>
      <c r="BO52" s="661"/>
      <c r="BP52" s="661"/>
      <c r="BQ52" s="661" t="str">
        <f t="shared" si="105"/>
        <v>good</v>
      </c>
      <c r="BR52" s="661" t="str">
        <f>IF(BR24=BR50,"good","problem")</f>
        <v>good</v>
      </c>
      <c r="BS52" s="661" t="str">
        <f>IF(BS24=BS50,"good","problem")</f>
        <v>good</v>
      </c>
      <c r="BT52" s="661" t="str">
        <f>IF(BT24=BT50,"good","problem")</f>
        <v>good</v>
      </c>
      <c r="BU52" s="661" t="str">
        <f>IF(BU24=BU50,"good","problem")</f>
        <v>good</v>
      </c>
      <c r="BV52" s="661"/>
      <c r="BW52" s="661" t="str">
        <f>IF(BW24=BW50,"good","problem")</f>
        <v>good</v>
      </c>
      <c r="BX52" s="661" t="str">
        <f>IF(BX24=BX50,"good","problem")</f>
        <v>good</v>
      </c>
      <c r="BY52" s="661" t="str">
        <f>IF(BY24=BY50,"good","problem")</f>
        <v>good</v>
      </c>
      <c r="BZ52" s="1435"/>
      <c r="CA52" s="661" t="str">
        <f>IF(ROUND(CA24,3)=ROUND(CA50,3),"good","problem")</f>
        <v>good</v>
      </c>
      <c r="CB52" s="661"/>
      <c r="CC52" s="661" t="str">
        <f t="shared" ref="CC52:CM52" si="106">IF(ROUND(CC24,3)=ROUND(CC50,3),"good","problem")</f>
        <v>good</v>
      </c>
      <c r="CD52" s="661" t="str">
        <f t="shared" si="106"/>
        <v>good</v>
      </c>
      <c r="CE52" s="661" t="str">
        <f t="shared" si="106"/>
        <v>good</v>
      </c>
      <c r="CF52" s="661" t="str">
        <f t="shared" si="106"/>
        <v>good</v>
      </c>
      <c r="CG52" s="661" t="str">
        <f t="shared" si="106"/>
        <v>good</v>
      </c>
      <c r="CH52" s="661" t="str">
        <f t="shared" si="106"/>
        <v>good</v>
      </c>
      <c r="CI52" s="661" t="str">
        <f t="shared" si="106"/>
        <v>good</v>
      </c>
      <c r="CJ52" s="661" t="str">
        <f t="shared" si="106"/>
        <v>good</v>
      </c>
      <c r="CK52" s="661" t="str">
        <f t="shared" si="106"/>
        <v>good</v>
      </c>
      <c r="CL52" s="661" t="str">
        <f t="shared" si="106"/>
        <v>good</v>
      </c>
      <c r="CM52" s="661" t="str">
        <f t="shared" si="106"/>
        <v>good</v>
      </c>
      <c r="CN52" s="661" t="str">
        <f t="shared" ref="CN52:CS52" si="107">IF(ROUND(CN24,3)=ROUND(CN50,3),"good","problem")</f>
        <v>good</v>
      </c>
      <c r="CO52" s="661" t="str">
        <f>IF(ROUND(CO24,3)=ROUND(CO50,3),"good","problem")</f>
        <v>good</v>
      </c>
      <c r="CP52" s="661" t="str">
        <f t="shared" si="107"/>
        <v>good</v>
      </c>
      <c r="CQ52" s="1690"/>
      <c r="CR52" s="661" t="str">
        <f t="shared" si="107"/>
        <v>good</v>
      </c>
      <c r="CS52" s="661" t="str">
        <f t="shared" si="107"/>
        <v>good</v>
      </c>
      <c r="CT52" s="661" t="str">
        <f t="shared" ref="CT52:CY52" si="108">IF(ROUND(CT24,3)=ROUND(CT50,3),"good","problem")</f>
        <v>good</v>
      </c>
      <c r="CU52" s="661" t="str">
        <f t="shared" si="108"/>
        <v>good</v>
      </c>
      <c r="CV52" s="1435"/>
      <c r="CW52" s="661" t="str">
        <f t="shared" si="108"/>
        <v>good</v>
      </c>
      <c r="CX52" s="1732"/>
      <c r="CY52" s="661" t="str">
        <f t="shared" si="108"/>
        <v>good</v>
      </c>
      <c r="CZ52" s="661" t="str">
        <f t="shared" ref="CZ52:DE52" si="109">IF(ROUND(CZ24,3)=ROUND(CZ50,3),"good","problem")</f>
        <v>good</v>
      </c>
      <c r="DA52" s="661" t="str">
        <f t="shared" si="109"/>
        <v>good</v>
      </c>
      <c r="DB52" s="661" t="str">
        <f t="shared" si="109"/>
        <v>good</v>
      </c>
      <c r="DC52" s="661" t="str">
        <f t="shared" si="109"/>
        <v>good</v>
      </c>
      <c r="DD52" s="661" t="str">
        <f t="shared" si="109"/>
        <v>good</v>
      </c>
      <c r="DE52" s="661" t="str">
        <f t="shared" si="109"/>
        <v>good</v>
      </c>
      <c r="DF52" s="661" t="str">
        <f t="shared" ref="DF52:DQ52" si="110">IF(ROUND(DF24,3)=ROUND(DF50,3),"good","problem")</f>
        <v>good</v>
      </c>
      <c r="DG52" s="661" t="str">
        <f t="shared" si="110"/>
        <v>good</v>
      </c>
      <c r="DH52" s="661" t="str">
        <f t="shared" si="110"/>
        <v>good</v>
      </c>
      <c r="DI52" t="str">
        <f t="shared" si="110"/>
        <v>good</v>
      </c>
      <c r="DJ52" t="str">
        <f t="shared" si="110"/>
        <v>good</v>
      </c>
      <c r="DK52" t="str">
        <f t="shared" si="110"/>
        <v>good</v>
      </c>
      <c r="DL52" s="1751"/>
      <c r="DM52" s="661" t="str">
        <f t="shared" si="110"/>
        <v>good</v>
      </c>
      <c r="DN52" s="661" t="str">
        <f t="shared" si="110"/>
        <v>good</v>
      </c>
      <c r="DO52" s="661" t="str">
        <f t="shared" si="110"/>
        <v>good</v>
      </c>
      <c r="DP52" s="2024" t="str">
        <f t="shared" si="110"/>
        <v>good</v>
      </c>
      <c r="DQ52" s="2024" t="str">
        <f t="shared" si="110"/>
        <v>good</v>
      </c>
      <c r="DR52" s="1751"/>
      <c r="DS52" s="661" t="str">
        <f>IF(ROUND(DS24,3)=ROUND(DS50,3),"good","problem")</f>
        <v>good</v>
      </c>
      <c r="DT52" t="str">
        <f>IF(ROUND(DT24,3)=ROUND(DT50,3),"good","problem")</f>
        <v>good</v>
      </c>
      <c r="DU52" t="str">
        <f>IF(ROUND(DU24,3)=ROUND(DU50,3),"good","problem")</f>
        <v>good</v>
      </c>
      <c r="DV52" t="str">
        <f>IF(ROUND(DV24,3)=ROUND(DV50,3),"good","problem")</f>
        <v>good</v>
      </c>
      <c r="DW52" t="str">
        <f>IF(ROUND(DW24,3)=ROUND(DW50,3),"good","problem")</f>
        <v>good</v>
      </c>
      <c r="DX52" s="147"/>
      <c r="DY52" s="1787" t="str">
        <f>IF(ROUND(DY24,3)=ROUND(DY50,3),"good","problem")</f>
        <v>good</v>
      </c>
      <c r="DZ52" s="1787" t="str">
        <f>IF(ROUND(DZ24,3)=ROUND(DZ50,3),"good","problem")</f>
        <v>good</v>
      </c>
      <c r="EA52" s="1787" t="str">
        <f>IF(ROUND(EA24,3)=ROUND(EA50,3),"good","problem")</f>
        <v>good</v>
      </c>
      <c r="EB52" s="1787" t="str">
        <f>IF(ROUND(EB24,3)=ROUND(EB50,3),"good","problem")</f>
        <v>good</v>
      </c>
      <c r="EC52" s="1787" t="str">
        <f>IF(ROUND(EC24,3)=ROUND(EC50,3),"good","problem")</f>
        <v>good</v>
      </c>
      <c r="ED52" s="147"/>
      <c r="EE52" s="2021" t="str">
        <f>IF(ROUND(EE24,3)=ROUND(EE50,3),"good","problem")</f>
        <v>good</v>
      </c>
      <c r="EF52" s="2021" t="str">
        <f>IF(ROUND(EF24,3)=ROUND(EF50,3),"good","problem")</f>
        <v>good</v>
      </c>
      <c r="EG52" s="2008" t="str">
        <f>IF(ROUND(EG24,3)=ROUND(EG50,3),"good","problem")</f>
        <v>good</v>
      </c>
      <c r="EH52" s="2008" t="str">
        <f>IF(ROUND(EH24,3)=ROUND(EH50,3),"good","problem")</f>
        <v>good</v>
      </c>
      <c r="EI52" s="2008" t="str">
        <f>IF(ROUND(EI24,3)=ROUND(EI50,3),"good","problem")</f>
        <v>good</v>
      </c>
      <c r="EJ52" s="147"/>
      <c r="EK52" s="2117" t="str">
        <f>IF(ROUND(EK24,3)=ROUND(EK50,3),"good","problem")</f>
        <v>good</v>
      </c>
      <c r="EL52" s="2117" t="str">
        <f>IF(ROUND(EL24,3)=ROUND(EL50,3),"good","problem")</f>
        <v>good</v>
      </c>
      <c r="EM52" s="2117" t="str">
        <f>IF(ROUND(EM24,3)=ROUND(EM50,3),"good","problem")</f>
        <v>good</v>
      </c>
      <c r="EN52" s="2117" t="str">
        <f>IF(ROUND(EN24,3)=ROUND(EN50,3),"good","problem")</f>
        <v>good</v>
      </c>
      <c r="EO52" s="2117" t="str">
        <f>IF(ROUND(EO24,3)=ROUND(EO50,3),"good","problem")</f>
        <v>good</v>
      </c>
      <c r="EP52" s="147"/>
      <c r="EQ52" s="2291" t="str">
        <f>IF(ROUND(EQ24,3)=ROUND(EQ50,3),"good","problem")</f>
        <v>good</v>
      </c>
      <c r="ER52" s="2291" t="str">
        <f>IF(ROUND(ER24,3)=ROUND(ER50,3),"good","problem")</f>
        <v>good</v>
      </c>
      <c r="ES52" s="2291" t="str">
        <f>IF(ROUND(ES24,3)=ROUND(ES50,3),"good","problem")</f>
        <v>good</v>
      </c>
      <c r="ET52" s="2291" t="str">
        <f>IF(ROUND(ET24,3)=ROUND(ET50,3),"good","problem")</f>
        <v>good</v>
      </c>
      <c r="EU52" s="2291" t="str">
        <f>IF(ROUND(EU24,3)=ROUND(EU50,3),"good","problem")</f>
        <v>good</v>
      </c>
      <c r="EV52" s="147"/>
      <c r="EW52" s="147"/>
      <c r="EX52" s="147"/>
      <c r="EY52" s="147"/>
      <c r="EZ52" s="147"/>
      <c r="FA52" s="147"/>
      <c r="FB52" s="147"/>
      <c r="FI52" s="1990"/>
      <c r="FJ52" s="1990"/>
    </row>
    <row r="53" spans="1:166" ht="20.100000000000001" hidden="1" customHeight="1" outlineLevel="1">
      <c r="A53" s="5" t="s">
        <v>5983</v>
      </c>
      <c r="B53" s="32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87"/>
      <c r="P53" s="87"/>
      <c r="Q53" s="87"/>
      <c r="R53" s="87"/>
      <c r="S53" s="87"/>
      <c r="T53" s="7"/>
      <c r="U53" s="87"/>
      <c r="V53" s="87"/>
      <c r="W53" s="87"/>
      <c r="X53" s="87"/>
      <c r="Y53" s="87"/>
      <c r="Z53" s="7"/>
      <c r="AA53" s="87"/>
      <c r="AB53" s="87"/>
      <c r="AC53" s="87"/>
      <c r="AD53" s="87"/>
      <c r="AE53" s="87"/>
      <c r="AF53" s="7"/>
      <c r="AG53" s="87"/>
      <c r="AH53" s="87"/>
      <c r="AI53" s="87"/>
      <c r="AJ53" s="87"/>
      <c r="AK53" s="87"/>
      <c r="AL53" s="7"/>
      <c r="AM53" s="87"/>
      <c r="AN53" s="87"/>
      <c r="AO53" s="87"/>
      <c r="AP53" s="87"/>
      <c r="AQ53" s="206"/>
      <c r="AR53" s="7"/>
      <c r="AS53" s="87"/>
      <c r="AT53" s="87"/>
      <c r="AU53" s="87"/>
      <c r="AV53" s="120"/>
      <c r="AW53" s="166"/>
      <c r="AX53" s="122"/>
      <c r="AY53" s="120"/>
      <c r="AZ53" s="120"/>
      <c r="BA53" s="120"/>
      <c r="BB53" s="120"/>
      <c r="BC53" s="166"/>
      <c r="BD53" s="355"/>
      <c r="BE53" s="580"/>
      <c r="BF53" s="549"/>
      <c r="BG53" s="549"/>
      <c r="BH53" s="549"/>
      <c r="BI53" s="549"/>
      <c r="BJ53" s="355"/>
      <c r="BK53" s="835"/>
      <c r="BL53" s="549"/>
      <c r="BM53" s="549"/>
      <c r="BN53" s="549"/>
      <c r="BO53" s="355"/>
      <c r="BP53" s="355"/>
      <c r="BQ53" s="549"/>
      <c r="BR53" s="549"/>
      <c r="BS53" s="549"/>
      <c r="BT53" s="549"/>
      <c r="BU53" s="7"/>
      <c r="BV53" s="355"/>
      <c r="BW53" s="549"/>
      <c r="BX53" s="549"/>
      <c r="BY53" s="549"/>
      <c r="BZ53" s="549"/>
      <c r="CA53" s="7"/>
      <c r="CB53" s="355"/>
      <c r="CC53" s="549"/>
      <c r="CD53" s="549"/>
      <c r="CE53" s="549"/>
      <c r="CF53" s="549"/>
      <c r="CG53" s="549"/>
      <c r="CH53" s="549"/>
      <c r="CI53" s="549"/>
      <c r="CJ53" s="549"/>
      <c r="CK53" s="549"/>
      <c r="CL53" s="549"/>
      <c r="CM53" s="7"/>
      <c r="CN53" s="549"/>
      <c r="CO53" s="549"/>
      <c r="CP53" s="549"/>
      <c r="CQ53" s="549"/>
      <c r="CR53" s="549"/>
      <c r="CS53" s="7"/>
      <c r="CT53" s="549"/>
      <c r="CU53" s="549"/>
      <c r="CV53" s="549"/>
      <c r="CW53" s="549"/>
      <c r="CX53" s="549"/>
      <c r="CY53" s="7"/>
      <c r="CZ53" s="549"/>
      <c r="DA53" s="549"/>
      <c r="DB53" s="549"/>
      <c r="DC53" s="549"/>
      <c r="DD53" s="549"/>
      <c r="DE53" s="7"/>
      <c r="DF53" s="549"/>
      <c r="DG53" s="549"/>
      <c r="DH53" s="549"/>
      <c r="DI53" s="549"/>
      <c r="DJ53" s="549"/>
      <c r="DK53" s="7"/>
      <c r="DL53" s="549"/>
      <c r="DM53" s="549"/>
      <c r="DN53" s="549"/>
      <c r="DO53" s="549"/>
      <c r="DP53" s="549"/>
      <c r="DQ53" s="7"/>
      <c r="DR53" s="549"/>
      <c r="DS53" s="549"/>
      <c r="DT53" s="549"/>
      <c r="DU53" s="549"/>
      <c r="DV53" s="549"/>
      <c r="DW53" s="7"/>
      <c r="DX53" s="268"/>
      <c r="DY53" s="549"/>
      <c r="DZ53" s="549"/>
      <c r="EA53" s="549"/>
      <c r="EB53" s="549"/>
      <c r="EC53" s="7"/>
      <c r="ED53" s="268"/>
      <c r="EE53" s="549"/>
      <c r="EF53" s="549"/>
      <c r="EG53" s="549"/>
      <c r="EH53" s="549"/>
      <c r="EI53" s="7"/>
      <c r="EJ53" s="268"/>
      <c r="EK53" s="549"/>
      <c r="EL53" s="549"/>
      <c r="EM53" s="549"/>
      <c r="EN53" s="549"/>
      <c r="EO53" s="7"/>
      <c r="EP53" s="268"/>
      <c r="EQ53" s="549"/>
      <c r="ER53" s="549"/>
      <c r="ES53" s="549"/>
      <c r="ET53" s="549"/>
      <c r="EU53" s="7"/>
      <c r="EV53" s="4"/>
      <c r="EW53" s="4"/>
      <c r="EX53" s="4"/>
      <c r="EY53" s="4"/>
      <c r="EZ53" s="4"/>
      <c r="FA53" s="4"/>
      <c r="FB53" s="4"/>
      <c r="FI53" s="1990"/>
      <c r="FJ53" s="1990"/>
    </row>
    <row r="54" spans="1:166" ht="7.5" hidden="1" customHeight="1" outlineLevel="1">
      <c r="A54" s="171"/>
      <c r="B54" s="32"/>
      <c r="C54" s="90"/>
      <c r="D54" s="90"/>
      <c r="E54" s="90"/>
      <c r="F54" s="90"/>
      <c r="G54" s="61"/>
      <c r="H54" s="90"/>
      <c r="I54" s="90"/>
      <c r="J54" s="90"/>
      <c r="K54" s="4"/>
      <c r="L54" s="4"/>
      <c r="M54" s="4"/>
      <c r="N54" s="4"/>
      <c r="O54" s="172"/>
      <c r="P54" s="172"/>
      <c r="Q54" s="172"/>
      <c r="R54" s="172"/>
      <c r="S54" s="172"/>
      <c r="T54" s="4"/>
      <c r="U54" s="172"/>
      <c r="V54" s="172"/>
      <c r="W54" s="172"/>
      <c r="X54" s="172"/>
      <c r="Y54" s="172"/>
      <c r="Z54" s="4"/>
      <c r="AA54" s="172"/>
      <c r="AB54" s="172"/>
      <c r="AC54" s="172"/>
      <c r="AD54" s="172"/>
      <c r="AE54" s="172"/>
      <c r="AF54" s="4"/>
      <c r="AG54" s="172"/>
      <c r="AH54" s="172"/>
      <c r="AI54" s="172"/>
      <c r="AJ54" s="172"/>
      <c r="AK54" s="172"/>
      <c r="AL54" s="4"/>
      <c r="AM54" s="172"/>
      <c r="AN54" s="172"/>
      <c r="AO54" s="172"/>
      <c r="AP54" s="172"/>
      <c r="AQ54" s="207"/>
      <c r="AR54" s="4"/>
      <c r="AS54" s="172"/>
      <c r="AT54" s="172"/>
      <c r="AU54" s="172"/>
      <c r="AV54" s="173"/>
      <c r="AW54" s="174"/>
      <c r="AX54" s="88"/>
      <c r="AY54" s="173"/>
      <c r="AZ54" s="173"/>
      <c r="BA54" s="173"/>
      <c r="BB54" s="173"/>
      <c r="BC54" s="17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268"/>
      <c r="DY54" s="4"/>
      <c r="DZ54" s="4"/>
      <c r="EA54" s="4"/>
      <c r="EB54" s="4"/>
      <c r="EC54" s="4"/>
      <c r="ED54" s="268"/>
      <c r="EE54" s="4"/>
      <c r="EF54" s="4"/>
      <c r="EG54" s="4"/>
      <c r="EH54" s="4"/>
      <c r="EI54" s="4"/>
      <c r="EJ54" s="268"/>
      <c r="EK54" s="4"/>
      <c r="EL54" s="4"/>
      <c r="EM54" s="4"/>
      <c r="EN54" s="4"/>
      <c r="EO54" s="4"/>
      <c r="EP54" s="268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I54" s="1990"/>
      <c r="FJ54" s="1990"/>
    </row>
    <row r="55" spans="1:166" ht="10.5" hidden="1" customHeight="1" outlineLevel="1">
      <c r="A55" s="60" t="s">
        <v>6440</v>
      </c>
      <c r="B55" s="32"/>
      <c r="C55" s="90"/>
      <c r="D55" s="90"/>
      <c r="E55" s="90"/>
      <c r="F55" s="90"/>
      <c r="G55" s="61"/>
      <c r="H55" s="90"/>
      <c r="I55" s="90"/>
      <c r="J55" s="90"/>
      <c r="K55" s="61"/>
      <c r="L55" s="61"/>
      <c r="M55" s="61"/>
      <c r="N55" s="61"/>
      <c r="O55" s="62"/>
      <c r="P55" s="62"/>
      <c r="Q55" s="62"/>
      <c r="R55" s="62"/>
      <c r="S55" s="62"/>
      <c r="T55" s="61"/>
      <c r="U55" s="62"/>
      <c r="V55" s="62"/>
      <c r="W55" s="62"/>
      <c r="X55" s="62"/>
      <c r="Y55" s="62"/>
      <c r="Z55" s="61"/>
      <c r="AA55" s="61"/>
      <c r="AB55" s="61"/>
      <c r="AC55" s="61"/>
      <c r="AD55" s="61"/>
      <c r="AE55" s="62"/>
      <c r="AF55" s="61"/>
      <c r="AG55" s="61"/>
      <c r="AH55" s="61"/>
      <c r="AI55" s="61"/>
      <c r="AJ55" s="61"/>
      <c r="AK55" s="62"/>
      <c r="AL55" s="61"/>
      <c r="AM55" s="61"/>
      <c r="AN55" s="61"/>
      <c r="AO55" s="61"/>
      <c r="AP55" s="61"/>
      <c r="AQ55" s="62"/>
      <c r="AR55" s="61"/>
      <c r="AS55" s="61"/>
      <c r="AT55" s="61"/>
      <c r="AU55" s="61"/>
      <c r="AV55" s="168"/>
      <c r="AW55" s="62"/>
      <c r="AX55" s="61"/>
      <c r="AY55" s="61"/>
      <c r="AZ55" s="61"/>
      <c r="BA55" s="61"/>
      <c r="BB55" s="61"/>
      <c r="BC55" s="62"/>
      <c r="BD55" s="61"/>
      <c r="BE55" s="63"/>
      <c r="BF55" s="553"/>
      <c r="BG55" s="63"/>
      <c r="BH55" s="63"/>
      <c r="BI55" s="62"/>
      <c r="BJ55" s="61"/>
      <c r="BK55" s="63"/>
      <c r="BL55" s="63"/>
      <c r="BM55" s="63"/>
      <c r="BN55" s="63"/>
      <c r="BO55" s="62"/>
      <c r="BP55" s="61"/>
      <c r="BQ55" s="63"/>
      <c r="BR55" s="63"/>
      <c r="BS55" s="63"/>
      <c r="BT55" s="63"/>
      <c r="BU55" s="62"/>
      <c r="BV55" s="61"/>
      <c r="BW55" s="63"/>
      <c r="BX55" s="63"/>
      <c r="BY55" s="63"/>
      <c r="BZ55" s="63"/>
      <c r="CA55" s="62"/>
      <c r="CB55" s="61"/>
      <c r="CC55" s="63"/>
      <c r="CD55" s="63"/>
      <c r="CE55" s="63"/>
      <c r="CF55" s="63"/>
      <c r="CG55" s="62"/>
      <c r="CH55" s="61"/>
      <c r="CI55" s="63"/>
      <c r="CJ55" s="63"/>
      <c r="CK55" s="63"/>
      <c r="CL55" s="63"/>
      <c r="CM55" s="62"/>
      <c r="CN55" s="61"/>
      <c r="CO55" s="63"/>
      <c r="CP55" s="63"/>
      <c r="CQ55" s="63"/>
      <c r="CR55" s="63"/>
      <c r="CS55" s="62"/>
      <c r="CT55" s="61"/>
      <c r="CU55" s="63"/>
      <c r="CV55" s="63"/>
      <c r="CW55" s="63"/>
      <c r="CX55" s="63"/>
      <c r="CY55" s="62"/>
      <c r="CZ55" s="61"/>
      <c r="DA55" s="484"/>
      <c r="DB55" s="63"/>
      <c r="DC55" s="63"/>
      <c r="DD55" s="63"/>
      <c r="DE55" s="62"/>
      <c r="DF55" s="61"/>
      <c r="DG55" s="63"/>
      <c r="DH55" s="63"/>
      <c r="DI55" s="63"/>
      <c r="DJ55" s="63"/>
      <c r="DK55" s="62"/>
      <c r="DL55" s="61"/>
      <c r="DM55" s="63"/>
      <c r="DN55" s="63"/>
      <c r="DO55" s="63"/>
      <c r="DP55" s="63"/>
      <c r="DQ55" s="62"/>
      <c r="DR55" s="61"/>
      <c r="DS55" s="63"/>
      <c r="DT55" s="63"/>
      <c r="DU55" s="63"/>
      <c r="DV55" s="63"/>
      <c r="DW55" s="62"/>
      <c r="DX55" s="45"/>
      <c r="DY55" s="63"/>
      <c r="DZ55" s="63"/>
      <c r="EA55" s="63"/>
      <c r="EB55" s="63"/>
      <c r="EC55" s="62"/>
      <c r="ED55" s="45"/>
      <c r="EE55" s="63"/>
      <c r="EF55" s="63"/>
      <c r="EG55" s="63"/>
      <c r="EH55" s="63"/>
      <c r="EI55" s="62"/>
      <c r="EJ55" s="45"/>
      <c r="EK55" s="63"/>
      <c r="EL55" s="63"/>
      <c r="EM55" s="63"/>
      <c r="EN55" s="63"/>
      <c r="EO55" s="62"/>
      <c r="EP55" s="45"/>
      <c r="EQ55" s="63"/>
      <c r="ER55" s="63"/>
      <c r="ES55" s="63"/>
      <c r="ET55" s="63"/>
      <c r="EU55" s="62"/>
      <c r="EV55" s="45"/>
      <c r="EW55" s="45"/>
      <c r="EX55" s="45"/>
      <c r="EY55" s="45"/>
      <c r="EZ55" s="45"/>
      <c r="FA55" s="45"/>
      <c r="FB55" s="45"/>
      <c r="FI55" s="1990"/>
      <c r="FJ55" s="1990"/>
    </row>
    <row r="56" spans="1:166" ht="10.5" hidden="1" customHeight="1" outlineLevel="1">
      <c r="A56" s="25" t="s">
        <v>3812</v>
      </c>
      <c r="B56" s="32"/>
      <c r="C56" s="90"/>
      <c r="D56" s="90"/>
      <c r="E56" s="90"/>
      <c r="F56" s="90"/>
      <c r="G56" s="61"/>
      <c r="H56" s="90"/>
      <c r="I56" s="90"/>
      <c r="J56" s="90"/>
      <c r="K56" s="168"/>
      <c r="L56" s="168"/>
      <c r="M56" s="168"/>
      <c r="N56" s="168"/>
      <c r="O56" s="208">
        <f>IF(ISERROR((O11*91.25)/Model!O$31),"-",((O11*91.25)/Model!O$31))</f>
        <v>25.859145303270989</v>
      </c>
      <c r="P56" s="208">
        <f>IF(ISERROR((P11*91.25)/Model!P$31),"-",((P11*91.25)/Model!P$31))</f>
        <v>33.020619033682522</v>
      </c>
      <c r="Q56" s="208">
        <f>IF(ISERROR((Q11*91.25)/Model!Q$31),"-",((Q11*91.25)/Model!Q$31))</f>
        <v>38.878170989752974</v>
      </c>
      <c r="R56" s="208">
        <f>IF(ISERROR((R11*91.25)/Model!R$31),"-",((R11*91.25)/Model!R$31))</f>
        <v>46.953708928387492</v>
      </c>
      <c r="S56" s="208">
        <f>IF(ISERROR((S11*365)/Model!S$31),"-",((S11*365)/Model!S$31))</f>
        <v>46.92029934036821</v>
      </c>
      <c r="T56" s="168"/>
      <c r="U56" s="208">
        <f>IF(ISERROR((U11*91.25)/Model!U$31),"-",((U11*91.25)/Model!U$31))</f>
        <v>57.404908936598552</v>
      </c>
      <c r="V56" s="208">
        <f>IF(ISERROR((V11*91.25)/Model!V$31),"-",((V11*91.25)/Model!V$31))</f>
        <v>57.66227645287821</v>
      </c>
      <c r="W56" s="208">
        <f>IF(ISERROR((W11*91.25)/Model!W$31),"-",((W11*91.25)/Model!W$31))</f>
        <v>54.09385194901288</v>
      </c>
      <c r="X56" s="208">
        <f>IF(ISERROR((X11*91.25)/Model!X$31),"-",((X11*91.25)/Model!X$31))</f>
        <v>44.618813333509799</v>
      </c>
      <c r="Y56" s="208">
        <f>IF(ISERROR((Y11*365)/Model!Y$31),"-",((Y11*365)/Model!Y$31))</f>
        <v>47.704955244436945</v>
      </c>
      <c r="Z56" s="168"/>
      <c r="AA56" s="208">
        <f>IF(ISERROR((AA11*91.25)/Model!AA$31),"-",((AA11*91.25)/Model!AA$31))</f>
        <v>47.529436692193606</v>
      </c>
      <c r="AB56" s="208">
        <f>IF(ISERROR((AB11*91.25)/Model!AB$31),"-",((AB11*91.25)/Model!AB$31))</f>
        <v>60.652145670221309</v>
      </c>
      <c r="AC56" s="208">
        <f>IF(ISERROR((AC11*91.25)/Model!AC$31),"-",((AC11*91.25)/Model!AC$31))</f>
        <v>59.921670804661908</v>
      </c>
      <c r="AD56" s="208">
        <f>IF(ISERROR((AD11*91.25)/Model!AD$31),"-",((AD11*91.25)/Model!AD$31))</f>
        <v>59.102796989882613</v>
      </c>
      <c r="AE56" s="208">
        <f>IF(ISERROR((AE11*365)/Model!AE$31),"-",((AE11*365)/Model!AE$31))</f>
        <v>61.366610275930128</v>
      </c>
      <c r="AF56" s="168"/>
      <c r="AG56" s="208">
        <f>IF(ISERROR((AG11*91.25)/Model!AG$31),"-",((AG11*91.25)/Model!AG$31))</f>
        <v>55.876236062505093</v>
      </c>
      <c r="AH56" s="208">
        <f>IF(ISERROR((AH11*91.25)/Model!AH$31),"-",((AH11*91.25)/Model!AH$31))</f>
        <v>62.855457944329181</v>
      </c>
      <c r="AI56" s="208">
        <f>IF(ISERROR((AI11*91.25)/Model!AI$31),"-",((AI11*91.25)/Model!AI$31))</f>
        <v>59.652414758940083</v>
      </c>
      <c r="AJ56" s="208">
        <f>IF(ISERROR((AJ11*91.25)/Model!AJ$31),"-",((AJ11*91.25)/Model!AJ$31))</f>
        <v>50.45557386019194</v>
      </c>
      <c r="AK56" s="208">
        <f>IF(ISERROR((AK11*365)/Model!AK$31),"-",((AK11*365)/Model!AK$31))</f>
        <v>54.111041687994927</v>
      </c>
      <c r="AL56" s="168"/>
      <c r="AM56" s="208">
        <f>IF(ISERROR((AM11*91.25)/Model!AM$31),"-",((AM11*91.25)/Model!AM$31))</f>
        <v>49.9965660388877</v>
      </c>
      <c r="AN56" s="208">
        <f>IF(ISERROR((AN11*91.25)/Model!AN$31),"-",((AN11*91.25)/Model!AN$31))</f>
        <v>55.698926447840826</v>
      </c>
      <c r="AO56" s="208">
        <f>IF(ISERROR((AO11*91.25)/Model!AO$31),"-",((AO11*91.25)/Model!AO$31))</f>
        <v>62.383817520839848</v>
      </c>
      <c r="AP56" s="208">
        <f>IF(ISERROR((AP11*91.25)/Model!AP$31),"-",((AP11*91.25)/Model!AP$31))</f>
        <v>61.980982374843997</v>
      </c>
      <c r="AQ56" s="208">
        <f>IF(ISERROR((AQ11*365)/Model!AQ$31),"-",((AQ11*365)/Model!AQ$31))</f>
        <v>58.759183945596376</v>
      </c>
      <c r="AR56" s="168"/>
      <c r="AS56" s="208">
        <f>IF(ISERROR((AS11*91.25)/Model!AS$31),"-",((AS11*91.25)/Model!AS$31))</f>
        <v>57.83966579049752</v>
      </c>
      <c r="AT56" s="208">
        <f>IF(ISERROR((AT11*91.25)/Model!AT$31),"-",((AT11*91.25)/Model!AT$31))</f>
        <v>59.489112208025325</v>
      </c>
      <c r="AU56" s="208">
        <f>IF(ISERROR((AU11*91.25)/Model!AU$31),"-",((AU11*91.25)/Model!AU$31))</f>
        <v>51.357632920269218</v>
      </c>
      <c r="AV56" s="208">
        <f>IF(ISERROR((AV11*91.25)/Model!AV$31),"-",((AV11*91.25)/Model!AV$31))</f>
        <v>51.545697741356534</v>
      </c>
      <c r="AW56" s="208">
        <f>IF(ISERROR((AW11*365)/Model!AW$31),"-",((AW11*365)/Model!AW$31))</f>
        <v>63.981808304164481</v>
      </c>
      <c r="AX56" s="168"/>
      <c r="AY56" s="208">
        <f>IF(ISERROR((AY11*91.25)/Model!AY$31),"-",((AY11*91.25)/Model!AY$31))</f>
        <v>43.504680708793046</v>
      </c>
      <c r="AZ56" s="208">
        <f>IF(ISERROR((AZ11*91.25)/Model!AZ$31),"-",((AZ11*91.25)/Model!AZ$31))</f>
        <v>50.791933760683769</v>
      </c>
      <c r="BA56" s="208">
        <f>IF(ISERROR((BA11*91.25)/Model!BA$31),"-",((BA11*91.25)/Model!BA$31))</f>
        <v>50.862641008626404</v>
      </c>
      <c r="BB56" s="208">
        <f>IF(ISERROR((BB11*91.25)/Model!BB$31),"-",((BB11*91.25)/Model!BB$31))</f>
        <v>50.218120805369132</v>
      </c>
      <c r="BC56" s="208">
        <f>IF(ISERROR((BC11*365)/Model!BC$31),"-",((BC11*365)/Model!BC$31))</f>
        <v>57.980466542900956</v>
      </c>
      <c r="BD56" s="168"/>
      <c r="BE56" s="208">
        <f>IF(ISERROR((BE11*91.25)/Model!BE$31),"-",((BE11*91.25)/Model!BE$31))</f>
        <v>48.331244778613204</v>
      </c>
      <c r="BF56" s="208">
        <f>IF(ISERROR((BF11*91.25)/Model!BF$31),"-",((BF11*91.25)/Model!BF$31))</f>
        <v>49.015392781316351</v>
      </c>
      <c r="BG56" s="208">
        <f>IF(ISERROR((BG11*91.25)/Model!BG$31),"-",((BG11*91.25)/Model!BG$31))</f>
        <v>48.268020969855833</v>
      </c>
      <c r="BH56" s="208">
        <f>IF(ISERROR((BH11*91.25)/Model!BH$31),"-",((BH11*91.25)/Model!BH$31))</f>
        <v>56.819318723201512</v>
      </c>
      <c r="BI56" s="208">
        <f>IF(ISERROR((BI11*365)/Model!BI$31),"-",((BI11*365)/Model!BI$31))</f>
        <v>62.068045797553992</v>
      </c>
      <c r="BJ56" s="168"/>
      <c r="BK56" s="208">
        <f>IF(ISERROR((BK11*91.25)/Model!BK$31),"-",((BK11*91.25)/Model!BK$31))</f>
        <v>57.847477064220172</v>
      </c>
      <c r="BL56" s="208">
        <f>IF(ISERROR((BL11*91.25)/Model!BL$31),"-",((BL11*91.25)/Model!BL$31))</f>
        <v>52.505282473309606</v>
      </c>
      <c r="BM56" s="208">
        <f>IF(ISERROR((BM11*91.25)/Model!BM$31),"-",((BM11*91.25)/Model!BM$31))</f>
        <v>51.138353765323991</v>
      </c>
      <c r="BN56" s="208">
        <f>IF(ISERROR((BN11*91.25)/Model!BN$31),"-",((BN11*91.25)/Model!BN$31))</f>
        <v>55.27467832730197</v>
      </c>
      <c r="BO56" s="208">
        <f>IF(ISERROR((BO11*365)/Model!BO$31),"-",((BO11*365)/Model!BO$31))</f>
        <v>59.775247309490155</v>
      </c>
      <c r="BP56" s="168"/>
      <c r="BQ56" s="208">
        <f>IF(ISERROR((BQ11*91.25)/Model!BQ$31),"-",((BQ11*91.25)/Model!BQ$31))</f>
        <v>46.719425874950836</v>
      </c>
      <c r="BR56" s="208">
        <f>IF(ISERROR((BR11*91.25)/Model!BR$31),"-",((BR11*91.25)/Model!BR$31))</f>
        <v>48.305761551625771</v>
      </c>
      <c r="BS56" s="208">
        <f>IF(ISERROR((BS11*91.25)/Model!BS$31),"-",((BS11*91.25)/Model!BS$31))</f>
        <v>50.70950965824666</v>
      </c>
      <c r="BT56" s="208">
        <f>IF(ISERROR((BT11*91.25)/Model!BT$31),"-",((BT11*91.25)/Model!BT$31))</f>
        <v>58.868511099983309</v>
      </c>
      <c r="BU56" s="208">
        <f>IF(ISERROR((BU11*365)/Model!BU$31),"-",((BU11*365)/Model!BU$31))</f>
        <v>64.95050644567219</v>
      </c>
      <c r="BV56" s="168"/>
      <c r="BW56" s="208">
        <f>IF(ISERROR((BW11*91.25)/Model!BW$31),"-",((BW11*91.25)/Model!BW$31))</f>
        <v>50.821434535738149</v>
      </c>
      <c r="BX56" s="208">
        <f>IF(ISERROR((BX11*91.25)/Model!BX$31),"-",((BX11*91.25)/Model!BX$31))</f>
        <v>47.900726392251819</v>
      </c>
      <c r="BY56" s="208">
        <f>IF(ISERROR((BY11*91.25)/Model!BY$31),"-",((BY11*91.25)/Model!BY$31))</f>
        <v>43.798797562180852</v>
      </c>
      <c r="BZ56" s="208">
        <f>IF(ISERROR((BZ11*91.25)/Model!BZ$31),"-",((BZ11*91.25)/Model!BZ$31))</f>
        <v>58.964118007349938</v>
      </c>
      <c r="CA56" s="208">
        <f>IF(ISERROR((CA11*365)/Model!CA$31),"-",((CA11*365)/Model!CA$31))</f>
        <v>49.89741706979958</v>
      </c>
      <c r="CB56" s="168"/>
      <c r="CC56" s="208">
        <f>IF(ISERROR((CC11*91.25)/Model!CC$31),"-",((CC11*91.25)/Model!CC$31))</f>
        <v>48.989549084077034</v>
      </c>
      <c r="CD56" s="208">
        <f>IF(ISERROR((CD11*91.25)/Model!CD$31),"-",((CD11*91.25)/Model!CD$31))</f>
        <v>49.242889852976624</v>
      </c>
      <c r="CE56" s="208">
        <f>IF(ISERROR((CE11*91.25)/Model!CE$31),"-",((CE11*91.25)/Model!CE$31))</f>
        <v>47.211861357639727</v>
      </c>
      <c r="CF56" s="208">
        <f>IF(ISERROR((CF11*91.25)/Model!CF$31),"-",((CF11*91.25)/Model!CF$31))</f>
        <v>55.498245998684489</v>
      </c>
      <c r="CG56" s="208">
        <f>IF(ISERROR((CG11*365)/Model!CG$31),"-",((CG11*365)/Model!CG$31))</f>
        <v>59.08327011729007</v>
      </c>
      <c r="CH56" s="168"/>
      <c r="CI56" s="208">
        <f>IF(ISERROR((CI11*91.25)/Model!CI$31),"-",((CI11*91.25)/Model!CI$31))</f>
        <v>41.933470290771176</v>
      </c>
      <c r="CJ56" s="208">
        <f>IF(ISERROR((CJ11*91.25)/Model!CJ$31),"-",((CJ11*91.25)/Model!CJ$31))</f>
        <v>44.582804568527926</v>
      </c>
      <c r="CK56" s="208">
        <f>IF(ISERROR((CK11*91.25)/Model!CK$31),"-",((CK11*91.25)/Model!CK$31))</f>
        <v>45.959985315712188</v>
      </c>
      <c r="CL56" s="208">
        <f>IF(ISERROR((CL11*91.25)/Model!CL$31),"-",((CL11*91.25)/Model!CL$31))</f>
        <v>55.057797991282911</v>
      </c>
      <c r="CM56" s="208">
        <f>IF(ISERROR((CM11*365)/Model!CM$31),"-",((CM11*365)/Model!CM$31))</f>
        <v>59.542985961676393</v>
      </c>
      <c r="CN56" s="168"/>
      <c r="CO56" s="208">
        <f>IF(ISERROR((CO11*91.25)/Model!CO$31),"-",((CO11*91.25)/Model!CO$31))</f>
        <v>46.808158243422305</v>
      </c>
      <c r="CP56" s="208">
        <f>IF(ISERROR((CP11*91.25)/Model!CP$31),"-",((CP11*91.25)/Model!CP$31))</f>
        <v>49.608731466227354</v>
      </c>
      <c r="CQ56" s="208">
        <f>IF(ISERROR((CQ11*91.25)/Model!CQ$31),"-",((CQ11*91.25)/Model!CQ$31))</f>
        <v>43.113379511483785</v>
      </c>
      <c r="CR56" s="208">
        <f>IF(ISERROR((CR11*91.25)/Model!CR$31),"-",((CR11*91.25)/Model!CR$31))</f>
        <v>60.859005739365294</v>
      </c>
      <c r="CS56" s="208">
        <f>IF(ISERROR((CS11*365)/Model!CS$31),"-",((CS11*365)/Model!CS$31))</f>
        <v>65.089140639104528</v>
      </c>
      <c r="CT56" s="168"/>
      <c r="CU56" s="208">
        <f>IF(ISERROR((CU11*91.25)/Model!CU$31),"-",((CU11*91.25)/Model!CU$31))</f>
        <v>46.60168195718655</v>
      </c>
      <c r="CV56" s="208">
        <f>IF(ISERROR((CV11*91.25)/Model!CV$31),"-",((CV11*91.25)/Model!CV$31))</f>
        <v>57.957381370826013</v>
      </c>
      <c r="CW56" s="208">
        <f>IF(ISERROR((CW11*91.25)/Model!CW$31),"-",((CW11*91.25)/Model!CW$31))</f>
        <v>48.838731751824817</v>
      </c>
      <c r="CX56" s="208">
        <f>IF(ISERROR((CX11*91.25)/Model!CX$31),"-",((CX11*91.25)/Model!CX$31))</f>
        <v>74.428130148270185</v>
      </c>
      <c r="CY56" s="208">
        <f>IF(ISERROR((CY11*365)/Model!CY$31),"-",((CY11*365)/Model!CY$31))</f>
        <v>78.142134394188361</v>
      </c>
      <c r="CZ56" s="168"/>
      <c r="DA56" s="208">
        <f>IF(ISERROR((DA11*91.25)/Model!DA$31),"-",((DA11*91.25)/Model!DA$31))</f>
        <v>45.720985273492289</v>
      </c>
      <c r="DB56" s="208">
        <f>IF(ISERROR((DB11*91.25)/Model!DB$31),"-",((DB11*91.25)/Model!DB$31))</f>
        <v>49.369547801317417</v>
      </c>
      <c r="DC56" s="208">
        <f>IF(ISERROR((DC11*91.25)/Model!DC$31),"-",((DC11*91.25)/Model!DC$31))</f>
        <v>49.980412463976947</v>
      </c>
      <c r="DD56" s="208">
        <f>IF(ISERROR((DD11*91.25)/Model!DD$31),"-",((DD11*91.25)/Model!DD$31))</f>
        <v>65.90969144220935</v>
      </c>
      <c r="DE56" s="208">
        <f>IF(ISERROR((DE11*365)/Model!DE$31),"-",((DE11*365)/Model!DE$31))</f>
        <v>68.011126258850439</v>
      </c>
      <c r="DF56" s="168"/>
      <c r="DG56" s="208">
        <f>IF(ISERROR((DG11*91.25)/Model!DG$31),"-",((DG11*91.25)/Model!DG$31))</f>
        <v>49.790928270042194</v>
      </c>
      <c r="DH56" s="208">
        <f>IF(ISERROR((DH11*91.25)/Model!DH$31),"-",((DH11*91.25)/Model!DH$31))</f>
        <v>52.320867995605091</v>
      </c>
      <c r="DI56" s="208">
        <f>IF(ISERROR((DI11*91.25)/Model!DI$31),"-",((DI11*91.25)/Model!DI$31))</f>
        <v>55.473503236245953</v>
      </c>
      <c r="DJ56" s="208">
        <f>IF(ISERROR((DJ11*91.25)/Model!DJ$31),"-",((DJ11*91.25)/Model!DJ$31))</f>
        <v>63.007260006018655</v>
      </c>
      <c r="DK56" s="208">
        <f>IF(ISERROR((DK11*365)/Model!DK$31),"-",((DK11*365)/Model!DK$31))</f>
        <v>66.674030730037416</v>
      </c>
      <c r="DL56" s="168"/>
      <c r="DM56" s="208">
        <f>IF(ISERROR((DM11*91.25)/Model!DM$31),"-",((DM11*91.25)/Model!DM$31))</f>
        <v>44.601701469450887</v>
      </c>
      <c r="DN56" s="208">
        <f>IF(ISERROR((DN11*91.25)/Model!DN$31),"-",((DN11*91.25)/Model!DN$31))</f>
        <v>59.001845775225597</v>
      </c>
      <c r="DO56" s="208">
        <f>IF(ISERROR((DO11*91.25)/Model!DO$31),"-",((DO11*91.25)/Model!DO$31))</f>
        <v>55.118164388129379</v>
      </c>
      <c r="DP56" s="208">
        <f>IF(ISERROR((DP11*91.25)/Model!DP$31),"-",((DP11*91.25)/Model!DP$31))</f>
        <v>91.995989511028853</v>
      </c>
      <c r="DQ56" s="208">
        <f>IF(ISERROR((DQ11*365)/Model!DQ$31),"-",((DQ11*365)/Model!DQ$31))</f>
        <v>95.269358252465963</v>
      </c>
      <c r="DR56" s="168"/>
      <c r="DS56" s="208">
        <f>IF(ISERROR((DS11*91.25)/Model!DS$31),"-",((DS11*91.25)/Model!DS$31))</f>
        <v>45.705215862473132</v>
      </c>
      <c r="DT56" s="208">
        <f>IF(ISERROR((DT11*91.25)/Model!DT$31),"-",((DT11*91.25)/Model!DT$31))</f>
        <v>50.8527782821863</v>
      </c>
      <c r="DU56" s="208">
        <f>IF(ISERROR((DU11*91.25)/Model!DU$31),"-",((DU11*91.25)/Model!DU$31))</f>
        <v>48.420649509803923</v>
      </c>
      <c r="DV56" s="208">
        <f>IF(ISERROR((DV11*91.25)/Model!DV$31),"-",((DV11*91.25)/Model!DV$31))</f>
        <v>86.19961361737677</v>
      </c>
      <c r="DW56" s="208">
        <f>IF(ISERROR((DW11*365)/Model!DW$31),"-",((DW11*365)/Model!DW$31))</f>
        <v>81.284835056622356</v>
      </c>
      <c r="DX56" s="27"/>
      <c r="DY56" s="208">
        <f>IF(ISERROR((DY11*91.25)/Model!DY$31),"-",((DY11*91.25)/Model!DY$31))</f>
        <v>43.492639489396751</v>
      </c>
      <c r="DZ56" s="208">
        <f>IF(ISERROR((DZ11*91.25)/Model!DZ$31),"-",((DZ11*91.25)/Model!DZ$31))</f>
        <v>48.298126743722612</v>
      </c>
      <c r="EA56" s="208">
        <f>IF(ISERROR((EA11*91.25)/Model!EA$31),"-",((EA11*91.25)/Model!EA$31))</f>
        <v>54.50562778963711</v>
      </c>
      <c r="EB56" s="208">
        <f>IF(ISERROR((EB11*91.25)/Model!EB$31),"-",((EB11*91.25)/Model!EB$31))</f>
        <v>72.202509931383176</v>
      </c>
      <c r="EC56" s="2229">
        <v>78.980591495142278</v>
      </c>
      <c r="ED56" s="27"/>
      <c r="EE56" s="2228">
        <f>DY56</f>
        <v>43.492639489396751</v>
      </c>
      <c r="EF56" s="2228">
        <f>DZ56-5</f>
        <v>43.298126743722612</v>
      </c>
      <c r="EG56" s="2228">
        <f>EA56-5</f>
        <v>49.50562778963711</v>
      </c>
      <c r="EH56" s="2228">
        <f>EB56-13.9</f>
        <v>58.302509931383177</v>
      </c>
      <c r="EI56" s="2229">
        <v>68.719122058568317</v>
      </c>
      <c r="EJ56" s="27"/>
      <c r="EK56" s="2228">
        <f>EE56</f>
        <v>43.492639489396751</v>
      </c>
      <c r="EL56" s="2228">
        <f>EF56+10</f>
        <v>53.298126743722612</v>
      </c>
      <c r="EM56" s="2228">
        <f>EG56+5</f>
        <v>54.50562778963711</v>
      </c>
      <c r="EN56" s="2228">
        <f>EH56-2</f>
        <v>56.302509931383177</v>
      </c>
      <c r="EO56" s="2229">
        <v>66.691812687268552</v>
      </c>
      <c r="EP56" s="27"/>
      <c r="EQ56" s="2228">
        <f>EK56</f>
        <v>43.492639489396751</v>
      </c>
      <c r="ER56" s="2228">
        <f t="shared" ref="ER56:ES56" si="111">EL56</f>
        <v>53.298126743722612</v>
      </c>
      <c r="ES56" s="2228">
        <f t="shared" si="111"/>
        <v>54.50562778963711</v>
      </c>
      <c r="ET56" s="2228">
        <f>EN56+5</f>
        <v>61.302509931383177</v>
      </c>
      <c r="EU56" s="2229"/>
      <c r="EV56" s="27"/>
      <c r="EW56" s="27"/>
      <c r="EX56" s="27"/>
      <c r="EY56" s="27"/>
      <c r="EZ56" s="27"/>
      <c r="FA56" s="27"/>
      <c r="FB56" s="27"/>
      <c r="FI56" s="1990"/>
      <c r="FJ56" s="1990"/>
    </row>
    <row r="57" spans="1:166" ht="10.5" hidden="1" customHeight="1" outlineLevel="1">
      <c r="A57" s="25" t="s">
        <v>5941</v>
      </c>
      <c r="B57" s="32"/>
      <c r="C57" s="90"/>
      <c r="D57" s="90"/>
      <c r="E57" s="90"/>
      <c r="F57" s="90"/>
      <c r="G57" s="61"/>
      <c r="H57" s="90"/>
      <c r="I57" s="90"/>
      <c r="J57" s="90"/>
      <c r="K57" s="168"/>
      <c r="L57" s="168"/>
      <c r="M57" s="168"/>
      <c r="N57" s="168"/>
      <c r="O57" s="208"/>
      <c r="P57" s="208">
        <f>IF(ISERROR((P11*91.25)/(Model!P$31+P30-O30+P37-O37)),"-",((P11*91.25)/(Model!P$31+P30-O30+P37-O37)))</f>
        <v>32.800533336183491</v>
      </c>
      <c r="Q57" s="208">
        <f>IF(ISERROR((Q11*91.25)/(Model!Q$31+Q30-P30+Q37-P37)),"-",((Q11*91.25)/(Model!Q$31+Q30-P30+Q37-P37)))</f>
        <v>39.066159642224058</v>
      </c>
      <c r="R57" s="208">
        <f>IF(ISERROR((R11*91.25)/(Model!R$31+R30-Q30+R37-Q37)),"-",((R11*91.25)/(Model!R$31+R30-Q30+R37-Q37)))</f>
        <v>45.310510723993829</v>
      </c>
      <c r="S57" s="208"/>
      <c r="T57" s="168"/>
      <c r="U57" s="208">
        <f>IF(ISERROR((U11*91.25)/(Model!U$31+U30-S30+U37-S37)),"-",((U11*91.25)/(Model!U$31+U30-S30+U37-S37)))</f>
        <v>53.193250558967023</v>
      </c>
      <c r="V57" s="208">
        <f>IF(ISERROR((V11*91.25)/(Model!V$31+V30-U30+V37-U37)),"-",((V11*91.25)/(Model!V$31+V30-U30+V37-U37)))</f>
        <v>55.313233116957058</v>
      </c>
      <c r="W57" s="208">
        <f>IF(ISERROR((W11*91.25)/(Model!W$31+W30-V30+W37-V37)),"-",((W11*91.25)/(Model!W$31+W30-V30+W37-V37)))</f>
        <v>55.732369859216284</v>
      </c>
      <c r="X57" s="208">
        <f>IF(ISERROR((X11*91.25)/(Model!X$31+X30-W30+X37-W37)),"-",((X11*91.25)/(Model!X$31+X30-W30+X37-W37)))</f>
        <v>46.699381977855552</v>
      </c>
      <c r="Y57" s="208"/>
      <c r="Z57" s="168"/>
      <c r="AA57" s="208">
        <f>IF(ISERROR((AA11*91.25)/(Model!AA$31+AA30-Y30+AA37-Y37)),"-",((AA11*91.25)/(Model!AA$31+AA30-Y30+AA37-Y37)))</f>
        <v>46.064976048882912</v>
      </c>
      <c r="AB57" s="208">
        <f>IF(ISERROR((AB11*91.25)/(Model!AB$31+AB30-AA30+AB37-AA37)),"-",((AB11*91.25)/(Model!AB$31+AB30-AA30+AB37-AA37)))</f>
        <v>59.913903737643722</v>
      </c>
      <c r="AC57" s="208">
        <f>IF(ISERROR((AC11*91.25)/(Model!AC$31+AC30-AB30+AC37-AB37)),"-",((AC11*91.25)/(Model!AC$31+AC30-AB30+AC37-AB37)))</f>
        <v>59.401980906818004</v>
      </c>
      <c r="AD57" s="208">
        <f>IF(ISERROR((AD11*91.25)/(Model!AD$31+AD30-AC30+AD37-AC37)),"-",((AD11*91.25)/(Model!AD$31+AD30-AC30+AD37-AC37)))</f>
        <v>57.873403569558029</v>
      </c>
      <c r="AE57" s="208"/>
      <c r="AF57" s="168"/>
      <c r="AG57" s="208">
        <f>IF(ISERROR((AG11*91.25)/(Model!AG$31+AG30-AE30+AG37-AE37)),"-",((AG11*91.25)/(Model!AG$31+AG30-AE30+AG37-AE37)))</f>
        <v>56.178457601322329</v>
      </c>
      <c r="AH57" s="208">
        <f>IF(ISERROR((AH11*91.25)/(Model!AH$31+AH30-AG30+AH37-AG37)),"-",((AH11*91.25)/(Model!AH$31+AH30-AG30+AH37-AG37)))</f>
        <v>60.419207982084757</v>
      </c>
      <c r="AI57" s="208">
        <f>IF(ISERROR((AI11*91.25)/(Model!AI$31+AI30-AH30+AI37-AH37)),"-",((AI11*91.25)/(Model!AI$31+AI30-AH30+AI37-AH37)))</f>
        <v>59.405301095016497</v>
      </c>
      <c r="AJ57" s="208">
        <f>IF(ISERROR((AJ11*91.25)/(Model!AJ$31+AJ30-AI30+AJ37-AI37)),"-",((AJ11*91.25)/(Model!AJ$31+AJ30-AI30+AJ37-AI37)))</f>
        <v>49.372250662537354</v>
      </c>
      <c r="AK57" s="208"/>
      <c r="AL57" s="168"/>
      <c r="AM57" s="208">
        <f>IF(ISERROR((AM11*91.25)/(Model!AM$31+AM30-AK30+AM37-AK37)),"-",((AM11*91.25)/(Model!AM$31+AM30-AK30+AM37-AK37)))</f>
        <v>49.448236080562381</v>
      </c>
      <c r="AN57" s="208">
        <f>IF(ISERROR((AN11*91.25)/(Model!AN$31+AN30-AM30+AN37-AM37)),"-",((AN11*91.25)/(Model!AN$31+AN30-AM30+AN37-AM37)))</f>
        <v>54.110680541896819</v>
      </c>
      <c r="AO57" s="208">
        <f>IF(ISERROR((AO11*91.25)/(Model!AO$31+AO30-AN30+AO37-AN37)),"-",((AO11*91.25)/(Model!AO$31+AO30-AN30+AO37-AN37)))</f>
        <v>61.58939362230884</v>
      </c>
      <c r="AP57" s="208">
        <f>IF(ISERROR((AP11*91.25)/(Model!AP$31+AP30-AO30+AP37-AO37)),"-",((AP11*91.25)/(Model!AP$31+AP30-AO30+AP37-AO37)))</f>
        <v>57.134448918204065</v>
      </c>
      <c r="AQ57" s="208"/>
      <c r="AR57" s="168"/>
      <c r="AS57" s="208">
        <f>IF(ISERROR((AS11*91.25)/(Model!AS$31+AS30-AQ30+AS37-AQ37)),"-",((AS11*91.25)/(Model!AS$31+AS30-AQ30+AS37-AQ37)))</f>
        <v>57.04742317249513</v>
      </c>
      <c r="AT57" s="208">
        <f>IF(ISERROR((AT11*91.25)/(Model!AT$31+AT30-AS30+AT37-AS37)),"-",((AT11*91.25)/(Model!AT$31+AT30-AS30+AT37-AS37)))</f>
        <v>57.268228633790336</v>
      </c>
      <c r="AU57" s="208">
        <f>IF(ISERROR((AU11*91.25)/(Model!AU$31+AU30-AT30+AU37-AT37)),"-",((AU11*91.25)/(Model!AU$31+AU30-AT30+AU37-AT37)))</f>
        <v>50.735003083655769</v>
      </c>
      <c r="AV57" s="208">
        <f>IF(ISERROR((AV11*91.25)/(Model!AV$31+AV30-AU30+AV37-AU37)),"-",((AV11*91.25)/(Model!AV$31+AV30-AU30+AV37-AU37)))</f>
        <v>48.271886039741474</v>
      </c>
      <c r="AW57" s="208"/>
      <c r="AX57" s="168"/>
      <c r="AY57" s="208">
        <f>IF(ISERROR((AY11*91.25)/(Model!AY$31+AY30-AW30+AY37-AW37)),"-",((AY11*91.25)/(Model!AY$31+AY30-AW30+AY37-AW37)))</f>
        <v>42.271720203752793</v>
      </c>
      <c r="AZ57" s="208">
        <f>IF(ISERROR((AZ11*91.25)/(Model!AZ$31+AZ30-AY30+AZ37-AY37)),"-",((AZ11*91.25)/(Model!AZ$31+AZ30-AY30+AZ37-AY37)))</f>
        <v>48.511479591836739</v>
      </c>
      <c r="BA57" s="208">
        <f>IF(ISERROR((BA11*91.25)/(Model!BA$31+BA30-AZ30+BA37-AZ37)),"-",((BA11*91.25)/(Model!BA$31+BA30-AZ30+BA37-AZ37)))</f>
        <v>50.147203140333652</v>
      </c>
      <c r="BB57" s="208">
        <f>IF(ISERROR((BB11*91.25)/(Model!BB$31+BB30-BA30+BB37-BA37)),"-",((BB11*91.25)/(Model!BB$31+BB30-BA30+BB37-BA37)))</f>
        <v>45.671414038657183</v>
      </c>
      <c r="BC57" s="208"/>
      <c r="BD57" s="168"/>
      <c r="BE57" s="208">
        <f>IF(ISERROR((BE11*91.25)/(Model!BE$31+BE30-BC30+BE37-BC37)),"-",((BE11*91.25)/(Model!BE$31+BE30-BC30+BE37-BC37)))</f>
        <v>45.315274151436043</v>
      </c>
      <c r="BF57" s="208">
        <f>IF(ISERROR((BF11*91.25)/(Model!BF$31+BF30-BE30+BF37-BE37)),"-",((BF11*91.25)/(Model!BF$31+BF30-BE30+BF37-BE37)))</f>
        <v>48.297594142259427</v>
      </c>
      <c r="BG57" s="208">
        <f>IF(ISERROR((BG11*91.25)/(Model!BG$31+BG30-BF30+BG37-BF37)),"-",((BG11*91.25)/(Model!BG$31+BG30-BF30+BG37-BF37)))</f>
        <v>47.216025641025631</v>
      </c>
      <c r="BH57" s="208">
        <f>IF(ISERROR((BH11*91.25)/(Model!BH$31+BH30-BG30+BH37-BG37)),"-",((BH11*91.25)/(Model!BH$31+BH30-BG30+BH37-BG37)))</f>
        <v>51.944141986062711</v>
      </c>
      <c r="BI57" s="208"/>
      <c r="BJ57" s="168"/>
      <c r="BK57" s="208">
        <f>IF(ISERROR((BK11*91.25)/(Model!BK$31+BK30-BI30+BK37-BI37)),"-",((BK11*91.25)/(Model!BK$31+BK30-BI30+BK37-BI37)))</f>
        <v>52.830959363217417</v>
      </c>
      <c r="BL57" s="208">
        <f>IF(ISERROR((BL11*91.25)/(Model!BL$31+BL30-BK30+BL37-BK37)),"-",((BL11*91.25)/(Model!BL$31+BL30-BK30+BL37-BK37)))</f>
        <v>52.007876184181534</v>
      </c>
      <c r="BM57" s="208">
        <f>IF(ISERROR((BM11*91.25)/(Model!BM$31+BM30-BL30+BM37-BL37)),"-",((BM11*91.25)/(Model!BM$31+BM30-BL30+BM37-BL37)))</f>
        <v>50.959860383944147</v>
      </c>
      <c r="BN57" s="208">
        <f>IF(ISERROR((BN11*91.25)/(Model!BN$31+BN30-BM30+BN37-BM37)),"-",((BN11*91.25)/(Model!BN$31+BN30-BM30+BN37-BM37)))</f>
        <v>48.886246443812233</v>
      </c>
      <c r="BO57" s="208"/>
      <c r="BP57" s="168"/>
      <c r="BQ57" s="208">
        <f>IF(ISERROR((BQ11*91.25)/(Model!BQ$31+BQ30-BO30+BQ37-BO37)),"-",((BQ11*91.25)/(Model!BQ$31+BQ30-BO30+BQ37-BO37)))</f>
        <v>44.858410420993003</v>
      </c>
      <c r="BR57" s="208">
        <f>IF(ISERROR((BR11*91.25)/(Model!BR$31+BR30-BQ30+BR37-BQ37)),"-",((BR11*91.25)/(Model!BR$31+BR30-BQ30+BR37-BQ37)))</f>
        <v>47.228109313998878</v>
      </c>
      <c r="BS57" s="208">
        <f>IF(ISERROR((BS11*91.25)/(Model!BS$31+BS30-BR30+BS37-BR37)),"-",((BS11*91.25)/(Model!BS$31+BS30-BR30+BS37-BR37)))</f>
        <v>49.603924418604656</v>
      </c>
      <c r="BT57" s="208">
        <f>IF(ISERROR((BT11*91.25)/(Model!BT$31+BT30-BS30+BT37-BS37)),"-",((BT11*91.25)/(Model!BT$31+BT30-BS30+BT37-BS37)))</f>
        <v>51.765925436665199</v>
      </c>
      <c r="BU57" s="208"/>
      <c r="BV57" s="168"/>
      <c r="BW57" s="208">
        <f>IF(ISERROR((BW11*91.25)/(Model!BW$31+BW30-BU30+BW37-BU37)),"-",((BW11*91.25)/(Model!BW$31+BW30-BU30+BW37-BU37)))</f>
        <v>47.372159090909101</v>
      </c>
      <c r="BX57" s="208">
        <f>IF(ISERROR((BX11*91.25)/(Model!BX$31+BX30-BW30+BX37-BW37)),"-",((BX11*91.25)/(Model!BX$31+BX30-BW30+BX37-BW37)))</f>
        <v>46.923624288425039</v>
      </c>
      <c r="BY57" s="208">
        <f>IF(ISERROR((BY11*91.25)/(Model!BY$31+BY30-BX30+BY37-BX37)),"-",((BY11*91.25)/(Model!BY$31+BY30-BX30+BY37-BX37)))</f>
        <v>48.888122816694228</v>
      </c>
      <c r="BZ57" s="208">
        <f>IF(ISERROR((BZ11*91.25)/(Model!BZ$31+BZ30-BY30+BZ37-BY37)),"-",((BZ11*91.25)/(Model!BZ$31+BZ30-BY30+BZ37-BY37)))</f>
        <v>53.236175115207374</v>
      </c>
      <c r="CA57" s="208"/>
      <c r="CB57" s="168"/>
      <c r="CC57" s="208">
        <f>IF(ISERROR((CC11*91.25)/(Model!CC$31+CC30-CA30+CC37-CA37)),"-",((CC11*91.25)/(Model!CC$31+CC30-CA30+CC37-CA37)))</f>
        <v>51.164459161147903</v>
      </c>
      <c r="CD57" s="208">
        <f>IF(ISERROR((CD11*91.25)/(Model!CD$31+CD30-CC30+CD37-CC37)),"-",((CD11*91.25)/(Model!CD$31+CD30-CC30+CD37-CC37)))</f>
        <v>53.372191745036581</v>
      </c>
      <c r="CE57" s="208">
        <f>IF(ISERROR((CE11*91.25)/(Model!CE$31+CE30-CD30+CE37-CD37)),"-",((CE11*91.25)/(Model!CE$31+CE30-CD30+CE37-CD37)))</f>
        <v>51.190182054616393</v>
      </c>
      <c r="CF57" s="208">
        <f>IF(ISERROR((CF11*91.25)/(Model!CF$31+CF30-CE30+CF37-CE37)),"-",((CF11*91.25)/(Model!CF$31+CF30-CE30+CF37-CE37)))</f>
        <v>50.31355595309082</v>
      </c>
      <c r="CG57" s="208">
        <f>CG11*365/Metrics!CG412</f>
        <v>60.336690304511052</v>
      </c>
      <c r="CH57" s="168"/>
      <c r="CI57" s="208">
        <f>IF(ISERROR((CI11*91.25)/(Model!CI$31+CI30-CG30+CI37-CG37)),"-",((CI11*91.25)/(Model!CI$31+CI30-CG30+CI37-CG37)))</f>
        <v>39.660472299721</v>
      </c>
      <c r="CJ57" s="208">
        <f>IF(ISERROR((CJ11*91.25)/(Model!CJ$31+CJ30-CI30+CJ37-CI37)),"-",((CJ11*91.25)/(Model!CJ$31+CJ30-CI30+CJ37-CI37)))</f>
        <v>46.306568541300535</v>
      </c>
      <c r="CK57" s="208">
        <f>IF(ISERROR((CK11*91.25)/(Model!CK$31+CK30-CJ30+CK37-CJ37)),"-",((CK11*91.25)/(Model!CK$31+CK30-CJ30+CK37-CJ37)))</f>
        <v>47.867871968538338</v>
      </c>
      <c r="CL57" s="208">
        <f>IF(ISERROR((CL11*91.25)/(Model!CL$31+CL30-CK30+CL37-CK37)),"-",((CL11*91.25)/(Model!CL$31+CL30-CK30+CL37-CK37)))</f>
        <v>47.746918652423979</v>
      </c>
      <c r="CM57" s="208">
        <f>CM11*365/Metrics!CM412</f>
        <v>57.441676551996828</v>
      </c>
      <c r="CN57" s="168"/>
      <c r="CO57" s="208">
        <f>IF(ISERROR((CO11*91.25)/(Model!CO$31+CO30-CM30+CO37-CM37)),"-",((CO11*91.25)/(Model!CO$31+CO30-CM30+CO37-CM37)))</f>
        <v>43.938788201847927</v>
      </c>
      <c r="CP57" s="208">
        <f>IF(ISERROR((CP11*91.25)/(Model!CP$31+CP30-CO30+CP37-CO37)),"-",((CP11*91.25)/(Model!CP$31+CP30-CO30+CP37-CO37)))</f>
        <v>47.856701395020309</v>
      </c>
      <c r="CQ57" s="208">
        <f>IF(ISERROR((CQ11*91.25)/(Model!CQ$31+CQ30-CP30+CQ37-CP37)),"-",((CQ11*91.25)/(Model!CQ$31+CQ30-CP30+CQ37-CP37)))</f>
        <v>44.957232465310774</v>
      </c>
      <c r="CR57" s="208">
        <f>IF(ISERROR((CR11*91.25)/(Model!CR$31+CR30-CQ30+CR37-CQ37)),"-",((CR11*91.25)/(Model!CR$31+CR30-CQ30+CR37-CQ37)))</f>
        <v>52.122126644499076</v>
      </c>
      <c r="CS57" s="208">
        <f>CS11*365/Metrics!CS412</f>
        <v>61.447654352550181</v>
      </c>
      <c r="CT57" s="168"/>
      <c r="CU57" s="208">
        <f>IF(ISERROR((CU11*91.25)/(Model!CU$31+CU30-CS30+CU37-CS37)),"-",((CU11*91.25)/(Model!CU$31+CU30-CS30+CU37-CS37)))</f>
        <v>45.999916149589119</v>
      </c>
      <c r="CV57" s="208">
        <f>IF(ISERROR((CV11*91.25)/(Model!CV$31+CV30-CU30+CV37-CU37)),"-",((CV11*91.25)/(Model!CV$31+CV30-CU30+CV37-CU37)))</f>
        <v>55.508752735229749</v>
      </c>
      <c r="CW57" s="208">
        <f>IF(ISERROR((CW11*91.25)/(Model!CW$31+CW30-CV30+CW37-CV37)),"-",((CW11*91.25)/(Model!CW$31+CW30-CV30+CW37-CV37)))</f>
        <v>52.50858348047872</v>
      </c>
      <c r="CX57" s="208">
        <f>IF(ISERROR((CX11*91.25)/(Model!CX$31+CX30-CW30+CX37-CW37)),"-",((CX11*91.25)/(Model!CX$31+CX30-CW30+CX37-CW37)))</f>
        <v>62.066046160186843</v>
      </c>
      <c r="CY57" s="208">
        <f>CY11*365/Metrics!CY412</f>
        <v>74.428130148270185</v>
      </c>
      <c r="CZ57" s="168"/>
      <c r="DA57" s="208">
        <f>IF(ISERROR((DA11*91.25)/(Model!DA$31+DA30-CY30+DA37-CY37)),"-",((DA11*91.25)/(Model!DA$31+DA30-CY30+DA37-CY37)))</f>
        <v>44.412891689373303</v>
      </c>
      <c r="DB57" s="208">
        <f>IF(ISERROR((DB11*91.25)/(Model!DB$31+DB30-DA30+DB37-DA37)),"-",((DB11*91.25)/(Model!DB$31+DB30-DA30+DB37-DA37)))</f>
        <v>53.762844125630089</v>
      </c>
      <c r="DC57" s="208">
        <f>IF(ISERROR((DC11*91.25)/(Model!DC$31+DC30-DB30+DC37-DB37)),"-",((DC11*91.25)/(Model!DC$31+DC30-DB30+DC37-DB37)))</f>
        <v>53.83997865735352</v>
      </c>
      <c r="DD57" s="208">
        <f>IF(ISERROR((DD11*91.25)/(Model!DD$31+DD30-DC30+DD37-DC37)),"-",((DD11*91.25)/(Model!DD$31+DD30-DC30+DD37-DC37)))</f>
        <v>53.586451836451836</v>
      </c>
      <c r="DE57" s="208">
        <f>DE11*365/Metrics!DE412</f>
        <v>66.092781742809521</v>
      </c>
      <c r="DF57" s="168"/>
      <c r="DG57" s="208">
        <f>IF(ISERROR((DG11*91.25)/(Model!DG$31+DG30-DE30+DG37-DE37)),"-",((DG11*91.25)/(Model!DG$31+DG30-DE30+DG37-DE37)))</f>
        <v>45.012397009459875</v>
      </c>
      <c r="DH57" s="208">
        <f>IF(ISERROR((DH11*91.25)/(Model!DH$31+DH30-DG30+DH37-DG37)),"-",((DH11*91.25)/(Model!DH$31+DH30-DG30+DH37-DG37)))</f>
        <v>50.937691014669937</v>
      </c>
      <c r="DI57" s="208">
        <f>IF(ISERROR((DI11*91.25)/(Model!DI$31+DI30-DH30+DI37-DH37)),"-",((DI11*91.25)/(Model!DI$31+DI30-DH30+DI37-DH37)))</f>
        <v>53.283532794529073</v>
      </c>
      <c r="DJ57" s="208">
        <f>IF(ISERROR((DJ11*91.25)/(Model!DJ$31+DJ30-DI30+DJ37-DI37)),"-",((DJ11*91.25)/(Model!DJ$31+DJ30-DI30+DJ37-DI37)))</f>
        <v>51.348405885959529</v>
      </c>
      <c r="DK57" s="208">
        <f>DK11*365/Metrics!DK412</f>
        <v>60.497164734351863</v>
      </c>
      <c r="DL57" s="168"/>
      <c r="DM57" s="208">
        <f>IF(ISERROR((DM11*91.25)/(Model!DM$31+DM30-DK30+DM37-DK37)),"-",((DM11*91.25)/(Model!DM$31+DM30-DK30+DM37-DK37)))</f>
        <v>44.83750583113045</v>
      </c>
      <c r="DN57" s="208">
        <f>IF(ISERROR((DN11*91.25)/(Model!DN$31+DN30-DM30+DN37-DM37)),"-",((DN11*91.25)/(Model!DN$31+DN30-DM30+DN37-DM37)))</f>
        <v>51.960157491691959</v>
      </c>
      <c r="DO57" s="208">
        <f>IF(ISERROR((DO11*91.25)/(Model!DO$31+DO30-DN30+DO37-DN37)),"-",((DO11*91.25)/(Model!DO$31+DO30-DN30+DO37-DN37)))</f>
        <v>57.415552275095521</v>
      </c>
      <c r="DP57" s="208">
        <f>IF(ISERROR((DP11*91.25)/(Model!DP$31+DP30-DO30+DP37-DO37)),"-",((DP11*91.25)/(Model!DP$31+DP30-DO30+DP37-DO37)))</f>
        <v>62.438232830820766</v>
      </c>
      <c r="DQ57" s="208">
        <f>DQ11*365/Metrics!DQ412</f>
        <v>83.233549647617053</v>
      </c>
      <c r="DR57" s="168"/>
      <c r="DS57" s="208">
        <f>IF(ISERROR((DS11*91.25)/(Model!DS$31+DS30-DQ30+DS37-DQ37)),"-",((DS11*91.25)/(Model!DS$31+DS30-DQ30+DS37-DQ37)))</f>
        <v>45.306932610379576</v>
      </c>
      <c r="DT57" s="208">
        <f>IF(ISERROR((DT11*91.25)/(Model!DT$31+DT30-DS30+DT37-DS37)),"-",((DT11*91.25)/(Model!DT$31+DT30-DS30+DT37-DS37)))</f>
        <v>51.196755027422299</v>
      </c>
      <c r="DU57" s="208">
        <f>IF(ISERROR((DU11*91.25)/(Model!DU$31+DU30-DT30+DU37-DT37)),"-",((DU11*91.25)/(Model!DU$31+DU30-DT30+DU37-DT37)))</f>
        <v>47.168225228810194</v>
      </c>
      <c r="DV57" s="208">
        <f>IF(ISERROR((DV11*91.25)/(Model!DV$31+DV30-DU30+DV37-DU37)),"-",((DV11*91.25)/(Model!DV$31+DV30-DU30+DV37-DU37)))</f>
        <v>56.244719269555731</v>
      </c>
      <c r="DW57" s="208">
        <f>DW11*365/Metrics!DW412</f>
        <v>71.784285590051297</v>
      </c>
      <c r="DX57" s="27"/>
      <c r="DY57" s="208">
        <f>IF(ISERROR((DY11*91.25)/(Model!DY$31+DY30-DW30+DY37-DW37)),"-",((DY11*91.25)/(Model!DY$31+DY30-DW30+DY37-DW37)))</f>
        <v>42.316456330128197</v>
      </c>
      <c r="DZ57" s="208">
        <f>IF(ISERROR((DZ11*91.25)/(Model!DZ$31+DZ30-DY30+DZ37-DY37)),"-",((DZ11*91.25)/(Model!DZ$31+DZ30-DY30+DZ37-DY37)))</f>
        <v>50.883896703758147</v>
      </c>
      <c r="EA57" s="208">
        <f>IF(ISERROR((EA11*91.25)/(Model!EA$31+EA30-DZ30+EA37-DZ37)),"-",((EA11*91.25)/(Model!EA$31+EA30-DZ30+EA37-DZ37)))</f>
        <v>55.816275834658207</v>
      </c>
      <c r="EB57" s="208">
        <f>IF(ISERROR((EB11*91.25)/(Model!EB$31+EB30-EA30+EB37-EA37)),"-",((EB11*91.25)/(Model!EB$31+EB30-EA30+EB37-EA37)))</f>
        <v>53.672147651006725</v>
      </c>
      <c r="EC57" s="208">
        <f>EC11*365/Metrics!EC412</f>
        <v>71.926518864954815</v>
      </c>
      <c r="ED57" s="27"/>
      <c r="EE57" s="208">
        <f>IF(ISERROR((EE11*91.25)/(Model!EE$31+EE30-EC30+EE37-EC37)),"-",((EE11*91.25)/(Model!EE$31+EE30-EC30+EE37-EC37)))</f>
        <v>39.650725183164788</v>
      </c>
      <c r="EF57" s="208">
        <f>IF(ISERROR((EF11*91.25)/(Model!EF$31+EF30-EE30+EF37-EE37)),"-",((EF11*91.25)/(Model!EF$31+EF30-EE30+EF37-EE37)))</f>
        <v>40.330464942393888</v>
      </c>
      <c r="EG57" s="208">
        <f>IF(ISERROR((EG11*91.25)/(Model!EG$31+EG30-EF30+EG37-EF37)),"-",((EG11*91.25)/(Model!EG$31+EG30-EF30+EG37-EF37)))</f>
        <v>51.545438589712148</v>
      </c>
      <c r="EH57" s="208">
        <f>IF(ISERROR((EH11*91.25)/(Model!EH$31+EH30-EG30+EH37-EG37)),"-",((EH11*91.25)/(Model!EH$31+EH30-EG30+EH37-EG37)))</f>
        <v>45.369750142561394</v>
      </c>
      <c r="EI57" s="208">
        <f>EI11*365/Metrics!EI412</f>
        <v>59.888070188181054</v>
      </c>
      <c r="EJ57" s="27"/>
      <c r="EK57" s="208">
        <f>IF(ISERROR((EK11*91.25)/(Model!EK$31+EK30-EI30+EK37-EI37)),"-",((EK11*91.25)/(Model!EK$31+EK30-EI30+EK37-EI37)))</f>
        <v>38.864834822436251</v>
      </c>
      <c r="EL57" s="208">
        <f>IF(ISERROR((EL11*91.25)/(Model!EL$31+EL30-EK30+EL37-EK37)),"-",((EL11*91.25)/(Model!EL$31+EL30-EK30+EL37-EK37)))</f>
        <v>48.339832978160594</v>
      </c>
      <c r="EM57" s="208">
        <f>IF(ISERROR((EM11*91.25)/(Model!EM$31+EM30-EL30+EM37-EL37)),"-",((EM11*91.25)/(Model!EM$31+EM30-EL30+EM37-EL37)))</f>
        <v>55.507650962762156</v>
      </c>
      <c r="EN57" s="208">
        <f>IF(ISERROR((EN11*91.25)/(Model!EN$31+EN30-EM30+EN37-EM37)),"-",((EN11*91.25)/(Model!EN$31+EN30-EM30+EN37-EM37)))</f>
        <v>43.474359373003132</v>
      </c>
      <c r="EO57" s="208">
        <f>EO11*365/Metrics!EO412</f>
        <v>57.386154372364118</v>
      </c>
      <c r="EP57" s="27"/>
      <c r="EQ57" s="208">
        <f>IF(ISERROR((EQ11*91.25)/(Model!EQ$31+EQ30-EO30+EQ37-EO37)),"-",((EQ11*91.25)/(Model!EQ$31+EQ30-EO30+EQ37-EO37)))</f>
        <v>37.268214986566562</v>
      </c>
      <c r="ER57" s="208">
        <f>IF(ISERROR((ER11*91.25)/(Model!ER$31+ER30-EQ30+ER37-EQ37)),"-",((ER11*91.25)/(Model!ER$31+ER30-EQ30+ER37-EQ37)))</f>
        <v>49.249108316279099</v>
      </c>
      <c r="ES57" s="208">
        <f>IF(ISERROR((ES11*91.25)/(Model!ES$31+ES30-ER30+ES37-ER37)),"-",((ES11*91.25)/(Model!ES$31+ES30-ER30+ES37-ER37)))</f>
        <v>58.816073166270733</v>
      </c>
      <c r="ET57" s="208">
        <f>IF(ISERROR((ET11*91.25)/(Model!ET$31+ET30-ES30+ET37-ES37)),"-",((ET11*91.25)/(Model!ET$31+ET30-ES30+ET37-ES37)))</f>
        <v>51.773117340102594</v>
      </c>
      <c r="EU57" s="208">
        <f>EU11*365/Metrics!EU412</f>
        <v>68.340514888935431</v>
      </c>
      <c r="EV57" s="27"/>
      <c r="EW57" s="27"/>
      <c r="EX57" s="27"/>
      <c r="EY57" s="27"/>
      <c r="EZ57" s="27"/>
      <c r="FA57" s="27"/>
      <c r="FB57" s="27"/>
      <c r="FI57" s="1990"/>
      <c r="FJ57" s="1990"/>
    </row>
    <row r="58" spans="1:166" ht="10.5" hidden="1" customHeight="1" outlineLevel="1">
      <c r="A58" s="25" t="s">
        <v>6033</v>
      </c>
      <c r="B58" s="32"/>
      <c r="C58" s="90"/>
      <c r="D58" s="90"/>
      <c r="E58" s="90"/>
      <c r="F58" s="90"/>
      <c r="G58" s="61"/>
      <c r="H58" s="90"/>
      <c r="I58" s="90"/>
      <c r="J58" s="90"/>
      <c r="K58" s="168"/>
      <c r="L58" s="168"/>
      <c r="M58" s="168"/>
      <c r="N58" s="168"/>
      <c r="O58" s="208">
        <f>IF(ISERROR((O27*91.25)/(Model!O48+Model!O79)),"-",(O27*91.25)/(Model!O48+Model!O79))</f>
        <v>12.09039567742656</v>
      </c>
      <c r="P58" s="208">
        <f>IF(ISERROR((P27*91.25)/(Model!P48+Model!P79)),"-",(P27*91.25)/(Model!P48+Model!P79))</f>
        <v>13.75</v>
      </c>
      <c r="Q58" s="208">
        <f>IF(ISERROR((Q27*91.25)/(Model!Q48+Model!Q79)),"-",(Q27*91.25)/(Model!Q48+Model!Q79))</f>
        <v>15.2299853129027</v>
      </c>
      <c r="R58" s="208">
        <f>IF(ISERROR((R27*91.25)/(Model!R48+Model!R79)),"-",(R27*91.25)/(Model!R48+Model!R79))</f>
        <v>24.503272240561</v>
      </c>
      <c r="S58" s="208">
        <f>IF(ISERROR((S27*365)/(Model!S48+Model!S79)),"-",(S27*365)/(Model!S48+Model!S79))</f>
        <v>24.800322741502058</v>
      </c>
      <c r="T58" s="168"/>
      <c r="U58" s="208">
        <f>IF(ISERROR((U27*91.25)/(Model!U48+Model!U79)),"-",(U27*91.25)/(Model!U48+Model!U79))</f>
        <v>19.748826381903068</v>
      </c>
      <c r="V58" s="208">
        <f>IF(ISERROR((V27*91.25)/(Model!V48+Model!V79)),"-",(V27*91.25)/(Model!V48+Model!V79))</f>
        <v>20.629797824425463</v>
      </c>
      <c r="W58" s="208">
        <f>IF(ISERROR((W27*91.25)/(Model!W48+Model!W79)),"-",(W27*91.25)/(Model!W48+Model!W79))</f>
        <v>19.527059204260226</v>
      </c>
      <c r="X58" s="208">
        <f>IF(ISERROR((X27*91.25)/(Model!X48+Model!X79)),"-",(X27*91.25)/(Model!X48+Model!X79))</f>
        <v>21.761181814353989</v>
      </c>
      <c r="Y58" s="208">
        <f>IF(ISERROR((Y27*365)/(Model!Y48+Model!Y79)),"-",(Y27*365)/(Model!Y48+Model!Y79))</f>
        <v>21.150828414853279</v>
      </c>
      <c r="Z58" s="168"/>
      <c r="AA58" s="208">
        <f>IF(ISERROR((AA27*91.25)/(Model!AA48+Model!AA79)),"-",(AA27*91.25)/(Model!AA48+Model!AA79))</f>
        <v>19.018743826762861</v>
      </c>
      <c r="AB58" s="208">
        <f>IF(ISERROR((AB27*91.25)/(Model!AB48+Model!AB79)),"-",(AB27*91.25)/(Model!AB48+Model!AB79))</f>
        <v>23.628333655236492</v>
      </c>
      <c r="AC58" s="208">
        <f>IF(ISERROR((AC27*91.25)/(Model!AC48+Model!AC79)),"-",(AC27*91.25)/(Model!AC48+Model!AC79))</f>
        <v>22.432555924524415</v>
      </c>
      <c r="AD58" s="208">
        <f>IF(ISERROR((AD27*91.25)/(Model!AD48+Model!AD79)),"-",(AD27*91.25)/(Model!AD48+Model!AD79))</f>
        <v>22.001138631530793</v>
      </c>
      <c r="AE58" s="208">
        <f>IF(ISERROR((AE27*365)/(Model!AE48+Model!AE79)),"-",(AE27*365)/(Model!AE48+Model!AE79))</f>
        <v>22.705304047262377</v>
      </c>
      <c r="AF58" s="168"/>
      <c r="AG58" s="208">
        <f>IF(ISERROR((AG27*91.25)/(Model!AG48+Model!AG79)),"-",(AG27*91.25)/(Model!AG48+Model!AG79))</f>
        <v>23.3756721221398</v>
      </c>
      <c r="AH58" s="208">
        <f>IF(ISERROR((AH27*91.25)/(Model!AH48+Model!AH79)),"-",(AH27*91.25)/(Model!AH48+Model!AH79))</f>
        <v>25.121260607844729</v>
      </c>
      <c r="AI58" s="208">
        <f>IF(ISERROR((AI27*91.25)/(Model!AI48+Model!AI79)),"-",(AI27*91.25)/(Model!AI48+Model!AI79))</f>
        <v>23.277140030465301</v>
      </c>
      <c r="AJ58" s="208">
        <f>IF(ISERROR((AJ27*91.25)/(Model!AJ48+Model!AJ79)),"-",(AJ27*91.25)/(Model!AJ48+Model!AJ79))</f>
        <v>24.182547525518622</v>
      </c>
      <c r="AK58" s="208">
        <f>IF(ISERROR((AK27*365)/(Model!AK48+Model!AK79)),"-",(AK27*365)/(Model!AK48+Model!AK79))</f>
        <v>24.6931052965334</v>
      </c>
      <c r="AL58" s="168"/>
      <c r="AM58" s="208">
        <f>IF(ISERROR((AM27*91.25)/(Model!AM48+Model!AM79)),"-",(AM27*91.25)/(Model!AM48+Model!AM79))</f>
        <v>20.957328760824215</v>
      </c>
      <c r="AN58" s="208">
        <f>IF(ISERROR((AN27*91.25)/(Model!AN48+Model!AN79)),"-",(AN27*91.25)/(Model!AN48+Model!AN79))</f>
        <v>21.316475138513635</v>
      </c>
      <c r="AO58" s="208">
        <f>IF(ISERROR((AO27*91.25)/(Model!AO48+Model!AO79)),"-",(AO27*91.25)/(Model!AO48+Model!AO79))</f>
        <v>22.954409036341808</v>
      </c>
      <c r="AP58" s="208">
        <f>IF(ISERROR((AP27*91.25)/(Model!AP48+Model!AP79)),"-",(AP27*91.25)/(Model!AP48+Model!AP79))</f>
        <v>22.022092252067218</v>
      </c>
      <c r="AQ58" s="208">
        <f>IF(ISERROR((AQ27*365)/(Model!AQ48+Model!AQ79)),"-",(AQ27*365)/(Model!AQ48+Model!AQ79))</f>
        <v>21.275823670449146</v>
      </c>
      <c r="AR58" s="168"/>
      <c r="AS58" s="208">
        <f>IF(ISERROR((AS27*91.25)/(Model!AS48+Model!AS79)),"-",(AS27*91.25)/(Model!AS48+Model!AS79))</f>
        <v>19.65084811348018</v>
      </c>
      <c r="AT58" s="208">
        <f>IF(ISERROR((AT27*91.25)/(Model!AT48+Model!AT79)),"-",(AT27*91.25)/(Model!AT48+Model!AT79))</f>
        <v>21.796016969721485</v>
      </c>
      <c r="AU58" s="208">
        <f>IF(ISERROR((AU27*91.25)/(Model!AU48+Model!AU79)),"-",(AU27*91.25)/(Model!AU48+Model!AU79))</f>
        <v>22.518040811569431</v>
      </c>
      <c r="AV58" s="208">
        <f>IF(ISERROR((AV27*91.25)/(Model!AV48+Model!AV79)),"-",(AV27*91.25)/(Model!AV48+Model!AV79))</f>
        <v>20.364597999812272</v>
      </c>
      <c r="AW58" s="208">
        <f>IF(ISERROR((AW27*365)/(Model!AW48+Model!AW79)),"-",(AW27*365)/(Model!AW48+Model!AW79))</f>
        <v>22.668645952437775</v>
      </c>
      <c r="AX58" s="168"/>
      <c r="AY58" s="208">
        <f>IF(ISERROR((AY27*91.25)/(Model!AY48+Model!AY79)),"-",(AY27*91.25)/(Model!AY48+Model!AY79))</f>
        <v>18.002751905165113</v>
      </c>
      <c r="AZ58" s="208">
        <f>IF(ISERROR((AZ27*91.25)/(Model!AZ48+Model!AZ79)),"-",(AZ27*91.25)/(Model!AZ48+Model!AZ79))</f>
        <v>17.895318021201412</v>
      </c>
      <c r="BA58" s="208">
        <f>IF(ISERROR((BA27*91.25)/(Model!BA48+Model!BA79)),"-",(BA27*91.25)/(Model!BA48+Model!BA79))</f>
        <v>19.052609946568023</v>
      </c>
      <c r="BB58" s="208">
        <f>IF(ISERROR((BB27*91.25)/(Model!BB48+Model!BB79)),"-",(BB27*91.25)/(Model!BB48+Model!BB79))</f>
        <v>15.899361622230566</v>
      </c>
      <c r="BC58" s="208">
        <f>IF(ISERROR((BC27*365)/(Model!BC48+Model!BC79)),"-",(BC27*365)/(Model!BC48+Model!BC79))</f>
        <v>17.420283892203251</v>
      </c>
      <c r="BD58" s="168"/>
      <c r="BE58" s="208">
        <f>IF(ISERROR((BE27*91.25)/(Model!BE48+Model!BE79)),"-",(BE27*91.25)/(Model!BE48+Model!BE79))</f>
        <v>21.113421550094518</v>
      </c>
      <c r="BF58" s="208">
        <f>IF(ISERROR((BF27*91.25)/(Model!BF48+Model!BF79)),"-",(BF27*91.25)/(Model!BF48+Model!BF79))</f>
        <v>20.138595564941919</v>
      </c>
      <c r="BG58" s="208">
        <f>IF(ISERROR((BG27*91.25)/(Model!BG48+Model!BG79)),"-",(BG27*91.25)/(Model!BG48+Model!BG79))</f>
        <v>19.964936886395513</v>
      </c>
      <c r="BH58" s="208">
        <f>IF(ISERROR((BH27*91.25)/(Model!BH48+Model!BH79)),"-",(BH27*91.25)/(Model!BH48+Model!BH79))</f>
        <v>16.54823151125402</v>
      </c>
      <c r="BI58" s="208">
        <f>IF(ISERROR((BI27*365)/(Model!BI48+Model!BI79)),"-",(BI27*365)/(Model!BI48+Model!BI79))</f>
        <v>17.982180293501049</v>
      </c>
      <c r="BJ58" s="168"/>
      <c r="BK58" s="208">
        <f>IF(ISERROR((BK27*91.25)/(Model!BK48+Model!BK79)),"-",(BK27*91.25)/(Model!BK48+Model!BK79))</f>
        <v>16.277727397472763</v>
      </c>
      <c r="BL58" s="208">
        <f>IF(ISERROR((BL27*91.25)/(Model!BL48+Model!BL79)),"-",(BL27*91.25)/(Model!BL48+Model!BL79))</f>
        <v>13.020149253731343</v>
      </c>
      <c r="BM58" s="208">
        <f>IF(ISERROR((BM27*91.25)/(Model!BM48+Model!BM79)),"-",(BM27*91.25)/(Model!BM48+Model!BM79))</f>
        <v>18.463541666666668</v>
      </c>
      <c r="BN58" s="208">
        <f>IF(ISERROR((BN27*91.25)/(Model!BN48+Model!BN79)),"-",(BN27*91.25)/(Model!BN48+Model!BN79))</f>
        <v>15.639926945771284</v>
      </c>
      <c r="BO58" s="208">
        <f>IF(ISERROR((BO27*365)/(Model!BO48+Model!BO79)),"-",(BO27*365)/(Model!BO48+Model!BO79))</f>
        <v>16.174752711168971</v>
      </c>
      <c r="BP58" s="168"/>
      <c r="BQ58" s="208">
        <f>IF(ISERROR((BQ27*91.25)/(Model!BQ48+Model!BQ79)),"-",(BQ27*91.25)/(Model!BQ48+Model!BQ79))</f>
        <v>18.618490967056324</v>
      </c>
      <c r="BR58" s="208">
        <f>IF(ISERROR((BR27*91.25)/(Model!BR48+Model!BR79)),"-",(BR27*91.25)/(Model!BR48+Model!BR79))</f>
        <v>18.264213395638624</v>
      </c>
      <c r="BS58" s="208">
        <f>IF(ISERROR((BS27*91.25)/(Model!BS48+Model!BS79)),"-",(BS27*91.25)/(Model!BS48+Model!BS79))</f>
        <v>18.174664602683176</v>
      </c>
      <c r="BT58" s="208">
        <f>IF(ISERROR((BT27*91.25)/(Model!BT48+Model!BT79)),"-",(BT27*91.25)/(Model!BT48+Model!BT79))</f>
        <v>16.50199543899658</v>
      </c>
      <c r="BU58" s="208">
        <f>IF(ISERROR((BU27*365)/(Model!BU48+Model!BU79)),"-",(BU27*365)/(Model!BU48+Model!BU79))</f>
        <v>18.230459154752158</v>
      </c>
      <c r="BV58" s="168"/>
      <c r="BW58" s="208">
        <f>IF(ISERROR((BW27*91.25)/(Model!BW48+Model!BW79)),"-",(BW27*91.25)/(Model!BW48+Model!BW79))</f>
        <v>15.038293828264759</v>
      </c>
      <c r="BX58" s="208">
        <f>IF(ISERROR((BX27*91.25)/(Model!BX48+Model!BX79)),"-",(BX27*91.25)/(Model!BX48+Model!BX79))</f>
        <v>15.872216035634741</v>
      </c>
      <c r="BY58" s="208">
        <f>IF(ISERROR((BY27*91.25)/(Model!BY48+Model!BY79)),"-",(BY27*91.25)/(Model!BY48+Model!BY79))</f>
        <v>16.12040911204091</v>
      </c>
      <c r="BZ58" s="208">
        <f>IF(ISERROR((BZ27*91.25)/(Model!BZ48+Model!BZ79)),"-",(BZ27*91.25)/(Model!BZ48+Model!BZ79))</f>
        <v>13.817034700315457</v>
      </c>
      <c r="CA58" s="208">
        <f>IF(ISERROR((CA27*365)/(Model!CA48+Model!CA79)),"-",(CA27*365)/(Model!CA48+Model!CA79))</f>
        <v>13.100949094046593</v>
      </c>
      <c r="CB58" s="168"/>
      <c r="CC58" s="208">
        <f>IF(ISERROR((CC27*91.25)/(Model!CC48+Model!CC79)),"-",(CC27*91.25)/(Model!CC48+Model!CC79))</f>
        <v>16.030405405405407</v>
      </c>
      <c r="CD58" s="208">
        <f>IF(ISERROR((CD27*91.25)/(Model!CD48+Model!CD79)),"-",(CD27*91.25)/(Model!CD48+Model!CD79))</f>
        <v>14.79941361556064</v>
      </c>
      <c r="CE58" s="208">
        <f>IF(ISERROR((CE27*91.25)/(Model!CE48+Model!CE79)),"-",(CE27*91.25)/(Model!CE48+Model!CE79))</f>
        <v>16.088745224801645</v>
      </c>
      <c r="CF58" s="208">
        <f>IF(ISERROR((CF27*91.25)/(Model!CF48+Model!CF79)),"-",(CF27*91.25)/(Model!CF48+Model!CF79))</f>
        <v>16.853037319531463</v>
      </c>
      <c r="CG58" s="208">
        <f>IF(ISERROR((CG27*365)/(Model!CG48+Model!CG79)),"-",(CG27*365)/(Model!CG48+Model!CG79))</f>
        <v>17.341976173791171</v>
      </c>
      <c r="CH58" s="168"/>
      <c r="CI58" s="208">
        <f>IF(ISERROR((CI27*91.25)/(Model!CI48+Model!CI79)),"-",(CI27*91.25)/(Model!CI48+Model!CI79))</f>
        <v>21.793923381770146</v>
      </c>
      <c r="CJ58" s="208">
        <f>IF(ISERROR((CJ27*91.25)/(Model!CJ48+Model!CJ79)),"-",(CJ27*91.25)/(Model!CJ48+Model!CJ79))</f>
        <v>20.220897615708274</v>
      </c>
      <c r="CK58" s="208">
        <f>IF(ISERROR((CK27*91.25)/(Model!CK48+Model!CK79)),"-",(CK27*91.25)/(Model!CK48+Model!CK79))</f>
        <v>20.873073857598296</v>
      </c>
      <c r="CL58" s="208">
        <f>IF(ISERROR((CL27*91.25)/(Model!CL48+Model!CL79)),"-",(CL27*91.25)/(Model!CL48+Model!CL79))</f>
        <v>16.622390891840606</v>
      </c>
      <c r="CM58" s="208">
        <f>IF(ISERROR((CM27*365)/(Model!CM48+Model!CM79)),"-",(CM27*365)/(Model!CM48+Model!CM79))</f>
        <v>18.285714285714285</v>
      </c>
      <c r="CN58" s="168"/>
      <c r="CO58" s="208">
        <f>IF(ISERROR((CO27*91.25)/(Model!CO48+Model!CO79)),"-",(CO27*91.25)/(Model!CO48+Model!CO79))</f>
        <v>22.678702346041057</v>
      </c>
      <c r="CP58" s="208">
        <f>IF(ISERROR((CP27*91.25)/(Model!CP48+Model!CP79)),"-",(CP27*91.25)/(Model!CP48+Model!CP79))</f>
        <v>20.108588957055215</v>
      </c>
      <c r="CQ58" s="208">
        <f>IF(ISERROR((CQ27*91.25)/(Model!CQ48+Model!CQ79)),"-",(CQ27*91.25)/(Model!CQ48+Model!CQ79))</f>
        <v>18.073458282950426</v>
      </c>
      <c r="CR58" s="208">
        <f>IF(ISERROR((CR27*91.25)/(Model!CR48+Model!CR79)),"-",(CR27*91.25)/(Model!CR48+Model!CR79))</f>
        <v>18.027931415929203</v>
      </c>
      <c r="CS58" s="208">
        <f>IF(ISERROR((CS27*365)/(Model!CS48+Model!CS79)),"-",(CS27*365)/(Model!CS48+Model!CS79))</f>
        <v>19.376114611817858</v>
      </c>
      <c r="CT58" s="168"/>
      <c r="CU58" s="208">
        <f>IF(ISERROR((CU27*91.25)/(Model!CU48+Model!CU79)),"-",(CU27*91.25)/(Model!CU48+Model!CU79))</f>
        <v>18.287026600541033</v>
      </c>
      <c r="CV58" s="208">
        <f>IF(ISERROR((CV27*91.25)/(Model!CV48+Model!CV79)),"-",(CV27*91.25)/(Model!CV48+Model!CV79))</f>
        <v>17.807497645951038</v>
      </c>
      <c r="CW58" s="208">
        <f>IF(ISERROR((CW27*91.25)/(Model!CW48+Model!CW79)),"-",(CW27*91.25)/(Model!CW48+Model!CW79))</f>
        <v>17.185794044665016</v>
      </c>
      <c r="CX58" s="208">
        <f>IF(ISERROR((CX27*91.25)/(Model!CX48+Model!CX79)),"-",(CX27*91.25)/(Model!CX48+Model!CX79))</f>
        <v>18.908380994280684</v>
      </c>
      <c r="CY58" s="208">
        <f>IF(ISERROR((CY27*365)/(Model!CY48+Model!CY79)),"-",(CY27*365)/(Model!CY48+Model!CY79))</f>
        <v>19.920625724217842</v>
      </c>
      <c r="CZ58" s="168"/>
      <c r="DA58" s="208">
        <f>IF(ISERROR((DA27*91.25)/(Model!DA48+Model!DA79)),"-",(DA27*91.25)/(Model!DA48+Model!DA79))</f>
        <v>18.123702422145328</v>
      </c>
      <c r="DB58" s="208">
        <f>IF(ISERROR((DB27*91.25)/(Model!DB48+Model!DB79)),"-",(DB27*91.25)/(Model!DB48+Model!DB79))</f>
        <v>15.970359915314047</v>
      </c>
      <c r="DC58" s="208">
        <f>IF(ISERROR((DC27*91.25)/(Model!DC48+Model!DC79)),"-",(DC27*91.25)/(Model!DC48+Model!DC79))</f>
        <v>15.872314622314621</v>
      </c>
      <c r="DD58" s="208">
        <f>IF(ISERROR((DD27*91.25)/(Model!DD48+Model!DD79)),"-",(DD27*91.25)/(Model!DD48+Model!DD79))</f>
        <v>16.339531680440768</v>
      </c>
      <c r="DE58" s="208">
        <f>IF(ISERROR((DE27*365)/(Model!DE48+Model!DE79)),"-",(DE27*365)/(Model!DE48+Model!DE79))</f>
        <v>17.490359532720881</v>
      </c>
      <c r="DF58" s="168"/>
      <c r="DG58" s="208">
        <f>IF(ISERROR((DG27*91.25)/(Model!DG48+Model!DG79)),"-",(DG27*91.25)/(Model!DG48+Model!DG79))</f>
        <v>16.798929663608561</v>
      </c>
      <c r="DH58" s="208">
        <f>IF(ISERROR((DH27*91.25)/(Model!DH48+Model!DH79)),"-",(DH27*91.25)/(Model!DH48+Model!DH79))</f>
        <v>16.152298850574713</v>
      </c>
      <c r="DI58" s="208">
        <f>IF(ISERROR((DI27*91.25)/(Model!DI48+Model!DI79)),"-",(DI27*91.25)/(Model!DI48+Model!DI79))</f>
        <v>16.817695741119586</v>
      </c>
      <c r="DJ58" s="208">
        <f>IF(ISERROR((DJ27*91.25)/(Model!DJ48+Model!DJ79)),"-",(DJ27*91.25)/(Model!DJ48+Model!DJ79))</f>
        <v>15.82233436853002</v>
      </c>
      <c r="DK58" s="208">
        <f>IF(ISERROR((DK27*365)/(Model!DK48+Model!DK79)),"-",(DK27*365)/(Model!DK48+Model!DK79))</f>
        <v>17.223448211099633</v>
      </c>
      <c r="DL58" s="168"/>
      <c r="DM58" s="208">
        <f>IF(ISERROR((DM27*91.25)/(Model!DM48+Model!DM79)),"-",(DM27*91.25)/(Model!DM48+Model!DM79))</f>
        <v>15.379027878349023</v>
      </c>
      <c r="DN58" s="208">
        <f>IF(ISERROR((DN27*91.25)/(Model!DN48+Model!DN79)),"-",(DN27*91.25)/(Model!DN48+Model!DN79))</f>
        <v>15.222303876538675</v>
      </c>
      <c r="DO58" s="208">
        <f>IF(ISERROR((DO27*91.25)/(Model!DO48+Model!DO79)),"-",(DO27*91.25)/(Model!DO48+Model!DO79))</f>
        <v>17.522948411969889</v>
      </c>
      <c r="DP58" s="208">
        <f>IF(ISERROR((DP27*91.25)/(Model!DP48+Model!DP79)),"-",(DP27*91.25)/(Model!DP48+Model!DP79))</f>
        <v>18.798754295532646</v>
      </c>
      <c r="DQ58" s="208">
        <f>IF(ISERROR((DQ27*365)/(Model!DQ48+Model!DQ79)),"-",(DQ27*365)/(Model!DQ48+Model!DQ79))</f>
        <v>19.683142934244849</v>
      </c>
      <c r="DR58" s="168"/>
      <c r="DS58" s="208">
        <f>IF(ISERROR((DS27*91.25)/(Model!DS48+Model!DS79)),"-",(DS27*91.25)/(Model!DS48+Model!DS79))</f>
        <v>18.151790684728152</v>
      </c>
      <c r="DT58" s="208">
        <f>IF(ISERROR((DT27*91.25)/(Model!DT48+Model!DT79)),"-",(DT27*91.25)/(Model!DT48+Model!DT79))</f>
        <v>19.178496570121954</v>
      </c>
      <c r="DU58" s="208">
        <f>IF(ISERROR((DU27*91.25)/(Model!DU48+Model!DU79)),"-",(DU27*91.25)/(Model!DU48+Model!DU79))</f>
        <v>17.615962441314554</v>
      </c>
      <c r="DV58" s="208">
        <f>IF(ISERROR((DV27*91.25)/(Model!DV48+Model!DV79)),"-",(DV27*91.25)/(Model!DV48+Model!DV79))</f>
        <v>15.22733357130109</v>
      </c>
      <c r="DW58" s="208">
        <f>IF(ISERROR((DW27*365)/(Model!DW48+Model!DW79)),"-",(DW27*365)/(Model!DW48+Model!DW79))</f>
        <v>15.825411546487365</v>
      </c>
      <c r="DX58" s="27"/>
      <c r="DY58" s="208">
        <f>IF(ISERROR((DY27*91.25)/(Model!DY48+Model!DY79)),"-",(DY27*91.25)/(Model!DY48+Model!DY79))</f>
        <v>16.227627570449354</v>
      </c>
      <c r="DZ58" s="208">
        <f>IF(ISERROR((DZ27*91.25)/(Model!DZ48+Model!DZ79)),"-",(DZ27*91.25)/(Model!DZ48+Model!DZ79))</f>
        <v>15.993686392762909</v>
      </c>
      <c r="EA58" s="208">
        <f>IF(ISERROR((EA27*91.25)/(Model!EA48+Model!EA79)),"-",(EA27*91.25)/(Model!EA48+Model!EA79))</f>
        <v>15.72229916897507</v>
      </c>
      <c r="EB58" s="208">
        <f>IF(ISERROR((EB27*91.25)/(Model!EB48+Model!EB79)),"-",(EB27*91.25)/(Model!EB48+Model!EB79))</f>
        <v>15.12580955715036</v>
      </c>
      <c r="EC58" s="208">
        <f>IF(ISERROR((EC27*365)/(Model!EC48+Model!EC79)),"-",(EC27*365)/(Model!EC48+Model!EC79))</f>
        <v>15.939085124043162</v>
      </c>
      <c r="ED58" s="27"/>
      <c r="EE58" s="485">
        <v>17</v>
      </c>
      <c r="EF58" s="485">
        <v>17</v>
      </c>
      <c r="EG58" s="485">
        <v>17</v>
      </c>
      <c r="EH58" s="485">
        <v>16</v>
      </c>
      <c r="EI58" s="208">
        <f>IF(ISERROR((EI27*365)/(Model!EI48+Model!EI79)),"-",(EI27*365)/(Model!EI48+Model!EI79))</f>
        <v>17.387334546561409</v>
      </c>
      <c r="EJ58" s="27"/>
      <c r="EK58" s="485">
        <f>EE58-4</f>
        <v>13</v>
      </c>
      <c r="EL58" s="485">
        <f>EF58-4</f>
        <v>13</v>
      </c>
      <c r="EM58" s="485">
        <f>EG58-2</f>
        <v>15</v>
      </c>
      <c r="EN58" s="485">
        <f>EH58-3.2</f>
        <v>12.8</v>
      </c>
      <c r="EO58" s="208">
        <f>IF(ISERROR((EO27*365)/(Model!EO48+Model!EO79)),"-",(EO27*365)/(Model!EO48+Model!EO79))</f>
        <v>14.075059698862555</v>
      </c>
      <c r="EP58" s="27"/>
      <c r="EQ58" s="485">
        <f>EK58-1</f>
        <v>12</v>
      </c>
      <c r="ER58" s="485">
        <f t="shared" ref="ER58:ES58" si="112">EL58-1</f>
        <v>12</v>
      </c>
      <c r="ES58" s="485">
        <f t="shared" si="112"/>
        <v>14</v>
      </c>
      <c r="ET58" s="485">
        <f>EN58-5.4</f>
        <v>7.4</v>
      </c>
      <c r="EU58" s="208">
        <f>IF(ISERROR((EU27*365)/(Model!EU48+Model!EU79)),"-",(EU27*365)/(Model!EU48+Model!EU79))</f>
        <v>8.0274128631915058</v>
      </c>
      <c r="EV58" s="27"/>
      <c r="EW58" s="27"/>
      <c r="EX58" s="27"/>
      <c r="EY58" s="27"/>
      <c r="EZ58" s="27"/>
      <c r="FA58" s="27"/>
      <c r="FB58" s="27"/>
      <c r="FI58" s="1990"/>
      <c r="FJ58" s="1990"/>
    </row>
    <row r="59" spans="1:166" ht="5.25" hidden="1" customHeight="1" outlineLevel="1">
      <c r="A59" s="22"/>
      <c r="B59" s="32"/>
      <c r="C59" s="90"/>
      <c r="D59" s="90"/>
      <c r="E59" s="90"/>
      <c r="F59" s="90"/>
      <c r="G59" s="61"/>
      <c r="H59" s="90"/>
      <c r="I59" s="90"/>
      <c r="J59" s="90"/>
      <c r="K59" s="24"/>
      <c r="L59" s="24"/>
      <c r="M59" s="24"/>
      <c r="N59" s="24"/>
      <c r="O59" s="23"/>
      <c r="P59" s="24"/>
      <c r="Q59" s="24"/>
      <c r="R59" s="24"/>
      <c r="S59" s="24"/>
      <c r="T59" s="24"/>
      <c r="U59" s="23"/>
      <c r="V59" s="24"/>
      <c r="W59" s="24"/>
      <c r="X59" s="24"/>
      <c r="Y59" s="24"/>
      <c r="Z59" s="24"/>
      <c r="AA59" s="23"/>
      <c r="AB59" s="24"/>
      <c r="AC59" s="24"/>
      <c r="AD59" s="24"/>
      <c r="AE59" s="24"/>
      <c r="AF59" s="24"/>
      <c r="AG59" s="23"/>
      <c r="AH59" s="24"/>
      <c r="AI59" s="24"/>
      <c r="AJ59" s="24"/>
      <c r="AK59" s="24"/>
      <c r="AL59" s="24"/>
      <c r="AM59" s="24"/>
      <c r="AN59" s="24"/>
      <c r="AO59" s="24"/>
      <c r="AP59" s="24"/>
      <c r="AQ59" s="164"/>
      <c r="AR59" s="24"/>
      <c r="AS59" s="24"/>
      <c r="AT59" s="24"/>
      <c r="AU59" s="24"/>
      <c r="AV59" s="24"/>
      <c r="AW59" s="164"/>
      <c r="AX59" s="77"/>
      <c r="AY59" s="24"/>
      <c r="AZ59" s="24"/>
      <c r="BA59" s="24"/>
      <c r="BB59" s="24"/>
      <c r="BC59" s="16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  <c r="DE59" s="24"/>
      <c r="DF59" s="24"/>
      <c r="DG59" s="24"/>
      <c r="DH59" s="24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147"/>
      <c r="DY59" s="24"/>
      <c r="DZ59" s="24"/>
      <c r="EA59" s="24"/>
      <c r="EB59" s="24"/>
      <c r="EC59" s="24"/>
      <c r="ED59" s="147"/>
      <c r="EE59" s="24"/>
      <c r="EF59" s="24"/>
      <c r="EG59" s="24"/>
      <c r="EH59" s="24"/>
      <c r="EI59" s="24"/>
      <c r="EJ59" s="147"/>
      <c r="EK59" s="24"/>
      <c r="EL59" s="24"/>
      <c r="EM59" s="24"/>
      <c r="EN59" s="24"/>
      <c r="EO59" s="24"/>
      <c r="EP59" s="147"/>
      <c r="EQ59" s="24"/>
      <c r="ER59" s="24"/>
      <c r="ES59" s="24"/>
      <c r="ET59" s="24"/>
      <c r="EU59" s="24"/>
      <c r="EV59" s="24"/>
      <c r="EW59" s="24"/>
      <c r="EX59" s="24"/>
      <c r="EY59" s="24"/>
      <c r="EZ59" s="24"/>
      <c r="FA59" s="24"/>
      <c r="FB59" s="24"/>
      <c r="FI59" s="1990"/>
      <c r="FJ59" s="1990"/>
    </row>
    <row r="60" spans="1:166" ht="9.75" hidden="1" customHeight="1" outlineLevel="1">
      <c r="A60" s="789" t="s">
        <v>2763</v>
      </c>
      <c r="B60" s="790"/>
      <c r="C60" s="790"/>
      <c r="D60" s="790"/>
      <c r="E60" s="790"/>
      <c r="F60" s="790"/>
      <c r="G60" s="790"/>
      <c r="H60" s="790"/>
      <c r="I60" s="790"/>
      <c r="J60" s="790"/>
      <c r="K60" s="506"/>
      <c r="L60" s="506"/>
      <c r="M60" s="506"/>
      <c r="N60" s="506"/>
      <c r="O60" s="506"/>
      <c r="P60" s="506"/>
      <c r="Q60" s="506"/>
      <c r="R60" s="506"/>
      <c r="S60" s="506"/>
      <c r="T60" s="506"/>
      <c r="U60" s="506"/>
      <c r="V60" s="506"/>
      <c r="W60" s="506"/>
      <c r="X60" s="506"/>
      <c r="Y60" s="506"/>
      <c r="Z60" s="506"/>
      <c r="AA60" s="506"/>
      <c r="AB60" s="506"/>
      <c r="AC60" s="506"/>
      <c r="AD60" s="506"/>
      <c r="AE60" s="506"/>
      <c r="AF60" s="506"/>
      <c r="AG60" s="506"/>
      <c r="AH60" s="506"/>
      <c r="AI60" s="506"/>
      <c r="AJ60" s="506"/>
      <c r="AK60" s="506"/>
      <c r="AL60" s="506"/>
      <c r="AM60" s="506"/>
      <c r="AN60" s="506"/>
      <c r="AO60" s="506"/>
      <c r="AP60" s="506"/>
      <c r="AQ60" s="506"/>
      <c r="AR60" s="506"/>
      <c r="AS60" s="506"/>
      <c r="AT60" s="506"/>
      <c r="AU60" s="506"/>
      <c r="AV60" s="506">
        <v>19</v>
      </c>
      <c r="AW60" s="506"/>
      <c r="AX60" s="506"/>
      <c r="AY60" s="506">
        <v>20.6</v>
      </c>
      <c r="AZ60" s="506">
        <v>19.3</v>
      </c>
      <c r="BA60" s="506">
        <v>17.600000000000001</v>
      </c>
      <c r="BB60" s="506">
        <v>15.3</v>
      </c>
      <c r="BC60" s="506"/>
      <c r="BD60" s="506"/>
      <c r="BE60" s="506">
        <v>12.4</v>
      </c>
      <c r="BF60" s="506">
        <v>15.8</v>
      </c>
      <c r="BG60" s="506">
        <v>12.1</v>
      </c>
      <c r="BH60" s="506">
        <v>14.2</v>
      </c>
      <c r="BI60" s="506"/>
      <c r="BJ60" s="506"/>
      <c r="BK60" s="506">
        <v>14.2</v>
      </c>
      <c r="BL60" s="506"/>
      <c r="BM60" s="506"/>
      <c r="BN60" s="506"/>
      <c r="BO60" s="506"/>
      <c r="BP60" s="506"/>
      <c r="BQ60" s="506"/>
      <c r="BR60" s="506"/>
      <c r="BS60" s="506"/>
      <c r="BT60" s="506"/>
      <c r="BU60" s="506"/>
      <c r="BV60" s="506"/>
      <c r="BW60" s="506"/>
      <c r="BX60" s="506"/>
      <c r="BY60" s="506"/>
      <c r="BZ60" s="506"/>
      <c r="CA60" s="506"/>
      <c r="CB60" s="506"/>
      <c r="CC60" s="506"/>
      <c r="CD60" s="506"/>
      <c r="CE60" s="506"/>
      <c r="CF60" s="506"/>
      <c r="CG60" s="506"/>
      <c r="CH60" s="506"/>
      <c r="CI60" s="506"/>
      <c r="CJ60" s="506"/>
      <c r="CK60" s="506"/>
      <c r="CL60" s="506"/>
      <c r="CM60" s="506"/>
      <c r="CN60" s="506"/>
      <c r="CO60" s="506"/>
      <c r="CP60" s="506"/>
      <c r="CQ60" s="506"/>
      <c r="CR60" s="506"/>
      <c r="CS60" s="506"/>
      <c r="CT60" s="506"/>
      <c r="CU60" s="506"/>
      <c r="CV60" s="506"/>
      <c r="CW60" s="506"/>
      <c r="CX60" s="506"/>
      <c r="CY60" s="506"/>
      <c r="CZ60" s="506"/>
      <c r="DA60" s="506"/>
      <c r="DB60" s="506"/>
      <c r="DC60" s="506"/>
      <c r="DD60" s="506"/>
      <c r="DE60" s="506"/>
      <c r="DF60" s="506"/>
      <c r="DG60" s="506"/>
      <c r="DH60" s="506"/>
      <c r="DI60" s="506"/>
      <c r="DJ60" s="506"/>
      <c r="DK60" s="506"/>
      <c r="DL60" s="506"/>
      <c r="DM60" s="506"/>
      <c r="DN60" s="506"/>
      <c r="DO60" s="506"/>
      <c r="DP60" s="506"/>
      <c r="DQ60" s="506"/>
      <c r="DR60" s="506"/>
      <c r="DS60" s="506"/>
      <c r="DT60" s="506"/>
      <c r="DU60" s="506"/>
      <c r="DV60" s="506"/>
      <c r="DW60" s="506"/>
      <c r="DX60" s="788"/>
      <c r="DY60" s="506"/>
      <c r="DZ60" s="506"/>
      <c r="EA60" s="506"/>
      <c r="EB60" s="506"/>
      <c r="EC60" s="506"/>
      <c r="ED60" s="788"/>
      <c r="EE60" s="506"/>
      <c r="EF60" s="506"/>
      <c r="EG60" s="506"/>
      <c r="EH60" s="506"/>
      <c r="EI60" s="506"/>
      <c r="EJ60" s="788"/>
      <c r="EK60" s="506"/>
      <c r="EL60" s="506"/>
      <c r="EM60" s="506"/>
      <c r="EN60" s="506"/>
      <c r="EO60" s="506"/>
      <c r="EP60" s="788"/>
      <c r="EQ60" s="506"/>
      <c r="ER60" s="506"/>
      <c r="ES60" s="506"/>
      <c r="ET60" s="506"/>
      <c r="EU60" s="506"/>
      <c r="EV60" s="788"/>
      <c r="EW60" s="788"/>
      <c r="EX60" s="788"/>
      <c r="EY60" s="788"/>
      <c r="EZ60" s="788"/>
      <c r="FA60" s="788"/>
      <c r="FB60" s="788"/>
    </row>
    <row r="61" spans="1:166" ht="9.75" hidden="1" customHeight="1" outlineLevel="1">
      <c r="A61" s="357" t="s">
        <v>2744</v>
      </c>
      <c r="B61" s="106"/>
      <c r="C61" s="106"/>
      <c r="D61" s="106"/>
      <c r="E61" s="106"/>
      <c r="F61" s="106"/>
      <c r="G61" s="106"/>
      <c r="H61" s="106"/>
      <c r="I61" s="106"/>
      <c r="J61" s="106"/>
      <c r="K61" s="785"/>
      <c r="L61" s="785"/>
      <c r="M61" s="785"/>
      <c r="N61" s="785"/>
      <c r="O61" s="785"/>
      <c r="P61" s="785"/>
      <c r="Q61" s="785"/>
      <c r="R61" s="785"/>
      <c r="S61" s="785"/>
      <c r="T61" s="785"/>
      <c r="U61" s="785"/>
      <c r="V61" s="785"/>
      <c r="W61" s="785"/>
      <c r="X61" s="785"/>
      <c r="Y61" s="785"/>
      <c r="Z61" s="785"/>
      <c r="AA61" s="785"/>
      <c r="AB61" s="785"/>
      <c r="AC61" s="785"/>
      <c r="AD61" s="785"/>
      <c r="AE61" s="785"/>
      <c r="AF61" s="785"/>
      <c r="AG61" s="785"/>
      <c r="AH61" s="785"/>
      <c r="AI61" s="785"/>
      <c r="AJ61" s="785"/>
      <c r="AK61" s="785"/>
      <c r="AL61" s="785"/>
      <c r="AM61" s="785"/>
      <c r="AN61" s="785"/>
      <c r="AO61" s="785"/>
      <c r="AP61" s="785"/>
      <c r="AQ61" s="785"/>
      <c r="AR61" s="785"/>
      <c r="AS61" s="785"/>
      <c r="AT61" s="785"/>
      <c r="AU61" s="785"/>
      <c r="AV61" s="792">
        <v>5.3999999999999999E-2</v>
      </c>
      <c r="AW61" s="785"/>
      <c r="AX61" s="785"/>
      <c r="AY61" s="792">
        <v>4.8000000000000001E-2</v>
      </c>
      <c r="AZ61" s="792">
        <v>5.0999999999999997E-2</v>
      </c>
      <c r="BA61" s="792">
        <v>4.5999999999999999E-2</v>
      </c>
      <c r="BB61" s="791">
        <v>3.5999999999999997E-2</v>
      </c>
      <c r="BC61" s="508"/>
      <c r="BD61" s="785"/>
      <c r="BE61" s="791">
        <v>3.5000000000000003E-2</v>
      </c>
      <c r="BF61" s="791">
        <v>3.4000000000000002E-2</v>
      </c>
      <c r="BG61" s="791">
        <v>3.9E-2</v>
      </c>
      <c r="BH61" s="792">
        <v>4.2999999999999997E-2</v>
      </c>
      <c r="BI61" s="785"/>
      <c r="BJ61" s="785"/>
      <c r="BK61" s="792">
        <v>3.5000000000000003E-2</v>
      </c>
      <c r="BL61" s="785"/>
      <c r="BM61" s="785"/>
      <c r="BN61" s="785"/>
      <c r="BO61" s="785"/>
      <c r="BP61" s="785"/>
      <c r="BQ61" s="785"/>
      <c r="BR61" s="785"/>
      <c r="BS61" s="785"/>
      <c r="BT61" s="785"/>
      <c r="BU61" s="785"/>
      <c r="BV61" s="785"/>
      <c r="BW61" s="785"/>
      <c r="BX61" s="785"/>
      <c r="BY61" s="785"/>
      <c r="BZ61" s="785"/>
      <c r="CA61" s="785"/>
      <c r="CB61" s="785"/>
      <c r="CC61" s="785"/>
      <c r="CD61" s="785"/>
      <c r="CE61" s="785"/>
      <c r="CF61" s="785"/>
      <c r="CG61" s="785"/>
      <c r="CH61" s="785"/>
      <c r="CI61" s="785"/>
      <c r="CJ61" s="785"/>
      <c r="CK61" s="785"/>
      <c r="CL61" s="785"/>
      <c r="CM61" s="785"/>
      <c r="CN61" s="785"/>
      <c r="CO61" s="785"/>
      <c r="CP61" s="785"/>
      <c r="CQ61" s="785"/>
      <c r="CR61" s="785"/>
      <c r="CS61" s="785"/>
      <c r="CT61" s="785"/>
      <c r="CU61" s="785"/>
      <c r="CV61" s="785"/>
      <c r="CW61" s="785"/>
      <c r="CX61" s="785"/>
      <c r="CY61" s="785"/>
      <c r="CZ61" s="785"/>
      <c r="DA61" s="785"/>
      <c r="DB61" s="785"/>
      <c r="DC61" s="785"/>
      <c r="DD61" s="785"/>
      <c r="DE61" s="785"/>
      <c r="DF61" s="785"/>
      <c r="DG61" s="785"/>
      <c r="DH61" s="785"/>
      <c r="DI61" s="785"/>
      <c r="DJ61" s="785"/>
      <c r="DK61" s="785"/>
      <c r="DL61" s="785"/>
      <c r="DM61" s="785"/>
      <c r="DN61" s="785"/>
      <c r="DO61" s="785"/>
      <c r="DP61" s="785"/>
      <c r="DQ61" s="785"/>
      <c r="DR61" s="785"/>
      <c r="DS61" s="785"/>
      <c r="DT61" s="785"/>
      <c r="DU61" s="785"/>
      <c r="DV61" s="785"/>
      <c r="DW61" s="785"/>
      <c r="DX61" s="532"/>
      <c r="DY61" s="785"/>
      <c r="DZ61" s="785"/>
      <c r="EA61" s="785"/>
      <c r="EB61" s="785"/>
      <c r="EC61" s="785"/>
      <c r="ED61" s="532"/>
      <c r="EE61" s="785"/>
      <c r="EF61" s="785"/>
      <c r="EG61" s="785"/>
      <c r="EH61" s="785"/>
      <c r="EI61" s="785"/>
      <c r="EJ61" s="532"/>
      <c r="EK61" s="785"/>
      <c r="EL61" s="785"/>
      <c r="EM61" s="785"/>
      <c r="EN61" s="785"/>
      <c r="EO61" s="785"/>
      <c r="EP61" s="532"/>
      <c r="EQ61" s="785"/>
      <c r="ER61" s="785"/>
      <c r="ES61" s="785"/>
      <c r="ET61" s="785"/>
      <c r="EU61" s="785"/>
      <c r="EV61" s="532"/>
      <c r="EW61" s="532"/>
      <c r="EX61" s="532"/>
      <c r="EY61" s="532"/>
      <c r="EZ61" s="532"/>
      <c r="FA61" s="532"/>
      <c r="FB61" s="532"/>
    </row>
    <row r="62" spans="1:166" ht="9.75" hidden="1" customHeight="1" outlineLevel="1">
      <c r="A62" s="357" t="s">
        <v>2765</v>
      </c>
      <c r="B62" s="106"/>
      <c r="C62" s="106"/>
      <c r="D62" s="106"/>
      <c r="E62" s="106"/>
      <c r="F62" s="106"/>
      <c r="G62" s="106"/>
      <c r="H62" s="106"/>
      <c r="I62" s="106"/>
      <c r="J62" s="106"/>
      <c r="K62" s="785"/>
      <c r="L62" s="785"/>
      <c r="M62" s="785"/>
      <c r="N62" s="785"/>
      <c r="O62" s="785"/>
      <c r="P62" s="785"/>
      <c r="Q62" s="785"/>
      <c r="R62" s="785"/>
      <c r="S62" s="785"/>
      <c r="T62" s="785"/>
      <c r="U62" s="785"/>
      <c r="V62" s="785"/>
      <c r="W62" s="785"/>
      <c r="X62" s="785"/>
      <c r="Y62" s="785"/>
      <c r="Z62" s="785"/>
      <c r="AA62" s="785"/>
      <c r="AB62" s="785"/>
      <c r="AC62" s="785"/>
      <c r="AD62" s="785"/>
      <c r="AE62" s="785"/>
      <c r="AF62" s="785"/>
      <c r="AG62" s="785"/>
      <c r="AH62" s="785"/>
      <c r="AI62" s="785"/>
      <c r="AJ62" s="785"/>
      <c r="AK62" s="785"/>
      <c r="AL62" s="785"/>
      <c r="AM62" s="785"/>
      <c r="AN62" s="785"/>
      <c r="AO62" s="785"/>
      <c r="AP62" s="785"/>
      <c r="AQ62" s="785"/>
      <c r="AR62" s="785"/>
      <c r="AS62" s="785"/>
      <c r="AT62" s="785"/>
      <c r="AU62" s="785"/>
      <c r="AV62" s="791">
        <f>AV60/Model!AV261</f>
        <v>1.9965470244619046E-2</v>
      </c>
      <c r="AW62" s="785"/>
      <c r="AX62" s="785"/>
      <c r="AY62" s="791">
        <f>AY60/Model!AY261</f>
        <v>1.9808130372114E-2</v>
      </c>
      <c r="AZ62" s="791">
        <f>AZ60/Model!AZ261</f>
        <v>1.7401936033007773E-2</v>
      </c>
      <c r="BA62" s="791">
        <f>BA60/Model!BA261</f>
        <v>1.4958227450047169E-2</v>
      </c>
      <c r="BB62" s="791">
        <f>BB60/Model!BB261</f>
        <v>1.2349665025425781E-2</v>
      </c>
      <c r="BC62" s="508"/>
      <c r="BD62" s="785"/>
      <c r="BE62" s="791">
        <f>BE60/Model!BE261</f>
        <v>9.5465393794749408E-3</v>
      </c>
      <c r="BF62" s="791">
        <f>BF60/Model!BF261</f>
        <v>1.1326976844218226E-2</v>
      </c>
      <c r="BG62" s="791">
        <f>BG60/Model!BG261</f>
        <v>8.2033898305084764E-3</v>
      </c>
      <c r="BH62" s="791">
        <f>BH60/Model!BH261</f>
        <v>9.2375748113453036E-3</v>
      </c>
      <c r="BI62" s="785"/>
      <c r="BJ62" s="785"/>
      <c r="BK62" s="791">
        <f>BK60/Model!BK261</f>
        <v>8.7974722755715263E-3</v>
      </c>
      <c r="BL62" s="785"/>
      <c r="BM62" s="785"/>
      <c r="BN62" s="785"/>
      <c r="BO62" s="785"/>
      <c r="BP62" s="785"/>
      <c r="BQ62" s="785"/>
      <c r="BR62" s="785"/>
      <c r="BS62" s="785"/>
      <c r="BT62" s="785"/>
      <c r="BU62" s="785"/>
      <c r="BV62" s="785"/>
      <c r="BW62" s="785"/>
      <c r="BX62" s="785"/>
      <c r="BY62" s="785"/>
      <c r="BZ62" s="785"/>
      <c r="CA62" s="785"/>
      <c r="CB62" s="785"/>
      <c r="CC62" s="785"/>
      <c r="CD62" s="785"/>
      <c r="CE62" s="785"/>
      <c r="CF62" s="785"/>
      <c r="CG62" s="785"/>
      <c r="CH62" s="785"/>
      <c r="CI62" s="785"/>
      <c r="CJ62" s="785"/>
      <c r="CK62" s="785"/>
      <c r="CL62" s="785"/>
      <c r="CM62" s="785"/>
      <c r="CN62" s="785"/>
      <c r="CO62" s="785"/>
      <c r="CP62" s="785"/>
      <c r="CQ62" s="785"/>
      <c r="CR62" s="785"/>
      <c r="CS62" s="785"/>
      <c r="CT62" s="785"/>
      <c r="CU62" s="785"/>
      <c r="CV62" s="785"/>
      <c r="CW62" s="785"/>
      <c r="CX62" s="785"/>
      <c r="CY62" s="785"/>
      <c r="CZ62" s="785"/>
      <c r="DA62" s="785"/>
      <c r="DB62" s="785"/>
      <c r="DC62" s="785"/>
      <c r="DD62" s="785"/>
      <c r="DE62" s="785"/>
      <c r="DF62" s="785"/>
      <c r="DG62" s="785"/>
      <c r="DH62" s="785"/>
      <c r="DI62" s="785"/>
      <c r="DJ62" s="785"/>
      <c r="DK62" s="785"/>
      <c r="DL62" s="785"/>
      <c r="DM62" s="785"/>
      <c r="DN62" s="785"/>
      <c r="DO62" s="785"/>
      <c r="DP62" s="785"/>
      <c r="DQ62" s="785"/>
      <c r="DR62" s="785"/>
      <c r="DS62" s="785"/>
      <c r="DT62" s="785"/>
      <c r="DU62" s="785"/>
      <c r="DV62" s="785"/>
      <c r="DW62" s="785"/>
      <c r="DX62" s="532"/>
      <c r="DY62" s="785"/>
      <c r="DZ62" s="785"/>
      <c r="EA62" s="785"/>
      <c r="EB62" s="785"/>
      <c r="EC62" s="785"/>
      <c r="ED62" s="532"/>
      <c r="EE62" s="785"/>
      <c r="EF62" s="785"/>
      <c r="EG62" s="785"/>
      <c r="EH62" s="785"/>
      <c r="EI62" s="785"/>
      <c r="EJ62" s="532"/>
      <c r="EK62" s="785"/>
      <c r="EL62" s="785"/>
      <c r="EM62" s="785"/>
      <c r="EN62" s="785"/>
      <c r="EO62" s="785"/>
      <c r="EP62" s="532"/>
      <c r="EQ62" s="785"/>
      <c r="ER62" s="785"/>
      <c r="ES62" s="785"/>
      <c r="ET62" s="785"/>
      <c r="EU62" s="785"/>
      <c r="EV62" s="532"/>
      <c r="EW62" s="532"/>
      <c r="EX62" s="532"/>
      <c r="EY62" s="532"/>
      <c r="EZ62" s="532"/>
      <c r="FA62" s="532"/>
      <c r="FB62" s="532"/>
    </row>
    <row r="63" spans="1:166" ht="3.75" hidden="1" customHeight="1" outlineLevel="1">
      <c r="A63" s="357"/>
      <c r="B63" s="106"/>
      <c r="C63" s="106"/>
      <c r="D63" s="106"/>
      <c r="E63" s="106"/>
      <c r="F63" s="106"/>
      <c r="G63" s="106"/>
      <c r="H63" s="106"/>
      <c r="I63" s="106"/>
      <c r="J63" s="106"/>
      <c r="K63" s="785"/>
      <c r="L63" s="785"/>
      <c r="M63" s="785"/>
      <c r="N63" s="785"/>
      <c r="O63" s="785"/>
      <c r="P63" s="785"/>
      <c r="Q63" s="785"/>
      <c r="R63" s="785"/>
      <c r="S63" s="785"/>
      <c r="T63" s="785"/>
      <c r="U63" s="785"/>
      <c r="V63" s="785"/>
      <c r="W63" s="785"/>
      <c r="X63" s="785"/>
      <c r="Y63" s="785"/>
      <c r="Z63" s="785"/>
      <c r="AA63" s="785"/>
      <c r="AB63" s="785"/>
      <c r="AC63" s="785"/>
      <c r="AD63" s="785"/>
      <c r="AE63" s="785"/>
      <c r="AF63" s="785"/>
      <c r="AG63" s="785"/>
      <c r="AH63" s="785"/>
      <c r="AI63" s="785"/>
      <c r="AJ63" s="785"/>
      <c r="AK63" s="785"/>
      <c r="AL63" s="785"/>
      <c r="AM63" s="785"/>
      <c r="AN63" s="785"/>
      <c r="AO63" s="785"/>
      <c r="AP63" s="785"/>
      <c r="AQ63" s="785"/>
      <c r="AR63" s="785"/>
      <c r="AS63" s="785"/>
      <c r="AT63" s="785"/>
      <c r="AU63" s="785"/>
      <c r="AV63" s="785"/>
      <c r="AW63" s="785"/>
      <c r="AX63" s="785"/>
      <c r="AY63" s="785"/>
      <c r="AZ63" s="785"/>
      <c r="BA63" s="785"/>
      <c r="BB63" s="791"/>
      <c r="BC63" s="508"/>
      <c r="BD63" s="785"/>
      <c r="BE63" s="508"/>
      <c r="BF63" s="791"/>
      <c r="BG63" s="791"/>
      <c r="BH63" s="785"/>
      <c r="BI63" s="785"/>
      <c r="BJ63" s="785"/>
      <c r="BK63" s="785"/>
      <c r="BL63" s="785"/>
      <c r="BM63" s="785"/>
      <c r="BN63" s="785"/>
      <c r="BO63" s="785"/>
      <c r="BP63" s="785"/>
      <c r="BQ63" s="785"/>
      <c r="BR63" s="785"/>
      <c r="BS63" s="785"/>
      <c r="BT63" s="785"/>
      <c r="BU63" s="785"/>
      <c r="BV63" s="785"/>
      <c r="BW63" s="785"/>
      <c r="BX63" s="785"/>
      <c r="BY63" s="785"/>
      <c r="BZ63" s="785"/>
      <c r="CA63" s="785"/>
      <c r="CB63" s="785"/>
      <c r="CC63" s="785"/>
      <c r="CD63" s="785"/>
      <c r="CE63" s="785"/>
      <c r="CF63" s="785"/>
      <c r="CG63" s="785"/>
      <c r="CH63" s="785"/>
      <c r="CI63" s="785"/>
      <c r="CJ63" s="785"/>
      <c r="CK63" s="785"/>
      <c r="CL63" s="785"/>
      <c r="CM63" s="785"/>
      <c r="CN63" s="785"/>
      <c r="CO63" s="785"/>
      <c r="CP63" s="785"/>
      <c r="CQ63" s="785"/>
      <c r="CR63" s="785"/>
      <c r="CS63" s="785"/>
      <c r="CT63" s="785"/>
      <c r="CU63" s="785"/>
      <c r="CV63" s="785"/>
      <c r="CW63" s="785"/>
      <c r="CX63" s="785"/>
      <c r="CY63" s="785"/>
      <c r="CZ63" s="785"/>
      <c r="DA63" s="785"/>
      <c r="DB63" s="785"/>
      <c r="DC63" s="785"/>
      <c r="DD63" s="785"/>
      <c r="DE63" s="785"/>
      <c r="DF63" s="785"/>
      <c r="DG63" s="785"/>
      <c r="DH63" s="785"/>
      <c r="DI63" s="785"/>
      <c r="DJ63" s="785"/>
      <c r="DK63" s="785"/>
      <c r="DL63" s="785"/>
      <c r="DM63" s="785"/>
      <c r="DN63" s="785"/>
      <c r="DO63" s="785"/>
      <c r="DP63" s="785"/>
      <c r="DQ63" s="785"/>
      <c r="DR63" s="785"/>
      <c r="DS63" s="785"/>
      <c r="DT63" s="785"/>
      <c r="DU63" s="785"/>
      <c r="DV63" s="785"/>
      <c r="DW63" s="785"/>
      <c r="DX63" s="532"/>
      <c r="DY63" s="785"/>
      <c r="DZ63" s="785"/>
      <c r="EA63" s="785"/>
      <c r="EB63" s="785"/>
      <c r="EC63" s="785"/>
      <c r="ED63" s="532"/>
      <c r="EE63" s="785"/>
      <c r="EF63" s="785"/>
      <c r="EG63" s="785"/>
      <c r="EH63" s="785"/>
      <c r="EI63" s="785"/>
      <c r="EJ63" s="532"/>
      <c r="EK63" s="785"/>
      <c r="EL63" s="785"/>
      <c r="EM63" s="785"/>
      <c r="EN63" s="785"/>
      <c r="EO63" s="785"/>
      <c r="EP63" s="532"/>
      <c r="EQ63" s="785"/>
      <c r="ER63" s="785"/>
      <c r="ES63" s="785"/>
      <c r="ET63" s="785"/>
      <c r="EU63" s="785"/>
      <c r="EV63" s="532"/>
      <c r="EW63" s="532"/>
      <c r="EX63" s="532"/>
      <c r="EY63" s="532"/>
      <c r="EZ63" s="532"/>
      <c r="FA63" s="532"/>
      <c r="FB63" s="532"/>
    </row>
    <row r="64" spans="1:166" ht="9.75" hidden="1" customHeight="1" outlineLevel="1">
      <c r="A64" s="789" t="s">
        <v>2764</v>
      </c>
      <c r="B64" s="790"/>
      <c r="C64" s="790"/>
      <c r="D64" s="790"/>
      <c r="E64" s="790"/>
      <c r="F64" s="790"/>
      <c r="G64" s="790"/>
      <c r="H64" s="790"/>
      <c r="I64" s="790"/>
      <c r="J64" s="790"/>
      <c r="K64" s="506"/>
      <c r="L64" s="506"/>
      <c r="M64" s="506"/>
      <c r="N64" s="506"/>
      <c r="O64" s="506"/>
      <c r="P64" s="506"/>
      <c r="Q64" s="506"/>
      <c r="R64" s="506"/>
      <c r="S64" s="506"/>
      <c r="T64" s="506"/>
      <c r="U64" s="506"/>
      <c r="V64" s="506"/>
      <c r="W64" s="506"/>
      <c r="X64" s="506"/>
      <c r="Y64" s="506"/>
      <c r="Z64" s="506"/>
      <c r="AA64" s="506"/>
      <c r="AB64" s="506"/>
      <c r="AC64" s="506"/>
      <c r="AD64" s="506"/>
      <c r="AE64" s="506"/>
      <c r="AF64" s="506"/>
      <c r="AG64" s="506"/>
      <c r="AH64" s="506"/>
      <c r="AI64" s="506"/>
      <c r="AJ64" s="506"/>
      <c r="AK64" s="506"/>
      <c r="AL64" s="506"/>
      <c r="AM64" s="506"/>
      <c r="AN64" s="506"/>
      <c r="AO64" s="506"/>
      <c r="AP64" s="506"/>
      <c r="AQ64" s="506"/>
      <c r="AR64" s="506"/>
      <c r="AS64" s="506"/>
      <c r="AT64" s="506"/>
      <c r="AU64" s="506"/>
      <c r="AV64" s="506"/>
      <c r="AW64" s="506"/>
      <c r="AX64" s="506"/>
      <c r="AY64" s="506">
        <f>20.5-AZ64</f>
        <v>10.5</v>
      </c>
      <c r="AZ64" s="506">
        <v>10</v>
      </c>
      <c r="BA64" s="506">
        <v>5.3</v>
      </c>
      <c r="BB64" s="506">
        <f>34.6-BA64-AZ64-AY64</f>
        <v>8.8000000000000007</v>
      </c>
      <c r="BC64" s="506"/>
      <c r="BD64" s="506"/>
      <c r="BE64" s="506">
        <f>20.2-BF64</f>
        <v>7</v>
      </c>
      <c r="BF64" s="506">
        <v>13.2</v>
      </c>
      <c r="BG64" s="506">
        <v>6.7</v>
      </c>
      <c r="BH64" s="506">
        <f>41-SUM(BE64:BG64)</f>
        <v>14.100000000000001</v>
      </c>
      <c r="BI64" s="506"/>
      <c r="BJ64" s="506"/>
      <c r="BK64" s="506">
        <v>13.6</v>
      </c>
      <c r="BL64" s="506"/>
      <c r="BM64" s="506"/>
      <c r="BN64" s="506"/>
      <c r="BO64" s="506"/>
      <c r="BP64" s="506"/>
      <c r="BQ64" s="506"/>
      <c r="BR64" s="506"/>
      <c r="BS64" s="506"/>
      <c r="BT64" s="506"/>
      <c r="BU64" s="506"/>
      <c r="BV64" s="506"/>
      <c r="BW64" s="506"/>
      <c r="BX64" s="506"/>
      <c r="BY64" s="506"/>
      <c r="BZ64" s="506"/>
      <c r="CA64" s="506"/>
      <c r="CB64" s="506"/>
      <c r="CC64" s="506"/>
      <c r="CD64" s="506"/>
      <c r="CE64" s="506"/>
      <c r="CF64" s="506"/>
      <c r="CG64" s="506"/>
      <c r="CH64" s="506"/>
      <c r="CI64" s="506"/>
      <c r="CJ64" s="506"/>
      <c r="CK64" s="506"/>
      <c r="CL64" s="506"/>
      <c r="CM64" s="506"/>
      <c r="CN64" s="506"/>
      <c r="CO64" s="506"/>
      <c r="CP64" s="506"/>
      <c r="CQ64" s="506"/>
      <c r="CR64" s="506"/>
      <c r="CS64" s="506"/>
      <c r="CT64" s="506"/>
      <c r="CU64" s="506"/>
      <c r="CV64" s="506"/>
      <c r="CW64" s="506"/>
      <c r="CX64" s="506"/>
      <c r="CY64" s="506"/>
      <c r="CZ64" s="506"/>
      <c r="DA64" s="506"/>
      <c r="DB64" s="506"/>
      <c r="DC64" s="506"/>
      <c r="DD64" s="506"/>
      <c r="DE64" s="506"/>
      <c r="DF64" s="506"/>
      <c r="DG64" s="506"/>
      <c r="DH64" s="506"/>
      <c r="DI64" s="506"/>
      <c r="DJ64" s="506"/>
      <c r="DK64" s="506"/>
      <c r="DL64" s="506"/>
      <c r="DM64" s="506"/>
      <c r="DN64" s="506"/>
      <c r="DO64" s="506"/>
      <c r="DP64" s="506"/>
      <c r="DQ64" s="506"/>
      <c r="DR64" s="506"/>
      <c r="DS64" s="506"/>
      <c r="DT64" s="506"/>
      <c r="DU64" s="506"/>
      <c r="DV64" s="506"/>
      <c r="DW64" s="506"/>
      <c r="DX64" s="788"/>
      <c r="DY64" s="506"/>
      <c r="DZ64" s="506"/>
      <c r="EA64" s="506"/>
      <c r="EB64" s="506"/>
      <c r="EC64" s="506"/>
      <c r="ED64" s="788"/>
      <c r="EE64" s="506"/>
      <c r="EF64" s="506"/>
      <c r="EG64" s="506"/>
      <c r="EH64" s="506"/>
      <c r="EI64" s="506"/>
      <c r="EJ64" s="788"/>
      <c r="EK64" s="506"/>
      <c r="EL64" s="506"/>
      <c r="EM64" s="506"/>
      <c r="EN64" s="506"/>
      <c r="EO64" s="506"/>
      <c r="EP64" s="788"/>
      <c r="EQ64" s="506"/>
      <c r="ER64" s="506"/>
      <c r="ES64" s="506"/>
      <c r="ET64" s="506"/>
      <c r="EU64" s="506"/>
      <c r="EV64" s="788"/>
      <c r="EW64" s="788"/>
      <c r="EX64" s="788"/>
      <c r="EY64" s="788"/>
      <c r="EZ64" s="788"/>
      <c r="FA64" s="788"/>
      <c r="FB64" s="788"/>
    </row>
    <row r="65" spans="1:158" ht="9.75" hidden="1" customHeight="1" outlineLevel="1">
      <c r="A65" s="357" t="s">
        <v>2766</v>
      </c>
      <c r="B65" s="106"/>
      <c r="C65" s="106"/>
      <c r="D65" s="106"/>
      <c r="E65" s="106"/>
      <c r="F65" s="106"/>
      <c r="G65" s="106"/>
      <c r="H65" s="106"/>
      <c r="I65" s="106"/>
      <c r="J65" s="106"/>
      <c r="K65" s="785"/>
      <c r="L65" s="785"/>
      <c r="M65" s="785"/>
      <c r="N65" s="785"/>
      <c r="O65" s="785"/>
      <c r="P65" s="785"/>
      <c r="Q65" s="785"/>
      <c r="R65" s="785"/>
      <c r="S65" s="785"/>
      <c r="T65" s="785"/>
      <c r="U65" s="785"/>
      <c r="V65" s="785"/>
      <c r="W65" s="785"/>
      <c r="X65" s="785"/>
      <c r="Y65" s="785"/>
      <c r="Z65" s="785"/>
      <c r="AA65" s="785"/>
      <c r="AB65" s="785"/>
      <c r="AC65" s="785"/>
      <c r="AD65" s="785"/>
      <c r="AE65" s="785"/>
      <c r="AF65" s="785"/>
      <c r="AG65" s="785"/>
      <c r="AH65" s="785"/>
      <c r="AI65" s="785"/>
      <c r="AJ65" s="785"/>
      <c r="AK65" s="785"/>
      <c r="AL65" s="785"/>
      <c r="AM65" s="785"/>
      <c r="AN65" s="785"/>
      <c r="AO65" s="785"/>
      <c r="AP65" s="785"/>
      <c r="AQ65" s="785"/>
      <c r="AR65" s="785"/>
      <c r="AS65" s="785"/>
      <c r="AT65" s="785"/>
      <c r="AU65" s="785"/>
      <c r="AV65" s="785"/>
      <c r="AW65" s="785"/>
      <c r="AX65" s="785"/>
      <c r="AY65" s="792">
        <f>AY64/Model!AY31</f>
        <v>3.5105315947843531E-2</v>
      </c>
      <c r="AZ65" s="792">
        <f>AZ64/Model!AZ31</f>
        <v>3.5612535612535613E-2</v>
      </c>
      <c r="BA65" s="792">
        <f>BA64/Model!BA31</f>
        <v>1.7584605175846049E-2</v>
      </c>
      <c r="BB65" s="792">
        <f>BB64/Model!BB31</f>
        <v>2.4608501118568236E-2</v>
      </c>
      <c r="BC65" s="785"/>
      <c r="BD65" s="785"/>
      <c r="BE65" s="792">
        <f>BE64/Model!BE31</f>
        <v>1.9493177387914232E-2</v>
      </c>
      <c r="BF65" s="792">
        <f>BF64/Model!BF31</f>
        <v>3.5031847133757961E-2</v>
      </c>
      <c r="BG65" s="792">
        <f>BG64/Model!BG31</f>
        <v>1.7562254259501968E-2</v>
      </c>
      <c r="BH65" s="792">
        <f>BH64/Model!BH31</f>
        <v>3.3587422582181996E-2</v>
      </c>
      <c r="BI65" s="785"/>
      <c r="BJ65" s="785"/>
      <c r="BK65" s="792">
        <f>BK64/Model!BK31</f>
        <v>3.1192660550458714E-2</v>
      </c>
      <c r="BL65" s="785"/>
      <c r="BM65" s="785"/>
      <c r="BN65" s="785"/>
      <c r="BO65" s="785"/>
      <c r="BP65" s="785"/>
      <c r="BQ65" s="785"/>
      <c r="BR65" s="785"/>
      <c r="BS65" s="785"/>
      <c r="BT65" s="785"/>
      <c r="BU65" s="785"/>
      <c r="BV65" s="785"/>
      <c r="BW65" s="785"/>
      <c r="BX65" s="785"/>
      <c r="BY65" s="785"/>
      <c r="BZ65" s="785"/>
      <c r="CA65" s="785"/>
      <c r="CB65" s="785"/>
      <c r="CC65" s="785"/>
      <c r="CD65" s="785"/>
      <c r="CE65" s="785"/>
      <c r="CF65" s="785"/>
      <c r="CG65" s="785"/>
      <c r="CH65" s="785"/>
      <c r="CI65" s="785"/>
      <c r="CJ65" s="785"/>
      <c r="CK65" s="785"/>
      <c r="CL65" s="785"/>
      <c r="CM65" s="785"/>
      <c r="CN65" s="785"/>
      <c r="CO65" s="785"/>
      <c r="CP65" s="785"/>
      <c r="CQ65" s="785"/>
      <c r="CR65" s="785"/>
      <c r="CS65" s="785"/>
      <c r="CT65" s="785"/>
      <c r="CU65" s="785"/>
      <c r="CV65" s="785"/>
      <c r="CW65" s="785"/>
      <c r="CX65" s="785"/>
      <c r="CY65" s="785"/>
      <c r="CZ65" s="785"/>
      <c r="DA65" s="785"/>
      <c r="DB65" s="785"/>
      <c r="DC65" s="785"/>
      <c r="DD65" s="785"/>
      <c r="DE65" s="785"/>
      <c r="DF65" s="785"/>
      <c r="DG65" s="785"/>
      <c r="DH65" s="785"/>
      <c r="DI65" s="785"/>
      <c r="DJ65" s="785"/>
      <c r="DK65" s="785"/>
      <c r="DL65" s="785"/>
      <c r="DM65" s="785"/>
      <c r="DN65" s="785"/>
      <c r="DO65" s="785"/>
      <c r="DP65" s="785"/>
      <c r="DQ65" s="785"/>
      <c r="DR65" s="785"/>
      <c r="DS65" s="785"/>
      <c r="DT65" s="785"/>
      <c r="DU65" s="785"/>
      <c r="DV65" s="785"/>
      <c r="DW65" s="785"/>
      <c r="DX65" s="532"/>
      <c r="DY65" s="785"/>
      <c r="DZ65" s="785"/>
      <c r="EA65" s="785"/>
      <c r="EB65" s="785"/>
      <c r="EC65" s="785"/>
      <c r="ED65" s="532"/>
      <c r="EE65" s="785"/>
      <c r="EF65" s="785"/>
      <c r="EG65" s="785"/>
      <c r="EH65" s="785"/>
      <c r="EI65" s="785"/>
      <c r="EJ65" s="532"/>
      <c r="EK65" s="785"/>
      <c r="EL65" s="785"/>
      <c r="EM65" s="785"/>
      <c r="EN65" s="785"/>
      <c r="EO65" s="785"/>
      <c r="EP65" s="532"/>
      <c r="EQ65" s="785"/>
      <c r="ER65" s="785"/>
      <c r="ES65" s="785"/>
      <c r="ET65" s="785"/>
      <c r="EU65" s="785"/>
      <c r="EV65" s="532"/>
      <c r="EW65" s="532"/>
      <c r="EX65" s="532"/>
      <c r="EY65" s="532"/>
      <c r="EZ65" s="532"/>
      <c r="FA65" s="532"/>
      <c r="FB65" s="532"/>
    </row>
    <row r="66" spans="1:158" ht="3" hidden="1" customHeight="1" outlineLevel="1">
      <c r="A66" s="357"/>
      <c r="B66" s="106"/>
      <c r="C66" s="106"/>
      <c r="D66" s="106"/>
      <c r="E66" s="106"/>
      <c r="F66" s="106"/>
      <c r="G66" s="106"/>
      <c r="H66" s="106"/>
      <c r="I66" s="106"/>
      <c r="J66" s="106"/>
      <c r="K66" s="785"/>
      <c r="L66" s="785"/>
      <c r="M66" s="785"/>
      <c r="N66" s="785"/>
      <c r="O66" s="785"/>
      <c r="P66" s="785"/>
      <c r="Q66" s="785"/>
      <c r="R66" s="785"/>
      <c r="S66" s="785"/>
      <c r="T66" s="785"/>
      <c r="U66" s="785"/>
      <c r="V66" s="785"/>
      <c r="W66" s="785"/>
      <c r="X66" s="785"/>
      <c r="Y66" s="785"/>
      <c r="Z66" s="785"/>
      <c r="AA66" s="785"/>
      <c r="AB66" s="785"/>
      <c r="AC66" s="785"/>
      <c r="AD66" s="785"/>
      <c r="AE66" s="785"/>
      <c r="AF66" s="785"/>
      <c r="AG66" s="785"/>
      <c r="AH66" s="785"/>
      <c r="AI66" s="785"/>
      <c r="AJ66" s="785"/>
      <c r="AK66" s="785"/>
      <c r="AL66" s="785"/>
      <c r="AM66" s="785"/>
      <c r="AN66" s="785"/>
      <c r="AO66" s="785"/>
      <c r="AP66" s="785"/>
      <c r="AQ66" s="785"/>
      <c r="AR66" s="785"/>
      <c r="AS66" s="785"/>
      <c r="AT66" s="785"/>
      <c r="AU66" s="785"/>
      <c r="AV66" s="785"/>
      <c r="AW66" s="785"/>
      <c r="AX66" s="785"/>
      <c r="AY66" s="792"/>
      <c r="AZ66" s="792"/>
      <c r="BA66" s="792"/>
      <c r="BB66" s="785"/>
      <c r="BC66" s="785"/>
      <c r="BD66" s="785"/>
      <c r="BE66" s="792"/>
      <c r="BF66" s="792"/>
      <c r="BG66" s="792"/>
      <c r="BH66" s="785"/>
      <c r="BI66" s="785"/>
      <c r="BJ66" s="785"/>
      <c r="BK66" s="792"/>
      <c r="BL66" s="785"/>
      <c r="BM66" s="785"/>
      <c r="BN66" s="785"/>
      <c r="BO66" s="785"/>
      <c r="BP66" s="785"/>
      <c r="BQ66" s="785"/>
      <c r="BR66" s="785"/>
      <c r="BS66" s="785"/>
      <c r="BT66" s="785"/>
      <c r="BU66" s="785"/>
      <c r="BV66" s="785"/>
      <c r="BW66" s="785"/>
      <c r="BX66" s="785"/>
      <c r="BY66" s="785"/>
      <c r="BZ66" s="785"/>
      <c r="CA66" s="785"/>
      <c r="CB66" s="785"/>
      <c r="CC66" s="785"/>
      <c r="CD66" s="785"/>
      <c r="CE66" s="785"/>
      <c r="CF66" s="785"/>
      <c r="CG66" s="785"/>
      <c r="CH66" s="785"/>
      <c r="CI66" s="785"/>
      <c r="CJ66" s="785"/>
      <c r="CK66" s="785"/>
      <c r="CL66" s="785"/>
      <c r="CM66" s="785"/>
      <c r="CN66" s="785"/>
      <c r="CO66" s="785"/>
      <c r="CP66" s="785"/>
      <c r="CQ66" s="785"/>
      <c r="CR66" s="785"/>
      <c r="CS66" s="785"/>
      <c r="CT66" s="785"/>
      <c r="CU66" s="785"/>
      <c r="CV66" s="785"/>
      <c r="CW66" s="785"/>
      <c r="CX66" s="785"/>
      <c r="CY66" s="785"/>
      <c r="CZ66" s="785"/>
      <c r="DA66" s="785"/>
      <c r="DB66" s="785"/>
      <c r="DC66" s="785"/>
      <c r="DD66" s="785"/>
      <c r="DE66" s="785"/>
      <c r="DF66" s="785"/>
      <c r="DG66" s="785"/>
      <c r="DH66" s="785"/>
      <c r="DI66" s="785"/>
      <c r="DJ66" s="785"/>
      <c r="DK66" s="785"/>
      <c r="DL66" s="785"/>
      <c r="DM66" s="785"/>
      <c r="DN66" s="785"/>
      <c r="DO66" s="785"/>
      <c r="DP66" s="785"/>
      <c r="DQ66" s="785"/>
      <c r="DR66" s="785"/>
      <c r="DS66" s="785"/>
      <c r="DT66" s="785"/>
      <c r="DU66" s="785"/>
      <c r="DV66" s="785"/>
      <c r="DW66" s="785"/>
      <c r="DX66" s="532"/>
      <c r="DY66" s="785"/>
      <c r="DZ66" s="785"/>
      <c r="EA66" s="785"/>
      <c r="EB66" s="785"/>
      <c r="EC66" s="785"/>
      <c r="ED66" s="532"/>
      <c r="EE66" s="785"/>
      <c r="EF66" s="785"/>
      <c r="EG66" s="785"/>
      <c r="EH66" s="785"/>
      <c r="EI66" s="785"/>
      <c r="EJ66" s="532"/>
      <c r="EK66" s="785"/>
      <c r="EL66" s="785"/>
      <c r="EM66" s="785"/>
      <c r="EN66" s="785"/>
      <c r="EO66" s="785"/>
      <c r="EP66" s="532"/>
      <c r="EQ66" s="785"/>
      <c r="ER66" s="785"/>
      <c r="ES66" s="785"/>
      <c r="ET66" s="785"/>
      <c r="EU66" s="785"/>
      <c r="EV66" s="532"/>
      <c r="EW66" s="532"/>
      <c r="EX66" s="532"/>
      <c r="EY66" s="532"/>
      <c r="EZ66" s="532"/>
      <c r="FA66" s="532"/>
      <c r="FB66" s="532"/>
    </row>
    <row r="67" spans="1:158" ht="9.75" hidden="1" customHeight="1" outlineLevel="1">
      <c r="A67" s="357" t="s">
        <v>2745</v>
      </c>
      <c r="B67" s="106"/>
      <c r="C67" s="106"/>
      <c r="D67" s="106"/>
      <c r="E67" s="106"/>
      <c r="F67" s="106"/>
      <c r="G67" s="106"/>
      <c r="H67" s="106"/>
      <c r="I67" s="106"/>
      <c r="J67" s="106"/>
      <c r="K67" s="785"/>
      <c r="L67" s="785"/>
      <c r="M67" s="785"/>
      <c r="N67" s="785"/>
      <c r="O67" s="785"/>
      <c r="P67" s="785"/>
      <c r="Q67" s="785"/>
      <c r="R67" s="785"/>
      <c r="S67" s="785"/>
      <c r="T67" s="785"/>
      <c r="U67" s="785"/>
      <c r="V67" s="785"/>
      <c r="W67" s="785"/>
      <c r="X67" s="785"/>
      <c r="Y67" s="785"/>
      <c r="Z67" s="785"/>
      <c r="AA67" s="785"/>
      <c r="AB67" s="785"/>
      <c r="AC67" s="785"/>
      <c r="AD67" s="785"/>
      <c r="AE67" s="785"/>
      <c r="AF67" s="785"/>
      <c r="AG67" s="785"/>
      <c r="AH67" s="785"/>
      <c r="AI67" s="785"/>
      <c r="AJ67" s="785"/>
      <c r="AK67" s="785"/>
      <c r="AL67" s="785"/>
      <c r="AM67" s="785"/>
      <c r="AN67" s="785"/>
      <c r="AO67" s="785"/>
      <c r="AP67" s="785"/>
      <c r="AQ67" s="785"/>
      <c r="AR67" s="785"/>
      <c r="AS67" s="785"/>
      <c r="AT67" s="785"/>
      <c r="AU67" s="785"/>
      <c r="AV67" s="785"/>
      <c r="AW67" s="785"/>
      <c r="AX67" s="785"/>
      <c r="AY67" s="506">
        <f>AV60+AY64-AY60</f>
        <v>8.8999999999999986</v>
      </c>
      <c r="AZ67" s="506">
        <f>AY60+AZ64-AZ60</f>
        <v>11.3</v>
      </c>
      <c r="BA67" s="506">
        <f>AZ60+BA64-BA60</f>
        <v>7</v>
      </c>
      <c r="BB67" s="506">
        <f>BA60+BB64-BB60</f>
        <v>11.100000000000001</v>
      </c>
      <c r="BC67" s="785"/>
      <c r="BD67" s="785"/>
      <c r="BE67" s="506">
        <f>BB60+BE64-BE60</f>
        <v>9.9</v>
      </c>
      <c r="BF67" s="506">
        <f>BE60+BF64-BF60</f>
        <v>9.8000000000000007</v>
      </c>
      <c r="BG67" s="506">
        <f>BF60+BG64-BG60</f>
        <v>10.4</v>
      </c>
      <c r="BH67" s="506">
        <f>BG60+BH64-BH60</f>
        <v>12.000000000000004</v>
      </c>
      <c r="BI67" s="785"/>
      <c r="BJ67" s="785"/>
      <c r="BK67" s="506">
        <f>BH60+BK64-BK60</f>
        <v>13.599999999999998</v>
      </c>
      <c r="BL67" s="785"/>
      <c r="BM67" s="785"/>
      <c r="BN67" s="785"/>
      <c r="BO67" s="785"/>
      <c r="BP67" s="785"/>
      <c r="BQ67" s="785"/>
      <c r="BR67" s="785"/>
      <c r="BS67" s="785"/>
      <c r="BT67" s="785"/>
      <c r="BU67" s="785"/>
      <c r="BV67" s="785"/>
      <c r="BW67" s="785"/>
      <c r="BX67" s="785"/>
      <c r="BY67" s="785"/>
      <c r="BZ67" s="785"/>
      <c r="CA67" s="785"/>
      <c r="CB67" s="785"/>
      <c r="CC67" s="785"/>
      <c r="CD67" s="785"/>
      <c r="CE67" s="785"/>
      <c r="CF67" s="785"/>
      <c r="CG67" s="785"/>
      <c r="CH67" s="785"/>
      <c r="CI67" s="785"/>
      <c r="CJ67" s="785"/>
      <c r="CK67" s="785"/>
      <c r="CL67" s="785"/>
      <c r="CM67" s="785"/>
      <c r="CN67" s="785"/>
      <c r="CO67" s="785"/>
      <c r="CP67" s="785"/>
      <c r="CQ67" s="785"/>
      <c r="CR67" s="785"/>
      <c r="CS67" s="785"/>
      <c r="CT67" s="785"/>
      <c r="CU67" s="785"/>
      <c r="CV67" s="785"/>
      <c r="CW67" s="785"/>
      <c r="CX67" s="785"/>
      <c r="CY67" s="785"/>
      <c r="CZ67" s="785"/>
      <c r="DA67" s="785"/>
      <c r="DB67" s="785"/>
      <c r="DC67" s="785"/>
      <c r="DD67" s="785"/>
      <c r="DE67" s="785"/>
      <c r="DF67" s="785"/>
      <c r="DG67" s="785"/>
      <c r="DH67" s="785"/>
      <c r="DI67" s="785"/>
      <c r="DJ67" s="785"/>
      <c r="DK67" s="785"/>
      <c r="DL67" s="785"/>
      <c r="DM67" s="785"/>
      <c r="DN67" s="785"/>
      <c r="DO67" s="785"/>
      <c r="DP67" s="785"/>
      <c r="DQ67" s="785"/>
      <c r="DR67" s="785"/>
      <c r="DS67" s="785"/>
      <c r="DT67" s="785"/>
      <c r="DU67" s="785"/>
      <c r="DV67" s="785"/>
      <c r="DW67" s="785"/>
      <c r="DX67" s="532"/>
      <c r="DY67" s="785"/>
      <c r="DZ67" s="785"/>
      <c r="EA67" s="785"/>
      <c r="EB67" s="785"/>
      <c r="EC67" s="785"/>
      <c r="ED67" s="532"/>
      <c r="EE67" s="785"/>
      <c r="EF67" s="785"/>
      <c r="EG67" s="785"/>
      <c r="EH67" s="785"/>
      <c r="EI67" s="785"/>
      <c r="EJ67" s="532"/>
      <c r="EK67" s="785"/>
      <c r="EL67" s="785"/>
      <c r="EM67" s="785"/>
      <c r="EN67" s="785"/>
      <c r="EO67" s="785"/>
      <c r="EP67" s="532"/>
      <c r="EQ67" s="785"/>
      <c r="ER67" s="785"/>
      <c r="ES67" s="785"/>
      <c r="ET67" s="785"/>
      <c r="EU67" s="785"/>
      <c r="EV67" s="532"/>
      <c r="EW67" s="532"/>
      <c r="EX67" s="532"/>
      <c r="EY67" s="532"/>
      <c r="EZ67" s="532"/>
      <c r="FA67" s="532"/>
      <c r="FB67" s="532"/>
    </row>
    <row r="68" spans="1:158" ht="5.25" hidden="1" customHeight="1" outlineLevel="1">
      <c r="A68" s="22"/>
      <c r="B68" s="32"/>
      <c r="C68" s="90"/>
      <c r="D68" s="90"/>
      <c r="E68" s="90"/>
      <c r="F68" s="90"/>
      <c r="G68" s="61"/>
      <c r="H68" s="90"/>
      <c r="I68" s="90"/>
      <c r="J68" s="90"/>
      <c r="K68" s="24"/>
      <c r="L68" s="24"/>
      <c r="M68" s="24"/>
      <c r="N68" s="24"/>
      <c r="O68" s="23"/>
      <c r="P68" s="24"/>
      <c r="Q68" s="24"/>
      <c r="R68" s="24"/>
      <c r="S68" s="24"/>
      <c r="T68" s="24"/>
      <c r="U68" s="23"/>
      <c r="V68" s="24"/>
      <c r="W68" s="24"/>
      <c r="X68" s="24"/>
      <c r="Y68" s="24"/>
      <c r="Z68" s="24"/>
      <c r="AA68" s="23"/>
      <c r="AB68" s="24"/>
      <c r="AC68" s="24"/>
      <c r="AD68" s="24"/>
      <c r="AE68" s="24"/>
      <c r="AF68" s="24"/>
      <c r="AG68" s="23"/>
      <c r="AH68" s="24"/>
      <c r="AI68" s="24"/>
      <c r="AJ68" s="24"/>
      <c r="AK68" s="24"/>
      <c r="AL68" s="24"/>
      <c r="AM68" s="24"/>
      <c r="AN68" s="24"/>
      <c r="AO68" s="24"/>
      <c r="AP68" s="24"/>
      <c r="AQ68" s="164"/>
      <c r="AR68" s="24"/>
      <c r="AS68" s="24"/>
      <c r="AT68" s="24"/>
      <c r="AU68" s="24"/>
      <c r="AV68" s="24"/>
      <c r="AW68" s="164"/>
      <c r="AX68" s="77"/>
      <c r="AY68" s="24"/>
      <c r="AZ68" s="24"/>
      <c r="BA68" s="24"/>
      <c r="BB68" s="24"/>
      <c r="BC68" s="16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4"/>
      <c r="DA68" s="24"/>
      <c r="DB68" s="24"/>
      <c r="DC68" s="24"/>
      <c r="DD68" s="24"/>
      <c r="DE68" s="24"/>
      <c r="DF68" s="24"/>
      <c r="DG68" s="24"/>
      <c r="DH68" s="24"/>
      <c r="DI68" s="24"/>
      <c r="DJ68" s="24"/>
      <c r="DK68" s="24"/>
      <c r="DL68" s="24"/>
      <c r="DM68" s="24"/>
      <c r="DN68" s="24"/>
      <c r="DO68" s="24"/>
      <c r="DP68" s="24"/>
      <c r="DQ68" s="24"/>
      <c r="DR68" s="24"/>
      <c r="DS68" s="24"/>
      <c r="DT68" s="24"/>
      <c r="DU68" s="24"/>
      <c r="DV68" s="24"/>
      <c r="DW68" s="24"/>
      <c r="DX68" s="147"/>
      <c r="DY68" s="24"/>
      <c r="DZ68" s="24"/>
      <c r="EA68" s="24"/>
      <c r="EB68" s="24"/>
      <c r="EC68" s="24"/>
      <c r="ED68" s="147"/>
      <c r="EE68" s="24"/>
      <c r="EF68" s="24"/>
      <c r="EG68" s="24"/>
      <c r="EH68" s="24"/>
      <c r="EI68" s="24"/>
      <c r="EJ68" s="147"/>
      <c r="EK68" s="24"/>
      <c r="EL68" s="24"/>
      <c r="EM68" s="24"/>
      <c r="EN68" s="24"/>
      <c r="EO68" s="24"/>
      <c r="EP68" s="147"/>
      <c r="EQ68" s="24"/>
      <c r="ER68" s="24"/>
      <c r="ES68" s="24"/>
      <c r="ET68" s="24"/>
      <c r="EU68" s="24"/>
      <c r="EV68" s="24"/>
      <c r="EW68" s="24"/>
      <c r="EX68" s="24"/>
      <c r="EY68" s="24"/>
      <c r="EZ68" s="24"/>
      <c r="FA68" s="24"/>
      <c r="FB68" s="24"/>
    </row>
    <row r="69" spans="1:158" ht="11.25" hidden="1" customHeight="1" outlineLevel="1">
      <c r="A69" s="850"/>
      <c r="B69" s="32"/>
      <c r="C69" s="90"/>
      <c r="D69" s="90"/>
      <c r="E69" s="90"/>
      <c r="F69" s="90"/>
      <c r="G69" s="61"/>
      <c r="H69" s="90"/>
      <c r="I69" s="90"/>
      <c r="J69" s="90"/>
      <c r="K69" s="24"/>
      <c r="L69" s="24"/>
      <c r="M69" s="24"/>
      <c r="N69" s="24"/>
      <c r="O69" s="23"/>
      <c r="P69" s="24"/>
      <c r="Q69" s="24"/>
      <c r="R69" s="24"/>
      <c r="S69" s="24"/>
      <c r="T69" s="24"/>
      <c r="U69" s="23"/>
      <c r="V69" s="24"/>
      <c r="W69" s="24"/>
      <c r="X69" s="24"/>
      <c r="Y69" s="24"/>
      <c r="Z69" s="24"/>
      <c r="AA69" s="23"/>
      <c r="AB69" s="24"/>
      <c r="AC69" s="24"/>
      <c r="AD69" s="24"/>
      <c r="AE69" s="24"/>
      <c r="AF69" s="24"/>
      <c r="AG69" s="23"/>
      <c r="AH69" s="24"/>
      <c r="AI69" s="24"/>
      <c r="AJ69" s="24"/>
      <c r="AK69" s="24"/>
      <c r="AL69" s="24"/>
      <c r="AM69" s="24"/>
      <c r="AN69" s="24"/>
      <c r="AO69" s="24"/>
      <c r="AP69" s="24"/>
      <c r="AQ69" s="164"/>
      <c r="AR69" s="24"/>
      <c r="AS69" s="24"/>
      <c r="AT69" s="24"/>
      <c r="AU69" s="24"/>
      <c r="AV69" s="24"/>
      <c r="AW69" s="164"/>
      <c r="AX69" s="77"/>
      <c r="AY69" s="24"/>
      <c r="AZ69" s="24"/>
      <c r="BA69" s="24"/>
      <c r="BB69" s="24"/>
      <c r="BC69" s="16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  <c r="CO69" s="24"/>
      <c r="CP69" s="24"/>
      <c r="CQ69" s="24"/>
      <c r="CR69" s="24"/>
      <c r="CS69" s="24"/>
      <c r="CT69" s="24"/>
      <c r="CU69" s="24"/>
      <c r="CV69" s="24"/>
      <c r="CW69" s="24"/>
      <c r="CX69" s="24"/>
      <c r="CY69" s="24"/>
      <c r="CZ69" s="24"/>
      <c r="DA69" s="24"/>
      <c r="DB69" s="24"/>
      <c r="DC69" s="24"/>
      <c r="DD69" s="24"/>
      <c r="DE69" s="24"/>
      <c r="DF69" s="24"/>
      <c r="DG69" s="24"/>
      <c r="DH69" s="24"/>
      <c r="DI69" s="24"/>
      <c r="DJ69" s="24"/>
      <c r="DK69" s="24"/>
      <c r="DL69" s="24"/>
      <c r="DM69" s="24"/>
      <c r="DN69" s="24"/>
      <c r="DO69" s="24"/>
      <c r="DP69" s="24"/>
      <c r="DQ69" s="24"/>
      <c r="DR69" s="24"/>
      <c r="DS69" s="24"/>
      <c r="DT69" s="24"/>
      <c r="DU69" s="24"/>
      <c r="DV69" s="24"/>
      <c r="DW69" s="24"/>
      <c r="DX69" s="147"/>
      <c r="DY69" s="24"/>
      <c r="DZ69" s="24"/>
      <c r="EA69" s="24"/>
      <c r="EB69" s="24"/>
      <c r="EC69" s="24"/>
      <c r="ED69" s="147"/>
      <c r="EE69" s="24"/>
      <c r="EF69" s="24"/>
      <c r="EG69" s="24"/>
      <c r="EH69" s="24"/>
      <c r="EI69" s="24"/>
      <c r="EJ69" s="147"/>
      <c r="EK69" s="24"/>
      <c r="EL69" s="24"/>
      <c r="EM69" s="24"/>
      <c r="EN69" s="24"/>
      <c r="EO69" s="24"/>
      <c r="EP69" s="147"/>
      <c r="EQ69" s="24"/>
      <c r="ER69" s="24"/>
      <c r="ES69" s="24"/>
      <c r="ET69" s="24"/>
      <c r="EU69" s="24"/>
      <c r="EV69" s="24"/>
      <c r="EW69" s="24"/>
      <c r="EX69" s="24"/>
      <c r="EY69" s="24"/>
      <c r="EZ69" s="24"/>
      <c r="FA69" s="24"/>
      <c r="FB69" s="24"/>
    </row>
    <row r="70" spans="1:158" ht="10.5" hidden="1" customHeight="1" outlineLevel="1">
      <c r="A70" s="31" t="s">
        <v>6692</v>
      </c>
      <c r="B70" s="32"/>
      <c r="C70" s="90"/>
      <c r="D70" s="90"/>
      <c r="E70" s="90"/>
      <c r="F70" s="90"/>
      <c r="G70" s="61"/>
      <c r="H70" s="90"/>
      <c r="I70" s="90"/>
      <c r="J70" s="90"/>
      <c r="K70" s="65"/>
      <c r="L70" s="65"/>
      <c r="M70" s="65"/>
      <c r="N70" s="65"/>
      <c r="O70" s="66"/>
      <c r="P70" s="66"/>
      <c r="Q70" s="66"/>
      <c r="R70" s="66"/>
      <c r="S70" s="66"/>
      <c r="T70" s="65"/>
      <c r="U70" s="66"/>
      <c r="V70" s="66"/>
      <c r="W70" s="66"/>
      <c r="X70" s="66"/>
      <c r="Y70" s="66"/>
      <c r="Z70" s="67"/>
      <c r="AA70" s="66"/>
      <c r="AB70" s="66"/>
      <c r="AC70" s="66"/>
      <c r="AD70" s="66"/>
      <c r="AE70" s="66"/>
      <c r="AF70" s="67"/>
      <c r="AG70" s="66"/>
      <c r="AH70" s="66"/>
      <c r="AI70" s="66"/>
      <c r="AJ70" s="66"/>
      <c r="AK70" s="66"/>
      <c r="AL70" s="67"/>
      <c r="AM70" s="66"/>
      <c r="AN70" s="66"/>
      <c r="AO70" s="66"/>
      <c r="AP70" s="66"/>
      <c r="AQ70" s="66"/>
      <c r="AR70" s="67"/>
      <c r="AS70" s="66"/>
      <c r="AT70" s="66"/>
      <c r="AU70" s="66"/>
      <c r="AV70" s="66"/>
      <c r="AW70" s="66"/>
      <c r="AX70" s="65"/>
      <c r="AY70" s="66"/>
      <c r="AZ70" s="66"/>
      <c r="BA70" s="66"/>
      <c r="BB70" s="66"/>
      <c r="BC70" s="66"/>
      <c r="BD70" s="67"/>
      <c r="BE70" s="68"/>
      <c r="BF70" s="68"/>
      <c r="BG70" s="68"/>
      <c r="BH70" s="68"/>
      <c r="BI70" s="66"/>
      <c r="BJ70" s="67"/>
      <c r="BK70" s="68"/>
      <c r="BL70" s="68"/>
      <c r="BM70" s="68"/>
      <c r="BN70" s="68"/>
      <c r="BO70" s="66"/>
      <c r="BP70" s="67"/>
      <c r="BQ70" s="68"/>
      <c r="BR70" s="68"/>
      <c r="BS70" s="68"/>
      <c r="BT70" s="68"/>
      <c r="BU70" s="66"/>
      <c r="BV70" s="67"/>
      <c r="BW70" s="68"/>
      <c r="BX70" s="68"/>
      <c r="BY70" s="68"/>
      <c r="BZ70" s="68"/>
      <c r="CA70" s="66"/>
      <c r="CB70" s="67"/>
      <c r="CC70" s="68"/>
      <c r="CD70" s="68"/>
      <c r="CE70" s="68"/>
      <c r="CF70" s="68"/>
      <c r="CG70" s="66"/>
      <c r="CH70" s="67"/>
      <c r="CI70" s="68"/>
      <c r="CJ70" s="68"/>
      <c r="CK70" s="68"/>
      <c r="CL70" s="68"/>
      <c r="CM70" s="66"/>
      <c r="CN70" s="67"/>
      <c r="CO70" s="68"/>
      <c r="CP70" s="68"/>
      <c r="CQ70" s="68"/>
      <c r="CR70" s="68"/>
      <c r="CS70" s="66"/>
      <c r="CT70" s="67"/>
      <c r="CU70" s="68"/>
      <c r="CV70" s="68"/>
      <c r="CW70" s="68"/>
      <c r="CX70" s="68"/>
      <c r="CY70" s="66"/>
      <c r="CZ70" s="67"/>
      <c r="DA70" s="68"/>
      <c r="DB70" s="68"/>
      <c r="DC70" s="68"/>
      <c r="DD70" s="68"/>
      <c r="DE70" s="66"/>
      <c r="DF70" s="67"/>
      <c r="DG70" s="68"/>
      <c r="DH70" s="68"/>
      <c r="DI70" s="68"/>
      <c r="DJ70" s="68"/>
      <c r="DK70" s="66"/>
      <c r="DL70" s="67"/>
      <c r="DM70" s="68"/>
      <c r="DN70" s="68"/>
      <c r="DO70" s="68"/>
      <c r="DP70" s="68"/>
      <c r="DQ70" s="66"/>
      <c r="DR70" s="67"/>
      <c r="DS70" s="68"/>
      <c r="DT70" s="68"/>
      <c r="DU70" s="68"/>
      <c r="DV70" s="68"/>
      <c r="DW70" s="66"/>
      <c r="DX70" s="39"/>
      <c r="DY70" s="68"/>
      <c r="DZ70" s="68"/>
      <c r="EA70" s="68"/>
      <c r="EB70" s="68"/>
      <c r="EC70" s="66"/>
      <c r="ED70" s="39"/>
      <c r="EE70" s="68"/>
      <c r="EF70" s="68"/>
      <c r="EG70" s="68"/>
      <c r="EH70" s="68"/>
      <c r="EI70" s="66"/>
      <c r="EJ70" s="39"/>
      <c r="EK70" s="68"/>
      <c r="EL70" s="68"/>
      <c r="EM70" s="68"/>
      <c r="EN70" s="68"/>
      <c r="EO70" s="66"/>
      <c r="EP70" s="39"/>
      <c r="EQ70" s="68"/>
      <c r="ER70" s="68"/>
      <c r="ES70" s="68"/>
      <c r="ET70" s="68"/>
      <c r="EU70" s="66"/>
      <c r="EV70" s="39"/>
      <c r="EW70" s="39"/>
      <c r="EX70" s="39"/>
      <c r="EY70" s="39"/>
      <c r="EZ70" s="39"/>
      <c r="FA70" s="39"/>
      <c r="FB70" s="39"/>
    </row>
    <row r="71" spans="1:158" ht="10.5" hidden="1" customHeight="1" outlineLevel="1">
      <c r="A71" s="348" t="s">
        <v>92</v>
      </c>
      <c r="B71" s="32"/>
      <c r="C71" s="90"/>
      <c r="D71" s="90"/>
      <c r="E71" s="90"/>
      <c r="F71" s="90"/>
      <c r="G71" s="61"/>
      <c r="H71" s="90"/>
      <c r="I71" s="90"/>
      <c r="J71" s="90"/>
      <c r="K71" s="353"/>
      <c r="L71" s="353"/>
      <c r="M71" s="353"/>
      <c r="N71" s="353"/>
      <c r="O71" s="244" t="str">
        <f>IF(ISERROR(O30/#REF!-1),"-",O30/#REF!-1)</f>
        <v>-</v>
      </c>
      <c r="P71" s="244" t="str">
        <f>IF(ISERROR(P30/#REF!-1),"-",P30/#REF!-1)</f>
        <v>-</v>
      </c>
      <c r="Q71" s="244" t="str">
        <f>IF(ISERROR(Q30/#REF!-1),"-",Q30/#REF!-1)</f>
        <v>-</v>
      </c>
      <c r="R71" s="244" t="str">
        <f>IF(ISERROR(R30/#REF!-1),"-",R30/#REF!-1)</f>
        <v>-</v>
      </c>
      <c r="S71" s="244" t="str">
        <f>R71</f>
        <v>-</v>
      </c>
      <c r="T71" s="353"/>
      <c r="U71" s="244">
        <f>IF(ISERROR(U30/O30-1),"-",U30/O30-1)</f>
        <v>1.5252656288608848</v>
      </c>
      <c r="V71" s="244">
        <f>IF(ISERROR(V30/P30-1),"-",V30/P30-1)</f>
        <v>1.807347720741534</v>
      </c>
      <c r="W71" s="244">
        <f>IF(ISERROR(W30/Q30-1),"-",W30/Q30-1)</f>
        <v>1.6114729608604725</v>
      </c>
      <c r="X71" s="244">
        <f>IF(ISERROR(X30/R30-1),"-",X30/R30-1)</f>
        <v>0.35319937180364835</v>
      </c>
      <c r="Y71" s="244">
        <f>X71</f>
        <v>0.35319937180364835</v>
      </c>
      <c r="Z71" s="353"/>
      <c r="AA71" s="244">
        <f>IF(ISERROR(AA30/U30-1),"-",AA30/U30-1)</f>
        <v>1.8836077203454593E-3</v>
      </c>
      <c r="AB71" s="244">
        <f>IF(ISERROR(AB30/V30-1),"-",AB30/V30-1)</f>
        <v>-0.12036851190237241</v>
      </c>
      <c r="AC71" s="244">
        <f>IF(ISERROR(AC30/W30-1),"-",AC30/W30-1)</f>
        <v>4.8669427728073478E-2</v>
      </c>
      <c r="AD71" s="244">
        <f>IF(ISERROR(AD30/X30-1),"-",AD30/X30-1)</f>
        <v>0.51746815855255335</v>
      </c>
      <c r="AE71" s="244">
        <f>AD71</f>
        <v>0.51746815855255335</v>
      </c>
      <c r="AF71" s="353"/>
      <c r="AG71" s="244">
        <f>IF(ISERROR(AG30/AA30-1),"-",AG30/AA30-1)</f>
        <v>0.21278933489598573</v>
      </c>
      <c r="AH71" s="244">
        <f>IF(ISERROR(AH30/AB30-1),"-",AH30/AB30-1)</f>
        <v>0.34626354820308025</v>
      </c>
      <c r="AI71" s="244">
        <f>IF(ISERROR(AI30/AC30-1),"-",AI30/AC30-1)</f>
        <v>0.30700414575605506</v>
      </c>
      <c r="AJ71" s="244">
        <f>IF(ISERROR(AJ30/AD30-1),"-",AJ30/AD30-1)</f>
        <v>0.2839801541388034</v>
      </c>
      <c r="AK71" s="244">
        <f>AJ71</f>
        <v>0.2839801541388034</v>
      </c>
      <c r="AL71" s="353"/>
      <c r="AM71" s="244">
        <f>IF(ISERROR(AM30/AG30-1),"-",AM30/AG30-1)</f>
        <v>0.36935032513941723</v>
      </c>
      <c r="AN71" s="244">
        <f>IF(ISERROR(AN30/AH30-1),"-",AN30/AH30-1)</f>
        <v>0.25800000000000001</v>
      </c>
      <c r="AO71" s="244">
        <f>IF(ISERROR(AO30/AI30-1),"-",AO30/AI30-1)</f>
        <v>0.27973288814691166</v>
      </c>
      <c r="AP71" s="244">
        <f>IF(ISERROR(AP30/AJ30-1),"-",AP30/AJ30-1)</f>
        <v>0.42409200598710939</v>
      </c>
      <c r="AQ71" s="244">
        <f>AP71</f>
        <v>0.42409200598710939</v>
      </c>
      <c r="AR71" s="244"/>
      <c r="AS71" s="244">
        <f>IF(ISERROR(AS30/AM30-1),"-",AS30/AM30-1)</f>
        <v>0.41388182366173187</v>
      </c>
      <c r="AT71" s="244">
        <f>IF(ISERROR(AT30/AN30-1),"-",AT30/AN30-1)</f>
        <v>0.40629462962463969</v>
      </c>
      <c r="AU71" s="244">
        <f>IF(ISERROR(AU30/AO30-1),"-",AU30/AO30-1)</f>
        <v>0.39908161135462317</v>
      </c>
      <c r="AV71" s="244">
        <f>IF(ISERROR(AV30/AP30-1),"-",AV30/AP30-1)</f>
        <v>0.36502182516275017</v>
      </c>
      <c r="AW71" s="244">
        <f>AV71</f>
        <v>0.36502182516275017</v>
      </c>
      <c r="AX71" s="353"/>
      <c r="AY71" s="244">
        <f>IF(ISERROR(AY30/AS30-1),"-",AY30/AS30-1)</f>
        <v>0.41419183096248213</v>
      </c>
      <c r="AZ71" s="244">
        <f>IF(ISERROR(AZ30/AT30-1),"-",AZ30/AT30-1)</f>
        <v>0.40930081051562595</v>
      </c>
      <c r="BA71" s="244">
        <f>IF(ISERROR(BA30/AU30-1),"-",BA30/AU30-1)</f>
        <v>0.431262121438162</v>
      </c>
      <c r="BB71" s="244">
        <f>IF(ISERROR(BB30/AV30-1),"-",BB30/AV30-1)</f>
        <v>0.36396492661617263</v>
      </c>
      <c r="BC71" s="244">
        <f>BB71</f>
        <v>0.36396492661617263</v>
      </c>
      <c r="BD71" s="353"/>
      <c r="BE71" s="244">
        <f>IF(ISERROR(BE30/AY30-1),"-",BE30/AY30-1)</f>
        <v>0.41911764705882359</v>
      </c>
      <c r="BF71" s="244">
        <f>IF(ISERROR(BF30/AZ30-1),"-",BF30/AZ30-1)</f>
        <v>0.31475186947654676</v>
      </c>
      <c r="BG71" s="244">
        <f>IF(ISERROR(BG30/BA30-1),"-",BG30/BA30-1)</f>
        <v>0.26775244299674261</v>
      </c>
      <c r="BH71" s="244">
        <f>IF(ISERROR(BH30/BB30-1),"-",BH30/BB30-1)</f>
        <v>0.32891705069124422</v>
      </c>
      <c r="BI71" s="244">
        <f>BH71</f>
        <v>0.32891705069124422</v>
      </c>
      <c r="BJ71" s="353"/>
      <c r="BK71" s="244">
        <f>IF(ISERROR(BK30/BE30-1),"-",BK30/BE30-1)</f>
        <v>0.38186528497409311</v>
      </c>
      <c r="BL71" s="244">
        <f>IF(ISERROR(BL30/BF30-1),"-",BL30/BF30-1)</f>
        <v>0.36763185108583252</v>
      </c>
      <c r="BM71" s="244">
        <f>IF(ISERROR(BM30/BG30-1),"-",BM30/BG30-1)</f>
        <v>0.36073997944501546</v>
      </c>
      <c r="BN71" s="244">
        <f>IF(ISERROR(BN30/BH30-1),"-",BN30/BH30-1)</f>
        <v>0.34980494148244468</v>
      </c>
      <c r="BO71" s="244">
        <f>BN71</f>
        <v>0.34980494148244468</v>
      </c>
      <c r="BP71" s="353"/>
      <c r="BQ71" s="244">
        <f>IF(ISERROR(BQ30/BK30-1),"-",BQ30/BK30-1)</f>
        <v>0.22872140982377198</v>
      </c>
      <c r="BR71" s="244">
        <f>IF(ISERROR(BR30/BL30-1),"-",BR30/BL30-1)</f>
        <v>0.26843100189035907</v>
      </c>
      <c r="BS71" s="244">
        <f>IF(ISERROR(BS30/BM30-1),"-",BS30/BM30-1)</f>
        <v>0.29871601208459198</v>
      </c>
      <c r="BT71" s="244">
        <f>IF(ISERROR(BT30/BN30-1),"-",BT30/BN30-1)</f>
        <v>0.28676942838792563</v>
      </c>
      <c r="BU71" s="244">
        <f>BT71</f>
        <v>0.28676942838792563</v>
      </c>
      <c r="BV71" s="353"/>
      <c r="BW71" s="244">
        <f>IF(ISERROR(BW30/BQ30-1),"-",BW30/BQ30-1)</f>
        <v>0.31614281354897789</v>
      </c>
      <c r="BX71" s="244">
        <f>IF(ISERROR(BX30/BR30-1),"-",BX30/BR30-1)</f>
        <v>0.31356184798807751</v>
      </c>
      <c r="BY71" s="244">
        <f>IF(ISERROR(BY30/BS30-1),"-",BY30/BS30-1)</f>
        <v>0.12678104100029075</v>
      </c>
      <c r="BZ71" s="244">
        <f>IF(ISERROR(BZ30/BT30-1),"-",BZ30/BT30-1)</f>
        <v>9.50836036935363E-2</v>
      </c>
      <c r="CA71" s="244">
        <f>BZ71</f>
        <v>9.50836036935363E-2</v>
      </c>
      <c r="CB71" s="353"/>
      <c r="CC71" s="244">
        <f>IF(ISERROR(CC30/BW30-1),"-",CC30/BW30-1)</f>
        <v>5.0544864363551989E-2</v>
      </c>
      <c r="CD71" s="244">
        <f>IF(ISERROR(CD30/BX30-1),"-",CD30/BX30-1)</f>
        <v>-3.6986612207851155E-2</v>
      </c>
      <c r="CE71" s="244">
        <f>IF(ISERROR(CE30/BY30-1),"-",CE30/BY30-1)</f>
        <v>3.5354838709677372E-2</v>
      </c>
      <c r="CF71" s="244">
        <f>IF(ISERROR(CF30/BZ30-1),"-",CF30/BZ30-1)</f>
        <v>1.3217866909753795E-2</v>
      </c>
      <c r="CG71" s="244">
        <f>CF71</f>
        <v>1.3217866909753795E-2</v>
      </c>
      <c r="CH71" s="353"/>
      <c r="CI71" s="244">
        <f>IF(ISERROR(CI30/CC30-1),"-",CI30/CC30-1)</f>
        <v>3.8622820569410798E-2</v>
      </c>
      <c r="CJ71" s="244">
        <f>IF(ISERROR(CJ30/CD30-1),"-",CJ30/CD30-1)</f>
        <v>7.0216776625824817E-2</v>
      </c>
      <c r="CK71" s="244">
        <f>IF(ISERROR(CK30/CE30-1),"-",CK30/CE30-1)</f>
        <v>7.1784646061814561E-2</v>
      </c>
      <c r="CL71" s="244">
        <f>IF(ISERROR(CL30/CF30-1),"-",CL30/CF30-1)</f>
        <v>0.11605937921727394</v>
      </c>
      <c r="CM71" s="244">
        <f>CL71</f>
        <v>0.11605937921727394</v>
      </c>
      <c r="CN71" s="353"/>
      <c r="CO71" s="244">
        <f>IF(ISERROR(CO30/CI30-1),"-",CO30/CI30-1)</f>
        <v>0.10263493412664682</v>
      </c>
      <c r="CP71" s="244">
        <f>IF(ISERROR(CP30/CJ30-1),"-",CP30/CJ30-1)</f>
        <v>0.15653896961690883</v>
      </c>
      <c r="CQ71" s="244">
        <f>IF(ISERROR(CQ30/CK30-1),"-",CQ30/CK30-1)</f>
        <v>0.16255813953488363</v>
      </c>
      <c r="CR71" s="244">
        <f>IF(ISERROR(CR30/CL30-1),"-",CR30/CL30-1)</f>
        <v>0.17351874244256349</v>
      </c>
      <c r="CS71" s="244">
        <f>CR71</f>
        <v>0.17351874244256349</v>
      </c>
      <c r="CT71" s="353"/>
      <c r="CU71" s="244">
        <f>IF(ISERROR(CU30/CO30-1),"-",CU30/CO30-1)</f>
        <v>0.12680670649450776</v>
      </c>
      <c r="CV71" s="244">
        <f>IF(ISERROR(CV30/CP30-1),"-",CV30/CP30-1)</f>
        <v>0.12488102036931292</v>
      </c>
      <c r="CW71" s="244">
        <f>IF(ISERROR(CW30/CQ30-1),"-",CW30/CQ30-1)</f>
        <v>0.11642328465693152</v>
      </c>
      <c r="CX71" s="244">
        <f>IF(ISERROR(CX30/CR30-1),"-",CX30/CR30-1)</f>
        <v>0.11111111111111116</v>
      </c>
      <c r="CY71" s="244">
        <f>CX71</f>
        <v>0.11111111111111116</v>
      </c>
      <c r="CZ71" s="353"/>
      <c r="DA71" s="244">
        <f>IF(ISERROR(DA30/CU30-1),"-",DA30/CU30-1)</f>
        <v>0.13511202325979133</v>
      </c>
      <c r="DB71" s="244">
        <f>IF(ISERROR(DB30/CV30-1),"-",DB30/CV30-1)</f>
        <v>7.7847351497715378E-2</v>
      </c>
      <c r="DC71" s="244">
        <f>IF(ISERROR(DC30/CW30-1),"-",DC30/CW30-1)</f>
        <v>9.4427521949471238E-2</v>
      </c>
      <c r="DD71" s="244">
        <f>IF(ISERROR(DD30/CX30-1),"-",DD30/CX30-1)</f>
        <v>7.6043276661514669E-2</v>
      </c>
      <c r="DE71" s="244">
        <f>DD71</f>
        <v>7.6043276661514669E-2</v>
      </c>
      <c r="DF71" s="353"/>
      <c r="DG71" s="244">
        <f>IF(ISERROR(DG30/DA30-1),"-",DG30/DA30-1)</f>
        <v>0.12957661594093706</v>
      </c>
      <c r="DH71" s="244">
        <f>IF(ISERROR(DH30/DB30-1),"-",DH30/DB30-1)</f>
        <v>0.1979902653477783</v>
      </c>
      <c r="DI71" s="244">
        <f>IF(ISERROR(DI30/DC30-1),"-",DI30/DC30-1)</f>
        <v>0.26899148657498384</v>
      </c>
      <c r="DJ71" s="244">
        <f>IF(ISERROR(DJ30/DD30-1),"-",DJ30/DD30-1)</f>
        <v>0.29388106865843144</v>
      </c>
      <c r="DK71" s="244">
        <f>DJ71</f>
        <v>0.29388106865843144</v>
      </c>
      <c r="DL71" s="353"/>
      <c r="DM71" s="244">
        <f>IF(ISERROR(DM30/DG30-1),"-",DM30/DG30-1)</f>
        <v>0.1916766706682671</v>
      </c>
      <c r="DN71" s="244">
        <f>IF(ISERROR(DN30/DH30-1),"-",DN30/DH30-1)</f>
        <v>0.15543905635648758</v>
      </c>
      <c r="DO71" s="244">
        <f>IF(ISERROR(DO30/DI30-1),"-",DO30/DI30-1)</f>
        <v>0.13146690749580703</v>
      </c>
      <c r="DP71" s="244">
        <f>IF(ISERROR(DP30/DJ30-1),"-",DP30/DJ30-1)</f>
        <v>0.18661190053285992</v>
      </c>
      <c r="DQ71" s="244">
        <f>DP71</f>
        <v>0.18661190053285992</v>
      </c>
      <c r="DR71" s="353"/>
      <c r="DS71" s="244">
        <f>IF(ISERROR(DS30/DM30-1),"-",DS30/DM30-1)</f>
        <v>0.22207297962838601</v>
      </c>
      <c r="DT71" s="244">
        <f>IF(ISERROR(DT30/DN30-1),"-",DT30/DN30-1)</f>
        <v>0.2557849364791287</v>
      </c>
      <c r="DU71" s="244">
        <f>IF(ISERROR(DU30/DO30-1),"-",DU30/DO30-1)</f>
        <v>0.2532497149372861</v>
      </c>
      <c r="DV71" s="244">
        <f>IF(ISERROR(DV30/DP30-1),"-",DV30/DP30-1)</f>
        <v>0.20011226494527068</v>
      </c>
      <c r="DW71" s="244">
        <f>DV71</f>
        <v>0.20011226494527068</v>
      </c>
      <c r="DX71" s="354"/>
      <c r="DY71" s="244">
        <f>IF(ISERROR(DY30/DS30-1),"-",DY30/DS30-1)</f>
        <v>0.18290895768455773</v>
      </c>
      <c r="DZ71" s="244">
        <f>IF(ISERROR(DZ30/DT30-1),"-",DZ30/DT30-1)</f>
        <v>0.18191671935687848</v>
      </c>
      <c r="EA71" s="244">
        <f>IF(ISERROR(EA30/DU30-1),"-",EA30/DU30-1)</f>
        <v>0.21290146483486483</v>
      </c>
      <c r="EB71" s="244">
        <f>IF(ISERROR(EB30/DV30-1),"-",EB30/DV30-1)</f>
        <v>0.2095416276894293</v>
      </c>
      <c r="EC71" s="244">
        <f>EB71</f>
        <v>0.2095416276894293</v>
      </c>
      <c r="ED71" s="354"/>
      <c r="EE71" s="244">
        <f>IF(ISERROR(EE30/DY30-1),"-",EE30/DY30-1)</f>
        <v>0.23974627346480459</v>
      </c>
      <c r="EF71" s="244">
        <f>IF(ISERROR(EF30/DZ30-1),"-",EF30/DZ30-1)</f>
        <v>0.25555114047305416</v>
      </c>
      <c r="EG71" s="244">
        <f>IF(ISERROR(EG30/EA30-1),"-",EG30/EA30-1)</f>
        <v>0.2224539541024606</v>
      </c>
      <c r="EH71" s="244">
        <f>IF(ISERROR(EH30/EB30-1),"-",EH30/EB30-1)</f>
        <v>0.1607199359345417</v>
      </c>
      <c r="EI71" s="244">
        <f>EH71</f>
        <v>0.1607199359345417</v>
      </c>
      <c r="EJ71" s="354"/>
      <c r="EK71" s="244">
        <f>IF(ISERROR(EK30/EE30-1),"-",EK30/EE30-1)</f>
        <v>0.17089348805759275</v>
      </c>
      <c r="EL71" s="244">
        <f>IF(ISERROR(EL30/EF30-1),"-",EL30/EF30-1)</f>
        <v>0.18286472182541624</v>
      </c>
      <c r="EM71" s="244">
        <f>IF(ISERROR(EM30/EG30-1),"-",EM30/EG30-1)</f>
        <v>0.19077963732630465</v>
      </c>
      <c r="EN71" s="244">
        <f>IF(ISERROR(EN30/EH30-1),"-",EN30/EH30-1)</f>
        <v>0.20099478426905892</v>
      </c>
      <c r="EO71" s="244">
        <f>EN71</f>
        <v>0.20099478426905892</v>
      </c>
      <c r="EP71" s="354"/>
      <c r="EQ71" s="244">
        <f>IF(ISERROR(EQ30/EK30-1),"-",EQ30/EK30-1)</f>
        <v>0.21330490591945006</v>
      </c>
      <c r="ER71" s="244">
        <f>IF(ISERROR(ER30/EL30-1),"-",ER30/EL30-1)</f>
        <v>0.2048894483486452</v>
      </c>
      <c r="ES71" s="244">
        <f>IF(ISERROR(ES30/EM30-1),"-",ES30/EM30-1)</f>
        <v>0.18270186747523742</v>
      </c>
      <c r="ET71" s="244">
        <f>IF(ISERROR(ET30/EN30-1),"-",ET30/EN30-1)</f>
        <v>0.14463521173279204</v>
      </c>
      <c r="EU71" s="244">
        <f>ET71</f>
        <v>0.14463521173279204</v>
      </c>
      <c r="EV71" s="354"/>
      <c r="EW71" s="354"/>
      <c r="EX71" s="354"/>
      <c r="EY71" s="354"/>
      <c r="EZ71" s="354"/>
      <c r="FA71" s="354"/>
      <c r="FB71" s="354"/>
    </row>
    <row r="72" spans="1:158" ht="10.5" hidden="1" customHeight="1" outlineLevel="1">
      <c r="A72" s="348" t="s">
        <v>1066</v>
      </c>
      <c r="B72" s="32"/>
      <c r="C72" s="90"/>
      <c r="D72" s="90"/>
      <c r="E72" s="90"/>
      <c r="F72" s="90"/>
      <c r="G72" s="61"/>
      <c r="H72" s="90"/>
      <c r="I72" s="90"/>
      <c r="J72" s="90"/>
      <c r="K72" s="353"/>
      <c r="L72" s="353"/>
      <c r="M72" s="353"/>
      <c r="N72" s="353"/>
      <c r="O72" s="244" t="str">
        <f>IF(ISERROR(O30/#REF!-1),"-",O30/#REF!-1)</f>
        <v>-</v>
      </c>
      <c r="P72" s="244">
        <f>IF(ISERROR(P30/O30-1),"-",P30/O30-1)</f>
        <v>9.6305905609093134E-2</v>
      </c>
      <c r="Q72" s="244">
        <f>IF(ISERROR(Q30/P30-1),"-",Q30/P30-1)</f>
        <v>-5.7023722319265224E-2</v>
      </c>
      <c r="R72" s="244">
        <f>IF(ISERROR(R30/Q30-1),"-",R30/Q30-1)</f>
        <v>0.48389602629220185</v>
      </c>
      <c r="S72" s="288" t="s">
        <v>6442</v>
      </c>
      <c r="T72" s="353"/>
      <c r="U72" s="244">
        <f>IF(ISERROR(U30/R30-1),"-",U30/R30-1)</f>
        <v>0.64615632424596314</v>
      </c>
      <c r="V72" s="244">
        <f>IF(ISERROR(V30/U30-1),"-",V30/U30-1)</f>
        <v>0.21876758237725991</v>
      </c>
      <c r="W72" s="244">
        <f>IF(ISERROR(W30/V30-1),"-",W30/V30-1)</f>
        <v>-0.12281722933643768</v>
      </c>
      <c r="X72" s="244">
        <f>IF(ISERROR(X30/W30-1),"-",X30/W30-1)</f>
        <v>-0.23108253437979098</v>
      </c>
      <c r="Y72" s="288" t="s">
        <v>6442</v>
      </c>
      <c r="Z72" s="353"/>
      <c r="AA72" s="244">
        <f>IF(ISERROR(AA30/X30-1),"-",AA30/X30-1)</f>
        <v>0.21878347815736232</v>
      </c>
      <c r="AB72" s="244">
        <f>IF(ISERROR(AB30/AA30-1),"-",AB30/AA30-1)</f>
        <v>7.005078620959071E-2</v>
      </c>
      <c r="AC72" s="244">
        <f>IF(ISERROR(AC30/AB30-1),"-",AC30/AB30-1)</f>
        <v>4.5750142612663858E-2</v>
      </c>
      <c r="AD72" s="244">
        <f>IF(ISERROR(AD30/AC30-1),"-",AD30/AC30-1)</f>
        <v>0.11265546585206199</v>
      </c>
      <c r="AE72" s="288" t="s">
        <v>6442</v>
      </c>
      <c r="AF72" s="353"/>
      <c r="AG72" s="244">
        <f>IF(ISERROR(AG30/AD30-1),"-",AG30/AD30-1)</f>
        <v>-2.5925126978212698E-2</v>
      </c>
      <c r="AH72" s="244">
        <f>IF(ISERROR(AH30/AG30-1),"-",AH30/AG30-1)</f>
        <v>0.18781582814922193</v>
      </c>
      <c r="AI72" s="244">
        <f>IF(ISERROR(AI30/AH30-1),"-",AI30/AH30-1)</f>
        <v>1.5254237288135464E-2</v>
      </c>
      <c r="AJ72" s="244">
        <f>IF(ISERROR(AJ30/AI30-1),"-",AJ30/AI30-1)</f>
        <v>9.3055091819699509E-2</v>
      </c>
      <c r="AK72" s="288" t="s">
        <v>6442</v>
      </c>
      <c r="AL72" s="353"/>
      <c r="AM72" s="244">
        <f>IF(ISERROR(AM30/AJ30-1),"-",AM30/AJ30-1)</f>
        <v>3.883984482389935E-2</v>
      </c>
      <c r="AN72" s="244">
        <f>IF(ISERROR(AN30/AM30-1),"-",AN30/AM30-1)</f>
        <v>9.1227193201699475E-2</v>
      </c>
      <c r="AO72" s="244">
        <f>IF(ISERROR(AO30/AN30-1),"-",AO30/AN30-1)</f>
        <v>3.2793511357818605E-2</v>
      </c>
      <c r="AP72" s="244">
        <f>IF(ISERROR(AP30/AO30-1),"-",AP30/AO30-1)</f>
        <v>0.2163561886871217</v>
      </c>
      <c r="AQ72" s="288" t="s">
        <v>6442</v>
      </c>
      <c r="AR72" s="353"/>
      <c r="AS72" s="244">
        <f>IF(ISERROR(AS30/AP30-1),"-",AS30/AP30-1)</f>
        <v>3.1391769715039652E-2</v>
      </c>
      <c r="AT72" s="244">
        <f>IF(ISERROR(AT30/AS30-1),"-",AT30/AS30-1)</f>
        <v>8.5371433325014401E-2</v>
      </c>
      <c r="AU72" s="244">
        <f>IF(ISERROR(AU30/AT30-1),"-",AU30/AT30-1)</f>
        <v>2.7496215677633273E-2</v>
      </c>
      <c r="AV72" s="244">
        <f>IF(ISERROR(AV30/AU30-1),"-",AV30/AU30-1)</f>
        <v>0.18674474116067419</v>
      </c>
      <c r="AW72" s="288" t="s">
        <v>6442</v>
      </c>
      <c r="AX72" s="353"/>
      <c r="AY72" s="244">
        <f>IF(ISERROR(AY30/AV30-1),"-",AY30/AV30-1)</f>
        <v>6.854395172695571E-2</v>
      </c>
      <c r="AZ72" s="244">
        <f>IF(ISERROR(AZ30/AY30-1),"-",AZ30/AY30-1)</f>
        <v>8.1617647058823461E-2</v>
      </c>
      <c r="BA72" s="244">
        <f>IF(ISERROR(BA30/AZ30-1),"-",BA30/AZ30-1)</f>
        <v>4.3507817811012872E-2</v>
      </c>
      <c r="BB72" s="244">
        <f>IF(ISERROR(BB30/BA30-1),"-",BB30/BA30-1)</f>
        <v>0.130944625407166</v>
      </c>
      <c r="BC72" s="288" t="s">
        <v>6442</v>
      </c>
      <c r="BD72" s="353"/>
      <c r="BE72" s="244">
        <f>IF(ISERROR(BE30/BB30-1),"-",BE30/BB30-1)</f>
        <v>0.11175115207373265</v>
      </c>
      <c r="BF72" s="244">
        <f>IF(ISERROR(BF30/BE30-1),"-",BF30/BE30-1)</f>
        <v>2.0725388601037231E-3</v>
      </c>
      <c r="BG72" s="244">
        <f>IF(ISERROR(BG30/BF30-1),"-",BG30/BF30-1)</f>
        <v>6.2047569803516112E-3</v>
      </c>
      <c r="BH72" s="244">
        <f>IF(ISERROR(BH30/BG30-1),"-",BH30/BG30-1)</f>
        <v>0.18550873586844818</v>
      </c>
      <c r="BI72" s="288" t="s">
        <v>6442</v>
      </c>
      <c r="BJ72" s="353"/>
      <c r="BK72" s="244">
        <f>IF(ISERROR(BK30/BH30-1),"-",BK30/BH30-1)</f>
        <v>0.15604681404421328</v>
      </c>
      <c r="BL72" s="244">
        <f>IF(ISERROR(BL30/BK30-1),"-",BL30/BK30-1)</f>
        <v>-8.2489688788901505E-3</v>
      </c>
      <c r="BM72" s="244">
        <f>IF(ISERROR(BM30/BL30-1),"-",BM30/BL30-1)</f>
        <v>1.1342155009452792E-3</v>
      </c>
      <c r="BN72" s="244">
        <f>IF(ISERROR(BN30/BM30-1),"-",BN30/BM30-1)</f>
        <v>0.17598187311178237</v>
      </c>
      <c r="BO72" s="288" t="s">
        <v>6442</v>
      </c>
      <c r="BP72" s="353"/>
      <c r="BQ72" s="244">
        <f>IF(ISERROR(BQ30/BN30-1),"-",BQ30/BN30-1)</f>
        <v>5.2344251766217154E-2</v>
      </c>
      <c r="BR72" s="244">
        <f>IF(ISERROR(BR30/BQ30-1),"-",BR30/BQ30-1)</f>
        <v>2.3802258162954004E-2</v>
      </c>
      <c r="BS72" s="244">
        <f>IF(ISERROR(BS30/BR30-1),"-",BS30/BR30-1)</f>
        <v>2.50372578241429E-2</v>
      </c>
      <c r="BT72" s="244">
        <f>IF(ISERROR(BT30/BS30-1),"-",BT30/BS30-1)</f>
        <v>0.16516429194533289</v>
      </c>
      <c r="BU72" s="288" t="s">
        <v>6442</v>
      </c>
      <c r="BV72" s="353"/>
      <c r="BW72" s="244">
        <f>IF(ISERROR(BW30/BT30-1),"-",BW30/BT30-1)</f>
        <v>7.6366358871974072E-2</v>
      </c>
      <c r="BX72" s="244">
        <f>IF(ISERROR(BX30/BW30-1),"-",BX30/BW30-1)</f>
        <v>2.1794574542082001E-2</v>
      </c>
      <c r="BY72" s="244">
        <f>IF(ISERROR(BY30/BX30-1),"-",BY30/BX30-1)</f>
        <v>-0.12071704107102332</v>
      </c>
      <c r="BZ72" s="244">
        <f>IF(ISERROR(BZ30/BY30-1),"-",BZ30/BY30-1)</f>
        <v>0.13238709677419358</v>
      </c>
      <c r="CA72" s="288" t="s">
        <v>6442</v>
      </c>
      <c r="CB72" s="353"/>
      <c r="CC72" s="244">
        <f>IF(ISERROR(CC30/BZ30-1),"-",CC30/BZ30-1)</f>
        <v>3.2588878760255291E-2</v>
      </c>
      <c r="CD72" s="244">
        <f>IF(ISERROR(CD30/CC30-1),"-",CD30/CC30-1)</f>
        <v>-6.3341425733833723E-2</v>
      </c>
      <c r="CE72" s="244">
        <f>IF(ISERROR(CE30/CD30-1),"-",CE30/CD30-1)</f>
        <v>-5.4665409990574898E-2</v>
      </c>
      <c r="CF72" s="244">
        <f>IF(ISERROR(CF30/CE30-1),"-",CF30/CE30-1)</f>
        <v>0.10817547357926238</v>
      </c>
      <c r="CG72" s="288" t="s">
        <v>6442</v>
      </c>
      <c r="CH72" s="353"/>
      <c r="CI72" s="244">
        <f>IF(ISERROR(CI30/CF30-1),"-",CI30/CF30-1)</f>
        <v>5.8479532163742798E-2</v>
      </c>
      <c r="CJ72" s="244">
        <f>IF(ISERROR(CJ30/CI30-1),"-",CJ30/CI30-1)</f>
        <v>-3.4849128771780813E-2</v>
      </c>
      <c r="CK72" s="244">
        <f>IF(ISERROR(CK30/CJ30-1),"-",CK30/CJ30-1)</f>
        <v>-5.3280493174812871E-2</v>
      </c>
      <c r="CL72" s="244">
        <f>IF(ISERROR(CL30/CK30-1),"-",CL30/CK30-1)</f>
        <v>0.15395348837209299</v>
      </c>
      <c r="CM72" s="288" t="s">
        <v>6442</v>
      </c>
      <c r="CN72" s="353"/>
      <c r="CO72" s="244">
        <f>IF(ISERROR(CO30/CL30-1),"-",CO30/CL30-1)</f>
        <v>4.5747682386134692E-2</v>
      </c>
      <c r="CP72" s="244">
        <f>IF(ISERROR(CP30/CO30-1),"-",CP30/CO30-1)</f>
        <v>1.2333783002505205E-2</v>
      </c>
      <c r="CQ72" s="244">
        <f>IF(ISERROR(CQ30/CP30-1),"-",CQ30/CP30-1)</f>
        <v>-4.8353321911288716E-2</v>
      </c>
      <c r="CR72" s="244">
        <f>IF(ISERROR(CR30/CQ30-1),"-",CR30/CQ30-1)</f>
        <v>0.16483296659331859</v>
      </c>
      <c r="CS72" s="288" t="s">
        <v>6442</v>
      </c>
      <c r="CT72" s="353"/>
      <c r="CU72" s="244">
        <f>IF(ISERROR(CU30/CR30-1),"-",CU30/CR30-1)</f>
        <v>4.1215868109223397E-3</v>
      </c>
      <c r="CV72" s="244">
        <f>IF(ISERROR(CV30/CU30-1),"-",CV30/CU30-1)</f>
        <v>1.0603728407730273E-2</v>
      </c>
      <c r="CW72" s="244">
        <f>IF(ISERROR(CW30/CV30-1),"-",CW30/CV30-1)</f>
        <v>-5.550854628532742E-2</v>
      </c>
      <c r="CX72" s="244">
        <f>IF(ISERROR(CX30/CW30-1),"-",CX30/CW30-1)</f>
        <v>0.15929044974018991</v>
      </c>
      <c r="CY72" s="288" t="s">
        <v>6442</v>
      </c>
      <c r="CZ72" s="353"/>
      <c r="DA72" s="244">
        <f>IF(ISERROR(DA30/CX30-1),"-",DA30/CX30-1)</f>
        <v>2.5811437403400417E-2</v>
      </c>
      <c r="DB72" s="244">
        <f>IF(ISERROR(DB30/DA30-1),"-",DB30/DA30-1)</f>
        <v>-4.0379689618803782E-2</v>
      </c>
      <c r="DC72" s="244">
        <f>IF(ISERROR(DC30/DB30-1),"-",DC30/DB30-1)</f>
        <v>-4.0979745642958143E-2</v>
      </c>
      <c r="DD72" s="244">
        <f>IF(ISERROR(DD30/DC30-1),"-",DD30/DC30-1)</f>
        <v>0.13981663392272448</v>
      </c>
      <c r="DE72" s="288" t="s">
        <v>6442</v>
      </c>
      <c r="DF72" s="353"/>
      <c r="DG72" s="244">
        <f>IF(ISERROR(DG30/DD30-1),"-",DG30/DD30-1)</f>
        <v>7.6845733984487241E-2</v>
      </c>
      <c r="DH72" s="244">
        <f>IF(ISERROR(DH30/DG30-1),"-",DH30/DG30-1)</f>
        <v>1.7740429505135324E-2</v>
      </c>
      <c r="DI72" s="244">
        <f>IF(ISERROR(DI30/DH30-1),"-",DI30/DH30-1)</f>
        <v>1.5858453473132306E-2</v>
      </c>
      <c r="DJ72" s="244">
        <f>IF(ISERROR(DJ30/DI30-1),"-",DJ30/DI30-1)</f>
        <v>0.16217262288736922</v>
      </c>
      <c r="DK72" s="288" t="s">
        <v>6442</v>
      </c>
      <c r="DL72" s="353"/>
      <c r="DM72" s="244">
        <f>IF(ISERROR(DM30/DJ30-1),"-",DM30/DJ30-1)</f>
        <v>-8.2149200710479597E-3</v>
      </c>
      <c r="DN72" s="244">
        <f>IF(ISERROR(DN30/DM30-1),"-",DN30/DM30-1)</f>
        <v>-1.3207969554510757E-2</v>
      </c>
      <c r="DO72" s="244">
        <f>IF(ISERROR(DO30/DN30-1),"-",DO30/DN30-1)</f>
        <v>-5.2177858439201863E-3</v>
      </c>
      <c r="DP72" s="244">
        <f>IF(ISERROR(DP30/DO30-1),"-",DP30/DO30-1)</f>
        <v>0.21881413911060443</v>
      </c>
      <c r="DQ72" s="288" t="s">
        <v>6442</v>
      </c>
      <c r="DR72" s="353"/>
      <c r="DS72" s="244">
        <f>IF(ISERROR(DS30/DP30-1),"-",DS30/DP30-1)</f>
        <v>2.1423893722518406E-2</v>
      </c>
      <c r="DT72" s="244">
        <f>IF(ISERROR(DT30/DS30-1),"-",DT30/DS30-1)</f>
        <v>1.401355559626305E-2</v>
      </c>
      <c r="DU72" s="244">
        <f>IF(ISERROR(DU30/DT30-1),"-",DU30/DT30-1)</f>
        <v>-7.2260861710775615E-3</v>
      </c>
      <c r="DV72" s="244">
        <f>IF(ISERROR(DV30/DU30-1),"-",DV30/DU30-1)</f>
        <v>0.16713674824856706</v>
      </c>
      <c r="DW72" s="288" t="s">
        <v>6442</v>
      </c>
      <c r="DX72" s="354"/>
      <c r="DY72" s="244">
        <f>IF(ISERROR(DY30/DV30-1),"-",DY30/DV30-1)</f>
        <v>6.7820392890551862E-3</v>
      </c>
      <c r="DZ72" s="244">
        <f>IF(ISERROR(DZ30/DY30-1),"-",DZ30/DY30-1)</f>
        <v>1.316298877274491E-2</v>
      </c>
      <c r="EA72" s="244">
        <f>IF(ISERROR(EA30/DZ30-1),"-",EA30/DZ30-1)</f>
        <v>1.8800152846770946E-2</v>
      </c>
      <c r="EB72" s="244">
        <f>IF(ISERROR(EB30/EA30-1),"-",EB30/EA30-1)</f>
        <v>0.16390368314455039</v>
      </c>
      <c r="EC72" s="288" t="s">
        <v>6442</v>
      </c>
      <c r="ED72" s="354"/>
      <c r="EE72" s="244">
        <f>IF(ISERROR(EE30/EB30-1),"-",EE30/EB30-1)</f>
        <v>3.1923377274938991E-2</v>
      </c>
      <c r="EF72" s="244">
        <f>IF(ISERROR(EF30/EE30-1),"-",EF30/EE30-1)</f>
        <v>2.6079265786816075E-2</v>
      </c>
      <c r="EG72" s="244">
        <f>IF(ISERROR(EG30/EF30-1),"-",EG30/EF30-1)</f>
        <v>-8.0561156445740911E-3</v>
      </c>
      <c r="EH72" s="244">
        <f>IF(ISERROR(EH30/EG30-1),"-",EH30/EG30-1)</f>
        <v>0.10512645813756993</v>
      </c>
      <c r="EI72" s="288" t="s">
        <v>6442</v>
      </c>
      <c r="EJ72" s="354"/>
      <c r="EK72" s="244">
        <f>IF(ISERROR(EK30/EH30-1),"-",EK30/EH30-1)</f>
        <v>4.0968045106243967E-2</v>
      </c>
      <c r="EL72" s="244">
        <f>IF(ISERROR(EL30/EK30-1),"-",EL30/EK30-1)</f>
        <v>3.6569916627677612E-2</v>
      </c>
      <c r="EM72" s="244">
        <f>IF(ISERROR(EM30/EL30-1),"-",EM30/EL30-1)</f>
        <v>-1.4187108074594779E-3</v>
      </c>
      <c r="EN72" s="244">
        <f>IF(ISERROR(EN30/EM30-1),"-",EN30/EM30-1)</f>
        <v>0.11460682613038209</v>
      </c>
      <c r="EO72" s="288" t="s">
        <v>6442</v>
      </c>
      <c r="EP72" s="354"/>
      <c r="EQ72" s="244">
        <f>IF(ISERROR(EQ30/EN30-1),"-",EQ30/EN30-1)</f>
        <v>5.1637902658728363E-2</v>
      </c>
      <c r="ER72" s="244">
        <f>IF(ISERROR(ER30/EQ30-1),"-",ER30/EQ30-1)</f>
        <v>2.9380289263612358E-2</v>
      </c>
      <c r="ES72" s="244">
        <f>IF(ISERROR(ES30/ER30-1),"-",ES30/ER30-1)</f>
        <v>-1.9807205405862116E-2</v>
      </c>
      <c r="ET72" s="244">
        <f>IF(ISERROR(ET30/ES30-1),"-",ET30/ES30-1)</f>
        <v>7.8731889677410516E-2</v>
      </c>
      <c r="EU72" s="288" t="s">
        <v>6442</v>
      </c>
      <c r="EV72" s="354"/>
      <c r="EW72" s="354"/>
      <c r="EX72" s="354"/>
      <c r="EY72" s="354"/>
      <c r="EZ72" s="354"/>
      <c r="FA72" s="354"/>
      <c r="FB72" s="354"/>
    </row>
    <row r="73" spans="1:158" ht="10.5" hidden="1" customHeight="1" outlineLevel="1">
      <c r="A73" s="25"/>
      <c r="B73" s="32"/>
      <c r="C73" s="90"/>
      <c r="D73" s="90"/>
      <c r="E73" s="90"/>
      <c r="F73" s="90"/>
      <c r="G73" s="61"/>
      <c r="H73" s="90"/>
      <c r="I73" s="90"/>
      <c r="J73" s="90"/>
      <c r="K73" s="61"/>
      <c r="L73" s="61"/>
      <c r="M73" s="61"/>
      <c r="N73" s="61"/>
      <c r="O73" s="116"/>
      <c r="P73" s="116"/>
      <c r="Q73" s="116"/>
      <c r="R73" s="116"/>
      <c r="S73" s="246"/>
      <c r="T73" s="61"/>
      <c r="U73" s="116"/>
      <c r="V73" s="116"/>
      <c r="W73" s="116"/>
      <c r="X73" s="116"/>
      <c r="Y73" s="246"/>
      <c r="Z73" s="112"/>
      <c r="AA73" s="116"/>
      <c r="AB73" s="116"/>
      <c r="AC73" s="116"/>
      <c r="AD73" s="116"/>
      <c r="AE73" s="246"/>
      <c r="AF73" s="112"/>
      <c r="AG73" s="116"/>
      <c r="AH73" s="116"/>
      <c r="AI73" s="116"/>
      <c r="AJ73" s="116"/>
      <c r="AK73" s="246"/>
      <c r="AL73" s="112"/>
      <c r="AM73" s="116"/>
      <c r="AN73" s="116"/>
      <c r="AO73" s="116"/>
      <c r="AP73" s="116"/>
      <c r="AQ73" s="246"/>
      <c r="AR73" s="112"/>
      <c r="AS73" s="116"/>
      <c r="AT73" s="116"/>
      <c r="AU73" s="116"/>
      <c r="AV73" s="116"/>
      <c r="AW73" s="246"/>
      <c r="AX73" s="61"/>
      <c r="AY73" s="116"/>
      <c r="AZ73" s="116"/>
      <c r="BA73" s="116"/>
      <c r="BB73" s="116"/>
      <c r="BC73" s="246"/>
      <c r="BD73" s="112"/>
      <c r="BE73" s="116"/>
      <c r="BF73" s="116"/>
      <c r="BG73" s="116"/>
      <c r="BH73" s="116"/>
      <c r="BI73" s="246"/>
      <c r="BJ73" s="112"/>
      <c r="BK73" s="116"/>
      <c r="BL73" s="116"/>
      <c r="BM73" s="116"/>
      <c r="BN73" s="116"/>
      <c r="BO73" s="246"/>
      <c r="BP73" s="112"/>
      <c r="BQ73" s="116"/>
      <c r="BR73" s="116"/>
      <c r="BS73" s="116"/>
      <c r="BT73" s="116"/>
      <c r="BU73" s="246"/>
      <c r="BV73" s="112"/>
      <c r="BW73" s="116"/>
      <c r="BX73" s="116"/>
      <c r="BY73" s="116"/>
      <c r="BZ73" s="116"/>
      <c r="CA73" s="246"/>
      <c r="CB73" s="112"/>
      <c r="CC73" s="116"/>
      <c r="CD73" s="116"/>
      <c r="CE73" s="116"/>
      <c r="CF73" s="116"/>
      <c r="CG73" s="246"/>
      <c r="CH73" s="112"/>
      <c r="CI73" s="116"/>
      <c r="CJ73" s="116"/>
      <c r="CK73" s="116"/>
      <c r="CL73" s="116"/>
      <c r="CM73" s="246"/>
      <c r="CN73" s="112"/>
      <c r="CO73" s="116"/>
      <c r="CP73" s="116"/>
      <c r="CQ73" s="116"/>
      <c r="CR73" s="116"/>
      <c r="CS73" s="246"/>
      <c r="CT73" s="112"/>
      <c r="CU73" s="116"/>
      <c r="CV73" s="116"/>
      <c r="CW73" s="116"/>
      <c r="CX73" s="116"/>
      <c r="CY73" s="246"/>
      <c r="CZ73" s="112"/>
      <c r="DA73" s="116"/>
      <c r="DB73" s="116"/>
      <c r="DC73" s="116"/>
      <c r="DD73" s="116"/>
      <c r="DE73" s="246"/>
      <c r="DF73" s="112"/>
      <c r="DG73" s="116"/>
      <c r="DH73" s="116"/>
      <c r="DI73" s="116"/>
      <c r="DJ73" s="116"/>
      <c r="DK73" s="246"/>
      <c r="DL73" s="112"/>
      <c r="DM73" s="116"/>
      <c r="DN73" s="116"/>
      <c r="DO73" s="116"/>
      <c r="DP73" s="116"/>
      <c r="DQ73" s="246"/>
      <c r="DR73" s="112"/>
      <c r="DS73" s="116"/>
      <c r="DT73" s="116"/>
      <c r="DU73" s="116"/>
      <c r="DV73" s="116"/>
      <c r="DW73" s="246"/>
      <c r="DX73" s="27"/>
      <c r="DY73" s="116"/>
      <c r="DZ73" s="116"/>
      <c r="EA73" s="116"/>
      <c r="EB73" s="116"/>
      <c r="EC73" s="246"/>
      <c r="ED73" s="27"/>
      <c r="EE73" s="116"/>
      <c r="EF73" s="116"/>
      <c r="EG73" s="116"/>
      <c r="EH73" s="116"/>
      <c r="EI73" s="246"/>
      <c r="EJ73" s="27"/>
      <c r="EK73" s="116"/>
      <c r="EL73" s="116"/>
      <c r="EM73" s="116"/>
      <c r="EN73" s="116"/>
      <c r="EO73" s="246"/>
      <c r="EP73" s="27"/>
      <c r="EQ73" s="116"/>
      <c r="ER73" s="116"/>
      <c r="ES73" s="116"/>
      <c r="ET73" s="116"/>
      <c r="EU73" s="246"/>
      <c r="EV73" s="27"/>
      <c r="EW73" s="27"/>
      <c r="EX73" s="27"/>
      <c r="EY73" s="27"/>
      <c r="EZ73" s="27"/>
      <c r="FA73" s="27"/>
      <c r="FB73" s="27"/>
    </row>
    <row r="74" spans="1:158" ht="10.5" hidden="1" customHeight="1" outlineLevel="1">
      <c r="A74" s="31" t="s">
        <v>6693</v>
      </c>
      <c r="B74" s="32"/>
      <c r="C74" s="90"/>
      <c r="D74" s="90"/>
      <c r="E74" s="90"/>
      <c r="F74" s="90"/>
      <c r="G74" s="61"/>
      <c r="H74" s="90"/>
      <c r="I74" s="90"/>
      <c r="J74" s="90"/>
      <c r="K74" s="65"/>
      <c r="L74" s="65"/>
      <c r="M74" s="65"/>
      <c r="N74" s="65"/>
      <c r="O74" s="66"/>
      <c r="P74" s="66"/>
      <c r="Q74" s="66"/>
      <c r="R74" s="66"/>
      <c r="S74" s="66"/>
      <c r="T74" s="65"/>
      <c r="U74" s="66"/>
      <c r="V74" s="66"/>
      <c r="W74" s="66"/>
      <c r="X74" s="66"/>
      <c r="Y74" s="66"/>
      <c r="Z74" s="67"/>
      <c r="AA74" s="66"/>
      <c r="AB74" s="66"/>
      <c r="AC74" s="66"/>
      <c r="AD74" s="66"/>
      <c r="AE74" s="66"/>
      <c r="AF74" s="67"/>
      <c r="AG74" s="66"/>
      <c r="AH74" s="66"/>
      <c r="AI74" s="66"/>
      <c r="AJ74" s="66"/>
      <c r="AK74" s="66"/>
      <c r="AL74" s="67"/>
      <c r="AM74" s="66"/>
      <c r="AN74" s="66"/>
      <c r="AO74" s="66"/>
      <c r="AP74" s="66"/>
      <c r="AQ74" s="66"/>
      <c r="AR74" s="67"/>
      <c r="AS74" s="66"/>
      <c r="AT74" s="66"/>
      <c r="AU74" s="66"/>
      <c r="AV74" s="66"/>
      <c r="AW74" s="66"/>
      <c r="AX74" s="65"/>
      <c r="AY74" s="66"/>
      <c r="AZ74" s="66"/>
      <c r="BA74" s="66"/>
      <c r="BB74" s="66"/>
      <c r="BC74" s="66"/>
      <c r="BD74" s="67"/>
      <c r="BE74" s="68"/>
      <c r="BF74" s="68"/>
      <c r="BG74" s="68"/>
      <c r="BH74" s="68"/>
      <c r="BI74" s="66"/>
      <c r="BJ74" s="67"/>
      <c r="BK74" s="68"/>
      <c r="BL74" s="68"/>
      <c r="BM74" s="68"/>
      <c r="BN74" s="68"/>
      <c r="BO74" s="66"/>
      <c r="BP74" s="67"/>
      <c r="BQ74" s="68"/>
      <c r="BR74" s="68"/>
      <c r="BS74" s="68"/>
      <c r="BT74" s="68"/>
      <c r="BU74" s="66"/>
      <c r="BV74" s="67"/>
      <c r="BW74" s="68"/>
      <c r="BX74" s="68"/>
      <c r="BY74" s="68"/>
      <c r="BZ74" s="68"/>
      <c r="CA74" s="66"/>
      <c r="CB74" s="67"/>
      <c r="CC74" s="68"/>
      <c r="CD74" s="68"/>
      <c r="CE74" s="68"/>
      <c r="CF74" s="68"/>
      <c r="CG74" s="66"/>
      <c r="CH74" s="67"/>
      <c r="CI74" s="68"/>
      <c r="CJ74" s="68"/>
      <c r="CK74" s="68"/>
      <c r="CL74" s="68"/>
      <c r="CM74" s="66"/>
      <c r="CN74" s="67"/>
      <c r="CO74" s="68"/>
      <c r="CP74" s="68"/>
      <c r="CQ74" s="68"/>
      <c r="CR74" s="68"/>
      <c r="CS74" s="66"/>
      <c r="CT74" s="67"/>
      <c r="CU74" s="68"/>
      <c r="CV74" s="68"/>
      <c r="CW74" s="68"/>
      <c r="CX74" s="68"/>
      <c r="CY74" s="66"/>
      <c r="CZ74" s="67"/>
      <c r="DA74" s="68"/>
      <c r="DB74" s="68"/>
      <c r="DC74" s="68"/>
      <c r="DD74" s="68"/>
      <c r="DE74" s="66"/>
      <c r="DF74" s="67"/>
      <c r="DG74" s="68"/>
      <c r="DH74" s="68"/>
      <c r="DI74" s="68"/>
      <c r="DJ74" s="68"/>
      <c r="DK74" s="66"/>
      <c r="DL74" s="67"/>
      <c r="DM74" s="68"/>
      <c r="DN74" s="68"/>
      <c r="DO74" s="68"/>
      <c r="DP74" s="68"/>
      <c r="DQ74" s="66"/>
      <c r="DR74" s="67"/>
      <c r="DS74" s="68"/>
      <c r="DT74" s="68"/>
      <c r="DU74" s="68"/>
      <c r="DV74" s="68"/>
      <c r="DW74" s="66"/>
      <c r="DX74" s="39"/>
      <c r="DY74" s="68"/>
      <c r="DZ74" s="68"/>
      <c r="EA74" s="68"/>
      <c r="EB74" s="68"/>
      <c r="EC74" s="66"/>
      <c r="ED74" s="39"/>
      <c r="EE74" s="68"/>
      <c r="EF74" s="68"/>
      <c r="EG74" s="68"/>
      <c r="EH74" s="68"/>
      <c r="EI74" s="66"/>
      <c r="EJ74" s="39"/>
      <c r="EK74" s="68"/>
      <c r="EL74" s="68"/>
      <c r="EM74" s="68"/>
      <c r="EN74" s="68"/>
      <c r="EO74" s="66"/>
      <c r="EP74" s="39"/>
      <c r="EQ74" s="68"/>
      <c r="ER74" s="68"/>
      <c r="ES74" s="68"/>
      <c r="ET74" s="68"/>
      <c r="EU74" s="66"/>
      <c r="EV74" s="39"/>
      <c r="EW74" s="39"/>
      <c r="EX74" s="39"/>
      <c r="EY74" s="39"/>
      <c r="EZ74" s="39"/>
      <c r="FA74" s="39"/>
      <c r="FB74" s="39"/>
    </row>
    <row r="75" spans="1:158" ht="10.5" hidden="1" customHeight="1" outlineLevel="1">
      <c r="A75" s="348" t="s">
        <v>92</v>
      </c>
      <c r="B75" s="32"/>
      <c r="C75" s="90"/>
      <c r="D75" s="90"/>
      <c r="E75" s="90"/>
      <c r="F75" s="90"/>
      <c r="G75" s="61"/>
      <c r="H75" s="90"/>
      <c r="I75" s="90"/>
      <c r="J75" s="90"/>
      <c r="K75" s="353"/>
      <c r="L75" s="353"/>
      <c r="M75" s="353"/>
      <c r="N75" s="353"/>
      <c r="O75" s="244" t="str">
        <f>IF(ISERROR(O37/#REF!-1),"-",O37/#REF!-1)</f>
        <v>-</v>
      </c>
      <c r="P75" s="244" t="str">
        <f>IF(ISERROR(P37/#REF!-1),"-",P37/#REF!-1)</f>
        <v>-</v>
      </c>
      <c r="Q75" s="244" t="str">
        <f>IF(ISERROR(Q37/#REF!-1),"-",Q37/#REF!-1)</f>
        <v>-</v>
      </c>
      <c r="R75" s="244" t="str">
        <f>IF(ISERROR(R37/#REF!-1),"-",R37/#REF!-1)</f>
        <v>-</v>
      </c>
      <c r="S75" s="244" t="str">
        <f>IF(ISERROR(S37/#REF!-1),"-",S37/#REF!-1)</f>
        <v>-</v>
      </c>
      <c r="T75" s="353"/>
      <c r="U75" s="244" t="str">
        <f>IF(ISERROR(U37/O37-1),"-",U37/O37-1)</f>
        <v>-</v>
      </c>
      <c r="V75" s="244" t="str">
        <f>IF(ISERROR(V37/P37-1),"-",V37/P37-1)</f>
        <v>-</v>
      </c>
      <c r="W75" s="244" t="str">
        <f>IF(ISERROR(W37/Q37-1),"-",W37/Q37-1)</f>
        <v>-</v>
      </c>
      <c r="X75" s="244" t="str">
        <f>IF(ISERROR(X37/R37-1),"-",X37/R37-1)</f>
        <v>-</v>
      </c>
      <c r="Y75" s="244" t="str">
        <f>IF(ISERROR(Y37/S37-1),"-",Y37/S37-1)</f>
        <v>-</v>
      </c>
      <c r="Z75" s="353"/>
      <c r="AA75" s="244" t="str">
        <f>IF(ISERROR(AA37/U37-1),"-",AA37/U37-1)</f>
        <v>-</v>
      </c>
      <c r="AB75" s="244" t="str">
        <f>IF(ISERROR(AB37/V37-1),"-",AB37/V37-1)</f>
        <v>-</v>
      </c>
      <c r="AC75" s="244" t="str">
        <f>IF(ISERROR(AC37/W37-1),"-",AC37/W37-1)</f>
        <v>-</v>
      </c>
      <c r="AD75" s="244" t="str">
        <f>IF(ISERROR(AD37/X37-1),"-",AD37/X37-1)</f>
        <v>-</v>
      </c>
      <c r="AE75" s="244" t="str">
        <f>AD75</f>
        <v>-</v>
      </c>
      <c r="AF75" s="353"/>
      <c r="AG75" s="244" t="str">
        <f>IF(ISERROR(AG37/AA37-1),"-",AG37/AA37-1)</f>
        <v>-</v>
      </c>
      <c r="AH75" s="244" t="str">
        <f>IF(ISERROR(AH37/AB37-1),"-",AH37/AB37-1)</f>
        <v>-</v>
      </c>
      <c r="AI75" s="244" t="str">
        <f>IF(ISERROR(AI37/AC37-1),"-",AI37/AC37-1)</f>
        <v>-</v>
      </c>
      <c r="AJ75" s="244" t="str">
        <f>IF(ISERROR(AJ37/AD37-1),"-",AJ37/AD37-1)</f>
        <v>-</v>
      </c>
      <c r="AK75" s="244" t="str">
        <f>AJ75</f>
        <v>-</v>
      </c>
      <c r="AL75" s="353"/>
      <c r="AM75" s="244" t="str">
        <f>IF(ISERROR(AM37/AG37-1),"-",AM37/AG37-1)</f>
        <v>-</v>
      </c>
      <c r="AN75" s="244" t="str">
        <f>IF(ISERROR(AN37/AH37-1),"-",AN37/AH37-1)</f>
        <v>-</v>
      </c>
      <c r="AO75" s="244" t="str">
        <f>IF(ISERROR(AO37/AI37-1),"-",AO37/AI37-1)</f>
        <v>-</v>
      </c>
      <c r="AP75" s="244" t="str">
        <f>IF(ISERROR(AP37/AJ37-1),"-",AP37/AJ37-1)</f>
        <v>-</v>
      </c>
      <c r="AQ75" s="244" t="str">
        <f>AP75</f>
        <v>-</v>
      </c>
      <c r="AR75" s="244"/>
      <c r="AS75" s="244" t="str">
        <f>IF(ISERROR(AS37/AM37-1),"-",AS37/AM37-1)</f>
        <v>-</v>
      </c>
      <c r="AT75" s="244" t="str">
        <f>IF(ISERROR(AT37/AN37-1),"-",AT37/AN37-1)</f>
        <v>-</v>
      </c>
      <c r="AU75" s="244" t="str">
        <f>IF(ISERROR(AU37/AO37-1),"-",AU37/AO37-1)</f>
        <v>-</v>
      </c>
      <c r="AV75" s="244" t="str">
        <f>IF(ISERROR(AV37/AP37-1),"-",AV37/AP37-1)</f>
        <v>-</v>
      </c>
      <c r="AW75" s="244" t="str">
        <f>AV75</f>
        <v>-</v>
      </c>
      <c r="AX75" s="353"/>
      <c r="AY75" s="244" t="str">
        <f>IF(ISERROR(AY37/AS37-1),"-",AY37/AS37-1)</f>
        <v>-</v>
      </c>
      <c r="AZ75" s="244" t="str">
        <f>IF(ISERROR(AZ37/AT37-1),"-",AZ37/AT37-1)</f>
        <v>-</v>
      </c>
      <c r="BA75" s="244" t="str">
        <f>IF(ISERROR(BA37/AU37-1),"-",BA37/AU37-1)</f>
        <v>-</v>
      </c>
      <c r="BB75" s="244" t="str">
        <f>IF(ISERROR(BB37/AV37-1),"-",BB37/AV37-1)</f>
        <v>-</v>
      </c>
      <c r="BC75" s="244" t="str">
        <f>BB75</f>
        <v>-</v>
      </c>
      <c r="BD75" s="353"/>
      <c r="BE75" s="244" t="str">
        <f>IF(ISERROR(BE37/AY37-1),"-",BE37/AY37-1)</f>
        <v>-</v>
      </c>
      <c r="BF75" s="244"/>
      <c r="BG75" s="244" t="str">
        <f>IF(ISERROR(BG37/BA37-1),"-",BG37/BA37-1)</f>
        <v>-</v>
      </c>
      <c r="BH75" s="244">
        <f>IF(ISERROR(BH37/BB37-1),"-",BH37/BB37-1)</f>
        <v>1.3096774193548386</v>
      </c>
      <c r="BI75" s="244">
        <f>BH75</f>
        <v>1.3096774193548386</v>
      </c>
      <c r="BJ75" s="353"/>
      <c r="BK75" s="244">
        <f>IF(ISERROR(BK37/BE37-1),"-",BK37/BE37-1)</f>
        <v>1.06</v>
      </c>
      <c r="BL75" s="244">
        <f>IF(ISERROR(BL37/BF37-1),"-",BL37/BF37-1)</f>
        <v>0.89285714285714302</v>
      </c>
      <c r="BM75" s="244">
        <f>IF(ISERROR(BM37/BG37-1),"-",BM37/BG37-1)</f>
        <v>0.50769230769230766</v>
      </c>
      <c r="BN75" s="244">
        <f>IF(ISERROR(BN37/BH37-1),"-",BN37/BH37-1)</f>
        <v>0.88268156424581035</v>
      </c>
      <c r="BO75" s="244">
        <f>BN75</f>
        <v>0.88268156424581035</v>
      </c>
      <c r="BP75" s="353"/>
      <c r="BQ75" s="244">
        <f>IF(ISERROR(BQ37/BK37-1),"-",BQ37/BK37-1)</f>
        <v>0.75242718446601931</v>
      </c>
      <c r="BR75" s="244">
        <f>IF(ISERROR(BR37/BL37-1),"-",BR37/BL37-1)</f>
        <v>0.60167714884696011</v>
      </c>
      <c r="BS75" s="244">
        <f>IF(ISERROR(BS37/BM37-1),"-",BS37/BM37-1)</f>
        <v>0.63265306122448983</v>
      </c>
      <c r="BT75" s="244">
        <f>IF(ISERROR(BT37/BN37-1),"-",BT37/BN37-1)</f>
        <v>0.56379821958456966</v>
      </c>
      <c r="BU75" s="244">
        <f>BT75</f>
        <v>0.56379821958456966</v>
      </c>
      <c r="BV75" s="353"/>
      <c r="BW75" s="244">
        <f>IF(ISERROR(BW37/BQ37-1),"-",BW37/BQ37-1)</f>
        <v>0.63988919667590038</v>
      </c>
      <c r="BX75" s="244">
        <f>IF(ISERROR(BX37/BR37-1),"-",BX37/BR37-1)</f>
        <v>0.59554973821989532</v>
      </c>
      <c r="BY75" s="244">
        <f>IF(ISERROR(BY37/BS37-1),"-",BY37/BS37-1)</f>
        <v>0.39875000000000016</v>
      </c>
      <c r="BZ75" s="244">
        <f>IF(ISERROR(BZ37/BT37-1),"-",BZ37/BT37-1)</f>
        <v>7.4952561669829221E-2</v>
      </c>
      <c r="CA75" s="244">
        <f>BZ75</f>
        <v>7.4952561669829221E-2</v>
      </c>
      <c r="CB75" s="353"/>
      <c r="CC75" s="244">
        <f>IF(ISERROR(CC37/BW37-1),"-",CC37/BW37-1)</f>
        <v>-0.31672297297297292</v>
      </c>
      <c r="CD75" s="244">
        <f>IF(ISERROR(CD37/BX37-1),"-",CD37/BX37-1)</f>
        <v>-0.3642329778506973</v>
      </c>
      <c r="CE75" s="244">
        <f>IF(ISERROR(CE37/BY37-1),"-",CE37/BY37-1)</f>
        <v>-0.38963360142984815</v>
      </c>
      <c r="CF75" s="244">
        <f>IF(ISERROR(CF37/BZ37-1),"-",CF37/BZ37-1)</f>
        <v>-0.36540158870255957</v>
      </c>
      <c r="CG75" s="244">
        <f>CF75</f>
        <v>-0.36540158870255957</v>
      </c>
      <c r="CH75" s="353"/>
      <c r="CI75" s="244">
        <f>IF(ISERROR(CI37/CC37-1),"-",CI37/CC37-1)</f>
        <v>-9.6415327564895015E-2</v>
      </c>
      <c r="CJ75" s="244">
        <f>IF(ISERROR(CJ37/CD37-1),"-",CJ37/CD37-1)</f>
        <v>-7.2258064516128928E-2</v>
      </c>
      <c r="CK75" s="244">
        <f>IF(ISERROR(CK37/CE37-1),"-",CK37/CE37-1)</f>
        <v>0.12884333821376281</v>
      </c>
      <c r="CL75" s="244">
        <f>IF(ISERROR(CL37/CF37-1),"-",CL37/CF37-1)</f>
        <v>0.27538247566063978</v>
      </c>
      <c r="CM75" s="244">
        <f>CL75</f>
        <v>0.27538247566063978</v>
      </c>
      <c r="CN75" s="353"/>
      <c r="CO75" s="244">
        <f>IF(ISERROR(CO37/CI37-1),"-",CO37/CI37-1)</f>
        <v>0.41586867305061581</v>
      </c>
      <c r="CP75" s="244">
        <f>IF(ISERROR(CP37/CJ37-1),"-",CP37/CJ37-1)</f>
        <v>0.62865090403337942</v>
      </c>
      <c r="CQ75" s="244">
        <f>IF(ISERROR(CQ37/CK37-1),"-",CQ37/CK37-1)</f>
        <v>0.55642023346303504</v>
      </c>
      <c r="CR75" s="244">
        <f>IF(ISERROR(CR37/CL37-1),"-",CR37/CL37-1)</f>
        <v>0.49291166848418766</v>
      </c>
      <c r="CS75" s="244">
        <f>CR75</f>
        <v>0.49291166848418766</v>
      </c>
      <c r="CT75" s="353"/>
      <c r="CU75" s="244">
        <f>IF(ISERROR(CU37/CO37-1),"-",CU37/CO37-1)</f>
        <v>0.37391304347826071</v>
      </c>
      <c r="CV75" s="244">
        <f>IF(ISERROR(CV37/CP37-1),"-",CV37/CP37-1)</f>
        <v>0.37574722459436383</v>
      </c>
      <c r="CW75" s="244">
        <f>IF(ISERROR(CW37/CQ37-1),"-",CW37/CQ37-1)</f>
        <v>0.29666666666666663</v>
      </c>
      <c r="CX75" s="244">
        <f>IF(ISERROR(CX37/CR37-1),"-",CX37/CR37-1)</f>
        <v>0.3703433162892622</v>
      </c>
      <c r="CY75" s="244">
        <f>CX75</f>
        <v>0.3703433162892622</v>
      </c>
      <c r="CZ75" s="353"/>
      <c r="DA75" s="244">
        <f>IF(ISERROR(DA37/CU37-1),"-",DA37/CU37-1)</f>
        <v>0.31997187060478205</v>
      </c>
      <c r="DB75" s="244">
        <f>IF(ISERROR(DB37/CV37-1),"-",DB37/CV37-1)</f>
        <v>4.6554934823091143E-2</v>
      </c>
      <c r="DC75" s="244">
        <f>IF(ISERROR(DC37/CW37-1),"-",DC37/CW37-1)</f>
        <v>-4.4987146529562594E-3</v>
      </c>
      <c r="DD75" s="244">
        <f>IF(ISERROR(DD37/CX37-1),"-",DD37/CX37-1)</f>
        <v>8.9552238805970186E-2</v>
      </c>
      <c r="DE75" s="244">
        <f>DD75</f>
        <v>8.9552238805970186E-2</v>
      </c>
      <c r="DF75" s="353"/>
      <c r="DG75" s="244">
        <f>IF(ISERROR(DG37/DA37-1),"-",DG37/DA37-1)</f>
        <v>0.1390516782099096</v>
      </c>
      <c r="DH75" s="244">
        <f>IF(ISERROR(DH37/DB37-1),"-",DH37/DB37-1)</f>
        <v>0.29181494661921725</v>
      </c>
      <c r="DI75" s="244">
        <f>IF(ISERROR(DI37/DC37-1),"-",DI37/DC37-1)</f>
        <v>0.49193027759845043</v>
      </c>
      <c r="DJ75" s="244">
        <f>IF(ISERROR(DJ37/DD37-1),"-",DJ37/DD37-1)</f>
        <v>0.25391389432485334</v>
      </c>
      <c r="DK75" s="244">
        <f>DJ75</f>
        <v>0.25391389432485334</v>
      </c>
      <c r="DL75" s="353"/>
      <c r="DM75" s="244">
        <f>IF(ISERROR(DM37/DG37-1),"-",DM37/DG37-1)</f>
        <v>0.21749298409728723</v>
      </c>
      <c r="DN75" s="244">
        <f>IF(ISERROR(DN37/DH37-1),"-",DN37/DH37-1)</f>
        <v>0.62855831037649201</v>
      </c>
      <c r="DO75" s="244">
        <f>IF(ISERROR(DO37/DI37-1),"-",DO37/DI37-1)</f>
        <v>0.450887061877975</v>
      </c>
      <c r="DP75" s="244">
        <f>IF(ISERROR(DP37/DJ37-1),"-",DP37/DJ37-1)</f>
        <v>0.75692547795552079</v>
      </c>
      <c r="DQ75" s="244">
        <f>DP75</f>
        <v>0.75692547795552079</v>
      </c>
      <c r="DR75" s="353"/>
      <c r="DS75" s="244">
        <f>IF(ISERROR(DS37/DM37-1),"-",DS37/DM37-1)</f>
        <v>0.65923933922397215</v>
      </c>
      <c r="DT75" s="244">
        <f>IF(ISERROR(DT37/DN37-1),"-",DT37/DN37-1)</f>
        <v>0.16408232308993509</v>
      </c>
      <c r="DU75" s="244">
        <f>IF(ISERROR(DU37/DO37-1),"-",DU37/DO37-1)</f>
        <v>0.2940650164032208</v>
      </c>
      <c r="DV75" s="244">
        <f>IF(ISERROR(DV37/DP37-1),"-",DV37/DP37-1)</f>
        <v>0.12191872085276478</v>
      </c>
      <c r="DW75" s="244">
        <f>DV75</f>
        <v>0.12191872085276478</v>
      </c>
      <c r="DX75" s="354"/>
      <c r="DY75" s="244">
        <f>IF(ISERROR(DY37/DS37-1),"-",DY37/DS37-1)</f>
        <v>0.18082889557768</v>
      </c>
      <c r="DZ75" s="244">
        <f>IF(ISERROR(DZ37/DT37-1),"-",DZ37/DT37-1)</f>
        <v>0.13223540808912571</v>
      </c>
      <c r="EA75" s="244">
        <f>IF(ISERROR(EA37/DU37-1),"-",EA37/DU37-1)</f>
        <v>-7.1445033417837367E-3</v>
      </c>
      <c r="EB75" s="244">
        <f>IF(ISERROR(EB37/DV37-1),"-",EB37/DV37-1)</f>
        <v>-0.20130641330166266</v>
      </c>
      <c r="EC75" s="244">
        <f>EB75</f>
        <v>-0.20130641330166266</v>
      </c>
      <c r="ED75" s="354"/>
      <c r="EE75" s="244">
        <f>IF(ISERROR(EE37/DY37-1),"-",EE37/DY37-1)</f>
        <v>-0.18356650445012179</v>
      </c>
      <c r="EF75" s="244">
        <f>IF(ISERROR(EF37/DZ37-1),"-",EF37/DZ37-1)</f>
        <v>-8.6117656351727856E-2</v>
      </c>
      <c r="EG75" s="244">
        <f>IF(ISERROR(EG37/EA37-1),"-",EG37/EA37-1)</f>
        <v>-1.6253247812027416E-2</v>
      </c>
      <c r="EH75" s="244">
        <f>IF(ISERROR(EH37/EB37-1),"-",EH37/EB37-1)</f>
        <v>0.1607199359345417</v>
      </c>
      <c r="EI75" s="244">
        <f>EH75</f>
        <v>0.1607199359345417</v>
      </c>
      <c r="EJ75" s="354"/>
      <c r="EK75" s="244">
        <f>IF(ISERROR(EK37/EE37-1),"-",EK37/EE37-1)</f>
        <v>0.17089348805759275</v>
      </c>
      <c r="EL75" s="244">
        <f>IF(ISERROR(EL37/EF37-1),"-",EL37/EF37-1)</f>
        <v>0.18286472182541647</v>
      </c>
      <c r="EM75" s="244">
        <f>IF(ISERROR(EM37/EG37-1),"-",EM37/EG37-1)</f>
        <v>0.19077963732630465</v>
      </c>
      <c r="EN75" s="244">
        <f>IF(ISERROR(EN37/EH37-1),"-",EN37/EH37-1)</f>
        <v>0.20099478426905915</v>
      </c>
      <c r="EO75" s="244">
        <f>EN75</f>
        <v>0.20099478426905915</v>
      </c>
      <c r="EP75" s="354"/>
      <c r="EQ75" s="244">
        <f>IF(ISERROR(EQ37/EK37-1),"-",EQ37/EK37-1)</f>
        <v>0.21330490591945006</v>
      </c>
      <c r="ER75" s="244">
        <f>IF(ISERROR(ER37/EL37-1),"-",ER37/EL37-1)</f>
        <v>0.2048894483486452</v>
      </c>
      <c r="ES75" s="244">
        <f>IF(ISERROR(ES37/EM37-1),"-",ES37/EM37-1)</f>
        <v>0.18270186747523764</v>
      </c>
      <c r="ET75" s="244">
        <f>IF(ISERROR(ET37/EN37-1),"-",ET37/EN37-1)</f>
        <v>0.14463521173279181</v>
      </c>
      <c r="EU75" s="244">
        <f>ET75</f>
        <v>0.14463521173279181</v>
      </c>
      <c r="EV75" s="354"/>
      <c r="EW75" s="354"/>
      <c r="EX75" s="354"/>
      <c r="EY75" s="354"/>
      <c r="EZ75" s="354"/>
      <c r="FA75" s="354"/>
      <c r="FB75" s="354"/>
    </row>
    <row r="76" spans="1:158" ht="10.5" hidden="1" customHeight="1" outlineLevel="1">
      <c r="A76" s="348" t="s">
        <v>1066</v>
      </c>
      <c r="B76" s="32"/>
      <c r="C76" s="90"/>
      <c r="D76" s="90"/>
      <c r="E76" s="90"/>
      <c r="F76" s="90"/>
      <c r="G76" s="61"/>
      <c r="H76" s="90"/>
      <c r="I76" s="90"/>
      <c r="J76" s="90"/>
      <c r="K76" s="353"/>
      <c r="L76" s="353"/>
      <c r="M76" s="353"/>
      <c r="N76" s="353"/>
      <c r="O76" s="244" t="str">
        <f>IF(ISERROR(O37/#REF!-1),"-",O37/#REF!-1)</f>
        <v>-</v>
      </c>
      <c r="P76" s="244" t="str">
        <f>IF(ISERROR(P37/O37-1),"-",P37/O37-1)</f>
        <v>-</v>
      </c>
      <c r="Q76" s="244" t="str">
        <f>IF(ISERROR(Q37/P37-1),"-",Q37/P37-1)</f>
        <v>-</v>
      </c>
      <c r="R76" s="244" t="str">
        <f>IF(ISERROR(R37/Q37-1),"-",R37/Q37-1)</f>
        <v>-</v>
      </c>
      <c r="S76" s="288" t="s">
        <v>6442</v>
      </c>
      <c r="T76" s="353"/>
      <c r="U76" s="244" t="str">
        <f>IF(ISERROR(U37/R37-1),"-",U37/R37-1)</f>
        <v>-</v>
      </c>
      <c r="V76" s="244" t="str">
        <f>IF(ISERROR(V37/U37-1),"-",V37/U37-1)</f>
        <v>-</v>
      </c>
      <c r="W76" s="244" t="str">
        <f>IF(ISERROR(W37/V37-1),"-",W37/V37-1)</f>
        <v>-</v>
      </c>
      <c r="X76" s="244" t="str">
        <f>IF(ISERROR(X37/W37-1),"-",X37/W37-1)</f>
        <v>-</v>
      </c>
      <c r="Y76" s="288" t="s">
        <v>6442</v>
      </c>
      <c r="Z76" s="353"/>
      <c r="AA76" s="244" t="str">
        <f>IF(ISERROR(AA37/X37-1),"-",AA37/X37-1)</f>
        <v>-</v>
      </c>
      <c r="AB76" s="244" t="str">
        <f>IF(ISERROR(AB37/AA37-1),"-",AB37/AA37-1)</f>
        <v>-</v>
      </c>
      <c r="AC76" s="244" t="str">
        <f>IF(ISERROR(AC37/AB37-1),"-",AC37/AB37-1)</f>
        <v>-</v>
      </c>
      <c r="AD76" s="244" t="str">
        <f>IF(ISERROR(AD37/AC37-1),"-",AD37/AC37-1)</f>
        <v>-</v>
      </c>
      <c r="AE76" s="288" t="str">
        <f>AD76</f>
        <v>-</v>
      </c>
      <c r="AF76" s="353"/>
      <c r="AG76" s="244" t="str">
        <f>IF(ISERROR(AG37/AD37-1),"-",AG37/AD37-1)</f>
        <v>-</v>
      </c>
      <c r="AH76" s="244" t="str">
        <f>IF(ISERROR(AH37/AG37-1),"-",AH37/AG37-1)</f>
        <v>-</v>
      </c>
      <c r="AI76" s="244" t="str">
        <f>IF(ISERROR(AI37/AH37-1),"-",AI37/AH37-1)</f>
        <v>-</v>
      </c>
      <c r="AJ76" s="244" t="str">
        <f>IF(ISERROR(AJ37/AI37-1),"-",AJ37/AI37-1)</f>
        <v>-</v>
      </c>
      <c r="AK76" s="288" t="str">
        <f>AJ76</f>
        <v>-</v>
      </c>
      <c r="AL76" s="353"/>
      <c r="AM76" s="244" t="str">
        <f>IF(ISERROR(AM37/AJ37-1),"-",AM37/AJ37-1)</f>
        <v>-</v>
      </c>
      <c r="AN76" s="244" t="str">
        <f>IF(ISERROR(AN37/AM37-1),"-",AN37/AM37-1)</f>
        <v>-</v>
      </c>
      <c r="AO76" s="244" t="str">
        <f>IF(ISERROR(AO37/AN37-1),"-",AO37/AN37-1)</f>
        <v>-</v>
      </c>
      <c r="AP76" s="244" t="str">
        <f>IF(ISERROR(AP37/AO37-1),"-",AP37/AO37-1)</f>
        <v>-</v>
      </c>
      <c r="AQ76" s="288" t="str">
        <f>AP76</f>
        <v>-</v>
      </c>
      <c r="AR76" s="353"/>
      <c r="AS76" s="244" t="str">
        <f>IF(ISERROR(AS37/AP37-1),"-",AS37/AP37-1)</f>
        <v>-</v>
      </c>
      <c r="AT76" s="244" t="str">
        <f>IF(ISERROR(AT37/AS37-1),"-",AT37/AS37-1)</f>
        <v>-</v>
      </c>
      <c r="AU76" s="244" t="str">
        <f>IF(ISERROR(AU37/AT37-1),"-",AU37/AT37-1)</f>
        <v>-</v>
      </c>
      <c r="AV76" s="244" t="str">
        <f>IF(ISERROR(AV37/AU37-1),"-",AV37/AU37-1)</f>
        <v>-</v>
      </c>
      <c r="AW76" s="288" t="str">
        <f>AV76</f>
        <v>-</v>
      </c>
      <c r="AX76" s="353"/>
      <c r="AY76" s="244" t="str">
        <f>IF(ISERROR(AY37/AV37-1),"-",AY37/AV37-1)</f>
        <v>-</v>
      </c>
      <c r="AZ76" s="244" t="str">
        <f>IF(ISERROR(AZ37/AY37-1),"-",AZ37/AY37-1)</f>
        <v>-</v>
      </c>
      <c r="BA76" s="244"/>
      <c r="BB76" s="244" t="str">
        <f>IF(ISERROR(BB37/BA37-1),"-",BB37/BA37-1)</f>
        <v>-</v>
      </c>
      <c r="BC76" s="288" t="str">
        <f>BB76</f>
        <v>-</v>
      </c>
      <c r="BD76" s="353"/>
      <c r="BE76" s="244">
        <f>IF(ISERROR(BE37/BB37-1),"-",BE37/BB37-1)</f>
        <v>0.29032258064516125</v>
      </c>
      <c r="BF76" s="244">
        <f>BF37/BE37-1</f>
        <v>0.26</v>
      </c>
      <c r="BG76" s="244">
        <f>BG37/BF37-1</f>
        <v>0.28968253968253976</v>
      </c>
      <c r="BH76" s="244">
        <f>BH37/BG37-1</f>
        <v>0.10153846153846136</v>
      </c>
      <c r="BI76" s="288" t="s">
        <v>6442</v>
      </c>
      <c r="BJ76" s="353"/>
      <c r="BK76" s="244">
        <f>IF(ISERROR(BK37/BH37-1),"-",BK37/BH37-1)</f>
        <v>0.15083798882681587</v>
      </c>
      <c r="BL76" s="244">
        <f>BL37/BK37-1</f>
        <v>0.15776699029126218</v>
      </c>
      <c r="BM76" s="244">
        <f>BM37/BL37-1</f>
        <v>2.7253668763102645E-2</v>
      </c>
      <c r="BN76" s="244">
        <f>BN37/BM37-1</f>
        <v>0.37551020408163271</v>
      </c>
      <c r="BO76" s="288" t="s">
        <v>6442</v>
      </c>
      <c r="BP76" s="353"/>
      <c r="BQ76" s="244">
        <f>IF(ISERROR(BQ37/BN37-1),"-",BQ37/BN37-1)</f>
        <v>7.1216617210682509E-2</v>
      </c>
      <c r="BR76" s="244">
        <f>BR37/BQ37-1</f>
        <v>5.8171745152354681E-2</v>
      </c>
      <c r="BS76" s="244">
        <f>BS37/BR37-1</f>
        <v>4.7120418848167533E-2</v>
      </c>
      <c r="BT76" s="244">
        <f>BT37/BS37-1</f>
        <v>0.31750000000000012</v>
      </c>
      <c r="BU76" s="288" t="s">
        <v>6442</v>
      </c>
      <c r="BV76" s="353"/>
      <c r="BW76" s="244">
        <f>IF(ISERROR(BW37/BT37-1),"-",BW37/BT37-1)</f>
        <v>0.12333965844402273</v>
      </c>
      <c r="BX76" s="244">
        <f>BX37/BW37-1</f>
        <v>2.9560810810810745E-2</v>
      </c>
      <c r="BY76" s="244">
        <f>BY37/BX37-1</f>
        <v>-8.203445447087776E-2</v>
      </c>
      <c r="BZ76" s="244">
        <f>BZ37/BY37-1</f>
        <v>1.2511170688114248E-2</v>
      </c>
      <c r="CA76" s="288" t="s">
        <v>6442</v>
      </c>
      <c r="CB76" s="353"/>
      <c r="CC76" s="244">
        <f>IF(ISERROR(CC37/BZ37-1),"-",CC37/BZ37-1)</f>
        <v>-0.28596646072374221</v>
      </c>
      <c r="CD76" s="244">
        <f>CD37/CC37-1</f>
        <v>-4.2027194066749152E-2</v>
      </c>
      <c r="CE76" s="244">
        <f>CE37/CD37-1</f>
        <v>-0.1187096774193549</v>
      </c>
      <c r="CF76" s="244">
        <f>CF37/CE37-1</f>
        <v>5.2708638360175808E-2</v>
      </c>
      <c r="CG76" s="288" t="s">
        <v>6442</v>
      </c>
      <c r="CH76" s="353"/>
      <c r="CI76" s="244">
        <f>IF(ISERROR(CI37/CF37-1),"-",CI37/CF37-1)</f>
        <v>1.6689847009735637E-2</v>
      </c>
      <c r="CJ76" s="244">
        <f>CJ37/CI37-1</f>
        <v>-1.6415868673050449E-2</v>
      </c>
      <c r="CK76" s="244">
        <f>CK37/CJ37-1</f>
        <v>7.2322670375521314E-2</v>
      </c>
      <c r="CL76" s="244">
        <f>CL37/CK37-1</f>
        <v>0.18936446173800281</v>
      </c>
      <c r="CM76" s="288" t="s">
        <v>6442</v>
      </c>
      <c r="CN76" s="353"/>
      <c r="CO76" s="244">
        <f>IF(ISERROR(CO37/CL37-1),"-",CO37/CL37-1)</f>
        <v>0.12868047982551789</v>
      </c>
      <c r="CP76" s="244">
        <f>CP37/CO37-1</f>
        <v>0.13140096618357489</v>
      </c>
      <c r="CQ76" s="244">
        <f>CQ37/CP37-1</f>
        <v>2.4765157984628638E-2</v>
      </c>
      <c r="CR76" s="244">
        <f>CR37/CQ37-1</f>
        <v>0.14083333333333337</v>
      </c>
      <c r="CS76" s="288" t="s">
        <v>6442</v>
      </c>
      <c r="CT76" s="353"/>
      <c r="CU76" s="244">
        <f>IF(ISERROR(CU37/CR37-1),"-",CU37/CR37-1)</f>
        <v>3.87143900657414E-2</v>
      </c>
      <c r="CV76" s="244">
        <f>CV37/CU37-1</f>
        <v>0.13291139240506333</v>
      </c>
      <c r="CW76" s="244">
        <f>CW37/CV37-1</f>
        <v>-3.4140285536933601E-2</v>
      </c>
      <c r="CX76" s="244">
        <f>CX37/CW37-1</f>
        <v>0.20565552699228795</v>
      </c>
      <c r="CY76" s="288" t="s">
        <v>6442</v>
      </c>
      <c r="CZ76" s="353"/>
      <c r="DA76" s="244">
        <f>IF(ISERROR(DA37/CX37-1),"-",DA37/CX37-1)</f>
        <v>5.3304904051176827E-4</v>
      </c>
      <c r="DB76" s="244">
        <f>DB37/DA37-1</f>
        <v>-0.10175812466702183</v>
      </c>
      <c r="DC76" s="244">
        <f>DC37/DB37-1</f>
        <v>-8.1257413997627426E-2</v>
      </c>
      <c r="DD76" s="244">
        <f>DD37/DC37-1</f>
        <v>0.31956100710135571</v>
      </c>
      <c r="DE76" s="288" t="s">
        <v>6442</v>
      </c>
      <c r="DF76" s="353"/>
      <c r="DG76" s="244">
        <f>IF(ISERROR(DG37/DD37-1),"-",DG37/DD37-1)</f>
        <v>4.5988258317025466E-2</v>
      </c>
      <c r="DH76" s="244">
        <f>DH37/DG37-1</f>
        <v>1.8709073900841977E-2</v>
      </c>
      <c r="DI76" s="244">
        <f>DI37/DH37-1</f>
        <v>6.1065197428833651E-2</v>
      </c>
      <c r="DJ76" s="244">
        <f>DJ37/DI37-1</f>
        <v>0.10904370402423202</v>
      </c>
      <c r="DK76" s="288" t="s">
        <v>6442</v>
      </c>
      <c r="DL76" s="353"/>
      <c r="DM76" s="244">
        <f>IF(ISERROR(DM37/DJ37-1),"-",DM37/DJ37-1)</f>
        <v>1.5606710885680775E-2</v>
      </c>
      <c r="DN76" s="244">
        <f>DN37/DM37-1</f>
        <v>0.36265847099500559</v>
      </c>
      <c r="DO76" s="244">
        <f>DO37/DN37-1</f>
        <v>-5.4694107696644956E-2</v>
      </c>
      <c r="DP76" s="244">
        <f>DP37/DO37-1</f>
        <v>0.34297643900984198</v>
      </c>
      <c r="DQ76" s="288" t="s">
        <v>6442</v>
      </c>
      <c r="DR76" s="353"/>
      <c r="DS76" s="244">
        <f>IF(ISERROR(DS37/DP37-1),"-",DS37/DP37-1)</f>
        <v>-4.0861647790362055E-2</v>
      </c>
      <c r="DT76" s="244">
        <f>DT37/DS37-1</f>
        <v>-4.3991664737207725E-2</v>
      </c>
      <c r="DU76" s="244">
        <f>DU37/DT37-1</f>
        <v>5.0859772341971476E-2</v>
      </c>
      <c r="DV76" s="244">
        <f>DV37/DU37-1</f>
        <v>0.16432357686102783</v>
      </c>
      <c r="DW76" s="288" t="s">
        <v>6442</v>
      </c>
      <c r="DX76" s="354"/>
      <c r="DY76" s="244">
        <f>IF(ISERROR(DY37/DV37-1),"-",DY37/DV37-1)</f>
        <v>9.5011876484560887E-3</v>
      </c>
      <c r="DZ76" s="244">
        <f>DZ37/DY37-1</f>
        <v>-8.333333333333337E-2</v>
      </c>
      <c r="EA76" s="244">
        <f>EA37/DZ37-1</f>
        <v>-7.8502673796791433E-2</v>
      </c>
      <c r="EB76" s="244">
        <f>EB37/EA37-1</f>
        <v>-6.3370473537604499E-2</v>
      </c>
      <c r="EC76" s="288" t="s">
        <v>6442</v>
      </c>
      <c r="ED76" s="354"/>
      <c r="EE76" s="244">
        <f>IF(ISERROR(EE37/EB37-1),"-",EE37/EB37-1)</f>
        <v>3.1923377274938991E-2</v>
      </c>
      <c r="EF76" s="244">
        <f>EF37/EE37-1</f>
        <v>2.6079265786816075E-2</v>
      </c>
      <c r="EG76" s="244">
        <f>EG37/EF37-1</f>
        <v>-8.0561156445742022E-3</v>
      </c>
      <c r="EH76" s="244">
        <f>EH37/EG37-1</f>
        <v>0.10512645813756993</v>
      </c>
      <c r="EI76" s="288" t="s">
        <v>6442</v>
      </c>
      <c r="EJ76" s="354"/>
      <c r="EK76" s="244">
        <f>IF(ISERROR(EK37/EH37-1),"-",EK37/EH37-1)</f>
        <v>4.0968045106243967E-2</v>
      </c>
      <c r="EL76" s="244">
        <f>EL37/EK37-1</f>
        <v>3.6569916627677612E-2</v>
      </c>
      <c r="EM76" s="244">
        <f>EM37/EL37-1</f>
        <v>-1.4187108074595889E-3</v>
      </c>
      <c r="EN76" s="244">
        <f>EN37/EM37-1</f>
        <v>0.11460682613038231</v>
      </c>
      <c r="EO76" s="288" t="s">
        <v>6442</v>
      </c>
      <c r="EP76" s="354"/>
      <c r="EQ76" s="244">
        <f>IF(ISERROR(EQ37/EN37-1),"-",EQ37/EN37-1)</f>
        <v>5.1637902658728363E-2</v>
      </c>
      <c r="ER76" s="244">
        <f>ER37/EQ37-1</f>
        <v>2.938028926361258E-2</v>
      </c>
      <c r="ES76" s="244">
        <f>ES37/ER37-1</f>
        <v>-1.9807205405862005E-2</v>
      </c>
      <c r="ET76" s="244">
        <f>ET37/ES37-1</f>
        <v>7.8731889677410294E-2</v>
      </c>
      <c r="EU76" s="288" t="s">
        <v>6442</v>
      </c>
      <c r="EV76" s="354"/>
      <c r="EW76" s="354"/>
      <c r="EX76" s="354"/>
      <c r="EY76" s="354"/>
      <c r="EZ76" s="354"/>
      <c r="FA76" s="354"/>
      <c r="FB76" s="354"/>
    </row>
    <row r="77" spans="1:158" ht="10.5" hidden="1" customHeight="1" outlineLevel="1">
      <c r="A77" s="348" t="s">
        <v>646</v>
      </c>
      <c r="B77" s="32"/>
      <c r="C77" s="90"/>
      <c r="D77" s="90"/>
      <c r="E77" s="90"/>
      <c r="F77" s="90"/>
      <c r="G77" s="61"/>
      <c r="H77" s="90"/>
      <c r="I77" s="90"/>
      <c r="J77" s="90"/>
      <c r="K77" s="353"/>
      <c r="L77" s="353"/>
      <c r="M77" s="353"/>
      <c r="N77" s="353"/>
      <c r="O77" s="244"/>
      <c r="P77" s="244"/>
      <c r="Q77" s="244"/>
      <c r="R77" s="244"/>
      <c r="S77" s="288"/>
      <c r="T77" s="353"/>
      <c r="U77" s="244"/>
      <c r="V77" s="244"/>
      <c r="W77" s="244"/>
      <c r="X77" s="244"/>
      <c r="Y77" s="288"/>
      <c r="Z77" s="353"/>
      <c r="AA77" s="244"/>
      <c r="AB77" s="244"/>
      <c r="AC77" s="244"/>
      <c r="AD77" s="244"/>
      <c r="AE77" s="288"/>
      <c r="AF77" s="353"/>
      <c r="AG77" s="244"/>
      <c r="AH77" s="244"/>
      <c r="AI77" s="244"/>
      <c r="AJ77" s="244"/>
      <c r="AK77" s="288"/>
      <c r="AL77" s="353"/>
      <c r="AM77" s="244"/>
      <c r="AN77" s="244"/>
      <c r="AO77" s="244"/>
      <c r="AP77" s="244"/>
      <c r="AQ77" s="288"/>
      <c r="AR77" s="353"/>
      <c r="AS77" s="244"/>
      <c r="AT77" s="244"/>
      <c r="AU77" s="244"/>
      <c r="AV77" s="244"/>
      <c r="AW77" s="288"/>
      <c r="AX77" s="353"/>
      <c r="AY77" s="244"/>
      <c r="AZ77" s="244"/>
      <c r="BA77" s="244"/>
      <c r="BB77" s="244"/>
      <c r="BC77" s="288"/>
      <c r="BD77" s="353"/>
      <c r="BE77" s="244"/>
      <c r="BF77" s="244"/>
      <c r="BG77" s="244"/>
      <c r="BH77" s="244"/>
      <c r="BI77" s="288"/>
      <c r="BJ77" s="353"/>
      <c r="BK77" s="244"/>
      <c r="BL77" s="244"/>
      <c r="BM77" s="244"/>
      <c r="BN77" s="244"/>
      <c r="BO77" s="288"/>
      <c r="BP77" s="353"/>
      <c r="BQ77" s="244"/>
      <c r="BR77" s="244"/>
      <c r="BS77" s="244"/>
      <c r="BT77" s="244"/>
      <c r="BU77" s="288"/>
      <c r="BV77" s="353"/>
      <c r="BW77" s="244"/>
      <c r="BX77" s="244"/>
      <c r="BY77" s="244"/>
      <c r="BZ77" s="244"/>
      <c r="CA77" s="288"/>
      <c r="CB77" s="353"/>
      <c r="CC77" s="244">
        <f>CC37/(CC37+CC30)</f>
        <v>0.15149812734082399</v>
      </c>
      <c r="CD77" s="244">
        <f>CD37/(CD37+CD30)</f>
        <v>0.15441322972703728</v>
      </c>
      <c r="CE77" s="244">
        <f>CE37/(CE37+CE30)</f>
        <v>0.14547390841320554</v>
      </c>
      <c r="CF77" s="244">
        <f>CF37/(CF37+CF30)</f>
        <v>0.13920619554695063</v>
      </c>
      <c r="CG77" s="288"/>
      <c r="CH77" s="353"/>
      <c r="CI77" s="244">
        <f>CI37/(CI37+CI30)</f>
        <v>0.1344491447489424</v>
      </c>
      <c r="CJ77" s="244">
        <f>CJ37/(CJ37+CJ30)</f>
        <v>0.13666603307356018</v>
      </c>
      <c r="CK77" s="244">
        <f>CK37/(CK37+CK30)</f>
        <v>0.15204101755077892</v>
      </c>
      <c r="CL77" s="244">
        <f>CL37/(CL37+CL30)</f>
        <v>0.15597890797754721</v>
      </c>
      <c r="CM77" s="288"/>
      <c r="CN77" s="353"/>
      <c r="CO77" s="244">
        <f>CO37/(CO37+CO30)</f>
        <v>0.16629177377892032</v>
      </c>
      <c r="CP77" s="244">
        <f>CP37/(CP37+CP30)</f>
        <v>0.18228518057285181</v>
      </c>
      <c r="CQ77" s="244">
        <f>CQ37/(CQ37+CQ30)</f>
        <v>0.19357960961445395</v>
      </c>
      <c r="CR77" s="244">
        <f>CR37/(CR37+CR30)</f>
        <v>0.19035038932146833</v>
      </c>
      <c r="CS77" s="288"/>
      <c r="CT77" s="353"/>
      <c r="CU77" s="244">
        <f>CU37/(CU37+CU30)</f>
        <v>0.19562525794469662</v>
      </c>
      <c r="CV77" s="244">
        <f>CV37/(CV37+CV30)</f>
        <v>0.21422872340425531</v>
      </c>
      <c r="CW77" s="244">
        <f>CW37/(CW37+CW30)</f>
        <v>0.21801877539582457</v>
      </c>
      <c r="CX77" s="244">
        <f>CX37/(CX37+CX30)</f>
        <v>0.22477833692786964</v>
      </c>
      <c r="CY77" s="288"/>
      <c r="CZ77" s="353"/>
      <c r="DA77" s="244">
        <f>DA37/(DA37+DA30)</f>
        <v>0.22046041813483672</v>
      </c>
      <c r="DB77" s="244">
        <f>DB37/(DB37+DB30)</f>
        <v>0.20931098696461825</v>
      </c>
      <c r="DC77" s="244">
        <f>DC37/(DC37+DC30)</f>
        <v>0.20229855034608857</v>
      </c>
      <c r="DD77" s="244">
        <f>DD37/(DD37+DD30)</f>
        <v>0.22695980457472795</v>
      </c>
      <c r="DE77" s="288"/>
      <c r="DF77" s="353"/>
      <c r="DG77" s="244">
        <f>DG37/(DG37+DG30)</f>
        <v>0.2218993253762325</v>
      </c>
      <c r="DH77" s="244">
        <f>DH37/(DH37+DH30)</f>
        <v>0.22206362153344211</v>
      </c>
      <c r="DI77" s="244">
        <f>DI37/(DI37+DI30)</f>
        <v>0.22967600874577618</v>
      </c>
      <c r="DJ77" s="244">
        <f>DJ37/(DJ37+DJ30)</f>
        <v>0.22150203093941753</v>
      </c>
      <c r="DK77" s="288"/>
      <c r="DL77" s="353"/>
      <c r="DM77" s="244">
        <f>DM37/(DM37+DM30)</f>
        <v>0.22562191210886712</v>
      </c>
      <c r="DN77" s="244">
        <f>DN37/(DN37+DN30)</f>
        <v>0.28690447302434685</v>
      </c>
      <c r="DO77" s="244">
        <f>DO37/(DO37+DO30)</f>
        <v>0.27658170419863071</v>
      </c>
      <c r="DP77" s="244">
        <f>DP37/(DP37+DP30)</f>
        <v>0.29640600315955767</v>
      </c>
      <c r="DQ77" s="288"/>
      <c r="DR77" s="353"/>
      <c r="DS77" s="244">
        <f>DS37/(DS37+DS30)</f>
        <v>0.28345474831003481</v>
      </c>
      <c r="DT77" s="244">
        <f>DT37/(DT37+DT30)</f>
        <v>0.27164473684210527</v>
      </c>
      <c r="DU77" s="244">
        <f>DU37/(DU37+DU30)</f>
        <v>0.28303979125896933</v>
      </c>
      <c r="DV77" s="244">
        <f>DV37/(DV37+DV30)</f>
        <v>0.28255033557046977</v>
      </c>
      <c r="DW77" s="288"/>
      <c r="DX77" s="354"/>
      <c r="DY77" s="244">
        <f>DY37/(DY37+DY30)</f>
        <v>0.28309741881765194</v>
      </c>
      <c r="DZ77" s="244">
        <f>DZ37/(DZ37+DZ30)</f>
        <v>0.263231981981982</v>
      </c>
      <c r="EA77" s="244">
        <f>EA37/(EA37+EA30)</f>
        <v>0.24423153239979592</v>
      </c>
      <c r="EB77" s="244">
        <f>EB37/(EB37+EB30)</f>
        <v>0.20638330520177997</v>
      </c>
      <c r="EC77" s="288"/>
      <c r="ED77" s="354"/>
      <c r="EE77" s="244"/>
      <c r="EF77" s="244"/>
      <c r="EG77" s="244"/>
      <c r="EH77" s="244"/>
      <c r="EI77" s="288"/>
      <c r="EJ77" s="354"/>
      <c r="EK77" s="244"/>
      <c r="EL77" s="244"/>
      <c r="EM77" s="244"/>
      <c r="EN77" s="244"/>
      <c r="EO77" s="288"/>
      <c r="EP77" s="354"/>
      <c r="EQ77" s="244"/>
      <c r="ER77" s="244"/>
      <c r="ES77" s="244"/>
      <c r="ET77" s="244"/>
      <c r="EU77" s="288"/>
      <c r="EV77" s="354"/>
      <c r="EW77" s="354"/>
      <c r="EX77" s="354"/>
      <c r="EY77" s="354"/>
      <c r="EZ77" s="354"/>
      <c r="FA77" s="354"/>
      <c r="FB77" s="354"/>
    </row>
    <row r="78" spans="1:158" ht="10.5" hidden="1" customHeight="1" outlineLevel="1">
      <c r="A78" s="25"/>
      <c r="B78" s="32"/>
      <c r="C78" s="90"/>
      <c r="D78" s="90"/>
      <c r="E78" s="90"/>
      <c r="F78" s="90"/>
      <c r="G78" s="61"/>
      <c r="H78" s="90"/>
      <c r="I78" s="90"/>
      <c r="J78" s="90"/>
      <c r="K78" s="61"/>
      <c r="L78" s="61"/>
      <c r="M78" s="61"/>
      <c r="N78" s="61"/>
      <c r="O78" s="116"/>
      <c r="P78" s="116"/>
      <c r="Q78" s="116"/>
      <c r="R78" s="116"/>
      <c r="S78" s="246"/>
      <c r="T78" s="61"/>
      <c r="U78" s="116"/>
      <c r="V78" s="116"/>
      <c r="W78" s="116"/>
      <c r="X78" s="116"/>
      <c r="Y78" s="246"/>
      <c r="Z78" s="112"/>
      <c r="AA78" s="116"/>
      <c r="AB78" s="116"/>
      <c r="AC78" s="116"/>
      <c r="AD78" s="116"/>
      <c r="AE78" s="246"/>
      <c r="AF78" s="112"/>
      <c r="AG78" s="116"/>
      <c r="AH78" s="116"/>
      <c r="AI78" s="116"/>
      <c r="AJ78" s="116"/>
      <c r="AK78" s="246"/>
      <c r="AL78" s="112"/>
      <c r="AM78" s="116"/>
      <c r="AN78" s="116"/>
      <c r="AO78" s="116"/>
      <c r="AP78" s="116"/>
      <c r="AQ78" s="246"/>
      <c r="AR78" s="112"/>
      <c r="AS78" s="116"/>
      <c r="AT78" s="116"/>
      <c r="AU78" s="116"/>
      <c r="AV78" s="116"/>
      <c r="AW78" s="246"/>
      <c r="AX78" s="61"/>
      <c r="AY78" s="116"/>
      <c r="AZ78" s="116"/>
      <c r="BA78" s="116"/>
      <c r="BB78" s="116"/>
      <c r="BC78" s="246"/>
      <c r="BD78" s="112"/>
      <c r="BE78" s="116"/>
      <c r="BF78" s="116"/>
      <c r="BG78" s="116"/>
      <c r="BH78" s="116"/>
      <c r="BI78" s="246"/>
      <c r="BJ78" s="112"/>
      <c r="BK78" s="116"/>
      <c r="BL78" s="116"/>
      <c r="BM78" s="116"/>
      <c r="BN78" s="116"/>
      <c r="BO78" s="246"/>
      <c r="BP78" s="112"/>
      <c r="BQ78" s="116"/>
      <c r="BR78" s="116"/>
      <c r="BS78" s="116"/>
      <c r="BT78" s="116"/>
      <c r="BU78" s="246"/>
      <c r="BV78" s="112"/>
      <c r="BW78" s="116"/>
      <c r="BX78" s="116"/>
      <c r="BY78" s="116"/>
      <c r="BZ78" s="116"/>
      <c r="CA78" s="246"/>
      <c r="CB78" s="112"/>
      <c r="CC78" s="116"/>
      <c r="CD78" s="116"/>
      <c r="CE78" s="116"/>
      <c r="CF78" s="116"/>
      <c r="CG78" s="246"/>
      <c r="CH78" s="112"/>
      <c r="CI78" s="116"/>
      <c r="CJ78" s="116"/>
      <c r="CK78" s="116"/>
      <c r="CL78" s="116"/>
      <c r="CM78" s="246"/>
      <c r="CN78" s="112"/>
      <c r="CO78" s="116"/>
      <c r="CP78" s="116"/>
      <c r="CQ78" s="116"/>
      <c r="CR78" s="116"/>
      <c r="CS78" s="246"/>
      <c r="CT78" s="112"/>
      <c r="CU78" s="116"/>
      <c r="CV78" s="116"/>
      <c r="CW78" s="116"/>
      <c r="CX78" s="116"/>
      <c r="CY78" s="246"/>
      <c r="CZ78" s="112"/>
      <c r="DA78" s="116"/>
      <c r="DB78" s="116"/>
      <c r="DC78" s="116"/>
      <c r="DD78" s="116"/>
      <c r="DE78" s="246"/>
      <c r="DF78" s="112"/>
      <c r="DG78" s="116"/>
      <c r="DH78" s="116"/>
      <c r="DI78" s="116"/>
      <c r="DJ78" s="116"/>
      <c r="DK78" s="246"/>
      <c r="DL78" s="112"/>
      <c r="DM78" s="116"/>
      <c r="DN78" s="116"/>
      <c r="DO78" s="116"/>
      <c r="DP78" s="116"/>
      <c r="DQ78" s="246"/>
      <c r="DR78" s="112"/>
      <c r="DS78" s="116"/>
      <c r="DT78" s="116"/>
      <c r="DU78" s="116"/>
      <c r="DV78" s="116"/>
      <c r="DW78" s="246"/>
      <c r="DX78" s="27"/>
      <c r="DY78" s="116"/>
      <c r="DZ78" s="116"/>
      <c r="EA78" s="116"/>
      <c r="EB78" s="116"/>
      <c r="EC78" s="246"/>
      <c r="ED78" s="27"/>
      <c r="EE78" s="116"/>
      <c r="EF78" s="116"/>
      <c r="EG78" s="116"/>
      <c r="EH78" s="116"/>
      <c r="EI78" s="246"/>
      <c r="EJ78" s="27"/>
      <c r="EK78" s="116"/>
      <c r="EL78" s="116"/>
      <c r="EM78" s="116"/>
      <c r="EN78" s="116"/>
      <c r="EO78" s="246"/>
      <c r="EP78" s="27"/>
      <c r="EQ78" s="116"/>
      <c r="ER78" s="116"/>
      <c r="ES78" s="116"/>
      <c r="ET78" s="116"/>
      <c r="EU78" s="246"/>
      <c r="EV78" s="27"/>
      <c r="EW78" s="27"/>
      <c r="EX78" s="27"/>
      <c r="EY78" s="27"/>
      <c r="EZ78" s="27"/>
      <c r="FA78" s="27"/>
      <c r="FB78" s="27"/>
    </row>
    <row r="79" spans="1:158" ht="10.5" hidden="1" customHeight="1" outlineLevel="1">
      <c r="A79" s="31" t="s">
        <v>6683</v>
      </c>
      <c r="B79" s="33"/>
      <c r="C79" s="52"/>
      <c r="D79" s="52"/>
      <c r="E79" s="52"/>
      <c r="F79" s="52"/>
      <c r="G79" s="64"/>
      <c r="H79" s="52"/>
      <c r="I79" s="52"/>
      <c r="J79" s="52"/>
      <c r="K79" s="64"/>
      <c r="L79" s="64"/>
      <c r="M79" s="64"/>
      <c r="N79" s="64"/>
      <c r="O79" s="546"/>
      <c r="P79" s="546"/>
      <c r="Q79" s="546"/>
      <c r="R79" s="546"/>
      <c r="S79" s="690"/>
      <c r="T79" s="64"/>
      <c r="U79" s="546"/>
      <c r="V79" s="546"/>
      <c r="W79" s="546"/>
      <c r="X79" s="546"/>
      <c r="Y79" s="690"/>
      <c r="Z79" s="691"/>
      <c r="AA79" s="692">
        <f>AA30+AA37</f>
        <v>40.956000000000003</v>
      </c>
      <c r="AB79" s="692">
        <f>AB30+AB37</f>
        <v>43.825000000000003</v>
      </c>
      <c r="AC79" s="692">
        <f>AC30+AC37</f>
        <v>45.83</v>
      </c>
      <c r="AD79" s="692">
        <f>AD30+AD37</f>
        <v>50.993000000000002</v>
      </c>
      <c r="AE79" s="690">
        <f>AD79</f>
        <v>50.993000000000002</v>
      </c>
      <c r="AF79" s="691"/>
      <c r="AG79" s="692">
        <f>AG30+AG37</f>
        <v>49.670999999999999</v>
      </c>
      <c r="AH79" s="692">
        <f>AH30+AH37</f>
        <v>59</v>
      </c>
      <c r="AI79" s="692">
        <f>AI30+AI37</f>
        <v>59.9</v>
      </c>
      <c r="AJ79" s="692">
        <f>AJ30+AJ37</f>
        <v>65.474000000000004</v>
      </c>
      <c r="AK79" s="690">
        <f>AJ79</f>
        <v>65.474000000000004</v>
      </c>
      <c r="AL79" s="691"/>
      <c r="AM79" s="692">
        <f>AM30+AM37</f>
        <v>68.016999999999996</v>
      </c>
      <c r="AN79" s="692">
        <f>AN30+AN37</f>
        <v>74.221999999999994</v>
      </c>
      <c r="AO79" s="692">
        <f>AO30+AO37</f>
        <v>76.656000000000006</v>
      </c>
      <c r="AP79" s="692">
        <f>AP30+AP37</f>
        <v>93.241</v>
      </c>
      <c r="AQ79" s="690">
        <f>AP79</f>
        <v>93.241</v>
      </c>
      <c r="AR79" s="691"/>
      <c r="AS79" s="692">
        <f>AS30+AS37</f>
        <v>96.168000000000006</v>
      </c>
      <c r="AT79" s="692">
        <f>AT30+AT37</f>
        <v>104.378</v>
      </c>
      <c r="AU79" s="692">
        <f>AU30+AU37</f>
        <v>107.248</v>
      </c>
      <c r="AV79" s="692">
        <f>AV30+AV37</f>
        <v>127.276</v>
      </c>
      <c r="AW79" s="690">
        <f>AV79</f>
        <v>127.276</v>
      </c>
      <c r="AX79" s="64"/>
      <c r="AY79" s="692">
        <f>AY30+AY37</f>
        <v>136</v>
      </c>
      <c r="AZ79" s="692">
        <f>AZ30+AZ37</f>
        <v>149.19999999999999</v>
      </c>
      <c r="BA79" s="692">
        <f>BA30+BA37</f>
        <v>153.5</v>
      </c>
      <c r="BB79" s="692">
        <f>BB30+BB37</f>
        <v>189.1</v>
      </c>
      <c r="BC79" s="690">
        <f>BB79</f>
        <v>189.1</v>
      </c>
      <c r="BD79" s="691"/>
      <c r="BE79" s="692">
        <f>BE30+BE37</f>
        <v>213</v>
      </c>
      <c r="BF79" s="692">
        <f>BF30+BF37</f>
        <v>218.6</v>
      </c>
      <c r="BG79" s="692">
        <f>BG30+BG37</f>
        <v>227.1</v>
      </c>
      <c r="BH79" s="692">
        <f>BH30+BH37</f>
        <v>266.5</v>
      </c>
      <c r="BI79" s="690">
        <f>BH79</f>
        <v>266.5</v>
      </c>
      <c r="BJ79" s="691"/>
      <c r="BK79" s="692">
        <f>BK30+BK37</f>
        <v>307.89999999999998</v>
      </c>
      <c r="BL79" s="692">
        <f>BL30+BL37</f>
        <v>312.2</v>
      </c>
      <c r="BM79" s="692">
        <f>BM30+BM37</f>
        <v>313.8</v>
      </c>
      <c r="BN79" s="692">
        <f>BN30+BN37</f>
        <v>378.79999999999995</v>
      </c>
      <c r="BO79" s="690">
        <f>BN79</f>
        <v>378.79999999999995</v>
      </c>
      <c r="BP79" s="691"/>
      <c r="BQ79" s="692">
        <f>BQ30+BQ37</f>
        <v>399.9</v>
      </c>
      <c r="BR79" s="692">
        <f>BR30+BR37</f>
        <v>411.9</v>
      </c>
      <c r="BS79" s="692">
        <f>BS30+BS37</f>
        <v>423.9</v>
      </c>
      <c r="BT79" s="692">
        <f>BT30+BT37</f>
        <v>506.1</v>
      </c>
      <c r="BU79" s="690">
        <f>BT79</f>
        <v>506.1</v>
      </c>
      <c r="BV79" s="691"/>
      <c r="BW79" s="692">
        <f>BW30+BW37</f>
        <v>549.70000000000005</v>
      </c>
      <c r="BX79" s="692">
        <f>BX30+BX37</f>
        <v>562.6</v>
      </c>
      <c r="BY79" s="692">
        <f>BY30+BY37</f>
        <v>499.4</v>
      </c>
      <c r="BZ79" s="692">
        <f>BZ30+BZ37</f>
        <v>552.1</v>
      </c>
      <c r="CA79" s="690">
        <f>BZ79</f>
        <v>552.1</v>
      </c>
      <c r="CB79" s="691"/>
      <c r="CC79" s="692">
        <f>CC30+CC37</f>
        <v>534</v>
      </c>
      <c r="CD79" s="692">
        <f>CD30+CD37</f>
        <v>501.9</v>
      </c>
      <c r="CE79" s="692">
        <f>CE30+CE37</f>
        <v>469.5</v>
      </c>
      <c r="CF79" s="692">
        <f>CF30+CF37</f>
        <v>516.5</v>
      </c>
      <c r="CG79" s="690">
        <f>CF79</f>
        <v>516.5</v>
      </c>
      <c r="CH79" s="691"/>
      <c r="CI79" s="692">
        <f>CI30+CI37</f>
        <v>543.70000000000005</v>
      </c>
      <c r="CJ79" s="692">
        <f>CJ30+CJ37</f>
        <v>526.1</v>
      </c>
      <c r="CK79" s="692">
        <f>CK30+CK37</f>
        <v>507.1</v>
      </c>
      <c r="CL79" s="692">
        <f>CL30+CL37</f>
        <v>587.9</v>
      </c>
      <c r="CM79" s="690">
        <f>CL79</f>
        <v>587.9</v>
      </c>
      <c r="CN79" s="691"/>
      <c r="CO79" s="692">
        <f>CO30+CO37</f>
        <v>622.4</v>
      </c>
      <c r="CP79" s="692">
        <f>CP30+CP37</f>
        <v>642.4</v>
      </c>
      <c r="CQ79" s="692">
        <f>CQ30+CQ37</f>
        <v>619.9</v>
      </c>
      <c r="CR79" s="692">
        <f>CR30+CR37</f>
        <v>719.19999999999993</v>
      </c>
      <c r="CS79" s="690">
        <f>CR79</f>
        <v>719.19999999999993</v>
      </c>
      <c r="CT79" s="691"/>
      <c r="CU79" s="692">
        <f>CU30+CU37</f>
        <v>726.90000000000009</v>
      </c>
      <c r="CV79" s="692">
        <f>CV30+CV37</f>
        <v>752</v>
      </c>
      <c r="CW79" s="692">
        <f>CW30+CW37</f>
        <v>713.7</v>
      </c>
      <c r="CX79" s="692">
        <f>CX30+CX37</f>
        <v>834.6</v>
      </c>
      <c r="CY79" s="690">
        <f>CX79</f>
        <v>834.6</v>
      </c>
      <c r="CZ79" s="691"/>
      <c r="DA79" s="692">
        <f>DA30+DA37</f>
        <v>851.40000000000009</v>
      </c>
      <c r="DB79" s="692">
        <f>DB30+DB37</f>
        <v>805.5</v>
      </c>
      <c r="DC79" s="692">
        <f>DC30+DC37</f>
        <v>765.69999999999993</v>
      </c>
      <c r="DD79" s="692">
        <f>DD30+DD37</f>
        <v>900.6</v>
      </c>
      <c r="DE79" s="690">
        <f>DD79</f>
        <v>900.6</v>
      </c>
      <c r="DF79" s="691"/>
      <c r="DG79" s="692">
        <f>DG30+DG37</f>
        <v>963.5</v>
      </c>
      <c r="DH79" s="692">
        <f>DH30+DH37</f>
        <v>980.8</v>
      </c>
      <c r="DI79" s="692">
        <f>DI30+DI37</f>
        <v>1006.2</v>
      </c>
      <c r="DJ79" s="692">
        <f>DJ30+DJ37</f>
        <v>1157.0999999999999</v>
      </c>
      <c r="DK79" s="690">
        <f>DJ79</f>
        <v>1157.0999999999999</v>
      </c>
      <c r="DL79" s="691"/>
      <c r="DM79" s="692">
        <f>DM30+DM37</f>
        <v>1153.7</v>
      </c>
      <c r="DN79" s="692">
        <f>DN30+DN37</f>
        <v>1236.3</v>
      </c>
      <c r="DO79" s="692">
        <f>DO30+DO37</f>
        <v>1212.3</v>
      </c>
      <c r="DP79" s="692">
        <f>DP30+DP37</f>
        <v>1519.2</v>
      </c>
      <c r="DQ79" s="690">
        <f>DP79</f>
        <v>1519.2</v>
      </c>
      <c r="DR79" s="691"/>
      <c r="DS79" s="692">
        <f>DS30+DS37</f>
        <v>1523.6999999999998</v>
      </c>
      <c r="DT79" s="692">
        <f>DT30+DT37</f>
        <v>1520</v>
      </c>
      <c r="DU79" s="692">
        <f>DU30+DU37</f>
        <v>1533</v>
      </c>
      <c r="DV79" s="692">
        <f>DV30+DV37</f>
        <v>1788</v>
      </c>
      <c r="DW79" s="690">
        <f>DV79</f>
        <v>1788</v>
      </c>
      <c r="DX79" s="27"/>
      <c r="DY79" s="692">
        <f>DY30+DY37</f>
        <v>1801.5</v>
      </c>
      <c r="DZ79" s="692">
        <f>DZ30+DZ37</f>
        <v>1776</v>
      </c>
      <c r="EA79" s="692">
        <f>EA30+EA37</f>
        <v>1763.8999999999999</v>
      </c>
      <c r="EB79" s="692">
        <f>EB30+EB37</f>
        <v>1955.1</v>
      </c>
      <c r="EC79" s="690">
        <f>EB79</f>
        <v>1955.1</v>
      </c>
      <c r="ED79" s="27"/>
      <c r="EE79" s="692">
        <f>EE30+EE37</f>
        <v>2017.513394910233</v>
      </c>
      <c r="EF79" s="692">
        <f>EF30+EF37</f>
        <v>2070.1286629645588</v>
      </c>
      <c r="EG79" s="692">
        <f>EG30+EG37</f>
        <v>2053.4514670565686</v>
      </c>
      <c r="EH79" s="692">
        <f>EH30+EH37</f>
        <v>2269.3235467456225</v>
      </c>
      <c r="EI79" s="690">
        <f>EH79</f>
        <v>2269.3235467456225</v>
      </c>
      <c r="EJ79" s="27"/>
      <c r="EK79" s="692">
        <f>EK30+EK37</f>
        <v>2362.2932961693587</v>
      </c>
      <c r="EL79" s="692">
        <f>EL30+EL37</f>
        <v>2448.6821650603938</v>
      </c>
      <c r="EM79" s="692">
        <f>EM30+EM37</f>
        <v>2445.208193208789</v>
      </c>
      <c r="EN79" s="692">
        <f>EN30+EN37</f>
        <v>2725.4457434604547</v>
      </c>
      <c r="EO79" s="690">
        <f>EN79</f>
        <v>2725.4457434604547</v>
      </c>
      <c r="EP79" s="27"/>
      <c r="EQ79" s="692">
        <f>EQ30+EQ37</f>
        <v>2866.182045462911</v>
      </c>
      <c r="ER79" s="692">
        <f>ER30+ER37</f>
        <v>2950.3913030407839</v>
      </c>
      <c r="ES79" s="692">
        <f>ES30+ES37</f>
        <v>2891.9522964737862</v>
      </c>
      <c r="ET79" s="692">
        <f>ET30+ET37</f>
        <v>3119.6411656320943</v>
      </c>
      <c r="EU79" s="690">
        <f>ET79</f>
        <v>3119.6411656320943</v>
      </c>
      <c r="EV79" s="27"/>
      <c r="EW79" s="27"/>
      <c r="EX79" s="27"/>
      <c r="EY79" s="27"/>
      <c r="EZ79" s="27"/>
      <c r="FA79" s="27"/>
      <c r="FB79" s="27"/>
    </row>
    <row r="80" spans="1:158" ht="10.5" hidden="1" customHeight="1" outlineLevel="1">
      <c r="A80" s="348" t="s">
        <v>92</v>
      </c>
      <c r="B80" s="32"/>
      <c r="C80" s="90"/>
      <c r="D80" s="90"/>
      <c r="E80" s="90"/>
      <c r="F80" s="90"/>
      <c r="G80" s="61"/>
      <c r="H80" s="90"/>
      <c r="I80" s="90"/>
      <c r="J80" s="90"/>
      <c r="K80" s="353"/>
      <c r="L80" s="353"/>
      <c r="M80" s="353"/>
      <c r="N80" s="353"/>
      <c r="O80" s="244" t="s">
        <v>6442</v>
      </c>
      <c r="P80" s="244" t="s">
        <v>6442</v>
      </c>
      <c r="Q80" s="244" t="s">
        <v>6442</v>
      </c>
      <c r="R80" s="244" t="s">
        <v>6442</v>
      </c>
      <c r="S80" s="244" t="s">
        <v>6442</v>
      </c>
      <c r="T80" s="353"/>
      <c r="U80" s="244" t="s">
        <v>6442</v>
      </c>
      <c r="V80" s="244" t="s">
        <v>6442</v>
      </c>
      <c r="W80" s="244" t="s">
        <v>6442</v>
      </c>
      <c r="X80" s="244" t="s">
        <v>6442</v>
      </c>
      <c r="Y80" s="244" t="s">
        <v>6442</v>
      </c>
      <c r="Z80" s="353"/>
      <c r="AA80" s="244" t="s">
        <v>6442</v>
      </c>
      <c r="AB80" s="244" t="s">
        <v>6442</v>
      </c>
      <c r="AC80" s="244" t="s">
        <v>6442</v>
      </c>
      <c r="AD80" s="244" t="s">
        <v>6442</v>
      </c>
      <c r="AE80" s="244" t="s">
        <v>6442</v>
      </c>
      <c r="AF80" s="353"/>
      <c r="AG80" s="244">
        <f>IF(ISERROR(AG79/AA79-1),"-",AG79/AA79-1)</f>
        <v>0.21278933489598573</v>
      </c>
      <c r="AH80" s="244">
        <f>IF(ISERROR(AH79/AB79-1),"-",AH79/AB79-1)</f>
        <v>0.34626354820308025</v>
      </c>
      <c r="AI80" s="244">
        <f>IF(ISERROR(AI79/AC79-1),"-",AI79/AC79-1)</f>
        <v>0.30700414575605506</v>
      </c>
      <c r="AJ80" s="244">
        <f>IF(ISERROR(AJ79/AD79-1),"-",AJ79/AD79-1)</f>
        <v>0.2839801541388034</v>
      </c>
      <c r="AK80" s="244">
        <f>IF(ISERROR(AK79/AE79-1),"-",AK79/AE79-1)</f>
        <v>0.2839801541388034</v>
      </c>
      <c r="AL80" s="353"/>
      <c r="AM80" s="244">
        <f>IF(ISERROR(AM79/AG79-1),"-",AM79/AG79-1)</f>
        <v>0.36935032513941723</v>
      </c>
      <c r="AN80" s="244">
        <f>IF(ISERROR(AN79/AH79-1),"-",AN79/AH79-1)</f>
        <v>0.25800000000000001</v>
      </c>
      <c r="AO80" s="244">
        <f>IF(ISERROR(AO79/AI79-1),"-",AO79/AI79-1)</f>
        <v>0.27973288814691166</v>
      </c>
      <c r="AP80" s="244">
        <f>IF(ISERROR(AP79/AJ79-1),"-",AP79/AJ79-1)</f>
        <v>0.42409200598710939</v>
      </c>
      <c r="AQ80" s="244">
        <f>IF(ISERROR(AQ79/AK79-1),"-",AQ79/AK79-1)</f>
        <v>0.42409200598710939</v>
      </c>
      <c r="AR80" s="244"/>
      <c r="AS80" s="244">
        <f>IF(ISERROR(AS79/AM79-1),"-",AS79/AM79-1)</f>
        <v>0.41388182366173187</v>
      </c>
      <c r="AT80" s="244">
        <f>IF(ISERROR(AT79/AN79-1),"-",AT79/AN79-1)</f>
        <v>0.40629462962463969</v>
      </c>
      <c r="AU80" s="244">
        <f>IF(ISERROR(AU79/AO79-1),"-",AU79/AO79-1)</f>
        <v>0.39908161135462317</v>
      </c>
      <c r="AV80" s="244">
        <f>IF(ISERROR(AV79/AP79-1),"-",AV79/AP79-1)</f>
        <v>0.36502182516275017</v>
      </c>
      <c r="AW80" s="244">
        <f>IF(ISERROR(AW79/AQ79-1),"-",AW79/AQ79-1)</f>
        <v>0.36502182516275017</v>
      </c>
      <c r="AX80" s="353"/>
      <c r="AY80" s="244">
        <f>IF(ISERROR(AY79/AS79-1),"-",AY79/AS79-1)</f>
        <v>0.41419183096248213</v>
      </c>
      <c r="AZ80" s="244">
        <f>IF(ISERROR(AZ79/AT79-1),"-",AZ79/AT79-1)</f>
        <v>0.42941999271877207</v>
      </c>
      <c r="BA80" s="244">
        <f>IF(ISERROR(BA79/AU79-1),"-",BA79/AU79-1)</f>
        <v>0.431262121438162</v>
      </c>
      <c r="BB80" s="244">
        <f>IF(ISERROR(BB79/AV79-1),"-",BB79/AV79-1)</f>
        <v>0.48574750934975963</v>
      </c>
      <c r="BC80" s="244">
        <f>IF(ISERROR(BC79/AW79-1),"-",BC79/AW79-1)</f>
        <v>0.48574750934975963</v>
      </c>
      <c r="BD80" s="353"/>
      <c r="BE80" s="244">
        <f>IF(ISERROR(BE79/AY79-1),"-",BE79/AY79-1)</f>
        <v>0.56617647058823528</v>
      </c>
      <c r="BF80" s="244">
        <f>IF(ISERROR(BF79/AZ79-1),"-",BF79/AZ79-1)</f>
        <v>0.4651474530831099</v>
      </c>
      <c r="BG80" s="244">
        <f>IF(ISERROR(BG79/BA79-1),"-",BG79/BA79-1)</f>
        <v>0.47947882736156355</v>
      </c>
      <c r="BH80" s="244">
        <f>IF(ISERROR(BH79/BB79-1),"-",BH79/BB79-1)</f>
        <v>0.40930724484399783</v>
      </c>
      <c r="BI80" s="244">
        <f>IF(ISERROR(BI79/BC79-1),"-",BI79/BC79-1)</f>
        <v>0.40930724484399783</v>
      </c>
      <c r="BJ80" s="353"/>
      <c r="BK80" s="244">
        <f>IF(ISERROR(BK79/BE79-1),"-",BK79/BE79-1)</f>
        <v>0.44553990610328631</v>
      </c>
      <c r="BL80" s="244">
        <f>IF(ISERROR(BL79/BF79-1),"-",BL79/BF79-1)</f>
        <v>0.42817932296431827</v>
      </c>
      <c r="BM80" s="244">
        <f>IF(ISERROR(BM79/BG79-1),"-",BM79/BG79-1)</f>
        <v>0.38177014531043607</v>
      </c>
      <c r="BN80" s="244">
        <f>IF(ISERROR(BN79/BH79-1),"-",BN79/BH79-1)</f>
        <v>0.4213883677298309</v>
      </c>
      <c r="BO80" s="244">
        <f>IF(ISERROR(BO79/BI79-1),"-",BO79/BI79-1)</f>
        <v>0.4213883677298309</v>
      </c>
      <c r="BP80" s="353"/>
      <c r="BQ80" s="244">
        <f>IF(ISERROR(BQ79/BK79-1),"-",BQ79/BK79-1)</f>
        <v>0.29879831113998057</v>
      </c>
      <c r="BR80" s="244">
        <f>IF(ISERROR(BR79/BL79-1),"-",BR79/BL79-1)</f>
        <v>0.31934657270980149</v>
      </c>
      <c r="BS80" s="244">
        <f>IF(ISERROR(BS79/BM79-1),"-",BS79/BM79-1)</f>
        <v>0.35086042065009537</v>
      </c>
      <c r="BT80" s="244">
        <f>IF(ISERROR(BT79/BN79-1),"-",BT79/BN79-1)</f>
        <v>0.33606124604012688</v>
      </c>
      <c r="BU80" s="244">
        <f>IF(ISERROR(BU79/BO79-1),"-",BU79/BO79-1)</f>
        <v>0.33606124604012688</v>
      </c>
      <c r="BV80" s="353"/>
      <c r="BW80" s="244">
        <f>IF(ISERROR(BW79/BQ79-1),"-",BW79/BQ79-1)</f>
        <v>0.3745936484121033</v>
      </c>
      <c r="BX80" s="244">
        <f>IF(ISERROR(BX79/BR79-1),"-",BX79/BR79-1)</f>
        <v>0.36586550133527562</v>
      </c>
      <c r="BY80" s="244">
        <f>IF(ISERROR(BY79/BS79-1),"-",BY79/BS79-1)</f>
        <v>0.17810804435008265</v>
      </c>
      <c r="BZ80" s="244">
        <f>IF(ISERROR(BZ79/BT79-1),"-",BZ79/BT79-1)</f>
        <v>9.0891128235526475E-2</v>
      </c>
      <c r="CA80" s="244">
        <f>IF(ISERROR(CA79/BU79-1),"-",CA79/BU79-1)</f>
        <v>9.0891128235526475E-2</v>
      </c>
      <c r="CB80" s="353"/>
      <c r="CC80" s="244">
        <f>IF(ISERROR(CC79/BW79-1),"-",CC79/BW79-1)</f>
        <v>-2.8561033290885995E-2</v>
      </c>
      <c r="CD80" s="244">
        <f>IF(ISERROR(CD79/BX79-1),"-",CD79/BX79-1)</f>
        <v>-0.10789193032349809</v>
      </c>
      <c r="CE80" s="244">
        <f>IF(ISERROR(CE79/BY79-1),"-",CE79/BY79-1)</f>
        <v>-5.9871846215458491E-2</v>
      </c>
      <c r="CF80" s="244">
        <f>IF(ISERROR(CF79/BZ79-1),"-",CF79/BZ79-1)</f>
        <v>-6.4481072269516382E-2</v>
      </c>
      <c r="CG80" s="244">
        <f>IF(ISERROR(CG79/CA79-1),"-",CG79/CA79-1)</f>
        <v>-6.4481072269516382E-2</v>
      </c>
      <c r="CH80" s="353"/>
      <c r="CI80" s="244">
        <f>IF(ISERROR(CI79/CC79-1),"-",CI79/CC79-1)</f>
        <v>1.8164794007490714E-2</v>
      </c>
      <c r="CJ80" s="244">
        <f>IF(ISERROR(CJ79/CD79-1),"-",CJ79/CD79-1)</f>
        <v>4.8216776250249227E-2</v>
      </c>
      <c r="CK80" s="244">
        <f>IF(ISERROR(CK79/CE79-1),"-",CK79/CE79-1)</f>
        <v>8.0085197018104459E-2</v>
      </c>
      <c r="CL80" s="244">
        <f>IF(ISERROR(CL79/CF79-1),"-",CL79/CF79-1)</f>
        <v>0.13823814133591483</v>
      </c>
      <c r="CM80" s="244">
        <f>IF(ISERROR(CM79/CG79-1),"-",CM79/CG79-1)</f>
        <v>0.13823814133591483</v>
      </c>
      <c r="CN80" s="353"/>
      <c r="CO80" s="244">
        <f>IF(ISERROR(CO79/CI79-1),"-",CO79/CI79-1)</f>
        <v>0.14474894243148784</v>
      </c>
      <c r="CP80" s="244">
        <f>IF(ISERROR(CP79/CJ79-1),"-",CP79/CJ79-1)</f>
        <v>0.22106063486029259</v>
      </c>
      <c r="CQ80" s="244">
        <f>IF(ISERROR(CQ79/CK79-1),"-",CQ79/CK79-1)</f>
        <v>0.22244133307040026</v>
      </c>
      <c r="CR80" s="244">
        <f>IF(ISERROR(CR79/CL79-1),"-",CR79/CL79-1)</f>
        <v>0.22333730226228954</v>
      </c>
      <c r="CS80" s="244">
        <f>IF(ISERROR(CS79/CM79-1),"-",CS79/CM79-1)</f>
        <v>0.22333730226228954</v>
      </c>
      <c r="CT80" s="353"/>
      <c r="CU80" s="244">
        <f>IF(ISERROR(CU79/CO79-1),"-",CU79/CO79-1)</f>
        <v>0.16789845758354782</v>
      </c>
      <c r="CV80" s="244">
        <f>IF(ISERROR(CV79/CP79-1),"-",CV79/CP79-1)</f>
        <v>0.17061021170610213</v>
      </c>
      <c r="CW80" s="244">
        <f>IF(ISERROR(CW79/CQ79-1),"-",CW79/CQ79-1)</f>
        <v>0.1513147281819649</v>
      </c>
      <c r="CX80" s="244">
        <f>IF(ISERROR(CX79/CR79-1),"-",CX79/CR79-1)</f>
        <v>0.16045606229143505</v>
      </c>
      <c r="CY80" s="244">
        <f>IF(ISERROR(CY79/CS79-1),"-",CY79/CS79-1)</f>
        <v>0.16045606229143505</v>
      </c>
      <c r="CZ80" s="353"/>
      <c r="DA80" s="244">
        <f>IF(ISERROR(DA79/CU79-1),"-",DA79/CU79-1)</f>
        <v>0.17127527858027247</v>
      </c>
      <c r="DB80" s="244">
        <f>IF(ISERROR(DB79/CV79-1),"-",DB79/CV79-1)</f>
        <v>7.1143617021276695E-2</v>
      </c>
      <c r="DC80" s="244">
        <f>IF(ISERROR(DC79/CW79-1),"-",DC79/CW79-1)</f>
        <v>7.2859744990892317E-2</v>
      </c>
      <c r="DD80" s="244">
        <f>IF(ISERROR(DD79/CX79-1),"-",DD79/CX79-1)</f>
        <v>7.9079798705966819E-2</v>
      </c>
      <c r="DE80" s="244">
        <f>IF(ISERROR(DE79/CY79-1),"-",DE79/CY79-1)</f>
        <v>7.9079798705966819E-2</v>
      </c>
      <c r="DF80" s="353"/>
      <c r="DG80" s="244">
        <f>IF(ISERROR(DG79/DA79-1),"-",DG79/DA79-1)</f>
        <v>0.13166549213060819</v>
      </c>
      <c r="DH80" s="244">
        <f>IF(ISERROR(DH79/DB79-1),"-",DH79/DB79-1)</f>
        <v>0.21762880198634393</v>
      </c>
      <c r="DI80" s="244">
        <f>IF(ISERROR(DI79/DC79-1),"-",DI79/DC79-1)</f>
        <v>0.31409168081494077</v>
      </c>
      <c r="DJ80" s="244">
        <f>IF(ISERROR(DJ79/DD79-1),"-",DJ79/DD79-1)</f>
        <v>0.28481012658227844</v>
      </c>
      <c r="DK80" s="244">
        <f>IF(ISERROR(DK79/DE79-1),"-",DK79/DE79-1)</f>
        <v>0.28481012658227844</v>
      </c>
      <c r="DL80" s="353"/>
      <c r="DM80" s="244">
        <f>IF(ISERROR(DM79/DG79-1),"-",DM79/DG79-1)</f>
        <v>0.19740529320186817</v>
      </c>
      <c r="DN80" s="244">
        <f>IF(ISERROR(DN79/DH79-1),"-",DN79/DH79-1)</f>
        <v>0.26050163132137039</v>
      </c>
      <c r="DO80" s="244">
        <f>IF(ISERROR(DO79/DI79-1),"-",DO79/DI79-1)</f>
        <v>0.20483005366726292</v>
      </c>
      <c r="DP80" s="244">
        <f>IF(ISERROR(DP79/DJ79-1),"-",DP79/DJ79-1)</f>
        <v>0.31293751620430399</v>
      </c>
      <c r="DQ80" s="244">
        <f>IF(ISERROR(DQ79/DK79-1),"-",DQ79/DK79-1)</f>
        <v>0.31293751620430399</v>
      </c>
      <c r="DR80" s="353"/>
      <c r="DS80" s="244">
        <f>IF(ISERROR(DS79/DM79-1),"-",DS79/DM79-1)</f>
        <v>0.32070728959001449</v>
      </c>
      <c r="DT80" s="244">
        <f>IF(ISERROR(DT79/DN79-1),"-",DT79/DN79-1)</f>
        <v>0.22947504650974682</v>
      </c>
      <c r="DU80" s="244">
        <f>IF(ISERROR(DU79/DO79-1),"-",DU79/DO79-1)</f>
        <v>0.26453848057411533</v>
      </c>
      <c r="DV80" s="244">
        <f>IF(ISERROR(DV79/DP79-1),"-",DV79/DP79-1)</f>
        <v>0.17693522906793047</v>
      </c>
      <c r="DW80" s="244">
        <f>IF(ISERROR(DW79/DQ79-1),"-",DW79/DQ79-1)</f>
        <v>0.17693522906793047</v>
      </c>
      <c r="DX80" s="354"/>
      <c r="DY80" s="244">
        <f>IF(ISERROR(DY79/DS79-1),"-",DY79/DS79-1)</f>
        <v>0.18231935420358347</v>
      </c>
      <c r="DZ80" s="244">
        <f>IF(ISERROR(DZ79/DT79-1),"-",DZ79/DT79-1)</f>
        <v>0.16842105263157903</v>
      </c>
      <c r="EA80" s="244">
        <f>IF(ISERROR(EA79/DU79-1),"-",EA79/DU79-1)</f>
        <v>0.15061969993476843</v>
      </c>
      <c r="EB80" s="244">
        <f>IF(ISERROR(EB79/DV79-1),"-",EB79/DV79-1)</f>
        <v>9.3456375838926187E-2</v>
      </c>
      <c r="EC80" s="244">
        <f>IF(ISERROR(EC79/DW79-1),"-",EC79/DW79-1)</f>
        <v>9.3456375838926187E-2</v>
      </c>
      <c r="ED80" s="354"/>
      <c r="EE80" s="244">
        <f>IF(ISERROR(EE79/DY79-1),"-",EE79/DY79-1)</f>
        <v>0.11990751868455907</v>
      </c>
      <c r="EF80" s="244">
        <f>IF(ISERROR(EF79/DZ79-1),"-",EF79/DZ79-1)</f>
        <v>0.16561298590346785</v>
      </c>
      <c r="EG80" s="244">
        <f>IF(ISERROR(EG79/EA79-1),"-",EG79/EA79-1)</f>
        <v>0.16415412838401777</v>
      </c>
      <c r="EH80" s="244">
        <f>IF(ISERROR(EH79/EB79-1),"-",EH79/EB79-1)</f>
        <v>0.1607199359345417</v>
      </c>
      <c r="EI80" s="244">
        <f>IF(ISERROR(EI79/EC79-1),"-",EI79/EC79-1)</f>
        <v>0.1607199359345417</v>
      </c>
      <c r="EJ80" s="354"/>
      <c r="EK80" s="244">
        <f>IF(ISERROR(EK79/EE79-1),"-",EK79/EE79-1)</f>
        <v>0.17089348805759297</v>
      </c>
      <c r="EL80" s="244">
        <f>IF(ISERROR(EL79/EF79-1),"-",EL79/EF79-1)</f>
        <v>0.18286472182541624</v>
      </c>
      <c r="EM80" s="244">
        <f>IF(ISERROR(EM79/EG79-1),"-",EM79/EG79-1)</f>
        <v>0.19077963732630465</v>
      </c>
      <c r="EN80" s="244">
        <f>IF(ISERROR(EN79/EH79-1),"-",EN79/EH79-1)</f>
        <v>0.20099478426905892</v>
      </c>
      <c r="EO80" s="244">
        <f>IF(ISERROR(EO79/EI79-1),"-",EO79/EI79-1)</f>
        <v>0.20099478426905892</v>
      </c>
      <c r="EP80" s="354"/>
      <c r="EQ80" s="244">
        <f>IF(ISERROR(EQ79/EK79-1),"-",EQ79/EK79-1)</f>
        <v>0.21330490591944984</v>
      </c>
      <c r="ER80" s="244">
        <f>IF(ISERROR(ER79/EL79-1),"-",ER79/EL79-1)</f>
        <v>0.2048894483486452</v>
      </c>
      <c r="ES80" s="244">
        <f>IF(ISERROR(ES79/EM79-1),"-",ES79/EM79-1)</f>
        <v>0.18270186747523764</v>
      </c>
      <c r="ET80" s="244">
        <f>IF(ISERROR(ET79/EN79-1),"-",ET79/EN79-1)</f>
        <v>0.14463521173279204</v>
      </c>
      <c r="EU80" s="244">
        <f>IF(ISERROR(EU79/EO79-1),"-",EU79/EO79-1)</f>
        <v>0.14463521173279204</v>
      </c>
      <c r="EV80" s="354"/>
      <c r="EW80" s="354"/>
      <c r="EX80" s="354"/>
      <c r="EY80" s="354"/>
      <c r="EZ80" s="354"/>
      <c r="FA80" s="354"/>
      <c r="FB80" s="354"/>
    </row>
    <row r="81" spans="1:158" ht="10.5" hidden="1" customHeight="1" outlineLevel="1">
      <c r="A81" s="348" t="s">
        <v>1066</v>
      </c>
      <c r="B81" s="32"/>
      <c r="C81" s="90"/>
      <c r="D81" s="90"/>
      <c r="E81" s="90"/>
      <c r="F81" s="90"/>
      <c r="G81" s="61"/>
      <c r="H81" s="90"/>
      <c r="I81" s="90"/>
      <c r="J81" s="90"/>
      <c r="K81" s="353"/>
      <c r="L81" s="353"/>
      <c r="M81" s="353"/>
      <c r="N81" s="353"/>
      <c r="O81" s="244" t="s">
        <v>6442</v>
      </c>
      <c r="P81" s="244" t="s">
        <v>6442</v>
      </c>
      <c r="Q81" s="244" t="s">
        <v>6442</v>
      </c>
      <c r="R81" s="244" t="s">
        <v>6442</v>
      </c>
      <c r="S81" s="244" t="s">
        <v>6442</v>
      </c>
      <c r="T81" s="353"/>
      <c r="U81" s="244" t="s">
        <v>6442</v>
      </c>
      <c r="V81" s="244" t="s">
        <v>6442</v>
      </c>
      <c r="W81" s="244" t="s">
        <v>6442</v>
      </c>
      <c r="X81" s="244" t="s">
        <v>6442</v>
      </c>
      <c r="Y81" s="244" t="s">
        <v>6442</v>
      </c>
      <c r="Z81" s="353"/>
      <c r="AA81" s="244"/>
      <c r="AB81" s="244">
        <f>IF(ISERROR(AB79/AA79-1),"-",AB79/AA79-1)</f>
        <v>7.005078620959071E-2</v>
      </c>
      <c r="AC81" s="244">
        <f>IF(ISERROR(AC79/AB79-1),"-",AC79/AB79-1)</f>
        <v>4.5750142612663858E-2</v>
      </c>
      <c r="AD81" s="244">
        <f>IF(ISERROR(AD79/AC79-1),"-",AD79/AC79-1)</f>
        <v>0.11265546585206199</v>
      </c>
      <c r="AE81" s="288" t="s">
        <v>6442</v>
      </c>
      <c r="AF81" s="353"/>
      <c r="AG81" s="244">
        <f>IF(ISERROR(AG79/AD79-1),"-",AG79/AD79-1)</f>
        <v>-2.5925126978212698E-2</v>
      </c>
      <c r="AH81" s="244">
        <f>IF(ISERROR(AH79/AG79-1),"-",AH79/AG79-1)</f>
        <v>0.18781582814922193</v>
      </c>
      <c r="AI81" s="244">
        <f>IF(ISERROR(AI79/AH79-1),"-",AI79/AH79-1)</f>
        <v>1.5254237288135464E-2</v>
      </c>
      <c r="AJ81" s="244">
        <f>IF(ISERROR(AJ79/AI79-1),"-",AJ79/AI79-1)</f>
        <v>9.3055091819699509E-2</v>
      </c>
      <c r="AK81" s="288" t="s">
        <v>6442</v>
      </c>
      <c r="AL81" s="353"/>
      <c r="AM81" s="244">
        <f>IF(ISERROR(AM79/AJ79-1),"-",AM79/AJ79-1)</f>
        <v>3.883984482389935E-2</v>
      </c>
      <c r="AN81" s="244">
        <f>IF(ISERROR(AN79/AM79-1),"-",AN79/AM79-1)</f>
        <v>9.1227193201699475E-2</v>
      </c>
      <c r="AO81" s="244">
        <f>IF(ISERROR(AO79/AN79-1),"-",AO79/AN79-1)</f>
        <v>3.2793511357818605E-2</v>
      </c>
      <c r="AP81" s="244">
        <f>IF(ISERROR(AP79/AO79-1),"-",AP79/AO79-1)</f>
        <v>0.2163561886871217</v>
      </c>
      <c r="AQ81" s="288" t="s">
        <v>6442</v>
      </c>
      <c r="AR81" s="353"/>
      <c r="AS81" s="244">
        <f>IF(ISERROR(AS79/AP79-1),"-",AS79/AP79-1)</f>
        <v>3.1391769715039652E-2</v>
      </c>
      <c r="AT81" s="244">
        <f>IF(ISERROR(AT79/AS79-1),"-",AT79/AS79-1)</f>
        <v>8.5371433325014401E-2</v>
      </c>
      <c r="AU81" s="244">
        <f>IF(ISERROR(AU79/AT79-1),"-",AU79/AT79-1)</f>
        <v>2.7496215677633273E-2</v>
      </c>
      <c r="AV81" s="244">
        <f>IF(ISERROR(AV79/AU79-1),"-",AV79/AU79-1)</f>
        <v>0.18674474116067419</v>
      </c>
      <c r="AW81" s="288" t="s">
        <v>6442</v>
      </c>
      <c r="AX81" s="353"/>
      <c r="AY81" s="244">
        <f>IF(ISERROR(AY79/AV79-1),"-",AY79/AV79-1)</f>
        <v>6.854395172695571E-2</v>
      </c>
      <c r="AZ81" s="244">
        <f>IF(ISERROR(AZ79/AY79-1),"-",AZ79/AY79-1)</f>
        <v>9.7058823529411642E-2</v>
      </c>
      <c r="BA81" s="244">
        <f>IF(ISERROR(BA79/AZ79-1),"-",BA79/AZ79-1)</f>
        <v>2.8820375335120829E-2</v>
      </c>
      <c r="BB81" s="244">
        <f>IF(ISERROR(BB79/BA79-1),"-",BB79/BA79-1)</f>
        <v>0.23192182410423445</v>
      </c>
      <c r="BC81" s="288" t="s">
        <v>6442</v>
      </c>
      <c r="BD81" s="353"/>
      <c r="BE81" s="244">
        <f>IF(ISERROR(BE79/BB79-1),"-",BE79/BB79-1)</f>
        <v>0.1263881544156531</v>
      </c>
      <c r="BF81" s="244">
        <f>IF(ISERROR(BF79/BE79-1),"-",BF79/BE79-1)</f>
        <v>2.6291079812206464E-2</v>
      </c>
      <c r="BG81" s="244">
        <f>IF(ISERROR(BG79/BF79-1),"-",BG79/BF79-1)</f>
        <v>3.8883806038426449E-2</v>
      </c>
      <c r="BH81" s="244">
        <f>IF(ISERROR(BH79/BG79-1),"-",BH79/BG79-1)</f>
        <v>0.17349185380889476</v>
      </c>
      <c r="BI81" s="288" t="s">
        <v>6442</v>
      </c>
      <c r="BJ81" s="353"/>
      <c r="BK81" s="244">
        <f>IF(ISERROR(BK79/BH79-1),"-",BK79/BH79-1)</f>
        <v>0.15534709193245777</v>
      </c>
      <c r="BL81" s="244">
        <f>IF(ISERROR(BL79/BK79-1),"-",BL79/BK79-1)</f>
        <v>1.3965573238064355E-2</v>
      </c>
      <c r="BM81" s="244">
        <f>IF(ISERROR(BM79/BL79-1),"-",BM79/BL79-1)</f>
        <v>5.1249199231262477E-3</v>
      </c>
      <c r="BN81" s="244">
        <f>IF(ISERROR(BN79/BM79-1),"-",BN79/BM79-1)</f>
        <v>0.20713830465264471</v>
      </c>
      <c r="BO81" s="288" t="s">
        <v>6442</v>
      </c>
      <c r="BP81" s="353"/>
      <c r="BQ81" s="244">
        <f>IF(ISERROR(BQ79/BN79-1),"-",BQ79/BN79-1)</f>
        <v>5.5702217529039144E-2</v>
      </c>
      <c r="BR81" s="244">
        <f>IF(ISERROR(BR79/BQ79-1),"-",BR79/BQ79-1)</f>
        <v>3.0007501875468856E-2</v>
      </c>
      <c r="BS81" s="244">
        <f>IF(ISERROR(BS79/BR79-1),"-",BS79/BR79-1)</f>
        <v>2.9133284777858703E-2</v>
      </c>
      <c r="BT81" s="244">
        <f>IF(ISERROR(BT79/BS79-1),"-",BT79/BS79-1)</f>
        <v>0.19391365888181178</v>
      </c>
      <c r="BU81" s="288" t="s">
        <v>6442</v>
      </c>
      <c r="BV81" s="353"/>
      <c r="BW81" s="244">
        <f>IF(ISERROR(BW79/BT79-1),"-",BW79/BT79-1)</f>
        <v>8.6148982414542719E-2</v>
      </c>
      <c r="BX81" s="244">
        <f>IF(ISERROR(BX79/BW79-1),"-",BX79/BW79-1)</f>
        <v>2.3467345824995434E-2</v>
      </c>
      <c r="BY81" s="244">
        <f>IF(ISERROR(BY79/BX79-1),"-",BY79/BX79-1)</f>
        <v>-0.11233558478492722</v>
      </c>
      <c r="BZ81" s="244">
        <f>IF(ISERROR(BZ79/BY79-1),"-",BZ79/BY79-1)</f>
        <v>0.1055266319583501</v>
      </c>
      <c r="CA81" s="288" t="s">
        <v>6442</v>
      </c>
      <c r="CB81" s="353"/>
      <c r="CC81" s="244">
        <f>IF(ISERROR(CC79/BZ79-1),"-",CC79/BZ79-1)</f>
        <v>-3.2783915957254162E-2</v>
      </c>
      <c r="CD81" s="244">
        <f>IF(ISERROR(CD79/CC79-1),"-",CD79/CC79-1)</f>
        <v>-6.0112359550561822E-2</v>
      </c>
      <c r="CE81" s="244">
        <f>IF(ISERROR(CE79/CD79-1),"-",CE79/CD79-1)</f>
        <v>-6.4554692169754846E-2</v>
      </c>
      <c r="CF81" s="244">
        <f>IF(ISERROR(CF79/CE79-1),"-",CF79/CE79-1)</f>
        <v>0.10010649627263035</v>
      </c>
      <c r="CG81" s="288" t="s">
        <v>6442</v>
      </c>
      <c r="CH81" s="353"/>
      <c r="CI81" s="244">
        <f>IF(ISERROR(CI79/CF79-1),"-",CI79/CF79-1)</f>
        <v>5.2662149080348497E-2</v>
      </c>
      <c r="CJ81" s="244">
        <f>IF(ISERROR(CJ79/CI79-1),"-",CJ79/CI79-1)</f>
        <v>-3.2370792716571728E-2</v>
      </c>
      <c r="CK81" s="244">
        <f>IF(ISERROR(CK79/CJ79-1),"-",CK79/CJ79-1)</f>
        <v>-3.6114807070899091E-2</v>
      </c>
      <c r="CL81" s="244">
        <f>IF(ISERROR(CL79/CK79-1),"-",CL79/CK79-1)</f>
        <v>0.15933740879510938</v>
      </c>
      <c r="CM81" s="288" t="s">
        <v>6442</v>
      </c>
      <c r="CN81" s="353"/>
      <c r="CO81" s="244">
        <f>IF(ISERROR(CO79/CL79-1),"-",CO79/CL79-1)</f>
        <v>5.868344956625271E-2</v>
      </c>
      <c r="CP81" s="244">
        <f>IF(ISERROR(CP79/CO79-1),"-",CP79/CO79-1)</f>
        <v>3.2133676092545027E-2</v>
      </c>
      <c r="CQ81" s="244">
        <f>IF(ISERROR(CQ79/CP79-1),"-",CQ79/CP79-1)</f>
        <v>-3.5024906600249039E-2</v>
      </c>
      <c r="CR81" s="244">
        <f>IF(ISERROR(CR79/CQ79-1),"-",CR79/CQ79-1)</f>
        <v>0.16018712695596049</v>
      </c>
      <c r="CS81" s="288" t="s">
        <v>6442</v>
      </c>
      <c r="CT81" s="353"/>
      <c r="CU81" s="244">
        <f>IF(ISERROR(CU79/CR79-1),"-",CU79/CR79-1)</f>
        <v>1.0706340378198176E-2</v>
      </c>
      <c r="CV81" s="244">
        <f>IF(ISERROR(CV79/CU79-1),"-",CV79/CU79-1)</f>
        <v>3.4530196725821805E-2</v>
      </c>
      <c r="CW81" s="244">
        <f>IF(ISERROR(CW79/CV79-1),"-",CW79/CV79-1)</f>
        <v>-5.0930851063829774E-2</v>
      </c>
      <c r="CX81" s="244">
        <f>IF(ISERROR(CX79/CW79-1),"-",CX79/CW79-1)</f>
        <v>0.1693989071038251</v>
      </c>
      <c r="CY81" s="288" t="s">
        <v>6442</v>
      </c>
      <c r="CZ81" s="353"/>
      <c r="DA81" s="244">
        <f>IF(ISERROR(DA79/CX79-1),"-",DA79/CX79-1)</f>
        <v>2.0129403306973437E-2</v>
      </c>
      <c r="DB81" s="244">
        <f>IF(ISERROR(DB79/DA79-1),"-",DB79/DA79-1)</f>
        <v>-5.3911205073995827E-2</v>
      </c>
      <c r="DC81" s="244">
        <f>IF(ISERROR(DC79/DB79-1),"-",DC79/DB79-1)</f>
        <v>-4.941030415890757E-2</v>
      </c>
      <c r="DD81" s="244">
        <f>IF(ISERROR(DD79/DC79-1),"-",DD79/DC79-1)</f>
        <v>0.17617866004962801</v>
      </c>
      <c r="DE81" s="288" t="s">
        <v>6442</v>
      </c>
      <c r="DF81" s="353"/>
      <c r="DG81" s="244">
        <f>IF(ISERROR(DG79/DD79-1),"-",DG79/DD79-1)</f>
        <v>6.9842327337330534E-2</v>
      </c>
      <c r="DH81" s="244">
        <f>IF(ISERROR(DH79/DG79-1),"-",DH79/DG79-1)</f>
        <v>1.7955371043071988E-2</v>
      </c>
      <c r="DI81" s="244">
        <f>IF(ISERROR(DI79/DH79-1),"-",DI79/DH79-1)</f>
        <v>2.5897226753670566E-2</v>
      </c>
      <c r="DJ81" s="244">
        <f>IF(ISERROR(DJ79/DI79-1),"-",DJ79/DI79-1)</f>
        <v>0.14997018485390567</v>
      </c>
      <c r="DK81" s="288" t="s">
        <v>6442</v>
      </c>
      <c r="DL81" s="353"/>
      <c r="DM81" s="244">
        <f>IF(ISERROR(DM79/DJ79-1),"-",DM79/DJ79-1)</f>
        <v>-2.9383804338430908E-3</v>
      </c>
      <c r="DN81" s="244">
        <f>IF(ISERROR(DN79/DM79-1),"-",DN79/DM79-1)</f>
        <v>7.1595735459824894E-2</v>
      </c>
      <c r="DO81" s="244">
        <f>IF(ISERROR(DO79/DN79-1),"-",DO79/DN79-1)</f>
        <v>-1.9412763892259211E-2</v>
      </c>
      <c r="DP81" s="244">
        <f>IF(ISERROR(DP79/DO79-1),"-",DP79/DO79-1)</f>
        <v>0.25315515961395696</v>
      </c>
      <c r="DQ81" s="288" t="s">
        <v>6442</v>
      </c>
      <c r="DR81" s="353"/>
      <c r="DS81" s="244">
        <f>IF(ISERROR(DS79/DP79-1),"-",DS79/DP79-1)</f>
        <v>2.96208530805675E-3</v>
      </c>
      <c r="DT81" s="244">
        <f>IF(ISERROR(DT79/DS79-1),"-",DT79/DS79-1)</f>
        <v>-2.4282995340288993E-3</v>
      </c>
      <c r="DU81" s="244">
        <f>IF(ISERROR(DU79/DT79-1),"-",DU79/DT79-1)</f>
        <v>8.5526315789474783E-3</v>
      </c>
      <c r="DV81" s="244">
        <f>IF(ISERROR(DV79/DU79-1),"-",DV79/DU79-1)</f>
        <v>0.16634050880626217</v>
      </c>
      <c r="DW81" s="288" t="s">
        <v>6442</v>
      </c>
      <c r="DX81" s="354"/>
      <c r="DY81" s="244">
        <f>IF(ISERROR(DY79/DV79-1),"-",DY79/DV79-1)</f>
        <v>7.5503355704698016E-3</v>
      </c>
      <c r="DZ81" s="244">
        <f>IF(ISERROR(DZ79/DY79-1),"-",DZ79/DY79-1)</f>
        <v>-1.4154870940882636E-2</v>
      </c>
      <c r="EA81" s="244">
        <f>IF(ISERROR(EA79/DZ79-1),"-",EA79/DZ79-1)</f>
        <v>-6.8130630630631739E-3</v>
      </c>
      <c r="EB81" s="244">
        <f>IF(ISERROR(EB79/EA79-1),"-",EB79/EA79-1)</f>
        <v>0.10839616758319637</v>
      </c>
      <c r="EC81" s="288" t="s">
        <v>6442</v>
      </c>
      <c r="ED81" s="354"/>
      <c r="EE81" s="244">
        <f>IF(ISERROR(EE79/EB79-1),"-",EE79/EB79-1)</f>
        <v>3.1923377274938991E-2</v>
      </c>
      <c r="EF81" s="244">
        <f>IF(ISERROR(EF79/EE79-1),"-",EF79/EE79-1)</f>
        <v>2.6079265786816075E-2</v>
      </c>
      <c r="EG81" s="244">
        <f>IF(ISERROR(EG79/EF79-1),"-",EG79/EF79-1)</f>
        <v>-8.0561156445742022E-3</v>
      </c>
      <c r="EH81" s="244">
        <f>IF(ISERROR(EH79/EG79-1),"-",EH79/EG79-1)</f>
        <v>0.10512645813756993</v>
      </c>
      <c r="EI81" s="288" t="s">
        <v>6442</v>
      </c>
      <c r="EJ81" s="354"/>
      <c r="EK81" s="244">
        <f>IF(ISERROR(EK79/EH79-1),"-",EK79/EH79-1)</f>
        <v>4.0968045106243967E-2</v>
      </c>
      <c r="EL81" s="244">
        <f>IF(ISERROR(EL79/EK79-1),"-",EL79/EK79-1)</f>
        <v>3.6569916627677612E-2</v>
      </c>
      <c r="EM81" s="244">
        <f>IF(ISERROR(EM79/EL79-1),"-",EM79/EL79-1)</f>
        <v>-1.4187108074595889E-3</v>
      </c>
      <c r="EN81" s="244">
        <f>IF(ISERROR(EN79/EM79-1),"-",EN79/EM79-1)</f>
        <v>0.11460682613038209</v>
      </c>
      <c r="EO81" s="288" t="s">
        <v>6442</v>
      </c>
      <c r="EP81" s="354"/>
      <c r="EQ81" s="244">
        <f>IF(ISERROR(EQ79/EN79-1),"-",EQ79/EN79-1)</f>
        <v>5.1637902658728363E-2</v>
      </c>
      <c r="ER81" s="244">
        <f>IF(ISERROR(ER79/EQ79-1),"-",ER79/EQ79-1)</f>
        <v>2.938028926361258E-2</v>
      </c>
      <c r="ES81" s="244">
        <f>IF(ISERROR(ES79/ER79-1),"-",ES79/ER79-1)</f>
        <v>-1.9807205405862005E-2</v>
      </c>
      <c r="ET81" s="244">
        <f>IF(ISERROR(ET79/ES79-1),"-",ET79/ES79-1)</f>
        <v>7.8731889677410516E-2</v>
      </c>
      <c r="EU81" s="288" t="s">
        <v>6442</v>
      </c>
      <c r="EV81" s="354"/>
      <c r="EW81" s="354"/>
      <c r="EX81" s="354"/>
      <c r="EY81" s="354"/>
      <c r="EZ81" s="354"/>
      <c r="FA81" s="354"/>
      <c r="FB81" s="354"/>
    </row>
    <row r="82" spans="1:158" ht="10.5" hidden="1" customHeight="1" outlineLevel="1">
      <c r="A82" s="348"/>
      <c r="B82" s="32"/>
      <c r="C82" s="90"/>
      <c r="D82" s="90"/>
      <c r="E82" s="90"/>
      <c r="F82" s="90"/>
      <c r="G82" s="61"/>
      <c r="H82" s="90"/>
      <c r="I82" s="90"/>
      <c r="J82" s="90"/>
      <c r="K82" s="353"/>
      <c r="L82" s="353"/>
      <c r="M82" s="353"/>
      <c r="N82" s="353"/>
      <c r="O82" s="244"/>
      <c r="P82" s="244"/>
      <c r="Q82" s="244"/>
      <c r="R82" s="244"/>
      <c r="S82" s="288"/>
      <c r="T82" s="353"/>
      <c r="U82" s="244"/>
      <c r="V82" s="244"/>
      <c r="W82" s="244"/>
      <c r="X82" s="244"/>
      <c r="Y82" s="288"/>
      <c r="Z82" s="353"/>
      <c r="AA82" s="244"/>
      <c r="AB82" s="244"/>
      <c r="AC82" s="244"/>
      <c r="AD82" s="244"/>
      <c r="AE82" s="288"/>
      <c r="AF82" s="353"/>
      <c r="AG82" s="244"/>
      <c r="AH82" s="244"/>
      <c r="AI82" s="244"/>
      <c r="AJ82" s="244"/>
      <c r="AK82" s="288"/>
      <c r="AL82" s="353"/>
      <c r="AM82" s="244"/>
      <c r="AN82" s="244"/>
      <c r="AO82" s="244"/>
      <c r="AP82" s="244"/>
      <c r="AQ82" s="288"/>
      <c r="AR82" s="353"/>
      <c r="AS82" s="244"/>
      <c r="AT82" s="244"/>
      <c r="AU82" s="244"/>
      <c r="AV82" s="244"/>
      <c r="AW82" s="288"/>
      <c r="AX82" s="353"/>
      <c r="AY82" s="244"/>
      <c r="AZ82" s="244"/>
      <c r="BA82" s="244"/>
      <c r="BB82" s="244"/>
      <c r="BC82" s="288"/>
      <c r="BD82" s="353"/>
      <c r="BE82" s="244"/>
      <c r="BF82" s="244"/>
      <c r="BG82" s="486"/>
      <c r="BH82" s="486"/>
      <c r="BI82" s="288"/>
      <c r="BJ82" s="353"/>
      <c r="BK82" s="486"/>
      <c r="BL82" s="486"/>
      <c r="BM82" s="486"/>
      <c r="BN82" s="486"/>
      <c r="BO82" s="62">
        <f>BO79-BI79</f>
        <v>112.29999999999995</v>
      </c>
      <c r="BP82" s="353"/>
      <c r="BQ82" s="486"/>
      <c r="BR82" s="486"/>
      <c r="BS82" s="486"/>
      <c r="BT82" s="486"/>
      <c r="BU82" s="62">
        <f>BU79-BO79</f>
        <v>127.30000000000007</v>
      </c>
      <c r="BV82" s="353"/>
      <c r="BW82" s="486"/>
      <c r="BX82" s="486"/>
      <c r="BY82" s="486"/>
      <c r="BZ82" s="486"/>
      <c r="CA82" s="62">
        <f>CA79-BU79</f>
        <v>46</v>
      </c>
      <c r="CB82" s="353"/>
      <c r="CC82" s="486"/>
      <c r="CD82" s="486"/>
      <c r="CE82" s="486"/>
      <c r="CF82" s="486"/>
      <c r="CG82" s="62">
        <f>CG79-CA79</f>
        <v>-35.600000000000023</v>
      </c>
      <c r="CH82" s="353"/>
      <c r="CI82" s="486"/>
      <c r="CJ82" s="486"/>
      <c r="CK82" s="486"/>
      <c r="CL82" s="486"/>
      <c r="CM82" s="62"/>
      <c r="CN82" s="353"/>
      <c r="CO82" s="486"/>
      <c r="CP82" s="486"/>
      <c r="CQ82" s="486"/>
      <c r="CR82" s="486"/>
      <c r="CS82" s="62">
        <f>CS79-CM79</f>
        <v>131.29999999999995</v>
      </c>
      <c r="CT82" s="353"/>
      <c r="CU82" s="486"/>
      <c r="CV82" s="486"/>
      <c r="CW82" s="486"/>
      <c r="CX82" s="486"/>
      <c r="CY82" s="62">
        <f>CY79-CS79</f>
        <v>115.40000000000009</v>
      </c>
      <c r="CZ82" s="353"/>
      <c r="DA82" s="486"/>
      <c r="DB82" s="486"/>
      <c r="DC82" s="486"/>
      <c r="DD82" s="486"/>
      <c r="DE82" s="62">
        <f>DE79-CY79</f>
        <v>66</v>
      </c>
      <c r="DF82" s="353"/>
      <c r="DG82" s="486"/>
      <c r="DH82" s="486"/>
      <c r="DI82" s="486"/>
      <c r="DJ82" s="486"/>
      <c r="DK82" s="62">
        <f>DK79-DE79</f>
        <v>256.49999999999989</v>
      </c>
      <c r="DL82" s="353"/>
      <c r="DM82" s="486"/>
      <c r="DN82" s="486"/>
      <c r="DO82" s="486"/>
      <c r="DP82" s="486"/>
      <c r="DQ82" s="62">
        <f>DQ79-DK79</f>
        <v>362.10000000000014</v>
      </c>
      <c r="DR82" s="353"/>
      <c r="DS82" s="486"/>
      <c r="DT82" s="486"/>
      <c r="DU82" s="486"/>
      <c r="DV82" s="486"/>
      <c r="DW82" s="62">
        <f>DW79-DQ79</f>
        <v>268.79999999999995</v>
      </c>
      <c r="DX82" s="354"/>
      <c r="DY82" s="486"/>
      <c r="DZ82" s="486"/>
      <c r="EA82" s="486"/>
      <c r="EB82" s="486"/>
      <c r="EC82" s="62">
        <f>EC79-DW79</f>
        <v>167.09999999999991</v>
      </c>
      <c r="ED82" s="354"/>
      <c r="EE82" s="486"/>
      <c r="EF82" s="486"/>
      <c r="EG82" s="486"/>
      <c r="EH82" s="486"/>
      <c r="EI82" s="62">
        <f>EI79-EC79</f>
        <v>314.22354674562257</v>
      </c>
      <c r="EJ82" s="354"/>
      <c r="EK82" s="486"/>
      <c r="EL82" s="486"/>
      <c r="EM82" s="486"/>
      <c r="EN82" s="486"/>
      <c r="EO82" s="62">
        <f>EO79-EI79</f>
        <v>456.12219671483217</v>
      </c>
      <c r="EP82" s="354"/>
      <c r="EQ82" s="486"/>
      <c r="ER82" s="486"/>
      <c r="ES82" s="486"/>
      <c r="ET82" s="486"/>
      <c r="EU82" s="62">
        <f>EU79-EO79</f>
        <v>394.19542217163962</v>
      </c>
      <c r="EV82" s="354"/>
      <c r="EW82" s="354"/>
      <c r="EX82" s="354"/>
      <c r="EY82" s="354"/>
      <c r="EZ82" s="354"/>
      <c r="FA82" s="354"/>
      <c r="FB82" s="354"/>
    </row>
    <row r="83" spans="1:158" ht="10.5" hidden="1" customHeight="1" outlineLevel="1">
      <c r="A83" s="31" t="s">
        <v>6064</v>
      </c>
      <c r="B83" s="32"/>
      <c r="C83" s="90"/>
      <c r="D83" s="90"/>
      <c r="E83" s="90"/>
      <c r="F83" s="90"/>
      <c r="G83" s="61"/>
      <c r="H83" s="90"/>
      <c r="I83" s="90"/>
      <c r="J83" s="90"/>
      <c r="K83" s="71"/>
      <c r="L83" s="71"/>
      <c r="M83" s="71"/>
      <c r="N83" s="71"/>
      <c r="O83" s="70"/>
      <c r="P83" s="70"/>
      <c r="Q83" s="71"/>
      <c r="R83" s="70"/>
      <c r="S83" s="70"/>
      <c r="T83" s="71"/>
      <c r="U83" s="296"/>
      <c r="V83" s="70"/>
      <c r="W83" s="71"/>
      <c r="X83" s="70"/>
      <c r="Y83" s="70"/>
      <c r="Z83" s="71"/>
      <c r="AA83" s="71"/>
      <c r="AB83" s="71"/>
      <c r="AC83" s="71"/>
      <c r="AD83" s="71"/>
      <c r="AE83" s="70"/>
      <c r="AF83" s="71"/>
      <c r="AG83" s="71"/>
      <c r="AH83" s="71"/>
      <c r="AI83" s="71"/>
      <c r="AJ83" s="71"/>
      <c r="AK83" s="70"/>
      <c r="AL83" s="71"/>
      <c r="AM83" s="71"/>
      <c r="AN83" s="71"/>
      <c r="AO83" s="71"/>
      <c r="AP83" s="71"/>
      <c r="AQ83" s="70"/>
      <c r="AR83" s="71"/>
      <c r="AS83" s="71"/>
      <c r="AT83" s="71"/>
      <c r="AU83" s="71"/>
      <c r="AV83" s="71"/>
      <c r="AW83" s="70"/>
      <c r="AX83" s="121"/>
      <c r="AY83" s="71"/>
      <c r="AZ83" s="71"/>
      <c r="BA83" s="71"/>
      <c r="BB83" s="71"/>
      <c r="BC83" s="70"/>
      <c r="BD83" s="71"/>
      <c r="BE83" s="71"/>
      <c r="BF83" s="71"/>
      <c r="BG83" s="71"/>
      <c r="BH83" s="71"/>
      <c r="BI83" s="70"/>
      <c r="BJ83" s="71"/>
      <c r="BK83" s="71"/>
      <c r="BL83" s="71"/>
      <c r="BM83" s="71"/>
      <c r="BN83" s="71"/>
      <c r="BO83" s="70"/>
      <c r="BP83" s="71"/>
      <c r="BQ83" s="71"/>
      <c r="BR83" s="71"/>
      <c r="BS83" s="71"/>
      <c r="BT83" s="71"/>
      <c r="BU83" s="70"/>
      <c r="BV83" s="71"/>
      <c r="BW83" s="71"/>
      <c r="BX83" s="71"/>
      <c r="BY83" s="71"/>
      <c r="BZ83" s="71"/>
      <c r="CA83" s="70"/>
      <c r="CB83" s="71"/>
      <c r="CC83" s="71"/>
      <c r="CD83" s="71"/>
      <c r="CE83" s="71"/>
      <c r="CF83" s="71"/>
      <c r="CG83" s="70"/>
      <c r="CH83" s="71"/>
      <c r="CI83" s="71"/>
      <c r="CJ83" s="71"/>
      <c r="CK83" s="71"/>
      <c r="CL83" s="71"/>
      <c r="CM83" s="70"/>
      <c r="CN83" s="71"/>
      <c r="CO83" s="71"/>
      <c r="CP83" s="71"/>
      <c r="CQ83" s="71"/>
      <c r="CR83" s="71"/>
      <c r="CS83" s="70"/>
      <c r="CT83" s="71"/>
      <c r="CU83" s="71"/>
      <c r="CV83" s="71"/>
      <c r="CW83" s="71"/>
      <c r="CX83" s="71"/>
      <c r="CY83" s="70"/>
      <c r="CZ83" s="71"/>
      <c r="DA83" s="71"/>
      <c r="DB83" s="71"/>
      <c r="DC83" s="71"/>
      <c r="DD83" s="71"/>
      <c r="DE83" s="70"/>
      <c r="DF83" s="71"/>
      <c r="DG83" s="71"/>
      <c r="DH83" s="71"/>
      <c r="DI83" s="71"/>
      <c r="DJ83" s="71"/>
      <c r="DK83" s="70"/>
      <c r="DL83" s="71"/>
      <c r="DM83" s="71"/>
      <c r="DN83" s="71"/>
      <c r="DO83" s="71"/>
      <c r="DP83" s="71"/>
      <c r="DQ83" s="70"/>
      <c r="DR83" s="71"/>
      <c r="DS83" s="71"/>
      <c r="DT83" s="71"/>
      <c r="DU83" s="71"/>
      <c r="DV83" s="71"/>
      <c r="DW83" s="70"/>
      <c r="DX83" s="46"/>
      <c r="DY83" s="71"/>
      <c r="DZ83" s="71"/>
      <c r="EA83" s="71"/>
      <c r="EB83" s="71"/>
      <c r="EC83" s="70"/>
      <c r="ED83" s="46"/>
      <c r="EE83" s="71"/>
      <c r="EF83" s="71"/>
      <c r="EG83" s="71"/>
      <c r="EH83" s="71"/>
      <c r="EI83" s="70"/>
      <c r="EJ83" s="46"/>
      <c r="EK83" s="71"/>
      <c r="EL83" s="71"/>
      <c r="EM83" s="71"/>
      <c r="EN83" s="71"/>
      <c r="EO83" s="70"/>
      <c r="EP83" s="46"/>
      <c r="EQ83" s="71"/>
      <c r="ER83" s="71"/>
      <c r="ES83" s="71"/>
      <c r="ET83" s="71"/>
      <c r="EU83" s="70"/>
      <c r="EV83" s="46"/>
      <c r="EW83" s="46"/>
      <c r="EX83" s="46"/>
      <c r="EY83" s="46"/>
      <c r="EZ83" s="46"/>
      <c r="FA83" s="46"/>
      <c r="FB83" s="46"/>
    </row>
    <row r="84" spans="1:158" ht="10.5" hidden="1" customHeight="1" outlineLevel="1">
      <c r="A84" s="348" t="s">
        <v>6589</v>
      </c>
      <c r="B84" s="32"/>
      <c r="C84" s="90"/>
      <c r="D84" s="90"/>
      <c r="E84" s="90"/>
      <c r="F84" s="90"/>
      <c r="G84" s="61"/>
      <c r="H84" s="90"/>
      <c r="I84" s="90"/>
      <c r="J84" s="90"/>
      <c r="K84" s="353"/>
      <c r="L84" s="353"/>
      <c r="M84" s="353"/>
      <c r="N84" s="353"/>
      <c r="O84" s="244">
        <f>IF(ISERROR(O23/Model!O261),"-",O23/Model!O261)</f>
        <v>1.9161201316944057E-2</v>
      </c>
      <c r="P84" s="244">
        <f>IF(ISERROR(P23/Model!P261),"-",P23/Model!P261)</f>
        <v>1.9219754343537197E-2</v>
      </c>
      <c r="Q84" s="244">
        <f>IF(ISERROR(Q23/Model!Q261),"-",Q23/Model!Q261)</f>
        <v>2.5466681204496685E-2</v>
      </c>
      <c r="R84" s="244">
        <f>IF(ISERROR(R23/Model!R261),"-",R23/Model!R261)</f>
        <v>2.8642966463496494E-2</v>
      </c>
      <c r="S84" s="244">
        <f>R84</f>
        <v>2.8642966463496494E-2</v>
      </c>
      <c r="T84" s="353"/>
      <c r="U84" s="244">
        <f>IF(ISERROR(U23/Model!U261),"-",U23/Model!U261)</f>
        <v>2.7586572124921278E-2</v>
      </c>
      <c r="V84" s="244">
        <f>IF(ISERROR(V23/Model!V261),"-",V23/Model!V261)</f>
        <v>1.9211262483069549E-2</v>
      </c>
      <c r="W84" s="244">
        <f>IF(ISERROR(W23/Model!W261),"-",W23/Model!W261)</f>
        <v>1.713799304582957E-2</v>
      </c>
      <c r="X84" s="244">
        <f>IF(ISERROR(X23/Model!X261),"-",X23/Model!X261)</f>
        <v>6.9040659111303457E-3</v>
      </c>
      <c r="Y84" s="244">
        <f>X84</f>
        <v>6.9040659111303457E-3</v>
      </c>
      <c r="Z84" s="353"/>
      <c r="AA84" s="244">
        <f>IF(ISERROR(AA23/Model!AA261),"-",AA23/Model!AA261)</f>
        <v>2.4071207518630604E-2</v>
      </c>
      <c r="AB84" s="244">
        <f>IF(ISERROR(AB23/Model!AB261),"-",AB23/Model!AB261)</f>
        <v>2.0145554383763413E-2</v>
      </c>
      <c r="AC84" s="244">
        <f>IF(ISERROR(AC23/Model!AC261),"-",AC23/Model!AC261)</f>
        <v>1.324848851138209E-2</v>
      </c>
      <c r="AD84" s="244">
        <f>IF(ISERROR(AD23/Model!AD261),"-",AD23/Model!AD261)</f>
        <v>1.1081634135192517E-2</v>
      </c>
      <c r="AE84" s="244">
        <f>AD84</f>
        <v>1.1081634135192517E-2</v>
      </c>
      <c r="AF84" s="353"/>
      <c r="AG84" s="244">
        <f>IF(ISERROR(AG23/Model!AG261),"-",AG23/Model!AG261)</f>
        <v>9.549802535746027E-3</v>
      </c>
      <c r="AH84" s="244">
        <f>IF(ISERROR(AH23/Model!AH261),"-",AH23/Model!AH261)</f>
        <v>8.2848426880601355E-3</v>
      </c>
      <c r="AI84" s="244">
        <f>IF(ISERROR(AI23/Model!AI261),"-",AI23/Model!AI261)</f>
        <v>1.2097118645515662E-2</v>
      </c>
      <c r="AJ84" s="244">
        <f>IF(ISERROR(AJ23/Model!AJ261),"-",AJ23/Model!AJ261)</f>
        <v>1.0735722027966493E-2</v>
      </c>
      <c r="AK84" s="244">
        <f>AJ84</f>
        <v>1.0735722027966493E-2</v>
      </c>
      <c r="AL84" s="353"/>
      <c r="AM84" s="244">
        <f>IF(ISERROR(AM23/Model!AM261),"-",AM23/Model!AM261)</f>
        <v>1.1075334182528209E-2</v>
      </c>
      <c r="AN84" s="244">
        <f>IF(ISERROR(AN23/Model!AN261),"-",AN23/Model!AN261)</f>
        <v>1.1600021512008859E-2</v>
      </c>
      <c r="AO84" s="244">
        <f>IF(ISERROR(AO23/Model!AO261),"-",AO23/Model!AO261)</f>
        <v>1.074974277360795E-2</v>
      </c>
      <c r="AP84" s="244">
        <f>IF(ISERROR(AP23/Model!AP261),"-",AP23/Model!AP261)</f>
        <v>9.451539193521992E-3</v>
      </c>
      <c r="AQ84" s="244">
        <f>AP84</f>
        <v>9.451539193521992E-3</v>
      </c>
      <c r="AR84" s="353"/>
      <c r="AS84" s="244">
        <f>IF(ISERROR(AS23/Model!AS261),"-",AS23/Model!AS261)</f>
        <v>9.7199349193436372E-3</v>
      </c>
      <c r="AT84" s="244">
        <f>IF(ISERROR(AT23/Model!AT261),"-",AT23/Model!AT261)</f>
        <v>9.4918977349359342E-3</v>
      </c>
      <c r="AU84" s="244">
        <f>IF(ISERROR(AU23/Model!AU261),"-",AU23/Model!AU261)</f>
        <v>7.2665460662629184E-3</v>
      </c>
      <c r="AV84" s="244">
        <f>IF(ISERROR(AV23/Model!AV261),"-",AV23/Model!AV261)</f>
        <v>8.3918023880804049E-3</v>
      </c>
      <c r="AW84" s="244">
        <f>AV84</f>
        <v>8.3918023880804049E-3</v>
      </c>
      <c r="AX84" s="353"/>
      <c r="AY84" s="244">
        <f>IF(ISERROR(AY23/Model!AY261),"-",AY23/Model!AY261)</f>
        <v>9.5194412953363387E-3</v>
      </c>
      <c r="AZ84" s="244">
        <f>IF(ISERROR(AZ23/Model!AZ261),"-",AZ23/Model!AZ261)</f>
        <v>8.6558852806670784E-3</v>
      </c>
      <c r="BA84" s="244">
        <f>IF(ISERROR(BA23/Model!BA261),"-",BA23/Model!BA261)</f>
        <v>7.6490935824104836E-3</v>
      </c>
      <c r="BB84" s="244">
        <f>IF(ISERROR(BB23/Model!BB261),"-",BB23/Model!BB261)</f>
        <v>7.9102429574622653E-3</v>
      </c>
      <c r="BC84" s="244">
        <f>BB84</f>
        <v>7.9102429574622653E-3</v>
      </c>
      <c r="BD84" s="353"/>
      <c r="BE84" s="244">
        <f>IF(ISERROR(BE23/Model!BE261),"-",BE23/Model!BE261)</f>
        <v>1.2164138886750329E-2</v>
      </c>
      <c r="BF84" s="244">
        <f>IF(ISERROR(BF23/Model!BF261),"-",BF23/Model!BF261)</f>
        <v>1.2115563839701771E-2</v>
      </c>
      <c r="BG84" s="244">
        <f>IF(ISERROR(BG23/Model!BG261),"-",BG23/Model!BG261)</f>
        <v>1.2406779661016951E-2</v>
      </c>
      <c r="BH84" s="244">
        <f>IF(ISERROR(BH23/Model!BH261),"-",BH23/Model!BH261)</f>
        <v>3.6039552432995059E-2</v>
      </c>
      <c r="BI84" s="244">
        <f>BH84</f>
        <v>3.6039552432995059E-2</v>
      </c>
      <c r="BJ84" s="353"/>
      <c r="BK84" s="244">
        <f>IF(ISERROR(BK23/Model!BK261),"-",BK23/Model!BK261)</f>
        <v>5.0492534539371789E-2</v>
      </c>
      <c r="BL84" s="244">
        <f>IF(ISERROR(BL23/Model!BL261),"-",BL23/Model!BL261)</f>
        <v>4.7424269369850017E-2</v>
      </c>
      <c r="BM84" s="244">
        <f>IF(ISERROR(BM23/Model!BM261),"-",BM23/Model!BM261)</f>
        <v>4.471683123368516E-2</v>
      </c>
      <c r="BN84" s="244">
        <f>IF(ISERROR(BN23/Model!BN261),"-",BN23/Model!BN261)</f>
        <v>4.1200130448961841E-2</v>
      </c>
      <c r="BO84" s="244">
        <f>BN84</f>
        <v>4.1200130448961841E-2</v>
      </c>
      <c r="BP84" s="353"/>
      <c r="BQ84" s="244">
        <f>IF(ISERROR(BQ23/Model!BQ261),"-",BQ23/Model!BQ261)</f>
        <v>3.927002719096423E-2</v>
      </c>
      <c r="BR84" s="244">
        <f>IF(ISERROR(BR23/Model!BR261),"-",BR23/Model!BR261)</f>
        <v>3.9221602051591489E-2</v>
      </c>
      <c r="BS84" s="244">
        <f>IF(ISERROR(BS23/Model!BS261),"-",BS23/Model!BS261)</f>
        <v>3.9559484132734385E-2</v>
      </c>
      <c r="BT84" s="244">
        <f>IF(ISERROR(BT23/Model!BT261),"-",BT23/Model!BT261)</f>
        <v>3.6556169429097611E-2</v>
      </c>
      <c r="BU84" s="244">
        <f>BT84</f>
        <v>3.6556169429097611E-2</v>
      </c>
      <c r="BV84" s="353"/>
      <c r="BW84" s="244">
        <f>IF(ISERROR(BW23/Model!BW261),"-",BW23/Model!BW261)</f>
        <v>3.3595614888161963E-2</v>
      </c>
      <c r="BX84" s="244">
        <f>IF(ISERROR(BX23/Model!BX261),"-",BX23/Model!BX261)</f>
        <v>5.2169114525851087E-2</v>
      </c>
      <c r="BY84" s="244">
        <f>IF(ISERROR(BY23/Model!BY261),"-",BY23/Model!BY261)</f>
        <v>4.6277583006805526E-2</v>
      </c>
      <c r="BZ84" s="244">
        <f>IF(ISERROR(BZ23/Model!BZ261),"-",BZ23/Model!BZ261)</f>
        <v>5.3127159640635802E-2</v>
      </c>
      <c r="CA84" s="244">
        <f>BZ84</f>
        <v>5.3127159640635802E-2</v>
      </c>
      <c r="CB84" s="353"/>
      <c r="CC84" s="244">
        <f>IF(ISERROR(CC23/Model!CC261),"-",CC23/Model!CC261)</f>
        <v>5.8351227709831019E-2</v>
      </c>
      <c r="CD84" s="244">
        <f>IF(ISERROR(CD23/Model!CD261),"-",CD23/Model!CD261)</f>
        <v>6.1054913294797689E-2</v>
      </c>
      <c r="CE84" s="244">
        <f>IF(ISERROR(CE23/Model!CE261),"-",CE23/Model!CE261)</f>
        <v>6.4266910838960745E-2</v>
      </c>
      <c r="CF84" s="244">
        <f>IF(ISERROR(CF23/Model!CF261),"-",CF23/Model!CF261)</f>
        <v>6.2788119274085313E-2</v>
      </c>
      <c r="CG84" s="244">
        <f>CF84</f>
        <v>6.2788119274085313E-2</v>
      </c>
      <c r="CH84" s="353"/>
      <c r="CI84" s="244">
        <f>IF(ISERROR(CI23/Model!CI261),"-",CI23/Model!CI261)</f>
        <v>5.6680851063829793E-2</v>
      </c>
      <c r="CJ84" s="244">
        <f>IF(ISERROR(CJ23/Model!CJ261),"-",CJ23/Model!CJ261)</f>
        <v>5.6361239288068549E-2</v>
      </c>
      <c r="CK84" s="244">
        <f>IF(ISERROR(CK23/Model!CK261),"-",CK23/Model!CK261)</f>
        <v>5.4781406233379432E-2</v>
      </c>
      <c r="CL84" s="244">
        <f>IF(ISERROR(CL23/Model!CL261),"-",CL23/Model!CL261)</f>
        <v>4.8263141715339686E-2</v>
      </c>
      <c r="CM84" s="244">
        <f>CL84</f>
        <v>4.8263141715339686E-2</v>
      </c>
      <c r="CN84" s="353"/>
      <c r="CO84" s="244">
        <f>IF(ISERROR(CO23/Model!CO261),"-",CO23/Model!CO261)</f>
        <v>6.128147594116181E-2</v>
      </c>
      <c r="CP84" s="244">
        <f>IF(ISERROR(CP23/Model!CP261),"-",CP23/Model!CP261)</f>
        <v>5.526695526695527E-2</v>
      </c>
      <c r="CQ84" s="244">
        <f>IF(ISERROR(CQ23/Model!CQ261),"-",CQ23/Model!CQ261)</f>
        <v>6.0765261053512487E-2</v>
      </c>
      <c r="CR84" s="244">
        <f>IF(ISERROR(CR23/Model!CR261),"-",CR23/Model!CR261)</f>
        <v>5.9487272070770904E-2</v>
      </c>
      <c r="CS84" s="244">
        <f>CR84</f>
        <v>5.9487272070770904E-2</v>
      </c>
      <c r="CT84" s="353"/>
      <c r="CU84" s="244">
        <f>IF(ISERROR(CU23/Model!CU261),"-",CU23/Model!CU261)</f>
        <v>5.7032382793620121E-2</v>
      </c>
      <c r="CV84" s="244">
        <f>IF(ISERROR(CV23/Model!CV261),"-",CV23/Model!CV261)</f>
        <v>5.6860697816061949E-2</v>
      </c>
      <c r="CW84" s="244">
        <f>IF(ISERROR(CW23/Model!CW261),"-",CW23/Model!CW261)</f>
        <v>6.6536118363794611E-2</v>
      </c>
      <c r="CX84" s="244">
        <f>IF(ISERROR(CX23/Model!CX261),"-",CX23/Model!CX261)</f>
        <v>6.9056473233589891E-2</v>
      </c>
      <c r="CY84" s="244">
        <f>CX84</f>
        <v>6.9056473233589891E-2</v>
      </c>
      <c r="CZ84" s="353"/>
      <c r="DA84" s="244">
        <f>IF(ISERROR(DA23/Model!DA261),"-",DA23/Model!DA261)</f>
        <v>6.903765690376569E-2</v>
      </c>
      <c r="DB84" s="244">
        <f>IF(ISERROR(DB23/Model!DB261),"-",DB23/Model!DB261)</f>
        <v>6.6328538323641287E-2</v>
      </c>
      <c r="DC84" s="244">
        <f>IF(ISERROR(DC23/Model!DC261),"-",DC23/Model!DC261)</f>
        <v>6.8038181580438464E-2</v>
      </c>
      <c r="DD84" s="244">
        <f>IF(ISERROR(DD23/Model!DD261),"-",DD23/Model!DD261)</f>
        <v>6.5218347332776289E-2</v>
      </c>
      <c r="DE84" s="244">
        <f>DD84</f>
        <v>6.5218347332776289E-2</v>
      </c>
      <c r="DF84" s="353"/>
      <c r="DG84" s="244">
        <f>IF(ISERROR(DG23/Model!DG261),"-",DG23/Model!DG261)</f>
        <v>8.7979094076655051E-2</v>
      </c>
      <c r="DH84" s="244">
        <f>IF(ISERROR(DH23/Model!DH261),"-",DH23/Model!DH261)</f>
        <v>8.8260099519271329E-2</v>
      </c>
      <c r="DI84" s="244">
        <f>IF(ISERROR(DI23/Model!DI261),"-",DI23/Model!DI261)</f>
        <v>7.9368991865910773E-2</v>
      </c>
      <c r="DJ84" s="244">
        <f>IF(ISERROR(DJ23/Model!DJ261),"-",DJ23/Model!DJ261)</f>
        <v>6.6714433564206671E-2</v>
      </c>
      <c r="DK84" s="244">
        <f>DJ84</f>
        <v>6.6714433564206671E-2</v>
      </c>
      <c r="DL84" s="353"/>
      <c r="DM84" s="244">
        <f>IF(ISERROR(DM23/Model!DM261),"-",DM23/Model!DM261)</f>
        <v>6.6245810926661999E-2</v>
      </c>
      <c r="DN84" s="244">
        <f>IF(ISERROR(DN23/Model!DN261),"-",DN23/Model!DN261)</f>
        <v>6.7005436067123614E-2</v>
      </c>
      <c r="DO84" s="244">
        <f>IF(ISERROR(DO23/Model!DO261),"-",DO23/Model!DO261)</f>
        <v>7.2052055229328671E-2</v>
      </c>
      <c r="DP84" s="244">
        <f>IF(ISERROR(DP23/Model!DP261),"-",DP23/Model!DP261)</f>
        <v>8.2105347230541914E-2</v>
      </c>
      <c r="DQ84" s="244">
        <f>DP84</f>
        <v>8.2105347230541914E-2</v>
      </c>
      <c r="DR84" s="353"/>
      <c r="DS84" s="244">
        <f>IF(ISERROR(DS23/Model!DS261),"-",DS23/Model!DS261)</f>
        <v>8.5461067735809249E-2</v>
      </c>
      <c r="DT84" s="244">
        <f>IF(ISERROR(DT23/Model!DT261),"-",DT23/Model!DT261)</f>
        <v>9.0232397109101151E-2</v>
      </c>
      <c r="DU84" s="244">
        <f>IF(ISERROR(DU23/Model!DU261),"-",DU23/Model!DU261)</f>
        <v>9.679618268575324E-2</v>
      </c>
      <c r="DV84" s="244">
        <f>IF(ISERROR(DV23/Model!DV261),"-",DV23/Model!DV261)</f>
        <v>9.9458394879369763E-2</v>
      </c>
      <c r="DW84" s="244">
        <f>DV84</f>
        <v>9.9458394879369763E-2</v>
      </c>
      <c r="DX84" s="354"/>
      <c r="DY84" s="244">
        <f>IF(ISERROR(DY23/Model!DY261),"-",DY23/Model!DY261)</f>
        <v>0.10030925778132482</v>
      </c>
      <c r="DZ84" s="244">
        <f>IF(ISERROR(DZ23/Model!DZ261),"-",DZ23/Model!DZ261)</f>
        <v>9.8624674063091153E-2</v>
      </c>
      <c r="EA84" s="244">
        <f>IF(ISERROR(EA23/Model!EA261),"-",EA23/Model!EA261)</f>
        <v>9.3056116269681077E-2</v>
      </c>
      <c r="EB84" s="244">
        <f>IF(ISERROR(EB23/Model!EB261),"-",EB23/Model!EB261)</f>
        <v>8.3098317611591949E-2</v>
      </c>
      <c r="EC84" s="244">
        <f>EB84</f>
        <v>8.3098317611591949E-2</v>
      </c>
      <c r="ED84" s="354"/>
      <c r="EE84" s="486">
        <f>DY84-1%</f>
        <v>9.0309257781324828E-2</v>
      </c>
      <c r="EF84" s="486">
        <f>DZ84-1%</f>
        <v>8.8624674063091158E-2</v>
      </c>
      <c r="EG84" s="486">
        <f>EA84-1%</f>
        <v>8.3056116269681082E-2</v>
      </c>
      <c r="EH84" s="486">
        <f>EB84-1%</f>
        <v>7.3098317611591954E-2</v>
      </c>
      <c r="EI84" s="244">
        <f>EH84</f>
        <v>7.3098317611591954E-2</v>
      </c>
      <c r="EJ84" s="354"/>
      <c r="EK84" s="486">
        <f t="shared" ref="EK84" si="113">EE84-2%</f>
        <v>7.0309257781324824E-2</v>
      </c>
      <c r="EL84" s="486">
        <f t="shared" ref="EL84" si="114">EF84-2%</f>
        <v>6.8624674063091154E-2</v>
      </c>
      <c r="EM84" s="486">
        <f t="shared" ref="EM84" si="115">EG84-2%</f>
        <v>6.3056116269681078E-2</v>
      </c>
      <c r="EN84" s="486">
        <f>EH84-2%</f>
        <v>5.309831761159195E-2</v>
      </c>
      <c r="EO84" s="244">
        <f>EN84</f>
        <v>5.309831761159195E-2</v>
      </c>
      <c r="EP84" s="354"/>
      <c r="EQ84" s="486">
        <f t="shared" ref="EQ84" si="116">EK84-2%</f>
        <v>5.030925778132482E-2</v>
      </c>
      <c r="ER84" s="486">
        <f t="shared" ref="ER84" si="117">EL84-2%</f>
        <v>4.862467406309115E-2</v>
      </c>
      <c r="ES84" s="486">
        <f t="shared" ref="ES84" si="118">EM84-2%</f>
        <v>4.3056116269681075E-2</v>
      </c>
      <c r="ET84" s="486">
        <f>EN84-2%</f>
        <v>3.3098317611591946E-2</v>
      </c>
      <c r="EU84" s="244">
        <f>ET84</f>
        <v>3.3098317611591946E-2</v>
      </c>
      <c r="EV84" s="354"/>
      <c r="EW84" s="354"/>
      <c r="EX84" s="354"/>
      <c r="EY84" s="354"/>
      <c r="EZ84" s="354"/>
      <c r="FA84" s="354"/>
      <c r="FB84" s="354"/>
    </row>
    <row r="85" spans="1:158" ht="10.5" hidden="1" customHeight="1" outlineLevel="1">
      <c r="A85" s="25"/>
      <c r="B85" s="32"/>
      <c r="C85" s="90"/>
      <c r="D85" s="90"/>
      <c r="E85" s="90"/>
      <c r="F85" s="90"/>
      <c r="G85" s="61"/>
      <c r="H85" s="90"/>
      <c r="I85" s="90"/>
      <c r="J85" s="90"/>
      <c r="K85" s="61"/>
      <c r="L85" s="61"/>
      <c r="M85" s="61"/>
      <c r="N85" s="61"/>
      <c r="O85" s="116"/>
      <c r="P85" s="116"/>
      <c r="Q85" s="116"/>
      <c r="R85" s="116"/>
      <c r="S85" s="116"/>
      <c r="T85" s="61"/>
      <c r="U85" s="116"/>
      <c r="V85" s="116"/>
      <c r="W85" s="116"/>
      <c r="X85" s="116"/>
      <c r="Y85" s="116"/>
      <c r="Z85" s="112"/>
      <c r="AA85" s="116"/>
      <c r="AB85" s="116"/>
      <c r="AC85" s="116"/>
      <c r="AD85" s="116"/>
      <c r="AE85" s="116"/>
      <c r="AF85" s="112"/>
      <c r="AG85" s="116"/>
      <c r="AH85" s="116"/>
      <c r="AI85" s="116"/>
      <c r="AJ85" s="116"/>
      <c r="AK85" s="116"/>
      <c r="AL85" s="112"/>
      <c r="AM85" s="116"/>
      <c r="AN85" s="116"/>
      <c r="AO85" s="116"/>
      <c r="AP85" s="116"/>
      <c r="AQ85" s="116"/>
      <c r="AR85" s="112"/>
      <c r="AS85" s="116"/>
      <c r="AT85" s="116"/>
      <c r="AU85" s="116"/>
      <c r="AV85" s="116"/>
      <c r="AW85" s="116"/>
      <c r="AX85" s="61"/>
      <c r="AY85" s="116"/>
      <c r="AZ85" s="116"/>
      <c r="BA85" s="116"/>
      <c r="BB85" s="116"/>
      <c r="BC85" s="116"/>
      <c r="BD85" s="112"/>
      <c r="BE85" s="116"/>
      <c r="BF85" s="347"/>
      <c r="BG85" s="347"/>
      <c r="BH85" s="347"/>
      <c r="BI85" s="116"/>
      <c r="BJ85" s="112"/>
      <c r="BK85" s="116"/>
      <c r="BL85" s="347"/>
      <c r="BM85" s="347"/>
      <c r="BN85" s="347"/>
      <c r="BO85" s="116"/>
      <c r="BP85" s="112"/>
      <c r="BQ85" s="347"/>
      <c r="BR85" s="347"/>
      <c r="BS85" s="347"/>
      <c r="BT85" s="347"/>
      <c r="BU85" s="116"/>
      <c r="BV85" s="112"/>
      <c r="BW85" s="347"/>
      <c r="BX85" s="347"/>
      <c r="BY85" s="347"/>
      <c r="BZ85" s="347"/>
      <c r="CA85" s="116"/>
      <c r="CB85" s="112"/>
      <c r="CC85" s="347"/>
      <c r="CD85" s="347"/>
      <c r="CE85" s="347"/>
      <c r="CF85" s="347"/>
      <c r="CG85" s="116"/>
      <c r="CH85" s="112"/>
      <c r="CI85" s="347"/>
      <c r="CJ85" s="347"/>
      <c r="CK85" s="347"/>
      <c r="CL85" s="347"/>
      <c r="CM85" s="116"/>
      <c r="CN85" s="112"/>
      <c r="CO85" s="347"/>
      <c r="CP85" s="347"/>
      <c r="CQ85" s="347"/>
      <c r="CR85" s="347"/>
      <c r="CS85" s="116"/>
      <c r="CT85" s="112"/>
      <c r="CU85" s="347"/>
      <c r="CV85" s="347"/>
      <c r="CW85" s="347"/>
      <c r="CX85" s="347"/>
      <c r="CY85" s="116"/>
      <c r="CZ85" s="112"/>
      <c r="DA85" s="347"/>
      <c r="DB85" s="347"/>
      <c r="DC85" s="347"/>
      <c r="DD85" s="347"/>
      <c r="DE85" s="116"/>
      <c r="DF85" s="112"/>
      <c r="DG85" s="347"/>
      <c r="DH85" s="347"/>
      <c r="DI85" s="347"/>
      <c r="DJ85" s="347"/>
      <c r="DK85" s="116"/>
      <c r="DL85" s="112"/>
      <c r="DM85" s="347"/>
      <c r="DN85" s="347"/>
      <c r="DO85" s="347"/>
      <c r="DP85" s="347"/>
      <c r="DQ85" s="116"/>
      <c r="DR85" s="112"/>
      <c r="DS85" s="347"/>
      <c r="DT85" s="347"/>
      <c r="DU85" s="347"/>
      <c r="DV85" s="347"/>
      <c r="DW85" s="116"/>
      <c r="DX85" s="27"/>
      <c r="DY85" s="347"/>
      <c r="DZ85" s="347"/>
      <c r="EA85" s="347"/>
      <c r="EB85" s="347"/>
      <c r="EC85" s="116"/>
      <c r="ED85" s="27"/>
      <c r="EE85" s="347"/>
      <c r="EF85" s="347"/>
      <c r="EG85" s="347"/>
      <c r="EH85" s="347"/>
      <c r="EI85" s="116"/>
      <c r="EJ85" s="27"/>
      <c r="EK85" s="347"/>
      <c r="EL85" s="347"/>
      <c r="EM85" s="347"/>
      <c r="EN85" s="347"/>
      <c r="EO85" s="116"/>
      <c r="EP85" s="27"/>
      <c r="EQ85" s="347"/>
      <c r="ER85" s="347"/>
      <c r="ES85" s="347"/>
      <c r="ET85" s="347"/>
      <c r="EU85" s="116"/>
      <c r="EV85" s="27"/>
      <c r="EW85" s="27"/>
      <c r="EX85" s="27"/>
      <c r="EY85" s="27"/>
      <c r="EZ85" s="27"/>
      <c r="FA85" s="27"/>
      <c r="FB85" s="27"/>
    </row>
    <row r="86" spans="1:158" ht="10.5" hidden="1" customHeight="1" outlineLevel="1">
      <c r="A86" s="31" t="s">
        <v>6065</v>
      </c>
      <c r="B86" s="32"/>
      <c r="C86" s="90"/>
      <c r="D86" s="90"/>
      <c r="E86" s="90"/>
      <c r="F86" s="90"/>
      <c r="G86" s="61"/>
      <c r="H86" s="90"/>
      <c r="I86" s="90"/>
      <c r="J86" s="90"/>
      <c r="K86" s="61"/>
      <c r="L86" s="61"/>
      <c r="M86" s="61"/>
      <c r="N86" s="61"/>
      <c r="O86" s="116"/>
      <c r="P86" s="116"/>
      <c r="Q86" s="116"/>
      <c r="R86" s="116"/>
      <c r="S86" s="116"/>
      <c r="T86" s="61"/>
      <c r="U86" s="116"/>
      <c r="V86" s="116"/>
      <c r="W86" s="116"/>
      <c r="X86" s="116"/>
      <c r="Y86" s="116"/>
      <c r="Z86" s="112"/>
      <c r="AA86" s="116"/>
      <c r="AB86" s="116"/>
      <c r="AC86" s="116"/>
      <c r="AD86" s="116"/>
      <c r="AE86" s="116"/>
      <c r="AF86" s="112"/>
      <c r="AG86" s="116"/>
      <c r="AH86" s="116"/>
      <c r="AI86" s="116"/>
      <c r="AJ86" s="116"/>
      <c r="AK86" s="116"/>
      <c r="AL86" s="112"/>
      <c r="AM86" s="116"/>
      <c r="AN86" s="116"/>
      <c r="AO86" s="116"/>
      <c r="AP86" s="116"/>
      <c r="AQ86" s="116"/>
      <c r="AR86" s="112"/>
      <c r="AS86" s="116"/>
      <c r="AT86" s="116"/>
      <c r="AU86" s="116"/>
      <c r="AV86" s="116"/>
      <c r="AW86" s="116"/>
      <c r="AX86" s="61"/>
      <c r="AY86" s="116"/>
      <c r="AZ86" s="116"/>
      <c r="BA86" s="116"/>
      <c r="BB86" s="116"/>
      <c r="BC86" s="116"/>
      <c r="BD86" s="112"/>
      <c r="BE86" s="116"/>
      <c r="BF86" s="347"/>
      <c r="BG86" s="347"/>
      <c r="BH86" s="347"/>
      <c r="BI86" s="116"/>
      <c r="BJ86" s="112"/>
      <c r="BK86" s="116"/>
      <c r="BL86" s="347"/>
      <c r="BM86" s="347"/>
      <c r="BN86" s="347"/>
      <c r="BO86" s="116"/>
      <c r="BP86" s="112"/>
      <c r="BQ86" s="347"/>
      <c r="BR86" s="347"/>
      <c r="BS86" s="347"/>
      <c r="BT86" s="347"/>
      <c r="BU86" s="116"/>
      <c r="BV86" s="112"/>
      <c r="BW86" s="347"/>
      <c r="BX86" s="347"/>
      <c r="BY86" s="347"/>
      <c r="BZ86" s="347"/>
      <c r="CA86" s="116"/>
      <c r="CB86" s="112"/>
      <c r="CC86" s="347"/>
      <c r="CD86" s="347"/>
      <c r="CE86" s="347"/>
      <c r="CF86" s="347"/>
      <c r="CG86" s="116"/>
      <c r="CH86" s="112"/>
      <c r="CI86" s="347"/>
      <c r="CJ86" s="347"/>
      <c r="CK86" s="347"/>
      <c r="CL86" s="347"/>
      <c r="CM86" s="116"/>
      <c r="CN86" s="112"/>
      <c r="CO86" s="347"/>
      <c r="CP86" s="347"/>
      <c r="CQ86" s="347"/>
      <c r="CR86" s="347"/>
      <c r="CS86" s="116"/>
      <c r="CT86" s="112"/>
      <c r="CU86" s="347"/>
      <c r="CV86" s="347"/>
      <c r="CW86" s="347"/>
      <c r="CX86" s="347"/>
      <c r="CY86" s="116"/>
      <c r="CZ86" s="112"/>
      <c r="DA86" s="347"/>
      <c r="DB86" s="347"/>
      <c r="DC86" s="347"/>
      <c r="DD86" s="347"/>
      <c r="DE86" s="116"/>
      <c r="DF86" s="112"/>
      <c r="DG86" s="347"/>
      <c r="DH86" s="347"/>
      <c r="DI86" s="347"/>
      <c r="DJ86" s="347"/>
      <c r="DK86" s="116"/>
      <c r="DL86" s="112"/>
      <c r="DM86" s="347"/>
      <c r="DN86" s="347"/>
      <c r="DO86" s="347"/>
      <c r="DP86" s="347"/>
      <c r="DQ86" s="116"/>
      <c r="DR86" s="112"/>
      <c r="DS86" s="347"/>
      <c r="DT86" s="347"/>
      <c r="DU86" s="347"/>
      <c r="DV86" s="347"/>
      <c r="DW86" s="116"/>
      <c r="DX86" s="27"/>
      <c r="DY86" s="347"/>
      <c r="DZ86" s="347"/>
      <c r="EA86" s="347"/>
      <c r="EB86" s="347"/>
      <c r="EC86" s="116"/>
      <c r="ED86" s="27"/>
      <c r="EE86" s="347"/>
      <c r="EF86" s="347"/>
      <c r="EG86" s="347"/>
      <c r="EH86" s="347"/>
      <c r="EI86" s="116"/>
      <c r="EJ86" s="27"/>
      <c r="EK86" s="347"/>
      <c r="EL86" s="347"/>
      <c r="EM86" s="347"/>
      <c r="EN86" s="347"/>
      <c r="EO86" s="116"/>
      <c r="EP86" s="27"/>
      <c r="EQ86" s="347"/>
      <c r="ER86" s="347"/>
      <c r="ES86" s="347"/>
      <c r="ET86" s="347"/>
      <c r="EU86" s="116"/>
      <c r="EV86" s="27"/>
      <c r="EW86" s="27"/>
      <c r="EX86" s="27"/>
      <c r="EY86" s="27"/>
      <c r="EZ86" s="27"/>
      <c r="FA86" s="27"/>
      <c r="FB86" s="27"/>
    </row>
    <row r="87" spans="1:158" ht="10.5" hidden="1" customHeight="1" outlineLevel="1">
      <c r="A87" s="348" t="s">
        <v>3789</v>
      </c>
      <c r="B87" s="32"/>
      <c r="C87" s="90"/>
      <c r="D87" s="90"/>
      <c r="E87" s="90"/>
      <c r="F87" s="90"/>
      <c r="G87" s="61"/>
      <c r="H87" s="90"/>
      <c r="I87" s="90"/>
      <c r="J87" s="90"/>
      <c r="K87" s="353"/>
      <c r="L87" s="353"/>
      <c r="M87" s="353"/>
      <c r="N87" s="353"/>
      <c r="O87" s="244">
        <f>IF(ISERROR(O28/Model!O31),"-",O28/Model!O31)</f>
        <v>0.12243617310713439</v>
      </c>
      <c r="P87" s="244">
        <f>IF(ISERROR(P28/Model!P31),"-",P28/Model!P31)</f>
        <v>0.12935019324627925</v>
      </c>
      <c r="Q87" s="244">
        <f>IF(ISERROR(Q28/Model!Q31),"-",Q28/Model!Q31)</f>
        <v>0.18040465038872114</v>
      </c>
      <c r="R87" s="244">
        <f>IF(ISERROR(R28/Model!R31),"-",R28/Model!R31)</f>
        <v>0.22208787321035919</v>
      </c>
      <c r="S87" s="244">
        <f>R87</f>
        <v>0.22208787321035919</v>
      </c>
      <c r="T87" s="353"/>
      <c r="U87" s="244">
        <f>IF(ISERROR(U28/Model!U31),"-",U28/Model!U31)</f>
        <v>0.18942470430916655</v>
      </c>
      <c r="V87" s="244">
        <f>IF(ISERROR(V28/Model!V31),"-",V28/Model!V31)</f>
        <v>0.21290043783419285</v>
      </c>
      <c r="W87" s="244">
        <f>IF(ISERROR(W28/Model!W31),"-",W28/Model!W31)</f>
        <v>0.24262123374221042</v>
      </c>
      <c r="X87" s="244">
        <f>IF(ISERROR(X28/Model!X31),"-",X28/Model!X31)</f>
        <v>0.22255456001270532</v>
      </c>
      <c r="Y87" s="244">
        <f>X87</f>
        <v>0.22255456001270532</v>
      </c>
      <c r="Z87" s="353"/>
      <c r="AA87" s="244">
        <f>IF(ISERROR(AA28/Model!AA31),"-",AA28/Model!AA31)</f>
        <v>0.16945502661518042</v>
      </c>
      <c r="AB87" s="244">
        <f>IF(ISERROR(AB28/Model!AB31),"-",AB28/Model!AB31)</f>
        <v>0.19743086483909619</v>
      </c>
      <c r="AC87" s="244">
        <f>IF(ISERROR(AC28/Model!AC31),"-",AC28/Model!AC31)</f>
        <v>0.19745436933025567</v>
      </c>
      <c r="AD87" s="244">
        <f>IF(ISERROR(AD28/Model!AD31),"-",AD28/Model!AD31)</f>
        <v>0.23002546832505646</v>
      </c>
      <c r="AE87" s="244">
        <f>AD87</f>
        <v>0.23002546832505646</v>
      </c>
      <c r="AF87" s="353"/>
      <c r="AG87" s="244">
        <f>IF(ISERROR(AG28/Model!AG31),"-",AG28/Model!AG31)</f>
        <v>0.16941482868071947</v>
      </c>
      <c r="AH87" s="244">
        <f>IF(ISERROR(AH28/Model!AH31),"-",AH28/Model!AH31)</f>
        <v>0.20838952282157677</v>
      </c>
      <c r="AI87" s="244">
        <f>IF(ISERROR(AI28/Model!AI31),"-",AI28/Model!AI31)</f>
        <v>0.23475551981216231</v>
      </c>
      <c r="AJ87" s="244">
        <f>IF(ISERROR(AJ28/Model!AJ31),"-",AJ28/Model!AJ31)</f>
        <v>0.22283237676846404</v>
      </c>
      <c r="AK87" s="244">
        <f>AJ87</f>
        <v>0.22283237676846404</v>
      </c>
      <c r="AL87" s="353"/>
      <c r="AM87" s="244">
        <f>IF(ISERROR(AM28/Model!AM31),"-",AM28/Model!AM31)</f>
        <v>0.15824128864023862</v>
      </c>
      <c r="AN87" s="244">
        <f>IF(ISERROR(AN28/Model!AN31),"-",AN28/Model!AN31)</f>
        <v>0.21409075642972358</v>
      </c>
      <c r="AO87" s="244">
        <f>IF(ISERROR(AO28/Model!AO31),"-",AO28/Model!AO31)</f>
        <v>0.22245245123237289</v>
      </c>
      <c r="AP87" s="244">
        <f>IF(ISERROR(AP28/Model!AP31),"-",AP28/Model!AP31)</f>
        <v>0.22047811943779536</v>
      </c>
      <c r="AQ87" s="244">
        <f>AP87</f>
        <v>0.22047811943779536</v>
      </c>
      <c r="AR87" s="353"/>
      <c r="AS87" s="244">
        <f>IF(ISERROR(AS28/Model!AS31),"-",AS28/Model!AS31)</f>
        <v>0.22119317157416282</v>
      </c>
      <c r="AT87" s="244">
        <f>IF(ISERROR(AT28/Model!AT31),"-",AT28/Model!AT31)</f>
        <v>0.24021633877329304</v>
      </c>
      <c r="AU87" s="244">
        <f>IF(ISERROR(AU28/Model!AU31),"-",AU28/Model!AU31)</f>
        <v>0.27007808023535246</v>
      </c>
      <c r="AV87" s="244">
        <f>IF(ISERROR(AV28/Model!AV31),"-",AV28/Model!AV31)</f>
        <v>0.30518099624123796</v>
      </c>
      <c r="AW87" s="244">
        <f>AV87</f>
        <v>0.30518099624123796</v>
      </c>
      <c r="AX87" s="353"/>
      <c r="AY87" s="244">
        <f>IF(ISERROR(AY28/Model!AY31),"-",AY28/Model!AY31)</f>
        <v>0.22032764961551321</v>
      </c>
      <c r="AZ87" s="244">
        <f>IF(ISERROR(AZ28/Model!AZ31),"-",AZ28/Model!AZ31)</f>
        <v>0.30235042735042733</v>
      </c>
      <c r="BA87" s="244">
        <f>IF(ISERROR(BA28/Model!BA31),"-",BA28/Model!BA31)</f>
        <v>0.35799601857996016</v>
      </c>
      <c r="BB87" s="244">
        <f>IF(ISERROR(BB28/Model!BB31),"-",BB28/Model!BB31)</f>
        <v>0.39317673378076062</v>
      </c>
      <c r="BC87" s="244">
        <f>BB87</f>
        <v>0.39317673378076062</v>
      </c>
      <c r="BD87" s="353"/>
      <c r="BE87" s="244">
        <f>IF(ISERROR(BE28/Model!BE31),"-",BE28/Model!BE31)</f>
        <v>0.20300751879699253</v>
      </c>
      <c r="BF87" s="244">
        <f>IF(ISERROR(BF28/Model!BF31),"-",BF28/Model!BF31)</f>
        <v>0.23646496815286625</v>
      </c>
      <c r="BG87" s="244">
        <f>IF(ISERROR(BG28/Model!BG31),"-",BG28/Model!BG31)</f>
        <v>0.26736566186107469</v>
      </c>
      <c r="BH87" s="244">
        <f>IF(ISERROR(BH28/Model!BH31),"-",BH28/Model!BH31)</f>
        <v>0.28894711767508335</v>
      </c>
      <c r="BI87" s="244">
        <f>BH87</f>
        <v>0.28894711767508335</v>
      </c>
      <c r="BJ87" s="353"/>
      <c r="BK87" s="244">
        <f>IF(ISERROR(BK28/Model!BK31),"-",BK28/Model!BK31)</f>
        <v>0.17293577981651378</v>
      </c>
      <c r="BL87" s="244">
        <f>IF(ISERROR(BL28/Model!BL31),"-",BL28/Model!BL31)</f>
        <v>0.1926156583629893</v>
      </c>
      <c r="BM87" s="244">
        <f>IF(ISERROR(BM28/Model!BM31),"-",BM28/Model!BM31)</f>
        <v>0.21869527145359019</v>
      </c>
      <c r="BN87" s="244">
        <f>IF(ISERROR(BN28/Model!BN31),"-",BN28/Model!BN31)</f>
        <v>0.24266184157619625</v>
      </c>
      <c r="BO87" s="244">
        <f>BN87</f>
        <v>0.24266184157619625</v>
      </c>
      <c r="BP87" s="353"/>
      <c r="BQ87" s="244">
        <f>IF(ISERROR(BQ28/Model!BQ31),"-",BQ28/Model!BQ31)</f>
        <v>0.16437278804561539</v>
      </c>
      <c r="BR87" s="244">
        <f>IF(ISERROR(BR28/Model!BR31),"-",BR28/Model!BR31)</f>
        <v>0.19490397413957022</v>
      </c>
      <c r="BS87" s="244">
        <f>IF(ISERROR(BS28/Model!BS31),"-",BS28/Model!BS31)</f>
        <v>0.22604011887072809</v>
      </c>
      <c r="BT87" s="244">
        <f>IF(ISERROR(BT28/Model!BT31),"-",BT28/Model!BT31)</f>
        <v>0.27107327658153896</v>
      </c>
      <c r="BU87" s="244">
        <f>BT87</f>
        <v>0.27107327658153896</v>
      </c>
      <c r="BV87" s="353"/>
      <c r="BW87" s="244">
        <f>IF(ISERROR(BW28/Model!BW31),"-",BW28/Model!BW31)</f>
        <v>0.15113560454241817</v>
      </c>
      <c r="BX87" s="244">
        <f>IF(ISERROR(BX28/Model!BX31),"-",BX28/Model!BX31)</f>
        <v>0.17433414043583534</v>
      </c>
      <c r="BY87" s="244">
        <f>IF(ISERROR(BY28/Model!BY31),"-",BY28/Model!BY31)</f>
        <v>0.18481304562675013</v>
      </c>
      <c r="BZ87" s="244">
        <f>IF(ISERROR(BZ28/Model!BZ31),"-",BZ28/Model!BZ31)</f>
        <v>0.25377705185790117</v>
      </c>
      <c r="CA87" s="244">
        <f>BZ87</f>
        <v>0.25377705185790117</v>
      </c>
      <c r="CB87" s="353"/>
      <c r="CC87" s="244">
        <f>IF(ISERROR(CC28/Model!CC31),"-",CC28/Model!CC31)</f>
        <v>0.19704086425551906</v>
      </c>
      <c r="CD87" s="244">
        <f>IF(ISERROR(CD28/Model!CD31),"-",CD28/Model!CD31)</f>
        <v>0.21306338876837794</v>
      </c>
      <c r="CE87" s="244">
        <f>IF(ISERROR(CE28/Model!CE31),"-",CE28/Model!CE31)</f>
        <v>0.23722715279443515</v>
      </c>
      <c r="CF87" s="244">
        <f>IF(ISERROR(CF28/Model!CF31),"-",CF28/Model!CF31)</f>
        <v>0.25345319008989253</v>
      </c>
      <c r="CG87" s="244">
        <f>CF87</f>
        <v>0.25345319008989253</v>
      </c>
      <c r="CH87" s="353"/>
      <c r="CI87" s="244">
        <f>IF(ISERROR(CI28/Model!CI31),"-",CI28/Model!CI31)</f>
        <v>0.16519174041297935</v>
      </c>
      <c r="CJ87" s="244">
        <f>IF(ISERROR(CJ28/Model!CJ31),"-",CJ28/Model!CJ31)</f>
        <v>0.21256345177664976</v>
      </c>
      <c r="CK87" s="244">
        <f>IF(ISERROR(CK28/Model!CK31),"-",CK28/Model!CK31)</f>
        <v>0.27564505978602899</v>
      </c>
      <c r="CL87" s="244">
        <f>IF(ISERROR(CL28/Model!CL31),"-",CL28/Model!CL31)</f>
        <v>0.36592761038468824</v>
      </c>
      <c r="CM87" s="244">
        <f>CL87</f>
        <v>0.36592761038468824</v>
      </c>
      <c r="CN87" s="353"/>
      <c r="CO87" s="244">
        <f>IF(ISERROR(CO28/Model!CO31),"-",CO28/Model!CO31)</f>
        <v>0.20064357372704905</v>
      </c>
      <c r="CP87" s="244">
        <f>IF(ISERROR(CP28/Model!CP31),"-",CP28/Model!CP31)</f>
        <v>0.2224052718286656</v>
      </c>
      <c r="CQ87" s="244">
        <f>IF(ISERROR(CQ28/Model!CQ31),"-",CQ28/Model!CQ31)</f>
        <v>0.2812613926358003</v>
      </c>
      <c r="CR87" s="244">
        <f>IF(ISERROR(CR28/Model!CR31),"-",CR28/Model!CR31)</f>
        <v>0.31043214044564488</v>
      </c>
      <c r="CS87" s="244">
        <f>CR87</f>
        <v>0.31043214044564488</v>
      </c>
      <c r="CT87" s="353"/>
      <c r="CU87" s="244">
        <f>IF(ISERROR(CU28/Model!CU31),"-",CU28/Model!CU31)</f>
        <v>0.21712538226299694</v>
      </c>
      <c r="CV87" s="244">
        <f>IF(ISERROR(CV28/Model!CV31),"-",CV28/Model!CV31)</f>
        <v>0.24007029876977151</v>
      </c>
      <c r="CW87" s="244">
        <f>IF(ISERROR(CW28/Model!CW31),"-",CW28/Model!CW31)</f>
        <v>0.28394160583941602</v>
      </c>
      <c r="CX87" s="244">
        <f>IF(ISERROR(CX28/Model!CX31),"-",CX28/Model!CX31)</f>
        <v>0.31235584843492586</v>
      </c>
      <c r="CY87" s="244">
        <f>CX87</f>
        <v>0.31235584843492586</v>
      </c>
      <c r="CZ87" s="353"/>
      <c r="DA87" s="244">
        <f>IF(ISERROR(DA28/Model!DA31),"-",DA28/Model!DA31)</f>
        <v>0.21598877980364659</v>
      </c>
      <c r="DB87" s="244">
        <f>IF(ISERROR(DB28/Model!DB31),"-",DB28/Model!DB31)</f>
        <v>0.22378493857931278</v>
      </c>
      <c r="DC87" s="244">
        <f>IF(ISERROR(DC28/Model!DC31),"-",DC28/Model!DC31)</f>
        <v>0.27863832853025933</v>
      </c>
      <c r="DD87" s="244">
        <f>IF(ISERROR(DD28/Model!DD31),"-",DD28/Model!DD31)</f>
        <v>0.30889873849301058</v>
      </c>
      <c r="DE87" s="244">
        <f>DD87</f>
        <v>0.30889873849301058</v>
      </c>
      <c r="DF87" s="353"/>
      <c r="DG87" s="244">
        <f>IF(ISERROR(DG28/Model!DG31),"-",DG28/Model!DG31)</f>
        <v>0.26430379746835442</v>
      </c>
      <c r="DH87" s="244">
        <f>IF(ISERROR(DH28/Model!DH31),"-",DH28/Model!DH31)</f>
        <v>0.26008475906451106</v>
      </c>
      <c r="DI87" s="244">
        <f>IF(ISERROR(DI28/Model!DI31),"-",DI28/Model!DI31)</f>
        <v>0.31601941747572815</v>
      </c>
      <c r="DJ87" s="244">
        <f>IF(ISERROR(DJ28/Model!DJ31),"-",DJ28/Model!DJ31)</f>
        <v>0.38113150767378873</v>
      </c>
      <c r="DK87" s="244">
        <f>DJ87</f>
        <v>0.38113150767378873</v>
      </c>
      <c r="DL87" s="353"/>
      <c r="DM87" s="244">
        <f>IF(ISERROR(DM28/Model!DM31),"-",DM28/Model!DM31)</f>
        <v>0.25305491105955141</v>
      </c>
      <c r="DN87" s="244">
        <f>IF(ISERROR(DN28/Model!DN31),"-",DN28/Model!DN31)</f>
        <v>0.28252666119770303</v>
      </c>
      <c r="DO87" s="244">
        <f>IF(ISERROR(DO28/Model!DO31),"-",DO28/Model!DO31)</f>
        <v>0.32310770256752253</v>
      </c>
      <c r="DP87" s="244">
        <f>IF(ISERROR(DP28/Model!DP31),"-",DP28/Model!DP31)</f>
        <v>0.37528921795465064</v>
      </c>
      <c r="DQ87" s="244">
        <f>DP87</f>
        <v>0.37528921795465064</v>
      </c>
      <c r="DR87" s="353"/>
      <c r="DS87" s="244">
        <f>IF(ISERROR(DS28/Model!DS31),"-",DS28/Model!DS31)</f>
        <v>0.25942566907599146</v>
      </c>
      <c r="DT87" s="244">
        <f>IF(ISERROR(DT28/Model!DT31),"-",DT28/Model!DT31)</f>
        <v>0.2905393136008716</v>
      </c>
      <c r="DU87" s="244">
        <f>IF(ISERROR(DU28/Model!DU31),"-",DU28/Model!DU31)</f>
        <v>0.38316993464052285</v>
      </c>
      <c r="DV87" s="244">
        <f>IF(ISERROR(DV28/Model!DV31),"-",DV28/Model!DV31)</f>
        <v>0.49749373433583954</v>
      </c>
      <c r="DW87" s="244">
        <f>DV87</f>
        <v>0.49749373433583954</v>
      </c>
      <c r="DX87" s="354"/>
      <c r="DY87" s="244">
        <f>IF(ISERROR(DY28/Model!DY31),"-",DY28/Model!DY31)</f>
        <v>0.27341980646489605</v>
      </c>
      <c r="DZ87" s="244">
        <f>IF(ISERROR(DZ28/Model!DZ31),"-",DZ28/Model!DZ31)</f>
        <v>0.32223993622957353</v>
      </c>
      <c r="EA87" s="244">
        <f>IF(ISERROR(EA28/Model!EA31),"-",EA28/Model!EA31)</f>
        <v>0.38016689307199691</v>
      </c>
      <c r="EB87" s="244">
        <f>IF(ISERROR(EB28/Model!EB31),"-",EB28/Model!EB31)</f>
        <v>0.45305164319248831</v>
      </c>
      <c r="EC87" s="244">
        <f>EB87</f>
        <v>0.45305164319248831</v>
      </c>
      <c r="ED87" s="354"/>
      <c r="EE87" s="486">
        <f>+DY87</f>
        <v>0.27341980646489605</v>
      </c>
      <c r="EF87" s="486">
        <f t="shared" ref="EF87:EG87" si="119">+DZ87</f>
        <v>0.32223993622957353</v>
      </c>
      <c r="EG87" s="486">
        <f t="shared" si="119"/>
        <v>0.38016689307199691</v>
      </c>
      <c r="EH87" s="486">
        <f>+EB87+0.05</f>
        <v>0.5030516431924883</v>
      </c>
      <c r="EI87" s="244">
        <f>EH87</f>
        <v>0.5030516431924883</v>
      </c>
      <c r="EJ87" s="354"/>
      <c r="EK87" s="486">
        <f>+EE87-0.05</f>
        <v>0.22341980646489606</v>
      </c>
      <c r="EL87" s="486">
        <f t="shared" ref="EL87:EM87" si="120">+EF87-0.05</f>
        <v>0.27223993622957354</v>
      </c>
      <c r="EM87" s="486">
        <f t="shared" si="120"/>
        <v>0.33016689307199693</v>
      </c>
      <c r="EN87" s="486">
        <f>+EH87-0.0691</f>
        <v>0.4339516431924883</v>
      </c>
      <c r="EO87" s="244">
        <f>EN87</f>
        <v>0.4339516431924883</v>
      </c>
      <c r="EP87" s="354"/>
      <c r="EQ87" s="486">
        <f>+EK87-0.05</f>
        <v>0.17341980646489608</v>
      </c>
      <c r="ER87" s="486">
        <f t="shared" ref="ER87" si="121">+EL87-0.05</f>
        <v>0.22223993622957355</v>
      </c>
      <c r="ES87" s="486">
        <f t="shared" ref="ES87" si="122">+EM87-0.05</f>
        <v>0.28016689307199694</v>
      </c>
      <c r="ET87" s="486">
        <f>+EN87-0.07</f>
        <v>0.36395164319248829</v>
      </c>
      <c r="EU87" s="244">
        <f>ET87</f>
        <v>0.36395164319248829</v>
      </c>
      <c r="EV87" s="354"/>
      <c r="EW87" s="354"/>
      <c r="EX87" s="354"/>
      <c r="EY87" s="354"/>
      <c r="EZ87" s="354"/>
      <c r="FA87" s="354"/>
      <c r="FB87" s="354"/>
    </row>
    <row r="88" spans="1:158" hidden="1" outlineLevel="1">
      <c r="A88" s="25"/>
      <c r="B88" s="32"/>
      <c r="C88" s="90"/>
      <c r="D88" s="90"/>
      <c r="E88" s="90"/>
      <c r="F88" s="90"/>
      <c r="G88" s="61"/>
      <c r="H88" s="90"/>
      <c r="I88" s="90"/>
      <c r="J88" s="90"/>
      <c r="K88" s="61"/>
      <c r="L88" s="61"/>
      <c r="M88" s="61"/>
      <c r="N88" s="61"/>
      <c r="O88" s="116"/>
      <c r="P88" s="116"/>
      <c r="Q88" s="116"/>
      <c r="R88" s="116"/>
      <c r="S88" s="116"/>
      <c r="T88" s="61"/>
      <c r="U88" s="116"/>
      <c r="V88" s="116"/>
      <c r="W88" s="116"/>
      <c r="X88" s="116"/>
      <c r="Y88" s="116"/>
      <c r="Z88" s="112"/>
      <c r="AA88" s="116"/>
      <c r="AB88" s="116"/>
      <c r="AC88" s="116"/>
      <c r="AD88" s="116"/>
      <c r="AE88" s="116"/>
      <c r="AF88" s="112"/>
      <c r="AG88" s="116"/>
      <c r="AH88" s="116"/>
      <c r="AI88" s="116"/>
      <c r="AJ88" s="116"/>
      <c r="AK88" s="116"/>
      <c r="AL88" s="112"/>
      <c r="AM88" s="116"/>
      <c r="AN88" s="116"/>
      <c r="AO88" s="116"/>
      <c r="AP88" s="116"/>
      <c r="AQ88" s="116"/>
      <c r="AR88" s="112"/>
      <c r="AS88" s="116"/>
      <c r="AT88" s="116"/>
      <c r="AU88" s="116"/>
      <c r="AV88" s="116"/>
      <c r="AW88" s="116"/>
      <c r="AX88" s="61"/>
      <c r="AY88" s="116"/>
      <c r="AZ88" s="116"/>
      <c r="BA88" s="116"/>
      <c r="BB88" s="116"/>
      <c r="BC88" s="116"/>
      <c r="BD88" s="112"/>
      <c r="BE88" s="347"/>
      <c r="BF88" s="347"/>
      <c r="BG88" s="347"/>
      <c r="BH88" s="347"/>
      <c r="BI88" s="116"/>
      <c r="BJ88" s="112"/>
      <c r="BK88" s="347"/>
      <c r="BL88" s="347"/>
      <c r="BM88" s="347"/>
      <c r="BN88" s="347"/>
      <c r="BO88" s="116"/>
      <c r="BP88" s="112"/>
      <c r="BQ88" s="347"/>
      <c r="BR88" s="347"/>
      <c r="BS88" s="347"/>
      <c r="BT88" s="347"/>
      <c r="BU88" s="116"/>
      <c r="BV88" s="112"/>
      <c r="BW88" s="347"/>
      <c r="BX88" s="347"/>
      <c r="BY88" s="347"/>
      <c r="BZ88" s="347"/>
      <c r="CA88" s="116"/>
      <c r="CB88" s="112"/>
      <c r="CC88" s="347"/>
      <c r="CD88" s="347"/>
      <c r="CE88" s="347"/>
      <c r="CF88" s="347"/>
      <c r="CG88" s="116"/>
      <c r="CH88" s="112"/>
      <c r="CI88" s="347"/>
      <c r="CJ88" s="347"/>
      <c r="CK88" s="347"/>
      <c r="CL88" s="347"/>
      <c r="CM88" s="116"/>
      <c r="CN88" s="112"/>
      <c r="CO88" s="347"/>
      <c r="CP88" s="347"/>
      <c r="CQ88" s="347"/>
      <c r="CR88" s="347"/>
      <c r="CS88" s="116"/>
      <c r="CT88" s="112"/>
      <c r="CU88" s="347"/>
      <c r="CV88" s="347"/>
      <c r="CW88" s="347"/>
      <c r="CX88" s="347"/>
      <c r="CY88" s="116"/>
      <c r="CZ88" s="112"/>
      <c r="DA88" s="347"/>
      <c r="DB88" s="347"/>
      <c r="DC88" s="347"/>
      <c r="DD88" s="347"/>
      <c r="DE88" s="116"/>
      <c r="DF88" s="112"/>
      <c r="DG88" s="347"/>
      <c r="DH88" s="347"/>
      <c r="DI88" s="347"/>
      <c r="DJ88" s="347"/>
      <c r="DK88" s="116"/>
      <c r="DL88" s="112"/>
      <c r="DM88" s="347"/>
      <c r="DN88" s="347"/>
      <c r="DO88" s="347"/>
      <c r="DP88" s="347"/>
      <c r="DQ88" s="116"/>
      <c r="DR88" s="112"/>
      <c r="DS88" s="347"/>
      <c r="DT88" s="347"/>
      <c r="DU88" s="347"/>
      <c r="DV88" s="347"/>
      <c r="DW88" s="116"/>
      <c r="DX88" s="27"/>
      <c r="DY88" s="347"/>
      <c r="DZ88" s="347"/>
      <c r="EA88" s="347"/>
      <c r="EB88" s="347"/>
      <c r="EC88" s="116"/>
      <c r="ED88" s="27"/>
      <c r="EE88" s="347"/>
      <c r="EF88" s="347"/>
      <c r="EG88" s="347"/>
      <c r="EH88" s="347"/>
      <c r="EI88" s="116"/>
      <c r="EJ88" s="27"/>
      <c r="EK88" s="347"/>
      <c r="EL88" s="347"/>
      <c r="EM88" s="347"/>
      <c r="EN88" s="347"/>
      <c r="EO88" s="116"/>
      <c r="EP88" s="27"/>
      <c r="EQ88" s="347"/>
      <c r="ER88" s="347"/>
      <c r="ES88" s="347"/>
      <c r="ET88" s="347"/>
      <c r="EU88" s="116"/>
      <c r="EV88" s="27"/>
      <c r="EW88" s="27"/>
      <c r="EX88" s="27"/>
      <c r="EY88" s="27"/>
      <c r="EZ88" s="27"/>
      <c r="FA88" s="27"/>
      <c r="FB88" s="27"/>
    </row>
    <row r="89" spans="1:158" hidden="1" outlineLevel="1">
      <c r="A89" s="31" t="s">
        <v>5233</v>
      </c>
      <c r="B89" s="32"/>
      <c r="C89" s="90"/>
      <c r="D89" s="90"/>
      <c r="E89" s="90"/>
      <c r="F89" s="90"/>
      <c r="G89" s="61"/>
      <c r="H89" s="90"/>
      <c r="I89" s="90"/>
      <c r="J89" s="90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3"/>
      <c r="AH89" s="24"/>
      <c r="AI89" s="24"/>
      <c r="AJ89" s="24"/>
      <c r="AK89" s="24"/>
      <c r="AL89" s="24"/>
      <c r="AM89" s="23"/>
      <c r="AN89" s="24"/>
      <c r="AO89" s="24"/>
      <c r="AP89" s="24"/>
      <c r="AQ89" s="164"/>
      <c r="AR89" s="24"/>
      <c r="AS89" s="23"/>
      <c r="AT89" s="24"/>
      <c r="AU89" s="24"/>
      <c r="AV89" s="24"/>
      <c r="AW89" s="164"/>
      <c r="AX89" s="77"/>
      <c r="AY89" s="23"/>
      <c r="AZ89" s="24"/>
      <c r="BA89" s="24"/>
      <c r="BB89" s="24"/>
      <c r="BC89" s="16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147"/>
      <c r="DY89" s="24"/>
      <c r="DZ89" s="24"/>
      <c r="EA89" s="24"/>
      <c r="EB89" s="24"/>
      <c r="EC89" s="24"/>
      <c r="ED89" s="147"/>
      <c r="EE89" s="24"/>
      <c r="EF89" s="24"/>
      <c r="EG89" s="24"/>
      <c r="EH89" s="24"/>
      <c r="EI89" s="24"/>
      <c r="EJ89" s="147"/>
      <c r="EK89" s="24"/>
      <c r="EL89" s="24"/>
      <c r="EM89" s="24"/>
      <c r="EN89" s="24"/>
      <c r="EO89" s="24"/>
      <c r="EP89" s="147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</row>
    <row r="90" spans="1:158" ht="12.75" hidden="1" customHeight="1" outlineLevel="1">
      <c r="A90" s="348" t="s">
        <v>334</v>
      </c>
      <c r="B90" s="32"/>
      <c r="C90" s="353"/>
      <c r="D90" s="90"/>
      <c r="E90" s="90"/>
      <c r="F90" s="90"/>
      <c r="G90" s="61"/>
      <c r="H90" s="90"/>
      <c r="I90" s="90"/>
      <c r="J90" s="90"/>
      <c r="K90" s="349"/>
      <c r="L90" s="349"/>
      <c r="M90" s="349"/>
      <c r="N90" s="349"/>
      <c r="O90" s="487">
        <f>IF(ISERROR(O15/Model!O263),"-",O15/Model!O263)</f>
        <v>2.5477265773679522E-2</v>
      </c>
      <c r="P90" s="487">
        <f>IF(ISERROR(P15/Model!P263),"-",P15/Model!P263)</f>
        <v>3.1143720296478137E-2</v>
      </c>
      <c r="Q90" s="487">
        <f>IF(ISERROR(Q15/Model!Q263),"-",Q15/Model!Q263)</f>
        <v>3.4901085448030944E-2</v>
      </c>
      <c r="R90" s="487">
        <f>IF(ISERROR(R15/Model!R263),"-",R15/Model!R263)</f>
        <v>4.1565707138194657E-2</v>
      </c>
      <c r="S90" s="487">
        <f>R90</f>
        <v>4.1565707138194657E-2</v>
      </c>
      <c r="T90" s="349"/>
      <c r="U90" s="487">
        <f>IF(ISERROR(U15/Model!U263),"-",U15/Model!U263)</f>
        <v>4.4957901964574984E-2</v>
      </c>
      <c r="V90" s="487">
        <f>IF(ISERROR(V15/Model!V263),"-",V15/Model!V263)</f>
        <v>4.0762403739752942E-2</v>
      </c>
      <c r="W90" s="487">
        <f>IF(ISERROR(W15/Model!W263),"-",W15/Model!W263)</f>
        <v>4.0752766443818686E-2</v>
      </c>
      <c r="X90" s="487">
        <f>IF(ISERROR(X15/Model!X263),"-",X15/Model!X263)</f>
        <v>4.5389734973541866E-2</v>
      </c>
      <c r="Y90" s="487">
        <f>X90</f>
        <v>4.5389734973541866E-2</v>
      </c>
      <c r="Z90" s="349"/>
      <c r="AA90" s="487">
        <f>IF(ISERROR(AA15/Model!AA263),"-",AA15/Model!AA263)</f>
        <v>4.0605023568153938E-2</v>
      </c>
      <c r="AB90" s="487">
        <f>IF(ISERROR(AB15/Model!AB263),"-",AB15/Model!AB263)</f>
        <v>3.9306890966102445E-2</v>
      </c>
      <c r="AC90" s="487">
        <f>IF(ISERROR(AC15/Model!AC263),"-",AC15/Model!AC263)</f>
        <v>4.5145904354234337E-2</v>
      </c>
      <c r="AD90" s="487">
        <f>IF(ISERROR(AD15/Model!AD263),"-",AD15/Model!AD263)</f>
        <v>4.9283444235579892E-2</v>
      </c>
      <c r="AE90" s="487">
        <f>AD90</f>
        <v>4.9283444235579892E-2</v>
      </c>
      <c r="AF90" s="349"/>
      <c r="AG90" s="487">
        <f>IF(ISERROR(AG15/Model!AG263),"-",AG15/Model!AG263)</f>
        <v>5.5688776030993002E-2</v>
      </c>
      <c r="AH90" s="487">
        <f>IF(ISERROR(AH15/Model!AH263),"-",AH15/Model!AH263)</f>
        <v>5.5583130399714596E-2</v>
      </c>
      <c r="AI90" s="487">
        <f>IF(ISERROR(AI15/Model!AI263),"-",AI15/Model!AI263)</f>
        <v>6.1166938512783021E-2</v>
      </c>
      <c r="AJ90" s="487">
        <f>IF(ISERROR(AJ15/Model!AJ263),"-",AJ15/Model!AJ263)</f>
        <v>5.6686274632899949E-2</v>
      </c>
      <c r="AK90" s="487">
        <f>AJ90</f>
        <v>5.6686274632899949E-2</v>
      </c>
      <c r="AL90" s="349"/>
      <c r="AM90" s="487">
        <f>IF(ISERROR(AM15/Model!AM263),"-",AM15/Model!AM263)</f>
        <v>4.8735116707655339E-2</v>
      </c>
      <c r="AN90" s="487">
        <f>IF(ISERROR(AN15/Model!AN263),"-",AN15/Model!AN263)</f>
        <v>5.0582546511153577E-2</v>
      </c>
      <c r="AO90" s="487">
        <f>IF(ISERROR(AO15/Model!AO263),"-",AO15/Model!AO263)</f>
        <v>4.6484378071893116E-2</v>
      </c>
      <c r="AP90" s="487">
        <f>IF(ISERROR(AP15/Model!AP263),"-",AP15/Model!AP263)</f>
        <v>4.5523853786332974E-2</v>
      </c>
      <c r="AQ90" s="487">
        <f>AP90</f>
        <v>4.5523853786332974E-2</v>
      </c>
      <c r="AR90" s="349"/>
      <c r="AS90" s="487">
        <f>IF(ISERROR(AS15/Model!AS263),"-",AS15/Model!AS263)</f>
        <v>4.4975447587386114E-2</v>
      </c>
      <c r="AT90" s="487">
        <f>IF(ISERROR(AT15/Model!AT263),"-",AT15/Model!AT263)</f>
        <v>4.8595940865677707E-2</v>
      </c>
      <c r="AU90" s="487">
        <f>IF(ISERROR(AU15/Model!AU263),"-",AU15/Model!AU263)</f>
        <v>4.3444101593972266E-2</v>
      </c>
      <c r="AV90" s="487">
        <f>IF(ISERROR(AV15/Model!AV263),"-",AV15/Model!AV263)</f>
        <v>3.477477866862605E-2</v>
      </c>
      <c r="AW90" s="487">
        <f>AV90</f>
        <v>3.477477866862605E-2</v>
      </c>
      <c r="AX90" s="349"/>
      <c r="AY90" s="487">
        <f>IF(ISERROR(AY15/Model!AY263),"-",AY15/Model!AY263)</f>
        <v>3.847868031967755E-2</v>
      </c>
      <c r="AZ90" s="487">
        <f>IF(ISERROR(AZ15/Model!AZ263),"-",AZ15/Model!AZ263)</f>
        <v>3.4807754096604908E-2</v>
      </c>
      <c r="BA90" s="487">
        <f>IF(ISERROR(BA15/Model!BA263),"-",BA15/Model!BA263)</f>
        <v>3.3309883518295356E-2</v>
      </c>
      <c r="BB90" s="487">
        <f>IF(ISERROR(BB15/Model!BB263),"-",BB15/Model!BB263)</f>
        <v>3.1767783729911549E-2</v>
      </c>
      <c r="BC90" s="487">
        <f>BB90</f>
        <v>3.1767783729911549E-2</v>
      </c>
      <c r="BD90" s="350"/>
      <c r="BE90" s="487">
        <f>IF(ISERROR(BE15/Model!BE263),"-",BE15/Model!BE263)</f>
        <v>3.4241620448516995E-2</v>
      </c>
      <c r="BF90" s="487">
        <f>IF(ISERROR(BF15/Model!BF263),"-",BF15/Model!BF263)</f>
        <v>2.7752605346624375E-2</v>
      </c>
      <c r="BG90" s="487">
        <f>IF(ISERROR(BG15/Model!BG263),"-",BG15/Model!BG263)</f>
        <v>2.8194879550610348E-2</v>
      </c>
      <c r="BH90" s="487">
        <f>IF(ISERROR(BH15/Model!BH263),"-",BH15/Model!BH263)</f>
        <v>3.007595976185588E-2</v>
      </c>
      <c r="BI90" s="487">
        <f>BH90</f>
        <v>3.007595976185588E-2</v>
      </c>
      <c r="BJ90" s="350"/>
      <c r="BK90" s="487">
        <f>IF(ISERROR(BK15/Model!BK263),"-",BK15/Model!BK263)</f>
        <v>2.459410125852628E-2</v>
      </c>
      <c r="BL90" s="487">
        <f>IF(ISERROR(BL15/Model!BL263),"-",BL15/Model!BL263)</f>
        <v>2.3257960313797878E-2</v>
      </c>
      <c r="BM90" s="487">
        <f>IF(ISERROR(BM15/Model!BM263),"-",BM15/Model!BM263)</f>
        <v>2.4156711173576949E-2</v>
      </c>
      <c r="BN90" s="487">
        <f>IF(ISERROR(BN15/Model!BN263),"-",BN15/Model!BN263)</f>
        <v>2.2946344792288659E-2</v>
      </c>
      <c r="BO90" s="487">
        <f>BN90</f>
        <v>2.2946344792288659E-2</v>
      </c>
      <c r="BP90" s="350"/>
      <c r="BQ90" s="487">
        <f>IF(ISERROR(BQ15/Model!BQ263),"-",BQ15/Model!BQ263)</f>
        <v>3.57231251546902E-2</v>
      </c>
      <c r="BR90" s="487">
        <f>IF(ISERROR(BR15/Model!BR263),"-",BR15/Model!BR263)</f>
        <v>3.7113076437144663E-2</v>
      </c>
      <c r="BS90" s="487">
        <f>IF(ISERROR(BS15/Model!BS263),"-",BS15/Model!BS263)</f>
        <v>3.7178410565692037E-2</v>
      </c>
      <c r="BT90" s="487">
        <f>IF(ISERROR(BT15/Model!BT263),"-",BT15/Model!BT263)</f>
        <v>3.4273039496279328E-2</v>
      </c>
      <c r="BU90" s="487">
        <f>BT90</f>
        <v>3.4273039496279328E-2</v>
      </c>
      <c r="BV90" s="350"/>
      <c r="BW90" s="487">
        <f>IF(ISERROR(BW15/Model!BW263),"-",BW15/Model!BW263)</f>
        <v>3.4970288914691623E-2</v>
      </c>
      <c r="BX90" s="487">
        <f>IF(ISERROR(BX15/Model!BX263),"-",BX15/Model!BX263)</f>
        <v>3.7348211355431572E-2</v>
      </c>
      <c r="BY90" s="487">
        <f>IF(ISERROR(BY15/Model!BY263),"-",BY15/Model!BY263)</f>
        <v>3.2669729453802969E-2</v>
      </c>
      <c r="BZ90" s="487">
        <f>IF(ISERROR(BZ15/Model!BZ263),"-",BZ15/Model!BZ263)</f>
        <v>3.8337212309283684E-2</v>
      </c>
      <c r="CA90" s="244">
        <f>BZ90</f>
        <v>3.8337212309283684E-2</v>
      </c>
      <c r="CB90" s="353"/>
      <c r="CC90" s="487">
        <f>IF(ISERROR(CC15/Model!CC263),"-",CC15/Model!CC263)</f>
        <v>4.5761795322428009E-2</v>
      </c>
      <c r="CD90" s="487">
        <f>IF(ISERROR(CD15/Model!CD263),"-",CD15/Model!CD263)</f>
        <v>4.2169540229885061E-2</v>
      </c>
      <c r="CE90" s="487">
        <f>IF(ISERROR(CE15/Model!CE263),"-",CE15/Model!CE263)</f>
        <v>4.5724737082761771E-2</v>
      </c>
      <c r="CF90" s="487">
        <f>IF(ISERROR(CF15/Model!CF263),"-",CF15/Model!CF263)</f>
        <v>4.5154185022026429E-2</v>
      </c>
      <c r="CG90" s="244">
        <f>CF90</f>
        <v>4.5154185022026429E-2</v>
      </c>
      <c r="CH90" s="353"/>
      <c r="CI90" s="487">
        <f>IF(ISERROR(CI15/Model!CI263),"-",CI15/Model!CI263)</f>
        <v>5.6471139576661708E-2</v>
      </c>
      <c r="CJ90" s="487">
        <f>IF(ISERROR(CJ15/Model!CJ263),"-",CJ15/Model!CJ263)</f>
        <v>4.3623379647597604E-2</v>
      </c>
      <c r="CK90" s="487">
        <f>IF(ISERROR(CK15/Model!CK263),"-",CK15/Model!CK263)</f>
        <v>3.726990379516703E-2</v>
      </c>
      <c r="CL90" s="487">
        <f>IF(ISERROR(CL15/Model!CL263),"-",CL15/Model!CL263)</f>
        <v>4.7257876312718786E-2</v>
      </c>
      <c r="CM90" s="244">
        <f>CL90</f>
        <v>4.7257876312718786E-2</v>
      </c>
      <c r="CN90" s="353"/>
      <c r="CO90" s="487">
        <f>IF(ISERROR(CO15/Model!CO263),"-",CO15/Model!CO263)</f>
        <v>5.1819026517046667E-2</v>
      </c>
      <c r="CP90" s="487">
        <f>IF(ISERROR(CP15/Model!CP263),"-",CP15/Model!CP263)</f>
        <v>5.0755789765635835E-2</v>
      </c>
      <c r="CQ90" s="487">
        <f>IF(ISERROR(CQ15/Model!CQ263),"-",CQ15/Model!CQ263)</f>
        <v>4.1870581837955417E-2</v>
      </c>
      <c r="CR90" s="487">
        <f>IF(ISERROR(CR15/Model!CR263),"-",CR15/Model!CR263)</f>
        <v>3.9732441471571914E-2</v>
      </c>
      <c r="CS90" s="244">
        <f>CR90</f>
        <v>3.9732441471571914E-2</v>
      </c>
      <c r="CT90" s="353"/>
      <c r="CU90" s="487">
        <f>IF(ISERROR(CU15/Model!CU263),"-",CU15/Model!CU263)</f>
        <v>3.9808812937864209E-2</v>
      </c>
      <c r="CV90" s="487">
        <f>IF(ISERROR(CV15/Model!CV263),"-",CV15/Model!CV263)</f>
        <v>4.2630385487528344E-2</v>
      </c>
      <c r="CW90" s="487">
        <f>IF(ISERROR(CW15/Model!CW263),"-",CW15/Model!CW263)</f>
        <v>3.5076281131829437E-2</v>
      </c>
      <c r="CX90" s="487">
        <f>IF(ISERROR(CX15/Model!CX263),"-",CX15/Model!CX263)</f>
        <v>3.967891405077334E-2</v>
      </c>
      <c r="CY90" s="244">
        <f>CX90</f>
        <v>3.967891405077334E-2</v>
      </c>
      <c r="CZ90" s="353"/>
      <c r="DA90" s="487">
        <f>IF(ISERROR(DA15/Model!DA263),"-",DA15/Model!DA263)</f>
        <v>5.374001452432825E-2</v>
      </c>
      <c r="DB90" s="487">
        <f>IF(ISERROR(DB15/Model!DB263),"-",DB15/Model!DB263)</f>
        <v>5.508418401166644E-2</v>
      </c>
      <c r="DC90" s="487">
        <f>IF(ISERROR(DC15/Model!DC263),"-",DC15/Model!DC263)</f>
        <v>6.5211709357030842E-2</v>
      </c>
      <c r="DD90" s="487">
        <f>IF(ISERROR(DD15/Model!DD263),"-",DD15/Model!DD263)</f>
        <v>5.6779055414798933E-2</v>
      </c>
      <c r="DE90" s="244">
        <f>DD90</f>
        <v>5.6779055414798933E-2</v>
      </c>
      <c r="DF90" s="353"/>
      <c r="DG90" s="487">
        <f>IF(ISERROR(DG15/Model!DG263),"-",DG15/Model!DG263)</f>
        <v>5.8456692913385816E-2</v>
      </c>
      <c r="DH90" s="487">
        <f>IF(ISERROR(DH15/Model!DH263),"-",DH15/Model!DH263)</f>
        <v>6.1132753970632302E-2</v>
      </c>
      <c r="DI90" s="487">
        <f>IF(ISERROR(DI15/Model!DI263),"-",DI15/Model!DI263)</f>
        <v>5.7407828857533004E-2</v>
      </c>
      <c r="DJ90" s="487">
        <f>IF(ISERROR(DJ15/Model!DJ263),"-",DJ15/Model!DJ263)</f>
        <v>5.4546437452697591E-2</v>
      </c>
      <c r="DK90" s="244">
        <f>DJ90</f>
        <v>5.4546437452697591E-2</v>
      </c>
      <c r="DL90" s="353"/>
      <c r="DM90" s="487">
        <f>IF(ISERROR(DM15/Model!DM263),"-",DM15/Model!DM263)</f>
        <v>5.9411671841288219E-2</v>
      </c>
      <c r="DN90" s="487">
        <f>DH90+0.3%</f>
        <v>6.4132753970632297E-2</v>
      </c>
      <c r="DO90" s="487">
        <f>IF(ISERROR(DO15/Model!DO263),"-",DO15/Model!DO263)</f>
        <v>4.732091615797987E-2</v>
      </c>
      <c r="DP90" s="487">
        <f>IF(ISERROR(DP15/Model!DP263),"-",DP15/Model!DP263)</f>
        <v>4.6302586882675724E-2</v>
      </c>
      <c r="DQ90" s="244">
        <f>DP90</f>
        <v>4.6302586882675724E-2</v>
      </c>
      <c r="DR90" s="353"/>
      <c r="DS90" s="487">
        <f>IF(ISERROR(DS15/Model!DS263),"-",DS15/Model!DS263)</f>
        <v>5.5499920940283567E-2</v>
      </c>
      <c r="DT90" s="487">
        <f>IF(ISERROR(DT15/Model!DT263),"-",DT15/Model!DT263)</f>
        <v>6.083589689190623E-2</v>
      </c>
      <c r="DU90" s="487">
        <f>IF(ISERROR(DU15/Model!DU263),"-",DU15/Model!DU263)</f>
        <v>5.4947390796046346E-2</v>
      </c>
      <c r="DV90" s="487">
        <f>IF(ISERROR(DV15/Model!DV263),"-",DV15/Model!DV263)</f>
        <v>5.8650398672874193E-2</v>
      </c>
      <c r="DW90" s="244">
        <f>DV90</f>
        <v>5.8650398672874193E-2</v>
      </c>
      <c r="DX90" s="350"/>
      <c r="DY90" s="487">
        <f>IF(ISERROR(DY15/Model!DY263),"-",DY15/Model!DY263)</f>
        <v>5.1998926750737869E-2</v>
      </c>
      <c r="DZ90" s="487">
        <f>IF(ISERROR(DZ15/Model!DZ263),"-",DZ15/Model!DZ263)</f>
        <v>5.8713637576728046E-2</v>
      </c>
      <c r="EA90" s="487">
        <f>IF(ISERROR(EA15/Model!EA263),"-",EA15/Model!EA263)</f>
        <v>5.860143578835416E-2</v>
      </c>
      <c r="EB90" s="487">
        <f>IF(ISERROR(EB15/Model!EB263),"-",EB15/Model!EB263)</f>
        <v>6.1396574440052705E-2</v>
      </c>
      <c r="EC90" s="244">
        <f>EB90</f>
        <v>6.1396574440052705E-2</v>
      </c>
      <c r="ED90" s="350"/>
      <c r="EE90" s="486">
        <f>DY90</f>
        <v>5.1998926750737869E-2</v>
      </c>
      <c r="EF90" s="486">
        <f>DZ90</f>
        <v>5.8713637576728046E-2</v>
      </c>
      <c r="EG90" s="486">
        <f>EA90</f>
        <v>5.860143578835416E-2</v>
      </c>
      <c r="EH90" s="486">
        <v>6.2350000000000003E-2</v>
      </c>
      <c r="EI90" s="244">
        <f>EH90</f>
        <v>6.2350000000000003E-2</v>
      </c>
      <c r="EJ90" s="350"/>
      <c r="EK90" s="486">
        <f>EE90+0.01</f>
        <v>6.1998926750737871E-2</v>
      </c>
      <c r="EL90" s="486">
        <f t="shared" ref="EL90:EN90" si="123">EF90+0.01</f>
        <v>6.8713637576728048E-2</v>
      </c>
      <c r="EM90" s="486">
        <f t="shared" si="123"/>
        <v>6.8601435788354162E-2</v>
      </c>
      <c r="EN90" s="486">
        <f t="shared" si="123"/>
        <v>7.2349999999999998E-2</v>
      </c>
      <c r="EO90" s="244">
        <f>EN90</f>
        <v>7.2349999999999998E-2</v>
      </c>
      <c r="EP90" s="350"/>
      <c r="EQ90" s="486">
        <f>EK90+0.02</f>
        <v>8.1998926750737874E-2</v>
      </c>
      <c r="ER90" s="486">
        <f t="shared" ref="ER90:ET90" si="124">EL90+0.02</f>
        <v>8.8713637576728052E-2</v>
      </c>
      <c r="ES90" s="486">
        <f t="shared" si="124"/>
        <v>8.8601435788354166E-2</v>
      </c>
      <c r="ET90" s="486">
        <f t="shared" si="124"/>
        <v>9.2350000000000002E-2</v>
      </c>
      <c r="EU90" s="244">
        <f>ET90</f>
        <v>9.2350000000000002E-2</v>
      </c>
      <c r="EV90" s="349"/>
      <c r="EW90" s="349"/>
      <c r="EX90" s="349"/>
      <c r="EY90" s="349"/>
      <c r="EZ90" s="349"/>
      <c r="FA90" s="349"/>
      <c r="FB90" s="349"/>
    </row>
    <row r="91" spans="1:158" ht="10.5" hidden="1" customHeight="1" outlineLevel="1">
      <c r="A91" s="348" t="s">
        <v>3337</v>
      </c>
      <c r="B91" s="32"/>
      <c r="C91" s="353"/>
      <c r="D91" s="90"/>
      <c r="E91" s="90"/>
      <c r="F91" s="90"/>
      <c r="G91" s="61"/>
      <c r="H91" s="90"/>
      <c r="I91" s="90"/>
      <c r="J91" s="90"/>
      <c r="K91" s="351"/>
      <c r="L91" s="351"/>
      <c r="M91" s="351"/>
      <c r="N91" s="351"/>
      <c r="O91" s="244">
        <f>IF(ISERROR(O12/Model!O263),"-",O12/Model!O263)</f>
        <v>1.046607617394584E-2</v>
      </c>
      <c r="P91" s="244">
        <f>IF(ISERROR(P12/Model!P263),"-",P12/Model!P263)</f>
        <v>1.1612912652924051E-2</v>
      </c>
      <c r="Q91" s="244">
        <f>IF(ISERROR(Q12/Model!Q263),"-",Q12/Model!Q263)</f>
        <v>1.1726919498136394E-2</v>
      </c>
      <c r="R91" s="244">
        <f>IF(ISERROR(R12/Model!R263),"-",R12/Model!R263)</f>
        <v>3.9590374868852293E-2</v>
      </c>
      <c r="S91" s="244">
        <f>R91</f>
        <v>3.9590374868852293E-2</v>
      </c>
      <c r="T91" s="351"/>
      <c r="U91" s="244">
        <f>IF(ISERROR(U12/Model!U263),"-",U12/Model!U263)</f>
        <v>3.7653242848667064E-2</v>
      </c>
      <c r="V91" s="244">
        <f>IF(ISERROR(V12/Model!V263),"-",V12/Model!V263)</f>
        <v>3.7895969570954327E-2</v>
      </c>
      <c r="W91" s="244">
        <f>IF(ISERROR(W12/Model!W263),"-",W12/Model!W263)</f>
        <v>3.6876871699583043E-2</v>
      </c>
      <c r="X91" s="244">
        <f>IF(ISERROR(X12/Model!X263),"-",X12/Model!X263)</f>
        <v>3.0621182088261617E-2</v>
      </c>
      <c r="Y91" s="244">
        <f>X91</f>
        <v>3.0621182088261617E-2</v>
      </c>
      <c r="Z91" s="351"/>
      <c r="AA91" s="244">
        <f>IF(ISERROR(AA12/Model!AA263),"-",AA12/Model!AA263)</f>
        <v>2.6477045263769615E-2</v>
      </c>
      <c r="AB91" s="244">
        <f>IF(ISERROR(AB12/Model!AB263),"-",AB12/Model!AB263)</f>
        <v>2.5230384119388591E-2</v>
      </c>
      <c r="AC91" s="244">
        <f>IF(ISERROR(AC12/Model!AC263),"-",AC12/Model!AC263)</f>
        <v>2.9658492390060878E-2</v>
      </c>
      <c r="AD91" s="244">
        <f>IF(ISERROR(AD12/Model!AD263),"-",AD12/Model!AD263)</f>
        <v>2.7794019815823339E-2</v>
      </c>
      <c r="AE91" s="244">
        <f>AD91</f>
        <v>2.7794019815823339E-2</v>
      </c>
      <c r="AF91" s="351"/>
      <c r="AG91" s="244">
        <f>IF(ISERROR(AG12/Model!AG263),"-",AG12/Model!AG263)</f>
        <v>2.6875464243257971E-2</v>
      </c>
      <c r="AH91" s="244">
        <f>IF(ISERROR(AH12/Model!AH263),"-",AH12/Model!AH263)</f>
        <v>3.1901164864822945E-2</v>
      </c>
      <c r="AI91" s="244">
        <f>IF(ISERROR(AI12/Model!AI263),"-",AI12/Model!AI263)</f>
        <v>3.2477799233831407E-2</v>
      </c>
      <c r="AJ91" s="244">
        <f>IF(ISERROR(AJ12/Model!AJ263),"-",AJ12/Model!AJ263)</f>
        <v>2.824896885535096E-2</v>
      </c>
      <c r="AK91" s="244">
        <f>AJ91</f>
        <v>2.824896885535096E-2</v>
      </c>
      <c r="AL91" s="351"/>
      <c r="AM91" s="244">
        <f>IF(ISERROR(AM12/Model!AM263),"-",AM12/Model!AM263)</f>
        <v>2.672388308478052E-2</v>
      </c>
      <c r="AN91" s="244">
        <f>IF(ISERROR(AN12/Model!AN263),"-",AN12/Model!AN263)</f>
        <v>2.7680765139462857E-2</v>
      </c>
      <c r="AO91" s="244">
        <f>IF(ISERROR(AO12/Model!AO263),"-",AO12/Model!AO263)</f>
        <v>2.4394271828626704E-2</v>
      </c>
      <c r="AP91" s="244">
        <f>IF(ISERROR(AP12/Model!AP263),"-",AP12/Model!AP263)</f>
        <v>1.9551605479033434E-2</v>
      </c>
      <c r="AQ91" s="244">
        <f>AP91</f>
        <v>1.9551605479033434E-2</v>
      </c>
      <c r="AR91" s="351"/>
      <c r="AS91" s="244">
        <f>IF(ISERROR(AS12/Model!AS263),"-",AS12/Model!AS263)</f>
        <v>1.4048774602025476E-2</v>
      </c>
      <c r="AT91" s="244">
        <f>IF(ISERROR(AT12/Model!AT263),"-",AT12/Model!AT263)</f>
        <v>1.8425497866287339E-2</v>
      </c>
      <c r="AU91" s="244">
        <f>IF(ISERROR(AU12/Model!AU263),"-",AU12/Model!AU263)</f>
        <v>1.8136498991732048E-2</v>
      </c>
      <c r="AV91" s="244">
        <f>IF(ISERROR(AV12/Model!AV263),"-",AV12/Model!AV263)</f>
        <v>2.5018189152781676E-2</v>
      </c>
      <c r="AW91" s="244">
        <f>AV91</f>
        <v>2.5018189152781676E-2</v>
      </c>
      <c r="AX91" s="351"/>
      <c r="AY91" s="244">
        <f>IF(ISERROR(AY12/Model!AY263),"-",AY12/Model!AY263)</f>
        <v>2.3114890695633637E-2</v>
      </c>
      <c r="AZ91" s="244">
        <f>IF(ISERROR(AZ12/Model!AZ263),"-",AZ12/Model!AZ263)</f>
        <v>2.1821784299025385E-2</v>
      </c>
      <c r="BA91" s="244">
        <f>IF(ISERROR(BA12/Model!BA263),"-",BA12/Model!BA263)</f>
        <v>1.6076198609215907E-2</v>
      </c>
      <c r="BB91" s="244">
        <f>IF(ISERROR(BB12/Model!BB263),"-",BB12/Model!BB263)</f>
        <v>1.5572443004858601E-2</v>
      </c>
      <c r="BC91" s="244">
        <f>BB91</f>
        <v>1.5572443004858601E-2</v>
      </c>
      <c r="BD91" s="351"/>
      <c r="BE91" s="244">
        <f>IF(ISERROR(BE12/Model!BE263),"-",BE12/Model!BE263)</f>
        <v>1.7723655654690133E-2</v>
      </c>
      <c r="BF91" s="244">
        <f>IF(ISERROR(BF12/Model!BF263),"-",BF12/Model!BF263)</f>
        <v>1.6198459447213411E-2</v>
      </c>
      <c r="BG91" s="244">
        <f>IF(ISERROR(BG12/Model!BG263),"-",BG12/Model!BG263)</f>
        <v>1.6311980123150046E-2</v>
      </c>
      <c r="BH91" s="244">
        <f>IF(ISERROR(BH12/Model!BH263),"-",BH12/Model!BH263)</f>
        <v>1.4576062410182713E-2</v>
      </c>
      <c r="BI91" s="244">
        <f>BH91</f>
        <v>1.4576062410182713E-2</v>
      </c>
      <c r="BJ91" s="351"/>
      <c r="BK91" s="244">
        <f>IF(ISERROR(BK12/Model!BK263),"-",BK12/Model!BK263)</f>
        <v>1.2681333461427611E-2</v>
      </c>
      <c r="BL91" s="244">
        <f>IF(ISERROR(BL12/Model!BL263),"-",BL12/Model!BL263)</f>
        <v>6.4605445316105216E-3</v>
      </c>
      <c r="BM91" s="244">
        <f>IF(ISERROR(BM12/Model!BM263),"-",BM12/Model!BM263)</f>
        <v>6.5881939564300766E-3</v>
      </c>
      <c r="BN91" s="244">
        <f>IF(ISERROR(BN12/Model!BN263),"-",BN12/Model!BN263)</f>
        <v>4.6916318348545587E-3</v>
      </c>
      <c r="BO91" s="244">
        <f>BN91</f>
        <v>4.6916318348545587E-3</v>
      </c>
      <c r="BP91" s="351"/>
      <c r="BQ91" s="244">
        <f>IF(ISERROR(BQ12/Model!BQ263),"-",BQ12/Model!BQ263)</f>
        <v>0</v>
      </c>
      <c r="BR91" s="244">
        <f>IF(ISERROR(BR12/Model!BR263),"-",BR12/Model!BR263)</f>
        <v>0</v>
      </c>
      <c r="BS91" s="244">
        <f>IF(ISERROR(BS12/Model!BS263),"-",BS12/Model!BS263)</f>
        <v>0</v>
      </c>
      <c r="BT91" s="244">
        <f>IF(ISERROR(BT12/Model!BT263),"-",BT12/Model!BT263)</f>
        <v>0</v>
      </c>
      <c r="BU91" s="244">
        <f>BT91</f>
        <v>0</v>
      </c>
      <c r="BV91" s="351"/>
      <c r="BW91" s="244">
        <f>IF(ISERROR(BW12/Model!BW263),"-",BW12/Model!BW263)</f>
        <v>0</v>
      </c>
      <c r="BX91" s="244">
        <f>IF(ISERROR(BX12/Model!BX263),"-",BX12/Model!BX263)</f>
        <v>0</v>
      </c>
      <c r="BY91" s="244">
        <f>IF(ISERROR(BY12/Model!BY263),"-",BY12/Model!BY263)</f>
        <v>0</v>
      </c>
      <c r="BZ91" s="244">
        <f>IF(ISERROR(BZ12/Model!BZ263),"-",BZ12/Model!BZ263)</f>
        <v>0</v>
      </c>
      <c r="CA91" s="244">
        <f>BZ91</f>
        <v>0</v>
      </c>
      <c r="CB91" s="353"/>
      <c r="CC91" s="244">
        <f>IF(ISERROR(CC12/Model!CC263),"-",CC12/Model!CC263)</f>
        <v>0</v>
      </c>
      <c r="CD91" s="244">
        <f>IF(ISERROR(CD12/Model!CD263),"-",CD12/Model!CD263)</f>
        <v>0</v>
      </c>
      <c r="CE91" s="244">
        <f>IF(ISERROR(CE12/Model!CE263),"-",CE12/Model!CE263)</f>
        <v>0</v>
      </c>
      <c r="CF91" s="244">
        <f>IF(ISERROR(CF12/Model!CF263),"-",CF12/Model!CF263)</f>
        <v>0</v>
      </c>
      <c r="CG91" s="244">
        <f>CF91</f>
        <v>0</v>
      </c>
      <c r="CH91" s="353"/>
      <c r="CI91" s="244">
        <f>IF(ISERROR(CI12/Model!CI263),"-",CI12/Model!CI263)</f>
        <v>0</v>
      </c>
      <c r="CJ91" s="244">
        <f>IF(ISERROR(CJ12/Model!CJ263),"-",CJ12/Model!CJ263)</f>
        <v>0</v>
      </c>
      <c r="CK91" s="244">
        <f>IF(ISERROR(CK12/Model!CK263),"-",CK12/Model!CK263)</f>
        <v>0</v>
      </c>
      <c r="CL91" s="244">
        <f>IF(ISERROR(CL12/Model!CL263),"-",CL12/Model!CL263)</f>
        <v>0</v>
      </c>
      <c r="CM91" s="244">
        <f>CL91</f>
        <v>0</v>
      </c>
      <c r="CN91" s="353"/>
      <c r="CO91" s="244">
        <f>IF(ISERROR(CO12/Model!CO263),"-",CO12/Model!CO263)</f>
        <v>0</v>
      </c>
      <c r="CP91" s="244">
        <f>IF(ISERROR(CP12/Model!CP263),"-",CP12/Model!CP263)</f>
        <v>0</v>
      </c>
      <c r="CQ91" s="244">
        <f>IF(ISERROR(CQ12/Model!CQ263),"-",CQ12/Model!CQ263)</f>
        <v>0</v>
      </c>
      <c r="CR91" s="244">
        <f>IF(ISERROR(CR12/Model!CR263),"-",CR12/Model!CR263)</f>
        <v>0</v>
      </c>
      <c r="CS91" s="244">
        <f>CR91</f>
        <v>0</v>
      </c>
      <c r="CT91" s="353"/>
      <c r="CU91" s="244">
        <f>IF(ISERROR(CU12/Model!CU263),"-",CU12/Model!CU263)</f>
        <v>0</v>
      </c>
      <c r="CV91" s="244">
        <f>IF(ISERROR(CV12/Model!CV263),"-",CV12/Model!CV263)</f>
        <v>0</v>
      </c>
      <c r="CW91" s="244">
        <f>IF(ISERROR(CW12/Model!CW263),"-",CW12/Model!CW263)</f>
        <v>0</v>
      </c>
      <c r="CX91" s="244">
        <f>IF(ISERROR(CX12/Model!CX263),"-",CX12/Model!CX263)</f>
        <v>0</v>
      </c>
      <c r="CY91" s="244">
        <f>CX91</f>
        <v>0</v>
      </c>
      <c r="CZ91" s="353"/>
      <c r="DA91" s="244">
        <f>IF(ISERROR(DA12/Model!DA263),"-",DA12/Model!DA263)</f>
        <v>0</v>
      </c>
      <c r="DB91" s="244">
        <f>IF(ISERROR(DB12/Model!DB263),"-",DB12/Model!DB263)</f>
        <v>0</v>
      </c>
      <c r="DC91" s="244">
        <f>IF(ISERROR(DC12/Model!DC263),"-",DC12/Model!DC263)</f>
        <v>0</v>
      </c>
      <c r="DD91" s="244">
        <f>IF(ISERROR(DD12/Model!DD263),"-",DD12/Model!DD263)</f>
        <v>0</v>
      </c>
      <c r="DE91" s="244">
        <f>DD91</f>
        <v>0</v>
      </c>
      <c r="DF91" s="353"/>
      <c r="DG91" s="244">
        <f>IF(ISERROR(DG12/Model!DG263),"-",DG12/Model!DG263)</f>
        <v>0</v>
      </c>
      <c r="DH91" s="244">
        <f>IF(ISERROR(DH12/Model!DH263),"-",DH12/Model!DH263)</f>
        <v>0</v>
      </c>
      <c r="DI91" s="244">
        <f>IF(ISERROR(DI12/Model!DI263),"-",DI12/Model!DI263)</f>
        <v>0</v>
      </c>
      <c r="DJ91" s="244">
        <f>IF(ISERROR(DJ12/Model!DJ263),"-",DJ12/Model!DJ263)</f>
        <v>0</v>
      </c>
      <c r="DK91" s="244">
        <f>DJ91</f>
        <v>0</v>
      </c>
      <c r="DL91" s="353"/>
      <c r="DM91" s="244">
        <f>IF(ISERROR(DM12/Model!DM263),"-",DM12/Model!DM263)</f>
        <v>0</v>
      </c>
      <c r="DN91" s="244">
        <f t="shared" ref="DN91:DN92" si="125">DH91</f>
        <v>0</v>
      </c>
      <c r="DO91" s="244">
        <f>IF(ISERROR(DO12/Model!DO263),"-",DO12/Model!DO263)</f>
        <v>0</v>
      </c>
      <c r="DP91" s="244">
        <f>IF(ISERROR(DP12/Model!DP263),"-",DP12/Model!DP263)</f>
        <v>0</v>
      </c>
      <c r="DQ91" s="244">
        <f>DP91</f>
        <v>0</v>
      </c>
      <c r="DR91" s="353"/>
      <c r="DS91" s="244">
        <f>IF(ISERROR(DS12/Model!DS263),"-",DS12/Model!DS263)</f>
        <v>0</v>
      </c>
      <c r="DT91" s="244">
        <f>IF(ISERROR(DT12/Model!DT263),"-",DT12/Model!DT263)</f>
        <v>0</v>
      </c>
      <c r="DU91" s="244">
        <f>IF(ISERROR(DU12/Model!DU263),"-",DU12/Model!DU263)</f>
        <v>0</v>
      </c>
      <c r="DV91" s="244">
        <f>IF(ISERROR(DV12/Model!DV263),"-",DV12/Model!DV263)</f>
        <v>0</v>
      </c>
      <c r="DW91" s="244">
        <f>DV91</f>
        <v>0</v>
      </c>
      <c r="DX91" s="352"/>
      <c r="DY91" s="244">
        <f>IF(ISERROR(DY12/Model!DY263),"-",DY12/Model!DY263)</f>
        <v>0</v>
      </c>
      <c r="DZ91" s="244">
        <f>IF(ISERROR(DZ12/Model!DZ263),"-",DZ12/Model!DZ263)</f>
        <v>0</v>
      </c>
      <c r="EA91" s="244">
        <f>IF(ISERROR(EA12/Model!EA263),"-",EA12/Model!EA263)</f>
        <v>0</v>
      </c>
      <c r="EB91" s="244">
        <f>IF(ISERROR(EB12/Model!EB263),"-",EB12/Model!EB263)</f>
        <v>0</v>
      </c>
      <c r="EC91" s="244">
        <f>EB91</f>
        <v>0</v>
      </c>
      <c r="ED91" s="352"/>
      <c r="EE91" s="486">
        <f t="shared" ref="EE91" si="126">DY91</f>
        <v>0</v>
      </c>
      <c r="EF91" s="486">
        <f t="shared" ref="EF91" si="127">DZ91</f>
        <v>0</v>
      </c>
      <c r="EG91" s="486">
        <f t="shared" ref="EG91" si="128">EA91</f>
        <v>0</v>
      </c>
      <c r="EH91" s="486">
        <f t="shared" ref="EH91" si="129">EB91</f>
        <v>0</v>
      </c>
      <c r="EI91" s="244">
        <f>EH91</f>
        <v>0</v>
      </c>
      <c r="EJ91" s="352"/>
      <c r="EK91" s="486">
        <f t="shared" ref="EK91" si="130">EE91</f>
        <v>0</v>
      </c>
      <c r="EL91" s="486">
        <f t="shared" ref="EL91" si="131">EF91</f>
        <v>0</v>
      </c>
      <c r="EM91" s="486">
        <f t="shared" ref="EM91" si="132">EG91</f>
        <v>0</v>
      </c>
      <c r="EN91" s="486">
        <f t="shared" ref="EN91" si="133">EH91</f>
        <v>0</v>
      </c>
      <c r="EO91" s="244">
        <f>EN91</f>
        <v>0</v>
      </c>
      <c r="EP91" s="352"/>
      <c r="EQ91" s="486">
        <f t="shared" ref="EQ91" si="134">EK91</f>
        <v>0</v>
      </c>
      <c r="ER91" s="486">
        <f t="shared" ref="ER91:ER92" si="135">EL91</f>
        <v>0</v>
      </c>
      <c r="ES91" s="486">
        <f t="shared" ref="ES91:ES92" si="136">EM91</f>
        <v>0</v>
      </c>
      <c r="ET91" s="486">
        <f t="shared" ref="ET91:ET92" si="137">EN91</f>
        <v>0</v>
      </c>
      <c r="EU91" s="244">
        <f>ET91</f>
        <v>0</v>
      </c>
      <c r="EV91" s="352"/>
      <c r="EW91" s="352"/>
      <c r="EX91" s="352"/>
      <c r="EY91" s="352"/>
      <c r="EZ91" s="352"/>
      <c r="FA91" s="352"/>
      <c r="FB91" s="352"/>
    </row>
    <row r="92" spans="1:158" ht="10.5" hidden="1" customHeight="1" outlineLevel="1">
      <c r="A92" s="348" t="s">
        <v>5164</v>
      </c>
      <c r="B92" s="32"/>
      <c r="C92" s="353"/>
      <c r="D92" s="90"/>
      <c r="E92" s="90"/>
      <c r="F92" s="90"/>
      <c r="G92" s="61"/>
      <c r="H92" s="90"/>
      <c r="I92" s="90"/>
      <c r="J92" s="90"/>
      <c r="K92" s="351"/>
      <c r="L92" s="351"/>
      <c r="M92" s="351"/>
      <c r="N92" s="351"/>
      <c r="O92" s="244">
        <f>IF(ISERROR(O33/Model!O263),"-",O33/Model!O263)</f>
        <v>8.0676725440127467E-2</v>
      </c>
      <c r="P92" s="244">
        <f>IF(ISERROR(P33/Model!P263),"-",P33/Model!P263)</f>
        <v>9.8810215271765547E-2</v>
      </c>
      <c r="Q92" s="244">
        <f>IF(ISERROR(Q33/Model!Q263),"-",Q33/Model!Q263)</f>
        <v>8.8839286499531239E-2</v>
      </c>
      <c r="R92" s="244">
        <f>IF(ISERROR(R33/Model!R263),"-",R33/Model!R263)</f>
        <v>0.10065479872457786</v>
      </c>
      <c r="S92" s="244">
        <f>R92</f>
        <v>0.10065479872457786</v>
      </c>
      <c r="T92" s="351"/>
      <c r="U92" s="244">
        <f>IF(ISERROR(U33/Model!U263),"-",U33/Model!U263)</f>
        <v>0.11218976447765769</v>
      </c>
      <c r="V92" s="244">
        <f>IF(ISERROR(V33/Model!V263),"-",V33/Model!V263)</f>
        <v>0.11558488484258002</v>
      </c>
      <c r="W92" s="244">
        <f>IF(ISERROR(W33/Model!W263),"-",W33/Model!W263)</f>
        <v>0.12669291036913588</v>
      </c>
      <c r="X92" s="244">
        <f>IF(ISERROR(X33/Model!X263),"-",X33/Model!X263)</f>
        <v>0.13038163619225346</v>
      </c>
      <c r="Y92" s="244">
        <f>X92</f>
        <v>0.13038163619225346</v>
      </c>
      <c r="Z92" s="351"/>
      <c r="AA92" s="244">
        <f>IF(ISERROR(AA33/Model!AA263),"-",AA33/Model!AA263)</f>
        <v>0.12336960030993736</v>
      </c>
      <c r="AB92" s="244">
        <f>IF(ISERROR(AB33/Model!AB263),"-",AB33/Model!AB263)</f>
        <v>0.14112503075365865</v>
      </c>
      <c r="AC92" s="244">
        <f>IF(ISERROR(AC33/Model!AC263),"-",AC33/Model!AC263)</f>
        <v>0.12951914507385082</v>
      </c>
      <c r="AD92" s="244">
        <f>IF(ISERROR(AD33/Model!AD263),"-",AD33/Model!AD263)</f>
        <v>0.13199058659798296</v>
      </c>
      <c r="AE92" s="244">
        <f>AD92</f>
        <v>0.13199058659798296</v>
      </c>
      <c r="AF92" s="351"/>
      <c r="AG92" s="244">
        <f>IF(ISERROR(AG33/Model!AG263),"-",AG33/Model!AG263)</f>
        <v>0.12603703895638901</v>
      </c>
      <c r="AH92" s="244">
        <f>IF(ISERROR(AH33/Model!AH263),"-",AH33/Model!AH263)</f>
        <v>0.14419506444758107</v>
      </c>
      <c r="AI92" s="244">
        <f>IF(ISERROR(AI33/Model!AI263),"-",AI33/Model!AI263)</f>
        <v>0.15124955473480944</v>
      </c>
      <c r="AJ92" s="244">
        <f>IF(ISERROR(AJ33/Model!AJ263),"-",AJ33/Model!AJ263)</f>
        <v>0.1600016322533257</v>
      </c>
      <c r="AK92" s="244">
        <f>AJ92</f>
        <v>0.1600016322533257</v>
      </c>
      <c r="AL92" s="351"/>
      <c r="AM92" s="244">
        <f>IF(ISERROR(AM33/Model!AM263),"-",AM33/Model!AM263)</f>
        <v>0.14062627762018279</v>
      </c>
      <c r="AN92" s="244">
        <f>IF(ISERROR(AN33/Model!AN263),"-",AN33/Model!AN263)</f>
        <v>0.13780449155440919</v>
      </c>
      <c r="AO92" s="244">
        <f>IF(ISERROR(AO33/Model!AO263),"-",AO33/Model!AO263)</f>
        <v>0.13065483914093159</v>
      </c>
      <c r="AP92" s="244">
        <f>IF(ISERROR(AP33/Model!AP263),"-",AP33/Model!AP263)</f>
        <v>0.13846241998070941</v>
      </c>
      <c r="AQ92" s="244">
        <f>AP92</f>
        <v>0.13846241998070941</v>
      </c>
      <c r="AR92" s="351"/>
      <c r="AS92" s="244">
        <f>IF(ISERROR(AS33/Model!AS263),"-",AS33/Model!AS263)</f>
        <v>0.11793096112415599</v>
      </c>
      <c r="AT92" s="244">
        <f>IF(ISERROR(AT33/Model!AT263),"-",AT33/Model!AT263)</f>
        <v>0.11046725767120502</v>
      </c>
      <c r="AU92" s="244">
        <f>IF(ISERROR(AU33/Model!AU263),"-",AU33/Model!AU263)</f>
        <v>8.7487464048199667E-2</v>
      </c>
      <c r="AV92" s="244">
        <f>IF(ISERROR(AV33/Model!AV263),"-",AV33/Model!AV263)</f>
        <v>8.9056973469049616E-2</v>
      </c>
      <c r="AW92" s="244">
        <f>AV92</f>
        <v>8.9056973469049616E-2</v>
      </c>
      <c r="AX92" s="351"/>
      <c r="AY92" s="244">
        <f>IF(ISERROR(AY33/Model!AY263),"-",AY33/Model!AY263)</f>
        <v>7.7787835754168283E-2</v>
      </c>
      <c r="AZ92" s="244">
        <f>IF(ISERROR(AZ33/Model!AZ263),"-",AZ33/Model!AZ263)</f>
        <v>8.1798222127021536E-2</v>
      </c>
      <c r="BA92" s="244">
        <f>IF(ISERROR(BA33/Model!BA263),"-",BA33/Model!BA263)</f>
        <v>6.9320568402938987E-2</v>
      </c>
      <c r="BB92" s="244">
        <f>IF(ISERROR(BB33/Model!BB263),"-",BB33/Model!BB263)</f>
        <v>7.6118101407748842E-2</v>
      </c>
      <c r="BC92" s="244">
        <f>BB92</f>
        <v>7.6118101407748842E-2</v>
      </c>
      <c r="BD92" s="351"/>
      <c r="BE92" s="244">
        <f>IF(ISERROR(BE33/Model!BE263),"-",BE33/Model!BE263)</f>
        <v>5.6667470460573903E-2</v>
      </c>
      <c r="BF92" s="244">
        <f>IF(ISERROR(BF33/Model!BF263),"-",BF33/Model!BF263)</f>
        <v>6.1395559583144542E-2</v>
      </c>
      <c r="BG92" s="244">
        <f>IF(ISERROR(BG33/Model!BG263),"-",BG33/Model!BG263)</f>
        <v>5.185265204709949E-2</v>
      </c>
      <c r="BH92" s="244">
        <f>IF(ISERROR(BH33/Model!BH263),"-",BH33/Model!BH263)</f>
        <v>7.0416752206939021E-2</v>
      </c>
      <c r="BI92" s="244">
        <f>BH92</f>
        <v>7.0416752206939021E-2</v>
      </c>
      <c r="BJ92" s="351"/>
      <c r="BK92" s="244">
        <f>IF(ISERROR(BK33/Model!BK263),"-",BK33/Model!BK263)</f>
        <v>7.4743010855990014E-2</v>
      </c>
      <c r="BL92" s="244">
        <f>IF(ISERROR(BL33/Model!BL263),"-",BL33/Model!BL263)</f>
        <v>7.1065989847715741E-2</v>
      </c>
      <c r="BM92" s="244">
        <f>IF(ISERROR(BM33/Model!BM263),"-",BM33/Model!BM263)</f>
        <v>5.235418130709768E-2</v>
      </c>
      <c r="BN92" s="244">
        <f>IF(ISERROR(BN33/Model!BN263),"-",BN33/Model!BN263)</f>
        <v>4.9048878273479479E-2</v>
      </c>
      <c r="BO92" s="244">
        <f>BN92</f>
        <v>4.9048878273479479E-2</v>
      </c>
      <c r="BP92" s="351"/>
      <c r="BQ92" s="244">
        <f>IF(ISERROR(BQ33/Model!BQ263),"-",BQ33/Model!BQ263)</f>
        <v>6.6661166570414973E-2</v>
      </c>
      <c r="BR92" s="244">
        <f>IF(ISERROR(BR33/Model!BR263),"-",BR33/Model!BR263)</f>
        <v>5.3537586860391652E-2</v>
      </c>
      <c r="BS92" s="244">
        <f>IF(ISERROR(BS33/Model!BS263),"-",BS33/Model!BS263)</f>
        <v>4.832429956485227E-2</v>
      </c>
      <c r="BT92" s="244">
        <f>IF(ISERROR(BT33/Model!BT263),"-",BT33/Model!BT263)</f>
        <v>6.4181453921007436E-2</v>
      </c>
      <c r="BU92" s="244">
        <f>BT92</f>
        <v>6.4181453921007436E-2</v>
      </c>
      <c r="BV92" s="351"/>
      <c r="BW92" s="244">
        <f>IF(ISERROR(BW33/Model!BW263),"-",BW33/Model!BW263)</f>
        <v>8.2098217334881499E-2</v>
      </c>
      <c r="BX92" s="244">
        <f>IF(ISERROR(BX33/Model!BX263),"-",BX33/Model!BX263)</f>
        <v>6.62947161142107E-2</v>
      </c>
      <c r="BY92" s="244">
        <f>IF(ISERROR(BY33/Model!BY263),"-",BY33/Model!BY263)</f>
        <v>4.1028586013272084E-2</v>
      </c>
      <c r="BZ92" s="244">
        <f>IF(ISERROR(BZ33/Model!BZ263),"-",BZ33/Model!BZ263)</f>
        <v>6.8399275924489272E-2</v>
      </c>
      <c r="CA92" s="244">
        <f>BZ92</f>
        <v>6.8399275924489272E-2</v>
      </c>
      <c r="CB92" s="353"/>
      <c r="CC92" s="244">
        <f>IF(ISERROR(CC33/Model!CC263),"-",CC33/Model!CC263)</f>
        <v>3.9610652967419224E-2</v>
      </c>
      <c r="CD92" s="244">
        <f>IF(ISERROR(CD33/Model!CD263),"-",CD33/Model!CD263)</f>
        <v>5.3376436781609193E-2</v>
      </c>
      <c r="CE92" s="244">
        <f>IF(ISERROR(CE33/Model!CE263),"-",CE33/Model!CE263)</f>
        <v>4.3743331809175431E-2</v>
      </c>
      <c r="CF92" s="244">
        <f>IF(ISERROR(CF33/Model!CF263),"-",CF33/Model!CF263)</f>
        <v>5.3178099433606033E-2</v>
      </c>
      <c r="CG92" s="244">
        <f>CF92</f>
        <v>5.3178099433606033E-2</v>
      </c>
      <c r="CH92" s="353"/>
      <c r="CI92" s="244">
        <f>IF(ISERROR(CI33/Model!CI263),"-",CI33/Model!CI263)</f>
        <v>4.3974068577677099E-2</v>
      </c>
      <c r="CJ92" s="244">
        <f>IF(ISERROR(CJ33/Model!CJ263),"-",CJ33/Model!CJ263)</f>
        <v>5.1540790188620657E-2</v>
      </c>
      <c r="CK92" s="244">
        <f>IF(ISERROR(CK33/Model!CK263),"-",CK33/Model!CK263)</f>
        <v>4.4617831982425568E-2</v>
      </c>
      <c r="CL92" s="244">
        <f>IF(ISERROR(CL33/Model!CL263),"-",CL33/Model!CL263)</f>
        <v>5.4769544924154021E-2</v>
      </c>
      <c r="CM92" s="244">
        <f>CL92</f>
        <v>5.4769544924154021E-2</v>
      </c>
      <c r="CN92" s="353"/>
      <c r="CO92" s="244">
        <f>IF(ISERROR(CO33/Model!CO263),"-",CO33/Model!CO263)</f>
        <v>4.9102994782360083E-2</v>
      </c>
      <c r="CP92" s="244">
        <f>IF(ISERROR(CP33/Model!CP263),"-",CP33/Model!CP263)</f>
        <v>5.2142559977811677E-2</v>
      </c>
      <c r="CQ92" s="244">
        <f>IF(ISERROR(CQ33/Model!CQ263),"-",CQ33/Model!CQ263)</f>
        <v>3.7520391517128882E-2</v>
      </c>
      <c r="CR92" s="244">
        <f>IF(ISERROR(CR33/Model!CR263),"-",CR33/Model!CR263)</f>
        <v>5.6321070234113722E-2</v>
      </c>
      <c r="CS92" s="244">
        <f>CR92</f>
        <v>5.6321070234113722E-2</v>
      </c>
      <c r="CT92" s="353"/>
      <c r="CU92" s="244">
        <f>IF(ISERROR(CU33/Model!CU263),"-",CU33/Model!CU263)</f>
        <v>3.7124337065409553E-2</v>
      </c>
      <c r="CV92" s="244">
        <f>IF(ISERROR(CV33/Model!CV263),"-",CV33/Model!CV263)</f>
        <v>4.7942986718496922E-2</v>
      </c>
      <c r="CW92" s="244">
        <f>IF(ISERROR(CW33/Model!CW263),"-",CW33/Model!CW263)</f>
        <v>4.6681444777676349E-2</v>
      </c>
      <c r="CX92" s="244">
        <f>IF(ISERROR(CX33/Model!CX263),"-",CX33/Model!CX263)</f>
        <v>6.4608758076094758E-2</v>
      </c>
      <c r="CY92" s="244">
        <f>CX92</f>
        <v>6.4608758076094758E-2</v>
      </c>
      <c r="CZ92" s="353"/>
      <c r="DA92" s="244">
        <f>IF(ISERROR(DA33/Model!DA263),"-",DA33/Model!DA263)</f>
        <v>4.7138047138047139E-2</v>
      </c>
      <c r="DB92" s="244">
        <f>IF(ISERROR(DB33/Model!DB263),"-",DB33/Model!DB263)</f>
        <v>5.0642980246586235E-2</v>
      </c>
      <c r="DC92" s="244">
        <f>IF(ISERROR(DC33/Model!DC263),"-",DC33/Model!DC263)</f>
        <v>4.5805018295870352E-2</v>
      </c>
      <c r="DD92" s="244">
        <f>IF(ISERROR(DD33/Model!DD263),"-",DD33/Model!DD263)</f>
        <v>5.5414798934580643E-2</v>
      </c>
      <c r="DE92" s="244">
        <f>DD92</f>
        <v>5.5414798934580643E-2</v>
      </c>
      <c r="DF92" s="353"/>
      <c r="DG92" s="244">
        <f>IF(ISERROR(DG33/Model!DG263),"-",DG33/Model!DG263)</f>
        <v>5.3984251968503934E-2</v>
      </c>
      <c r="DH92" s="244">
        <f>IF(ISERROR(DH33/Model!DH263),"-",DH33/Model!DH263)</f>
        <v>5.9274797722505247E-2</v>
      </c>
      <c r="DI92" s="244">
        <f>IF(ISERROR(DI33/Model!DI263),"-",DI33/Model!DI263)</f>
        <v>4.8645880746472463E-2</v>
      </c>
      <c r="DJ92" s="244">
        <f>IF(ISERROR(DJ33/Model!DJ263),"-",DJ33/Model!DJ263)</f>
        <v>6.3412260784949728E-2</v>
      </c>
      <c r="DK92" s="244">
        <f>DJ92</f>
        <v>6.3412260784949728E-2</v>
      </c>
      <c r="DL92" s="353"/>
      <c r="DM92" s="244">
        <f>IF(ISERROR(DM33/Model!DM263),"-",DM33/Model!DM263)</f>
        <v>4.7992422249118566E-2</v>
      </c>
      <c r="DN92" s="244">
        <f t="shared" si="125"/>
        <v>5.9274797722505247E-2</v>
      </c>
      <c r="DO92" s="244">
        <f>IF(ISERROR(DO33/Model!DO263),"-",DO33/Model!DO263)</f>
        <v>5.61381541190588E-2</v>
      </c>
      <c r="DP92" s="244">
        <f>IF(ISERROR(DP33/Model!DP263),"-",DP33/Model!DP263)</f>
        <v>6.7677031617454919E-2</v>
      </c>
      <c r="DQ92" s="244">
        <f>DP92</f>
        <v>6.7677031617454919E-2</v>
      </c>
      <c r="DR92" s="353"/>
      <c r="DS92" s="244">
        <f>IF(ISERROR(DS33/Model!DS263),"-",DS33/Model!DS263)</f>
        <v>6.1982817688293897E-2</v>
      </c>
      <c r="DT92" s="244">
        <f>IF(ISERROR(DT33/Model!DT263),"-",DT33/Model!DT263)</f>
        <v>6.794314203882465E-2</v>
      </c>
      <c r="DU92" s="244">
        <f>IF(ISERROR(DU33/Model!DU263),"-",DU33/Model!DU263)</f>
        <v>6.4937825486236583E-2</v>
      </c>
      <c r="DV92" s="244">
        <f>IF(ISERROR(DV33/Model!DV263),"-",DV33/Model!DV263)</f>
        <v>7.2189222454112495E-2</v>
      </c>
      <c r="DW92" s="244">
        <f>DV92</f>
        <v>7.2189222454112495E-2</v>
      </c>
      <c r="DX92" s="352"/>
      <c r="DY92" s="244">
        <f>IF(ISERROR(DY33/Model!DY263),"-",DY33/Model!DY263)</f>
        <v>5.8814059565334052E-2</v>
      </c>
      <c r="DZ92" s="244">
        <f>IF(ISERROR(DZ33/Model!DZ263),"-",DZ33/Model!DZ263)</f>
        <v>6.2556712036295703E-2</v>
      </c>
      <c r="EA92" s="244">
        <f>IF(ISERROR(EA33/Model!EA263),"-",EA33/Model!EA263)</f>
        <v>5.6367987237436849E-2</v>
      </c>
      <c r="EB92" s="244">
        <f>IF(ISERROR(EB33/Model!EB263),"-",EB33/Model!EB263)</f>
        <v>0.10434782608695653</v>
      </c>
      <c r="EC92" s="244">
        <f>EB92</f>
        <v>0.10434782608695653</v>
      </c>
      <c r="ED92" s="352"/>
      <c r="EE92" s="486">
        <f>DY92-0.01</f>
        <v>4.881405956533405E-2</v>
      </c>
      <c r="EF92" s="486">
        <f t="shared" ref="EF92:EG92" si="138">DZ92-0.01</f>
        <v>5.2556712036295701E-2</v>
      </c>
      <c r="EG92" s="486">
        <f t="shared" si="138"/>
        <v>4.6367987237436847E-2</v>
      </c>
      <c r="EH92" s="486">
        <f>EB92-0.003</f>
        <v>0.10134782608695653</v>
      </c>
      <c r="EI92" s="244">
        <f>EH92</f>
        <v>0.10134782608695653</v>
      </c>
      <c r="EJ92" s="352"/>
      <c r="EK92" s="486">
        <f>EE92-0.03</f>
        <v>1.8814059565334051E-2</v>
      </c>
      <c r="EL92" s="486">
        <f t="shared" ref="EL92:EN92" si="139">EF92-0.03</f>
        <v>2.2556712036295702E-2</v>
      </c>
      <c r="EM92" s="486">
        <f>EG92-0.03</f>
        <v>1.6367987237436848E-2</v>
      </c>
      <c r="EN92" s="486">
        <f t="shared" si="139"/>
        <v>7.1347826086956528E-2</v>
      </c>
      <c r="EO92" s="244">
        <f>EN92</f>
        <v>7.1347826086956528E-2</v>
      </c>
      <c r="EP92" s="352"/>
      <c r="EQ92" s="486">
        <f>EK92</f>
        <v>1.8814059565334051E-2</v>
      </c>
      <c r="ER92" s="486">
        <f t="shared" si="135"/>
        <v>2.2556712036295702E-2</v>
      </c>
      <c r="ES92" s="486">
        <f t="shared" si="136"/>
        <v>1.6367987237436848E-2</v>
      </c>
      <c r="ET92" s="486">
        <f t="shared" si="137"/>
        <v>7.1347826086956528E-2</v>
      </c>
      <c r="EU92" s="244">
        <f>ET92</f>
        <v>7.1347826086956528E-2</v>
      </c>
      <c r="EV92" s="352"/>
      <c r="EW92" s="352"/>
      <c r="EX92" s="352"/>
      <c r="EY92" s="352"/>
      <c r="EZ92" s="352"/>
      <c r="FA92" s="352"/>
      <c r="FB92" s="352"/>
    </row>
    <row r="93" spans="1:158" ht="12.75" hidden="1" customHeight="1" outlineLevel="1">
      <c r="A93" s="24"/>
      <c r="B93" s="32"/>
      <c r="C93" s="353"/>
      <c r="D93" s="90"/>
      <c r="E93" s="90"/>
      <c r="F93" s="90"/>
      <c r="G93" s="61"/>
      <c r="H93" s="90"/>
      <c r="I93" s="90"/>
      <c r="J93" s="90"/>
      <c r="K93" s="24"/>
      <c r="L93" s="24"/>
      <c r="M93" s="24"/>
      <c r="N93" s="24"/>
      <c r="O93" s="23"/>
      <c r="P93" s="24"/>
      <c r="Q93" s="24"/>
      <c r="R93" s="24"/>
      <c r="S93" s="24"/>
      <c r="T93" s="24"/>
      <c r="U93" s="23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3"/>
      <c r="AH93" s="24"/>
      <c r="AI93" s="24"/>
      <c r="AJ93" s="24"/>
      <c r="AK93" s="24"/>
      <c r="AL93" s="24"/>
      <c r="AM93" s="23"/>
      <c r="AN93" s="24"/>
      <c r="AO93" s="24"/>
      <c r="AP93" s="24"/>
      <c r="AQ93" s="164"/>
      <c r="AR93" s="24"/>
      <c r="AS93" s="23"/>
      <c r="AT93" s="24"/>
      <c r="AU93" s="24"/>
      <c r="AV93" s="24"/>
      <c r="AW93" s="164"/>
      <c r="AX93" s="77"/>
      <c r="AY93" s="23"/>
      <c r="AZ93" s="24"/>
      <c r="BA93" s="24"/>
      <c r="BB93" s="24"/>
      <c r="BC93" s="16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147"/>
      <c r="DY93" s="24"/>
      <c r="DZ93" s="24"/>
      <c r="EA93" s="24"/>
      <c r="EB93" s="24"/>
      <c r="EC93" s="24"/>
      <c r="ED93" s="147"/>
      <c r="EE93" s="24"/>
      <c r="EF93" s="24"/>
      <c r="EG93" s="24"/>
      <c r="EH93" s="24"/>
      <c r="EI93" s="24"/>
      <c r="EJ93" s="147"/>
      <c r="EK93" s="24"/>
      <c r="EL93" s="24"/>
      <c r="EM93" s="24"/>
      <c r="EN93" s="24"/>
      <c r="EO93" s="24"/>
      <c r="EP93" s="147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</row>
    <row r="94" spans="1:158" hidden="1" outlineLevel="1">
      <c r="A94" s="31" t="s">
        <v>5984</v>
      </c>
      <c r="B94" s="32"/>
      <c r="C94" s="353"/>
      <c r="D94" s="90"/>
      <c r="E94" s="90"/>
      <c r="F94" s="90"/>
      <c r="G94" s="61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104"/>
      <c r="AR94" s="90"/>
      <c r="AS94" s="90"/>
      <c r="AT94" s="90"/>
      <c r="AU94" s="90"/>
      <c r="AV94" s="90"/>
      <c r="AW94" s="104"/>
      <c r="AX94" s="61"/>
      <c r="AY94" s="90"/>
      <c r="AZ94" s="90"/>
      <c r="BA94" s="90"/>
      <c r="BB94" s="90"/>
      <c r="BC94" s="104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</row>
    <row r="95" spans="1:158" ht="10.5" hidden="1" customHeight="1" outlineLevel="1">
      <c r="A95" s="25" t="s">
        <v>5545</v>
      </c>
      <c r="B95" s="32"/>
      <c r="C95" s="353"/>
      <c r="D95" s="90"/>
      <c r="E95" s="90"/>
      <c r="F95" s="90"/>
      <c r="G95" s="61"/>
      <c r="H95" s="90"/>
      <c r="I95" s="90"/>
      <c r="J95" s="90"/>
      <c r="K95" s="238"/>
      <c r="L95" s="238"/>
      <c r="M95" s="238"/>
      <c r="N95" s="238"/>
      <c r="O95" s="488"/>
      <c r="P95" s="488"/>
      <c r="Q95" s="488"/>
      <c r="R95" s="208">
        <f>S95</f>
        <v>6.8049999999999997</v>
      </c>
      <c r="S95" s="208">
        <v>6.8049999999999997</v>
      </c>
      <c r="T95" s="168"/>
      <c r="U95" s="488">
        <f>(X95-S95)/4+S95</f>
        <v>7.76675</v>
      </c>
      <c r="V95" s="488">
        <f>(X95-S95)/4+U95</f>
        <v>8.7285000000000004</v>
      </c>
      <c r="W95" s="488">
        <f>(X95-S95)/4+V95</f>
        <v>9.6902500000000007</v>
      </c>
      <c r="X95" s="208">
        <v>10.651999999999999</v>
      </c>
      <c r="Y95" s="208">
        <f>X95</f>
        <v>10.651999999999999</v>
      </c>
      <c r="Z95" s="168"/>
      <c r="AA95" s="488">
        <f>(AD95-Y95)/4+Y95</f>
        <v>10.89175</v>
      </c>
      <c r="AB95" s="488">
        <f>(AD95-Y95)/4+AA95</f>
        <v>11.131500000000001</v>
      </c>
      <c r="AC95" s="488">
        <f>(AD95-Y95)/4+AB95</f>
        <v>11.371250000000002</v>
      </c>
      <c r="AD95" s="208">
        <v>11.611000000000001</v>
      </c>
      <c r="AE95" s="208">
        <f>AD95</f>
        <v>11.611000000000001</v>
      </c>
      <c r="AF95" s="168"/>
      <c r="AG95" s="488">
        <f>(AJ95-AE95)/4+AE95</f>
        <v>12.003500000000001</v>
      </c>
      <c r="AH95" s="488">
        <f>(AJ95-AE95)/4+AG95</f>
        <v>12.396000000000001</v>
      </c>
      <c r="AI95" s="488">
        <f>(AJ95-AE95)/4+AH95</f>
        <v>12.788500000000001</v>
      </c>
      <c r="AJ95" s="208">
        <v>13.180999999999999</v>
      </c>
      <c r="AK95" s="208">
        <f>AJ95</f>
        <v>13.180999999999999</v>
      </c>
      <c r="AL95" s="168"/>
      <c r="AM95" s="488">
        <f>(AP95-AK95)/4+AK95</f>
        <v>12.185749999999999</v>
      </c>
      <c r="AN95" s="488">
        <f>(AP95-AK95)/4+AM95</f>
        <v>11.190499999999998</v>
      </c>
      <c r="AO95" s="488">
        <f>(AP95-AK95)/4+AN95</f>
        <v>10.195249999999998</v>
      </c>
      <c r="AP95" s="208">
        <v>9.1999999999999993</v>
      </c>
      <c r="AQ95" s="208">
        <f>AP95</f>
        <v>9.1999999999999993</v>
      </c>
      <c r="AR95" s="168"/>
      <c r="AS95" s="208">
        <v>9.8000000000000007</v>
      </c>
      <c r="AT95" s="208">
        <v>10.199999999999999</v>
      </c>
      <c r="AU95" s="208">
        <v>10.1</v>
      </c>
      <c r="AV95" s="208">
        <v>9.6999999999999993</v>
      </c>
      <c r="AW95" s="208">
        <f>AV95</f>
        <v>9.6999999999999993</v>
      </c>
      <c r="AX95" s="168"/>
      <c r="AY95" s="208">
        <v>9.9</v>
      </c>
      <c r="AZ95" s="208">
        <v>8.4</v>
      </c>
      <c r="BA95" s="208">
        <v>9.8000000000000007</v>
      </c>
      <c r="BB95" s="208">
        <v>7.2</v>
      </c>
      <c r="BC95" s="208">
        <f>BB95</f>
        <v>7.2</v>
      </c>
      <c r="BD95" s="168"/>
      <c r="BE95" s="208">
        <v>6.9</v>
      </c>
      <c r="BF95" s="208">
        <v>7.3</v>
      </c>
      <c r="BG95" s="208">
        <v>7.3</v>
      </c>
      <c r="BH95" s="208">
        <v>8.1999999999999993</v>
      </c>
      <c r="BI95" s="208">
        <f>BH95</f>
        <v>8.1999999999999993</v>
      </c>
      <c r="BJ95" s="168"/>
      <c r="BK95" s="208">
        <f>BK96*Model!BK261</f>
        <v>8.0704999999999991</v>
      </c>
      <c r="BL95" s="208">
        <f>BL96*Model!BL261</f>
        <v>8.4344999999999999</v>
      </c>
      <c r="BM95" s="208">
        <f>BM96*Model!BM261</f>
        <v>8.8109999999999999</v>
      </c>
      <c r="BN95" s="208">
        <v>9.9</v>
      </c>
      <c r="BO95" s="208">
        <f>BN95</f>
        <v>9.9</v>
      </c>
      <c r="BP95" s="168"/>
      <c r="BQ95" s="208">
        <f>BQ96*Model!BQ261</f>
        <v>9.4349302230184762</v>
      </c>
      <c r="BR95" s="208">
        <f>BR96*Model!BR261</f>
        <v>8.9214870806279087</v>
      </c>
      <c r="BS95" s="208">
        <f>BS96*Model!BS261</f>
        <v>8.3611655129761306</v>
      </c>
      <c r="BT95" s="208">
        <v>7.8</v>
      </c>
      <c r="BU95" s="208">
        <f>BT95</f>
        <v>7.8</v>
      </c>
      <c r="BV95" s="168"/>
      <c r="BW95" s="208">
        <f>BW96*Model!BW261</f>
        <v>8.193723778860436</v>
      </c>
      <c r="BX95" s="208">
        <f>BX96*Model!BX261</f>
        <v>8.6054336367489235</v>
      </c>
      <c r="BY95" s="208">
        <f>BY96*Model!BY261</f>
        <v>8.931194839675916</v>
      </c>
      <c r="BZ95" s="208">
        <v>8.6</v>
      </c>
      <c r="CA95" s="208">
        <f>BZ95</f>
        <v>8.6</v>
      </c>
      <c r="CB95" s="168"/>
      <c r="CC95" s="208">
        <f>CC96*Model!CC261</f>
        <v>7.4055833290048936</v>
      </c>
      <c r="CD95" s="208">
        <f>CD96*Model!CD261</f>
        <v>6.1991887766214617</v>
      </c>
      <c r="CE95" s="208">
        <f>CE96*Model!CE261</f>
        <v>5.1405595303876375</v>
      </c>
      <c r="CF95" s="208">
        <v>4.5999999999999996</v>
      </c>
      <c r="CG95" s="208">
        <f>CF95</f>
        <v>4.5999999999999996</v>
      </c>
      <c r="CH95" s="168"/>
      <c r="CI95" s="208">
        <f>CI96*Model!CI261</f>
        <v>5.2875000000000005</v>
      </c>
      <c r="CJ95" s="208">
        <f>CJ96*Model!CJ261</f>
        <v>5.6527968255820742</v>
      </c>
      <c r="CK95" s="208">
        <f>CK96*Model!CK261</f>
        <v>5.8384907665674657</v>
      </c>
      <c r="CL95" s="208">
        <f>CL96*Model!CL261</f>
        <v>6.0608266557740569</v>
      </c>
      <c r="CM95" s="208">
        <f>CL95</f>
        <v>6.0608266557740569</v>
      </c>
      <c r="CN95" s="168"/>
      <c r="CO95" s="208">
        <f>CO96*Model!CO261</f>
        <v>6.0164999999999997</v>
      </c>
      <c r="CP95" s="208">
        <f>CP96*Model!CP261</f>
        <v>6.2370000000000001</v>
      </c>
      <c r="CQ95" s="208">
        <f>CQ96*Model!CQ261</f>
        <v>6.4526999999999992</v>
      </c>
      <c r="CR95" s="208">
        <f>CR96*Model!CR261</f>
        <v>6.8799915660072744</v>
      </c>
      <c r="CS95" s="208">
        <f>CR95</f>
        <v>6.8799915660072744</v>
      </c>
      <c r="CT95" s="168"/>
      <c r="CU95" s="208">
        <f>CU96*Model!CU261</f>
        <v>6.8276999999999992</v>
      </c>
      <c r="CV95" s="208">
        <f>CV96*Model!CV261</f>
        <v>6.8957999999999995</v>
      </c>
      <c r="CW95" s="208">
        <f>CW96*Model!CW261</f>
        <v>6.8940000000000001</v>
      </c>
      <c r="CX95" s="208">
        <f>CX96*Model!CX261</f>
        <v>6.9378000000000002</v>
      </c>
      <c r="CY95" s="208">
        <f>CX95</f>
        <v>6.9378000000000002</v>
      </c>
      <c r="CZ95" s="168"/>
      <c r="DA95" s="208">
        <f>DA96*Model!DA261</f>
        <v>6.8832000000000004</v>
      </c>
      <c r="DB95" s="208">
        <f>DB96*Model!DB261</f>
        <v>6.8613</v>
      </c>
      <c r="DC95" s="208">
        <f>DC96*Model!DC261</f>
        <v>6.8829000000000011</v>
      </c>
      <c r="DD95" s="208">
        <f>DD96*Model!DD261</f>
        <v>6.8217000000000008</v>
      </c>
      <c r="DE95" s="208">
        <f>DD95</f>
        <v>6.8217000000000008</v>
      </c>
      <c r="DF95" s="168"/>
      <c r="DG95" s="208">
        <f>DG96*Model!DG261</f>
        <v>6.8879999999999999</v>
      </c>
      <c r="DH95" s="208">
        <f>DH96*Model!DH261</f>
        <v>7.1141999999999994</v>
      </c>
      <c r="DI95" s="208">
        <f>DI96*Model!DI261</f>
        <v>7.3026</v>
      </c>
      <c r="DJ95" s="208">
        <f>DJ96*Model!DJ261</f>
        <v>7.5366</v>
      </c>
      <c r="DK95" s="208">
        <f>DJ95</f>
        <v>7.5366</v>
      </c>
      <c r="DL95" s="168"/>
      <c r="DM95" s="208">
        <f>DM96*Model!DM261</f>
        <v>7.6985999999999999</v>
      </c>
      <c r="DN95" s="208">
        <f>DN96*Model!DN261</f>
        <v>7.6158000000000001</v>
      </c>
      <c r="DO95" s="208">
        <f>DO96*Model!DO261</f>
        <v>7.5612000000000004</v>
      </c>
      <c r="DP95" s="208">
        <f>DP96*Model!DP261</f>
        <v>7.5122999999999998</v>
      </c>
      <c r="DQ95" s="208">
        <f>DP95</f>
        <v>7.5122999999999998</v>
      </c>
      <c r="DR95" s="168"/>
      <c r="DS95" s="208">
        <f>DS96*Model!DS261</f>
        <v>7.1085000000000003</v>
      </c>
      <c r="DT95" s="208">
        <f>DT96*Model!DT261</f>
        <v>6.9320999999999993</v>
      </c>
      <c r="DU95" s="208">
        <f>DU96*Model!DU261</f>
        <v>6.6014999999999997</v>
      </c>
      <c r="DV95" s="208">
        <f>DV96*Model!DV261</f>
        <v>6.093</v>
      </c>
      <c r="DW95" s="208">
        <f>DV95</f>
        <v>6.093</v>
      </c>
      <c r="DX95" s="27"/>
      <c r="DY95" s="208">
        <f>DY96*Model!DY261</f>
        <v>6.0144000000000002</v>
      </c>
      <c r="DZ95" s="208">
        <f>DZ96*Model!DZ261</f>
        <v>5.8677000000000001</v>
      </c>
      <c r="EA95" s="208">
        <f>EA96*Model!EA261</f>
        <v>5.9447999999999999</v>
      </c>
      <c r="EB95" s="208">
        <f>EB96*Model!EB261</f>
        <v>6.1697999999999995</v>
      </c>
      <c r="EC95" s="208">
        <f>EB95</f>
        <v>6.1697999999999995</v>
      </c>
      <c r="ED95" s="27"/>
      <c r="EE95" s="208">
        <f>EE96*Model!EE261</f>
        <v>6.3825705810761422</v>
      </c>
      <c r="EF95" s="208">
        <f>EF96*Model!EF261</f>
        <v>6.6608496684385008</v>
      </c>
      <c r="EG95" s="208">
        <f>EG96*Model!EG261</f>
        <v>7.0220920219693124</v>
      </c>
      <c r="EH95" s="208">
        <f>EH96*Model!EH261</f>
        <v>7.4987419316124155</v>
      </c>
      <c r="EI95" s="208">
        <f>EH95</f>
        <v>7.4987419316124155</v>
      </c>
      <c r="EJ95" s="27"/>
      <c r="EK95" s="208">
        <f>EK96*Model!EK261</f>
        <v>7.9007431134544026</v>
      </c>
      <c r="EL95" s="208">
        <f>EL96*Model!EL261</f>
        <v>8.3155321129350668</v>
      </c>
      <c r="EM95" s="208">
        <f>EM96*Model!EM261</f>
        <v>8.7695926861484068</v>
      </c>
      <c r="EN95" s="208">
        <f>EN96*Model!EN261</f>
        <v>9.3170016425343167</v>
      </c>
      <c r="EO95" s="208">
        <f>EN95</f>
        <v>9.3170016425343167</v>
      </c>
      <c r="EP95" s="27"/>
      <c r="EQ95" s="208">
        <f>EQ96*Model!EQ261</f>
        <v>9.5494423587258304</v>
      </c>
      <c r="ER95" s="208">
        <f>ER96*Model!ER261</f>
        <v>9.9488006744987931</v>
      </c>
      <c r="ES95" s="208">
        <f>ES96*Model!ES261</f>
        <v>10.489436152572647</v>
      </c>
      <c r="ET95" s="208">
        <f>ET96*Model!ET261</f>
        <v>11.210692756744232</v>
      </c>
      <c r="EU95" s="208">
        <f>ET95</f>
        <v>11.210692756744232</v>
      </c>
      <c r="EV95" s="27"/>
      <c r="EW95" s="27"/>
      <c r="EX95" s="27"/>
      <c r="EY95" s="27"/>
      <c r="EZ95" s="27"/>
      <c r="FA95" s="27"/>
      <c r="FB95" s="27"/>
    </row>
    <row r="96" spans="1:158" ht="10.5" hidden="1" customHeight="1" outlineLevel="1">
      <c r="A96" s="25" t="s">
        <v>1437</v>
      </c>
      <c r="B96" s="32"/>
      <c r="C96" s="353"/>
      <c r="D96" s="90"/>
      <c r="E96" s="90"/>
      <c r="F96" s="90"/>
      <c r="G96" s="61"/>
      <c r="H96" s="90"/>
      <c r="I96" s="90"/>
      <c r="J96" s="90"/>
      <c r="K96" s="238"/>
      <c r="L96" s="238"/>
      <c r="M96" s="238"/>
      <c r="N96" s="238"/>
      <c r="O96" s="276">
        <f>IF(ISERROR(O95/Model!O261),"-",O95/Model!O261)</f>
        <v>0</v>
      </c>
      <c r="P96" s="276">
        <f>IF(ISERROR(P95/Model!P261),"-",P95/Model!P261)</f>
        <v>0</v>
      </c>
      <c r="Q96" s="276">
        <f>IF(ISERROR(Q95/Model!Q261),"-",Q95/Model!Q261)</f>
        <v>0</v>
      </c>
      <c r="R96" s="244">
        <f>IF(ISERROR(R95/Model!R261),"-",R95/Model!R261)</f>
        <v>7.613287508167082E-3</v>
      </c>
      <c r="S96" s="244"/>
      <c r="T96" s="245"/>
      <c r="U96" s="244">
        <f>IF(ISERROR(U95/Model!U261),"-",U95/Model!U261)</f>
        <v>8.9415745368179762E-3</v>
      </c>
      <c r="V96" s="244">
        <f>IF(ISERROR(V95/Model!V261),"-",V95/Model!V261)</f>
        <v>1.030705664659614E-2</v>
      </c>
      <c r="W96" s="244">
        <f>IF(ISERROR(W95/Model!W261),"-",W95/Model!W261)</f>
        <v>1.147219101356383E-2</v>
      </c>
      <c r="X96" s="244">
        <f>IF(ISERROR(X95/Model!X261),"-",X95/Model!X261)</f>
        <v>1.2560565343357888E-2</v>
      </c>
      <c r="Y96" s="244"/>
      <c r="Z96" s="245"/>
      <c r="AA96" s="244">
        <f>IF(ISERROR(AA95/Model!AA261),"-",AA95/Model!AA261)</f>
        <v>1.2424299805281248E-2</v>
      </c>
      <c r="AB96" s="244">
        <f>IF(ISERROR(AB95/Model!AB261),"-",AB95/Model!AB261)</f>
        <v>1.2383358474949606E-2</v>
      </c>
      <c r="AC96" s="244">
        <f>IF(ISERROR(AC95/Model!AC261),"-",AC95/Model!AC261)</f>
        <v>1.236067238144516E-2</v>
      </c>
      <c r="AD96" s="244">
        <f>IF(ISERROR(AD95/Model!AD261),"-",AD95/Model!AD261)</f>
        <v>1.2400622006912138E-2</v>
      </c>
      <c r="AE96" s="244"/>
      <c r="AF96" s="245"/>
      <c r="AG96" s="244">
        <f>IF(ISERROR(AG95/Model!AG261),"-",AG95/Model!AG261)</f>
        <v>1.262456549976073E-2</v>
      </c>
      <c r="AH96" s="244">
        <f>IF(ISERROR(AH95/Model!AH261),"-",AH95/Model!AH261)</f>
        <v>1.3057712646051297E-2</v>
      </c>
      <c r="AI96" s="244">
        <f>IF(ISERROR(AI95/Model!AI261),"-",AI95/Model!AI261)</f>
        <v>1.3655574348854891E-2</v>
      </c>
      <c r="AJ96" s="244">
        <f>IF(ISERROR(AJ95/Model!AJ261),"-",AJ95/Model!AJ261)</f>
        <v>1.3911477787124099E-2</v>
      </c>
      <c r="AK96" s="244"/>
      <c r="AL96" s="245"/>
      <c r="AM96" s="244">
        <f>IF(ISERROR(AM95/Model!AM261),"-",AM95/Model!AM261)</f>
        <v>1.3087786415316438E-2</v>
      </c>
      <c r="AN96" s="244">
        <f>IF(ISERROR(AN95/Model!AN261),"-",AN95/Model!AN261)</f>
        <v>1.2282149752117997E-2</v>
      </c>
      <c r="AO96" s="244">
        <f>IF(ISERROR(AO95/Model!AO261),"-",AO95/Model!AO261)</f>
        <v>1.15400984534723E-2</v>
      </c>
      <c r="AP96" s="244">
        <f>IF(ISERROR(AP95/Model!AP261),"-",AP95/Model!AP261)</f>
        <v>1.115225863542418E-2</v>
      </c>
      <c r="AQ96" s="244"/>
      <c r="AR96" s="245"/>
      <c r="AS96" s="244">
        <f>IF(ISERROR(AS95/Model!AS261),"-",AS95/Model!AS261)</f>
        <v>1.2153018909105339E-2</v>
      </c>
      <c r="AT96" s="244">
        <f>IF(ISERROR(AT95/Model!AT261),"-",AT95/Model!AT261)</f>
        <v>1.2644293704629297E-2</v>
      </c>
      <c r="AU96" s="244">
        <f>IF(ISERROR(AU95/Model!AU261),"-",AU95/Model!AU261)</f>
        <v>1.1856561432836102E-2</v>
      </c>
      <c r="AV96" s="244">
        <f>IF(ISERROR(AV95/Model!AV261),"-",AV95/Model!AV261)</f>
        <v>1.0192897966989722E-2</v>
      </c>
      <c r="AW96" s="244"/>
      <c r="AX96" s="245"/>
      <c r="AY96" s="244">
        <f>IF(ISERROR(AY95/Model!AY261),"-",AY95/Model!AY261)</f>
        <v>9.5194412953363387E-3</v>
      </c>
      <c r="AZ96" s="244">
        <f>IF(ISERROR(AZ95/Model!AZ261),"-",AZ95/Model!AZ261)</f>
        <v>7.5738996205836949E-3</v>
      </c>
      <c r="BA96" s="244">
        <f>IF(ISERROR(BA95/Model!BA261),"-",BA95/Model!BA261)</f>
        <v>8.3290130119580835E-3</v>
      </c>
      <c r="BB96" s="244">
        <f>IF(ISERROR(BB95/Model!BB261),"-",BB95/Model!BB261)</f>
        <v>5.8116070707886023E-3</v>
      </c>
      <c r="BC96" s="244"/>
      <c r="BD96" s="245"/>
      <c r="BE96" s="244">
        <f>IF(ISERROR(BE95/Model!BE261),"-",BE95/Model!BE261)</f>
        <v>5.3121872353529918E-3</v>
      </c>
      <c r="BF96" s="244">
        <f>IF(ISERROR(BF95/Model!BF261),"-",BF95/Model!BF261)</f>
        <v>5.2333500609362685E-3</v>
      </c>
      <c r="BG96" s="244">
        <f>IF(ISERROR(BG95/Model!BG261),"-",BG95/Model!BG261)</f>
        <v>4.9491525423728819E-3</v>
      </c>
      <c r="BH96" s="244">
        <f>IF(ISERROR(BH95/Model!BH261),"-",BH95/Model!BH261)</f>
        <v>5.3343741868332037E-3</v>
      </c>
      <c r="BI96" s="245"/>
      <c r="BJ96" s="245"/>
      <c r="BK96" s="486">
        <v>5.0000000000000001E-3</v>
      </c>
      <c r="BL96" s="486">
        <v>5.0000000000000001E-3</v>
      </c>
      <c r="BM96" s="486">
        <v>5.0000000000000001E-3</v>
      </c>
      <c r="BN96" s="1568">
        <f>IF(ISERROR(BN95/Model!BN261),"-",BN95/Model!BN261)</f>
        <v>5.381019676051744E-3</v>
      </c>
      <c r="BO96" s="245"/>
      <c r="BP96" s="245"/>
      <c r="BQ96" s="1569">
        <f>BN96+(BT96-BN96)/4</f>
        <v>4.9335548122874271E-3</v>
      </c>
      <c r="BR96" s="1569">
        <f>BQ96+(BT96-BN96)/4</f>
        <v>4.4860899485231103E-3</v>
      </c>
      <c r="BS96" s="1569">
        <f>BR96+(BT96-BN96)/4</f>
        <v>4.0386250847587934E-3</v>
      </c>
      <c r="BT96" s="1568">
        <f>IF(ISERROR(BT95/Model!BT261),"-",BT95/Model!BT261)</f>
        <v>3.5911602209944752E-3</v>
      </c>
      <c r="BU96" s="245"/>
      <c r="BV96" s="245"/>
      <c r="BW96" s="1569">
        <f>BT96+(BZ96-BT96)/4</f>
        <v>3.6220156391390838E-3</v>
      </c>
      <c r="BX96" s="1569">
        <f>BW96+(BZ96-BT96)/4</f>
        <v>3.6528710572836924E-3</v>
      </c>
      <c r="BY96" s="1569">
        <f>BX96+(BZ96-BT96)/4</f>
        <v>3.6837264754283009E-3</v>
      </c>
      <c r="BZ96" s="1568">
        <f>IF(ISERROR(BZ95/Model!BZ261),"-",BZ95/Model!BZ261)</f>
        <v>3.7145818935729095E-3</v>
      </c>
      <c r="CA96" s="245"/>
      <c r="CB96" s="245"/>
      <c r="CC96" s="1569">
        <f>BZ96+(CF96-BZ96)/4</f>
        <v>3.4569990332391442E-3</v>
      </c>
      <c r="CD96" s="1569">
        <f>CC96+(CF96-BZ96)/4</f>
        <v>3.1994161729053789E-3</v>
      </c>
      <c r="CE96" s="1569">
        <f>CD96+(CF96-BZ96)/4</f>
        <v>2.9418333125716136E-3</v>
      </c>
      <c r="CF96" s="1568">
        <f>IF(ISERROR(CF95/Model!CF261),"-",CF95/Model!CF261)</f>
        <v>2.6842504522378479E-3</v>
      </c>
      <c r="CG96" s="245"/>
      <c r="CH96" s="245"/>
      <c r="CI96" s="1569">
        <v>3.0000000000000001E-3</v>
      </c>
      <c r="CJ96" s="1569">
        <f>CI96+(CL96-CF96)/4</f>
        <v>3.1052498492540508E-3</v>
      </c>
      <c r="CK96" s="1569">
        <f>CJ96+(CM96-CG96)/4</f>
        <v>3.1052498492540508E-3</v>
      </c>
      <c r="CL96" s="486">
        <v>3.1052498492540508E-3</v>
      </c>
      <c r="CM96" s="245"/>
      <c r="CN96" s="245"/>
      <c r="CO96" s="1569">
        <v>3.0000000000000001E-3</v>
      </c>
      <c r="CP96" s="1569">
        <f>CO96+(CR96-CL96)/4</f>
        <v>3.0000000000000001E-3</v>
      </c>
      <c r="CQ96" s="1569">
        <f>CP96+(CS96-CM96)/4</f>
        <v>3.0000000000000001E-3</v>
      </c>
      <c r="CR96" s="486">
        <v>3.1052498492540508E-3</v>
      </c>
      <c r="CS96" s="245"/>
      <c r="CT96" s="245"/>
      <c r="CU96" s="1569">
        <v>3.0000000000000001E-3</v>
      </c>
      <c r="CV96" s="486">
        <f>CU96</f>
        <v>3.0000000000000001E-3</v>
      </c>
      <c r="CW96" s="1569">
        <f>CV96+(CY96-CS96)/4</f>
        <v>3.0000000000000001E-3</v>
      </c>
      <c r="CX96" s="486">
        <f>CW96</f>
        <v>3.0000000000000001E-3</v>
      </c>
      <c r="CY96" s="245"/>
      <c r="CZ96" s="245"/>
      <c r="DA96" s="1569">
        <v>3.0000000000000001E-3</v>
      </c>
      <c r="DB96" s="486">
        <f>DA96</f>
        <v>3.0000000000000001E-3</v>
      </c>
      <c r="DC96" s="1569">
        <f>DB96+(DE96-CY96)/4</f>
        <v>3.0000000000000001E-3</v>
      </c>
      <c r="DD96" s="486">
        <f>DC96</f>
        <v>3.0000000000000001E-3</v>
      </c>
      <c r="DE96" s="245"/>
      <c r="DF96" s="245"/>
      <c r="DG96" s="1569">
        <v>3.0000000000000001E-3</v>
      </c>
      <c r="DH96" s="486">
        <f>DG96</f>
        <v>3.0000000000000001E-3</v>
      </c>
      <c r="DI96" s="486">
        <f>DH96</f>
        <v>3.0000000000000001E-3</v>
      </c>
      <c r="DJ96" s="486">
        <f>DI96</f>
        <v>3.0000000000000001E-3</v>
      </c>
      <c r="DK96" s="245"/>
      <c r="DL96" s="245"/>
      <c r="DM96" s="486">
        <v>3.0000000000000001E-3</v>
      </c>
      <c r="DN96" s="486">
        <f>DM96</f>
        <v>3.0000000000000001E-3</v>
      </c>
      <c r="DO96" s="486">
        <f>DN96</f>
        <v>3.0000000000000001E-3</v>
      </c>
      <c r="DP96" s="486">
        <f>DO96</f>
        <v>3.0000000000000001E-3</v>
      </c>
      <c r="DQ96" s="245"/>
      <c r="DR96" s="245"/>
      <c r="DS96" s="486">
        <v>3.0000000000000001E-3</v>
      </c>
      <c r="DT96" s="486">
        <f>DS96</f>
        <v>3.0000000000000001E-3</v>
      </c>
      <c r="DU96" s="486">
        <f>DT96</f>
        <v>3.0000000000000001E-3</v>
      </c>
      <c r="DV96" s="486">
        <f>DU96</f>
        <v>3.0000000000000001E-3</v>
      </c>
      <c r="DW96" s="245"/>
      <c r="DX96" s="27"/>
      <c r="DY96" s="486">
        <v>3.0000000000000001E-3</v>
      </c>
      <c r="DZ96" s="486">
        <f>DY96</f>
        <v>3.0000000000000001E-3</v>
      </c>
      <c r="EA96" s="486">
        <f>DZ96</f>
        <v>3.0000000000000001E-3</v>
      </c>
      <c r="EB96" s="486">
        <f>EA96</f>
        <v>3.0000000000000001E-3</v>
      </c>
      <c r="EC96" s="245"/>
      <c r="ED96" s="27"/>
      <c r="EE96" s="486">
        <f>EB96</f>
        <v>3.0000000000000001E-3</v>
      </c>
      <c r="EF96" s="486">
        <f>EE96</f>
        <v>3.0000000000000001E-3</v>
      </c>
      <c r="EG96" s="486">
        <f>EF96</f>
        <v>3.0000000000000001E-3</v>
      </c>
      <c r="EH96" s="486">
        <f>EG96</f>
        <v>3.0000000000000001E-3</v>
      </c>
      <c r="EI96" s="245"/>
      <c r="EJ96" s="27"/>
      <c r="EK96" s="486">
        <f>EH96</f>
        <v>3.0000000000000001E-3</v>
      </c>
      <c r="EL96" s="486">
        <f>EK96</f>
        <v>3.0000000000000001E-3</v>
      </c>
      <c r="EM96" s="486">
        <f>EL96</f>
        <v>3.0000000000000001E-3</v>
      </c>
      <c r="EN96" s="486">
        <f>EM96</f>
        <v>3.0000000000000001E-3</v>
      </c>
      <c r="EO96" s="245"/>
      <c r="EP96" s="27"/>
      <c r="EQ96" s="486">
        <f>EN96</f>
        <v>3.0000000000000001E-3</v>
      </c>
      <c r="ER96" s="486">
        <f>EQ96</f>
        <v>3.0000000000000001E-3</v>
      </c>
      <c r="ES96" s="486">
        <f>ER96</f>
        <v>3.0000000000000001E-3</v>
      </c>
      <c r="ET96" s="486">
        <f>ES96</f>
        <v>3.0000000000000001E-3</v>
      </c>
      <c r="EU96" s="245"/>
      <c r="EV96" s="27"/>
      <c r="EW96" s="27"/>
      <c r="EX96" s="27"/>
      <c r="EY96" s="27"/>
      <c r="EZ96" s="27"/>
      <c r="FA96" s="27"/>
      <c r="FB96" s="27"/>
    </row>
    <row r="97" spans="1:158" ht="5.25" hidden="1" customHeight="1" outlineLevel="1">
      <c r="A97" s="47"/>
      <c r="B97" s="32"/>
      <c r="C97" s="353"/>
      <c r="D97" s="90"/>
      <c r="E97" s="90"/>
      <c r="F97" s="90"/>
      <c r="G97" s="61"/>
      <c r="H97" s="90"/>
      <c r="I97" s="90"/>
      <c r="J97" s="90"/>
      <c r="K97" s="49"/>
      <c r="L97" s="49"/>
      <c r="M97" s="49"/>
      <c r="N97" s="49"/>
      <c r="O97" s="48"/>
      <c r="P97" s="49"/>
      <c r="Q97" s="49"/>
      <c r="R97" s="49"/>
      <c r="S97" s="49"/>
      <c r="T97" s="49"/>
      <c r="U97" s="48"/>
      <c r="V97" s="49"/>
      <c r="W97" s="49"/>
      <c r="X97" s="49"/>
      <c r="Y97" s="49"/>
      <c r="Z97" s="49"/>
      <c r="AA97" s="48"/>
      <c r="AB97" s="49"/>
      <c r="AC97" s="49"/>
      <c r="AD97" s="49"/>
      <c r="AE97" s="49"/>
      <c r="AF97" s="49"/>
      <c r="AG97" s="48"/>
      <c r="AH97" s="49"/>
      <c r="AI97" s="49"/>
      <c r="AJ97" s="49"/>
      <c r="AK97" s="49"/>
      <c r="AL97" s="49"/>
      <c r="AM97" s="49"/>
      <c r="AN97" s="49"/>
      <c r="AO97" s="49"/>
      <c r="AP97" s="49"/>
      <c r="AQ97" s="167"/>
      <c r="AR97" s="49"/>
      <c r="AS97" s="49"/>
      <c r="AT97" s="49"/>
      <c r="AU97" s="49"/>
      <c r="AV97" s="49"/>
      <c r="AW97" s="167"/>
      <c r="AX97" s="123"/>
      <c r="AY97" s="49"/>
      <c r="AZ97" s="49"/>
      <c r="BA97" s="49"/>
      <c r="BB97" s="49"/>
      <c r="BC97" s="167"/>
      <c r="BD97" s="49"/>
      <c r="BE97" s="49"/>
      <c r="BF97" s="49"/>
      <c r="BG97" s="49"/>
      <c r="BH97" s="49"/>
      <c r="BI97" s="49"/>
      <c r="BJ97" s="49"/>
      <c r="BK97" s="49"/>
      <c r="BL97" s="49"/>
      <c r="BM97" s="49"/>
      <c r="BN97" s="49"/>
      <c r="BO97" s="49"/>
      <c r="BP97" s="49"/>
      <c r="BQ97" s="49"/>
      <c r="BR97" s="49"/>
      <c r="BS97" s="49"/>
      <c r="BT97" s="49"/>
      <c r="BU97" s="49"/>
      <c r="BV97" s="49"/>
      <c r="BW97" s="49"/>
      <c r="BX97" s="49"/>
      <c r="BY97" s="49"/>
      <c r="BZ97" s="49"/>
      <c r="CA97" s="49"/>
      <c r="CB97" s="49"/>
      <c r="CC97" s="49"/>
      <c r="CD97" s="49"/>
      <c r="CE97" s="49"/>
      <c r="CF97" s="49"/>
      <c r="CG97" s="49"/>
      <c r="CH97" s="49"/>
      <c r="CI97" s="49"/>
      <c r="CJ97" s="49"/>
      <c r="CK97" s="49"/>
      <c r="CL97" s="49"/>
      <c r="CM97" s="49"/>
      <c r="CN97" s="49"/>
      <c r="CO97" s="49"/>
      <c r="CP97" s="49"/>
      <c r="CQ97" s="49"/>
      <c r="CR97" s="49"/>
      <c r="CS97" s="49"/>
      <c r="CT97" s="49"/>
      <c r="CU97" s="49"/>
      <c r="CV97" s="49"/>
      <c r="CW97" s="49"/>
      <c r="CX97" s="49"/>
      <c r="CY97" s="49"/>
      <c r="CZ97" s="49"/>
      <c r="DA97" s="49"/>
      <c r="DB97" s="49"/>
      <c r="DC97" s="49"/>
      <c r="DD97" s="49"/>
      <c r="DE97" s="49"/>
      <c r="DF97" s="49"/>
      <c r="DG97" s="49"/>
      <c r="DH97" s="49"/>
      <c r="DI97" s="49"/>
      <c r="DJ97" s="49"/>
      <c r="DK97" s="49"/>
      <c r="DL97" s="49"/>
      <c r="DM97" s="49"/>
      <c r="DN97" s="49"/>
      <c r="DO97" s="49"/>
      <c r="DP97" s="49"/>
      <c r="DQ97" s="49"/>
      <c r="DR97" s="49"/>
      <c r="DS97" s="49"/>
      <c r="DT97" s="49"/>
      <c r="DU97" s="49"/>
      <c r="DV97" s="49"/>
      <c r="DW97" s="49"/>
      <c r="DX97" s="126"/>
      <c r="DY97" s="49"/>
      <c r="DZ97" s="49"/>
      <c r="EA97" s="49"/>
      <c r="EB97" s="49"/>
      <c r="EC97" s="49"/>
      <c r="ED97" s="126"/>
      <c r="EE97" s="49"/>
      <c r="EF97" s="49"/>
      <c r="EG97" s="49"/>
      <c r="EH97" s="49"/>
      <c r="EI97" s="49"/>
      <c r="EJ97" s="126"/>
      <c r="EK97" s="49"/>
      <c r="EL97" s="49"/>
      <c r="EM97" s="49"/>
      <c r="EN97" s="49"/>
      <c r="EO97" s="49"/>
      <c r="EP97" s="126"/>
      <c r="EQ97" s="49"/>
      <c r="ER97" s="49"/>
      <c r="ES97" s="49"/>
      <c r="ET97" s="49"/>
      <c r="EU97" s="49"/>
      <c r="EV97" s="49"/>
      <c r="EW97" s="49"/>
      <c r="EX97" s="49"/>
      <c r="EY97" s="49"/>
      <c r="EZ97" s="49"/>
      <c r="FA97" s="49"/>
      <c r="FB97" s="49"/>
    </row>
    <row r="98" spans="1:158" ht="12.75" hidden="1" customHeight="1" outlineLevel="1">
      <c r="A98" s="47" t="s">
        <v>5154</v>
      </c>
      <c r="B98" s="32"/>
      <c r="C98" s="353"/>
      <c r="D98" s="90"/>
      <c r="E98" s="90"/>
      <c r="F98" s="90"/>
      <c r="G98" s="61"/>
      <c r="H98" s="90"/>
      <c r="I98" s="90"/>
      <c r="J98" s="90"/>
      <c r="K98" s="49"/>
      <c r="L98" s="49"/>
      <c r="M98" s="49"/>
      <c r="N98" s="49"/>
      <c r="O98" s="48"/>
      <c r="P98" s="49"/>
      <c r="Q98" s="49"/>
      <c r="R98" s="49"/>
      <c r="S98" s="49"/>
      <c r="T98" s="49"/>
      <c r="U98" s="48"/>
      <c r="V98" s="49"/>
      <c r="W98" s="49"/>
      <c r="X98" s="49"/>
      <c r="Y98" s="49"/>
      <c r="Z98" s="49"/>
      <c r="AA98" s="48"/>
      <c r="AB98" s="49"/>
      <c r="AC98" s="49"/>
      <c r="AD98" s="49"/>
      <c r="AE98" s="49"/>
      <c r="AF98" s="49"/>
      <c r="AG98" s="48"/>
      <c r="AH98" s="49"/>
      <c r="AI98" s="49"/>
      <c r="AJ98" s="49"/>
      <c r="AK98" s="49"/>
      <c r="AL98" s="49"/>
      <c r="AM98" s="49"/>
      <c r="AN98" s="49"/>
      <c r="AO98" s="49"/>
      <c r="AP98" s="49"/>
      <c r="AQ98" s="167"/>
      <c r="AR98" s="49"/>
      <c r="AS98" s="49"/>
      <c r="AT98" s="49"/>
      <c r="AU98" s="49"/>
      <c r="AV98" s="49"/>
      <c r="AW98" s="167"/>
      <c r="AX98" s="123"/>
      <c r="AY98" s="49"/>
      <c r="AZ98" s="49"/>
      <c r="BA98" s="49"/>
      <c r="BB98" s="49"/>
      <c r="BC98" s="167"/>
      <c r="BD98" s="49"/>
      <c r="BE98" s="49"/>
      <c r="BF98" s="49"/>
      <c r="BG98" s="49"/>
      <c r="BH98" s="49"/>
      <c r="BI98" s="49"/>
      <c r="BJ98" s="49"/>
      <c r="BK98" s="49"/>
      <c r="BL98" s="49"/>
      <c r="BM98" s="49"/>
      <c r="BN98" s="208">
        <v>30.3</v>
      </c>
      <c r="BO98" s="49"/>
      <c r="BP98" s="49"/>
      <c r="BQ98" s="1570">
        <f>BN98+(BT98-BN98)/4</f>
        <v>33.9</v>
      </c>
      <c r="BR98" s="1570">
        <f>BQ98+(BT98-BN98)/4</f>
        <v>37.5</v>
      </c>
      <c r="BS98" s="1570">
        <f>BR98+(BT98-BN98)/4</f>
        <v>41.1</v>
      </c>
      <c r="BT98" s="208">
        <v>44.7</v>
      </c>
      <c r="BU98" s="49"/>
      <c r="BV98" s="49"/>
      <c r="BW98" s="1570">
        <f>BT98+(BZ98-BT98)/4</f>
        <v>40.175000000000004</v>
      </c>
      <c r="BX98" s="1570">
        <f>BW98+(BZ98-BT98)/4</f>
        <v>35.650000000000006</v>
      </c>
      <c r="BY98" s="1570">
        <f>BX98+(BZ98-BT98)/4</f>
        <v>31.125000000000007</v>
      </c>
      <c r="BZ98" s="208">
        <f>12.5+14.1</f>
        <v>26.6</v>
      </c>
      <c r="CA98" s="49"/>
      <c r="CB98" s="49"/>
      <c r="CC98" s="1570">
        <f>BZ98+(CF98-BZ98)/4</f>
        <v>28.575000000000003</v>
      </c>
      <c r="CD98" s="1570">
        <f>CC98+(CF98-BZ98)/4</f>
        <v>30.550000000000004</v>
      </c>
      <c r="CE98" s="1570">
        <f>CD98+(CF98-BZ98)/4</f>
        <v>32.525000000000006</v>
      </c>
      <c r="CF98" s="208">
        <f>11.8+22.7</f>
        <v>34.5</v>
      </c>
      <c r="CG98" s="49"/>
      <c r="CH98" s="49"/>
      <c r="CI98" s="1570">
        <f>35</f>
        <v>35</v>
      </c>
      <c r="CJ98" s="1570">
        <f>CI98+(CL98-CF98)/4</f>
        <v>35.167500000000004</v>
      </c>
      <c r="CK98" s="1570">
        <f>CJ98+(CM98-CG98)/4</f>
        <v>35.167500000000004</v>
      </c>
      <c r="CL98" s="1571">
        <v>35.17</v>
      </c>
      <c r="CM98" s="49"/>
      <c r="CN98" s="49"/>
      <c r="CO98" s="1570">
        <f>35</f>
        <v>35</v>
      </c>
      <c r="CP98" s="1654">
        <v>35</v>
      </c>
      <c r="CQ98" s="1570">
        <f>CP98+(CS98-CM98)/4</f>
        <v>35</v>
      </c>
      <c r="CR98" s="1571">
        <v>35.17</v>
      </c>
      <c r="CS98" s="49"/>
      <c r="CT98" s="49"/>
      <c r="CU98" s="1570">
        <f>35</f>
        <v>35</v>
      </c>
      <c r="CV98" s="1571">
        <f>CU98</f>
        <v>35</v>
      </c>
      <c r="CW98" s="1570">
        <f>CV98+(CY98-CS98)/4</f>
        <v>35</v>
      </c>
      <c r="CX98" s="1571">
        <f>CW98</f>
        <v>35</v>
      </c>
      <c r="CY98" s="49"/>
      <c r="CZ98" s="49"/>
      <c r="DA98" s="1570">
        <f>35</f>
        <v>35</v>
      </c>
      <c r="DB98" s="1571">
        <f>DA98</f>
        <v>35</v>
      </c>
      <c r="DC98" s="1570">
        <f>DB98+(DE98-CY98)/4</f>
        <v>35</v>
      </c>
      <c r="DD98" s="1571">
        <f>DC98</f>
        <v>35</v>
      </c>
      <c r="DE98" s="49"/>
      <c r="DF98" s="49"/>
      <c r="DG98" s="1570">
        <f>35</f>
        <v>35</v>
      </c>
      <c r="DH98" s="1571">
        <f>DG98</f>
        <v>35</v>
      </c>
      <c r="DI98" s="1571">
        <f>DH98</f>
        <v>35</v>
      </c>
      <c r="DJ98" s="1571">
        <f>DI98</f>
        <v>35</v>
      </c>
      <c r="DK98" s="49"/>
      <c r="DL98" s="49"/>
      <c r="DM98" s="1570">
        <f>35</f>
        <v>35</v>
      </c>
      <c r="DN98" s="1571">
        <f>DM98</f>
        <v>35</v>
      </c>
      <c r="DO98" s="1571">
        <f>DN98</f>
        <v>35</v>
      </c>
      <c r="DP98" s="1571">
        <f>DO98</f>
        <v>35</v>
      </c>
      <c r="DQ98" s="49"/>
      <c r="DR98" s="49"/>
      <c r="DS98" s="1570">
        <f>35</f>
        <v>35</v>
      </c>
      <c r="DT98">
        <f>DS98</f>
        <v>35</v>
      </c>
      <c r="DU98" s="1571">
        <f>DT98</f>
        <v>35</v>
      </c>
      <c r="DV98" s="1571">
        <f>DU98</f>
        <v>35</v>
      </c>
      <c r="DW98" s="49"/>
      <c r="DX98" s="126"/>
      <c r="DY98" s="1570">
        <f>35</f>
        <v>35</v>
      </c>
      <c r="DZ98" s="1787">
        <f>DY98</f>
        <v>35</v>
      </c>
      <c r="EA98" s="1787">
        <f>DZ98</f>
        <v>35</v>
      </c>
      <c r="EB98" s="1571">
        <f>EA98</f>
        <v>35</v>
      </c>
      <c r="EC98" s="49"/>
      <c r="ED98" s="126"/>
      <c r="EE98" s="2021">
        <f>EB98</f>
        <v>35</v>
      </c>
      <c r="EF98" s="2021">
        <f>EE98</f>
        <v>35</v>
      </c>
      <c r="EG98" s="2008">
        <f>EF98</f>
        <v>35</v>
      </c>
      <c r="EH98" s="2008">
        <f>EG98</f>
        <v>35</v>
      </c>
      <c r="EI98" s="49"/>
      <c r="EJ98" s="126"/>
      <c r="EK98" s="2117">
        <f>EH98</f>
        <v>35</v>
      </c>
      <c r="EL98" s="2117">
        <f>EK98</f>
        <v>35</v>
      </c>
      <c r="EM98" s="2117">
        <f>EL98</f>
        <v>35</v>
      </c>
      <c r="EN98" s="2117">
        <f>EM98</f>
        <v>35</v>
      </c>
      <c r="EO98" s="49"/>
      <c r="EP98" s="126"/>
      <c r="EQ98" s="2291">
        <f>EN98</f>
        <v>35</v>
      </c>
      <c r="ER98" s="2291">
        <f>EQ98</f>
        <v>35</v>
      </c>
      <c r="ES98" s="2291">
        <f>ER98</f>
        <v>35</v>
      </c>
      <c r="ET98" s="2291">
        <f>ES98</f>
        <v>35</v>
      </c>
      <c r="EU98" s="49"/>
      <c r="EV98" s="49"/>
      <c r="EW98" s="49"/>
      <c r="EX98" s="49"/>
      <c r="EY98" s="49"/>
      <c r="EZ98" s="49"/>
      <c r="FA98" s="49"/>
      <c r="FB98" s="49"/>
    </row>
    <row r="99" spans="1:158" ht="12.75" hidden="1" customHeight="1" outlineLevel="1">
      <c r="A99" s="371" t="s">
        <v>6812</v>
      </c>
      <c r="B99" s="32"/>
      <c r="C99" s="61"/>
      <c r="D99" s="90"/>
      <c r="E99" s="90"/>
      <c r="F99" s="90"/>
      <c r="G99" s="61"/>
      <c r="H99" s="90"/>
      <c r="I99" s="90"/>
      <c r="J99" s="90"/>
      <c r="K99" s="127"/>
      <c r="L99" s="127"/>
      <c r="M99" s="127"/>
      <c r="N99" s="127"/>
      <c r="O99" s="142">
        <f>O95+O11</f>
        <v>64.578999999999994</v>
      </c>
      <c r="P99" s="142">
        <f>P95+P11</f>
        <v>84.078999999999994</v>
      </c>
      <c r="Q99" s="142">
        <f>Q95+Q11</f>
        <v>89.602999999999994</v>
      </c>
      <c r="R99" s="142">
        <f>R95+R11</f>
        <v>121.70599999999999</v>
      </c>
      <c r="S99" s="142">
        <f>R99</f>
        <v>121.70599999999999</v>
      </c>
      <c r="T99" s="127"/>
      <c r="U99" s="142">
        <f>U95+U11</f>
        <v>135.25975</v>
      </c>
      <c r="V99" s="142">
        <f>V95+V11</f>
        <v>141.79849999999999</v>
      </c>
      <c r="W99" s="142">
        <f>W95+W11</f>
        <v>133.07225</v>
      </c>
      <c r="X99" s="142">
        <f>X95+X11</f>
        <v>121.491</v>
      </c>
      <c r="Y99" s="142">
        <f>X99</f>
        <v>121.491</v>
      </c>
      <c r="Z99" s="127"/>
      <c r="AA99" s="142">
        <f>AA95+AA11</f>
        <v>131.34774999999999</v>
      </c>
      <c r="AB99" s="142">
        <f>AB95+AB11</f>
        <v>165.89649999999997</v>
      </c>
      <c r="AC99" s="142">
        <f>AC95+AC11</f>
        <v>161.86625000000001</v>
      </c>
      <c r="AD99" s="142">
        <f>AD95+AD11</f>
        <v>169.03299999999999</v>
      </c>
      <c r="AE99" s="142">
        <f>AD99</f>
        <v>169.03299999999999</v>
      </c>
      <c r="AF99" s="127"/>
      <c r="AG99" s="142">
        <f>AG95+AG11</f>
        <v>162.48050000000001</v>
      </c>
      <c r="AH99" s="142">
        <f>AH95+AH11</f>
        <v>171.76299999999998</v>
      </c>
      <c r="AI99" s="142">
        <f>AI95+AI11</f>
        <v>154.22649999999999</v>
      </c>
      <c r="AJ99" s="142">
        <f>AJ95+AJ11</f>
        <v>153.64600000000002</v>
      </c>
      <c r="AK99" s="142">
        <f>AJ99</f>
        <v>153.64600000000002</v>
      </c>
      <c r="AL99" s="127"/>
      <c r="AM99" s="142">
        <f>AM95+AM11</f>
        <v>137.83575000000002</v>
      </c>
      <c r="AN99" s="142">
        <f>AN95+AN11</f>
        <v>140.22949999999997</v>
      </c>
      <c r="AO99" s="142">
        <f>AO95+AO11</f>
        <v>139.20224999999999</v>
      </c>
      <c r="AP99" s="142">
        <f>AP95+AP11</f>
        <v>142.00299999999999</v>
      </c>
      <c r="AQ99" s="142">
        <f>AP99</f>
        <v>142.00299999999999</v>
      </c>
      <c r="AR99" s="127"/>
      <c r="AS99" s="142">
        <f>AS95+AS11</f>
        <v>143.39600000000002</v>
      </c>
      <c r="AT99" s="142">
        <f>AT95+AT11</f>
        <v>148.21799999999999</v>
      </c>
      <c r="AU99" s="142">
        <f>AU95+AU11</f>
        <v>141.72299999999998</v>
      </c>
      <c r="AV99" s="142">
        <f>AV95+AV11</f>
        <v>176.51599999999999</v>
      </c>
      <c r="AW99" s="142">
        <f>AV99</f>
        <v>176.51599999999999</v>
      </c>
      <c r="AX99" s="127"/>
      <c r="AY99" s="142">
        <f>AY95+AY11</f>
        <v>152.5</v>
      </c>
      <c r="AZ99" s="142">
        <f>AZ95+AZ11</f>
        <v>164.70000000000002</v>
      </c>
      <c r="BA99" s="142">
        <f>BA95+BA11</f>
        <v>177.8</v>
      </c>
      <c r="BB99" s="142">
        <f>BB95+BB11</f>
        <v>204</v>
      </c>
      <c r="BC99" s="142">
        <f>BB99</f>
        <v>204</v>
      </c>
      <c r="BD99" s="127"/>
      <c r="BE99" s="142">
        <f>BE95+BE11</f>
        <v>197.1</v>
      </c>
      <c r="BF99" s="142">
        <f>BF95+BF11</f>
        <v>209.70000000000002</v>
      </c>
      <c r="BG99" s="142">
        <f>BG95+BG11</f>
        <v>209.10000000000002</v>
      </c>
      <c r="BH99" s="142">
        <f>BH95+BH11</f>
        <v>269.59999999999997</v>
      </c>
      <c r="BI99" s="142">
        <f>BH99</f>
        <v>269.59999999999997</v>
      </c>
      <c r="BJ99" s="127"/>
      <c r="BK99" s="142">
        <f>BK95+BK11</f>
        <v>284.47049999999996</v>
      </c>
      <c r="BL99" s="142">
        <f>BL95+BL11</f>
        <v>267.1345</v>
      </c>
      <c r="BM99" s="142">
        <f>BM95+BM11</f>
        <v>264.81099999999998</v>
      </c>
      <c r="BN99" s="142">
        <f>BN98+BN95+BN11</f>
        <v>341.5</v>
      </c>
      <c r="BO99" s="142">
        <f>BN99</f>
        <v>341.5</v>
      </c>
      <c r="BP99" s="127"/>
      <c r="BQ99" s="142">
        <f>BQ98+BQ95+BQ11</f>
        <v>303.73493022301847</v>
      </c>
      <c r="BR99" s="142">
        <f>BR98+BR95+BR11</f>
        <v>324.82148708062789</v>
      </c>
      <c r="BS99" s="142">
        <f>BS98+BS95+BS11</f>
        <v>348.66116551297614</v>
      </c>
      <c r="BT99" s="142">
        <f>BT98+BT95+BT11</f>
        <v>439</v>
      </c>
      <c r="BU99" s="142">
        <f>BT99</f>
        <v>439</v>
      </c>
      <c r="BV99" s="127"/>
      <c r="BW99" s="142">
        <f>BW98+BW95+BW11</f>
        <v>381.86872377886044</v>
      </c>
      <c r="BX99" s="142">
        <f>BX98+BX95+BX11</f>
        <v>369.45543363674892</v>
      </c>
      <c r="BY99" s="142">
        <f>BY98+BY95+BY11</f>
        <v>331.4561948396759</v>
      </c>
      <c r="BZ99" s="142">
        <f>BZ98+BZ95+BZ11</f>
        <v>351.7</v>
      </c>
      <c r="CA99" s="142">
        <f>BZ99</f>
        <v>351.7</v>
      </c>
      <c r="CB99" s="127"/>
      <c r="CC99" s="142">
        <f>CC98+CC95+CC11</f>
        <v>264.58058332900487</v>
      </c>
      <c r="CD99" s="142">
        <f>CD98+CD95+CD11</f>
        <v>260.64918877662149</v>
      </c>
      <c r="CE99" s="142">
        <f>CE98+CE95+CE11</f>
        <v>253.36555953038763</v>
      </c>
      <c r="CF99" s="142">
        <f>CF98+CF95+CF11</f>
        <v>316.5</v>
      </c>
      <c r="CG99" s="142">
        <f>CF99</f>
        <v>316.5</v>
      </c>
      <c r="CH99" s="127"/>
      <c r="CI99" s="142">
        <f>CI98+CI95+CI11</f>
        <v>258.38749999999999</v>
      </c>
      <c r="CJ99" s="142">
        <f>CJ98+CJ95+CJ11</f>
        <v>271.82029682558209</v>
      </c>
      <c r="CK99" s="142">
        <f>CK98+CK95+CK11</f>
        <v>281.10599076656746</v>
      </c>
      <c r="CL99" s="142">
        <f>CL98+CL95+CL11</f>
        <v>359.63082665577406</v>
      </c>
      <c r="CM99" s="142">
        <f>CL99</f>
        <v>359.63082665577406</v>
      </c>
      <c r="CN99" s="127"/>
      <c r="CO99" s="142">
        <f>CO98+CO95+CO11</f>
        <v>312.01650000000001</v>
      </c>
      <c r="CP99" s="142">
        <f>CP98+CP95+CP11</f>
        <v>338.23700000000002</v>
      </c>
      <c r="CQ99" s="142">
        <f>CQ98+CQ95+CQ11</f>
        <v>300.65269999999998</v>
      </c>
      <c r="CR99" s="142">
        <f>CR98+CR95+CR11</f>
        <v>437.14999156600732</v>
      </c>
      <c r="CS99" s="142">
        <f>CR99</f>
        <v>437.14999156600732</v>
      </c>
      <c r="CT99" s="127"/>
      <c r="CU99" s="142">
        <f>CU98+CU95+CU11</f>
        <v>342.42770000000002</v>
      </c>
      <c r="CV99" s="142">
        <f>CV98+CV95+CV11</f>
        <v>403.29579999999999</v>
      </c>
      <c r="CW99" s="142">
        <f>CW98+CW95+CW11</f>
        <v>335.19400000000002</v>
      </c>
      <c r="CX99" s="142">
        <f>CX98+CX95+CX11</f>
        <v>537.03780000000006</v>
      </c>
      <c r="CY99" s="142">
        <f>CX99</f>
        <v>537.03780000000006</v>
      </c>
      <c r="CZ99" s="127"/>
      <c r="DA99" s="142">
        <f>DA98+DA95+DA11</f>
        <v>327.6832</v>
      </c>
      <c r="DB99" s="142">
        <f>DB98+DB95+DB11</f>
        <v>345.76130000000001</v>
      </c>
      <c r="DC99" s="142">
        <f>DC98+DC95+DC11</f>
        <v>345.98290000000003</v>
      </c>
      <c r="DD99" s="142">
        <f>DD98+DD95+DD11</f>
        <v>465.52170000000001</v>
      </c>
      <c r="DE99" s="142">
        <f>DD99</f>
        <v>465.52170000000001</v>
      </c>
      <c r="DF99" s="127"/>
      <c r="DG99" s="142">
        <f>DG98+DG95+DG11</f>
        <v>365.18799999999999</v>
      </c>
      <c r="DH99" s="142">
        <f>DH98+DH95+DH11</f>
        <v>407.41419999999999</v>
      </c>
      <c r="DI99" s="142">
        <f>DI98+DI95+DI11</f>
        <v>418.00259999999997</v>
      </c>
      <c r="DJ99" s="142">
        <f>DJ98+DJ95+DJ11</f>
        <v>501.4366</v>
      </c>
      <c r="DK99" s="142">
        <f>DJ99</f>
        <v>501.4366</v>
      </c>
      <c r="DL99" s="127"/>
      <c r="DM99" s="142">
        <f>DM98+DM95+DM11</f>
        <v>358.6986</v>
      </c>
      <c r="DN99" s="142">
        <f>DN98+DN95+DN11</f>
        <v>436.7158</v>
      </c>
      <c r="DO99" s="142">
        <f>DO98+DO95+DO11</f>
        <v>404.8612</v>
      </c>
      <c r="DP99" s="142">
        <f>DP98+DP95+DP11</f>
        <v>696.1123</v>
      </c>
      <c r="DQ99" s="142">
        <f>DP99</f>
        <v>696.1123</v>
      </c>
      <c r="DR99" s="127"/>
      <c r="DS99" s="142">
        <f>DS98+DS95+DS11</f>
        <v>298.50849999999997</v>
      </c>
      <c r="DT99" s="142">
        <f>DT98+DT95+DT11</f>
        <v>348.83209999999997</v>
      </c>
      <c r="DU99" s="142">
        <f>DU98+DU95+DU11</f>
        <v>301.4015</v>
      </c>
      <c r="DV99" s="142">
        <f>DV98+DV95+DV11</f>
        <v>493.39300000000003</v>
      </c>
      <c r="DW99" s="142">
        <f>DV99</f>
        <v>493.39300000000003</v>
      </c>
      <c r="DX99" s="127"/>
      <c r="DY99" s="142">
        <f>DY98+DY95+DY11</f>
        <v>272.51440000000002</v>
      </c>
      <c r="DZ99" s="142">
        <f>DZ98+DZ95+DZ11</f>
        <v>306.46770000000004</v>
      </c>
      <c r="EA99" s="142">
        <f>EA98+EA95+EA11</f>
        <v>348.7448</v>
      </c>
      <c r="EB99" s="142">
        <f>EB98+EB95+EB11</f>
        <v>479.3698</v>
      </c>
      <c r="EC99" s="142">
        <f>EB99</f>
        <v>479.3698</v>
      </c>
      <c r="ED99" s="127"/>
      <c r="EE99" s="142">
        <f>EE98+EE95+EE11</f>
        <v>310.37175271698038</v>
      </c>
      <c r="EF99" s="142">
        <f>EF98+EF95+EF11</f>
        <v>327.69775038970829</v>
      </c>
      <c r="EG99" s="142">
        <f>EG98+EG95+EG11</f>
        <v>391.70460867289125</v>
      </c>
      <c r="EH99" s="142">
        <f>EH98+EH95+EH11</f>
        <v>504.17902374924137</v>
      </c>
      <c r="EI99" s="142">
        <f>EH99</f>
        <v>504.17902374924137</v>
      </c>
      <c r="EJ99" s="127"/>
      <c r="EK99" s="142">
        <f>EK98+EK95+EK11</f>
        <v>376.64582330922906</v>
      </c>
      <c r="EL99" s="142">
        <f>EL98+EL95+EL11</f>
        <v>477.29416446326377</v>
      </c>
      <c r="EM99" s="142">
        <f>EM98+EM95+EM11</f>
        <v>520.43199217103211</v>
      </c>
      <c r="EN99" s="142">
        <f>EN98+EN95+EN11</f>
        <v>604.30987006816179</v>
      </c>
      <c r="EO99" s="142">
        <f>EN99</f>
        <v>604.30987006816179</v>
      </c>
      <c r="EP99" s="127"/>
      <c r="EQ99" s="142">
        <f>EQ98+EQ95+EQ11</f>
        <v>415.73696800625851</v>
      </c>
      <c r="ER99" s="142">
        <f>ER98+ER95+ER11</f>
        <v>557.76095202566853</v>
      </c>
      <c r="ES99" s="142">
        <f>ES98+ES95+ES11</f>
        <v>631.2913768884415</v>
      </c>
      <c r="ET99" s="142">
        <f>ET98+ET95+ET11</f>
        <v>819.69294810996166</v>
      </c>
      <c r="EU99" s="142">
        <f>ET99</f>
        <v>819.69294810996166</v>
      </c>
      <c r="EV99" s="127"/>
      <c r="EW99" s="127"/>
      <c r="EX99" s="127"/>
      <c r="EY99" s="127"/>
      <c r="EZ99" s="127"/>
      <c r="FA99" s="127"/>
      <c r="FB99" s="127"/>
    </row>
    <row r="100" spans="1:158" ht="12" hidden="1" customHeight="1" outlineLevel="1">
      <c r="A100" s="127" t="s">
        <v>5139</v>
      </c>
      <c r="B100" s="32"/>
      <c r="C100" s="61"/>
      <c r="D100" s="90"/>
      <c r="E100" s="90"/>
      <c r="F100" s="90"/>
      <c r="G100" s="61"/>
      <c r="H100" s="90"/>
      <c r="I100" s="90"/>
      <c r="J100" s="90"/>
      <c r="K100" s="127"/>
      <c r="L100" s="127"/>
      <c r="M100" s="127"/>
      <c r="N100" s="127"/>
      <c r="O100" s="142">
        <f>IF(ISERROR((O99*90)/Model!O$31),"-",(O99*90)/Model!O$31)</f>
        <v>25.504910436102893</v>
      </c>
      <c r="P100" s="142">
        <f>IF(ISERROR((P99*90)/Model!P$31),"-",(P99*90)/Model!P$31)</f>
        <v>32.568281786645777</v>
      </c>
      <c r="Q100" s="142">
        <f>IF(ISERROR((Q99*90)/Model!Q$31),"-",(Q99*90)/Model!Q$31)</f>
        <v>38.345593304961838</v>
      </c>
      <c r="R100" s="142">
        <f>IF(ISERROR((R99*90)/Model!R$31),"-",(R99*90)/Model!R$31)</f>
        <v>49.053242513401308</v>
      </c>
      <c r="S100" s="142">
        <f>R100</f>
        <v>49.053242513401308</v>
      </c>
      <c r="T100" s="127"/>
      <c r="U100" s="142">
        <f>IF(ISERROR((U99*90)/Model!U$31),"-",(U99*90)/Model!U$31)</f>
        <v>60.067686925456798</v>
      </c>
      <c r="V100" s="142">
        <f>IF(ISERROR((V99*90)/Model!V$31),"-",(V99*90)/Model!V$31)</f>
        <v>60.602829301649713</v>
      </c>
      <c r="W100" s="142">
        <f>IF(ISERROR((W99*90)/Model!W$31),"-",(W99*90)/Model!W$31)</f>
        <v>57.543097856638369</v>
      </c>
      <c r="X100" s="142">
        <f>IF(ISERROR((X99*90)/Model!X$31),"-",(X99*90)/Model!X$31)</f>
        <v>48.236874495427415</v>
      </c>
      <c r="Y100" s="142">
        <f>X100</f>
        <v>48.236874495427415</v>
      </c>
      <c r="Z100" s="127"/>
      <c r="AA100" s="142">
        <f>IF(ISERROR((AA99*90)/Model!AA$31),"-",(AA99*90)/Model!AA$31)</f>
        <v>51.117134900695753</v>
      </c>
      <c r="AB100" s="142">
        <f>IF(ISERROR((AB99*90)/Model!AB$31),"-",(AB99*90)/Model!AB$31)</f>
        <v>64.123951537744631</v>
      </c>
      <c r="AC100" s="142">
        <f>IF(ISERROR((AC99*90)/Model!AC$31),"-",(AC99*90)/Model!AC$31)</f>
        <v>63.566424641216187</v>
      </c>
      <c r="AD100" s="142">
        <f>IF(ISERROR((AD99*90)/Model!AD$31),"-",(AD99*90)/Model!AD$31)</f>
        <v>62.59270840619304</v>
      </c>
      <c r="AE100" s="142">
        <f>AD100</f>
        <v>62.59270840619304</v>
      </c>
      <c r="AF100" s="127"/>
      <c r="AG100" s="142">
        <f>IF(ISERROR((AG99*90)/Model!AG$31),"-",(AG99*90)/Model!AG$31)</f>
        <v>59.506978920810617</v>
      </c>
      <c r="AH100" s="142">
        <f>IF(ISERROR((AH99*90)/Model!AH$31),"-",(AH99*90)/Model!AH$31)</f>
        <v>66.81651970954357</v>
      </c>
      <c r="AI100" s="142">
        <f>IF(ISERROR((AI99*90)/Model!AI$31),"-",(AI99*90)/Model!AI$31)</f>
        <v>64.155007695614188</v>
      </c>
      <c r="AJ100" s="142">
        <f>IF(ISERROR((AJ99*90)/Model!AJ$31),"-",(AJ99*90)/Model!AJ$31)</f>
        <v>54.434209593991355</v>
      </c>
      <c r="AK100" s="142">
        <f>AJ100</f>
        <v>54.434209593991355</v>
      </c>
      <c r="AL100" s="127"/>
      <c r="AM100" s="142">
        <f>IF(ISERROR((AM99*90)/Model!AM$31),"-",(AM99*90)/Model!AM$31)</f>
        <v>54.094012043937269</v>
      </c>
      <c r="AN100" s="142">
        <f>IF(ISERROR((AN99*90)/Model!AN$31),"-",(AN99*90)/Model!AN$31)</f>
        <v>59.700072374302849</v>
      </c>
      <c r="AO100" s="142">
        <f>IF(ISERROR((AO99*90)/Model!AO$31),"-",(AO99*90)/Model!AO$31)</f>
        <v>66.391818273353081</v>
      </c>
      <c r="AP100" s="142">
        <f>IF(ISERROR((AP99*90)/Model!AP$31),"-",(AP99*90)/Model!AP$31)</f>
        <v>65.366875345240274</v>
      </c>
      <c r="AQ100" s="142">
        <f>AP100</f>
        <v>65.366875345240274</v>
      </c>
      <c r="AR100" s="127"/>
      <c r="AS100" s="142">
        <f>IF(ISERROR((AS99*90)/Model!AS$31),"-",(AS99*90)/Model!AS$31)</f>
        <v>61.232077280016711</v>
      </c>
      <c r="AT100" s="142">
        <f>IF(ISERROR((AT99*90)/Model!AT$31),"-",(AT99*90)/Model!AT$31)</f>
        <v>63.010415436574476</v>
      </c>
      <c r="AU100" s="142">
        <f>IF(ISERROR((AU99*90)/Model!AU$31),"-",(AU99*90)/Model!AU$31)</f>
        <v>54.541011365677186</v>
      </c>
      <c r="AV100" s="142">
        <f>IF(ISERROR((AV99*90)/Model!AV$31),"-",(AV99*90)/Model!AV$31)</f>
        <v>53.79580779519825</v>
      </c>
      <c r="AW100" s="142">
        <f>AV100</f>
        <v>53.79580779519825</v>
      </c>
      <c r="AX100" s="127"/>
      <c r="AY100" s="142">
        <f>IF(ISERROR((AY99*90)/Model!AY$31),"-",(AY99*90)/Model!AY$31)</f>
        <v>45.887662988966895</v>
      </c>
      <c r="AZ100" s="142">
        <f>IF(ISERROR((AZ99*90)/Model!AZ$31),"-",(AZ99*90)/Model!AZ$31)</f>
        <v>52.78846153846154</v>
      </c>
      <c r="BA100" s="142">
        <f>IF(ISERROR((BA99*90)/Model!BA$31),"-",(BA99*90)/Model!BA$31)</f>
        <v>53.09223623092236</v>
      </c>
      <c r="BB100" s="142">
        <f>IF(ISERROR((BB99*90)/Model!BB$31),"-",(BB99*90)/Model!BB$31)</f>
        <v>51.342281879194637</v>
      </c>
      <c r="BC100" s="142">
        <f>BB100</f>
        <v>51.342281879194637</v>
      </c>
      <c r="BD100" s="127"/>
      <c r="BE100" s="142">
        <f>IF(ISERROR((BE99*90)/Model!BE$31),"-",(BE99*90)/Model!BE$31)</f>
        <v>49.39849624060151</v>
      </c>
      <c r="BF100" s="142">
        <f>IF(ISERROR((BF99*90)/Model!BF$31),"-",(BF99*90)/Model!BF$31)</f>
        <v>50.0875796178344</v>
      </c>
      <c r="BG100" s="142">
        <f>IF(ISERROR((BG99*90)/Model!BG$31),"-",(BG99*90)/Model!BG$31)</f>
        <v>49.328964613368292</v>
      </c>
      <c r="BH100" s="142">
        <f>IF(ISERROR((BH99*90)/Model!BH$31),"-",(BH99*90)/Model!BH$31)</f>
        <v>57.798951881848488</v>
      </c>
      <c r="BI100" s="142">
        <f>BH100</f>
        <v>57.798951881848488</v>
      </c>
      <c r="BJ100" s="127"/>
      <c r="BK100" s="142">
        <f>(BK99*90)/Model!BK$31</f>
        <v>58.720974770642194</v>
      </c>
      <c r="BL100" s="142">
        <f>(BL99*90)/Model!BL$31</f>
        <v>53.474432829181488</v>
      </c>
      <c r="BM100" s="142">
        <f>(BM99*90)/Model!BM$31</f>
        <v>52.173795971978976</v>
      </c>
      <c r="BN100" s="142">
        <f>(BN99*90)/Model!BN$31</f>
        <v>61.791314837153202</v>
      </c>
      <c r="BO100" s="142">
        <f>BN100</f>
        <v>61.791314837153202</v>
      </c>
      <c r="BP100" s="127"/>
      <c r="BQ100" s="142">
        <f>(BQ99*90)/Model!BQ$31</f>
        <v>53.747824852677269</v>
      </c>
      <c r="BR100" s="142">
        <f>(BR99*90)/Model!BR$31</f>
        <v>55.588389118190733</v>
      </c>
      <c r="BS100" s="142">
        <f>(BS99*90)/Model!BS$31</f>
        <v>58.282884279657971</v>
      </c>
      <c r="BT100" s="142">
        <f>(BT99*90)/Model!BT$31</f>
        <v>65.94892338507762</v>
      </c>
      <c r="BU100" s="142">
        <f>BT100</f>
        <v>65.94892338507762</v>
      </c>
      <c r="BV100" s="127"/>
      <c r="BW100" s="142">
        <f>(BW99*90)/Model!BW$31</f>
        <v>57.39509876435779</v>
      </c>
      <c r="BX100" s="142">
        <f>(BX99*90)/Model!BX$31</f>
        <v>53.673912877009535</v>
      </c>
      <c r="BY100" s="142">
        <f>(BY99*90)/Model!BY$31</f>
        <v>49.136975021529949</v>
      </c>
      <c r="BZ100" s="142">
        <f>(BZ99*90)/Model!BZ$31</f>
        <v>64.624336463862804</v>
      </c>
      <c r="CA100" s="142">
        <f>BZ100</f>
        <v>64.624336463862804</v>
      </c>
      <c r="CB100" s="127"/>
      <c r="CC100" s="142">
        <f>(CC99*90)/Model!CC$31</f>
        <v>55.923561530320427</v>
      </c>
      <c r="CD100" s="142">
        <f>(CD99*90)/Model!CD$31</f>
        <v>56.539954181479715</v>
      </c>
      <c r="CE100" s="142">
        <f>(CE99*90)/Model!CE$31</f>
        <v>54.696330913252304</v>
      </c>
      <c r="CF100" s="142">
        <f>(CF99*90)/Model!CF$31</f>
        <v>62.453409340057</v>
      </c>
      <c r="CG100" s="142">
        <f>CF100</f>
        <v>62.453409340057</v>
      </c>
      <c r="CH100" s="127"/>
      <c r="CI100" s="142">
        <f>(CI99*90)/Model!CI$31</f>
        <v>48.998893805309734</v>
      </c>
      <c r="CJ100" s="142">
        <f>(CJ99*90)/Model!CJ$31</f>
        <v>51.742442289133649</v>
      </c>
      <c r="CK100" s="142">
        <f>(CK99*90)/Model!CK$31</f>
        <v>53.072244952781773</v>
      </c>
      <c r="CL100" s="142">
        <f>(CL99*90)/Model!CL$31</f>
        <v>61.335558838392387</v>
      </c>
      <c r="CM100" s="142">
        <f>CL100</f>
        <v>61.335558838392387</v>
      </c>
      <c r="CN100" s="127"/>
      <c r="CO100" s="142">
        <f>(CO99*90)/Model!CO$31</f>
        <v>53.154429301533227</v>
      </c>
      <c r="CP100" s="142">
        <f>(CP99*90)/Model!CP$31</f>
        <v>55.722734761120272</v>
      </c>
      <c r="CQ100" s="142">
        <f>(CQ99*90)/Model!CQ$31</f>
        <v>49.323264673714917</v>
      </c>
      <c r="CR100" s="142">
        <f>(CR99*90)/Model!CR$31</f>
        <v>66.413739434403539</v>
      </c>
      <c r="CS100" s="142">
        <f>CR100</f>
        <v>66.413739434403539</v>
      </c>
      <c r="CT100" s="127"/>
      <c r="CU100" s="142">
        <f>(CU99*90)/Model!CU$31</f>
        <v>52.358975535168199</v>
      </c>
      <c r="CV100" s="142">
        <f>(CV99*90)/Model!CV$31</f>
        <v>63.790196836555353</v>
      </c>
      <c r="CW100" s="142">
        <f>(CW99*90)/Model!CW$31</f>
        <v>55.050109489051103</v>
      </c>
      <c r="CX100" s="142">
        <f>(CX99*90)/Model!CX$31</f>
        <v>79.626691927512354</v>
      </c>
      <c r="CY100" s="142">
        <f>CX100</f>
        <v>79.626691927512354</v>
      </c>
      <c r="CZ100" s="127"/>
      <c r="DA100" s="142">
        <f>(DA99*90)/Model!DA$31</f>
        <v>51.703169705469847</v>
      </c>
      <c r="DB100" s="142">
        <f>(DB99*90)/Model!DB$31</f>
        <v>55.400599964393798</v>
      </c>
      <c r="DC100" s="142">
        <f>(DC99*90)/Model!DC$31</f>
        <v>56.085124279538903</v>
      </c>
      <c r="DD100" s="142">
        <f>(DD99*90)/Model!DD$31</f>
        <v>71.4233770883055</v>
      </c>
      <c r="DE100" s="142">
        <f>DD100</f>
        <v>71.4233770883055</v>
      </c>
      <c r="DF100" s="127"/>
      <c r="DG100" s="142">
        <f>(DG99*90)/Model!DG$31</f>
        <v>55.471594936708861</v>
      </c>
      <c r="DH100" s="142">
        <f>(DH99*90)/Model!DH$31</f>
        <v>57.55341076754042</v>
      </c>
      <c r="DI100" s="142">
        <f>(DI99*90)/Model!DI$31</f>
        <v>60.874165048543681</v>
      </c>
      <c r="DJ100" s="142">
        <f>(DJ99*90)/Model!DJ$31</f>
        <v>67.904444778814323</v>
      </c>
      <c r="DK100" s="142">
        <f>DJ100</f>
        <v>67.904444778814323</v>
      </c>
      <c r="DL100" s="127"/>
      <c r="DM100" s="142">
        <f>(DM99*90)/Model!DM$31</f>
        <v>49.934839907192575</v>
      </c>
      <c r="DN100" s="142">
        <f>(DN99*90)/Model!DN$31</f>
        <v>64.486336341263325</v>
      </c>
      <c r="DO100" s="142">
        <f>(DO99*90)/Model!DO$31</f>
        <v>60.74942980993665</v>
      </c>
      <c r="DP100" s="142">
        <f>(DP99*90)/Model!DP$31</f>
        <v>96.637524294308207</v>
      </c>
      <c r="DQ100" s="142">
        <f>DP100</f>
        <v>96.637524294308207</v>
      </c>
      <c r="DR100" s="127"/>
      <c r="DS100" s="142">
        <f>(DS99*90)/Model!DS$31</f>
        <v>52.482447743699936</v>
      </c>
      <c r="DT100" s="142">
        <f>(DT99*90)/Model!DT$31</f>
        <v>57.009059378972204</v>
      </c>
      <c r="DU100" s="142">
        <f>(DU99*90)/Model!DU$31</f>
        <v>55.404687499999994</v>
      </c>
      <c r="DV100" s="142">
        <f>(DV99*90)/Model!DV$31</f>
        <v>92.743045112781957</v>
      </c>
      <c r="DW100" s="142">
        <f>DV100</f>
        <v>92.743045112781957</v>
      </c>
      <c r="DX100" s="127"/>
      <c r="DY100" s="142">
        <f>(DY99*90)/Model!DY$31</f>
        <v>50.496800494132188</v>
      </c>
      <c r="DZ100" s="142">
        <f>(DZ99*90)/Model!DZ$31</f>
        <v>54.966307293742538</v>
      </c>
      <c r="EA100" s="142">
        <f>(EA99*90)/Model!EA$31</f>
        <v>60.910211527265673</v>
      </c>
      <c r="EB100" s="142">
        <f>(EB99*90)/Model!EB$31</f>
        <v>77.904084507042256</v>
      </c>
      <c r="EC100" s="142">
        <f>EB100</f>
        <v>77.904084507042256</v>
      </c>
      <c r="ED100" s="127"/>
      <c r="EE100" s="142">
        <f>(EE99*90)/Model!EE$31</f>
        <v>50.18375327001678</v>
      </c>
      <c r="EF100" s="142">
        <f>(EF99*90)/Model!EF$31</f>
        <v>49.60443458248983</v>
      </c>
      <c r="EG100" s="142">
        <f>(EG99*90)/Model!EG$31</f>
        <v>55.454824410920374</v>
      </c>
      <c r="EH100" s="142">
        <f>(EH99*90)/Model!EH$31</f>
        <v>63.66939134504053</v>
      </c>
      <c r="EI100" s="142">
        <f>EH100</f>
        <v>63.66939134504053</v>
      </c>
      <c r="EJ100" s="127"/>
      <c r="EK100" s="142">
        <f>(EK99*90)/Model!EK$31</f>
        <v>49.083333299673072</v>
      </c>
      <c r="EL100" s="142">
        <f>(EL99*90)/Model!EL$31</f>
        <v>58.617828103266397</v>
      </c>
      <c r="EM100" s="142">
        <f>(EM99*90)/Model!EM$31</f>
        <v>59.510614820360281</v>
      </c>
      <c r="EN100" s="142">
        <f>(EN99*90)/Model!EN$31</f>
        <v>60.758206719313435</v>
      </c>
      <c r="EO100" s="142">
        <f>EN100</f>
        <v>60.758206719313435</v>
      </c>
      <c r="EP100" s="127"/>
      <c r="EQ100" s="142">
        <f>(EQ99*90)/Model!EQ$31</f>
        <v>48.712569314844544</v>
      </c>
      <c r="ER100" s="142">
        <f>(ER99*90)/Model!ER$31</f>
        <v>57.969792321489344</v>
      </c>
      <c r="ES100" s="142">
        <f>(ES99*90)/Model!ES$31</f>
        <v>58.738168009934085</v>
      </c>
      <c r="ET100" s="142">
        <f>(ET99*90)/Model!ET$31</f>
        <v>64.964948768280323</v>
      </c>
      <c r="EU100" s="142">
        <f>ET100</f>
        <v>64.964948768280323</v>
      </c>
      <c r="EV100" s="127"/>
      <c r="EW100" s="127"/>
      <c r="EX100" s="127"/>
      <c r="EY100" s="127"/>
      <c r="EZ100" s="127"/>
      <c r="FA100" s="127"/>
      <c r="FB100" s="127"/>
    </row>
    <row r="101" spans="1:158" ht="12" hidden="1" customHeight="1" outlineLevel="1">
      <c r="A101" s="127"/>
      <c r="B101" s="32"/>
      <c r="C101" s="61"/>
      <c r="D101" s="90"/>
      <c r="E101" s="90"/>
      <c r="F101" s="90"/>
      <c r="G101" s="61"/>
      <c r="H101" s="90"/>
      <c r="I101" s="90"/>
      <c r="J101" s="90"/>
      <c r="K101" s="127"/>
      <c r="L101" s="127"/>
      <c r="M101" s="127"/>
      <c r="N101" s="127"/>
      <c r="O101" s="142"/>
      <c r="P101" s="142"/>
      <c r="Q101" s="142"/>
      <c r="R101" s="142"/>
      <c r="S101" s="142"/>
      <c r="T101" s="127"/>
      <c r="U101" s="142"/>
      <c r="V101" s="142"/>
      <c r="W101" s="142"/>
      <c r="X101" s="142"/>
      <c r="Y101" s="142"/>
      <c r="Z101" s="127"/>
      <c r="AA101" s="142"/>
      <c r="AB101" s="142"/>
      <c r="AC101" s="142"/>
      <c r="AD101" s="142"/>
      <c r="AE101" s="142"/>
      <c r="AF101" s="127"/>
      <c r="AG101" s="142"/>
      <c r="AH101" s="142"/>
      <c r="AI101" s="142"/>
      <c r="AJ101" s="142"/>
      <c r="AK101" s="142"/>
      <c r="AL101" s="127"/>
      <c r="AM101" s="142"/>
      <c r="AN101" s="142"/>
      <c r="AO101" s="142"/>
      <c r="AP101" s="142"/>
      <c r="AQ101" s="142"/>
      <c r="AR101" s="127"/>
      <c r="AS101" s="142"/>
      <c r="AT101" s="142"/>
      <c r="AU101" s="142"/>
      <c r="AV101" s="142"/>
      <c r="AW101" s="142"/>
      <c r="AX101" s="127"/>
      <c r="AY101" s="142"/>
      <c r="AZ101" s="142"/>
      <c r="BA101" s="142"/>
      <c r="BB101" s="142"/>
      <c r="BC101" s="142"/>
      <c r="BD101" s="127"/>
      <c r="BE101" s="142"/>
      <c r="BF101" s="142"/>
      <c r="BG101" s="142"/>
      <c r="BH101" s="142"/>
      <c r="BI101" s="142"/>
      <c r="BJ101" s="127"/>
      <c r="BK101" s="142"/>
      <c r="BL101" s="142"/>
      <c r="BM101" s="142"/>
      <c r="BN101" s="142"/>
      <c r="BO101" s="142"/>
      <c r="BP101" s="127"/>
      <c r="BQ101" s="142"/>
      <c r="BR101" s="142"/>
      <c r="BS101" s="142"/>
      <c r="BT101" s="142"/>
      <c r="BU101" s="142"/>
      <c r="BV101" s="127"/>
      <c r="BW101" s="142"/>
      <c r="BX101" s="142"/>
      <c r="BY101" s="142"/>
      <c r="BZ101" s="142"/>
      <c r="CA101" s="142"/>
      <c r="CB101" s="127"/>
      <c r="CC101" s="142"/>
      <c r="CD101" s="142"/>
      <c r="CE101" s="142"/>
      <c r="CF101" s="142"/>
      <c r="CG101" s="142"/>
      <c r="CH101" s="127"/>
      <c r="CI101" s="142"/>
      <c r="CJ101" s="142"/>
      <c r="CK101" s="142"/>
      <c r="CL101" s="142"/>
      <c r="CM101" s="142"/>
      <c r="CN101" s="127"/>
      <c r="CO101" s="142"/>
      <c r="CP101" s="142"/>
      <c r="CQ101" s="142"/>
      <c r="CR101" s="142"/>
      <c r="CS101" s="142"/>
      <c r="CT101" s="127"/>
      <c r="CU101" s="142"/>
      <c r="CV101" s="142"/>
      <c r="CW101" s="142"/>
      <c r="CX101" s="142"/>
      <c r="CY101" s="142"/>
      <c r="CZ101" s="127"/>
      <c r="DA101" s="142"/>
      <c r="DB101" s="142"/>
      <c r="DC101" s="142"/>
      <c r="DD101" s="142"/>
      <c r="DE101" s="142"/>
      <c r="DF101" s="127"/>
      <c r="DG101" s="142"/>
      <c r="DH101" s="142"/>
      <c r="DI101" s="142"/>
      <c r="DJ101" s="142"/>
      <c r="DK101" s="142"/>
      <c r="DL101" s="127"/>
      <c r="DM101" s="142"/>
      <c r="DN101" s="142"/>
      <c r="DO101" s="142"/>
      <c r="DP101" s="142"/>
      <c r="DQ101" s="142"/>
      <c r="DR101" s="127"/>
      <c r="DS101" s="142"/>
      <c r="DT101" s="142"/>
      <c r="DU101" s="142"/>
      <c r="DV101" s="142"/>
      <c r="DW101" s="142"/>
      <c r="DX101" s="127"/>
      <c r="DY101" s="142"/>
      <c r="DZ101" s="142"/>
      <c r="EA101" s="142"/>
      <c r="EB101" s="142"/>
      <c r="EC101" s="142"/>
      <c r="ED101" s="127"/>
      <c r="EE101" s="142"/>
      <c r="EF101" s="142"/>
      <c r="EG101" s="142"/>
      <c r="EH101" s="142"/>
      <c r="EI101" s="142"/>
      <c r="EJ101" s="127"/>
      <c r="EK101" s="142"/>
      <c r="EL101" s="142"/>
      <c r="EM101" s="142"/>
      <c r="EN101" s="142"/>
      <c r="EO101" s="142"/>
      <c r="EP101" s="127"/>
      <c r="EQ101" s="142"/>
      <c r="ER101" s="142"/>
      <c r="ES101" s="142"/>
      <c r="ET101" s="142"/>
      <c r="EU101" s="142"/>
      <c r="EV101" s="127"/>
      <c r="EW101" s="127"/>
      <c r="EX101" s="127"/>
      <c r="EY101" s="127"/>
      <c r="EZ101" s="127"/>
      <c r="FA101" s="127"/>
      <c r="FB101" s="127"/>
    </row>
    <row r="102" spans="1:158" ht="12" hidden="1" customHeight="1" outlineLevel="1">
      <c r="A102" s="371" t="s">
        <v>6138</v>
      </c>
      <c r="B102" s="32"/>
      <c r="C102" s="61"/>
      <c r="D102" s="90"/>
      <c r="E102" s="90"/>
      <c r="F102" s="90"/>
      <c r="G102" s="61"/>
      <c r="H102" s="90"/>
      <c r="I102" s="90"/>
      <c r="J102" s="90"/>
      <c r="K102" s="127"/>
      <c r="L102" s="127"/>
      <c r="M102" s="127"/>
      <c r="N102" s="127"/>
      <c r="O102" s="142">
        <f>SUM(O11:O15)-SUM(O27:O33,O37)</f>
        <v>-96.215000000000018</v>
      </c>
      <c r="P102" s="142">
        <f t="shared" ref="P102:CA102" si="140">SUM(P11:P15)-SUM(P27:P33,P37)</f>
        <v>-78.000000000000057</v>
      </c>
      <c r="Q102" s="142">
        <f t="shared" si="140"/>
        <v>-86.118999999999971</v>
      </c>
      <c r="R102" s="142">
        <f t="shared" si="140"/>
        <v>-96.395999999999987</v>
      </c>
      <c r="S102" s="142">
        <f t="shared" si="140"/>
        <v>-96.395999999999987</v>
      </c>
      <c r="T102" s="127"/>
      <c r="U102" s="142">
        <f t="shared" si="140"/>
        <v>-83.875</v>
      </c>
      <c r="V102" s="142">
        <f t="shared" si="140"/>
        <v>-73.981999999999999</v>
      </c>
      <c r="W102" s="142">
        <f t="shared" si="140"/>
        <v>-88.048999999999978</v>
      </c>
      <c r="X102" s="142">
        <f t="shared" si="140"/>
        <v>-113.06399999999996</v>
      </c>
      <c r="Y102" s="142">
        <f t="shared" si="140"/>
        <v>-113.06399999999996</v>
      </c>
      <c r="Z102" s="127"/>
      <c r="AA102" s="142">
        <f t="shared" si="140"/>
        <v>-88.591000000000008</v>
      </c>
      <c r="AB102" s="142">
        <f t="shared" si="140"/>
        <v>-95.71399999999997</v>
      </c>
      <c r="AC102" s="142">
        <f t="shared" si="140"/>
        <v>-101.45500000000007</v>
      </c>
      <c r="AD102" s="142">
        <f t="shared" si="140"/>
        <v>-101.94400000000002</v>
      </c>
      <c r="AE102" s="142">
        <f t="shared" si="140"/>
        <v>-101.94400000000002</v>
      </c>
      <c r="AF102" s="127"/>
      <c r="AG102" s="142">
        <f t="shared" si="140"/>
        <v>-95.890999999999963</v>
      </c>
      <c r="AH102" s="142">
        <f t="shared" si="140"/>
        <v>-113.14100000000005</v>
      </c>
      <c r="AI102" s="142">
        <f t="shared" si="140"/>
        <v>-128.96700000000001</v>
      </c>
      <c r="AJ102" s="142">
        <f t="shared" si="140"/>
        <v>-143.65899999999996</v>
      </c>
      <c r="AK102" s="142">
        <f t="shared" si="140"/>
        <v>-143.65899999999996</v>
      </c>
      <c r="AL102" s="127"/>
      <c r="AM102" s="142">
        <f t="shared" si="140"/>
        <v>-120.23499999999999</v>
      </c>
      <c r="AN102" s="142">
        <f t="shared" si="140"/>
        <v>-114.28400000000002</v>
      </c>
      <c r="AO102" s="142">
        <f t="shared" si="140"/>
        <v>-103.69900000000001</v>
      </c>
      <c r="AP102" s="142">
        <f t="shared" si="140"/>
        <v>-105.65399999999997</v>
      </c>
      <c r="AQ102" s="142">
        <f t="shared" si="140"/>
        <v>-105.65399999999997</v>
      </c>
      <c r="AR102" s="127"/>
      <c r="AS102" s="142">
        <f t="shared" si="140"/>
        <v>-111.005</v>
      </c>
      <c r="AT102" s="142">
        <f t="shared" si="140"/>
        <v>-97.548000000000002</v>
      </c>
      <c r="AU102" s="142">
        <f t="shared" si="140"/>
        <v>-108.35499999999999</v>
      </c>
      <c r="AV102" s="142">
        <f t="shared" si="140"/>
        <v>-148.48700000000002</v>
      </c>
      <c r="AW102" s="142">
        <f t="shared" si="140"/>
        <v>-148.48700000000002</v>
      </c>
      <c r="AX102" s="127"/>
      <c r="AY102" s="142">
        <f t="shared" si="140"/>
        <v>-137.79999999999998</v>
      </c>
      <c r="AZ102" s="142">
        <f t="shared" si="140"/>
        <v>-165</v>
      </c>
      <c r="BA102" s="142">
        <f t="shared" si="140"/>
        <v>-140.39999999999998</v>
      </c>
      <c r="BB102" s="142">
        <f t="shared" si="140"/>
        <v>-229.60000000000002</v>
      </c>
      <c r="BC102" s="142">
        <f t="shared" si="140"/>
        <v>-229.60000000000002</v>
      </c>
      <c r="BD102" s="127"/>
      <c r="BE102" s="142">
        <f t="shared" si="140"/>
        <v>-188.90000000000003</v>
      </c>
      <c r="BF102" s="142">
        <f t="shared" si="140"/>
        <v>-162.89999999999998</v>
      </c>
      <c r="BG102" s="142">
        <f t="shared" si="140"/>
        <v>-167.89999999999992</v>
      </c>
      <c r="BH102" s="142">
        <f t="shared" si="140"/>
        <v>-154.2999999999999</v>
      </c>
      <c r="BI102" s="142">
        <f t="shared" si="140"/>
        <v>-154.2999999999999</v>
      </c>
      <c r="BJ102" s="127"/>
      <c r="BK102" s="142">
        <f t="shared" si="140"/>
        <v>-140.89999999999998</v>
      </c>
      <c r="BL102" s="142">
        <f t="shared" si="140"/>
        <v>-176.8</v>
      </c>
      <c r="BM102" s="142">
        <f t="shared" si="140"/>
        <v>-189.90000000000003</v>
      </c>
      <c r="BN102" s="142">
        <f t="shared" si="140"/>
        <v>-229.79999999999995</v>
      </c>
      <c r="BO102" s="142">
        <f t="shared" si="140"/>
        <v>-229.79999999999995</v>
      </c>
      <c r="BP102" s="127"/>
      <c r="BQ102" s="142">
        <f t="shared" si="140"/>
        <v>-236.69999999999993</v>
      </c>
      <c r="BR102" s="142">
        <f t="shared" si="140"/>
        <v>-235.89999999999998</v>
      </c>
      <c r="BS102" s="142">
        <f t="shared" si="140"/>
        <v>-240.39999999999992</v>
      </c>
      <c r="BT102" s="142">
        <f t="shared" si="140"/>
        <v>-319.39999999999998</v>
      </c>
      <c r="BU102" s="142">
        <f t="shared" si="140"/>
        <v>-319.39999999999998</v>
      </c>
      <c r="BV102" s="127"/>
      <c r="BW102" s="142">
        <f t="shared" si="140"/>
        <v>-371.5</v>
      </c>
      <c r="BX102" s="142">
        <f t="shared" si="140"/>
        <v>-550.6</v>
      </c>
      <c r="BY102" s="142">
        <f t="shared" si="140"/>
        <v>-398.99999999999994</v>
      </c>
      <c r="BZ102" s="142">
        <f t="shared" si="140"/>
        <v>-506.49999999999994</v>
      </c>
      <c r="CA102" s="142">
        <f t="shared" si="140"/>
        <v>-506.49999999999994</v>
      </c>
      <c r="CB102" s="127"/>
      <c r="CC102" s="142">
        <f>SUM(CC11:CC15)-SUM(CC27:CC33,CC37)</f>
        <v>-419.40000000000003</v>
      </c>
      <c r="CD102" s="142">
        <f>SUM(CD11:CD15)-SUM(CD27:CD33,CD37)</f>
        <v>-408.29999999999995</v>
      </c>
      <c r="CE102" s="142">
        <f>SUM(CE11:CE15)-SUM(CE27:CE33,CE37)</f>
        <v>-370.09999999999991</v>
      </c>
      <c r="CF102" s="142">
        <f>SUM(CF11:CF15)-SUM(CF27:CF33,CF37)</f>
        <v>-396.90000000000003</v>
      </c>
      <c r="CG102" s="142">
        <f>SUM(CG11:CG15)-SUM(CG27:CG33,CG37)</f>
        <v>-396.90000000000003</v>
      </c>
      <c r="CH102" s="127"/>
      <c r="CI102" s="142">
        <f>SUM(CI11:CI15)-SUM(CI27:CI33,CI37)</f>
        <v>-449.90000000000003</v>
      </c>
      <c r="CJ102" s="142">
        <f>SUM(CJ11:CJ15)-SUM(CJ27:CJ33,CJ37)</f>
        <v>-464.2</v>
      </c>
      <c r="CK102" s="142">
        <f>SUM(CK11:CK15)-SUM(CK27:CK33,CK37)</f>
        <v>-477.79999999999995</v>
      </c>
      <c r="CL102" s="142">
        <f>SUM(CL11:CL15)-SUM(CL27:CL33,CL37)</f>
        <v>-521.50000000000011</v>
      </c>
      <c r="CM102" s="142">
        <f>SUM(CM11:CM15)-SUM(CM27:CM33,CM37)</f>
        <v>-521.50000000000011</v>
      </c>
      <c r="CN102" s="127"/>
      <c r="CO102" s="142">
        <f>SUM(CO11:CO15)-SUM(CO27:CO33,CO37)</f>
        <v>-540.4</v>
      </c>
      <c r="CP102" s="142">
        <f>SUM(CP11:CP15)-SUM(CP27:CP33,CP37)</f>
        <v>-538.70000000000005</v>
      </c>
      <c r="CQ102" s="142">
        <f>SUM(CQ11:CQ15)-SUM(CQ27:CQ33,CQ37)</f>
        <v>-578.6</v>
      </c>
      <c r="CR102" s="142">
        <f>SUM(CR11:CR15)-SUM(CR27:CR33,CR37)</f>
        <v>-606.4</v>
      </c>
      <c r="CS102" s="142">
        <f>SUM(CS11:CS15)-SUM(CS27:CS33,CS37)</f>
        <v>-606.4</v>
      </c>
      <c r="CT102" s="127"/>
      <c r="CU102" s="142">
        <f>SUM(CU11:CU15)-SUM(CU27:CU33,CU37)</f>
        <v>-617.6</v>
      </c>
      <c r="CV102" s="142">
        <f>SUM(CV11:CV15)-SUM(CV27:CV33,CV37)</f>
        <v>-590.5</v>
      </c>
      <c r="CW102" s="142">
        <f>SUM(CW11:CW15)-SUM(CW27:CW33,CW37)</f>
        <v>-745.5</v>
      </c>
      <c r="CX102" s="142">
        <f>SUM(CX11:CX15)-SUM(CX27:CX33,CX37)</f>
        <v>-633.19999999999993</v>
      </c>
      <c r="CY102" s="142">
        <f>SUM(CY11:CY15)-SUM(CY27:CY33,CY37)</f>
        <v>-633.19999999999993</v>
      </c>
      <c r="CZ102" s="127"/>
      <c r="DA102" s="142">
        <f>SUM(DA11:DA15)-SUM(DA27:DA33,DA37)</f>
        <v>-744.3</v>
      </c>
      <c r="DB102" s="142">
        <f>SUM(DB11:DB15)-SUM(DB27:DB33,DB37)</f>
        <v>-685.9</v>
      </c>
      <c r="DC102" s="142">
        <f>SUM(DC11:DC15)-SUM(DC27:DC33,DC37)</f>
        <v>-645.59999999999991</v>
      </c>
      <c r="DD102" s="142">
        <f>SUM(DD11:DD15)-SUM(DD27:DD33,DD37)</f>
        <v>-708.00000000000011</v>
      </c>
      <c r="DE102" s="142">
        <f>SUM(DE11:DE15)-SUM(DE27:DE33,DE37)</f>
        <v>-708.00000000000011</v>
      </c>
      <c r="DF102" s="127"/>
      <c r="DG102" s="142">
        <f>SUM(DG11:DG15)-SUM(DG27:DG33,DG37)</f>
        <v>-861.9</v>
      </c>
      <c r="DH102" s="142">
        <f>SUM(DH11:DH15)-SUM(DH27:DH33,DH37)</f>
        <v>-831.50000000000011</v>
      </c>
      <c r="DI102" s="142">
        <f>SUM(DI11:DI15)-SUM(DI27:DI33,DI37)</f>
        <v>-867.09999999999991</v>
      </c>
      <c r="DJ102" s="142">
        <f>SUM(DJ11:DJ15)-SUM(DJ27:DJ33,DJ37)</f>
        <v>-1011.4999999999999</v>
      </c>
      <c r="DK102" s="142">
        <f>SUM(DK11:DK15)-SUM(DK27:DK33,DK37)</f>
        <v>-1011.4999999999999</v>
      </c>
      <c r="DL102" s="127"/>
      <c r="DM102" s="142">
        <f>SUM(DM11:DM15)-SUM(DM27:DM33,DM37)</f>
        <v>-1020.4999999999999</v>
      </c>
      <c r="DN102" s="142">
        <f>SUM(DN11:DN15)-SUM(DN27:DN33,DN37)</f>
        <v>-1158.6000000000001</v>
      </c>
      <c r="DO102" s="142">
        <f>SUM(DO11:DO15)-SUM(DO27:DO33,DO37)</f>
        <v>-1183.2999999999997</v>
      </c>
      <c r="DP102" s="142">
        <f>SUM(DP11:DP15)-SUM(DP27:DP33,DP37)</f>
        <v>-1299.0999999999999</v>
      </c>
      <c r="DQ102" s="142">
        <f>SUM(DQ11:DQ15)-SUM(DQ27:DQ33,DQ37)</f>
        <v>-1299.0999999999999</v>
      </c>
      <c r="DR102" s="127"/>
      <c r="DS102" s="142">
        <f>SUM(DS11:DS15)-SUM(DS27:DS33,DS37)</f>
        <v>-1544.7</v>
      </c>
      <c r="DT102" s="142">
        <f>SUM(DT11:DT15)-SUM(DT27:DT33,DT37)</f>
        <v>-1550.9</v>
      </c>
      <c r="DU102" s="142">
        <f>SUM(DU11:DU15)-SUM(DU27:DU33,DU37)</f>
        <v>-1668.3</v>
      </c>
      <c r="DV102" s="142">
        <f>SUM(DV11:DV15)-SUM(DV27:DV33,DV37)</f>
        <v>-2138.1999999999998</v>
      </c>
      <c r="DW102" s="142">
        <f>SUM(DW11:DW15)-SUM(DW27:DW33,DW37)</f>
        <v>-2138.1999999999998</v>
      </c>
      <c r="DX102" s="127"/>
      <c r="DY102" s="142">
        <f>SUM(DY11:DY15)-SUM(DY27:DY33,DY37)</f>
        <v>-2231.1999999999998</v>
      </c>
      <c r="DZ102" s="142">
        <f>SUM(DZ11:DZ15)-SUM(DZ27:DZ33,DZ37)</f>
        <v>-1793.6</v>
      </c>
      <c r="EA102" s="142">
        <f>SUM(EA11:EA15)-SUM(EA27:EA33,EA37)</f>
        <v>-1762.8000000000002</v>
      </c>
      <c r="EB102" s="142">
        <f>SUM(EB11:EB15)-SUM(EB27:EB33,EB37)</f>
        <v>-1971.9999999999998</v>
      </c>
      <c r="EC102" s="142">
        <f>SUM(EC11:EC15)-SUM(EC27:EC33,EC37)</f>
        <v>-1971.9999999999998</v>
      </c>
      <c r="ED102" s="127"/>
      <c r="EE102" s="142">
        <f>SUM(EE11:EE15)-SUM(EE27:EE33,EE37)</f>
        <v>-2022.8604346660284</v>
      </c>
      <c r="EF102" s="142">
        <f>SUM(EF11:EF15)-SUM(EF27:EF33,EF37)</f>
        <v>-2092.5505766058454</v>
      </c>
      <c r="EG102" s="142">
        <f>SUM(EG11:EG15)-SUM(EG27:EG33,EG37)</f>
        <v>-2051.694615793238</v>
      </c>
      <c r="EH102" s="142">
        <f>SUM(EH11:EH15)-SUM(EH27:EH33,EH37)</f>
        <v>-2373.8078180097218</v>
      </c>
      <c r="EI102" s="142">
        <f>SUM(EI11:EI15)-SUM(EI27:EI33,EI37)</f>
        <v>-2373.8078180097218</v>
      </c>
      <c r="EJ102" s="127"/>
      <c r="EK102" s="142">
        <f>SUM(EK11:EK15)-SUM(EK27:EK33,EK37)</f>
        <v>-2204.9390724190962</v>
      </c>
      <c r="EL102" s="142">
        <f>SUM(EL11:EL15)-SUM(EL27:EL33,EL37)</f>
        <v>-2230.4552195547153</v>
      </c>
      <c r="EM102" s="142">
        <f>SUM(EM11:EM15)-SUM(EM27:EM33,EM37)</f>
        <v>-2248.0091592196568</v>
      </c>
      <c r="EN102" s="142">
        <f>SUM(EN11:EN15)-SUM(EN27:EN33,EN37)</f>
        <v>-2665.5971981562816</v>
      </c>
      <c r="EO102" s="142">
        <f>SUM(EO11:EO15)-SUM(EO27:EO33,EO37)</f>
        <v>-2665.5971981562816</v>
      </c>
      <c r="EP102" s="127"/>
      <c r="EQ102" s="142">
        <f>SUM(EQ11:EQ15)-SUM(EQ27:EQ33,EQ37)</f>
        <v>-2609.2463502141804</v>
      </c>
      <c r="ER102" s="142">
        <f>SUM(ER11:ER15)-SUM(ER27:ER33,ER37)</f>
        <v>-2603.3959705030302</v>
      </c>
      <c r="ES102" s="142">
        <f>SUM(ES11:ES15)-SUM(ES27:ES33,ES37)</f>
        <v>-2552.185736225897</v>
      </c>
      <c r="ET102" s="142">
        <f>SUM(ET11:ET15)-SUM(ET27:ET33,ET37)</f>
        <v>-2797.2578571461686</v>
      </c>
      <c r="EU102" s="142">
        <f>SUM(EU11:EU15)-SUM(EU27:EU33,EU37)</f>
        <v>-2797.2578571461686</v>
      </c>
      <c r="EV102" s="127"/>
      <c r="EW102" s="127"/>
      <c r="EX102" s="127"/>
      <c r="EY102" s="127"/>
      <c r="EZ102" s="127"/>
      <c r="FA102" s="127"/>
      <c r="FB102" s="127"/>
    </row>
    <row r="103" spans="1:158" ht="12" hidden="1" customHeight="1" outlineLevel="1">
      <c r="A103" s="127"/>
      <c r="B103" s="32"/>
      <c r="C103" s="61"/>
      <c r="D103" s="90"/>
      <c r="E103" s="90"/>
      <c r="F103" s="90"/>
      <c r="G103" s="61"/>
      <c r="H103" s="90"/>
      <c r="I103" s="90"/>
      <c r="J103" s="90"/>
      <c r="K103" s="127"/>
      <c r="L103" s="127"/>
      <c r="M103" s="127"/>
      <c r="N103" s="127"/>
      <c r="O103" s="142"/>
      <c r="P103" s="142"/>
      <c r="Q103" s="142"/>
      <c r="R103" s="142"/>
      <c r="S103" s="142"/>
      <c r="T103" s="127"/>
      <c r="U103" s="142"/>
      <c r="V103" s="142"/>
      <c r="W103" s="142"/>
      <c r="X103" s="142"/>
      <c r="Y103" s="142"/>
      <c r="Z103" s="127"/>
      <c r="AA103" s="142"/>
      <c r="AB103" s="142"/>
      <c r="AC103" s="142"/>
      <c r="AD103" s="142"/>
      <c r="AE103" s="142"/>
      <c r="AF103" s="127"/>
      <c r="AG103" s="142"/>
      <c r="AH103" s="142"/>
      <c r="AI103" s="142"/>
      <c r="AJ103" s="142"/>
      <c r="AK103" s="142"/>
      <c r="AL103" s="127"/>
      <c r="AM103" s="142"/>
      <c r="AN103" s="142"/>
      <c r="AO103" s="142"/>
      <c r="AP103" s="142"/>
      <c r="AQ103" s="142"/>
      <c r="AR103" s="127"/>
      <c r="AS103" s="142"/>
      <c r="AT103" s="142"/>
      <c r="AU103" s="142"/>
      <c r="AV103" s="142"/>
      <c r="AW103" s="142"/>
      <c r="AX103" s="127"/>
      <c r="AY103" s="142"/>
      <c r="AZ103" s="142"/>
      <c r="BA103" s="142"/>
      <c r="BB103" s="142"/>
      <c r="BC103" s="142"/>
      <c r="BD103" s="127"/>
      <c r="BE103" s="142"/>
      <c r="BF103" s="142"/>
      <c r="BG103" s="142"/>
      <c r="BH103" s="142"/>
      <c r="BI103" s="142"/>
      <c r="BJ103" s="127"/>
      <c r="BK103" s="142"/>
      <c r="BL103" s="142"/>
      <c r="BM103" s="142"/>
      <c r="BN103" s="142"/>
      <c r="BO103" s="142"/>
      <c r="BP103" s="127"/>
      <c r="BQ103" s="142"/>
      <c r="BR103" s="142"/>
      <c r="BS103" s="142"/>
      <c r="BT103" s="142"/>
      <c r="BU103" s="142"/>
      <c r="BV103" s="127"/>
      <c r="BW103" s="142"/>
      <c r="BX103" s="142"/>
      <c r="BY103" s="142"/>
      <c r="BZ103" s="142"/>
      <c r="CA103" s="142"/>
      <c r="CB103" s="127"/>
      <c r="CC103" s="142"/>
      <c r="CD103" s="142"/>
      <c r="CE103" s="142"/>
      <c r="CF103" s="142"/>
      <c r="CG103" s="142"/>
      <c r="CH103" s="127"/>
      <c r="CI103" s="142"/>
      <c r="CJ103" s="142"/>
      <c r="CK103" s="142"/>
      <c r="CL103" s="142"/>
      <c r="CM103" s="142"/>
      <c r="CN103" s="127"/>
      <c r="CO103" s="142"/>
      <c r="CP103" s="142"/>
      <c r="CQ103" s="142"/>
      <c r="CR103" s="142"/>
      <c r="CS103" s="142"/>
      <c r="CT103" s="127"/>
      <c r="CU103" s="142"/>
      <c r="CV103" s="142"/>
      <c r="CW103" s="142"/>
      <c r="CX103" s="142"/>
      <c r="CY103" s="142"/>
      <c r="CZ103" s="127"/>
      <c r="DA103" s="142"/>
      <c r="DB103" s="142"/>
      <c r="DC103" s="142"/>
      <c r="DD103" s="142"/>
      <c r="DE103" s="142"/>
      <c r="DF103" s="127"/>
      <c r="DG103" s="142"/>
      <c r="DH103" s="142"/>
      <c r="DI103" s="142"/>
      <c r="DJ103" s="142"/>
      <c r="DK103" s="142"/>
      <c r="DL103" s="127"/>
      <c r="DM103" s="142"/>
      <c r="DN103" s="142"/>
      <c r="DO103" s="142"/>
      <c r="DP103" s="142"/>
      <c r="DQ103" s="142"/>
      <c r="DR103" s="127"/>
      <c r="DS103" s="142"/>
      <c r="DT103" s="142"/>
      <c r="DU103" s="142"/>
      <c r="DV103" s="142"/>
      <c r="DW103" s="142"/>
      <c r="DX103" s="127"/>
      <c r="DY103" s="142"/>
      <c r="DZ103" s="142"/>
      <c r="EA103" s="142"/>
      <c r="EB103" s="142"/>
      <c r="EC103" s="142"/>
      <c r="ED103" s="127"/>
      <c r="EE103" s="142"/>
      <c r="EF103" s="142"/>
      <c r="EG103" s="142"/>
      <c r="EH103" s="142"/>
      <c r="EI103" s="142"/>
      <c r="EJ103" s="127"/>
      <c r="EK103" s="142"/>
      <c r="EL103" s="142"/>
      <c r="EM103" s="142"/>
      <c r="EN103" s="142"/>
      <c r="EO103" s="142"/>
      <c r="EP103" s="127"/>
      <c r="EQ103" s="142"/>
      <c r="ER103" s="142"/>
      <c r="ES103" s="142"/>
      <c r="ET103" s="142"/>
      <c r="EU103" s="142"/>
      <c r="EV103" s="127"/>
      <c r="EW103" s="127"/>
      <c r="EX103" s="127"/>
      <c r="EY103" s="127"/>
      <c r="EZ103" s="127"/>
      <c r="FA103" s="127"/>
      <c r="FB103" s="127"/>
    </row>
    <row r="104" spans="1:158" ht="5.25" hidden="1" customHeight="1" outlineLevel="1">
      <c r="A104" s="127"/>
      <c r="B104" s="32"/>
      <c r="C104" s="61"/>
      <c r="D104" s="90"/>
      <c r="E104" s="90"/>
      <c r="F104" s="90"/>
      <c r="G104" s="61"/>
      <c r="H104" s="90"/>
      <c r="I104" s="90"/>
      <c r="J104" s="90"/>
      <c r="K104" s="123"/>
      <c r="L104" s="123"/>
      <c r="M104" s="123"/>
      <c r="N104" s="123"/>
      <c r="O104" s="372"/>
      <c r="P104" s="123"/>
      <c r="Q104" s="123"/>
      <c r="R104" s="123"/>
      <c r="S104" s="123"/>
      <c r="T104" s="123"/>
      <c r="U104" s="372"/>
      <c r="V104" s="123"/>
      <c r="W104" s="123"/>
      <c r="X104" s="123"/>
      <c r="Y104" s="123"/>
      <c r="Z104" s="123"/>
      <c r="AA104" s="372"/>
      <c r="AB104" s="123"/>
      <c r="AC104" s="123"/>
      <c r="AD104" s="123"/>
      <c r="AE104" s="123"/>
      <c r="AF104" s="123"/>
      <c r="AG104" s="372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373"/>
      <c r="AR104" s="123"/>
      <c r="AS104" s="123"/>
      <c r="AT104" s="123"/>
      <c r="AU104" s="123"/>
      <c r="AV104" s="123"/>
      <c r="AW104" s="373"/>
      <c r="AX104" s="123"/>
      <c r="AY104" s="123"/>
      <c r="AZ104" s="123"/>
      <c r="BA104" s="123"/>
      <c r="BB104" s="123"/>
      <c r="BC104" s="37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7"/>
      <c r="DY104" s="123"/>
      <c r="DZ104" s="123"/>
      <c r="EA104" s="123"/>
      <c r="EB104" s="123"/>
      <c r="EC104" s="123"/>
      <c r="ED104" s="127"/>
      <c r="EE104" s="123"/>
      <c r="EF104" s="123"/>
      <c r="EG104" s="123"/>
      <c r="EH104" s="123"/>
      <c r="EI104" s="123"/>
      <c r="EJ104" s="127"/>
      <c r="EK104" s="123"/>
      <c r="EL104" s="123"/>
      <c r="EM104" s="123"/>
      <c r="EN104" s="123"/>
      <c r="EO104" s="123"/>
      <c r="EP104" s="127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</row>
    <row r="105" spans="1:158" ht="11.25" hidden="1" customHeight="1" outlineLevel="1">
      <c r="A105" s="60" t="s">
        <v>4239</v>
      </c>
      <c r="B105" s="32"/>
      <c r="C105" s="61"/>
      <c r="D105" s="90"/>
      <c r="E105" s="90"/>
      <c r="F105" s="90"/>
      <c r="G105" s="61"/>
      <c r="H105" s="90"/>
      <c r="I105" s="90"/>
      <c r="J105" s="90"/>
      <c r="K105" s="61"/>
      <c r="L105" s="61"/>
      <c r="M105" s="61"/>
      <c r="N105" s="61"/>
      <c r="O105" s="62"/>
      <c r="P105" s="62"/>
      <c r="Q105" s="62"/>
      <c r="R105" s="62"/>
      <c r="S105" s="62"/>
      <c r="T105" s="61"/>
      <c r="U105" s="62"/>
      <c r="V105" s="62"/>
      <c r="W105" s="62"/>
      <c r="X105" s="62"/>
      <c r="Y105" s="62"/>
      <c r="Z105" s="61"/>
      <c r="AA105" s="62"/>
      <c r="AB105" s="62"/>
      <c r="AC105" s="62"/>
      <c r="AD105" s="62"/>
      <c r="AE105" s="62"/>
      <c r="AF105" s="61"/>
      <c r="AG105" s="62"/>
      <c r="AH105" s="62"/>
      <c r="AI105" s="62"/>
      <c r="AJ105" s="62"/>
      <c r="AK105" s="62"/>
      <c r="AL105" s="61"/>
      <c r="AM105" s="489"/>
      <c r="AN105" s="489"/>
      <c r="AO105" s="489"/>
      <c r="AP105" s="489"/>
      <c r="AQ105" s="62"/>
      <c r="AR105" s="61"/>
      <c r="AS105" s="489"/>
      <c r="AT105" s="489"/>
      <c r="AU105" s="489"/>
      <c r="AV105" s="489"/>
      <c r="AW105" s="62"/>
      <c r="AX105" s="61"/>
      <c r="AY105" s="489"/>
      <c r="AZ105" s="489"/>
      <c r="BA105" s="374"/>
      <c r="BB105" s="489"/>
      <c r="BC105" s="62"/>
      <c r="BD105" s="61"/>
      <c r="BE105" s="63"/>
      <c r="BF105" s="63"/>
      <c r="BG105" s="63"/>
      <c r="BH105" s="63"/>
      <c r="BI105" s="62"/>
      <c r="BJ105" s="61"/>
      <c r="BK105" s="63"/>
      <c r="BL105" s="63"/>
      <c r="BM105" s="63"/>
      <c r="BN105" s="63"/>
      <c r="BO105" s="62"/>
      <c r="BP105" s="61"/>
      <c r="BQ105" s="63"/>
      <c r="BR105" s="63"/>
      <c r="BS105" s="63"/>
      <c r="BT105" s="63"/>
      <c r="BU105" s="62"/>
      <c r="BV105" s="61"/>
      <c r="BW105" s="63"/>
      <c r="BX105" s="63"/>
      <c r="BY105" s="63"/>
      <c r="BZ105" s="63"/>
      <c r="CA105" s="62"/>
      <c r="CB105" s="61"/>
      <c r="CC105" s="63"/>
      <c r="CD105" s="63"/>
      <c r="CE105" s="63"/>
      <c r="CF105" s="63"/>
      <c r="CG105" s="62"/>
      <c r="CH105" s="61"/>
      <c r="CI105" s="63"/>
      <c r="CJ105" s="63"/>
      <c r="CK105" s="63"/>
      <c r="CL105" s="63"/>
      <c r="CM105" s="62"/>
      <c r="CN105" s="61"/>
      <c r="CO105" s="63"/>
      <c r="CP105" s="63"/>
      <c r="CQ105" s="63"/>
      <c r="CR105" s="63"/>
      <c r="CS105" s="62"/>
      <c r="CT105" s="61"/>
      <c r="CU105" s="63"/>
      <c r="CV105" s="63"/>
      <c r="CW105" s="63"/>
      <c r="CX105" s="63"/>
      <c r="CY105" s="62"/>
      <c r="CZ105" s="61"/>
      <c r="DA105" s="63"/>
      <c r="DB105" s="63"/>
      <c r="DC105" s="63"/>
      <c r="DD105" s="63"/>
      <c r="DE105" s="62"/>
      <c r="DF105" s="61"/>
      <c r="DG105" s="63"/>
      <c r="DH105" s="63"/>
      <c r="DI105" s="63"/>
      <c r="DJ105" s="63"/>
      <c r="DK105" s="62"/>
      <c r="DL105" s="61"/>
      <c r="DM105" s="63"/>
      <c r="DN105" s="63"/>
      <c r="DO105" s="63"/>
      <c r="DP105" s="63"/>
      <c r="DQ105" s="62"/>
      <c r="DR105" s="61"/>
      <c r="DS105" s="63"/>
      <c r="DT105" s="63"/>
      <c r="DU105" s="63"/>
      <c r="DV105" s="63"/>
      <c r="DW105" s="62"/>
      <c r="DX105" s="45"/>
      <c r="DY105" s="63"/>
      <c r="DZ105" s="63"/>
      <c r="EA105" s="63"/>
      <c r="EB105" s="63"/>
      <c r="EC105" s="62"/>
      <c r="ED105" s="45"/>
      <c r="EE105" s="63"/>
      <c r="EF105" s="63"/>
      <c r="EG105" s="63"/>
      <c r="EH105" s="63"/>
      <c r="EI105" s="62"/>
      <c r="EJ105" s="45"/>
      <c r="EK105" s="63"/>
      <c r="EL105" s="63"/>
      <c r="EM105" s="63"/>
      <c r="EN105" s="63"/>
      <c r="EO105" s="62"/>
      <c r="EP105" s="45"/>
      <c r="EQ105" s="63"/>
      <c r="ER105" s="63"/>
      <c r="ES105" s="63"/>
      <c r="ET105" s="63"/>
      <c r="EU105" s="62"/>
      <c r="EV105" s="45"/>
      <c r="EW105" s="45"/>
      <c r="EX105" s="45"/>
      <c r="EY105" s="45"/>
      <c r="EZ105" s="45"/>
      <c r="FA105" s="45"/>
      <c r="FB105" s="45"/>
    </row>
    <row r="106" spans="1:158" ht="10.5" hidden="1" customHeight="1" outlineLevel="1">
      <c r="A106" s="265" t="s">
        <v>1627</v>
      </c>
      <c r="B106" s="32"/>
      <c r="C106" s="61"/>
      <c r="D106" s="90"/>
      <c r="E106" s="90"/>
      <c r="F106" s="90"/>
      <c r="G106" s="61"/>
      <c r="H106" s="90"/>
      <c r="I106" s="90"/>
      <c r="J106" s="90"/>
      <c r="K106" s="61"/>
      <c r="L106" s="61"/>
      <c r="M106" s="61"/>
      <c r="N106" s="61"/>
      <c r="O106" s="62">
        <v>121.879</v>
      </c>
      <c r="P106" s="62">
        <v>126.133</v>
      </c>
      <c r="Q106" s="62">
        <v>125.34399999999999</v>
      </c>
      <c r="R106" s="61">
        <v>140.51300000000001</v>
      </c>
      <c r="S106" s="61">
        <f>R106</f>
        <v>140.51300000000001</v>
      </c>
      <c r="T106" s="61"/>
      <c r="U106" s="62">
        <v>143.405</v>
      </c>
      <c r="V106" s="61">
        <v>141.00200000000001</v>
      </c>
      <c r="W106" s="61">
        <v>147.375</v>
      </c>
      <c r="X106" s="61">
        <v>142.25800000000001</v>
      </c>
      <c r="Y106" s="61">
        <f>X106</f>
        <v>142.25800000000001</v>
      </c>
      <c r="Z106" s="61"/>
      <c r="AA106" s="62">
        <v>151.768</v>
      </c>
      <c r="AB106" s="62">
        <v>158.589</v>
      </c>
      <c r="AC106" s="62">
        <v>161.6</v>
      </c>
      <c r="AD106" s="62">
        <v>171.17599999999999</v>
      </c>
      <c r="AE106" s="61">
        <f>AD106</f>
        <v>171.17599999999999</v>
      </c>
      <c r="AF106" s="61"/>
      <c r="AG106" s="62">
        <v>183.31800000000001</v>
      </c>
      <c r="AH106" s="62">
        <v>192.94200000000001</v>
      </c>
      <c r="AI106" s="62">
        <v>198.24199999999999</v>
      </c>
      <c r="AJ106" s="62">
        <v>200.56800000000001</v>
      </c>
      <c r="AK106" s="61">
        <f>AJ106</f>
        <v>200.56800000000001</v>
      </c>
      <c r="AL106" s="61"/>
      <c r="AM106" s="62">
        <v>207.679</v>
      </c>
      <c r="AN106" s="62">
        <v>210.92699999999999</v>
      </c>
      <c r="AO106" s="62">
        <v>210.065</v>
      </c>
      <c r="AP106" s="62">
        <v>210.9</v>
      </c>
      <c r="AQ106" s="61">
        <f>AP106</f>
        <v>210.9</v>
      </c>
      <c r="AR106" s="61"/>
      <c r="AS106" s="62">
        <v>209.90199999999999</v>
      </c>
      <c r="AT106" s="62">
        <v>216.535</v>
      </c>
      <c r="AU106" s="62">
        <v>210.57400000000001</v>
      </c>
      <c r="AV106" s="62">
        <v>206.31899999999999</v>
      </c>
      <c r="AW106" s="61">
        <f>AV106</f>
        <v>206.31899999999999</v>
      </c>
      <c r="AX106" s="61"/>
      <c r="AY106" s="62">
        <v>208.614</v>
      </c>
      <c r="AZ106" s="62">
        <v>214.61500000000001</v>
      </c>
      <c r="BA106" s="62">
        <v>193.845</v>
      </c>
      <c r="BB106" s="62">
        <v>191.65600000000001</v>
      </c>
      <c r="BC106" s="61">
        <f>BB106</f>
        <v>191.65600000000001</v>
      </c>
      <c r="BD106" s="61"/>
      <c r="BE106" s="61">
        <v>196.41300000000001</v>
      </c>
      <c r="BF106" s="62">
        <v>200.03</v>
      </c>
      <c r="BG106" s="62">
        <v>203.10300000000001</v>
      </c>
      <c r="BH106" s="62">
        <v>208</v>
      </c>
      <c r="BI106" s="62">
        <f>BH106</f>
        <v>208</v>
      </c>
      <c r="BJ106" s="61"/>
      <c r="BK106" s="62">
        <v>216.1</v>
      </c>
      <c r="BL106" s="62">
        <v>219.9</v>
      </c>
      <c r="BM106" s="62">
        <v>225.7</v>
      </c>
      <c r="BN106" s="62">
        <v>224.4</v>
      </c>
      <c r="BO106" s="62">
        <f>BN106</f>
        <v>224.4</v>
      </c>
      <c r="BP106" s="61"/>
      <c r="BQ106" s="62">
        <v>229.8</v>
      </c>
      <c r="BR106" s="62">
        <v>236.4</v>
      </c>
      <c r="BS106" s="62">
        <v>244.6</v>
      </c>
      <c r="BT106" s="62">
        <v>257.89999999999998</v>
      </c>
      <c r="BU106" s="62">
        <f>BT106</f>
        <v>257.89999999999998</v>
      </c>
      <c r="BV106" s="61"/>
      <c r="BW106" s="62">
        <v>265.8</v>
      </c>
      <c r="BX106" s="62">
        <f>131.1+127.4+35.9</f>
        <v>294.39999999999998</v>
      </c>
      <c r="BY106" s="774">
        <f>BX106+BY118</f>
        <v>313.59999999999997</v>
      </c>
      <c r="BZ106" s="774">
        <f>135+103.1+41.6</f>
        <v>279.7</v>
      </c>
      <c r="CA106" s="774">
        <f>BZ106</f>
        <v>279.7</v>
      </c>
      <c r="CB106" s="1572"/>
      <c r="CC106" s="774">
        <f>128.2+109+42.2</f>
        <v>279.39999999999998</v>
      </c>
      <c r="CD106" s="774">
        <f>126.4+108.2+42</f>
        <v>276.60000000000002</v>
      </c>
      <c r="CE106" s="774">
        <f>127.1+109.3+43.3</f>
        <v>279.7</v>
      </c>
      <c r="CF106" s="774">
        <f>127.3+108.5+42.9</f>
        <v>278.7</v>
      </c>
      <c r="CG106" s="774">
        <f>CF106</f>
        <v>278.7</v>
      </c>
      <c r="CH106" s="61"/>
      <c r="CI106" s="774">
        <f>CF106+CI118</f>
        <v>284.5</v>
      </c>
      <c r="CJ106" s="62">
        <f>129.3+114.4+42.4</f>
        <v>286.10000000000002</v>
      </c>
      <c r="CK106" s="62">
        <f>129.3+114.4+42.4</f>
        <v>286.10000000000002</v>
      </c>
      <c r="CL106" s="62">
        <f>129.4+123.7+43.6</f>
        <v>296.70000000000005</v>
      </c>
      <c r="CM106" s="62">
        <f>CL106</f>
        <v>296.70000000000005</v>
      </c>
      <c r="CN106" s="61"/>
      <c r="CO106" s="774">
        <f>129.6+135.6+44.6</f>
        <v>309.8</v>
      </c>
      <c r="CP106" s="774">
        <f>129.3+114.4+42.4</f>
        <v>286.10000000000002</v>
      </c>
      <c r="CQ106" s="774">
        <f>CP106+CQ118</f>
        <v>295</v>
      </c>
      <c r="CR106" s="62">
        <f>133.5+153.3+47.7</f>
        <v>334.5</v>
      </c>
      <c r="CS106" s="62">
        <f>CR106</f>
        <v>334.5</v>
      </c>
      <c r="CT106" s="61"/>
      <c r="CU106" s="62">
        <f>CS106+CU118</f>
        <v>346</v>
      </c>
      <c r="CV106" s="62">
        <f>CU106+CV118</f>
        <v>362.7</v>
      </c>
      <c r="CW106" s="62">
        <f>CV106+CW118</f>
        <v>379.2</v>
      </c>
      <c r="CX106" s="62">
        <f>CW106+CX118</f>
        <v>390.9</v>
      </c>
      <c r="CY106" s="62">
        <f>CX106</f>
        <v>390.9</v>
      </c>
      <c r="CZ106" s="61"/>
      <c r="DA106" s="62">
        <f>CY106+DA118</f>
        <v>416.7</v>
      </c>
      <c r="DB106" s="62">
        <f>DA106+DB118</f>
        <v>433.5</v>
      </c>
      <c r="DC106" s="62">
        <f>DB106+DC118</f>
        <v>445.9</v>
      </c>
      <c r="DD106" s="62">
        <f>DC106+DD118</f>
        <v>455.09999999999997</v>
      </c>
      <c r="DE106" s="62">
        <f>DD106</f>
        <v>455.09999999999997</v>
      </c>
      <c r="DF106" s="61"/>
      <c r="DG106" s="62">
        <f>DE106+DG118</f>
        <v>469.59999999999997</v>
      </c>
      <c r="DH106" s="62">
        <f>DG106+DH118</f>
        <v>486.7</v>
      </c>
      <c r="DI106" s="62">
        <f>DH106+DI118</f>
        <v>515.1</v>
      </c>
      <c r="DJ106" s="62">
        <f>DI106+DJ118</f>
        <v>530.6</v>
      </c>
      <c r="DK106" s="62">
        <f>DJ106</f>
        <v>530.6</v>
      </c>
      <c r="DL106" s="61"/>
      <c r="DM106" s="62">
        <f>DK106+DM118</f>
        <v>543.1</v>
      </c>
      <c r="DN106" s="62">
        <f>DM106+DN118</f>
        <v>560.4</v>
      </c>
      <c r="DO106" s="62">
        <f>DN106+DO118</f>
        <v>572.4</v>
      </c>
      <c r="DP106" s="62">
        <f>DO106+DP118</f>
        <v>603</v>
      </c>
      <c r="DQ106" s="62">
        <f>DP106</f>
        <v>603</v>
      </c>
      <c r="DR106" s="61"/>
      <c r="DS106" s="62">
        <f>DQ106+DS118</f>
        <v>625.29999999999995</v>
      </c>
      <c r="DT106" s="62">
        <f>DS106+DT118</f>
        <v>645.59999999999991</v>
      </c>
      <c r="DU106" s="62">
        <f>DT106+DU118</f>
        <v>668.09999999999991</v>
      </c>
      <c r="DV106" s="62">
        <f>DU106+DV118</f>
        <v>678.99999999999989</v>
      </c>
      <c r="DW106" s="62">
        <f>DV106</f>
        <v>678.99999999999989</v>
      </c>
      <c r="DX106" s="45"/>
      <c r="DY106" s="62">
        <f>DW106+DY118</f>
        <v>687.59999999999991</v>
      </c>
      <c r="DZ106" s="62">
        <f>DY106+DZ118</f>
        <v>705.39999999999986</v>
      </c>
      <c r="EA106" s="62">
        <f>DZ106+EA118</f>
        <v>718.29999999999984</v>
      </c>
      <c r="EB106" s="62">
        <f>EA106+EB118</f>
        <v>729.69999999999982</v>
      </c>
      <c r="EC106" s="62">
        <f>EB106</f>
        <v>729.69999999999982</v>
      </c>
      <c r="ED106" s="45"/>
      <c r="EE106" s="62">
        <f>EB106+EE118</f>
        <v>736.69892416472339</v>
      </c>
      <c r="EF106" s="62">
        <f>EE106+EF118</f>
        <v>754.68470534503365</v>
      </c>
      <c r="EG106" s="62">
        <f>EF106+EG118</f>
        <v>767.58169254942572</v>
      </c>
      <c r="EH106" s="62">
        <f>EG106+EH118</f>
        <v>778.93761095258753</v>
      </c>
      <c r="EI106" s="62">
        <f>EH106</f>
        <v>778.93761095258753</v>
      </c>
      <c r="EJ106" s="45"/>
      <c r="EK106" s="62">
        <f>EH106+EK118</f>
        <v>784.96773385562039</v>
      </c>
      <c r="EL106" s="62">
        <f>EK106+EL118</f>
        <v>804.64968301642693</v>
      </c>
      <c r="EM106" s="62">
        <f>EL106+EM118</f>
        <v>817.8329853844748</v>
      </c>
      <c r="EN106" s="62">
        <f>EM106+EN118</f>
        <v>828.83676631235232</v>
      </c>
      <c r="EO106" s="62">
        <f>EN106</f>
        <v>828.83676631235232</v>
      </c>
      <c r="EP106" s="45"/>
      <c r="EQ106" s="62">
        <f>EN106+EQ118</f>
        <v>832.94208657085221</v>
      </c>
      <c r="ER106" s="62">
        <f>EQ106+ER118</f>
        <v>853.17353573974663</v>
      </c>
      <c r="ES106" s="62">
        <f>ER106+ES118</f>
        <v>865.44579491219531</v>
      </c>
      <c r="ET106" s="62">
        <f>ES106+ET118</f>
        <v>874.94920916489775</v>
      </c>
      <c r="EU106" s="62">
        <f>ET106</f>
        <v>874.94920916489775</v>
      </c>
      <c r="EV106" s="45"/>
      <c r="EW106" s="45"/>
      <c r="EX106" s="45"/>
      <c r="EY106" s="45"/>
      <c r="EZ106" s="45"/>
      <c r="FA106" s="45"/>
      <c r="FB106" s="45"/>
    </row>
    <row r="107" spans="1:158" ht="10.5" hidden="1" customHeight="1" outlineLevel="1">
      <c r="A107" s="265" t="s">
        <v>4240</v>
      </c>
      <c r="B107" s="32"/>
      <c r="C107" s="61"/>
      <c r="D107" s="90"/>
      <c r="E107" s="90"/>
      <c r="F107" s="90"/>
      <c r="G107" s="61"/>
      <c r="H107" s="90"/>
      <c r="I107" s="90"/>
      <c r="J107" s="90"/>
      <c r="K107" s="61"/>
      <c r="L107" s="61"/>
      <c r="M107" s="61"/>
      <c r="N107" s="61"/>
      <c r="O107" s="62">
        <v>21.245000000000001</v>
      </c>
      <c r="P107" s="62">
        <v>21.56</v>
      </c>
      <c r="Q107" s="62">
        <v>22.646999999999998</v>
      </c>
      <c r="R107" s="61">
        <v>24.766999999999999</v>
      </c>
      <c r="S107" s="61">
        <f>R107</f>
        <v>24.766999999999999</v>
      </c>
      <c r="T107" s="61"/>
      <c r="U107" s="62">
        <v>24.623000000000001</v>
      </c>
      <c r="V107" s="61">
        <v>25.65</v>
      </c>
      <c r="W107" s="61">
        <v>26.378</v>
      </c>
      <c r="X107" s="61">
        <v>22.722999999999999</v>
      </c>
      <c r="Y107" s="61">
        <f>X107</f>
        <v>22.722999999999999</v>
      </c>
      <c r="Z107" s="61"/>
      <c r="AA107" s="62">
        <v>21.457999999999998</v>
      </c>
      <c r="AB107" s="62">
        <v>21.667000000000002</v>
      </c>
      <c r="AC107" s="62">
        <v>23.042000000000002</v>
      </c>
      <c r="AD107" s="62">
        <v>27.145</v>
      </c>
      <c r="AE107" s="61">
        <f>AD107</f>
        <v>27.145</v>
      </c>
      <c r="AF107" s="61"/>
      <c r="AG107" s="62">
        <v>27.350999999999999</v>
      </c>
      <c r="AH107" s="62">
        <v>29.388999999999999</v>
      </c>
      <c r="AI107" s="62">
        <v>29.942</v>
      </c>
      <c r="AJ107" s="62">
        <v>29.652000000000001</v>
      </c>
      <c r="AK107" s="61">
        <f>AJ107</f>
        <v>29.652000000000001</v>
      </c>
      <c r="AL107" s="61"/>
      <c r="AM107" s="62">
        <v>30.242000000000001</v>
      </c>
      <c r="AN107" s="62">
        <v>33.366</v>
      </c>
      <c r="AO107" s="62">
        <v>33.685000000000002</v>
      </c>
      <c r="AP107" s="62">
        <v>32.912999999999997</v>
      </c>
      <c r="AQ107" s="61">
        <f>AP107</f>
        <v>32.912999999999997</v>
      </c>
      <c r="AR107" s="61"/>
      <c r="AS107" s="62">
        <v>32.758000000000003</v>
      </c>
      <c r="AT107" s="62">
        <v>33.658000000000001</v>
      </c>
      <c r="AU107" s="62">
        <v>33.713999999999999</v>
      </c>
      <c r="AV107" s="62">
        <v>34.526000000000003</v>
      </c>
      <c r="AW107" s="61">
        <f>AV107</f>
        <v>34.526000000000003</v>
      </c>
      <c r="AX107" s="61"/>
      <c r="AY107" s="62">
        <v>34.287999999999997</v>
      </c>
      <c r="AZ107" s="62">
        <v>34.070999999999998</v>
      </c>
      <c r="BA107" s="62">
        <v>32.625</v>
      </c>
      <c r="BB107" s="62">
        <v>32.585999999999999</v>
      </c>
      <c r="BC107" s="61">
        <f>BB107</f>
        <v>32.585999999999999</v>
      </c>
      <c r="BD107" s="61"/>
      <c r="BE107" s="61">
        <v>32.49</v>
      </c>
      <c r="BF107" s="62">
        <v>32.216999999999999</v>
      </c>
      <c r="BG107" s="62">
        <v>33.36</v>
      </c>
      <c r="BH107" s="62">
        <v>35</v>
      </c>
      <c r="BI107" s="62">
        <f>BH107</f>
        <v>35</v>
      </c>
      <c r="BJ107" s="61"/>
      <c r="BK107" s="62">
        <v>38.1</v>
      </c>
      <c r="BL107" s="62">
        <v>40.700000000000003</v>
      </c>
      <c r="BM107" s="62">
        <v>42.1</v>
      </c>
      <c r="BN107" s="62">
        <v>43</v>
      </c>
      <c r="BO107" s="62">
        <f>BN107</f>
        <v>43</v>
      </c>
      <c r="BP107" s="61"/>
      <c r="BQ107" s="62">
        <v>45</v>
      </c>
      <c r="BR107" s="62">
        <v>50.8</v>
      </c>
      <c r="BS107" s="62">
        <v>55.4</v>
      </c>
      <c r="BT107" s="62">
        <v>61.2</v>
      </c>
      <c r="BU107" s="62">
        <f>BT107</f>
        <v>61.2</v>
      </c>
      <c r="BV107" s="61"/>
      <c r="BW107" s="62">
        <v>71.8</v>
      </c>
      <c r="BX107" s="62">
        <v>78.099999999999994</v>
      </c>
      <c r="BY107" s="1573">
        <f>BY109-BY106+BY108</f>
        <v>91.700000000000017</v>
      </c>
      <c r="BZ107" s="1573">
        <f>BZ109-BZ106+BZ108</f>
        <v>115.00000000000003</v>
      </c>
      <c r="CA107" s="774">
        <f>BZ107</f>
        <v>115.00000000000003</v>
      </c>
      <c r="CB107" s="1572"/>
      <c r="CC107" s="1573">
        <f>CC109-CC106+CC108</f>
        <v>107</v>
      </c>
      <c r="CD107" s="1573">
        <f>CD109-CD106+CD108</f>
        <v>107.39999999999998</v>
      </c>
      <c r="CE107" s="1573">
        <f>CE109-CE106+CE108</f>
        <v>111.20000000000002</v>
      </c>
      <c r="CF107" s="1573">
        <v>113.7</v>
      </c>
      <c r="CG107" s="774">
        <f>CF107</f>
        <v>113.7</v>
      </c>
      <c r="CH107" s="61"/>
      <c r="CI107" s="1573">
        <f>CF107*(1+CI122)</f>
        <v>113.7</v>
      </c>
      <c r="CJ107" s="481">
        <v>113.2</v>
      </c>
      <c r="CK107" s="481">
        <v>113.2</v>
      </c>
      <c r="CL107" s="481">
        <v>121.3</v>
      </c>
      <c r="CM107" s="62">
        <f>CL107</f>
        <v>121.3</v>
      </c>
      <c r="CN107" s="61"/>
      <c r="CO107" s="1573">
        <v>133.9</v>
      </c>
      <c r="CP107" s="1573">
        <v>113.2</v>
      </c>
      <c r="CQ107" s="1573">
        <f>CP107*(1+CQ122)</f>
        <v>113.2</v>
      </c>
      <c r="CR107" s="481">
        <v>139.5</v>
      </c>
      <c r="CS107" s="62">
        <f>CR107</f>
        <v>139.5</v>
      </c>
      <c r="CT107" s="61"/>
      <c r="CU107" s="481">
        <f>CS107*(1+CU122)</f>
        <v>139.5</v>
      </c>
      <c r="CV107" s="481">
        <f>CU107*(1+CV122)</f>
        <v>139.5</v>
      </c>
      <c r="CW107" s="481">
        <f>CV107*(1+CW122)</f>
        <v>139.5</v>
      </c>
      <c r="CX107" s="481">
        <f>CW107*(1+CX122)</f>
        <v>139.5</v>
      </c>
      <c r="CY107" s="62">
        <f>CX107</f>
        <v>139.5</v>
      </c>
      <c r="CZ107" s="61"/>
      <c r="DA107" s="481">
        <f>CY107*(1+DA122)</f>
        <v>139.5</v>
      </c>
      <c r="DB107" s="481">
        <f>DA107*(1+DB122)</f>
        <v>139.5</v>
      </c>
      <c r="DC107" s="481">
        <f>DB107*(1+DC122)</f>
        <v>139.5</v>
      </c>
      <c r="DD107" s="481">
        <f>DC107*(1+DD122)</f>
        <v>139.5</v>
      </c>
      <c r="DE107" s="62">
        <f>DD107</f>
        <v>139.5</v>
      </c>
      <c r="DF107" s="61"/>
      <c r="DG107" s="481">
        <f>DE107*(1+DG122)</f>
        <v>139.5</v>
      </c>
      <c r="DH107" s="481">
        <f>DG107*(1+DH122)</f>
        <v>139.5</v>
      </c>
      <c r="DI107" s="481">
        <f>DH107*(1+DI122)</f>
        <v>139.5</v>
      </c>
      <c r="DJ107" s="481">
        <f>DI107*(1+DJ122)</f>
        <v>139.5</v>
      </c>
      <c r="DK107" s="62">
        <f>DJ107</f>
        <v>139.5</v>
      </c>
      <c r="DL107" s="61"/>
      <c r="DM107" s="481">
        <f>DK107*(1+DM122)</f>
        <v>139.5</v>
      </c>
      <c r="DN107" s="481">
        <f>DM107*(1+DN122)</f>
        <v>139.5</v>
      </c>
      <c r="DO107" s="481">
        <f>DN107*(1+DO122)</f>
        <v>139.5</v>
      </c>
      <c r="DP107" s="481">
        <f>DO107*(1+DP122)</f>
        <v>139.5</v>
      </c>
      <c r="DQ107" s="62">
        <f>DP107</f>
        <v>139.5</v>
      </c>
      <c r="DR107" s="61"/>
      <c r="DS107" s="481">
        <f>DQ107*(1+DS122)</f>
        <v>139.5</v>
      </c>
      <c r="DT107" s="481">
        <f>DS107*(1+DT122)</f>
        <v>139.5</v>
      </c>
      <c r="DU107" s="481">
        <f>DT107*(1+DU122)</f>
        <v>139.5</v>
      </c>
      <c r="DV107" s="481">
        <f>DU107*(1+DV122)</f>
        <v>139.5</v>
      </c>
      <c r="DW107" s="62">
        <f>DV107</f>
        <v>139.5</v>
      </c>
      <c r="DX107" s="45"/>
      <c r="DY107" s="481">
        <f>DW107*(1+DY122)</f>
        <v>139.5</v>
      </c>
      <c r="DZ107" s="481">
        <f>DY107*(1+DZ122)</f>
        <v>139.5</v>
      </c>
      <c r="EA107" s="481">
        <f>DZ107*(1+EA122)</f>
        <v>139.5</v>
      </c>
      <c r="EB107" s="481">
        <f>EA107*(1+EB122)</f>
        <v>139.5</v>
      </c>
      <c r="EC107" s="62">
        <f>EB107</f>
        <v>139.5</v>
      </c>
      <c r="ED107" s="45"/>
      <c r="EE107" s="481">
        <f>EB107*(1+EE122)</f>
        <v>139.5</v>
      </c>
      <c r="EF107" s="481">
        <f>EE107*(1+EF122)</f>
        <v>139.5</v>
      </c>
      <c r="EG107" s="481">
        <f>EF107*(1+EG122)</f>
        <v>139.5</v>
      </c>
      <c r="EH107" s="481">
        <f>EG107*(1+EH122)</f>
        <v>139.5</v>
      </c>
      <c r="EI107" s="62">
        <f>EH107</f>
        <v>139.5</v>
      </c>
      <c r="EJ107" s="45"/>
      <c r="EK107" s="481">
        <f>EH107*(1+EK122)</f>
        <v>139.5</v>
      </c>
      <c r="EL107" s="481">
        <f>EK107*(1+EL122)</f>
        <v>139.5</v>
      </c>
      <c r="EM107" s="481">
        <f>EL107*(1+EM122)</f>
        <v>139.5</v>
      </c>
      <c r="EN107" s="481">
        <f>EM107*(1+EN122)</f>
        <v>139.5</v>
      </c>
      <c r="EO107" s="62">
        <f>EN107</f>
        <v>139.5</v>
      </c>
      <c r="EP107" s="45"/>
      <c r="EQ107" s="481">
        <f>EN107*(1+EQ122)</f>
        <v>139.5</v>
      </c>
      <c r="ER107" s="481">
        <f>EQ107*(1+ER122)</f>
        <v>139.5</v>
      </c>
      <c r="ES107" s="481">
        <f>ER107*(1+ES122)</f>
        <v>139.5</v>
      </c>
      <c r="ET107" s="481">
        <f>ES107*(1+ET122)</f>
        <v>139.5</v>
      </c>
      <c r="EU107" s="62">
        <f>ET107</f>
        <v>139.5</v>
      </c>
      <c r="EV107" s="45"/>
      <c r="EW107" s="45"/>
      <c r="EX107" s="45"/>
      <c r="EY107" s="45"/>
      <c r="EZ107" s="45"/>
      <c r="FA107" s="45"/>
      <c r="FB107" s="45"/>
    </row>
    <row r="108" spans="1:158" ht="10.5" hidden="1" customHeight="1" outlineLevel="1">
      <c r="A108" s="265" t="s">
        <v>5235</v>
      </c>
      <c r="B108" s="32"/>
      <c r="C108" s="61"/>
      <c r="D108" s="90"/>
      <c r="E108" s="90"/>
      <c r="F108" s="90"/>
      <c r="G108" s="61"/>
      <c r="H108" s="90"/>
      <c r="I108" s="90"/>
      <c r="J108" s="90"/>
      <c r="K108" s="61"/>
      <c r="L108" s="61"/>
      <c r="M108" s="61"/>
      <c r="N108" s="61"/>
      <c r="O108" s="490">
        <f>O106+O107-O109</f>
        <v>104.161</v>
      </c>
      <c r="P108" s="490">
        <f>P106+P107-P109</f>
        <v>108.39099999999999</v>
      </c>
      <c r="Q108" s="490">
        <f>Q106+Q107-Q109</f>
        <v>108.83099999999999</v>
      </c>
      <c r="R108" s="490">
        <f>R106+R107-R109</f>
        <v>116.625</v>
      </c>
      <c r="S108" s="61">
        <f>R108</f>
        <v>116.625</v>
      </c>
      <c r="T108" s="61"/>
      <c r="U108" s="490">
        <f>U106+U107-U109</f>
        <v>121.08799999999999</v>
      </c>
      <c r="V108" s="490">
        <f>V106+V107-V109</f>
        <v>121.56800000000001</v>
      </c>
      <c r="W108" s="490">
        <f>W106+W107-W109</f>
        <v>130.49499999999998</v>
      </c>
      <c r="X108" s="490">
        <f>X106+X107-X109</f>
        <v>123.09699999999999</v>
      </c>
      <c r="Y108" s="61">
        <f>X108</f>
        <v>123.09699999999999</v>
      </c>
      <c r="Z108" s="61"/>
      <c r="AA108" s="490">
        <f>AA106+AA107-AA109</f>
        <v>128.18099999999998</v>
      </c>
      <c r="AB108" s="490">
        <f>AB106+AB107-AB109</f>
        <v>133.44200000000001</v>
      </c>
      <c r="AC108" s="490">
        <f>AC106+AC107-AC109</f>
        <v>137.32400000000001</v>
      </c>
      <c r="AD108" s="490">
        <f>AD106+AD107-AD109</f>
        <v>144.32499999999999</v>
      </c>
      <c r="AE108" s="61">
        <f>AD108</f>
        <v>144.32499999999999</v>
      </c>
      <c r="AF108" s="61"/>
      <c r="AG108" s="490">
        <f>AG106+AG107-AG109</f>
        <v>150.23500000000001</v>
      </c>
      <c r="AH108" s="490">
        <f>AH106+AH107-AH109</f>
        <v>155.87299999999999</v>
      </c>
      <c r="AI108" s="490">
        <f>AI106+AI107-AI109</f>
        <v>158.50900000000001</v>
      </c>
      <c r="AJ108" s="490">
        <f>AJ106+AJ107-AJ109</f>
        <v>157.40000000000003</v>
      </c>
      <c r="AK108" s="61">
        <f>AJ108</f>
        <v>157.40000000000003</v>
      </c>
      <c r="AL108" s="61"/>
      <c r="AM108" s="490">
        <f>AM106+AM107-AM109</f>
        <v>162.548</v>
      </c>
      <c r="AN108" s="490">
        <f>AN106+AN107-AN109</f>
        <v>164.66399999999999</v>
      </c>
      <c r="AO108" s="490">
        <f>AO106+AO107-AO109</f>
        <v>165.99100000000001</v>
      </c>
      <c r="AP108" s="490">
        <f>AP106+AP107-AP109</f>
        <v>167.691</v>
      </c>
      <c r="AQ108" s="61">
        <f>AP108</f>
        <v>167.691</v>
      </c>
      <c r="AR108" s="61"/>
      <c r="AS108" s="490">
        <f>AS106+AS107-AS109</f>
        <v>171.101</v>
      </c>
      <c r="AT108" s="490">
        <f>AT106+AT107-AT109</f>
        <v>177.19799999999998</v>
      </c>
      <c r="AU108" s="490">
        <f>AU106+AU107-AU109</f>
        <v>174.96899999999999</v>
      </c>
      <c r="AV108" s="490">
        <f>AV106+AV107-AV109</f>
        <v>174.37100000000001</v>
      </c>
      <c r="AW108" s="61">
        <f>AV108</f>
        <v>174.37100000000001</v>
      </c>
      <c r="AX108" s="61"/>
      <c r="AY108" s="490">
        <f>AY106+AY107-AY109</f>
        <v>179.30199999999999</v>
      </c>
      <c r="AZ108" s="490">
        <f>AZ106+AZ107-AZ109</f>
        <v>184.286</v>
      </c>
      <c r="BA108" s="490">
        <f>BA106+BA107-BA109</f>
        <v>158.57</v>
      </c>
      <c r="BB108" s="490">
        <f>BB106+BB107-BB109</f>
        <v>154.64200000000002</v>
      </c>
      <c r="BC108" s="61">
        <f>BB108</f>
        <v>154.64200000000002</v>
      </c>
      <c r="BD108" s="61"/>
      <c r="BE108" s="490">
        <f>BE106+BE107-BE109</f>
        <v>163.30300000000003</v>
      </c>
      <c r="BF108" s="490">
        <f>BF106+BF107-BF109</f>
        <v>171.14700000000002</v>
      </c>
      <c r="BG108" s="490">
        <f>BG106+BG107-BG109</f>
        <v>176.36300000000003</v>
      </c>
      <c r="BH108" s="490">
        <f>BH106+BH107-BH109</f>
        <v>181.6</v>
      </c>
      <c r="BI108" s="62">
        <f>BH108</f>
        <v>181.6</v>
      </c>
      <c r="BJ108" s="61"/>
      <c r="BK108" s="490">
        <f>BK106+BK107-BK109</f>
        <v>188.29999999999998</v>
      </c>
      <c r="BL108" s="62">
        <v>195.8</v>
      </c>
      <c r="BM108" s="62">
        <v>203.7</v>
      </c>
      <c r="BN108" s="62">
        <v>201.8</v>
      </c>
      <c r="BO108" s="62">
        <f>BN108</f>
        <v>201.8</v>
      </c>
      <c r="BP108" s="61"/>
      <c r="BQ108" s="62">
        <v>210.9</v>
      </c>
      <c r="BR108" s="62">
        <v>220.7</v>
      </c>
      <c r="BS108" s="62">
        <v>231.3</v>
      </c>
      <c r="BT108" s="62">
        <v>238.9</v>
      </c>
      <c r="BU108" s="62">
        <f>BT108</f>
        <v>238.9</v>
      </c>
      <c r="BV108" s="61"/>
      <c r="BW108" s="62">
        <v>253.3</v>
      </c>
      <c r="BX108" s="62">
        <v>263.3</v>
      </c>
      <c r="BY108" s="1573">
        <f>BX108+BY125</f>
        <v>288.7</v>
      </c>
      <c r="BZ108" s="1573">
        <v>274.10000000000002</v>
      </c>
      <c r="CA108" s="774">
        <f>BZ108</f>
        <v>274.10000000000002</v>
      </c>
      <c r="CB108" s="1572"/>
      <c r="CC108" s="1573">
        <v>265.7</v>
      </c>
      <c r="CD108" s="1573">
        <v>265.7</v>
      </c>
      <c r="CE108" s="1573">
        <v>279</v>
      </c>
      <c r="CF108" s="1573">
        <v>290.8</v>
      </c>
      <c r="CG108" s="774">
        <f>CF108</f>
        <v>290.8</v>
      </c>
      <c r="CH108" s="61"/>
      <c r="CI108" s="1573">
        <f>CF108+CI125</f>
        <v>303.60000000000002</v>
      </c>
      <c r="CJ108" s="481">
        <v>310.8</v>
      </c>
      <c r="CK108" s="481">
        <v>310.8</v>
      </c>
      <c r="CL108" s="481">
        <v>333.5</v>
      </c>
      <c r="CM108" s="62">
        <f>CL108</f>
        <v>333.5</v>
      </c>
      <c r="CN108" s="61"/>
      <c r="CO108" s="1573">
        <v>343.9</v>
      </c>
      <c r="CP108" s="1573">
        <v>310.8</v>
      </c>
      <c r="CQ108" s="1573">
        <f>CP108+CQ125</f>
        <v>322.5</v>
      </c>
      <c r="CR108" s="481">
        <v>369.5</v>
      </c>
      <c r="CS108" s="62">
        <f>CR108</f>
        <v>369.5</v>
      </c>
      <c r="CT108" s="61"/>
      <c r="CU108" s="485">
        <f>CS108+CU125</f>
        <v>381.1</v>
      </c>
      <c r="CV108" s="481">
        <f>CU108+CV125</f>
        <v>392.5</v>
      </c>
      <c r="CW108" s="481">
        <f>CV108+CW125</f>
        <v>403.8</v>
      </c>
      <c r="CX108" s="481">
        <f>CW108+CX125</f>
        <v>415.5</v>
      </c>
      <c r="CY108" s="62">
        <f>CX108</f>
        <v>415.5</v>
      </c>
      <c r="CZ108" s="61"/>
      <c r="DA108" s="485">
        <f>CY108+DA125</f>
        <v>427</v>
      </c>
      <c r="DB108" s="481">
        <f>DA108+DB125</f>
        <v>438.7</v>
      </c>
      <c r="DC108" s="481">
        <f>DB108+DC125</f>
        <v>451.1</v>
      </c>
      <c r="DD108" s="481">
        <f>DC108+DD125</f>
        <v>463.70000000000005</v>
      </c>
      <c r="DE108" s="62">
        <f>DD108</f>
        <v>463.70000000000005</v>
      </c>
      <c r="DF108" s="61"/>
      <c r="DG108" s="485">
        <f>DE108+DG125</f>
        <v>475.90000000000003</v>
      </c>
      <c r="DH108" s="481">
        <f>DG108+DH125</f>
        <v>488.5</v>
      </c>
      <c r="DI108" s="481">
        <f>DH108+DI125</f>
        <v>502.5</v>
      </c>
      <c r="DJ108" s="481">
        <f>DI108+DJ125</f>
        <v>516.6</v>
      </c>
      <c r="DK108" s="62">
        <f>DJ108</f>
        <v>516.6</v>
      </c>
      <c r="DL108" s="61"/>
      <c r="DM108" s="485">
        <f>DK108+DM125</f>
        <v>532</v>
      </c>
      <c r="DN108" s="481">
        <f>DM108+DN125</f>
        <v>548</v>
      </c>
      <c r="DO108" s="481">
        <f>DN108+DO125</f>
        <v>564</v>
      </c>
      <c r="DP108" s="481">
        <f>DO108+DP125</f>
        <v>580.20000000000005</v>
      </c>
      <c r="DQ108" s="62">
        <f>DP108</f>
        <v>580.20000000000005</v>
      </c>
      <c r="DR108" s="61"/>
      <c r="DS108" s="485">
        <f>DQ108+DS125</f>
        <v>598.80000000000007</v>
      </c>
      <c r="DT108" s="481">
        <f>DS108+DT125</f>
        <v>613.30000000000007</v>
      </c>
      <c r="DU108" s="481">
        <f>DT108+DU125</f>
        <v>630.20000000000005</v>
      </c>
      <c r="DV108" s="481">
        <f>DU108+DV125</f>
        <v>647.6</v>
      </c>
      <c r="DW108" s="62">
        <f>DV108</f>
        <v>647.6</v>
      </c>
      <c r="DX108" s="45"/>
      <c r="DY108" s="485">
        <f>DW108+DY125</f>
        <v>665.6</v>
      </c>
      <c r="DZ108" s="481">
        <f>DY108+DZ125</f>
        <v>685.1</v>
      </c>
      <c r="EA108" s="481">
        <f>DZ108+EA125</f>
        <v>701.1</v>
      </c>
      <c r="EB108" s="481">
        <f>EA108+EB125</f>
        <v>719.4</v>
      </c>
      <c r="EC108" s="62">
        <f>EB108</f>
        <v>719.4</v>
      </c>
      <c r="ED108" s="45"/>
      <c r="EE108" s="481">
        <f>EB108+EE125</f>
        <v>732.04985173725913</v>
      </c>
      <c r="EF108" s="481">
        <f>EE108+EF125</f>
        <v>744.91523337781109</v>
      </c>
      <c r="EG108" s="481">
        <f>EF108+EG125</f>
        <v>758.04702440728499</v>
      </c>
      <c r="EH108" s="481">
        <f>EG108+EH125</f>
        <v>771.38803248887041</v>
      </c>
      <c r="EI108" s="62">
        <f>EH108</f>
        <v>771.38803248887041</v>
      </c>
      <c r="EJ108" s="45"/>
      <c r="EK108" s="481">
        <f>EH108+EK125</f>
        <v>784.87902079834407</v>
      </c>
      <c r="EL108" s="481">
        <f>EK108+EL125</f>
        <v>798.59181362097263</v>
      </c>
      <c r="EM108" s="481">
        <f>EL108+EM125</f>
        <v>812.58811767120562</v>
      </c>
      <c r="EN108" s="481">
        <f>EM108+EN125</f>
        <v>826.79307095911076</v>
      </c>
      <c r="EO108" s="62">
        <f>EN108</f>
        <v>826.79307095911076</v>
      </c>
      <c r="EP108" s="45"/>
      <c r="EQ108" s="481">
        <f>EN108+EQ125</f>
        <v>841.12836251086844</v>
      </c>
      <c r="ER108" s="481">
        <f>EQ108+ER125</f>
        <v>855.67359456377301</v>
      </c>
      <c r="ES108" s="481">
        <f>ER108+ES125</f>
        <v>870.4992190014874</v>
      </c>
      <c r="ET108" s="481">
        <f>ES108+ET125</f>
        <v>885.51269071306967</v>
      </c>
      <c r="EU108" s="62">
        <f>ET108</f>
        <v>885.51269071306967</v>
      </c>
      <c r="EV108" s="45"/>
      <c r="EW108" s="45"/>
      <c r="EX108" s="45"/>
      <c r="EY108" s="45"/>
      <c r="EZ108" s="45"/>
      <c r="FA108" s="45"/>
      <c r="FB108" s="45"/>
    </row>
    <row r="109" spans="1:158" ht="10.5" hidden="1" customHeight="1" outlineLevel="1">
      <c r="A109" s="265" t="s">
        <v>1628</v>
      </c>
      <c r="B109" s="32"/>
      <c r="C109" s="61"/>
      <c r="D109" s="90"/>
      <c r="E109" s="90"/>
      <c r="F109" s="90"/>
      <c r="G109" s="61"/>
      <c r="H109" s="90"/>
      <c r="I109" s="90"/>
      <c r="J109" s="90"/>
      <c r="K109" s="61"/>
      <c r="L109" s="61"/>
      <c r="M109" s="61"/>
      <c r="N109" s="61"/>
      <c r="O109" s="61">
        <f>O19</f>
        <v>38.963000000000001</v>
      </c>
      <c r="P109" s="61">
        <f>P19</f>
        <v>39.302</v>
      </c>
      <c r="Q109" s="61">
        <f>Q19</f>
        <v>39.159999999999997</v>
      </c>
      <c r="R109" s="61">
        <f>R19</f>
        <v>48.655000000000001</v>
      </c>
      <c r="S109" s="61">
        <f>R109</f>
        <v>48.655000000000001</v>
      </c>
      <c r="T109" s="61"/>
      <c r="U109" s="61">
        <f>U19</f>
        <v>46.94</v>
      </c>
      <c r="V109" s="61">
        <f>V19</f>
        <v>45.084000000000003</v>
      </c>
      <c r="W109" s="61">
        <f>W19</f>
        <v>43.258000000000003</v>
      </c>
      <c r="X109" s="61">
        <f>X19</f>
        <v>41.884</v>
      </c>
      <c r="Y109" s="61">
        <f>X109</f>
        <v>41.884</v>
      </c>
      <c r="Z109" s="61"/>
      <c r="AA109" s="61">
        <f>AA19</f>
        <v>45.045000000000002</v>
      </c>
      <c r="AB109" s="61">
        <f>AB19</f>
        <v>46.814</v>
      </c>
      <c r="AC109" s="61">
        <f>AC19</f>
        <v>47.317999999999998</v>
      </c>
      <c r="AD109" s="61">
        <f>AD19</f>
        <v>53.996000000000002</v>
      </c>
      <c r="AE109" s="61">
        <f>AD109</f>
        <v>53.996000000000002</v>
      </c>
      <c r="AF109" s="61"/>
      <c r="AG109" s="61">
        <f>AG19</f>
        <v>60.433999999999997</v>
      </c>
      <c r="AH109" s="61">
        <f>AH19</f>
        <v>66.458000000000027</v>
      </c>
      <c r="AI109" s="61">
        <f>AI19</f>
        <v>69.674999999999997</v>
      </c>
      <c r="AJ109" s="61">
        <f>AJ19</f>
        <v>72.819999999999993</v>
      </c>
      <c r="AK109" s="61">
        <f>AJ109</f>
        <v>72.819999999999993</v>
      </c>
      <c r="AL109" s="61"/>
      <c r="AM109" s="61">
        <f>AM19</f>
        <v>75.37299999999999</v>
      </c>
      <c r="AN109" s="61">
        <f>AN19</f>
        <v>79.629000000000019</v>
      </c>
      <c r="AO109" s="61">
        <f>AO19</f>
        <v>77.758999999999986</v>
      </c>
      <c r="AP109" s="61">
        <f>AP19</f>
        <v>76.121999999999986</v>
      </c>
      <c r="AQ109" s="61">
        <f>AP109</f>
        <v>76.121999999999986</v>
      </c>
      <c r="AR109" s="61"/>
      <c r="AS109" s="61">
        <f>AS19</f>
        <v>71.558999999999997</v>
      </c>
      <c r="AT109" s="61">
        <f>AT19</f>
        <v>72.995000000000005</v>
      </c>
      <c r="AU109" s="61">
        <f>AU19</f>
        <v>69.319000000000017</v>
      </c>
      <c r="AV109" s="61">
        <f>AV19</f>
        <v>66.47399999999999</v>
      </c>
      <c r="AW109" s="61">
        <f>AV109</f>
        <v>66.47399999999999</v>
      </c>
      <c r="AX109" s="61"/>
      <c r="AY109" s="61">
        <f>AY19</f>
        <v>63.6</v>
      </c>
      <c r="AZ109" s="61">
        <f>AZ19</f>
        <v>64.400000000000006</v>
      </c>
      <c r="BA109" s="61">
        <f>BA19</f>
        <v>67.900000000000006</v>
      </c>
      <c r="BB109" s="61">
        <f>BB19</f>
        <v>69.599999999999994</v>
      </c>
      <c r="BC109" s="61">
        <f>BB109</f>
        <v>69.599999999999994</v>
      </c>
      <c r="BD109" s="61"/>
      <c r="BE109" s="61">
        <f>BE19</f>
        <v>65.599999999999994</v>
      </c>
      <c r="BF109" s="61">
        <f>BF19</f>
        <v>61.1</v>
      </c>
      <c r="BG109" s="61">
        <f>BG19</f>
        <v>60.1</v>
      </c>
      <c r="BH109" s="61">
        <f>BH19</f>
        <v>61.4</v>
      </c>
      <c r="BI109" s="62">
        <f>BH109</f>
        <v>61.4</v>
      </c>
      <c r="BJ109" s="61"/>
      <c r="BK109" s="62">
        <v>65.900000000000006</v>
      </c>
      <c r="BL109" s="62">
        <v>64.8</v>
      </c>
      <c r="BM109" s="62">
        <v>64.099999999999994</v>
      </c>
      <c r="BN109" s="62">
        <v>65.599999999999994</v>
      </c>
      <c r="BO109" s="62">
        <f>BN109</f>
        <v>65.599999999999994</v>
      </c>
      <c r="BP109" s="61"/>
      <c r="BQ109" s="62">
        <v>63.9</v>
      </c>
      <c r="BR109" s="62">
        <f>BR106+BR107-BR108</f>
        <v>66.5</v>
      </c>
      <c r="BS109" s="62">
        <f>BS106+BS107-BS108</f>
        <v>68.699999999999989</v>
      </c>
      <c r="BT109" s="62">
        <f>BT106+BT107-BT108</f>
        <v>80.19999999999996</v>
      </c>
      <c r="BU109" s="62">
        <f>BT109</f>
        <v>80.19999999999996</v>
      </c>
      <c r="BV109" s="61"/>
      <c r="BW109" s="62">
        <f>BW106+BW107-BW108</f>
        <v>84.300000000000011</v>
      </c>
      <c r="BX109" s="62">
        <f>BX106+BX107-BX108</f>
        <v>109.19999999999999</v>
      </c>
      <c r="BY109" s="774">
        <f>BY19</f>
        <v>116.6</v>
      </c>
      <c r="BZ109" s="774">
        <f>BZ19</f>
        <v>120.6</v>
      </c>
      <c r="CA109" s="774">
        <f>BZ109</f>
        <v>120.6</v>
      </c>
      <c r="CB109" s="1572"/>
      <c r="CC109" s="774">
        <f>CC19</f>
        <v>120.7</v>
      </c>
      <c r="CD109" s="774">
        <f>CD19</f>
        <v>118.3</v>
      </c>
      <c r="CE109" s="774">
        <f>CE19</f>
        <v>111.9</v>
      </c>
      <c r="CF109" s="774">
        <f>CF106+CF107-CF108</f>
        <v>101.59999999999997</v>
      </c>
      <c r="CG109" s="774">
        <f>CF109</f>
        <v>101.59999999999997</v>
      </c>
      <c r="CH109" s="61"/>
      <c r="CI109" s="774">
        <f>CI106+CI107-CI108</f>
        <v>94.599999999999966</v>
      </c>
      <c r="CJ109" s="62">
        <f>CJ106+CJ107-CJ108</f>
        <v>88.5</v>
      </c>
      <c r="CK109" s="62">
        <f>CK106+CK107-CK108</f>
        <v>88.5</v>
      </c>
      <c r="CL109" s="62">
        <f>CL106+CL107-CL108</f>
        <v>84.500000000000057</v>
      </c>
      <c r="CM109" s="208">
        <f>CL109</f>
        <v>84.500000000000057</v>
      </c>
      <c r="CN109" s="61"/>
      <c r="CO109" s="774">
        <f>CO106+CO107-CO108</f>
        <v>99.800000000000068</v>
      </c>
      <c r="CP109" s="774">
        <f>CP106+CP107-CP108</f>
        <v>88.5</v>
      </c>
      <c r="CQ109" s="774">
        <f>CQ106+CQ107-CQ108</f>
        <v>85.699999999999989</v>
      </c>
      <c r="CR109" s="62">
        <f>CR106+CR107-CR108</f>
        <v>104.5</v>
      </c>
      <c r="CS109" s="62">
        <f>CR109</f>
        <v>104.5</v>
      </c>
      <c r="CT109" s="61"/>
      <c r="CU109" s="62">
        <f>CU106+CU107-CU108</f>
        <v>104.39999999999998</v>
      </c>
      <c r="CV109" s="62">
        <f>CV106+CV107-CV108</f>
        <v>109.69999999999999</v>
      </c>
      <c r="CW109" s="62">
        <f>CW106+CW107-CW108</f>
        <v>114.90000000000003</v>
      </c>
      <c r="CX109" s="62">
        <f>CX106+CX107-CX108</f>
        <v>114.89999999999998</v>
      </c>
      <c r="CY109" s="62">
        <f>CX109</f>
        <v>114.89999999999998</v>
      </c>
      <c r="CZ109" s="61"/>
      <c r="DA109" s="62">
        <f>DA106+DA107-DA108</f>
        <v>129.20000000000005</v>
      </c>
      <c r="DB109" s="62">
        <f>DB106+DB107-DB108</f>
        <v>134.30000000000001</v>
      </c>
      <c r="DC109" s="62">
        <f>DC106+DC107-DC108</f>
        <v>134.29999999999995</v>
      </c>
      <c r="DD109" s="62">
        <f>DD106+DD107-DD108</f>
        <v>130.89999999999986</v>
      </c>
      <c r="DE109" s="62">
        <f>DD109</f>
        <v>130.89999999999986</v>
      </c>
      <c r="DF109" s="61"/>
      <c r="DG109" s="62">
        <f>DG106+DG107-DG108</f>
        <v>133.19999999999987</v>
      </c>
      <c r="DH109" s="62">
        <f>DH106+DH107-DH108</f>
        <v>137.70000000000005</v>
      </c>
      <c r="DI109" s="62">
        <f>DI106+DI107-DI108</f>
        <v>152.10000000000002</v>
      </c>
      <c r="DJ109" s="62">
        <f>DJ106+DJ107-DJ108</f>
        <v>153.5</v>
      </c>
      <c r="DK109" s="62">
        <f>DJ109</f>
        <v>153.5</v>
      </c>
      <c r="DL109" s="61"/>
      <c r="DM109" s="62">
        <f>DM106+DM107-DM108</f>
        <v>150.60000000000002</v>
      </c>
      <c r="DN109" s="62">
        <f>DN106+DN107-DN108</f>
        <v>151.89999999999998</v>
      </c>
      <c r="DO109" s="62">
        <f>DO106+DO107-DO108</f>
        <v>147.89999999999998</v>
      </c>
      <c r="DP109" s="62">
        <f>DP106+DP107-DP108</f>
        <v>162.29999999999995</v>
      </c>
      <c r="DQ109" s="62">
        <f>DP109</f>
        <v>162.29999999999995</v>
      </c>
      <c r="DR109" s="61"/>
      <c r="DS109" s="62">
        <f>DS106+DS107-DS108</f>
        <v>165.99999999999989</v>
      </c>
      <c r="DT109" s="62">
        <f>DT106+DT107-DT108</f>
        <v>171.79999999999984</v>
      </c>
      <c r="DU109" s="62">
        <f>DU106+DU107-DU108</f>
        <v>177.39999999999986</v>
      </c>
      <c r="DV109" s="62">
        <f>DV106+DV107-DV108</f>
        <v>170.89999999999986</v>
      </c>
      <c r="DW109" s="62">
        <f>DV109</f>
        <v>170.89999999999986</v>
      </c>
      <c r="DX109" s="45"/>
      <c r="DY109" s="62">
        <f>DY106+DY107-DY108</f>
        <v>161.49999999999989</v>
      </c>
      <c r="DZ109" s="62">
        <f>DZ106+DZ107-DZ108</f>
        <v>159.79999999999984</v>
      </c>
      <c r="EA109" s="62">
        <f>EA106+EA107-EA108</f>
        <v>156.69999999999982</v>
      </c>
      <c r="EB109" s="62">
        <f>EB106+EB107-EB108</f>
        <v>149.79999999999984</v>
      </c>
      <c r="EC109" s="62">
        <f>EB109</f>
        <v>149.79999999999984</v>
      </c>
      <c r="ED109" s="45"/>
      <c r="EE109" s="62">
        <f>EE106+EE107-EE108</f>
        <v>144.14907242746426</v>
      </c>
      <c r="EF109" s="62">
        <f>EF106+EF107-EF108</f>
        <v>149.26947196722256</v>
      </c>
      <c r="EG109" s="62">
        <f>EG106+EG107-EG108</f>
        <v>149.03466814214073</v>
      </c>
      <c r="EH109" s="62">
        <f>EH106+EH107-EH108</f>
        <v>147.04957846371713</v>
      </c>
      <c r="EI109" s="62">
        <f>EH109</f>
        <v>147.04957846371713</v>
      </c>
      <c r="EJ109" s="45"/>
      <c r="EK109" s="62">
        <f>EK106+EK107-EK108</f>
        <v>139.58871305727632</v>
      </c>
      <c r="EL109" s="62">
        <f>EL106+EL107-EL108</f>
        <v>145.5578693954543</v>
      </c>
      <c r="EM109" s="62">
        <f>EM106+EM107-EM108</f>
        <v>144.74486771326917</v>
      </c>
      <c r="EN109" s="62">
        <f>EN106+EN107-EN108</f>
        <v>141.54369535324156</v>
      </c>
      <c r="EO109" s="62">
        <f>EN109</f>
        <v>141.54369535324156</v>
      </c>
      <c r="EP109" s="45"/>
      <c r="EQ109" s="62">
        <f>EQ106+EQ107-EQ108</f>
        <v>131.31372405998377</v>
      </c>
      <c r="ER109" s="62">
        <f>ER106+ER107-ER108</f>
        <v>136.99994117597362</v>
      </c>
      <c r="ES109" s="62">
        <f>ES106+ES107-ES108</f>
        <v>134.44657591070791</v>
      </c>
      <c r="ET109" s="62">
        <f>ET106+ET107-ET108</f>
        <v>128.93651845182808</v>
      </c>
      <c r="EU109" s="62">
        <f>ET109</f>
        <v>128.93651845182808</v>
      </c>
      <c r="EV109" s="45"/>
      <c r="EW109" s="45"/>
      <c r="EX109" s="45"/>
      <c r="EY109" s="45"/>
      <c r="EZ109" s="45"/>
      <c r="FA109" s="45"/>
      <c r="FB109" s="45"/>
    </row>
    <row r="110" spans="1:158" ht="10.5" hidden="1" customHeight="1" outlineLevel="1">
      <c r="A110" s="342" t="s">
        <v>3830</v>
      </c>
      <c r="B110" s="32"/>
      <c r="C110" s="61"/>
      <c r="D110" s="90"/>
      <c r="E110" s="90"/>
      <c r="F110" s="90"/>
      <c r="G110" s="61"/>
      <c r="H110" s="90"/>
      <c r="I110" s="90"/>
      <c r="J110" s="90"/>
      <c r="K110" s="61"/>
      <c r="L110" s="61"/>
      <c r="M110" s="61"/>
      <c r="N110" s="61"/>
      <c r="O110" s="62" t="s">
        <v>6442</v>
      </c>
      <c r="P110" s="61">
        <f>(AVERAGE(P106,O106)/P125/4)</f>
        <v>1.6304565057326181</v>
      </c>
      <c r="Q110" s="61">
        <f>(AVERAGE(Q106,P106)/Q125/4)</f>
        <v>1.989785099379668</v>
      </c>
      <c r="R110" s="61">
        <f>(AVERAGE(R106,Q106)/R125/4)</f>
        <v>1.2094524511409543</v>
      </c>
      <c r="S110" s="61">
        <f>R110</f>
        <v>1.2094524511409543</v>
      </c>
      <c r="T110" s="61"/>
      <c r="U110" s="61">
        <f>(AVERAGE(U106,S106)/U125/4)</f>
        <v>2.1132398475646066</v>
      </c>
      <c r="V110" s="61">
        <f>(AVERAGE(V106,U106)/V125/4)</f>
        <v>1.349281729163504</v>
      </c>
      <c r="W110" s="61">
        <f>(AVERAGE(W106,V106)/W125/4)</f>
        <v>1.9993968051472633</v>
      </c>
      <c r="X110" s="61">
        <f>(AVERAGE(X106,W106)/X125/4)</f>
        <v>1.9488682241481399</v>
      </c>
      <c r="Y110" s="61">
        <f>X110</f>
        <v>1.9488682241481399</v>
      </c>
      <c r="Z110" s="61"/>
      <c r="AA110" s="61">
        <f>(AVERAGE(AA106,Y106)/AA125/4)</f>
        <v>1.933770914448069</v>
      </c>
      <c r="AB110" s="61">
        <f>(AVERAGE(AB106,AA106)/AB125/4)</f>
        <v>2.2429824814986121</v>
      </c>
      <c r="AC110" s="61">
        <f>(AVERAGE(AC106,AB106)/AC125/4)</f>
        <v>2.4712043097061005</v>
      </c>
      <c r="AD110" s="61">
        <f>(AVERAGE(AD106,AC106)/AD125/4)</f>
        <v>2.5447815979444512</v>
      </c>
      <c r="AE110" s="61">
        <f>AD110</f>
        <v>2.5447815979444512</v>
      </c>
      <c r="AF110" s="61"/>
      <c r="AG110" s="61">
        <f>(AVERAGE(AG106,AE106)/AG125/4)</f>
        <v>2.7930507406240155</v>
      </c>
      <c r="AH110" s="61">
        <f>(AVERAGE(AH106,AG106)/AH125/4)</f>
        <v>2.9729772439949431</v>
      </c>
      <c r="AI110" s="61">
        <f>(AVERAGE(AI106,AH106)/AI125/4)</f>
        <v>3.1459821141349797</v>
      </c>
      <c r="AJ110" s="61">
        <f>(AVERAGE(AJ106,AI106)/AJ125/4)</f>
        <v>3.1794916767651009</v>
      </c>
      <c r="AK110" s="61">
        <f>AJ110</f>
        <v>3.1794916767651009</v>
      </c>
      <c r="AL110" s="61"/>
      <c r="AM110" s="61">
        <f>(AVERAGE(AM106,AK106)/AM125/4)</f>
        <v>4.0382112051911054</v>
      </c>
      <c r="AN110" s="61">
        <f>(AVERAGE(AN106,AM106)/AN125/4)</f>
        <v>4.3308847872868723</v>
      </c>
      <c r="AO110" s="61">
        <f>(AVERAGE(AO106,AN106)/AO125/4)</f>
        <v>4.3930211202938478</v>
      </c>
      <c r="AP110" s="61">
        <f>(AVERAGE(AP106,AO106)/AP125/4)</f>
        <v>4.3323419232669194</v>
      </c>
      <c r="AQ110" s="61">
        <f>AP110</f>
        <v>4.3323419232669194</v>
      </c>
      <c r="AR110" s="61"/>
      <c r="AS110" s="61">
        <f>(AVERAGE(AS106,AQ106)/AS125/4)</f>
        <v>4.2740107256033149</v>
      </c>
      <c r="AT110" s="61">
        <f>(AVERAGE(AT106,AS106)/AT125/4)</f>
        <v>4.5089346134325829</v>
      </c>
      <c r="AU110" s="61">
        <f>(AVERAGE(AU106,AT106)/AU125/4)</f>
        <v>4.5103172256483912</v>
      </c>
      <c r="AV110" s="61">
        <f>(AVERAGE(AV106,AU106)/AV125/4)</f>
        <v>3.6375558425240824</v>
      </c>
      <c r="AW110" s="61">
        <f>AV110</f>
        <v>3.6375558425240824</v>
      </c>
      <c r="AX110" s="61"/>
      <c r="AY110" s="61">
        <f>(AVERAGE(AY106,AW106)/AY125/4)</f>
        <v>4.14933</v>
      </c>
      <c r="AZ110" s="61">
        <f>(AVERAGE(AZ106,AY106)/AZ125/4)</f>
        <v>4.133095703125</v>
      </c>
      <c r="BA110" s="61">
        <f>(AVERAGE(BA106,AZ106)/BA125/4)</f>
        <v>3.8389097744360905</v>
      </c>
      <c r="BB110" s="61">
        <f>(AVERAGE(BB106,BA106)/BB125/4)</f>
        <v>3.623129699248119</v>
      </c>
      <c r="BC110" s="61">
        <f>BB110</f>
        <v>3.623129699248119</v>
      </c>
      <c r="BD110" s="61"/>
      <c r="BE110" s="61">
        <f>(AVERAGE(BE106,BC106)/BE125/4)</f>
        <v>3.8498908730158732</v>
      </c>
      <c r="BF110" s="61">
        <f>(AVERAGE(BF106,BE106)/BF125/4)</f>
        <v>4.235502136752137</v>
      </c>
      <c r="BG110" s="61">
        <f>(AVERAGE(BG106,BF106)/BG125/4)</f>
        <v>5.3043815789473685</v>
      </c>
      <c r="BH110" s="61">
        <f>(AVERAGE(BH106,BG106)/BH125/4)</f>
        <v>5.1906944444444454</v>
      </c>
      <c r="BI110" s="61">
        <f>BH110</f>
        <v>5.1906944444444454</v>
      </c>
      <c r="BJ110" s="61"/>
      <c r="BK110" s="61">
        <f>(AVERAGE(BK106,BI106)/BK125/4)</f>
        <v>4.2410000000000005</v>
      </c>
      <c r="BL110" s="61">
        <f>(AVERAGE(BL106,BK106)/BL125/4)</f>
        <v>4.0370370370370372</v>
      </c>
      <c r="BM110" s="61">
        <f>(AVERAGE(BM106,BL106)/BM125/4)</f>
        <v>4.2196969696969688</v>
      </c>
      <c r="BN110" s="61">
        <f>(AVERAGE(BN106,BM106)/BN125/4)</f>
        <v>3.9344405594405605</v>
      </c>
      <c r="BO110" s="61">
        <f>BN110</f>
        <v>3.9344405594405605</v>
      </c>
      <c r="BP110" s="61"/>
      <c r="BQ110" s="168">
        <f>(AVERAGE(BQ106,BO106)/BQ125/4)</f>
        <v>3.9982394366197189</v>
      </c>
      <c r="BR110" s="168">
        <f>(AVERAGE(BR106,BQ106)/BR125/4)</f>
        <v>4.046875</v>
      </c>
      <c r="BS110" s="168">
        <f>(AVERAGE(BS106,BR106)/BS125/4)</f>
        <v>3.879032258064516</v>
      </c>
      <c r="BT110" s="168">
        <f>(AVERAGE(BT106,BS106)/BT125/4)</f>
        <v>3.6518895348837219</v>
      </c>
      <c r="BU110" s="208">
        <f>BT110</f>
        <v>3.6518895348837219</v>
      </c>
      <c r="BV110" s="61"/>
      <c r="BW110" s="168">
        <f>(AVERAGE(BW106,BU106)/BW125/4)</f>
        <v>3.8735207100591724</v>
      </c>
      <c r="BX110" s="168">
        <f>(AVERAGE(BX106,BW106)/BX125/4)</f>
        <v>3.1542792792792791</v>
      </c>
      <c r="BY110" s="1574">
        <f>(AVERAGE(BY106,BX106)/BY125/4)</f>
        <v>2.9921259842519685</v>
      </c>
      <c r="BZ110" s="1574">
        <f>(AVERAGE(BZ106,BY106)/BZ125/4)</f>
        <v>2.7165750915750917</v>
      </c>
      <c r="CA110" s="1575">
        <f>BZ110</f>
        <v>2.7165750915750917</v>
      </c>
      <c r="CB110" s="1574"/>
      <c r="CC110" s="1574">
        <v>3.1</v>
      </c>
      <c r="CD110" s="1574">
        <v>3.1</v>
      </c>
      <c r="CE110" s="1575">
        <f>CD110</f>
        <v>3.1</v>
      </c>
      <c r="CF110" s="1575">
        <f>CE110</f>
        <v>3.1</v>
      </c>
      <c r="CG110" s="1575">
        <f>CF110</f>
        <v>3.1</v>
      </c>
      <c r="CH110" s="61"/>
      <c r="CI110" s="1574">
        <v>4</v>
      </c>
      <c r="CJ110" s="168">
        <f>(AVERAGE(CJ106,CI106)/CJ125/4)</f>
        <v>5.6161417322834648</v>
      </c>
      <c r="CK110" s="168">
        <f>(AVERAGE(CK106,CJ106)/CK125/4)</f>
        <v>5.722000000000004</v>
      </c>
      <c r="CL110" s="168">
        <f>(AVERAGE(CL106,CK106)/CL125/4)</f>
        <v>6.3347826086956474</v>
      </c>
      <c r="CM110" s="485"/>
      <c r="CN110" s="61"/>
      <c r="CO110" s="1575">
        <f>CL110+0.3</f>
        <v>6.6347826086956472</v>
      </c>
      <c r="CP110" s="1574">
        <f>(AVERAGE(CP106,CO106)/CP125/4)</f>
        <v>6.2594537815126046</v>
      </c>
      <c r="CQ110" s="1574">
        <f>(AVERAGE(CQ106,CP106)/CQ125/4)</f>
        <v>6.2083333333333321</v>
      </c>
      <c r="CR110" s="168">
        <f>(AVERAGE(CR106,CQ106)/CR125/4)</f>
        <v>6.7254273504273527</v>
      </c>
      <c r="CS110" s="485"/>
      <c r="CT110" s="61"/>
      <c r="CU110" s="168">
        <f>(AVERAGE(CU106,CR106)/CU125/4)</f>
        <v>7.3329741379310356</v>
      </c>
      <c r="CV110" s="223">
        <f>(AVERAGE(CV106,CU106)/CV125/4)</f>
        <v>7.7708333333333321</v>
      </c>
      <c r="CW110" s="223">
        <f>(AVERAGE(CW106,CV106)/CW125/4)</f>
        <v>8.2068584070796522</v>
      </c>
      <c r="CX110" s="223">
        <f>(AVERAGE(CX106,CW106)/CX125/4)</f>
        <v>8.2275641025641004</v>
      </c>
      <c r="CY110" s="485"/>
      <c r="CZ110" s="61"/>
      <c r="DA110" s="168">
        <f>(AVERAGE(DA106,CX106)/DA125/4)</f>
        <v>8.7782608695652158</v>
      </c>
      <c r="DB110" s="485">
        <f>DA110+0.5</f>
        <v>9.2782608695652158</v>
      </c>
      <c r="DC110" s="223">
        <f>(AVERAGE(DC106,DB106)/DC125/4)</f>
        <v>8.8649193548387046</v>
      </c>
      <c r="DD110" s="223">
        <f>(AVERAGE(DD106,DC106)/DD125/4)</f>
        <v>8.9384920634920633</v>
      </c>
      <c r="DE110" s="485"/>
      <c r="DF110" s="61"/>
      <c r="DG110" s="168">
        <f>(AVERAGE(DG106,DD106)/DG125/4)</f>
        <v>9.4743852459016367</v>
      </c>
      <c r="DH110" s="485">
        <f>DG110+0.5</f>
        <v>9.9743852459016367</v>
      </c>
      <c r="DI110" s="485">
        <f>DH110+0.5</f>
        <v>10.474385245901637</v>
      </c>
      <c r="DJ110" s="223">
        <f>(AVERAGE(DJ106,DI106)/DJ125/4)</f>
        <v>9.2703900709219855</v>
      </c>
      <c r="DK110" s="485"/>
      <c r="DL110" s="61"/>
      <c r="DM110" s="168">
        <f>(AVERAGE(DM106,DJ106)/DM125/4)</f>
        <v>8.7150974025974044</v>
      </c>
      <c r="DN110" s="485">
        <f>DM110+0.5</f>
        <v>9.2150974025974044</v>
      </c>
      <c r="DO110" s="485">
        <f>DN110+0.5</f>
        <v>9.7150974025974044</v>
      </c>
      <c r="DP110" s="223">
        <f>DO110+0.5</f>
        <v>10.215097402597404</v>
      </c>
      <c r="DQ110" s="485"/>
      <c r="DR110" s="61"/>
      <c r="DS110" s="168">
        <f>(AVERAGE(DS106,DP106)/DS125/4)</f>
        <v>8.2547043010752699</v>
      </c>
      <c r="DT110" s="485">
        <f>DS110+4</f>
        <v>12.25470430107527</v>
      </c>
      <c r="DU110" s="485">
        <f>DT110+4</f>
        <v>16.254704301075272</v>
      </c>
      <c r="DV110" s="223">
        <f>DU110+0.5</f>
        <v>16.754704301075272</v>
      </c>
      <c r="DW110" s="485"/>
      <c r="DX110" s="45"/>
      <c r="DY110" s="168">
        <f>(AVERAGE(DY106,DV106)/DY125/4)</f>
        <v>9.4902777777777771</v>
      </c>
      <c r="DZ110" s="485">
        <f>DY110+0.5</f>
        <v>9.9902777777777771</v>
      </c>
      <c r="EA110" s="485">
        <f>DZ110+4</f>
        <v>13.990277777777777</v>
      </c>
      <c r="EB110" s="223">
        <f>EA110+0.5</f>
        <v>14.490277777777777</v>
      </c>
      <c r="EC110" s="485"/>
      <c r="ED110" s="45"/>
      <c r="EE110" s="485">
        <f>EB110</f>
        <v>14.490277777777777</v>
      </c>
      <c r="EF110" s="485">
        <f>EE110</f>
        <v>14.490277777777777</v>
      </c>
      <c r="EG110" s="485">
        <f>EF110</f>
        <v>14.490277777777777</v>
      </c>
      <c r="EH110" s="485">
        <f>EG110</f>
        <v>14.490277777777777</v>
      </c>
      <c r="EI110" s="485"/>
      <c r="EJ110" s="45"/>
      <c r="EK110" s="485">
        <f>EE110</f>
        <v>14.490277777777777</v>
      </c>
      <c r="EL110" s="485">
        <f t="shared" ref="EL110:EN110" si="141">EF110</f>
        <v>14.490277777777777</v>
      </c>
      <c r="EM110" s="485">
        <f t="shared" si="141"/>
        <v>14.490277777777777</v>
      </c>
      <c r="EN110" s="485">
        <f t="shared" si="141"/>
        <v>14.490277777777777</v>
      </c>
      <c r="EO110" s="485"/>
      <c r="EP110" s="45"/>
      <c r="EQ110" s="485">
        <f>EK110</f>
        <v>14.490277777777777</v>
      </c>
      <c r="ER110" s="485">
        <f t="shared" ref="ER110" si="142">EL110</f>
        <v>14.490277777777777</v>
      </c>
      <c r="ES110" s="485">
        <f t="shared" ref="ES110" si="143">EM110</f>
        <v>14.490277777777777</v>
      </c>
      <c r="ET110" s="485">
        <f t="shared" ref="ET110" si="144">EN110</f>
        <v>14.490277777777777</v>
      </c>
      <c r="EU110" s="485"/>
      <c r="EV110" s="45"/>
      <c r="EW110" s="45"/>
      <c r="EX110" s="45"/>
      <c r="EY110" s="45"/>
      <c r="EZ110" s="45"/>
      <c r="FA110" s="45"/>
      <c r="FB110" s="45"/>
    </row>
    <row r="111" spans="1:158" ht="10.5" hidden="1" customHeight="1" outlineLevel="1">
      <c r="A111" s="342"/>
      <c r="B111" s="32"/>
      <c r="C111" s="353"/>
      <c r="D111" s="90"/>
      <c r="E111" s="90"/>
      <c r="F111" s="90"/>
      <c r="G111" s="61"/>
      <c r="H111" s="90"/>
      <c r="I111" s="90"/>
      <c r="J111" s="90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485"/>
      <c r="BG111" s="485"/>
      <c r="BH111" s="485"/>
      <c r="BI111" s="485"/>
      <c r="BJ111" s="168"/>
      <c r="BK111" s="485"/>
      <c r="BL111" s="485"/>
      <c r="BM111" s="485"/>
      <c r="BN111" s="485"/>
      <c r="BO111" s="485"/>
      <c r="BP111" s="168"/>
      <c r="BQ111" s="485"/>
      <c r="BR111" s="485"/>
      <c r="BS111" s="485"/>
      <c r="BT111" s="485"/>
      <c r="BU111" s="485"/>
      <c r="BV111" s="168"/>
      <c r="BW111" s="485"/>
      <c r="BX111" s="485"/>
      <c r="BY111" s="1489"/>
      <c r="BZ111" s="1489"/>
      <c r="CA111" s="1489"/>
      <c r="CB111" s="223"/>
      <c r="CC111" s="1489"/>
      <c r="CD111" s="1489"/>
      <c r="CE111" s="485"/>
      <c r="CF111" s="485"/>
      <c r="CG111" s="485"/>
      <c r="CH111" s="168"/>
      <c r="CI111" s="1489"/>
      <c r="CJ111" s="1489"/>
      <c r="CK111" s="485"/>
      <c r="CL111" s="485"/>
      <c r="CM111" s="485"/>
      <c r="CN111" s="168"/>
      <c r="CO111" s="485"/>
      <c r="CP111" s="1489"/>
      <c r="CQ111" s="485"/>
      <c r="CR111" s="485"/>
      <c r="CS111" s="485"/>
      <c r="CT111" s="168"/>
      <c r="CU111" s="485"/>
      <c r="CV111" s="485"/>
      <c r="CW111" s="485"/>
      <c r="CX111" s="485"/>
      <c r="CY111" s="485"/>
      <c r="CZ111" s="168"/>
      <c r="DA111" s="485"/>
      <c r="DB111" s="485"/>
      <c r="DC111" s="485"/>
      <c r="DD111" s="485"/>
      <c r="DE111" s="485"/>
      <c r="DF111" s="168"/>
      <c r="DG111" s="485"/>
      <c r="DH111" s="485"/>
      <c r="DI111" s="485"/>
      <c r="DJ111" s="485"/>
      <c r="DK111" s="485"/>
      <c r="DL111" s="168"/>
      <c r="DM111" s="485"/>
      <c r="DN111" s="485"/>
      <c r="DO111" s="485"/>
      <c r="DP111" s="485"/>
      <c r="DQ111" s="485"/>
      <c r="DR111" s="168"/>
      <c r="DS111" s="485"/>
      <c r="DT111" s="485"/>
      <c r="DU111" s="485"/>
      <c r="DV111" s="485"/>
      <c r="DW111" s="485"/>
      <c r="DX111" s="27"/>
      <c r="DY111" s="485"/>
      <c r="DZ111" s="485"/>
      <c r="EA111" s="485"/>
      <c r="EB111" s="485"/>
      <c r="EC111" s="485"/>
      <c r="ED111" s="27"/>
      <c r="EE111" s="485"/>
      <c r="EF111" s="485"/>
      <c r="EG111" s="485"/>
      <c r="EH111" s="485"/>
      <c r="EI111" s="485"/>
      <c r="EJ111" s="27"/>
      <c r="EK111" s="485"/>
      <c r="EL111" s="485"/>
      <c r="EM111" s="485"/>
      <c r="EN111" s="485"/>
      <c r="EO111" s="485"/>
      <c r="EP111" s="27"/>
      <c r="EQ111" s="485"/>
      <c r="ER111" s="485"/>
      <c r="ES111" s="485"/>
      <c r="ET111" s="485"/>
      <c r="EU111" s="485"/>
      <c r="EV111" s="27"/>
      <c r="EW111" s="27"/>
      <c r="EX111" s="27"/>
      <c r="EY111" s="27"/>
      <c r="EZ111" s="27"/>
      <c r="FA111" s="27"/>
      <c r="FB111" s="27"/>
    </row>
    <row r="112" spans="1:158" ht="11.25" hidden="1" customHeight="1" outlineLevel="1">
      <c r="A112" s="31" t="s">
        <v>5237</v>
      </c>
      <c r="B112" s="32"/>
      <c r="C112" s="353"/>
      <c r="D112" s="90"/>
      <c r="E112" s="90"/>
      <c r="F112" s="90"/>
      <c r="G112" s="61"/>
      <c r="H112" s="90"/>
      <c r="I112" s="90"/>
      <c r="J112" s="90"/>
      <c r="K112" s="168"/>
      <c r="L112" s="168"/>
      <c r="M112" s="168"/>
      <c r="N112" s="168"/>
      <c r="O112" s="168"/>
      <c r="P112" s="168"/>
      <c r="Q112" s="168"/>
      <c r="R112" s="168"/>
      <c r="S112" s="168"/>
      <c r="T112" s="168"/>
      <c r="U112" s="168"/>
      <c r="V112" s="168"/>
      <c r="W112" s="168"/>
      <c r="X112" s="168"/>
      <c r="Y112" s="168"/>
      <c r="Z112" s="168"/>
      <c r="AA112" s="168"/>
      <c r="AB112" s="168"/>
      <c r="AC112" s="168"/>
      <c r="AD112" s="168"/>
      <c r="AE112" s="168"/>
      <c r="AF112" s="168"/>
      <c r="AG112" s="168"/>
      <c r="AH112" s="168"/>
      <c r="AI112" s="168"/>
      <c r="AJ112" s="168"/>
      <c r="AK112" s="168"/>
      <c r="AL112" s="168"/>
      <c r="AM112" s="168"/>
      <c r="AN112" s="168"/>
      <c r="AO112" s="168"/>
      <c r="AP112" s="168"/>
      <c r="AQ112" s="168"/>
      <c r="AR112" s="168"/>
      <c r="AS112" s="168"/>
      <c r="AT112" s="168"/>
      <c r="AU112" s="168"/>
      <c r="AV112" s="168"/>
      <c r="AW112" s="168"/>
      <c r="AX112" s="168"/>
      <c r="AY112" s="168"/>
      <c r="AZ112" s="168"/>
      <c r="BA112" s="168"/>
      <c r="BB112" s="168"/>
      <c r="BC112" s="168"/>
      <c r="BD112" s="168"/>
      <c r="BE112" s="239"/>
      <c r="BF112" s="485"/>
      <c r="BG112" s="485"/>
      <c r="BH112" s="485"/>
      <c r="BI112" s="485"/>
      <c r="BJ112" s="168"/>
      <c r="BK112" s="485"/>
      <c r="BL112" s="485"/>
      <c r="BM112" s="485"/>
      <c r="BN112" s="485"/>
      <c r="BO112" s="485"/>
      <c r="BP112" s="168"/>
      <c r="BQ112" s="485"/>
      <c r="BR112" s="485"/>
      <c r="BS112" s="485"/>
      <c r="BT112" s="485"/>
      <c r="BU112" s="485"/>
      <c r="BV112" s="168"/>
      <c r="BW112" s="485"/>
      <c r="BX112" s="485"/>
      <c r="BY112" s="1489"/>
      <c r="BZ112" s="1489"/>
      <c r="CA112" s="1489"/>
      <c r="CB112" s="223"/>
      <c r="CC112" s="1489"/>
      <c r="CD112" s="1489"/>
      <c r="CE112" s="485"/>
      <c r="CF112" s="485"/>
      <c r="CG112" s="485"/>
      <c r="CH112" s="168"/>
      <c r="CI112" s="1489"/>
      <c r="CJ112" s="1489"/>
      <c r="CK112" s="485"/>
      <c r="CL112" s="485"/>
      <c r="CM112" s="485"/>
      <c r="CN112" s="168"/>
      <c r="CO112" s="485"/>
      <c r="CP112" s="1489"/>
      <c r="CQ112" s="485"/>
      <c r="CR112" s="485"/>
      <c r="CS112" s="485"/>
      <c r="CT112" s="168"/>
      <c r="CU112" s="485"/>
      <c r="CV112" s="485"/>
      <c r="CW112" s="485"/>
      <c r="CX112" s="485"/>
      <c r="CY112" s="485"/>
      <c r="CZ112" s="168"/>
      <c r="DA112" s="485"/>
      <c r="DB112" s="485"/>
      <c r="DC112" s="485"/>
      <c r="DD112" s="485"/>
      <c r="DE112" s="485"/>
      <c r="DF112" s="168"/>
      <c r="DG112" s="485"/>
      <c r="DH112" s="485"/>
      <c r="DI112" s="485"/>
      <c r="DJ112" s="485"/>
      <c r="DK112" s="485"/>
      <c r="DL112" s="168"/>
      <c r="DM112" s="485"/>
      <c r="DN112" s="485"/>
      <c r="DO112" s="485"/>
      <c r="DP112" s="485"/>
      <c r="DQ112" s="485"/>
      <c r="DR112" s="168"/>
      <c r="DS112" s="485"/>
      <c r="DT112" s="485"/>
      <c r="DU112" s="485"/>
      <c r="DV112" s="485"/>
      <c r="DW112" s="485"/>
      <c r="DX112" s="27"/>
      <c r="DY112" s="485"/>
      <c r="DZ112" s="485"/>
      <c r="EA112" s="485"/>
      <c r="EB112" s="485"/>
      <c r="EC112" s="485"/>
      <c r="ED112" s="27"/>
      <c r="EE112" s="485"/>
      <c r="EF112" s="485"/>
      <c r="EG112" s="485"/>
      <c r="EH112" s="485"/>
      <c r="EI112" s="485"/>
      <c r="EJ112" s="27"/>
      <c r="EK112" s="485"/>
      <c r="EL112" s="485"/>
      <c r="EM112" s="485"/>
      <c r="EN112" s="485"/>
      <c r="EO112" s="485"/>
      <c r="EP112" s="27"/>
      <c r="EQ112" s="485"/>
      <c r="ER112" s="485"/>
      <c r="ES112" s="485"/>
      <c r="ET112" s="485"/>
      <c r="EU112" s="485"/>
      <c r="EV112" s="27"/>
      <c r="EW112" s="27"/>
      <c r="EX112" s="27"/>
      <c r="EY112" s="27"/>
      <c r="EZ112" s="27"/>
      <c r="FA112" s="27"/>
      <c r="FB112" s="27"/>
    </row>
    <row r="113" spans="1:158" ht="10.5" hidden="1" customHeight="1" outlineLevel="1">
      <c r="A113" s="265" t="s">
        <v>5239</v>
      </c>
      <c r="B113" s="32"/>
      <c r="C113" s="61"/>
      <c r="D113" s="90"/>
      <c r="E113" s="90"/>
      <c r="F113" s="90"/>
      <c r="G113" s="61"/>
      <c r="H113" s="90"/>
      <c r="I113" s="90"/>
      <c r="J113" s="90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>
        <v>133.029</v>
      </c>
      <c r="AQ113" s="61">
        <f>AP113</f>
        <v>133.029</v>
      </c>
      <c r="AR113" s="61"/>
      <c r="AS113" s="61">
        <v>133.94900000000001</v>
      </c>
      <c r="AT113" s="61">
        <v>133.94900000000001</v>
      </c>
      <c r="AU113" s="61">
        <v>131.934</v>
      </c>
      <c r="AV113" s="61">
        <v>133.041</v>
      </c>
      <c r="AW113" s="61">
        <f>AV113</f>
        <v>133.041</v>
      </c>
      <c r="AX113" s="61"/>
      <c r="AY113" s="61">
        <v>134.941</v>
      </c>
      <c r="AZ113" s="61">
        <v>137.108</v>
      </c>
      <c r="BA113" s="61">
        <v>137.108</v>
      </c>
      <c r="BB113" s="61">
        <v>137.108</v>
      </c>
      <c r="BC113" s="61">
        <f>BB113</f>
        <v>137.108</v>
      </c>
      <c r="BD113" s="61"/>
      <c r="BE113" s="61">
        <v>140.80799999999999</v>
      </c>
      <c r="BF113" s="62">
        <v>148.108</v>
      </c>
      <c r="BG113" s="62">
        <v>149.90799999999999</v>
      </c>
      <c r="BH113" s="61">
        <v>185.2</v>
      </c>
      <c r="BI113" s="61">
        <f>BH113</f>
        <v>185.2</v>
      </c>
      <c r="BJ113" s="61"/>
      <c r="BK113" s="61">
        <v>190.4</v>
      </c>
      <c r="BL113" s="62">
        <v>190.4</v>
      </c>
      <c r="BM113" s="62">
        <v>199.4</v>
      </c>
      <c r="BN113" s="61">
        <v>199.4</v>
      </c>
      <c r="BO113" s="61">
        <f t="shared" ref="BL113:BO114" si="145">BN113</f>
        <v>199.4</v>
      </c>
      <c r="BP113" s="61"/>
      <c r="BQ113" s="62">
        <v>199.4</v>
      </c>
      <c r="BR113" s="62">
        <v>206</v>
      </c>
      <c r="BS113" s="62">
        <v>218.6</v>
      </c>
      <c r="BT113" s="62">
        <v>227.5</v>
      </c>
      <c r="BU113" s="62">
        <f t="shared" ref="BR113:BU114" si="146">BT113</f>
        <v>227.5</v>
      </c>
      <c r="BV113" s="61"/>
      <c r="BW113" s="62">
        <v>228.3</v>
      </c>
      <c r="BX113" s="62">
        <v>280</v>
      </c>
      <c r="BY113" s="1488">
        <f t="shared" ref="BX113:CA114" si="147">BX113</f>
        <v>280</v>
      </c>
      <c r="BZ113" s="1488">
        <v>302.39999999999998</v>
      </c>
      <c r="CA113" s="1488">
        <f t="shared" si="147"/>
        <v>302.39999999999998</v>
      </c>
      <c r="CB113" s="428"/>
      <c r="CC113" s="1488">
        <f>CA113</f>
        <v>302.39999999999998</v>
      </c>
      <c r="CD113" s="1488">
        <f>CC113</f>
        <v>302.39999999999998</v>
      </c>
      <c r="CE113" s="481">
        <f>CD113</f>
        <v>302.39999999999998</v>
      </c>
      <c r="CF113" s="481">
        <v>311.5</v>
      </c>
      <c r="CG113" s="481">
        <f>CF113</f>
        <v>311.5</v>
      </c>
      <c r="CH113" s="61"/>
      <c r="CI113" s="1488">
        <f>CG113</f>
        <v>311.5</v>
      </c>
      <c r="CJ113" s="1488">
        <f>CI113</f>
        <v>311.5</v>
      </c>
      <c r="CK113" s="481">
        <f t="shared" ref="CK113:CM114" si="148">CJ113</f>
        <v>311.5</v>
      </c>
      <c r="CL113" s="481">
        <f>CK113</f>
        <v>311.5</v>
      </c>
      <c r="CM113" s="481">
        <f t="shared" si="148"/>
        <v>311.5</v>
      </c>
      <c r="CN113" s="61"/>
      <c r="CO113" s="481">
        <f>CM113</f>
        <v>311.5</v>
      </c>
      <c r="CP113" s="1488">
        <f>CO113</f>
        <v>311.5</v>
      </c>
      <c r="CQ113" s="481">
        <f>CP113</f>
        <v>311.5</v>
      </c>
      <c r="CR113" s="481">
        <f>CQ113</f>
        <v>311.5</v>
      </c>
      <c r="CS113" s="481">
        <f>CR113</f>
        <v>311.5</v>
      </c>
      <c r="CT113" s="61"/>
      <c r="CU113" s="481">
        <f>CS113</f>
        <v>311.5</v>
      </c>
      <c r="CV113" s="481">
        <f t="shared" ref="CV113:CY114" si="149">CU113</f>
        <v>311.5</v>
      </c>
      <c r="CW113" s="481">
        <f>CV113</f>
        <v>311.5</v>
      </c>
      <c r="CX113" s="481">
        <f t="shared" si="149"/>
        <v>311.5</v>
      </c>
      <c r="CY113" s="481">
        <f>CX113</f>
        <v>311.5</v>
      </c>
      <c r="CZ113" s="61"/>
      <c r="DA113" s="481">
        <f>CY113</f>
        <v>311.5</v>
      </c>
      <c r="DB113" s="481">
        <f t="shared" ref="DB113:DE114" si="150">DA113</f>
        <v>311.5</v>
      </c>
      <c r="DC113" s="481">
        <f>DB113</f>
        <v>311.5</v>
      </c>
      <c r="DD113" s="481">
        <f t="shared" si="150"/>
        <v>311.5</v>
      </c>
      <c r="DE113" s="481">
        <f t="shared" si="150"/>
        <v>311.5</v>
      </c>
      <c r="DF113" s="61"/>
      <c r="DG113" s="481">
        <f>DE113</f>
        <v>311.5</v>
      </c>
      <c r="DH113" s="481">
        <f>DG113</f>
        <v>311.5</v>
      </c>
      <c r="DI113" s="481">
        <f t="shared" ref="DI113:DK114" si="151">DH113</f>
        <v>311.5</v>
      </c>
      <c r="DJ113" s="481">
        <f t="shared" si="151"/>
        <v>311.5</v>
      </c>
      <c r="DK113" s="481">
        <f t="shared" si="151"/>
        <v>311.5</v>
      </c>
      <c r="DL113" s="61"/>
      <c r="DM113" s="481">
        <f>DK113</f>
        <v>311.5</v>
      </c>
      <c r="DN113" s="481">
        <f>DM113</f>
        <v>311.5</v>
      </c>
      <c r="DO113" s="481">
        <f t="shared" ref="DO113:DO114" si="152">DN113</f>
        <v>311.5</v>
      </c>
      <c r="DP113" s="481">
        <f t="shared" ref="DP113:DQ114" si="153">DO113</f>
        <v>311.5</v>
      </c>
      <c r="DQ113" s="481">
        <f t="shared" si="153"/>
        <v>311.5</v>
      </c>
      <c r="DR113" s="61"/>
      <c r="DS113" s="481">
        <f>DQ113</f>
        <v>311.5</v>
      </c>
      <c r="DT113" s="481">
        <f t="shared" ref="DT113:DW114" si="154">DS113</f>
        <v>311.5</v>
      </c>
      <c r="DU113" s="481">
        <f t="shared" si="154"/>
        <v>311.5</v>
      </c>
      <c r="DV113" s="481">
        <f t="shared" si="154"/>
        <v>311.5</v>
      </c>
      <c r="DW113" s="481">
        <f t="shared" si="154"/>
        <v>311.5</v>
      </c>
      <c r="DX113" s="45"/>
      <c r="DY113" s="481">
        <f>DW113</f>
        <v>311.5</v>
      </c>
      <c r="DZ113" s="481">
        <f t="shared" ref="DZ113:EC114" si="155">DY113</f>
        <v>311.5</v>
      </c>
      <c r="EA113" s="481">
        <f t="shared" si="155"/>
        <v>311.5</v>
      </c>
      <c r="EB113" s="481">
        <f t="shared" si="155"/>
        <v>311.5</v>
      </c>
      <c r="EC113" s="481">
        <f t="shared" si="155"/>
        <v>311.5</v>
      </c>
      <c r="ED113" s="45"/>
      <c r="EE113" s="481">
        <f>EC113</f>
        <v>311.5</v>
      </c>
      <c r="EF113" s="481">
        <f t="shared" ref="EF113:EF114" si="156">EE113</f>
        <v>311.5</v>
      </c>
      <c r="EG113" s="481">
        <f t="shared" ref="EG113:EG114" si="157">EF113</f>
        <v>311.5</v>
      </c>
      <c r="EH113" s="481">
        <f t="shared" ref="EH113:EH114" si="158">EG113</f>
        <v>311.5</v>
      </c>
      <c r="EI113" s="481">
        <f t="shared" ref="EI113:EI114" si="159">EH113</f>
        <v>311.5</v>
      </c>
      <c r="EJ113" s="45"/>
      <c r="EK113" s="481">
        <f>EI113</f>
        <v>311.5</v>
      </c>
      <c r="EL113" s="481">
        <f t="shared" ref="EL113:EL114" si="160">EK113</f>
        <v>311.5</v>
      </c>
      <c r="EM113" s="481">
        <f t="shared" ref="EM113:EM114" si="161">EL113</f>
        <v>311.5</v>
      </c>
      <c r="EN113" s="481">
        <f t="shared" ref="EN113:EN114" si="162">EM113</f>
        <v>311.5</v>
      </c>
      <c r="EO113" s="481">
        <f t="shared" ref="EO113:EO114" si="163">EN113</f>
        <v>311.5</v>
      </c>
      <c r="EP113" s="45"/>
      <c r="EQ113" s="481">
        <f>EO113</f>
        <v>311.5</v>
      </c>
      <c r="ER113" s="481">
        <f t="shared" ref="ER113:ER114" si="164">EQ113</f>
        <v>311.5</v>
      </c>
      <c r="ES113" s="481">
        <f t="shared" ref="ES113:ES114" si="165">ER113</f>
        <v>311.5</v>
      </c>
      <c r="ET113" s="481">
        <f t="shared" ref="ET113:ET114" si="166">ES113</f>
        <v>311.5</v>
      </c>
      <c r="EU113" s="481">
        <f t="shared" ref="EU113:EU114" si="167">ET113</f>
        <v>311.5</v>
      </c>
      <c r="EV113" s="45"/>
      <c r="EW113" s="45"/>
      <c r="EX113" s="45"/>
      <c r="EY113" s="45"/>
      <c r="EZ113" s="45"/>
      <c r="FA113" s="45"/>
      <c r="FB113" s="45"/>
    </row>
    <row r="114" spans="1:158" ht="10.5" hidden="1" customHeight="1" outlineLevel="1">
      <c r="A114" s="265" t="s">
        <v>5238</v>
      </c>
      <c r="B114" s="32"/>
      <c r="C114" s="61"/>
      <c r="D114" s="90"/>
      <c r="E114" s="90"/>
      <c r="F114" s="90"/>
      <c r="G114" s="61"/>
      <c r="H114" s="90"/>
      <c r="I114" s="90"/>
      <c r="J114" s="90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>
        <v>18.440000000000001</v>
      </c>
      <c r="AQ114" s="61">
        <f>AP114</f>
        <v>18.440000000000001</v>
      </c>
      <c r="AR114" s="61"/>
      <c r="AS114" s="61">
        <v>18.594000000000001</v>
      </c>
      <c r="AT114" s="61">
        <v>18.445</v>
      </c>
      <c r="AU114" s="61">
        <v>18.445</v>
      </c>
      <c r="AV114" s="61">
        <v>20.875</v>
      </c>
      <c r="AW114" s="61">
        <f>AV114</f>
        <v>20.875</v>
      </c>
      <c r="AX114" s="61"/>
      <c r="AY114" s="61">
        <v>21.78</v>
      </c>
      <c r="AZ114" s="61">
        <v>21.78</v>
      </c>
      <c r="BA114" s="61">
        <v>21.78</v>
      </c>
      <c r="BB114" s="61">
        <v>21.78</v>
      </c>
      <c r="BC114" s="61">
        <f>BB114</f>
        <v>21.78</v>
      </c>
      <c r="BD114" s="61"/>
      <c r="BE114" s="61">
        <v>21.78</v>
      </c>
      <c r="BF114" s="62">
        <v>21.78</v>
      </c>
      <c r="BG114" s="62">
        <v>21.78</v>
      </c>
      <c r="BH114" s="61">
        <v>0</v>
      </c>
      <c r="BI114" s="61">
        <f>BH114</f>
        <v>0</v>
      </c>
      <c r="BJ114" s="61"/>
      <c r="BK114" s="61">
        <v>0</v>
      </c>
      <c r="BL114" s="62">
        <f t="shared" si="145"/>
        <v>0</v>
      </c>
      <c r="BM114" s="62">
        <f t="shared" si="145"/>
        <v>0</v>
      </c>
      <c r="BN114" s="61">
        <v>0</v>
      </c>
      <c r="BO114" s="61">
        <f t="shared" si="145"/>
        <v>0</v>
      </c>
      <c r="BP114" s="61"/>
      <c r="BQ114" s="62">
        <f>BO114</f>
        <v>0</v>
      </c>
      <c r="BR114" s="62">
        <f t="shared" si="146"/>
        <v>0</v>
      </c>
      <c r="BS114" s="62">
        <f t="shared" si="146"/>
        <v>0</v>
      </c>
      <c r="BT114" s="62">
        <f t="shared" si="146"/>
        <v>0</v>
      </c>
      <c r="BU114" s="62">
        <f t="shared" si="146"/>
        <v>0</v>
      </c>
      <c r="BV114" s="61"/>
      <c r="BW114" s="62">
        <f>BU114</f>
        <v>0</v>
      </c>
      <c r="BX114" s="62">
        <f t="shared" si="147"/>
        <v>0</v>
      </c>
      <c r="BY114" s="1488">
        <f t="shared" si="147"/>
        <v>0</v>
      </c>
      <c r="BZ114" s="1488">
        <f t="shared" si="147"/>
        <v>0</v>
      </c>
      <c r="CA114" s="1488">
        <f t="shared" si="147"/>
        <v>0</v>
      </c>
      <c r="CB114" s="428"/>
      <c r="CC114" s="1488">
        <f>CA114</f>
        <v>0</v>
      </c>
      <c r="CD114" s="1488">
        <f>CB114</f>
        <v>0</v>
      </c>
      <c r="CE114" s="481">
        <f>CC114</f>
        <v>0</v>
      </c>
      <c r="CF114" s="481">
        <f>CD114</f>
        <v>0</v>
      </c>
      <c r="CG114" s="481">
        <f>CF114</f>
        <v>0</v>
      </c>
      <c r="CH114" s="61"/>
      <c r="CI114" s="1488">
        <f>CG114</f>
        <v>0</v>
      </c>
      <c r="CJ114" s="1488">
        <f>CH114</f>
        <v>0</v>
      </c>
      <c r="CK114" s="481">
        <f t="shared" si="148"/>
        <v>0</v>
      </c>
      <c r="CL114" s="481">
        <f>CK114</f>
        <v>0</v>
      </c>
      <c r="CM114" s="481">
        <f t="shared" si="148"/>
        <v>0</v>
      </c>
      <c r="CN114" s="61"/>
      <c r="CO114" s="481">
        <f>CM114</f>
        <v>0</v>
      </c>
      <c r="CP114" s="1488">
        <f>CN114</f>
        <v>0</v>
      </c>
      <c r="CQ114" s="481">
        <f>CP114</f>
        <v>0</v>
      </c>
      <c r="CR114" s="481">
        <f>CQ114</f>
        <v>0</v>
      </c>
      <c r="CS114" s="481">
        <f>CR114</f>
        <v>0</v>
      </c>
      <c r="CT114" s="61"/>
      <c r="CU114" s="481">
        <f>CS114</f>
        <v>0</v>
      </c>
      <c r="CV114" s="481">
        <f t="shared" si="149"/>
        <v>0</v>
      </c>
      <c r="CW114" s="481">
        <f>CV114</f>
        <v>0</v>
      </c>
      <c r="CX114" s="481">
        <f t="shared" si="149"/>
        <v>0</v>
      </c>
      <c r="CY114" s="481">
        <f t="shared" si="149"/>
        <v>0</v>
      </c>
      <c r="CZ114" s="61"/>
      <c r="DA114" s="481">
        <f>CY114</f>
        <v>0</v>
      </c>
      <c r="DB114" s="481">
        <f t="shared" si="150"/>
        <v>0</v>
      </c>
      <c r="DC114" s="481">
        <f>DB114</f>
        <v>0</v>
      </c>
      <c r="DD114" s="481">
        <f t="shared" si="150"/>
        <v>0</v>
      </c>
      <c r="DE114" s="481">
        <f t="shared" si="150"/>
        <v>0</v>
      </c>
      <c r="DF114" s="61"/>
      <c r="DG114" s="481">
        <f>DE114</f>
        <v>0</v>
      </c>
      <c r="DH114" s="481">
        <f>DG114</f>
        <v>0</v>
      </c>
      <c r="DI114" s="481">
        <f t="shared" si="151"/>
        <v>0</v>
      </c>
      <c r="DJ114" s="481">
        <f t="shared" si="151"/>
        <v>0</v>
      </c>
      <c r="DK114" s="481">
        <f t="shared" si="151"/>
        <v>0</v>
      </c>
      <c r="DL114" s="61"/>
      <c r="DM114" s="481">
        <f>DK114</f>
        <v>0</v>
      </c>
      <c r="DN114" s="481">
        <f>DM114</f>
        <v>0</v>
      </c>
      <c r="DO114" s="481">
        <f t="shared" si="152"/>
        <v>0</v>
      </c>
      <c r="DP114" s="481">
        <f t="shared" si="153"/>
        <v>0</v>
      </c>
      <c r="DQ114" s="481">
        <f t="shared" si="153"/>
        <v>0</v>
      </c>
      <c r="DR114" s="61"/>
      <c r="DS114" s="481">
        <f>DQ114</f>
        <v>0</v>
      </c>
      <c r="DT114" s="481">
        <f t="shared" si="154"/>
        <v>0</v>
      </c>
      <c r="DU114" s="481">
        <f t="shared" si="154"/>
        <v>0</v>
      </c>
      <c r="DV114" s="481">
        <f t="shared" si="154"/>
        <v>0</v>
      </c>
      <c r="DW114" s="481">
        <f t="shared" si="154"/>
        <v>0</v>
      </c>
      <c r="DX114" s="45"/>
      <c r="DY114" s="481">
        <f>DW114</f>
        <v>0</v>
      </c>
      <c r="DZ114" s="481">
        <f t="shared" si="155"/>
        <v>0</v>
      </c>
      <c r="EA114" s="481">
        <f t="shared" si="155"/>
        <v>0</v>
      </c>
      <c r="EB114" s="481">
        <f t="shared" si="155"/>
        <v>0</v>
      </c>
      <c r="EC114" s="481">
        <f t="shared" si="155"/>
        <v>0</v>
      </c>
      <c r="ED114" s="45"/>
      <c r="EE114" s="481">
        <f>EC114</f>
        <v>0</v>
      </c>
      <c r="EF114" s="481">
        <f t="shared" si="156"/>
        <v>0</v>
      </c>
      <c r="EG114" s="481">
        <f t="shared" si="157"/>
        <v>0</v>
      </c>
      <c r="EH114" s="481">
        <f t="shared" si="158"/>
        <v>0</v>
      </c>
      <c r="EI114" s="481">
        <f t="shared" si="159"/>
        <v>0</v>
      </c>
      <c r="EJ114" s="45"/>
      <c r="EK114" s="481">
        <f>EI114</f>
        <v>0</v>
      </c>
      <c r="EL114" s="481">
        <f t="shared" si="160"/>
        <v>0</v>
      </c>
      <c r="EM114" s="481">
        <f t="shared" si="161"/>
        <v>0</v>
      </c>
      <c r="EN114" s="481">
        <f t="shared" si="162"/>
        <v>0</v>
      </c>
      <c r="EO114" s="481">
        <f t="shared" si="163"/>
        <v>0</v>
      </c>
      <c r="EP114" s="45"/>
      <c r="EQ114" s="481">
        <f>EO114</f>
        <v>0</v>
      </c>
      <c r="ER114" s="481">
        <f t="shared" si="164"/>
        <v>0</v>
      </c>
      <c r="ES114" s="481">
        <f t="shared" si="165"/>
        <v>0</v>
      </c>
      <c r="ET114" s="481">
        <f t="shared" si="166"/>
        <v>0</v>
      </c>
      <c r="EU114" s="481">
        <f t="shared" si="167"/>
        <v>0</v>
      </c>
      <c r="EV114" s="45"/>
      <c r="EW114" s="45"/>
      <c r="EX114" s="45"/>
      <c r="EY114" s="45"/>
      <c r="EZ114" s="45"/>
      <c r="FA114" s="45"/>
      <c r="FB114" s="45"/>
    </row>
    <row r="115" spans="1:158" ht="10.5" hidden="1" customHeight="1" outlineLevel="1">
      <c r="A115" s="265" t="s">
        <v>483</v>
      </c>
      <c r="B115" s="32"/>
      <c r="C115" s="61"/>
      <c r="D115" s="90"/>
      <c r="E115" s="90"/>
      <c r="F115" s="90"/>
      <c r="G115" s="61"/>
      <c r="H115" s="90"/>
      <c r="I115" s="90"/>
      <c r="J115" s="90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473">
        <f>(AP113+AP114)-AP116</f>
        <v>121.34399999999999</v>
      </c>
      <c r="AQ115" s="61">
        <f>AP115</f>
        <v>121.34399999999999</v>
      </c>
      <c r="AR115" s="61"/>
      <c r="AS115" s="473">
        <f>(AS113+AS114)-AS116</f>
        <v>124.96900000000001</v>
      </c>
      <c r="AT115" s="473">
        <f>(AT113+AT114)-AT116</f>
        <v>128.60599999999999</v>
      </c>
      <c r="AU115" s="473">
        <f>(AU113+AU114)-AU116</f>
        <v>128.74199999999999</v>
      </c>
      <c r="AV115" s="473">
        <f>(AV113+AV114)-AV116</f>
        <v>134.53800000000001</v>
      </c>
      <c r="AW115" s="61">
        <f>AV115</f>
        <v>134.53800000000001</v>
      </c>
      <c r="AX115" s="61"/>
      <c r="AY115" s="61">
        <f>(AY113+AY114)-AY116</f>
        <v>138.221</v>
      </c>
      <c r="AZ115" s="61">
        <f>(AZ113+AZ114)-AZ116</f>
        <v>141.88800000000001</v>
      </c>
      <c r="BA115" s="61">
        <f>(BA113+BA114)-BA116</f>
        <v>145.78800000000001</v>
      </c>
      <c r="BB115" s="61">
        <f>(BB113+BB114)-BB116</f>
        <v>149.58799999999999</v>
      </c>
      <c r="BC115" s="61">
        <f>BB115</f>
        <v>149.58799999999999</v>
      </c>
      <c r="BD115" s="61"/>
      <c r="BE115" s="61">
        <f>(BE113+BE114)-BE116</f>
        <v>152.28799999999998</v>
      </c>
      <c r="BF115" s="61">
        <f>(BF113+BF114)-BF116</f>
        <v>153.68800000000002</v>
      </c>
      <c r="BG115" s="61">
        <v>155.435</v>
      </c>
      <c r="BH115" s="61">
        <f>(BH113+BH114)-BH116</f>
        <v>135.39999999999998</v>
      </c>
      <c r="BI115" s="61">
        <f>BH115</f>
        <v>135.39999999999998</v>
      </c>
      <c r="BJ115" s="61"/>
      <c r="BK115" s="61">
        <f>(BK113+BK114)-BK116</f>
        <v>138.5</v>
      </c>
      <c r="BL115" s="62">
        <v>141.6</v>
      </c>
      <c r="BM115" s="62">
        <v>144.6</v>
      </c>
      <c r="BN115" s="61">
        <v>148.1</v>
      </c>
      <c r="BO115" s="61">
        <f>BN115</f>
        <v>148.1</v>
      </c>
      <c r="BP115" s="61"/>
      <c r="BQ115" s="62">
        <v>151.5</v>
      </c>
      <c r="BR115" s="62">
        <v>154.80000000000001</v>
      </c>
      <c r="BS115" s="62">
        <v>158.6</v>
      </c>
      <c r="BT115" s="62">
        <v>163.1</v>
      </c>
      <c r="BU115" s="62">
        <f>BT115</f>
        <v>163.1</v>
      </c>
      <c r="BV115" s="61"/>
      <c r="BW115" s="62">
        <v>167.7</v>
      </c>
      <c r="BX115" s="62">
        <v>173.8</v>
      </c>
      <c r="BY115" s="1488">
        <f>BX115+$BZ$304</f>
        <v>174.9</v>
      </c>
      <c r="BZ115" s="1488">
        <v>189.1</v>
      </c>
      <c r="CA115" s="1488">
        <f>BZ115</f>
        <v>189.1</v>
      </c>
      <c r="CB115" s="428"/>
      <c r="CC115" s="1488">
        <f>BZ115+$BZ$304</f>
        <v>190.2</v>
      </c>
      <c r="CD115" s="1488">
        <f>CC115+$BZ$304</f>
        <v>191.29999999999998</v>
      </c>
      <c r="CE115" s="1488">
        <f>CD115+$BZ$304</f>
        <v>192.39999999999998</v>
      </c>
      <c r="CF115" s="481">
        <v>223.5</v>
      </c>
      <c r="CG115" s="481">
        <f>CF115</f>
        <v>223.5</v>
      </c>
      <c r="CH115" s="61"/>
      <c r="CI115" s="1488">
        <f>CF115+$BZ$304</f>
        <v>224.6</v>
      </c>
      <c r="CJ115" s="1488">
        <f>CI115+$BZ$304</f>
        <v>225.7</v>
      </c>
      <c r="CK115" s="1488">
        <f>CJ115+$BZ$304</f>
        <v>226.79999999999998</v>
      </c>
      <c r="CL115" s="1488">
        <f>CK115+$BZ$304</f>
        <v>227.89999999999998</v>
      </c>
      <c r="CM115" s="481">
        <f>CL115</f>
        <v>227.89999999999998</v>
      </c>
      <c r="CN115" s="61"/>
      <c r="CO115" s="1488">
        <f>CL115+$BZ$304</f>
        <v>228.99999999999997</v>
      </c>
      <c r="CP115" s="1488">
        <f>CO115+$BZ$304</f>
        <v>230.09999999999997</v>
      </c>
      <c r="CQ115" s="1488">
        <f>CP115+$BZ$304</f>
        <v>231.19999999999996</v>
      </c>
      <c r="CR115" s="1488">
        <f>CQ115+$BZ$304</f>
        <v>232.29999999999995</v>
      </c>
      <c r="CS115" s="481">
        <f>CR115</f>
        <v>232.29999999999995</v>
      </c>
      <c r="CT115" s="61"/>
      <c r="CU115" s="1488">
        <f>CR115+$BZ$304</f>
        <v>233.39999999999995</v>
      </c>
      <c r="CV115" s="1488">
        <f>CU115+$BZ$304</f>
        <v>234.49999999999994</v>
      </c>
      <c r="CW115" s="1488">
        <f>CV115+$BZ$304</f>
        <v>235.59999999999994</v>
      </c>
      <c r="CX115" s="1488">
        <f>CW115+$BZ$304</f>
        <v>236.69999999999993</v>
      </c>
      <c r="CY115" s="481">
        <f>CX115</f>
        <v>236.69999999999993</v>
      </c>
      <c r="CZ115" s="61"/>
      <c r="DA115" s="1488">
        <f>CX115+$BZ$304</f>
        <v>237.79999999999993</v>
      </c>
      <c r="DB115" s="1488">
        <f>DA115+$BZ$304</f>
        <v>238.89999999999992</v>
      </c>
      <c r="DC115" s="1488">
        <f>DB115+$BZ$304</f>
        <v>239.99999999999991</v>
      </c>
      <c r="DD115" s="1488">
        <f>DC115+$BZ$304</f>
        <v>241.09999999999991</v>
      </c>
      <c r="DE115" s="481">
        <f>DD115</f>
        <v>241.09999999999991</v>
      </c>
      <c r="DF115" s="61"/>
      <c r="DG115" s="1488">
        <f>DD115+$BZ$304</f>
        <v>242.1999999999999</v>
      </c>
      <c r="DH115" s="1488">
        <f>DG115+$BZ$304</f>
        <v>243.2999999999999</v>
      </c>
      <c r="DI115" s="1488">
        <f>DH115+$BZ$304</f>
        <v>244.39999999999989</v>
      </c>
      <c r="DJ115" s="1488">
        <f>DI115+$BZ$304</f>
        <v>245.49999999999989</v>
      </c>
      <c r="DK115" s="481">
        <f>DJ115</f>
        <v>245.49999999999989</v>
      </c>
      <c r="DL115" s="61"/>
      <c r="DM115" s="1488">
        <f>DJ115+$BZ$304</f>
        <v>246.59999999999988</v>
      </c>
      <c r="DN115" s="1488">
        <f>DM115+$BZ$304</f>
        <v>247.69999999999987</v>
      </c>
      <c r="DO115" s="1488">
        <f>DN115+$BZ$304</f>
        <v>248.79999999999987</v>
      </c>
      <c r="DP115" s="1488">
        <f>DO115+$BZ$304</f>
        <v>249.89999999999986</v>
      </c>
      <c r="DQ115" s="481">
        <f>DP115</f>
        <v>249.89999999999986</v>
      </c>
      <c r="DR115" s="61"/>
      <c r="DS115" s="1488">
        <f>DP115+$BZ$304</f>
        <v>250.99999999999986</v>
      </c>
      <c r="DT115" s="1488">
        <f>DS115+$BZ$304</f>
        <v>252.09999999999985</v>
      </c>
      <c r="DU115" s="1488">
        <f>DT115+$BZ$304</f>
        <v>253.19999999999985</v>
      </c>
      <c r="DV115" s="1488">
        <f>DU115+$BZ$304</f>
        <v>254.29999999999984</v>
      </c>
      <c r="DW115" s="481">
        <f>DV115</f>
        <v>254.29999999999984</v>
      </c>
      <c r="DX115" s="45"/>
      <c r="DY115" s="1488">
        <f>DV115+$BZ$304</f>
        <v>255.39999999999984</v>
      </c>
      <c r="DZ115" s="1488">
        <f>DY115+$BZ$304</f>
        <v>256.49999999999983</v>
      </c>
      <c r="EA115" s="1488">
        <f>DZ115+$BZ$304</f>
        <v>257.59999999999985</v>
      </c>
      <c r="EB115" s="1488">
        <f>EA115+$BZ$304</f>
        <v>258.69999999999987</v>
      </c>
      <c r="EC115" s="481">
        <f>EB115</f>
        <v>258.69999999999987</v>
      </c>
      <c r="ED115" s="45"/>
      <c r="EE115" s="1488">
        <f>EB115+$BZ$304</f>
        <v>259.7999999999999</v>
      </c>
      <c r="EF115" s="1488">
        <f>EE115+$BZ$304</f>
        <v>260.89999999999992</v>
      </c>
      <c r="EG115" s="1488">
        <f>EF115+$BZ$304</f>
        <v>261.99999999999994</v>
      </c>
      <c r="EH115" s="1488">
        <f>EG115+$BZ$304</f>
        <v>263.09999999999997</v>
      </c>
      <c r="EI115" s="481">
        <f>EH115</f>
        <v>263.09999999999997</v>
      </c>
      <c r="EJ115" s="45"/>
      <c r="EK115" s="1488">
        <f>EH115+$BZ$304</f>
        <v>264.2</v>
      </c>
      <c r="EL115" s="1488">
        <f>EK115+$BZ$304</f>
        <v>265.3</v>
      </c>
      <c r="EM115" s="1488">
        <f>EL115+$BZ$304</f>
        <v>266.40000000000003</v>
      </c>
      <c r="EN115" s="1488">
        <f>EM115+$BZ$304</f>
        <v>267.50000000000006</v>
      </c>
      <c r="EO115" s="481">
        <f>EN115</f>
        <v>267.50000000000006</v>
      </c>
      <c r="EP115" s="45"/>
      <c r="EQ115" s="1488">
        <f>EN115+$BZ$304</f>
        <v>268.60000000000008</v>
      </c>
      <c r="ER115" s="1488">
        <f>EQ115+$BZ$304</f>
        <v>269.7000000000001</v>
      </c>
      <c r="ES115" s="1488">
        <f>ER115+$BZ$304</f>
        <v>270.80000000000013</v>
      </c>
      <c r="ET115" s="1488">
        <f>ES115+$BZ$304</f>
        <v>271.90000000000015</v>
      </c>
      <c r="EU115" s="481">
        <f>ET115</f>
        <v>271.90000000000015</v>
      </c>
      <c r="EV115" s="45"/>
      <c r="EW115" s="45"/>
      <c r="EX115" s="45"/>
      <c r="EY115" s="45"/>
      <c r="EZ115" s="45"/>
      <c r="FA115" s="45"/>
      <c r="FB115" s="45"/>
    </row>
    <row r="116" spans="1:158" ht="10.5" hidden="1" customHeight="1" outlineLevel="1">
      <c r="A116" s="265" t="s">
        <v>4241</v>
      </c>
      <c r="B116" s="32"/>
      <c r="C116" s="61"/>
      <c r="D116" s="90"/>
      <c r="E116" s="90"/>
      <c r="F116" s="90"/>
      <c r="G116" s="61"/>
      <c r="H116" s="90"/>
      <c r="I116" s="90"/>
      <c r="J116" s="90"/>
      <c r="K116" s="61"/>
      <c r="L116" s="61"/>
      <c r="M116" s="61"/>
      <c r="N116" s="61"/>
      <c r="O116" s="61">
        <f>O20</f>
        <v>31.071000000000002</v>
      </c>
      <c r="P116" s="61">
        <f>P20</f>
        <v>37.036000000000001</v>
      </c>
      <c r="Q116" s="61">
        <f>Q20</f>
        <v>34.64</v>
      </c>
      <c r="R116" s="61">
        <f>R20</f>
        <v>40.630000000000003</v>
      </c>
      <c r="S116" s="61">
        <f>R116</f>
        <v>40.630000000000003</v>
      </c>
      <c r="T116" s="61"/>
      <c r="U116" s="61">
        <f>U20</f>
        <v>42.695999999999998</v>
      </c>
      <c r="V116" s="61">
        <f>V20</f>
        <v>37.417999999999999</v>
      </c>
      <c r="W116" s="61">
        <f>W20</f>
        <v>32.837000000000003</v>
      </c>
      <c r="X116" s="61">
        <f>X20</f>
        <v>29.029</v>
      </c>
      <c r="Y116" s="61">
        <f>X116</f>
        <v>29.029</v>
      </c>
      <c r="Z116" s="61"/>
      <c r="AA116" s="61">
        <f>AA20</f>
        <v>25.376999999999999</v>
      </c>
      <c r="AB116" s="61">
        <f>AB20</f>
        <v>21.434999999999999</v>
      </c>
      <c r="AC116" s="61">
        <f>AC20</f>
        <v>18.076000000000001</v>
      </c>
      <c r="AD116" s="61">
        <f>AD20</f>
        <v>16.402999999999999</v>
      </c>
      <c r="AE116" s="61">
        <f>AD116</f>
        <v>16.402999999999999</v>
      </c>
      <c r="AF116" s="61"/>
      <c r="AG116" s="61">
        <f>AG20</f>
        <v>15.836</v>
      </c>
      <c r="AH116" s="61">
        <f>AH20</f>
        <v>14.41</v>
      </c>
      <c r="AI116" s="61">
        <f>AI20</f>
        <v>18.739000000000001</v>
      </c>
      <c r="AJ116" s="61">
        <f>AJ20</f>
        <v>19.335999999999999</v>
      </c>
      <c r="AK116" s="61">
        <f>AJ116</f>
        <v>19.335999999999999</v>
      </c>
      <c r="AL116" s="61"/>
      <c r="AM116" s="61">
        <f>AM20</f>
        <v>36.094000000000001</v>
      </c>
      <c r="AN116" s="61">
        <f>AN20</f>
        <v>32.100999999999999</v>
      </c>
      <c r="AO116" s="61">
        <f>AO20</f>
        <v>30.931999999999999</v>
      </c>
      <c r="AP116" s="61">
        <f>AP20</f>
        <v>30.125</v>
      </c>
      <c r="AQ116" s="61">
        <f>AP116</f>
        <v>30.125</v>
      </c>
      <c r="AR116" s="61"/>
      <c r="AS116" s="61">
        <f>AS20</f>
        <v>27.574000000000002</v>
      </c>
      <c r="AT116" s="61">
        <f>AT20</f>
        <v>23.788</v>
      </c>
      <c r="AU116" s="61">
        <f>AU20</f>
        <v>21.637</v>
      </c>
      <c r="AV116" s="61">
        <f>AV20</f>
        <v>19.378</v>
      </c>
      <c r="AW116" s="61">
        <f>AV116</f>
        <v>19.378</v>
      </c>
      <c r="AX116" s="61"/>
      <c r="AY116" s="61">
        <f>AY20</f>
        <v>18.5</v>
      </c>
      <c r="AZ116" s="61">
        <f>AZ20</f>
        <v>17</v>
      </c>
      <c r="BA116" s="61">
        <f>BA20</f>
        <v>13.1</v>
      </c>
      <c r="BB116" s="61">
        <f>BB20</f>
        <v>9.3000000000000007</v>
      </c>
      <c r="BC116" s="61">
        <f>BB116</f>
        <v>9.3000000000000007</v>
      </c>
      <c r="BD116" s="61"/>
      <c r="BE116" s="61">
        <f>BE20</f>
        <v>10.3</v>
      </c>
      <c r="BF116" s="61">
        <f>BF20</f>
        <v>16.2</v>
      </c>
      <c r="BG116" s="168">
        <f>BG20</f>
        <v>16.2</v>
      </c>
      <c r="BH116" s="168">
        <f>BH20</f>
        <v>49.8</v>
      </c>
      <c r="BI116" s="61">
        <f>BH116</f>
        <v>49.8</v>
      </c>
      <c r="BJ116" s="61"/>
      <c r="BK116" s="61">
        <f>BK20</f>
        <v>51.9</v>
      </c>
      <c r="BL116" s="62">
        <f>(BL113+BL114)-BL115</f>
        <v>48.800000000000011</v>
      </c>
      <c r="BM116" s="62">
        <f>(BM113+BM114)-BM115</f>
        <v>54.800000000000011</v>
      </c>
      <c r="BN116" s="61">
        <f>BN20</f>
        <v>51.3</v>
      </c>
      <c r="BO116" s="61">
        <f>BN116</f>
        <v>51.3</v>
      </c>
      <c r="BP116" s="61"/>
      <c r="BQ116" s="62">
        <f>BQ20</f>
        <v>47.9</v>
      </c>
      <c r="BR116" s="62">
        <f>(BR113+BR114)-BR115</f>
        <v>51.199999999999989</v>
      </c>
      <c r="BS116" s="62">
        <f>(BS113+BS114)-BS115</f>
        <v>60</v>
      </c>
      <c r="BT116" s="62">
        <f>(BT113+BT114)-BT115</f>
        <v>64.400000000000006</v>
      </c>
      <c r="BU116" s="62">
        <f>BT116</f>
        <v>64.400000000000006</v>
      </c>
      <c r="BV116" s="61"/>
      <c r="BW116" s="62">
        <f>(BW113+BW114)-BW115</f>
        <v>60.600000000000023</v>
      </c>
      <c r="BX116" s="62">
        <f>(BX113+BX114)-BX115</f>
        <v>106.19999999999999</v>
      </c>
      <c r="BY116" s="1488">
        <f>(BY113+BY114)-BY115</f>
        <v>105.1</v>
      </c>
      <c r="BZ116" s="1488">
        <f>(BZ113+BZ114)-BZ115</f>
        <v>113.29999999999998</v>
      </c>
      <c r="CA116" s="1488">
        <f>BZ116</f>
        <v>113.29999999999998</v>
      </c>
      <c r="CB116" s="428"/>
      <c r="CC116" s="1488">
        <f>(CC113+CC114)-CC115</f>
        <v>112.19999999999999</v>
      </c>
      <c r="CD116" s="1488">
        <f>(CD113+CD114)-CD115</f>
        <v>111.1</v>
      </c>
      <c r="CE116" s="481">
        <f>(CE113+CE114)-CE115</f>
        <v>110</v>
      </c>
      <c r="CF116" s="481">
        <f>(CF113+CF114)-CF115</f>
        <v>88</v>
      </c>
      <c r="CG116" s="481">
        <f>CF116</f>
        <v>88</v>
      </c>
      <c r="CH116" s="61"/>
      <c r="CI116" s="1488">
        <f>(CI113+CI114)-CI115</f>
        <v>86.9</v>
      </c>
      <c r="CJ116" s="1488">
        <f>(CJ113+CJ114)-CJ115</f>
        <v>85.800000000000011</v>
      </c>
      <c r="CK116" s="481">
        <f>(CK113+CK114)-CK115</f>
        <v>84.700000000000017</v>
      </c>
      <c r="CL116" s="481">
        <f>(CL113+CL114)-CL115</f>
        <v>83.600000000000023</v>
      </c>
      <c r="CM116" s="481">
        <f>CL116</f>
        <v>83.600000000000023</v>
      </c>
      <c r="CN116" s="61"/>
      <c r="CO116" s="481">
        <f>(CO113+CO114)-CO115</f>
        <v>82.500000000000028</v>
      </c>
      <c r="CP116" s="1488">
        <f>(CP113+CP114)-CP115</f>
        <v>81.400000000000034</v>
      </c>
      <c r="CQ116" s="481">
        <f>(CQ113+CQ114)-CQ115</f>
        <v>80.30000000000004</v>
      </c>
      <c r="CR116" s="481">
        <f>(CR113+CR114)-CR115</f>
        <v>79.200000000000045</v>
      </c>
      <c r="CS116" s="481">
        <f>CR116</f>
        <v>79.200000000000045</v>
      </c>
      <c r="CT116" s="61"/>
      <c r="CU116" s="481">
        <f>(CU113+CU114)-CU115</f>
        <v>78.100000000000051</v>
      </c>
      <c r="CV116" s="481">
        <f>(CV113+CV114)-CV115</f>
        <v>77.000000000000057</v>
      </c>
      <c r="CW116" s="481">
        <f>(CW113+CW114)-CW115</f>
        <v>75.900000000000063</v>
      </c>
      <c r="CX116" s="481">
        <f>(CX113+CX114)-CX115</f>
        <v>74.800000000000068</v>
      </c>
      <c r="CY116" s="481">
        <f>CX116</f>
        <v>74.800000000000068</v>
      </c>
      <c r="CZ116" s="61"/>
      <c r="DA116" s="481">
        <f>(DA113+DA114)-DA115</f>
        <v>73.700000000000074</v>
      </c>
      <c r="DB116" s="481">
        <f>(DB113+DB114)-DB115</f>
        <v>72.60000000000008</v>
      </c>
      <c r="DC116" s="481">
        <f>(DC113+DC114)-DC115</f>
        <v>71.500000000000085</v>
      </c>
      <c r="DD116" s="481">
        <f>(DD113+DD114)-DD115</f>
        <v>70.400000000000091</v>
      </c>
      <c r="DE116" s="481">
        <f>DD116</f>
        <v>70.400000000000091</v>
      </c>
      <c r="DF116" s="61"/>
      <c r="DG116" s="481">
        <f>(DG113+DG114)-DG115</f>
        <v>69.300000000000097</v>
      </c>
      <c r="DH116" s="481">
        <f>(DH113+DH114)-DH115</f>
        <v>68.200000000000102</v>
      </c>
      <c r="DI116" s="481">
        <f>(DI113+DI114)-DI115</f>
        <v>67.100000000000108</v>
      </c>
      <c r="DJ116" s="481">
        <f>(DJ113+DJ114)-DJ115</f>
        <v>66.000000000000114</v>
      </c>
      <c r="DK116" s="481">
        <f>DJ116</f>
        <v>66.000000000000114</v>
      </c>
      <c r="DL116" s="61"/>
      <c r="DM116" s="481">
        <f>(DM113+DM114)-DM115</f>
        <v>64.900000000000119</v>
      </c>
      <c r="DN116" s="481">
        <f>(DN113+DN114)-DN115</f>
        <v>63.800000000000125</v>
      </c>
      <c r="DO116" s="481">
        <f>(DO113+DO114)-DO115</f>
        <v>62.700000000000131</v>
      </c>
      <c r="DP116" s="481">
        <f>(DP113+DP114)-DP115</f>
        <v>61.600000000000136</v>
      </c>
      <c r="DQ116" s="481">
        <f>DP116</f>
        <v>61.600000000000136</v>
      </c>
      <c r="DR116" s="61"/>
      <c r="DS116" s="481">
        <f>(DS113+DS114)-DS115</f>
        <v>60.500000000000142</v>
      </c>
      <c r="DT116" s="481">
        <f>(DT113+DT114)-DT115</f>
        <v>59.400000000000148</v>
      </c>
      <c r="DU116" s="481">
        <f>(DU113+DU114)-DU115</f>
        <v>58.300000000000153</v>
      </c>
      <c r="DV116" s="481">
        <f>(DV113+DV114)-DV115</f>
        <v>57.200000000000159</v>
      </c>
      <c r="DW116" s="481">
        <f>DV116</f>
        <v>57.200000000000159</v>
      </c>
      <c r="DX116" s="45"/>
      <c r="DY116" s="481">
        <f>(DY113+DY114)-DY115</f>
        <v>56.100000000000165</v>
      </c>
      <c r="DZ116" s="481">
        <f>(DZ113+DZ114)-DZ115</f>
        <v>55.000000000000171</v>
      </c>
      <c r="EA116" s="481">
        <f>(EA113+EA114)-EA115</f>
        <v>53.900000000000148</v>
      </c>
      <c r="EB116" s="481">
        <f>(EB113+EB114)-EB115</f>
        <v>52.800000000000125</v>
      </c>
      <c r="EC116" s="481">
        <f>EB116</f>
        <v>52.800000000000125</v>
      </c>
      <c r="ED116" s="45"/>
      <c r="EE116" s="481">
        <f>(EE113+EE114)-EE115</f>
        <v>51.700000000000102</v>
      </c>
      <c r="EF116" s="481">
        <f>(EF113+EF114)-EF115</f>
        <v>50.60000000000008</v>
      </c>
      <c r="EG116" s="481">
        <f>(EG113+EG114)-EG115</f>
        <v>49.500000000000057</v>
      </c>
      <c r="EH116" s="481">
        <f>(EH113+EH114)-EH115</f>
        <v>48.400000000000034</v>
      </c>
      <c r="EI116" s="481">
        <f>EH116</f>
        <v>48.400000000000034</v>
      </c>
      <c r="EJ116" s="45"/>
      <c r="EK116" s="481">
        <f>(EK113+EK114)-EK115</f>
        <v>47.300000000000011</v>
      </c>
      <c r="EL116" s="481">
        <f>(EL113+EL114)-EL115</f>
        <v>46.199999999999989</v>
      </c>
      <c r="EM116" s="481">
        <f>(EM113+EM114)-EM115</f>
        <v>45.099999999999966</v>
      </c>
      <c r="EN116" s="481">
        <f>(EN113+EN114)-EN115</f>
        <v>43.999999999999943</v>
      </c>
      <c r="EO116" s="481">
        <f>EN116</f>
        <v>43.999999999999943</v>
      </c>
      <c r="EP116" s="45"/>
      <c r="EQ116" s="481">
        <f>(EQ113+EQ114)-EQ115</f>
        <v>42.89999999999992</v>
      </c>
      <c r="ER116" s="481">
        <f>(ER113+ER114)-ER115</f>
        <v>41.799999999999898</v>
      </c>
      <c r="ES116" s="481">
        <f>(ES113+ES114)-ES115</f>
        <v>40.699999999999875</v>
      </c>
      <c r="ET116" s="481">
        <f>(ET113+ET114)-ET115</f>
        <v>39.599999999999852</v>
      </c>
      <c r="EU116" s="481">
        <f>ET116</f>
        <v>39.599999999999852</v>
      </c>
      <c r="EV116" s="45"/>
      <c r="EW116" s="45"/>
      <c r="EX116" s="45"/>
      <c r="EY116" s="45"/>
      <c r="EZ116" s="45"/>
      <c r="FA116" s="45"/>
      <c r="FB116" s="45"/>
    </row>
    <row r="117" spans="1:158" hidden="1" outlineLevel="1">
      <c r="A117" s="47"/>
      <c r="B117" s="32"/>
      <c r="C117" s="353"/>
      <c r="D117" s="90"/>
      <c r="E117" s="90"/>
      <c r="F117" s="90"/>
      <c r="G117" s="61"/>
      <c r="H117" s="90"/>
      <c r="I117" s="90"/>
      <c r="J117" s="90"/>
      <c r="K117" s="49"/>
      <c r="L117" s="49"/>
      <c r="M117" s="49"/>
      <c r="N117" s="49"/>
      <c r="O117" s="48"/>
      <c r="P117" s="49"/>
      <c r="Q117" s="49"/>
      <c r="R117" s="49"/>
      <c r="S117" s="49"/>
      <c r="T117" s="49"/>
      <c r="U117" s="48"/>
      <c r="V117" s="49"/>
      <c r="W117" s="49"/>
      <c r="X117" s="49"/>
      <c r="Y117" s="49"/>
      <c r="Z117" s="49"/>
      <c r="AA117" s="48"/>
      <c r="AB117" s="49"/>
      <c r="AC117" s="49"/>
      <c r="AD117" s="49"/>
      <c r="AE117" s="49"/>
      <c r="AF117" s="49"/>
      <c r="AG117" s="48"/>
      <c r="AH117" s="49"/>
      <c r="AI117" s="49"/>
      <c r="AJ117" s="49"/>
      <c r="AK117" s="49"/>
      <c r="AL117" s="49"/>
      <c r="AM117" s="49"/>
      <c r="AN117" s="49"/>
      <c r="AO117" s="49"/>
      <c r="AP117" s="125"/>
      <c r="AQ117" s="167"/>
      <c r="AR117" s="49"/>
      <c r="AS117" s="125"/>
      <c r="AT117" s="125"/>
      <c r="AU117" s="125"/>
      <c r="AV117" s="125"/>
      <c r="AW117" s="167"/>
      <c r="AX117" s="123"/>
      <c r="AY117" s="125"/>
      <c r="AZ117" s="125"/>
      <c r="BA117" s="125"/>
      <c r="BB117" s="125"/>
      <c r="BC117" s="167"/>
      <c r="BD117" s="49"/>
      <c r="BE117" s="125"/>
      <c r="BF117" s="47"/>
      <c r="BG117" s="335"/>
      <c r="BH117" s="49"/>
      <c r="BI117" s="49"/>
      <c r="BJ117" s="49"/>
      <c r="BK117" s="49"/>
      <c r="BL117" s="49"/>
      <c r="BM117" s="49"/>
      <c r="BN117" s="49"/>
      <c r="BO117" s="49"/>
      <c r="BP117" s="49"/>
      <c r="BQ117" s="49"/>
      <c r="BR117" s="49"/>
      <c r="BS117" s="49"/>
      <c r="BT117" s="49"/>
      <c r="BU117" s="49"/>
      <c r="BV117" s="49"/>
      <c r="BW117" s="49"/>
      <c r="BX117" s="49"/>
      <c r="BY117" s="49"/>
      <c r="BZ117" s="49"/>
      <c r="CA117" s="49"/>
      <c r="CB117" s="49"/>
      <c r="CC117" s="49"/>
      <c r="CD117" s="49"/>
      <c r="CE117" s="49"/>
      <c r="CF117" s="49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49"/>
      <c r="CV117" s="49"/>
      <c r="CW117" s="49"/>
      <c r="CX117" s="49"/>
      <c r="CY117" s="49"/>
      <c r="CZ117" s="49"/>
      <c r="DA117" s="49"/>
      <c r="DB117" s="49"/>
      <c r="DC117" s="49"/>
      <c r="DD117" s="49"/>
      <c r="DE117" s="49"/>
      <c r="DF117" s="49"/>
      <c r="DG117" s="49"/>
      <c r="DH117" s="49"/>
      <c r="DI117" s="49"/>
      <c r="DJ117" s="49"/>
      <c r="DK117" s="49"/>
      <c r="DL117" s="49"/>
      <c r="DM117" s="49"/>
      <c r="DN117" s="49"/>
      <c r="DO117" s="49"/>
      <c r="DP117" s="49"/>
      <c r="DQ117" s="49"/>
      <c r="DR117" s="49"/>
      <c r="DS117" s="49"/>
      <c r="DT117" s="49"/>
      <c r="DU117" s="49"/>
      <c r="DV117" s="49"/>
      <c r="DW117" s="49"/>
      <c r="DX117" s="126"/>
      <c r="DY117" s="49"/>
      <c r="DZ117" s="49"/>
      <c r="EA117" s="49"/>
      <c r="EB117" s="49"/>
      <c r="EC117" s="49"/>
      <c r="ED117" s="126"/>
      <c r="EE117" s="49"/>
      <c r="EF117" s="49"/>
      <c r="EG117" s="49"/>
      <c r="EH117" s="49"/>
      <c r="EI117" s="49"/>
      <c r="EJ117" s="126"/>
      <c r="EK117" s="49"/>
      <c r="EL117" s="49"/>
      <c r="EM117" s="49"/>
      <c r="EN117" s="49"/>
      <c r="EO117" s="49"/>
      <c r="EP117" s="126"/>
      <c r="EQ117" s="49"/>
      <c r="ER117" s="49"/>
      <c r="ES117" s="49"/>
      <c r="ET117" s="49"/>
      <c r="EU117" s="49"/>
      <c r="EV117" s="49"/>
      <c r="EW117" s="49"/>
      <c r="EX117" s="49"/>
      <c r="EY117" s="49"/>
      <c r="EZ117" s="49"/>
      <c r="FA117" s="49"/>
      <c r="FB117" s="49"/>
    </row>
    <row r="118" spans="1:158" hidden="1" outlineLevel="1">
      <c r="A118" s="375" t="s">
        <v>4586</v>
      </c>
      <c r="B118" s="32"/>
      <c r="C118" s="61"/>
      <c r="D118" s="90"/>
      <c r="E118" s="90"/>
      <c r="F118" s="90"/>
      <c r="G118" s="61"/>
      <c r="H118" s="90"/>
      <c r="I118" s="90"/>
      <c r="J118" s="90"/>
      <c r="K118" s="75"/>
      <c r="L118" s="75"/>
      <c r="M118" s="75"/>
      <c r="N118" s="75"/>
      <c r="O118" s="142">
        <f>-CF!O117</f>
        <v>8.2880000000000003</v>
      </c>
      <c r="P118" s="142">
        <f>-CF!P117</f>
        <v>6.7219999999999995</v>
      </c>
      <c r="Q118" s="142">
        <f>-CF!Q117</f>
        <v>2.4859999999999989</v>
      </c>
      <c r="R118" s="142">
        <f>-CF!R117</f>
        <v>25.312999999999999</v>
      </c>
      <c r="S118" s="142">
        <f>SUM(O118:R118)</f>
        <v>42.808999999999997</v>
      </c>
      <c r="T118" s="75"/>
      <c r="U118" s="142">
        <f>-CF!U117</f>
        <v>3.548</v>
      </c>
      <c r="V118" s="142">
        <f>-CF!V117</f>
        <v>10.297000000000001</v>
      </c>
      <c r="W118" s="142">
        <f>-CF!W117</f>
        <v>2.5499999999999989</v>
      </c>
      <c r="X118" s="142">
        <f>-CF!X117</f>
        <v>-1.4629999999999992</v>
      </c>
      <c r="Y118" s="142">
        <f>SUM(U118:X118)</f>
        <v>14.932</v>
      </c>
      <c r="Z118" s="75"/>
      <c r="AA118" s="142">
        <f>-CF!AA117</f>
        <v>10.481</v>
      </c>
      <c r="AB118" s="142">
        <f>-CF!AB117</f>
        <v>7.7840000000000007</v>
      </c>
      <c r="AC118" s="142">
        <f>-CF!AC117</f>
        <v>6.6460000000000008</v>
      </c>
      <c r="AD118" s="142">
        <f>-CF!AD117</f>
        <v>7.5009999999999977</v>
      </c>
      <c r="AE118" s="142">
        <f>SUM(AA118:AD118)</f>
        <v>32.411999999999999</v>
      </c>
      <c r="AF118" s="75"/>
      <c r="AG118" s="142">
        <f>-CF!AG117</f>
        <v>13.179</v>
      </c>
      <c r="AH118" s="142">
        <f>-CF!AH117</f>
        <v>13.118</v>
      </c>
      <c r="AI118" s="142">
        <f>-CF!AI117</f>
        <v>10.409000000000002</v>
      </c>
      <c r="AJ118" s="142">
        <f>-CF!AJ117</f>
        <v>8.3619999999999948</v>
      </c>
      <c r="AK118" s="142">
        <f>SUM(AG118:AJ118)</f>
        <v>45.067999999999998</v>
      </c>
      <c r="AL118" s="75"/>
      <c r="AM118" s="142">
        <f>-CF!AM117</f>
        <v>9.9009999999999998</v>
      </c>
      <c r="AN118" s="142">
        <f>-CF!AN117</f>
        <v>12.652000000000001</v>
      </c>
      <c r="AO118" s="142">
        <f>-CF!AO117</f>
        <v>6.4519999999999982</v>
      </c>
      <c r="AP118" s="142">
        <f>-CF!AP117</f>
        <v>7.0980000000000025</v>
      </c>
      <c r="AQ118" s="142">
        <f>SUM(AM118:AP118)</f>
        <v>36.103000000000002</v>
      </c>
      <c r="AR118" s="75"/>
      <c r="AS118" s="142">
        <f>-CF!AS117</f>
        <v>4.0830000000000002</v>
      </c>
      <c r="AT118" s="142">
        <f>-CF!AT117</f>
        <v>9.782</v>
      </c>
      <c r="AU118" s="142">
        <f>-CF!AU117</f>
        <v>4.8510000000000009</v>
      </c>
      <c r="AV118" s="142">
        <f>-CF!AV117</f>
        <v>7.1359999999999992</v>
      </c>
      <c r="AW118" s="142">
        <f>SUM(AS118:AV118)</f>
        <v>25.852</v>
      </c>
      <c r="AX118" s="75"/>
      <c r="AY118" s="142">
        <f>-CF!AY117</f>
        <v>5.9</v>
      </c>
      <c r="AZ118" s="142">
        <f>-CF!AZ117</f>
        <v>9.8000000000000007</v>
      </c>
      <c r="BA118" s="142">
        <f>-CF!BA117</f>
        <v>13.6</v>
      </c>
      <c r="BB118" s="142">
        <f>-CF!BB117</f>
        <v>11.499999999999996</v>
      </c>
      <c r="BC118" s="142">
        <f>SUM(AY118:BB118)</f>
        <v>40.799999999999997</v>
      </c>
      <c r="BD118" s="75"/>
      <c r="BE118" s="142">
        <f>-CF!BE117</f>
        <v>5.5</v>
      </c>
      <c r="BF118" s="142">
        <f>-CF!BF117</f>
        <v>4.4000000000000004</v>
      </c>
      <c r="BG118" s="142">
        <f>-CF!BG117</f>
        <v>5.4</v>
      </c>
      <c r="BH118" s="142">
        <f>-CF!BH117</f>
        <v>5.1999999999999993</v>
      </c>
      <c r="BI118" s="142">
        <f>SUM(BE118:BH118)</f>
        <v>20.5</v>
      </c>
      <c r="BJ118" s="75"/>
      <c r="BK118" s="175">
        <f>-CF!BK117</f>
        <v>11.4</v>
      </c>
      <c r="BL118" s="175">
        <f>-CF!BL117</f>
        <v>6.9999999999999982</v>
      </c>
      <c r="BM118" s="175">
        <f>-CF!BM117</f>
        <v>7</v>
      </c>
      <c r="BN118" s="175">
        <f>-CF!BN117</f>
        <v>9.8999999999999986</v>
      </c>
      <c r="BO118" s="142">
        <f>SUM(BK118:BN118)</f>
        <v>35.299999999999997</v>
      </c>
      <c r="BP118" s="75"/>
      <c r="BQ118" s="175">
        <f>-CF!BQ117</f>
        <v>6.8</v>
      </c>
      <c r="BR118" s="175">
        <f>-CF!BR117</f>
        <v>11.399999999999999</v>
      </c>
      <c r="BS118" s="175">
        <f>-CF!BS117</f>
        <v>10.900000000000002</v>
      </c>
      <c r="BT118" s="175">
        <f>-CF!BT117</f>
        <v>14.199999999999996</v>
      </c>
      <c r="BU118" s="142">
        <f>SUM(BQ118:BT118)</f>
        <v>43.3</v>
      </c>
      <c r="BV118" s="75"/>
      <c r="BW118" s="175">
        <f>-CF!BW117</f>
        <v>13.4</v>
      </c>
      <c r="BX118" s="175">
        <f>-CF!BX117</f>
        <v>26.5</v>
      </c>
      <c r="BY118" s="175">
        <f>-CF!BY117</f>
        <v>19.200000000000003</v>
      </c>
      <c r="BZ118" s="175">
        <f>-CF!BZ117</f>
        <v>19.300000000000004</v>
      </c>
      <c r="CA118" s="142">
        <f>SUM(BW118:BZ118)</f>
        <v>78.400000000000006</v>
      </c>
      <c r="CB118" s="75"/>
      <c r="CC118" s="175">
        <f>-CF!CC117</f>
        <v>13.6</v>
      </c>
      <c r="CD118" s="175">
        <f>-CF!CD117</f>
        <v>10.700000000000001</v>
      </c>
      <c r="CE118" s="175">
        <f>-CF!CE117</f>
        <v>5.8999999999999986</v>
      </c>
      <c r="CF118" s="175">
        <f>-CF!CF117</f>
        <v>8.8000000000000007</v>
      </c>
      <c r="CG118" s="142">
        <f>SUM(CC118:CF118)</f>
        <v>39</v>
      </c>
      <c r="CH118" s="75"/>
      <c r="CI118" s="175">
        <f>-CF!CI117</f>
        <v>5.8</v>
      </c>
      <c r="CJ118" s="175">
        <f>-CF!CJ117</f>
        <v>5.3</v>
      </c>
      <c r="CK118" s="175">
        <f>-CF!CK117</f>
        <v>7.0000000000000018</v>
      </c>
      <c r="CL118" s="175">
        <f>-CF!CL117</f>
        <v>10.199999999999999</v>
      </c>
      <c r="CM118" s="142">
        <f>SUM(CI118:CL118)</f>
        <v>28.3</v>
      </c>
      <c r="CN118" s="75"/>
      <c r="CO118" s="175">
        <f>-CF!CO117</f>
        <v>23.4</v>
      </c>
      <c r="CP118" s="175">
        <f>-CF!CP117</f>
        <v>16.399999999999999</v>
      </c>
      <c r="CQ118" s="175">
        <f>-CF!CQ117</f>
        <v>8.9000000000000057</v>
      </c>
      <c r="CR118" s="175">
        <f>-CF!CR117</f>
        <v>14.299999999999997</v>
      </c>
      <c r="CS118" s="142">
        <f>SUM(CO118:CR118)</f>
        <v>63</v>
      </c>
      <c r="CT118" s="75"/>
      <c r="CU118" s="175">
        <f>-CF!CU117</f>
        <v>11.5</v>
      </c>
      <c r="CV118" s="175">
        <f>-CF!CV117</f>
        <v>16.7</v>
      </c>
      <c r="CW118" s="175">
        <f>-CF!CW117</f>
        <v>16.500000000000004</v>
      </c>
      <c r="CX118" s="175">
        <f>-CF!CX117</f>
        <v>11.699999999999996</v>
      </c>
      <c r="CY118" s="142">
        <f>SUM(CU118:CX118)</f>
        <v>56.4</v>
      </c>
      <c r="CZ118" s="75"/>
      <c r="DA118" s="175">
        <f>-CF!DA117</f>
        <v>25.8</v>
      </c>
      <c r="DB118" s="175">
        <f>-CF!DB117</f>
        <v>16.8</v>
      </c>
      <c r="DC118" s="175">
        <f>-CF!DC117</f>
        <v>12.399999999999999</v>
      </c>
      <c r="DD118" s="175">
        <f>-CF!DD117</f>
        <v>9.2000000000000028</v>
      </c>
      <c r="DE118" s="142">
        <f>SUM(DA118:DD118)</f>
        <v>64.2</v>
      </c>
      <c r="DF118" s="75"/>
      <c r="DG118" s="175">
        <f>-CF!DG117</f>
        <v>14.5</v>
      </c>
      <c r="DH118" s="175">
        <f>-CF!DH117</f>
        <v>17.100000000000001</v>
      </c>
      <c r="DI118" s="175">
        <f>-CF!DI117</f>
        <v>28.4</v>
      </c>
      <c r="DJ118" s="175">
        <f>-CF!DJ117</f>
        <v>15.5</v>
      </c>
      <c r="DK118" s="142">
        <f>SUM(DG118:DJ118)</f>
        <v>75.5</v>
      </c>
      <c r="DL118" s="75"/>
      <c r="DM118" s="175">
        <f>-CF!DM117</f>
        <v>12.5</v>
      </c>
      <c r="DN118" s="175">
        <f>-CF!DN117</f>
        <v>17.3</v>
      </c>
      <c r="DO118" s="175">
        <f>-CF!DO117</f>
        <v>11.999999999999996</v>
      </c>
      <c r="DP118" s="175">
        <f>-CF!DP117</f>
        <v>30.600000000000009</v>
      </c>
      <c r="DQ118" s="142">
        <f>SUM(DM118:DP118)</f>
        <v>72.400000000000006</v>
      </c>
      <c r="DR118" s="75"/>
      <c r="DS118" s="175">
        <f>-CF!DS117</f>
        <v>22.3</v>
      </c>
      <c r="DT118" s="175">
        <f>-CF!DT117</f>
        <v>20.3</v>
      </c>
      <c r="DU118" s="175">
        <f>-CF!DU117</f>
        <v>22.499999999999993</v>
      </c>
      <c r="DV118" s="175">
        <f>-CF!DV117</f>
        <v>10.900000000000006</v>
      </c>
      <c r="DW118" s="142">
        <f>SUM(DS118:DV118)</f>
        <v>76</v>
      </c>
      <c r="DX118" s="127"/>
      <c r="DY118" s="175">
        <f>-CF!DY117</f>
        <v>8.6</v>
      </c>
      <c r="DZ118" s="175">
        <f>-CF!DZ117</f>
        <v>17.799999999999997</v>
      </c>
      <c r="EA118" s="175">
        <f>-CF!EA117</f>
        <v>12.899999999999999</v>
      </c>
      <c r="EB118" s="175">
        <f>-CF!EB117</f>
        <v>11.400000000000006</v>
      </c>
      <c r="EC118" s="142">
        <f>SUM(DY118:EB118)</f>
        <v>50.7</v>
      </c>
      <c r="ED118" s="127"/>
      <c r="EE118" s="142">
        <f>Model!EE261*EE119</f>
        <v>6.9989241647235581</v>
      </c>
      <c r="EF118" s="142">
        <f>Model!EF261*EF119</f>
        <v>17.985781180310248</v>
      </c>
      <c r="EG118" s="142">
        <f>Model!EG261*EG119</f>
        <v>12.89698720439203</v>
      </c>
      <c r="EH118" s="142">
        <f>Model!EH261*EH119</f>
        <v>11.35591840316177</v>
      </c>
      <c r="EI118" s="142">
        <f>SUM(EE118:EH118)</f>
        <v>49.237610952587602</v>
      </c>
      <c r="EJ118" s="127"/>
      <c r="EK118" s="142">
        <f>Model!EK261*EK119</f>
        <v>6.0301229030329022</v>
      </c>
      <c r="EL118" s="142">
        <f>Model!EL261*EL119</f>
        <v>19.681949160806578</v>
      </c>
      <c r="EM118" s="142">
        <f>Model!EM261*EM119</f>
        <v>13.183302368047887</v>
      </c>
      <c r="EN118" s="142">
        <f>Model!EN261*EN119</f>
        <v>11.003780927877584</v>
      </c>
      <c r="EO118" s="142">
        <f>SUM(EK118:EN118)</f>
        <v>49.899155359764947</v>
      </c>
      <c r="EP118" s="127"/>
      <c r="EQ118" s="142">
        <f>Model!EQ261*EQ119</f>
        <v>4.1053202584998507</v>
      </c>
      <c r="ER118" s="142">
        <f>Model!ER261*ER119</f>
        <v>20.231449168894443</v>
      </c>
      <c r="ES118" s="142">
        <f>Model!ES261*ES119</f>
        <v>12.27225917244874</v>
      </c>
      <c r="ET118" s="142">
        <f>Model!ET261*ET119</f>
        <v>9.503414252702477</v>
      </c>
      <c r="EU118" s="142">
        <f>SUM(EQ118:ET118)</f>
        <v>46.112442852545513</v>
      </c>
      <c r="EV118" s="127"/>
      <c r="EW118" s="127"/>
      <c r="EX118" s="127"/>
      <c r="EY118" s="127"/>
      <c r="EZ118" s="127"/>
      <c r="FA118" s="127"/>
      <c r="FB118" s="127"/>
    </row>
    <row r="119" spans="1:158" ht="11.25" hidden="1" customHeight="1" outlineLevel="1">
      <c r="A119" s="47" t="s">
        <v>5241</v>
      </c>
      <c r="B119" s="32"/>
      <c r="C119" s="353"/>
      <c r="D119" s="90"/>
      <c r="E119" s="90"/>
      <c r="F119" s="90"/>
      <c r="G119" s="61"/>
      <c r="H119" s="90"/>
      <c r="I119" s="90"/>
      <c r="J119" s="90"/>
      <c r="K119" s="126"/>
      <c r="L119" s="126"/>
      <c r="M119" s="126"/>
      <c r="N119" s="126"/>
      <c r="O119" s="344">
        <f>IF(ISERROR(O118/Model!O261),"-",O118/Model!O261)</f>
        <v>9.9081629969323907E-3</v>
      </c>
      <c r="P119" s="344">
        <f>IF(ISERROR(P118/Model!P261),"-",P118/Model!P261)</f>
        <v>7.6392613941140631E-3</v>
      </c>
      <c r="Q119" s="344">
        <f>IF(ISERROR(Q118/Model!Q261),"-",Q118/Model!Q261)</f>
        <v>2.7944107289185525E-3</v>
      </c>
      <c r="R119" s="344">
        <f>IF(ISERROR(R118/Model!R261),"-",R118/Model!R261)</f>
        <v>2.8319639484824886E-2</v>
      </c>
      <c r="S119" s="344">
        <f>IF(ISERROR(S118/Model!R261),"-",S118/Model!R261)</f>
        <v>4.7893787646895607E-2</v>
      </c>
      <c r="T119" s="126"/>
      <c r="U119" s="344">
        <f>IF(ISERROR(U118/Model!U261),"-",U118/Model!U261)</f>
        <v>4.0846823261506005E-3</v>
      </c>
      <c r="V119" s="344">
        <f>IF(ISERROR(V118/Model!V261),"-",V118/Model!V261)</f>
        <v>1.215922120524723E-2</v>
      </c>
      <c r="W119" s="344">
        <f>IF(ISERROR(W118/Model!W261),"-",W118/Model!W261)</f>
        <v>3.0189197476419858E-3</v>
      </c>
      <c r="X119" s="344">
        <f>IF(ISERROR(X118/Model!X261),"-",X118/Model!X261)</f>
        <v>-1.725132097008316E-3</v>
      </c>
      <c r="Y119" s="344">
        <f>IF(ISERROR(Y118/Model!X261),"-",Y118/Model!X261)</f>
        <v>1.7607431628522342E-2</v>
      </c>
      <c r="Z119" s="126"/>
      <c r="AA119" s="344">
        <f>IF(ISERROR(AA118/Model!AA261),"-",AA118/Model!AA261)</f>
        <v>1.1955754241435284E-2</v>
      </c>
      <c r="AB119" s="344">
        <f>IF(ISERROR(AB118/Model!AB261),"-",AB118/Model!AB261)</f>
        <v>8.6593956222438782E-3</v>
      </c>
      <c r="AC119" s="344">
        <f>IF(ISERROR(AC118/Model!AC261),"-",AC118/Model!AC261)</f>
        <v>7.224274257191121E-3</v>
      </c>
      <c r="AD119" s="344">
        <f>IF(ISERROR(AD118/Model!AD261),"-",AD118/Model!AD261)</f>
        <v>8.0111158103391526E-3</v>
      </c>
      <c r="AE119" s="344">
        <f>IF(ISERROR(AE118/Model!AD261),"-",AE118/Model!AD261)</f>
        <v>3.4616222589616413E-2</v>
      </c>
      <c r="AF119" s="126"/>
      <c r="AG119" s="344">
        <f>IF(ISERROR(AG118/Model!AG261),"-",AG118/Model!AG261)</f>
        <v>1.3860886301607585E-2</v>
      </c>
      <c r="AH119" s="344">
        <f>IF(ISERROR(AH118/Model!AH261),"-",AH118/Model!AH261)</f>
        <v>1.3818253831147218E-2</v>
      </c>
      <c r="AI119" s="344">
        <f>IF(ISERROR(AI118/Model!AI261),"-",AI118/Model!AI261)</f>
        <v>1.1114741634846196E-2</v>
      </c>
      <c r="AJ119" s="344">
        <f>IF(ISERROR(AJ118/Model!AJ261),"-",AJ118/Model!AJ261)</f>
        <v>8.8254136450900272E-3</v>
      </c>
      <c r="AK119" s="344">
        <f>IF(ISERROR(AK118/Model!AJ261),"-",AK118/Model!AJ261)</f>
        <v>4.756562331462779E-2</v>
      </c>
      <c r="AL119" s="126"/>
      <c r="AM119" s="344">
        <f>IF(ISERROR(AM118/Model!AM261),"-",AM118/Model!AM261)</f>
        <v>1.0633910370559716E-2</v>
      </c>
      <c r="AN119" s="344">
        <f>IF(ISERROR(AN118/Model!AN261),"-",AN118/Model!AN261)</f>
        <v>1.3886221229060091E-2</v>
      </c>
      <c r="AO119" s="344">
        <f>IF(ISERROR(AO118/Model!AO261),"-",AO118/Model!AO261)</f>
        <v>7.3030789065303223E-3</v>
      </c>
      <c r="AP119" s="344">
        <f>IF(ISERROR(AP118/Model!AP261),"-",AP118/Model!AP261)</f>
        <v>8.6042099776348756E-3</v>
      </c>
      <c r="AQ119" s="344">
        <f>IF(ISERROR(AQ118/Model!AP261),"-",AQ118/Model!AP261)</f>
        <v>4.3764129729860782E-2</v>
      </c>
      <c r="AR119" s="126"/>
      <c r="AS119" s="344">
        <f>IF(ISERROR(AS118/Model!AS261),"-",AS118/Model!AS261)</f>
        <v>5.0633445108037856E-3</v>
      </c>
      <c r="AT119" s="344">
        <f>IF(ISERROR(AT118/Model!AT261),"-",AT118/Model!AT261)</f>
        <v>1.2126125590067038E-2</v>
      </c>
      <c r="AU119" s="344">
        <f>IF(ISERROR(AU118/Model!AU261),"-",AU118/Model!AU261)</f>
        <v>5.6946712386819745E-3</v>
      </c>
      <c r="AV119" s="344">
        <f>IF(ISERROR(AV118/Model!AV261),"-",AV118/Model!AV261)</f>
        <v>7.4986102981895522E-3</v>
      </c>
      <c r="AW119" s="344">
        <f>IF(ISERROR(AW118/Model!AV261),"-",AW118/Model!AV261)</f>
        <v>2.7165649303362713E-2</v>
      </c>
      <c r="AX119" s="127"/>
      <c r="AY119" s="344">
        <f>IF(ISERROR(AY118/Model!AY261),"-",AY118/Model!AY261)</f>
        <v>5.6732023881297371E-3</v>
      </c>
      <c r="AZ119" s="344">
        <f>IF(ISERROR(AZ118/Model!AZ261),"-",AZ118/Model!AZ261)</f>
        <v>8.8362162240143115E-3</v>
      </c>
      <c r="BA119" s="344">
        <f>IF(ISERROR(BA118/Model!BA261),"-",BA118/Model!BA261)</f>
        <v>1.1558630302309175E-2</v>
      </c>
      <c r="BB119" s="344">
        <f>IF(ISERROR(BB118/Model!BB261),"-",BB118/Model!BB261)</f>
        <v>9.282427960287349E-3</v>
      </c>
      <c r="BC119" s="344">
        <f>IF(ISERROR(BC118/Model!BB261),"-",BC118/Model!BB261)</f>
        <v>3.2932440067802077E-2</v>
      </c>
      <c r="BD119" s="132"/>
      <c r="BE119" s="344">
        <f>IF(ISERROR(BE118/Model!BE261),"-",BE118/Model!BE261)</f>
        <v>4.2343521441219499E-3</v>
      </c>
      <c r="BF119" s="344">
        <f>IF(ISERROR(BF118/Model!BF261),"-",BF118/Model!BF261)</f>
        <v>3.1543479819341894E-3</v>
      </c>
      <c r="BG119" s="344">
        <f>IF(ISERROR(BG118/Model!BG261),"-",BG118/Model!BG261)</f>
        <v>3.661016949152543E-3</v>
      </c>
      <c r="BH119" s="344">
        <f>IF(ISERROR(BH118/Model!BH261),"-",BH118/Model!BH261)</f>
        <v>3.3827738745771533E-3</v>
      </c>
      <c r="BI119" s="344">
        <f>IF(ISERROR(BI118/Model!BH261),"-",BI118/Model!BH261)</f>
        <v>1.333593546708301E-2</v>
      </c>
      <c r="BJ119" s="132"/>
      <c r="BK119" s="344">
        <f>IF(ISERROR(BK118/Model!BK261),"-",BK118/Model!BK261)</f>
        <v>7.0627594325010845E-3</v>
      </c>
      <c r="BL119" s="344">
        <f>IF(ISERROR(BL118/Model!BL261),"-",BL118/Model!BL261)</f>
        <v>4.1496235698618754E-3</v>
      </c>
      <c r="BM119" s="344">
        <f>IF(ISERROR(BM118/Model!BM261),"-",BM118/Model!BM261)</f>
        <v>3.9723073430938602E-3</v>
      </c>
      <c r="BN119" s="344">
        <f>IF(ISERROR(BN118/Model!BN261),"-",BN118/Model!BN261)</f>
        <v>5.3810196760517431E-3</v>
      </c>
      <c r="BO119" s="344">
        <f>IF(ISERROR(BO118/Model!BN261),"-",BO118/Model!BN261)</f>
        <v>1.9186868137841068E-2</v>
      </c>
      <c r="BP119" s="132"/>
      <c r="BQ119" s="344">
        <f>IF(ISERROR(BQ118/Model!BQ261),"-",BQ118/Model!BQ261)</f>
        <v>3.555741476678519E-3</v>
      </c>
      <c r="BR119" s="344">
        <f>IF(ISERROR(BR118/Model!BR261),"-",BR118/Model!BR261)</f>
        <v>5.732387992155679E-3</v>
      </c>
      <c r="BS119" s="344">
        <f>IF(ISERROR(BS118/Model!BS261),"-",BS118/Model!BS261)</f>
        <v>5.2649374486789359E-3</v>
      </c>
      <c r="BT119" s="344">
        <f>IF(ISERROR(BT118/Model!BT261),"-",BT118/Model!BT261)</f>
        <v>6.5377532228360936E-3</v>
      </c>
      <c r="BU119" s="344">
        <f>IF(ISERROR(BU118/Model!BT261),"-",BU118/Model!BT261)</f>
        <v>1.9935543278084712E-2</v>
      </c>
      <c r="BV119" s="132"/>
      <c r="BW119" s="344">
        <f>IF(ISERROR(BW118/Model!BW261),"-",BW118/Model!BW261)</f>
        <v>5.9234373618601358E-3</v>
      </c>
      <c r="BX119" s="344">
        <f>IF(ISERROR(BX118/Model!BX261),"-",BX118/Model!BX261)</f>
        <v>1.1248832668308005E-2</v>
      </c>
      <c r="BY119" s="344">
        <f>IF(ISERROR(BY118/Model!BY261),"-",BY118/Model!BY261)</f>
        <v>7.9191585893998769E-3</v>
      </c>
      <c r="BZ119" s="344">
        <f>IF(ISERROR(BZ118/Model!BZ261),"-",BZ118/Model!BZ261)</f>
        <v>8.336212854181067E-3</v>
      </c>
      <c r="CA119" s="344">
        <f>IF(ISERROR(CA118/Model!BZ261),"-",CA118/Model!BZ261)</f>
        <v>3.3863165169315833E-2</v>
      </c>
      <c r="CB119" s="132"/>
      <c r="CC119" s="344">
        <f>IF(ISERROR(CC118/Model!CC261),"-",CC118/Model!CC261)</f>
        <v>6.3486135748296148E-3</v>
      </c>
      <c r="CD119" s="344">
        <f>IF(ISERROR(CD118/Model!CD261),"-",CD118/Model!CD261)</f>
        <v>5.5222956234516939E-3</v>
      </c>
      <c r="CE119" s="344">
        <f>IF(ISERROR(CE118/Model!CE261),"-",CE118/Model!CE261)</f>
        <v>3.376445004005951E-3</v>
      </c>
      <c r="CF119" s="344">
        <f>IF(ISERROR(CF118/Model!CF261),"-",CF118/Model!CF261)</f>
        <v>5.1350878216724054E-3</v>
      </c>
      <c r="CG119" s="344">
        <f>IF(ISERROR(CG118/Model!CF261),"-",CG118/Model!CF261)</f>
        <v>2.2757775573320885E-2</v>
      </c>
      <c r="CH119" s="132"/>
      <c r="CI119" s="344">
        <f>IF(ISERROR(CI118/Model!CI261),"-",CI118/Model!CI261)</f>
        <v>3.2907801418439716E-3</v>
      </c>
      <c r="CJ119" s="344">
        <f>IF(ISERROR(CJ118/Model!CJ261),"-",CJ118/Model!CJ261)</f>
        <v>2.9114480333992526E-3</v>
      </c>
      <c r="CK119" s="344">
        <f>IF(ISERROR(CK118/Model!CK261),"-",CK118/Model!CK261)</f>
        <v>3.7230081906180208E-3</v>
      </c>
      <c r="CL119" s="344">
        <f>IF(ISERROR(CL118/Model!CL261),"-",CL118/Model!CL261)</f>
        <v>5.2259452812788189E-3</v>
      </c>
      <c r="CM119" s="344">
        <f>IF(ISERROR(CM118/Model!CL261),"-",CM118/Model!CL261)</f>
        <v>1.4499436417665743E-2</v>
      </c>
      <c r="CN119" s="132"/>
      <c r="CO119" s="344">
        <f>IF(ISERROR(CO118/Model!CO261),"-",CO118/Model!CO261)</f>
        <v>1.1667913238593865E-2</v>
      </c>
      <c r="CP119" s="344">
        <f>IF(ISERROR(CP118/Model!CP261),"-",CP118/Model!CP261)</f>
        <v>7.8884078884078872E-3</v>
      </c>
      <c r="CQ119" s="344">
        <f>IF(ISERROR(CQ118/Model!CQ261),"-",CQ118/Model!CQ261)</f>
        <v>4.1378027802315342E-3</v>
      </c>
      <c r="CR119" s="344">
        <f>IF(ISERROR(CR118/Model!CR261),"-",CR118/Model!CR261)</f>
        <v>6.454233616176204E-3</v>
      </c>
      <c r="CS119" s="344">
        <f>IF(ISERROR(CS118/Model!CR261),"-",CS118/Model!CR261)</f>
        <v>2.8434735511825241E-2</v>
      </c>
      <c r="CT119" s="132"/>
      <c r="CU119" s="344">
        <f>IF(ISERROR(CU118/Model!CU261),"-",CU118/Model!CU261)</f>
        <v>5.0529460872621827E-3</v>
      </c>
      <c r="CV119" s="344">
        <f>IF(ISERROR(CV118/Model!CV261),"-",CV118/Model!CV261)</f>
        <v>7.2652919168189334E-3</v>
      </c>
      <c r="CW119" s="344">
        <f>IF(ISERROR(CW118/Model!CW261),"-",CW118/Model!CW261)</f>
        <v>7.1801566579634477E-3</v>
      </c>
      <c r="CX119" s="344">
        <f>IF(ISERROR(CX118/Model!CX261),"-",CX118/Model!CX261)</f>
        <v>5.0592406814840424E-3</v>
      </c>
      <c r="CY119" s="344">
        <f>IF(ISERROR(CY118/Model!CX261),"-",CY118/Model!CX261)</f>
        <v>2.4388134567153854E-2</v>
      </c>
      <c r="CZ119" s="132"/>
      <c r="DA119" s="344">
        <f>IF(ISERROR(DA118/Model!DA261),"-",DA118/Model!DA261)</f>
        <v>1.1244769874476987E-2</v>
      </c>
      <c r="DB119" s="344">
        <f>IF(ISERROR(DB118/Model!DB261),"-",DB118/Model!DB261)</f>
        <v>7.345546762275371E-3</v>
      </c>
      <c r="DC119" s="344">
        <f>IF(ISERROR(DC118/Model!DC261),"-",DC118/Model!DC261)</f>
        <v>5.4046986008804421E-3</v>
      </c>
      <c r="DD119" s="344">
        <f>IF(ISERROR(DD118/Model!DD261),"-",DD118/Model!DD261)</f>
        <v>4.0459123092484285E-3</v>
      </c>
      <c r="DE119" s="344">
        <f>IF(ISERROR(DE118/Model!DD261),"-",DE118/Model!DD261)</f>
        <v>2.8233431549320551E-2</v>
      </c>
      <c r="DF119" s="132"/>
      <c r="DG119" s="344">
        <f>IF(ISERROR(DG118/Model!DG261),"-",DG118/Model!DG261)</f>
        <v>6.3153310104529618E-3</v>
      </c>
      <c r="DH119" s="344">
        <f>IF(ISERROR(DH118/Model!DH261),"-",DH118/Model!DH261)</f>
        <v>7.2109302521717149E-3</v>
      </c>
      <c r="DI119" s="344">
        <f>IF(ISERROR(DI118/Model!DI261),"-",DI118/Model!DI261)</f>
        <v>1.1667077479253964E-2</v>
      </c>
      <c r="DJ119" s="344">
        <f>IF(ISERROR(DJ118/Model!DJ261),"-",DJ118/Model!DJ261)</f>
        <v>6.1698909322506178E-3</v>
      </c>
      <c r="DK119" s="344">
        <f>IF(ISERROR(DK118/Model!DJ261),"-",DK118/Model!DJ261)</f>
        <v>3.0053339702253008E-2</v>
      </c>
      <c r="DL119" s="132"/>
      <c r="DM119" s="344">
        <f>IF(ISERROR(DM118/Model!DM261),"-",DM118/Model!DM261)</f>
        <v>4.8710155093133816E-3</v>
      </c>
      <c r="DN119" s="344">
        <f>IF(ISERROR(DN118/Model!DN261),"-",DN118/Model!DN261)</f>
        <v>6.8147797998897039E-3</v>
      </c>
      <c r="DO119" s="344">
        <f>IF(ISERROR(DO118/Model!DO261),"-",DO118/Model!DO261)</f>
        <v>4.7611490239644486E-3</v>
      </c>
      <c r="DP119" s="344">
        <f>IF(ISERROR(DP118/Model!DP261),"-",DP118/Model!DP261)</f>
        <v>1.2219959266802447E-2</v>
      </c>
      <c r="DQ119" s="344">
        <f>IF(ISERROR(DQ118/Model!DP261),"-",DQ118/Model!DP261)</f>
        <v>2.8912583363284217E-2</v>
      </c>
      <c r="DR119" s="132"/>
      <c r="DS119" s="344">
        <f>IF(ISERROR(DS118/Model!DS261),"-",DS118/Model!DS261)</f>
        <v>9.4112682000422037E-3</v>
      </c>
      <c r="DT119" s="344">
        <f>IF(ISERROR(DT118/Model!DT261),"-",DT118/Model!DT261)</f>
        <v>8.7852166010299916E-3</v>
      </c>
      <c r="DU119" s="344">
        <f>IF(ISERROR(DU118/Model!DU261),"-",DU118/Model!DU261)</f>
        <v>1.0224948875255621E-2</v>
      </c>
      <c r="DV119" s="344">
        <f>IF(ISERROR(DV118/Model!DV261),"-",DV118/Model!DV261)</f>
        <v>5.3668143771541145E-3</v>
      </c>
      <c r="DW119" s="344">
        <f>IF(ISERROR(DW118/Model!DV261),"-",DW118/Model!DV261)</f>
        <v>3.7419990152634169E-2</v>
      </c>
      <c r="DX119" s="126"/>
      <c r="DY119" s="344">
        <f>IF(ISERROR(DY118/Model!DY261),"-",DY118/Model!DY261)</f>
        <v>4.289704708699122E-3</v>
      </c>
      <c r="DZ119" s="344">
        <f>IF(ISERROR(DZ118/Model!DZ261),"-",DZ118/Model!DZ261)</f>
        <v>9.1006697683930649E-3</v>
      </c>
      <c r="EA119" s="344">
        <f>IF(ISERROR(EA118/Model!EA261),"-",EA118/Model!EA261)</f>
        <v>6.5098909971740004E-3</v>
      </c>
      <c r="EB119" s="344">
        <f>IF(ISERROR(EB118/Model!EB261),"-",EB118/Model!EB261)</f>
        <v>5.5431294369347496E-3</v>
      </c>
      <c r="EC119" s="344">
        <f>IF(ISERROR(EC118/Model!EB261),"-",EC118/Model!EB261)</f>
        <v>2.4652338811630849E-2</v>
      </c>
      <c r="ED119" s="126"/>
      <c r="EE119" s="2088">
        <f>DY119-0.1%</f>
        <v>3.289704708699122E-3</v>
      </c>
      <c r="EF119" s="2088">
        <f t="shared" ref="EF119:EH119" si="168">DZ119-0.1%</f>
        <v>8.1006697683930658E-3</v>
      </c>
      <c r="EG119" s="2088">
        <f t="shared" si="168"/>
        <v>5.5098909971740004E-3</v>
      </c>
      <c r="EH119" s="2088">
        <f t="shared" si="168"/>
        <v>4.5431294369347496E-3</v>
      </c>
      <c r="EI119" s="344">
        <f>IF(ISERROR(EI118/Model!EH261),"-",EI118/Model!EH261)</f>
        <v>1.9698348630328301E-2</v>
      </c>
      <c r="EJ119" s="126"/>
      <c r="EK119" s="2088">
        <f>EE119-0.001</f>
        <v>2.289704708699122E-3</v>
      </c>
      <c r="EL119" s="2088">
        <f t="shared" ref="EL119:EN119" si="169">EF119-0.001</f>
        <v>7.1006697683930657E-3</v>
      </c>
      <c r="EM119" s="2088">
        <f t="shared" si="169"/>
        <v>4.5098909971740004E-3</v>
      </c>
      <c r="EN119" s="2088">
        <f t="shared" si="169"/>
        <v>3.5431294369347496E-3</v>
      </c>
      <c r="EO119" s="344">
        <f>IF(ISERROR(EO118/Model!EN261),"-",EO118/Model!EN261)</f>
        <v>1.6067128870718504E-2</v>
      </c>
      <c r="EP119" s="126"/>
      <c r="EQ119" s="2088">
        <f>EK119-0.001</f>
        <v>1.289704708699122E-3</v>
      </c>
      <c r="ER119" s="2088">
        <f t="shared" ref="ER119" si="170">EL119-0.001</f>
        <v>6.1006697683930657E-3</v>
      </c>
      <c r="ES119" s="2088">
        <f t="shared" ref="ES119" si="171">EM119-0.001</f>
        <v>3.5098909971740004E-3</v>
      </c>
      <c r="ET119" s="2088">
        <f t="shared" ref="ET119" si="172">EN119-0.001</f>
        <v>2.5431294369347495E-3</v>
      </c>
      <c r="EU119" s="344">
        <f>IF(ISERROR(EU118/Model!ET261),"-",EU118/Model!ET261)</f>
        <v>1.2339766289145182E-2</v>
      </c>
      <c r="EV119" s="126"/>
      <c r="EW119" s="126"/>
      <c r="EX119" s="126"/>
      <c r="EY119" s="126"/>
      <c r="EZ119" s="126"/>
      <c r="FA119" s="126"/>
      <c r="FB119" s="126"/>
    </row>
    <row r="120" spans="1:158" ht="3.75" hidden="1" customHeight="1" outlineLevel="1">
      <c r="A120" s="47"/>
      <c r="B120" s="32"/>
      <c r="C120" s="353"/>
      <c r="D120" s="90"/>
      <c r="E120" s="90"/>
      <c r="F120" s="90"/>
      <c r="G120" s="61"/>
      <c r="H120" s="90"/>
      <c r="I120" s="90"/>
      <c r="J120" s="90"/>
      <c r="K120" s="126"/>
      <c r="L120" s="126"/>
      <c r="M120" s="126"/>
      <c r="N120" s="126"/>
      <c r="O120" s="344"/>
      <c r="P120" s="344"/>
      <c r="Q120" s="344"/>
      <c r="R120" s="344"/>
      <c r="S120" s="344"/>
      <c r="T120" s="126"/>
      <c r="U120" s="344"/>
      <c r="V120" s="344"/>
      <c r="W120" s="344"/>
      <c r="X120" s="344"/>
      <c r="Y120" s="344"/>
      <c r="Z120" s="126"/>
      <c r="AA120" s="344"/>
      <c r="AB120" s="344"/>
      <c r="AC120" s="344"/>
      <c r="AD120" s="344"/>
      <c r="AE120" s="344"/>
      <c r="AF120" s="126"/>
      <c r="AG120" s="344"/>
      <c r="AH120" s="344"/>
      <c r="AI120" s="344"/>
      <c r="AJ120" s="344"/>
      <c r="AK120" s="344"/>
      <c r="AL120" s="126"/>
      <c r="AM120" s="344"/>
      <c r="AN120" s="344"/>
      <c r="AO120" s="344"/>
      <c r="AP120" s="344"/>
      <c r="AQ120" s="344"/>
      <c r="AR120" s="126"/>
      <c r="AS120" s="344"/>
      <c r="AT120" s="344"/>
      <c r="AU120" s="344"/>
      <c r="AV120" s="344"/>
      <c r="AW120" s="344"/>
      <c r="AX120" s="127"/>
      <c r="AY120" s="344"/>
      <c r="AZ120" s="344"/>
      <c r="BA120" s="344"/>
      <c r="BB120" s="344"/>
      <c r="BC120" s="344"/>
      <c r="BD120" s="132"/>
      <c r="BE120" s="344"/>
      <c r="BF120" s="345"/>
      <c r="BG120" s="345"/>
      <c r="BH120" s="345"/>
      <c r="BI120" s="344"/>
      <c r="BJ120" s="132"/>
      <c r="BK120" s="344"/>
      <c r="BL120" s="474"/>
      <c r="BM120" s="345"/>
      <c r="BN120" s="345"/>
      <c r="BO120" s="344"/>
      <c r="BP120" s="132"/>
      <c r="BQ120" s="345"/>
      <c r="BR120" s="474"/>
      <c r="BS120" s="345"/>
      <c r="BT120" s="345"/>
      <c r="BU120" s="344"/>
      <c r="BV120" s="132"/>
      <c r="BW120" s="345"/>
      <c r="BX120" s="345"/>
      <c r="BY120" s="345"/>
      <c r="BZ120" s="345"/>
      <c r="CA120" s="344"/>
      <c r="CB120" s="132"/>
      <c r="CC120" s="345"/>
      <c r="CD120" s="345"/>
      <c r="CE120" s="345"/>
      <c r="CF120" s="345"/>
      <c r="CG120" s="344"/>
      <c r="CH120" s="132"/>
      <c r="CI120" s="345"/>
      <c r="CJ120" s="345"/>
      <c r="CK120" s="345"/>
      <c r="CL120" s="345"/>
      <c r="CM120" s="344"/>
      <c r="CN120" s="132"/>
      <c r="CO120" s="345"/>
      <c r="CP120" s="345"/>
      <c r="CQ120" s="345"/>
      <c r="CR120" s="345"/>
      <c r="CS120" s="344"/>
      <c r="CT120" s="132"/>
      <c r="CU120" s="345"/>
      <c r="CV120" s="345"/>
      <c r="CW120" s="345"/>
      <c r="CX120" s="345"/>
      <c r="CY120" s="344"/>
      <c r="CZ120" s="132"/>
      <c r="DA120" s="345"/>
      <c r="DB120" s="345"/>
      <c r="DC120" s="345"/>
      <c r="DD120" s="345"/>
      <c r="DE120" s="344"/>
      <c r="DF120" s="132"/>
      <c r="DG120" s="345"/>
      <c r="DH120" s="345"/>
      <c r="DI120" s="345"/>
      <c r="DJ120" s="345"/>
      <c r="DK120" s="344"/>
      <c r="DL120" s="132"/>
      <c r="DM120" s="345"/>
      <c r="DN120" s="345"/>
      <c r="DO120" s="345"/>
      <c r="DP120" s="345"/>
      <c r="DQ120" s="344"/>
      <c r="DR120" s="132"/>
      <c r="DS120" s="345"/>
      <c r="DT120" s="345"/>
      <c r="DU120" s="345"/>
      <c r="DV120" s="345"/>
      <c r="DW120" s="344"/>
      <c r="DX120" s="126"/>
      <c r="DY120" s="345"/>
      <c r="DZ120" s="345"/>
      <c r="EA120" s="345"/>
      <c r="EB120" s="345"/>
      <c r="EC120" s="344"/>
      <c r="ED120" s="126"/>
      <c r="EE120" s="345"/>
      <c r="EF120" s="474"/>
      <c r="EG120" s="345"/>
      <c r="EH120" s="345"/>
      <c r="EI120" s="344"/>
      <c r="EJ120" s="126"/>
      <c r="EK120" s="345"/>
      <c r="EL120" s="474"/>
      <c r="EM120" s="345"/>
      <c r="EN120" s="345"/>
      <c r="EO120" s="344"/>
      <c r="EP120" s="126"/>
      <c r="EQ120" s="345"/>
      <c r="ER120" s="474"/>
      <c r="ES120" s="345"/>
      <c r="ET120" s="345"/>
      <c r="EU120" s="344"/>
      <c r="EV120" s="126"/>
      <c r="EW120" s="126"/>
      <c r="EX120" s="126"/>
      <c r="EY120" s="126"/>
      <c r="EZ120" s="126"/>
      <c r="FA120" s="126"/>
      <c r="FB120" s="126"/>
    </row>
    <row r="121" spans="1:158" ht="11.25" hidden="1" customHeight="1" outlineLevel="1">
      <c r="A121" s="550" t="s">
        <v>5236</v>
      </c>
      <c r="B121" s="32"/>
      <c r="C121" s="353"/>
      <c r="D121" s="90"/>
      <c r="E121" s="90"/>
      <c r="F121" s="90"/>
      <c r="G121" s="61"/>
      <c r="H121" s="90"/>
      <c r="I121" s="90"/>
      <c r="J121" s="90"/>
      <c r="K121" s="126"/>
      <c r="L121" s="126"/>
      <c r="M121" s="126"/>
      <c r="N121" s="126"/>
      <c r="O121" s="344"/>
      <c r="P121" s="344"/>
      <c r="Q121" s="344"/>
      <c r="R121" s="344"/>
      <c r="S121" s="344"/>
      <c r="T121" s="126"/>
      <c r="U121" s="344"/>
      <c r="V121" s="344"/>
      <c r="W121" s="344"/>
      <c r="X121" s="344"/>
      <c r="Y121" s="344"/>
      <c r="Z121" s="126"/>
      <c r="AA121" s="344"/>
      <c r="AB121" s="344"/>
      <c r="AC121" s="344"/>
      <c r="AD121" s="344"/>
      <c r="AE121" s="344"/>
      <c r="AF121" s="126"/>
      <c r="AG121" s="344"/>
      <c r="AH121" s="344"/>
      <c r="AI121" s="344"/>
      <c r="AJ121" s="344"/>
      <c r="AK121" s="344"/>
      <c r="AL121" s="126"/>
      <c r="AM121" s="344"/>
      <c r="AN121" s="344"/>
      <c r="AO121" s="344"/>
      <c r="AP121" s="344"/>
      <c r="AQ121" s="344"/>
      <c r="AR121" s="126"/>
      <c r="AS121" s="344"/>
      <c r="AT121" s="344"/>
      <c r="AU121" s="344"/>
      <c r="AV121" s="344"/>
      <c r="AW121" s="344"/>
      <c r="AX121" s="127"/>
      <c r="AY121" s="552">
        <f>AY107-AV107</f>
        <v>-0.23800000000000665</v>
      </c>
      <c r="AZ121" s="551">
        <f>AZ107-AY107</f>
        <v>-0.21699999999999875</v>
      </c>
      <c r="BA121" s="551">
        <f>BA107-AZ107</f>
        <v>-1.445999999999998</v>
      </c>
      <c r="BB121" s="551">
        <f>BB107-BA107</f>
        <v>-3.9000000000001478E-2</v>
      </c>
      <c r="BC121" s="175">
        <f>SUM(AY121:BB121)</f>
        <v>-1.9400000000000048</v>
      </c>
      <c r="BD121" s="126"/>
      <c r="BE121" s="552">
        <f>BE107-BB107</f>
        <v>-9.5999999999996533E-2</v>
      </c>
      <c r="BF121" s="551">
        <f>BF107-BE107</f>
        <v>-0.27300000000000324</v>
      </c>
      <c r="BG121" s="551">
        <f>BG107-BF107</f>
        <v>1.1430000000000007</v>
      </c>
      <c r="BH121" s="551">
        <f>BH107-BG107</f>
        <v>1.6400000000000006</v>
      </c>
      <c r="BI121" s="175">
        <f>SUM(BE121:BH121)</f>
        <v>2.4140000000000015</v>
      </c>
      <c r="BJ121" s="126"/>
      <c r="BK121" s="552">
        <f>BK107-BH107</f>
        <v>3.1000000000000014</v>
      </c>
      <c r="BL121" s="552">
        <f>BL107-BK107</f>
        <v>2.6000000000000014</v>
      </c>
      <c r="BM121" s="552">
        <f>BM107-BL107</f>
        <v>1.3999999999999986</v>
      </c>
      <c r="BN121" s="552">
        <f>BN107-BM107</f>
        <v>0.89999999999999858</v>
      </c>
      <c r="BO121" s="175">
        <f>SUM(BK121:BN121)</f>
        <v>8</v>
      </c>
      <c r="BP121" s="126"/>
      <c r="BQ121" s="552">
        <f>BQ107-BN107</f>
        <v>2</v>
      </c>
      <c r="BR121" s="552">
        <f>BR107-BQ107</f>
        <v>5.7999999999999972</v>
      </c>
      <c r="BS121" s="552">
        <f>BS107-BR107</f>
        <v>4.6000000000000014</v>
      </c>
      <c r="BT121" s="552">
        <f>BT107-BS107</f>
        <v>5.8000000000000043</v>
      </c>
      <c r="BU121" s="175">
        <f>SUM(BQ121:BT121)</f>
        <v>18.200000000000003</v>
      </c>
      <c r="BV121" s="126"/>
      <c r="BW121" s="552">
        <f>BW107-BT107</f>
        <v>10.599999999999994</v>
      </c>
      <c r="BX121" s="552">
        <f>BX107-BW107</f>
        <v>6.2999999999999972</v>
      </c>
      <c r="BY121" s="552">
        <f>BY107-BX107</f>
        <v>13.600000000000023</v>
      </c>
      <c r="BZ121" s="552">
        <f>BZ107-BY107</f>
        <v>23.300000000000011</v>
      </c>
      <c r="CA121" s="175">
        <f>SUM(BW121:BZ121)</f>
        <v>53.800000000000026</v>
      </c>
      <c r="CB121" s="126"/>
      <c r="CC121" s="1490">
        <f>CC107-BZ107</f>
        <v>-8.0000000000000284</v>
      </c>
      <c r="CD121" s="1490">
        <f>CD107-CC107</f>
        <v>0.39999999999997726</v>
      </c>
      <c r="CE121" s="1490">
        <f>CE107-CD107</f>
        <v>3.8000000000000398</v>
      </c>
      <c r="CF121" s="1490">
        <f>CF107-CE107</f>
        <v>2.4999999999999858</v>
      </c>
      <c r="CG121" s="175">
        <f>SUM(CC121:CF121)</f>
        <v>-1.3000000000000256</v>
      </c>
      <c r="CH121" s="126"/>
      <c r="CI121" s="1490">
        <f>CI107-CF107</f>
        <v>0</v>
      </c>
      <c r="CJ121" s="1490">
        <f>CJ107-CI107</f>
        <v>-0.5</v>
      </c>
      <c r="CK121" s="1490">
        <f>CK107-CJ107</f>
        <v>0</v>
      </c>
      <c r="CL121" s="1490">
        <f>CL107-CK107</f>
        <v>8.0999999999999943</v>
      </c>
      <c r="CM121" s="175">
        <f>SUM(CI121:CL121)</f>
        <v>7.5999999999999943</v>
      </c>
      <c r="CN121" s="126"/>
      <c r="CO121" s="1490">
        <f>CO107-CL107</f>
        <v>12.600000000000009</v>
      </c>
      <c r="CP121" s="1490">
        <f>CP107-CO107</f>
        <v>-20.700000000000003</v>
      </c>
      <c r="CQ121" s="1490">
        <f>CQ107-CP107</f>
        <v>0</v>
      </c>
      <c r="CR121" s="1490">
        <f>CR107-CQ107</f>
        <v>26.299999999999997</v>
      </c>
      <c r="CS121" s="175">
        <f>SUM(CO121:CR121)</f>
        <v>18.200000000000003</v>
      </c>
      <c r="CT121" s="126"/>
      <c r="CU121" s="1490">
        <f>CU107-CR107</f>
        <v>0</v>
      </c>
      <c r="CV121" s="1490">
        <f>CV107-CU107</f>
        <v>0</v>
      </c>
      <c r="CW121" s="1490">
        <f>CW107-CV107</f>
        <v>0</v>
      </c>
      <c r="CX121" s="1490">
        <f>CX107-CW107</f>
        <v>0</v>
      </c>
      <c r="CY121" s="175">
        <f>SUM(CU121:CX121)</f>
        <v>0</v>
      </c>
      <c r="CZ121" s="126"/>
      <c r="DA121" s="1490">
        <f>DA107-CX107</f>
        <v>0</v>
      </c>
      <c r="DB121" s="1490">
        <f>DB107-DA107</f>
        <v>0</v>
      </c>
      <c r="DC121" s="1490">
        <f>DC107-DB107</f>
        <v>0</v>
      </c>
      <c r="DD121" s="552">
        <f>DD107-DC107</f>
        <v>0</v>
      </c>
      <c r="DE121" s="175">
        <f>SUM(DA121:DD121)</f>
        <v>0</v>
      </c>
      <c r="DF121" s="126"/>
      <c r="DG121" s="1490">
        <f>DG107-DD107</f>
        <v>0</v>
      </c>
      <c r="DH121" s="1490">
        <f>DH107-DG107</f>
        <v>0</v>
      </c>
      <c r="DI121" s="1490">
        <f>DI107-DH107</f>
        <v>0</v>
      </c>
      <c r="DJ121" s="552">
        <f>DJ107-DI107</f>
        <v>0</v>
      </c>
      <c r="DK121" s="175">
        <f>SUM(DG121:DJ121)</f>
        <v>0</v>
      </c>
      <c r="DL121" s="126"/>
      <c r="DM121" s="1490">
        <f>DM107-DJ107</f>
        <v>0</v>
      </c>
      <c r="DN121" s="1490">
        <f>DN107-DM107</f>
        <v>0</v>
      </c>
      <c r="DO121" s="1490">
        <f>DO107-DN107</f>
        <v>0</v>
      </c>
      <c r="DP121" s="552">
        <f>DP107-DO107</f>
        <v>0</v>
      </c>
      <c r="DQ121" s="175">
        <f>SUM(DM121:DP121)</f>
        <v>0</v>
      </c>
      <c r="DR121" s="126"/>
      <c r="DS121" s="1490">
        <f>DS107-DP107</f>
        <v>0</v>
      </c>
      <c r="DT121" s="1490">
        <f>DT107-DS107</f>
        <v>0</v>
      </c>
      <c r="DU121" s="1490">
        <f>DU107-DT107</f>
        <v>0</v>
      </c>
      <c r="DV121" s="552">
        <f>DV107-DU107</f>
        <v>0</v>
      </c>
      <c r="DW121" s="175">
        <f>SUM(DS121:DV121)</f>
        <v>0</v>
      </c>
      <c r="DX121" s="126"/>
      <c r="DY121" s="1490">
        <f>DY107-DV107</f>
        <v>0</v>
      </c>
      <c r="DZ121" s="1490">
        <f>DZ107-DY107</f>
        <v>0</v>
      </c>
      <c r="EA121" s="1490">
        <f>EA107-DZ107</f>
        <v>0</v>
      </c>
      <c r="EB121" s="552">
        <f>EB107-EA107</f>
        <v>0</v>
      </c>
      <c r="EC121" s="175">
        <f>SUM(DY121:EB121)</f>
        <v>0</v>
      </c>
      <c r="ED121" s="126"/>
      <c r="EE121" s="552">
        <f>EE107-EB107</f>
        <v>0</v>
      </c>
      <c r="EF121" s="552">
        <f>EF107-EE107</f>
        <v>0</v>
      </c>
      <c r="EG121" s="552">
        <f>EG107-EF107</f>
        <v>0</v>
      </c>
      <c r="EH121" s="552">
        <f>EH107-EG107</f>
        <v>0</v>
      </c>
      <c r="EI121" s="175">
        <f>SUM(EE121:EH121)</f>
        <v>0</v>
      </c>
      <c r="EJ121" s="126"/>
      <c r="EK121" s="552">
        <f>EK107-EH107</f>
        <v>0</v>
      </c>
      <c r="EL121" s="552">
        <f>EL107-EK107</f>
        <v>0</v>
      </c>
      <c r="EM121" s="552">
        <f>EM107-EL107</f>
        <v>0</v>
      </c>
      <c r="EN121" s="552">
        <f>EN107-EM107</f>
        <v>0</v>
      </c>
      <c r="EO121" s="175">
        <f>SUM(EK121:EN121)</f>
        <v>0</v>
      </c>
      <c r="EP121" s="126"/>
      <c r="EQ121" s="552">
        <f>EQ107-EN107</f>
        <v>0</v>
      </c>
      <c r="ER121" s="552">
        <f>ER107-EQ107</f>
        <v>0</v>
      </c>
      <c r="ES121" s="552">
        <f>ES107-ER107</f>
        <v>0</v>
      </c>
      <c r="ET121" s="552">
        <f>ET107-ES107</f>
        <v>0</v>
      </c>
      <c r="EU121" s="175">
        <f>SUM(EQ121:ET121)</f>
        <v>0</v>
      </c>
      <c r="EV121" s="126"/>
      <c r="EW121" s="126"/>
      <c r="EX121" s="126"/>
      <c r="EY121" s="126"/>
      <c r="EZ121" s="126"/>
      <c r="FA121" s="126"/>
      <c r="FB121" s="126"/>
    </row>
    <row r="122" spans="1:158" ht="11.25" hidden="1" customHeight="1" outlineLevel="1">
      <c r="A122" s="47" t="s">
        <v>5236</v>
      </c>
      <c r="B122" s="32"/>
      <c r="C122" s="353"/>
      <c r="D122" s="90"/>
      <c r="E122" s="90"/>
      <c r="F122" s="90"/>
      <c r="G122" s="61"/>
      <c r="H122" s="90"/>
      <c r="I122" s="90"/>
      <c r="J122" s="90"/>
      <c r="K122" s="126"/>
      <c r="L122" s="126"/>
      <c r="M122" s="126"/>
      <c r="N122" s="126"/>
      <c r="O122" s="344" t="s">
        <v>6442</v>
      </c>
      <c r="P122" s="344">
        <f>P108/O108-1</f>
        <v>4.0610209195380165E-2</v>
      </c>
      <c r="Q122" s="344">
        <f>Q108/P108-1</f>
        <v>4.0593776236033108E-3</v>
      </c>
      <c r="R122" s="344">
        <f>R108/Q108-1</f>
        <v>7.1615624224715457E-2</v>
      </c>
      <c r="S122" s="126"/>
      <c r="T122" s="126"/>
      <c r="U122" s="344">
        <f>U107/S107-1</f>
        <v>-5.8141882343439866E-3</v>
      </c>
      <c r="V122" s="344">
        <f>V108/U108-1</f>
        <v>3.9640591966174643E-3</v>
      </c>
      <c r="W122" s="344">
        <f>W108/V108-1</f>
        <v>7.3432153198209837E-2</v>
      </c>
      <c r="X122" s="344">
        <f>X108/W108-1</f>
        <v>-5.6691827273075424E-2</v>
      </c>
      <c r="Y122" s="126"/>
      <c r="Z122" s="126"/>
      <c r="AA122" s="344">
        <f>AA107/Y107-1</f>
        <v>-5.567046604761694E-2</v>
      </c>
      <c r="AB122" s="344">
        <f>AB108/AA108-1</f>
        <v>4.1043524391290553E-2</v>
      </c>
      <c r="AC122" s="344">
        <f>AC108/AB108-1</f>
        <v>2.9091290598162622E-2</v>
      </c>
      <c r="AD122" s="344">
        <f>AD108/AC108-1</f>
        <v>5.098162011010432E-2</v>
      </c>
      <c r="AE122" s="126"/>
      <c r="AF122" s="126"/>
      <c r="AG122" s="344">
        <f>AG107/AE107-1</f>
        <v>7.5888745625345422E-3</v>
      </c>
      <c r="AH122" s="344">
        <f>AH108/AG108-1</f>
        <v>3.7527872998968093E-2</v>
      </c>
      <c r="AI122" s="344">
        <f>AI108/AH108-1</f>
        <v>1.6911203351446469E-2</v>
      </c>
      <c r="AJ122" s="344">
        <f>AJ108/AI108-1</f>
        <v>-6.9964481512089227E-3</v>
      </c>
      <c r="AK122" s="126"/>
      <c r="AL122" s="126"/>
      <c r="AM122" s="344">
        <f>AM107/AK107-1</f>
        <v>1.9897477404559494E-2</v>
      </c>
      <c r="AN122" s="344">
        <f>AN108/AM108-1</f>
        <v>1.3017693235228833E-2</v>
      </c>
      <c r="AO122" s="344">
        <f>AO108/AN108-1</f>
        <v>8.0588349608903265E-3</v>
      </c>
      <c r="AP122" s="344">
        <f>AP108/AO108-1</f>
        <v>1.0241519118506348E-2</v>
      </c>
      <c r="AQ122" s="126"/>
      <c r="AR122" s="126"/>
      <c r="AS122" s="344">
        <f>AS107/AQ107-1</f>
        <v>-4.7093853492539139E-3</v>
      </c>
      <c r="AT122" s="344">
        <f>AT108/AS108-1</f>
        <v>3.5633923822771196E-2</v>
      </c>
      <c r="AU122" s="344">
        <f>AU108/AT108-1</f>
        <v>-1.2579148748857127E-2</v>
      </c>
      <c r="AV122" s="344">
        <f>AV108/AU108-1</f>
        <v>-3.4177482868392728E-3</v>
      </c>
      <c r="AW122" s="126"/>
      <c r="AX122" s="127"/>
      <c r="AY122" s="344">
        <f>AY107/AW107-1</f>
        <v>-6.8933557319124095E-3</v>
      </c>
      <c r="AZ122" s="344">
        <f>AZ108/AY108-1</f>
        <v>2.7796678230025407E-2</v>
      </c>
      <c r="BA122" s="344">
        <f>BA108/AZ108-1</f>
        <v>-0.13954396969927185</v>
      </c>
      <c r="BB122" s="344">
        <f>BB108/BA108-1</f>
        <v>-2.4771394336885688E-2</v>
      </c>
      <c r="BC122" s="126"/>
      <c r="BD122" s="132"/>
      <c r="BE122" s="344">
        <f>BE107/BC107-1</f>
        <v>-2.9460504511138463E-3</v>
      </c>
      <c r="BF122" s="344">
        <f>BF108/BE108-1</f>
        <v>4.803341028640018E-2</v>
      </c>
      <c r="BG122" s="344">
        <f>BG108/BF108-1</f>
        <v>3.0476724686965051E-2</v>
      </c>
      <c r="BH122" s="344">
        <f>BH108/BG108-1</f>
        <v>2.9694437041782873E-2</v>
      </c>
      <c r="BI122" s="132"/>
      <c r="BJ122" s="132"/>
      <c r="BK122" s="344">
        <f>BK107/BI107-1</f>
        <v>8.8571428571428523E-2</v>
      </c>
      <c r="BL122" s="344">
        <f>BL108/BK108-1</f>
        <v>3.9830058417419156E-2</v>
      </c>
      <c r="BM122" s="344">
        <f>BM108/BL108-1</f>
        <v>4.0347293156281827E-2</v>
      </c>
      <c r="BN122" s="344">
        <f>BN108/BM108-1</f>
        <v>-9.3274423171328946E-3</v>
      </c>
      <c r="BO122" s="132"/>
      <c r="BP122" s="132"/>
      <c r="BQ122" s="344">
        <f>BQ107/BO107-1</f>
        <v>4.6511627906976827E-2</v>
      </c>
      <c r="BR122" s="344">
        <f>BR107/BQ107-1</f>
        <v>0.12888888888888883</v>
      </c>
      <c r="BS122" s="344">
        <f>BS107/BR107-1</f>
        <v>9.0551181102362266E-2</v>
      </c>
      <c r="BT122" s="344">
        <f>BT107/BS107-1</f>
        <v>0.10469314079422398</v>
      </c>
      <c r="BU122" s="132"/>
      <c r="BV122" s="132"/>
      <c r="BW122" s="344">
        <f>BW107/BU107-1</f>
        <v>0.1732026143790848</v>
      </c>
      <c r="BX122" s="344">
        <f>BX107/BW107-1</f>
        <v>8.7743732590529255E-2</v>
      </c>
      <c r="BY122" s="344">
        <f>BY107/BX107-1</f>
        <v>0.17413572343149841</v>
      </c>
      <c r="BZ122" s="344">
        <f>BZ107/BY107-1</f>
        <v>0.25408942202835338</v>
      </c>
      <c r="CA122" s="132"/>
      <c r="CB122" s="132"/>
      <c r="CC122" s="344">
        <f>CC107/CA107-1</f>
        <v>-6.9565217391304612E-2</v>
      </c>
      <c r="CD122" s="344">
        <f>CD107/CC107-1</f>
        <v>3.7383177570091686E-3</v>
      </c>
      <c r="CE122" s="344">
        <f>CE107/CD107-1</f>
        <v>3.5381750465549811E-2</v>
      </c>
      <c r="CF122" s="344">
        <f>CF107/CE107-1</f>
        <v>2.248201438848918E-2</v>
      </c>
      <c r="CG122" s="132"/>
      <c r="CH122" s="132"/>
      <c r="CI122" s="344">
        <v>0</v>
      </c>
      <c r="CJ122" s="344">
        <v>0</v>
      </c>
      <c r="CK122" s="344">
        <v>0</v>
      </c>
      <c r="CL122" s="344">
        <v>0</v>
      </c>
      <c r="CM122" s="132"/>
      <c r="CN122" s="132"/>
      <c r="CO122" s="344">
        <v>0</v>
      </c>
      <c r="CP122" s="344">
        <v>0</v>
      </c>
      <c r="CQ122" s="344">
        <v>0</v>
      </c>
      <c r="CR122" s="344">
        <v>0</v>
      </c>
      <c r="CS122" s="132"/>
      <c r="CT122" s="132"/>
      <c r="CU122" s="344">
        <v>0</v>
      </c>
      <c r="CV122" s="344">
        <v>0</v>
      </c>
      <c r="CW122" s="344">
        <v>0</v>
      </c>
      <c r="CX122" s="344">
        <v>0</v>
      </c>
      <c r="CY122" s="132"/>
      <c r="CZ122" s="132"/>
      <c r="DA122" s="344">
        <v>0</v>
      </c>
      <c r="DB122" s="344">
        <v>0</v>
      </c>
      <c r="DC122" s="344">
        <v>0</v>
      </c>
      <c r="DD122" s="344">
        <v>0</v>
      </c>
      <c r="DE122" s="132"/>
      <c r="DF122" s="132"/>
      <c r="DG122" s="344">
        <v>0</v>
      </c>
      <c r="DH122" s="344">
        <v>0</v>
      </c>
      <c r="DI122" s="344">
        <v>0</v>
      </c>
      <c r="DJ122" s="344">
        <v>0</v>
      </c>
      <c r="DK122" s="132"/>
      <c r="DL122" s="132"/>
      <c r="DM122" s="344">
        <v>0</v>
      </c>
      <c r="DN122" s="344">
        <v>0</v>
      </c>
      <c r="DO122" s="344">
        <v>0</v>
      </c>
      <c r="DP122" s="344">
        <v>0</v>
      </c>
      <c r="DQ122" s="132"/>
      <c r="DR122" s="132"/>
      <c r="DS122" s="344">
        <v>0</v>
      </c>
      <c r="DT122" s="345">
        <v>0</v>
      </c>
      <c r="DU122" s="344">
        <v>0</v>
      </c>
      <c r="DV122" s="344">
        <v>0</v>
      </c>
      <c r="DW122" s="132"/>
      <c r="DX122" s="126"/>
      <c r="DY122" s="344">
        <v>0</v>
      </c>
      <c r="DZ122" s="345">
        <v>0</v>
      </c>
      <c r="EA122" s="344">
        <v>0</v>
      </c>
      <c r="EB122" s="344">
        <v>0</v>
      </c>
      <c r="EC122" s="132"/>
      <c r="ED122" s="126"/>
      <c r="EE122" s="345">
        <v>0</v>
      </c>
      <c r="EF122" s="345">
        <v>0</v>
      </c>
      <c r="EG122" s="345">
        <v>0</v>
      </c>
      <c r="EH122" s="345">
        <v>0</v>
      </c>
      <c r="EI122" s="132"/>
      <c r="EJ122" s="126"/>
      <c r="EK122" s="345">
        <v>0</v>
      </c>
      <c r="EL122" s="345">
        <v>0</v>
      </c>
      <c r="EM122" s="345">
        <v>0</v>
      </c>
      <c r="EN122" s="345">
        <v>0</v>
      </c>
      <c r="EO122" s="132"/>
      <c r="EP122" s="126"/>
      <c r="EQ122" s="345">
        <v>0</v>
      </c>
      <c r="ER122" s="345">
        <v>0</v>
      </c>
      <c r="ES122" s="345">
        <v>0</v>
      </c>
      <c r="ET122" s="345">
        <v>0</v>
      </c>
      <c r="EU122" s="132"/>
      <c r="EV122" s="126"/>
      <c r="EW122" s="126"/>
      <c r="EX122" s="126"/>
      <c r="EY122" s="126"/>
      <c r="EZ122" s="126"/>
      <c r="FA122" s="126"/>
      <c r="FB122" s="126"/>
    </row>
    <row r="123" spans="1:158" ht="11.25" hidden="1" customHeight="1" outlineLevel="1">
      <c r="A123" s="47"/>
      <c r="B123" s="32"/>
      <c r="C123" s="353"/>
      <c r="D123" s="90"/>
      <c r="E123" s="90"/>
      <c r="F123" s="90"/>
      <c r="G123" s="61"/>
      <c r="H123" s="90"/>
      <c r="I123" s="90"/>
      <c r="J123" s="90"/>
      <c r="K123" s="126"/>
      <c r="L123" s="126"/>
      <c r="M123" s="126"/>
      <c r="N123" s="126"/>
      <c r="O123" s="344"/>
      <c r="P123" s="344"/>
      <c r="Q123" s="344"/>
      <c r="R123" s="344"/>
      <c r="S123" s="126"/>
      <c r="T123" s="126"/>
      <c r="U123" s="344"/>
      <c r="V123" s="344"/>
      <c r="W123" s="344"/>
      <c r="X123" s="344"/>
      <c r="Y123" s="126"/>
      <c r="Z123" s="126"/>
      <c r="AA123" s="344"/>
      <c r="AB123" s="344"/>
      <c r="AC123" s="344"/>
      <c r="AD123" s="344"/>
      <c r="AE123" s="126"/>
      <c r="AF123" s="126"/>
      <c r="AG123" s="344"/>
      <c r="AH123" s="344"/>
      <c r="AI123" s="344"/>
      <c r="AJ123" s="344"/>
      <c r="AK123" s="126"/>
      <c r="AL123" s="126"/>
      <c r="AM123" s="344"/>
      <c r="AN123" s="344"/>
      <c r="AO123" s="344"/>
      <c r="AP123" s="344"/>
      <c r="AQ123" s="126"/>
      <c r="AR123" s="126"/>
      <c r="AS123" s="344"/>
      <c r="AT123" s="344"/>
      <c r="AU123" s="344"/>
      <c r="AV123" s="344"/>
      <c r="AW123" s="126"/>
      <c r="AX123" s="127"/>
      <c r="AY123" s="344"/>
      <c r="AZ123" s="344"/>
      <c r="BA123" s="344"/>
      <c r="BB123" s="344"/>
      <c r="BC123" s="126"/>
      <c r="BD123" s="132"/>
      <c r="BE123" s="344"/>
      <c r="BF123" s="345"/>
      <c r="BG123" s="345"/>
      <c r="BH123" s="345"/>
      <c r="BI123" s="132"/>
      <c r="BJ123" s="132"/>
      <c r="BK123" s="345"/>
      <c r="BL123" s="345"/>
      <c r="BM123" s="345"/>
      <c r="BN123" s="345"/>
      <c r="BO123" s="132"/>
      <c r="BP123" s="132"/>
      <c r="BQ123" s="345"/>
      <c r="BR123" s="345"/>
      <c r="BS123" s="345"/>
      <c r="BT123" s="345"/>
      <c r="BU123" s="132"/>
      <c r="BV123" s="132"/>
      <c r="BW123" s="345"/>
      <c r="BX123" s="345"/>
      <c r="BY123" s="345"/>
      <c r="BZ123" s="345"/>
      <c r="CA123" s="132"/>
      <c r="CB123" s="132"/>
      <c r="CC123" s="345"/>
      <c r="CD123" s="345"/>
      <c r="CE123" s="345"/>
      <c r="CF123" s="345"/>
      <c r="CG123" s="132"/>
      <c r="CH123" s="132"/>
      <c r="CI123" s="345"/>
      <c r="CJ123" s="345"/>
      <c r="CK123" s="345"/>
      <c r="CL123" s="345"/>
      <c r="CM123" s="132"/>
      <c r="CN123" s="132"/>
      <c r="CO123" s="345"/>
      <c r="CP123" s="345"/>
      <c r="CQ123" s="345"/>
      <c r="CR123" s="345"/>
      <c r="CS123" s="132"/>
      <c r="CT123" s="132"/>
      <c r="CU123" s="345"/>
      <c r="CV123" s="345"/>
      <c r="CW123" s="345"/>
      <c r="CX123" s="345"/>
      <c r="CY123" s="132"/>
      <c r="CZ123" s="132"/>
      <c r="DA123" s="345"/>
      <c r="DB123" s="345"/>
      <c r="DC123" s="345"/>
      <c r="DD123" s="345"/>
      <c r="DE123" s="132"/>
      <c r="DF123" s="132"/>
      <c r="DG123" s="345"/>
      <c r="DH123" s="345"/>
      <c r="DI123" s="345"/>
      <c r="DJ123" s="345"/>
      <c r="DK123" s="132"/>
      <c r="DL123" s="132"/>
      <c r="DM123" s="345"/>
      <c r="DN123" s="345"/>
      <c r="DO123" s="345"/>
      <c r="DP123" s="345"/>
      <c r="DQ123" s="132"/>
      <c r="DR123" s="132"/>
      <c r="DS123" s="345"/>
      <c r="DT123" s="345"/>
      <c r="DU123" s="345"/>
      <c r="DV123" s="345"/>
      <c r="DW123" s="132"/>
      <c r="DX123" s="126"/>
      <c r="DY123" s="345"/>
      <c r="DZ123" s="345"/>
      <c r="EA123" s="345"/>
      <c r="EB123" s="345"/>
      <c r="EC123" s="132"/>
      <c r="ED123" s="126"/>
      <c r="EE123" s="345"/>
      <c r="EF123" s="345"/>
      <c r="EG123" s="345"/>
      <c r="EH123" s="345"/>
      <c r="EI123" s="132"/>
      <c r="EJ123" s="126"/>
      <c r="EK123" s="345"/>
      <c r="EL123" s="345"/>
      <c r="EM123" s="345"/>
      <c r="EN123" s="345"/>
      <c r="EO123" s="132"/>
      <c r="EP123" s="126"/>
      <c r="EQ123" s="345"/>
      <c r="ER123" s="345"/>
      <c r="ES123" s="345"/>
      <c r="ET123" s="345"/>
      <c r="EU123" s="132"/>
      <c r="EV123" s="126"/>
      <c r="EW123" s="126"/>
      <c r="EX123" s="126"/>
      <c r="EY123" s="126"/>
      <c r="EZ123" s="126"/>
      <c r="FA123" s="126"/>
      <c r="FB123" s="126"/>
    </row>
    <row r="124" spans="1:158" ht="12.75" hidden="1" customHeight="1" outlineLevel="1">
      <c r="A124" s="160" t="s">
        <v>5548</v>
      </c>
      <c r="B124" s="32"/>
      <c r="C124" s="353"/>
      <c r="D124" s="90"/>
      <c r="E124" s="90"/>
      <c r="F124" s="90"/>
      <c r="G124" s="61"/>
      <c r="H124" s="90"/>
      <c r="I124" s="90"/>
      <c r="J124" s="90"/>
      <c r="K124" s="300"/>
      <c r="L124" s="300"/>
      <c r="M124" s="300"/>
      <c r="N124" s="300"/>
      <c r="O124" s="491">
        <f>CF!O88</f>
        <v>18.492999999999999</v>
      </c>
      <c r="P124" s="491">
        <f>CF!P88</f>
        <v>19.013999999999999</v>
      </c>
      <c r="Q124" s="491">
        <f>CF!Q88</f>
        <v>15.798000000000002</v>
      </c>
      <c r="R124" s="491">
        <f>CF!R88</f>
        <v>27.476999999999997</v>
      </c>
      <c r="S124" s="491">
        <f>CF!S13</f>
        <v>80.781999999999996</v>
      </c>
      <c r="T124" s="300"/>
      <c r="U124" s="491">
        <f>CF!U88</f>
        <v>16.794</v>
      </c>
      <c r="V124" s="491">
        <f>CF!V88</f>
        <v>26.348000000000003</v>
      </c>
      <c r="W124" s="491">
        <f>CF!W88</f>
        <v>18.028999999999996</v>
      </c>
      <c r="X124" s="491">
        <f>CF!X88</f>
        <v>18.577000000000005</v>
      </c>
      <c r="Y124" s="491">
        <f>CF!Y13</f>
        <v>79.748000000000005</v>
      </c>
      <c r="Z124" s="300"/>
      <c r="AA124" s="491">
        <f>CF!AA88</f>
        <v>19.006</v>
      </c>
      <c r="AB124" s="491">
        <f>CF!AB88</f>
        <v>17.295999999999999</v>
      </c>
      <c r="AC124" s="491">
        <f>CF!AC88</f>
        <v>16.195999999999998</v>
      </c>
      <c r="AD124" s="491">
        <f>CF!AD88</f>
        <v>16.345999999999997</v>
      </c>
      <c r="AE124" s="491">
        <f>CF!AE13</f>
        <v>68.843999999999994</v>
      </c>
      <c r="AF124" s="300"/>
      <c r="AG124" s="491">
        <f>CF!AG88</f>
        <v>15.865</v>
      </c>
      <c r="AH124" s="491">
        <f>CF!AH88</f>
        <v>15.819999999999999</v>
      </c>
      <c r="AI124" s="491">
        <f>CF!AI88</f>
        <v>15.543000000000003</v>
      </c>
      <c r="AJ124" s="491">
        <f>CF!AJ88</f>
        <v>15.678999999999995</v>
      </c>
      <c r="AK124" s="491">
        <f>CF!AK13</f>
        <v>62.906999999999996</v>
      </c>
      <c r="AL124" s="300"/>
      <c r="AM124" s="491">
        <f>CF!AM88</f>
        <v>12.637</v>
      </c>
      <c r="AN124" s="491">
        <f>CF!AN88</f>
        <v>12.082000000000001</v>
      </c>
      <c r="AO124" s="491">
        <f>CF!AO88</f>
        <v>11.978999999999999</v>
      </c>
      <c r="AP124" s="491">
        <f>CF!AP88</f>
        <v>12.146000000000001</v>
      </c>
      <c r="AQ124" s="491">
        <f>CF!AQ13</f>
        <v>48.844000000000001</v>
      </c>
      <c r="AR124" s="300"/>
      <c r="AS124" s="491">
        <f>CF!AS88</f>
        <v>12.307</v>
      </c>
      <c r="AT124" s="491">
        <f>CF!AT88</f>
        <v>11.822000000000001</v>
      </c>
      <c r="AU124" s="491">
        <f>CF!AU88</f>
        <v>11.837</v>
      </c>
      <c r="AV124" s="491">
        <f>CF!AV88</f>
        <v>14.326000000000001</v>
      </c>
      <c r="AW124" s="491">
        <f>CF!AW13</f>
        <v>50.292000000000002</v>
      </c>
      <c r="AX124" s="300"/>
      <c r="AY124" s="491">
        <f>CF!AY88</f>
        <v>12.5</v>
      </c>
      <c r="AZ124" s="491">
        <f>CF!AZ88</f>
        <v>12.8</v>
      </c>
      <c r="BA124" s="491">
        <f>CF!BA88</f>
        <v>13.3</v>
      </c>
      <c r="BB124" s="491">
        <f>CF!BB88</f>
        <v>13.300000000000004</v>
      </c>
      <c r="BC124" s="491">
        <f>CF!BC13</f>
        <v>51.900000000000006</v>
      </c>
      <c r="BD124" s="300"/>
      <c r="BE124" s="491">
        <f>CF!BE88</f>
        <v>12.6</v>
      </c>
      <c r="BF124" s="491">
        <f>CF!BF88</f>
        <v>11.699999999999998</v>
      </c>
      <c r="BG124" s="491">
        <f>CF!BG88</f>
        <v>9.5</v>
      </c>
      <c r="BH124" s="491">
        <f>CF!BH88</f>
        <v>9.8999999999999986</v>
      </c>
      <c r="BI124" s="129">
        <f>SUM(BE124:BH124)</f>
        <v>43.699999999999996</v>
      </c>
      <c r="BJ124" s="300"/>
      <c r="BK124" s="491">
        <f>CF!BK88</f>
        <v>12.5</v>
      </c>
      <c r="BL124" s="491">
        <f>CF!BL88</f>
        <v>13.5</v>
      </c>
      <c r="BM124" s="491">
        <f>CF!BM88</f>
        <v>13.200000000000003</v>
      </c>
      <c r="BN124" s="491">
        <f>CF!BN88</f>
        <v>14.299999999999997</v>
      </c>
      <c r="BO124" s="129">
        <f>SUM(BK124:BN124)</f>
        <v>53.5</v>
      </c>
      <c r="BP124" s="300"/>
      <c r="BQ124" s="491">
        <f>CF!BQ88</f>
        <v>14.2</v>
      </c>
      <c r="BR124" s="491">
        <f>CF!BR88</f>
        <v>14.400000000000002</v>
      </c>
      <c r="BS124" s="491">
        <f>CF!BS88</f>
        <v>15.5</v>
      </c>
      <c r="BT124" s="491">
        <f>CF!BT88</f>
        <v>17.199999999999996</v>
      </c>
      <c r="BU124" s="129">
        <f>SUM(BQ124:BT124)</f>
        <v>61.3</v>
      </c>
      <c r="BV124" s="300"/>
      <c r="BW124" s="491">
        <f>CF!BW88</f>
        <v>16.899999999999999</v>
      </c>
      <c r="BX124" s="491">
        <f>CF!BX88</f>
        <v>22.200000000000003</v>
      </c>
      <c r="BY124" s="491">
        <f>CF!BY88</f>
        <v>25.4</v>
      </c>
      <c r="BZ124" s="491">
        <f>CF!BZ88</f>
        <v>27.299999999999997</v>
      </c>
      <c r="CA124" s="129">
        <f>SUM(BW124:BZ124)</f>
        <v>91.8</v>
      </c>
      <c r="CB124" s="300"/>
      <c r="CC124" s="491">
        <f>CF!CC88</f>
        <v>27</v>
      </c>
      <c r="CD124" s="491">
        <f>CF!CD88</f>
        <v>28.5</v>
      </c>
      <c r="CE124" s="491">
        <f>CF!CE88</f>
        <v>28.900000000000006</v>
      </c>
      <c r="CF124" s="491">
        <f>CF!CF88</f>
        <v>27.099999999999994</v>
      </c>
      <c r="CG124" s="129">
        <f>SUM(CC124:CF124)</f>
        <v>111.5</v>
      </c>
      <c r="CH124" s="300"/>
      <c r="CI124" s="491">
        <f>CF!CI88</f>
        <v>26.7</v>
      </c>
      <c r="CJ124" s="491">
        <f>CF!CJ88</f>
        <v>26.3</v>
      </c>
      <c r="CK124" s="491">
        <f>CF!CK88</f>
        <v>26.599999999999994</v>
      </c>
      <c r="CL124" s="491">
        <f>CF!CL88</f>
        <v>25.800000000000011</v>
      </c>
      <c r="CM124" s="129">
        <f>SUM(CI124:CL124)</f>
        <v>105.4</v>
      </c>
      <c r="CN124" s="300"/>
      <c r="CO124" s="491">
        <f>CF!CO88</f>
        <v>24.5</v>
      </c>
      <c r="CP124" s="491">
        <f>CF!CP88</f>
        <v>29.700000000000003</v>
      </c>
      <c r="CQ124" s="491">
        <f>CF!CQ88</f>
        <v>31</v>
      </c>
      <c r="CR124" s="491">
        <f>CF!CR88</f>
        <v>30.299999999999997</v>
      </c>
      <c r="CS124" s="129">
        <f>SUM(CO124:CR124)</f>
        <v>115.5</v>
      </c>
      <c r="CT124" s="300"/>
      <c r="CU124" s="491">
        <f>CF!CU88</f>
        <v>29.2</v>
      </c>
      <c r="CV124" s="491">
        <f>CF!CV88</f>
        <v>28.900000000000002</v>
      </c>
      <c r="CW124" s="491">
        <f>CF!CW88</f>
        <v>34.999999999999993</v>
      </c>
      <c r="CX124" s="491">
        <f>CF!CX88</f>
        <v>34.700000000000003</v>
      </c>
      <c r="CY124" s="129">
        <f>SUM(CU124:CX124)</f>
        <v>127.8</v>
      </c>
      <c r="CZ124" s="300"/>
      <c r="DA124" s="491">
        <f>CF!DA88</f>
        <v>33.1</v>
      </c>
      <c r="DB124" s="491">
        <f>CF!DB88</f>
        <v>31.999999999999993</v>
      </c>
      <c r="DC124" s="491">
        <f>CF!DC88</f>
        <v>30.600000000000009</v>
      </c>
      <c r="DD124" s="491">
        <f>CF!DD88</f>
        <v>33.200000000000003</v>
      </c>
      <c r="DE124" s="129">
        <f>SUM(DA124:DD124)</f>
        <v>128.9</v>
      </c>
      <c r="DF124" s="300"/>
      <c r="DG124" s="491">
        <f>CF!DG88</f>
        <v>36.1</v>
      </c>
      <c r="DH124" s="491">
        <f>CF!DH88</f>
        <v>37.199999999999996</v>
      </c>
      <c r="DI124" s="491">
        <f>CF!DI88</f>
        <v>36.600000000000009</v>
      </c>
      <c r="DJ124" s="491">
        <f>CF!DJ88</f>
        <v>36</v>
      </c>
      <c r="DK124" s="129">
        <f>SUM(DG124:DJ124)</f>
        <v>145.9</v>
      </c>
      <c r="DL124" s="300"/>
      <c r="DM124" s="491">
        <f>CF!DM88</f>
        <v>37.799999999999997</v>
      </c>
      <c r="DN124" s="491">
        <f>CF!DN88</f>
        <v>36.200000000000003</v>
      </c>
      <c r="DO124" s="491">
        <f>CF!DO88</f>
        <v>35.700000000000003</v>
      </c>
      <c r="DP124" s="491">
        <f>CF!DP88</f>
        <v>36.100000000000009</v>
      </c>
      <c r="DQ124" s="129">
        <f>SUM(DM124:DP124)</f>
        <v>145.80000000000001</v>
      </c>
      <c r="DR124" s="300"/>
      <c r="DS124" s="491">
        <f>CF!DS88</f>
        <v>37.4</v>
      </c>
      <c r="DT124" s="491">
        <f>CF!DT88</f>
        <v>33.000000000000007</v>
      </c>
      <c r="DU124" s="491">
        <f>CF!DU88</f>
        <v>34.099999999999994</v>
      </c>
      <c r="DV124" s="491">
        <f>CF!DV88</f>
        <v>34.699999999999989</v>
      </c>
      <c r="DW124" s="129">
        <f>SUM(DS124:DV124)</f>
        <v>139.19999999999999</v>
      </c>
      <c r="DX124" s="160"/>
      <c r="DY124" s="491">
        <f>CF!DY88</f>
        <v>28.4</v>
      </c>
      <c r="DZ124" s="491">
        <f>CF!DZ88</f>
        <v>28.4</v>
      </c>
      <c r="EA124" s="491">
        <f>CF!EA88</f>
        <v>24.700000000000003</v>
      </c>
      <c r="EB124" s="491">
        <f>CF!EB88</f>
        <v>26.900000000000006</v>
      </c>
      <c r="EC124" s="129">
        <f>SUM(DY124:EB124)</f>
        <v>108.4</v>
      </c>
      <c r="ED124" s="160"/>
      <c r="EE124" s="129">
        <f>EE125+EE126</f>
        <v>20.549851737259189</v>
      </c>
      <c r="EF124" s="129">
        <f>EF125+EF126</f>
        <v>19.265381640551915</v>
      </c>
      <c r="EG124" s="129">
        <f>EG125+EG126</f>
        <v>19.331791029473912</v>
      </c>
      <c r="EH124" s="129">
        <f>EH125+EH126</f>
        <v>19.841008081585471</v>
      </c>
      <c r="EI124" s="129">
        <f>SUM(EE124:EH124)</f>
        <v>78.988032488870488</v>
      </c>
      <c r="EJ124" s="160"/>
      <c r="EK124" s="129">
        <f>EK125+EK126</f>
        <v>21.390988309473663</v>
      </c>
      <c r="EL124" s="129">
        <f>EL125+EL126</f>
        <v>20.112792822628606</v>
      </c>
      <c r="EM124" s="129">
        <f>EM125+EM126</f>
        <v>20.196304050233024</v>
      </c>
      <c r="EN124" s="129">
        <f>EN125+EN126</f>
        <v>20.704953287905152</v>
      </c>
      <c r="EO124" s="129">
        <f>SUM(EK124:EN124)</f>
        <v>82.405038470240441</v>
      </c>
      <c r="EP124" s="160"/>
      <c r="EQ124" s="129">
        <f>EQ125+EQ126</f>
        <v>22.235291551757733</v>
      </c>
      <c r="ER124" s="129">
        <f>ER125+ER126</f>
        <v>20.945232052904622</v>
      </c>
      <c r="ES124" s="129">
        <f>ES125+ES126</f>
        <v>21.025624437714441</v>
      </c>
      <c r="ET124" s="129">
        <f>ET125+ET126</f>
        <v>21.513471711582326</v>
      </c>
      <c r="EU124" s="129">
        <f>SUM(EQ124:ET124)</f>
        <v>85.719619753959122</v>
      </c>
      <c r="EV124" s="300"/>
      <c r="EW124" s="300"/>
      <c r="EX124" s="300"/>
      <c r="EY124" s="300"/>
      <c r="EZ124" s="300"/>
      <c r="FA124" s="300"/>
      <c r="FB124" s="300"/>
    </row>
    <row r="125" spans="1:158" ht="13.5" hidden="1" customHeight="1" outlineLevel="1">
      <c r="A125" s="47" t="s">
        <v>2362</v>
      </c>
      <c r="B125" s="32"/>
      <c r="C125" s="353"/>
      <c r="D125" s="90"/>
      <c r="E125" s="90"/>
      <c r="F125" s="90"/>
      <c r="G125" s="61"/>
      <c r="H125" s="90"/>
      <c r="I125" s="90"/>
      <c r="J125" s="90"/>
      <c r="K125" s="132"/>
      <c r="L125" s="132"/>
      <c r="M125" s="132"/>
      <c r="N125" s="132"/>
      <c r="O125" s="129">
        <f>O124</f>
        <v>18.492999999999999</v>
      </c>
      <c r="P125" s="129">
        <f>P124</f>
        <v>19.013999999999999</v>
      </c>
      <c r="Q125" s="129">
        <f>Q124</f>
        <v>15.798000000000002</v>
      </c>
      <c r="R125" s="129">
        <f>R124</f>
        <v>27.476999999999997</v>
      </c>
      <c r="S125" s="129">
        <f>S124</f>
        <v>80.781999999999996</v>
      </c>
      <c r="T125" s="132"/>
      <c r="U125" s="129">
        <f>U124</f>
        <v>16.794</v>
      </c>
      <c r="V125" s="129">
        <f>V124</f>
        <v>26.348000000000003</v>
      </c>
      <c r="W125" s="129">
        <f>W124</f>
        <v>18.028999999999996</v>
      </c>
      <c r="X125" s="129">
        <f>X124</f>
        <v>18.577000000000005</v>
      </c>
      <c r="Y125" s="129">
        <f>Y124</f>
        <v>79.748000000000005</v>
      </c>
      <c r="Z125" s="132"/>
      <c r="AA125" s="129">
        <f>AA124</f>
        <v>19.006</v>
      </c>
      <c r="AB125" s="129">
        <f>AB124</f>
        <v>17.295999999999999</v>
      </c>
      <c r="AC125" s="129">
        <f>AC124</f>
        <v>16.195999999999998</v>
      </c>
      <c r="AD125" s="129">
        <f>AD124</f>
        <v>16.345999999999997</v>
      </c>
      <c r="AE125" s="129">
        <f>AE124</f>
        <v>68.843999999999994</v>
      </c>
      <c r="AF125" s="132"/>
      <c r="AG125" s="129">
        <f>AG124</f>
        <v>15.865</v>
      </c>
      <c r="AH125" s="129">
        <f>AH124</f>
        <v>15.819999999999999</v>
      </c>
      <c r="AI125" s="129">
        <f>AI124</f>
        <v>15.543000000000003</v>
      </c>
      <c r="AJ125" s="129">
        <f>AJ124</f>
        <v>15.678999999999995</v>
      </c>
      <c r="AK125" s="129">
        <f>AK124</f>
        <v>62.906999999999996</v>
      </c>
      <c r="AL125" s="132"/>
      <c r="AM125" s="129">
        <f>AM124</f>
        <v>12.637</v>
      </c>
      <c r="AN125" s="129">
        <f>AN124</f>
        <v>12.082000000000001</v>
      </c>
      <c r="AO125" s="129">
        <f>AO124</f>
        <v>11.978999999999999</v>
      </c>
      <c r="AP125" s="129">
        <f>AP124</f>
        <v>12.146000000000001</v>
      </c>
      <c r="AQ125" s="129">
        <f>AQ124</f>
        <v>48.844000000000001</v>
      </c>
      <c r="AR125" s="132"/>
      <c r="AS125" s="129">
        <f>AS124</f>
        <v>12.307</v>
      </c>
      <c r="AT125" s="129">
        <f>AT124</f>
        <v>11.822000000000001</v>
      </c>
      <c r="AU125" s="129">
        <f>AU124</f>
        <v>11.837</v>
      </c>
      <c r="AV125" s="129">
        <f>AV124</f>
        <v>14.326000000000001</v>
      </c>
      <c r="AW125" s="129">
        <f>AW124</f>
        <v>50.292000000000002</v>
      </c>
      <c r="AX125" s="154"/>
      <c r="AY125" s="129">
        <f>AY124</f>
        <v>12.5</v>
      </c>
      <c r="AZ125" s="129">
        <f>AZ124</f>
        <v>12.8</v>
      </c>
      <c r="BA125" s="129">
        <f>BA124</f>
        <v>13.3</v>
      </c>
      <c r="BB125" s="129">
        <f>BB124</f>
        <v>13.300000000000004</v>
      </c>
      <c r="BC125" s="129">
        <f>BC124</f>
        <v>51.900000000000006</v>
      </c>
      <c r="BD125" s="132"/>
      <c r="BE125" s="129">
        <f>BE124</f>
        <v>12.6</v>
      </c>
      <c r="BF125" s="129">
        <f>BF124</f>
        <v>11.699999999999998</v>
      </c>
      <c r="BG125" s="129">
        <f>BG124</f>
        <v>9.5</v>
      </c>
      <c r="BH125" s="129">
        <f>BH124</f>
        <v>9.8999999999999986</v>
      </c>
      <c r="BI125" s="129">
        <f>SUM(BE125:BH125)</f>
        <v>43.699999999999996</v>
      </c>
      <c r="BJ125" s="132"/>
      <c r="BK125" s="129">
        <f>BK124</f>
        <v>12.5</v>
      </c>
      <c r="BL125" s="129">
        <f>BL124</f>
        <v>13.5</v>
      </c>
      <c r="BM125" s="129">
        <f>BM124</f>
        <v>13.200000000000003</v>
      </c>
      <c r="BN125" s="129">
        <f>BN124</f>
        <v>14.299999999999997</v>
      </c>
      <c r="BO125" s="129">
        <f>SUM(BK125:BN125)</f>
        <v>53.5</v>
      </c>
      <c r="BP125" s="132"/>
      <c r="BQ125" s="129">
        <f>BQ124</f>
        <v>14.2</v>
      </c>
      <c r="BR125" s="129">
        <f>BR124</f>
        <v>14.400000000000002</v>
      </c>
      <c r="BS125" s="129">
        <f>BS124</f>
        <v>15.5</v>
      </c>
      <c r="BT125" s="129">
        <f>BT124</f>
        <v>17.199999999999996</v>
      </c>
      <c r="BU125" s="129">
        <f>SUM(BQ125:BT125)</f>
        <v>61.3</v>
      </c>
      <c r="BV125" s="132"/>
      <c r="BW125" s="129">
        <f>BW124</f>
        <v>16.899999999999999</v>
      </c>
      <c r="BX125" s="129">
        <f>BX124</f>
        <v>22.200000000000003</v>
      </c>
      <c r="BY125" s="129">
        <f>BY124</f>
        <v>25.4</v>
      </c>
      <c r="BZ125" s="129">
        <f>BZ124</f>
        <v>27.299999999999997</v>
      </c>
      <c r="CA125" s="129">
        <f>SUM(BW125:BZ125)</f>
        <v>91.8</v>
      </c>
      <c r="CB125" s="132"/>
      <c r="CC125" s="129">
        <f>CC124</f>
        <v>27</v>
      </c>
      <c r="CD125" s="129">
        <f>AVERAGE(CD106,CC106)/CD110/4</f>
        <v>22.419354838709676</v>
      </c>
      <c r="CE125" s="129">
        <f>AVERAGE(CE106,CD106)/CE110/4</f>
        <v>22.431451612903224</v>
      </c>
      <c r="CF125" s="129">
        <f>AVERAGE(CF106,CE106)/CF110/4</f>
        <v>22.516129032258064</v>
      </c>
      <c r="CG125" s="129">
        <f>SUM(CC125:CF125)</f>
        <v>94.366935483870961</v>
      </c>
      <c r="CH125" s="132"/>
      <c r="CI125" s="129">
        <f>CI124-CI126</f>
        <v>12.799999999999999</v>
      </c>
      <c r="CJ125" s="129">
        <f>CJ124-CJ126</f>
        <v>12.7</v>
      </c>
      <c r="CK125" s="129">
        <f>CK124-CK126</f>
        <v>12.499999999999993</v>
      </c>
      <c r="CL125" s="129">
        <f>CL124-CL126</f>
        <v>11.500000000000011</v>
      </c>
      <c r="CM125" s="129">
        <f>SUM(CI125:CL125)</f>
        <v>49.5</v>
      </c>
      <c r="CN125" s="132"/>
      <c r="CO125" s="129">
        <f>CO124-CO126</f>
        <v>9.9</v>
      </c>
      <c r="CP125" s="129">
        <f>CP124-CP126</f>
        <v>11.900000000000002</v>
      </c>
      <c r="CQ125" s="129">
        <f>CQ124-CQ126</f>
        <v>11.700000000000003</v>
      </c>
      <c r="CR125" s="129">
        <f>CR124-CR126</f>
        <v>11.699999999999996</v>
      </c>
      <c r="CS125" s="129">
        <f>SUM(CO125:CR125)</f>
        <v>45.2</v>
      </c>
      <c r="CT125" s="132"/>
      <c r="CU125" s="129">
        <f>CU124-CU126</f>
        <v>11.599999999999998</v>
      </c>
      <c r="CV125" s="129">
        <f>CV124-CV126</f>
        <v>11.400000000000002</v>
      </c>
      <c r="CW125" s="129">
        <f>CW124-CW126</f>
        <v>11.29999999999999</v>
      </c>
      <c r="CX125" s="129">
        <f>CX124-CX126</f>
        <v>11.700000000000003</v>
      </c>
      <c r="CY125" s="129">
        <f>SUM(CU125:CX125)</f>
        <v>45.999999999999993</v>
      </c>
      <c r="CZ125" s="132"/>
      <c r="DA125" s="129">
        <f>DA124-DA126</f>
        <v>11.5</v>
      </c>
      <c r="DB125" s="129">
        <f>DB124-DB126</f>
        <v>11.699999999999992</v>
      </c>
      <c r="DC125" s="129">
        <f>DC124-DC126</f>
        <v>12.400000000000006</v>
      </c>
      <c r="DD125" s="129">
        <f>DD124-DD126</f>
        <v>12.600000000000001</v>
      </c>
      <c r="DE125" s="129">
        <f>SUM(DA125:DD125)</f>
        <v>48.199999999999996</v>
      </c>
      <c r="DF125" s="132"/>
      <c r="DG125" s="129">
        <f>DG124-DG126</f>
        <v>12.200000000000003</v>
      </c>
      <c r="DH125" s="129">
        <f>DH124-DH126</f>
        <v>12.599999999999994</v>
      </c>
      <c r="DI125" s="129">
        <f>DI124-DI126</f>
        <v>14.000000000000007</v>
      </c>
      <c r="DJ125" s="129">
        <f>DJ124-DJ126</f>
        <v>14.100000000000001</v>
      </c>
      <c r="DK125" s="129">
        <f>SUM(DG125:DJ125)</f>
        <v>52.900000000000006</v>
      </c>
      <c r="DL125" s="132"/>
      <c r="DM125" s="129">
        <f>DM124-DM126</f>
        <v>15.399999999999999</v>
      </c>
      <c r="DN125" s="129">
        <f>DN124-DN126</f>
        <v>16.000000000000004</v>
      </c>
      <c r="DO125" s="129">
        <f>DO124-DO126</f>
        <v>16.000000000000004</v>
      </c>
      <c r="DP125" s="129">
        <f>DP124-DP126</f>
        <v>16.20000000000001</v>
      </c>
      <c r="DQ125" s="129">
        <f>SUM(DM125:DP125)</f>
        <v>63.600000000000016</v>
      </c>
      <c r="DR125" s="132"/>
      <c r="DS125" s="129">
        <f>DS124-DS126</f>
        <v>18.599999999999998</v>
      </c>
      <c r="DT125" s="129">
        <f>DT124-DT126</f>
        <v>14.500000000000007</v>
      </c>
      <c r="DU125" s="129">
        <f>DU124-DU126</f>
        <v>16.899999999999995</v>
      </c>
      <c r="DV125" s="129">
        <f>DV124-DV126</f>
        <v>17.399999999999988</v>
      </c>
      <c r="DW125" s="129">
        <f>SUM(DS125:DV125)</f>
        <v>67.399999999999991</v>
      </c>
      <c r="DX125" s="126"/>
      <c r="DY125" s="129">
        <f>DY124-DY126</f>
        <v>18</v>
      </c>
      <c r="DZ125" s="129">
        <f>DZ124-DZ126</f>
        <v>19.5</v>
      </c>
      <c r="EA125" s="129">
        <f>EA124-EA126</f>
        <v>16.000000000000004</v>
      </c>
      <c r="EB125" s="129">
        <f>EB124-EB126</f>
        <v>18.300000000000004</v>
      </c>
      <c r="EC125" s="129">
        <f>SUM(DY125:EB125)</f>
        <v>71.800000000000011</v>
      </c>
      <c r="ED125" s="126"/>
      <c r="EE125" s="129">
        <f>AVERAGE(EE106,EB106)/EE110/4</f>
        <v>12.649851737259187</v>
      </c>
      <c r="EF125" s="129">
        <f>AVERAGE(EF106,EE106)/EF110/4</f>
        <v>12.865381640551917</v>
      </c>
      <c r="EG125" s="129">
        <f>AVERAGE(EG106,EF106)/EG110/4</f>
        <v>13.131791029473913</v>
      </c>
      <c r="EH125" s="129">
        <f>AVERAGE(EH106,EG106)/EH110/4</f>
        <v>13.341008081585469</v>
      </c>
      <c r="EI125" s="129">
        <f>SUM(EE125:EH125)</f>
        <v>51.988032488870488</v>
      </c>
      <c r="EJ125" s="126"/>
      <c r="EK125" s="129">
        <f>AVERAGE(EK106,EH106)/EK110/4</f>
        <v>13.490988309473662</v>
      </c>
      <c r="EL125" s="129">
        <f>AVERAGE(EL106,EK106)/EL110/4</f>
        <v>13.712792822628607</v>
      </c>
      <c r="EM125" s="129">
        <f>AVERAGE(EM106,EL106)/EM110/4</f>
        <v>13.996304050233027</v>
      </c>
      <c r="EN125" s="129">
        <f>AVERAGE(EN106,EM106)/EN110/4</f>
        <v>14.20495328790515</v>
      </c>
      <c r="EO125" s="129">
        <f>SUM(EK125:EN125)</f>
        <v>55.405038470240449</v>
      </c>
      <c r="EP125" s="126"/>
      <c r="EQ125" s="129">
        <f>AVERAGE(EQ106,EN106)/EQ110/4</f>
        <v>14.335291551757731</v>
      </c>
      <c r="ER125" s="129">
        <f>AVERAGE(ER106,EQ106)/ER110/4</f>
        <v>14.54523205290462</v>
      </c>
      <c r="ES125" s="129">
        <f>AVERAGE(ES106,ER106)/ES110/4</f>
        <v>14.825624437714442</v>
      </c>
      <c r="ET125" s="129">
        <f>AVERAGE(ET106,ES106)/ET110/4</f>
        <v>15.013471711582323</v>
      </c>
      <c r="EU125" s="129">
        <f>SUM(EQ125:ET125)</f>
        <v>58.719619753959122</v>
      </c>
      <c r="EV125" s="132"/>
      <c r="EW125" s="132"/>
      <c r="EX125" s="132"/>
      <c r="EY125" s="132"/>
      <c r="EZ125" s="132"/>
      <c r="FA125" s="132"/>
      <c r="FB125" s="132"/>
    </row>
    <row r="126" spans="1:158" ht="13.5" hidden="1" customHeight="1" outlineLevel="1">
      <c r="A126" s="47" t="s">
        <v>2105</v>
      </c>
      <c r="B126" s="32"/>
      <c r="C126" s="353"/>
      <c r="D126" s="90"/>
      <c r="E126" s="90"/>
      <c r="F126" s="90"/>
      <c r="G126" s="61"/>
      <c r="H126" s="90"/>
      <c r="I126" s="90"/>
      <c r="J126" s="90"/>
      <c r="K126" s="132"/>
      <c r="L126" s="132"/>
      <c r="M126" s="132"/>
      <c r="N126" s="132"/>
      <c r="O126" s="129"/>
      <c r="P126" s="129"/>
      <c r="Q126" s="129"/>
      <c r="R126" s="129"/>
      <c r="S126" s="129"/>
      <c r="T126" s="132"/>
      <c r="U126" s="129"/>
      <c r="V126" s="129"/>
      <c r="W126" s="129"/>
      <c r="X126" s="129"/>
      <c r="Y126" s="129"/>
      <c r="Z126" s="132"/>
      <c r="AA126" s="129"/>
      <c r="AB126" s="129"/>
      <c r="AC126" s="129"/>
      <c r="AD126" s="129"/>
      <c r="AE126" s="129"/>
      <c r="AF126" s="132"/>
      <c r="AG126" s="129"/>
      <c r="AH126" s="129"/>
      <c r="AI126" s="129"/>
      <c r="AJ126" s="129"/>
      <c r="AK126" s="129"/>
      <c r="AL126" s="132"/>
      <c r="AM126" s="129"/>
      <c r="AN126" s="129"/>
      <c r="AO126" s="129"/>
      <c r="AP126" s="129"/>
      <c r="AQ126" s="129"/>
      <c r="AR126" s="132"/>
      <c r="AS126" s="129"/>
      <c r="AT126" s="129"/>
      <c r="AU126" s="129"/>
      <c r="AV126" s="129"/>
      <c r="AW126" s="129"/>
      <c r="AX126" s="154"/>
      <c r="AY126" s="129"/>
      <c r="AZ126" s="129"/>
      <c r="BA126" s="129"/>
      <c r="BB126" s="129"/>
      <c r="BC126" s="129"/>
      <c r="BD126" s="132"/>
      <c r="BE126" s="129"/>
      <c r="BF126" s="129"/>
      <c r="BG126" s="129"/>
      <c r="BH126" s="129"/>
      <c r="BI126" s="129"/>
      <c r="BJ126" s="132"/>
      <c r="BK126" s="129"/>
      <c r="BL126" s="129"/>
      <c r="BM126" s="129"/>
      <c r="BN126" s="129"/>
      <c r="BO126" s="129"/>
      <c r="BP126" s="132"/>
      <c r="BQ126" s="129"/>
      <c r="BR126" s="129"/>
      <c r="BS126" s="129"/>
      <c r="BT126" s="129"/>
      <c r="BU126" s="129"/>
      <c r="BV126" s="132"/>
      <c r="BW126" s="129"/>
      <c r="BX126" s="129"/>
      <c r="BY126" s="129"/>
      <c r="BZ126" s="129"/>
      <c r="CA126" s="129"/>
      <c r="CB126" s="132"/>
      <c r="CC126" s="129"/>
      <c r="CD126" s="129"/>
      <c r="CE126" s="129"/>
      <c r="CF126" s="129"/>
      <c r="CG126" s="129"/>
      <c r="CH126" s="132"/>
      <c r="CI126" s="129">
        <f>Model!CI71</f>
        <v>13.9</v>
      </c>
      <c r="CJ126" s="129">
        <f>Model!CJ71</f>
        <v>13.600000000000001</v>
      </c>
      <c r="CK126" s="129">
        <f>Model!CK71</f>
        <v>14.100000000000001</v>
      </c>
      <c r="CL126" s="129">
        <f>Model!CL71</f>
        <v>14.3</v>
      </c>
      <c r="CM126" s="129"/>
      <c r="CN126" s="132"/>
      <c r="CO126" s="129">
        <f>Model!CO71</f>
        <v>14.6</v>
      </c>
      <c r="CP126" s="129">
        <f>Model!CP71</f>
        <v>17.8</v>
      </c>
      <c r="CQ126" s="129">
        <f>Model!CQ71</f>
        <v>19.299999999999997</v>
      </c>
      <c r="CR126" s="129">
        <f>Model!CR71</f>
        <v>18.600000000000001</v>
      </c>
      <c r="CS126" s="129"/>
      <c r="CT126" s="132"/>
      <c r="CU126" s="129">
        <f>Model!CU71</f>
        <v>17.600000000000001</v>
      </c>
      <c r="CV126" s="129">
        <f>Model!CV71</f>
        <v>17.5</v>
      </c>
      <c r="CW126" s="129">
        <f>Model!CW71</f>
        <v>23.700000000000003</v>
      </c>
      <c r="CX126" s="129">
        <f>Model!CX71</f>
        <v>23</v>
      </c>
      <c r="CY126" s="129"/>
      <c r="CZ126" s="132"/>
      <c r="DA126" s="129">
        <f>Model!DA71</f>
        <v>21.6</v>
      </c>
      <c r="DB126" s="129">
        <f>Model!DB71</f>
        <v>20.3</v>
      </c>
      <c r="DC126" s="129">
        <f>Model!DC71</f>
        <v>18.200000000000003</v>
      </c>
      <c r="DD126" s="129">
        <f>Model!DD71</f>
        <v>20.6</v>
      </c>
      <c r="DE126" s="129"/>
      <c r="DF126" s="132"/>
      <c r="DG126" s="129">
        <f>Model!DG71</f>
        <v>23.9</v>
      </c>
      <c r="DH126" s="129">
        <f>Model!DH71</f>
        <v>24.6</v>
      </c>
      <c r="DI126" s="129">
        <f>Model!DI71</f>
        <v>22.6</v>
      </c>
      <c r="DJ126" s="129">
        <f>Model!DJ71</f>
        <v>21.9</v>
      </c>
      <c r="DK126" s="129"/>
      <c r="DL126" s="132"/>
      <c r="DM126" s="129">
        <f>Model!DM71</f>
        <v>22.4</v>
      </c>
      <c r="DN126" s="129">
        <f>Model!DN71</f>
        <v>20.2</v>
      </c>
      <c r="DO126" s="129">
        <f>Model!DO71</f>
        <v>19.7</v>
      </c>
      <c r="DP126" s="129">
        <f>Model!DP71</f>
        <v>19.899999999999999</v>
      </c>
      <c r="DQ126" s="129"/>
      <c r="DR126" s="132"/>
      <c r="DS126" s="129">
        <f>Model!DS71</f>
        <v>18.8</v>
      </c>
      <c r="DT126" s="129">
        <f>Model!DT71</f>
        <v>18.5</v>
      </c>
      <c r="DU126" s="129">
        <f>Model!DU71</f>
        <v>17.2</v>
      </c>
      <c r="DV126" s="129">
        <f>Model!DV71</f>
        <v>17.3</v>
      </c>
      <c r="DW126" s="129"/>
      <c r="DX126" s="126"/>
      <c r="DY126" s="129">
        <f>Model!DY71</f>
        <v>10.4</v>
      </c>
      <c r="DZ126" s="129">
        <f>Model!DZ71</f>
        <v>8.9</v>
      </c>
      <c r="EA126" s="129">
        <f>Model!EA71</f>
        <v>8.6999999999999993</v>
      </c>
      <c r="EB126" s="129">
        <f>Model!EB71</f>
        <v>8.6000000000000014</v>
      </c>
      <c r="EC126" s="129"/>
      <c r="ED126" s="126"/>
      <c r="EE126" s="129">
        <f>Model!EE71</f>
        <v>7.9</v>
      </c>
      <c r="EF126" s="129">
        <f>Model!EF71</f>
        <v>6.4</v>
      </c>
      <c r="EG126" s="129">
        <f>Model!EG71</f>
        <v>6.1999999999999993</v>
      </c>
      <c r="EH126" s="129">
        <f>Model!EH71</f>
        <v>6.5000000000000018</v>
      </c>
      <c r="EI126" s="129"/>
      <c r="EJ126" s="126"/>
      <c r="EK126" s="129">
        <f>Model!EK71</f>
        <v>7.9</v>
      </c>
      <c r="EL126" s="129">
        <f>Model!EL71</f>
        <v>6.4</v>
      </c>
      <c r="EM126" s="129">
        <f>Model!EM71</f>
        <v>6.1999999999999993</v>
      </c>
      <c r="EN126" s="129">
        <f>Model!EN71</f>
        <v>6.5000000000000018</v>
      </c>
      <c r="EO126" s="129"/>
      <c r="EP126" s="126"/>
      <c r="EQ126" s="129">
        <f>Model!EQ71</f>
        <v>7.9</v>
      </c>
      <c r="ER126" s="129">
        <f>Model!ER71</f>
        <v>6.4</v>
      </c>
      <c r="ES126" s="129">
        <f>Model!ES71</f>
        <v>6.1999999999999993</v>
      </c>
      <c r="ET126" s="129">
        <f>Model!ET71</f>
        <v>6.5000000000000018</v>
      </c>
      <c r="EU126" s="129"/>
      <c r="EV126" s="132"/>
      <c r="EW126" s="132"/>
      <c r="EX126" s="132"/>
      <c r="EY126" s="132"/>
      <c r="EZ126" s="132"/>
      <c r="FA126" s="132"/>
      <c r="FB126" s="132"/>
    </row>
    <row r="127" spans="1:158" ht="13.5" hidden="1" customHeight="1" outlineLevel="1">
      <c r="A127" s="343" t="s">
        <v>5234</v>
      </c>
      <c r="B127" s="32"/>
      <c r="C127" s="353"/>
      <c r="D127" s="90"/>
      <c r="E127" s="90"/>
      <c r="F127" s="90"/>
      <c r="G127" s="61"/>
      <c r="H127" s="90"/>
      <c r="I127" s="90"/>
      <c r="J127" s="90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  <c r="AJ127" s="132"/>
      <c r="AK127" s="132"/>
      <c r="AL127" s="132"/>
      <c r="AM127" s="132"/>
      <c r="AN127" s="132"/>
      <c r="AO127" s="132"/>
      <c r="AP127" s="132"/>
      <c r="AQ127" s="133"/>
      <c r="AR127" s="132"/>
      <c r="AS127" s="133"/>
      <c r="AT127" s="133"/>
      <c r="AU127" s="133"/>
      <c r="AV127" s="133"/>
      <c r="AW127" s="133"/>
      <c r="AX127" s="154"/>
      <c r="AY127" s="295"/>
      <c r="AZ127" s="132"/>
      <c r="BA127" s="132"/>
      <c r="BB127" s="132"/>
      <c r="BC127" s="133"/>
      <c r="BD127" s="132"/>
      <c r="BE127" s="132"/>
      <c r="BF127" s="132"/>
      <c r="BG127" s="132"/>
      <c r="BH127" s="132"/>
      <c r="BI127" s="132"/>
      <c r="BJ127" s="132"/>
      <c r="BK127" s="132"/>
      <c r="BL127" s="132"/>
      <c r="BM127" s="132"/>
      <c r="BN127" s="132"/>
      <c r="BO127" s="132"/>
      <c r="BP127" s="132"/>
      <c r="BQ127" s="132"/>
      <c r="BR127" s="132"/>
      <c r="BS127" s="132"/>
      <c r="BT127" s="132"/>
      <c r="BU127" s="132"/>
      <c r="BV127" s="132"/>
      <c r="BW127" s="132"/>
      <c r="BX127" s="132"/>
      <c r="BY127" s="132"/>
      <c r="BZ127" s="132"/>
      <c r="CA127" s="132"/>
      <c r="CB127" s="132"/>
      <c r="CC127" s="132"/>
      <c r="CD127" s="132"/>
      <c r="CE127" s="132"/>
      <c r="CF127" s="132"/>
      <c r="CG127" s="132"/>
      <c r="CH127" s="132"/>
      <c r="CI127" s="132"/>
      <c r="CJ127" s="132"/>
      <c r="CK127" s="132"/>
      <c r="CL127" s="132"/>
      <c r="CM127" s="132"/>
      <c r="CN127" s="132"/>
      <c r="CO127" s="132"/>
      <c r="CP127" s="132"/>
      <c r="CQ127" s="132"/>
      <c r="CR127" s="132"/>
      <c r="CS127" s="132"/>
      <c r="CT127" s="132"/>
      <c r="CU127" s="132"/>
      <c r="CV127" s="132"/>
      <c r="CW127" s="132"/>
      <c r="CX127" s="132"/>
      <c r="CY127" s="132"/>
      <c r="CZ127" s="132"/>
      <c r="DA127" s="132"/>
      <c r="DB127" s="132"/>
      <c r="DC127" s="132"/>
      <c r="DD127" s="132"/>
      <c r="DE127" s="132"/>
      <c r="DF127" s="132"/>
      <c r="DG127" s="132"/>
      <c r="DH127" s="132"/>
      <c r="DI127" s="132"/>
      <c r="DJ127" s="132"/>
      <c r="DK127" s="132"/>
      <c r="DL127" s="132"/>
      <c r="DM127" s="132"/>
      <c r="DN127" s="132"/>
      <c r="DO127" s="132"/>
      <c r="DP127" s="132"/>
      <c r="DQ127" s="132"/>
      <c r="DR127" s="132"/>
      <c r="DS127" s="132"/>
      <c r="DT127" s="132"/>
      <c r="DU127" s="132"/>
      <c r="DV127" s="132"/>
      <c r="DW127" s="132"/>
      <c r="DX127" s="126"/>
      <c r="DY127" s="132"/>
      <c r="DZ127" s="132"/>
      <c r="EA127" s="132"/>
      <c r="EB127" s="132"/>
      <c r="EC127" s="132"/>
      <c r="ED127" s="126"/>
      <c r="EE127" s="132"/>
      <c r="EF127" s="132"/>
      <c r="EG127" s="132"/>
      <c r="EH127" s="132"/>
      <c r="EI127" s="132"/>
      <c r="EJ127" s="126"/>
      <c r="EK127" s="132"/>
      <c r="EL127" s="132"/>
      <c r="EM127" s="132"/>
      <c r="EN127" s="132"/>
      <c r="EO127" s="132"/>
      <c r="EP127" s="126"/>
      <c r="EQ127" s="132"/>
      <c r="ER127" s="132"/>
      <c r="ES127" s="132"/>
      <c r="ET127" s="132"/>
      <c r="EU127" s="132"/>
      <c r="EV127" s="132"/>
      <c r="EW127" s="132"/>
      <c r="EX127" s="132"/>
      <c r="EY127" s="132"/>
      <c r="EZ127" s="132"/>
      <c r="FA127" s="132"/>
      <c r="FB127" s="132"/>
    </row>
    <row r="128" spans="1:158" ht="10.5" customHeight="1" collapsed="1">
      <c r="A128" s="47"/>
      <c r="B128" s="32"/>
      <c r="C128" s="353"/>
      <c r="D128" s="90"/>
      <c r="E128" s="90"/>
      <c r="F128" s="90"/>
      <c r="G128" s="61"/>
      <c r="H128" s="90"/>
      <c r="I128" s="90"/>
      <c r="J128" s="90"/>
      <c r="K128" s="49"/>
      <c r="L128" s="49"/>
      <c r="M128" s="49"/>
      <c r="N128" s="49"/>
      <c r="O128" s="48"/>
      <c r="P128" s="49"/>
      <c r="Q128" s="49"/>
      <c r="R128" s="49"/>
      <c r="S128" s="132"/>
      <c r="T128" s="49"/>
      <c r="U128" s="48"/>
      <c r="V128" s="49"/>
      <c r="W128" s="49"/>
      <c r="X128" s="49"/>
      <c r="Y128" s="49"/>
      <c r="Z128" s="49"/>
      <c r="AA128" s="48"/>
      <c r="AB128" s="49"/>
      <c r="AC128" s="49"/>
      <c r="AD128" s="49"/>
      <c r="AE128" s="49"/>
      <c r="AF128" s="49"/>
      <c r="AG128" s="48"/>
      <c r="AH128" s="49"/>
      <c r="AI128" s="49"/>
      <c r="AJ128" s="49"/>
      <c r="AK128" s="49"/>
      <c r="AL128" s="49"/>
      <c r="AM128" s="49"/>
      <c r="AN128" s="49"/>
      <c r="AO128" s="49"/>
      <c r="AP128" s="49"/>
      <c r="AQ128" s="130"/>
      <c r="AR128" s="49"/>
      <c r="AS128" s="49"/>
      <c r="AT128" s="49"/>
      <c r="AU128" s="49"/>
      <c r="AV128" s="49"/>
      <c r="AW128" s="167"/>
      <c r="AX128" s="123"/>
      <c r="AY128" s="264"/>
      <c r="AZ128" s="49"/>
      <c r="BA128" s="49"/>
      <c r="BB128" s="49"/>
      <c r="BC128" s="335"/>
      <c r="BD128" s="49"/>
      <c r="BE128" s="49"/>
      <c r="BF128" s="49"/>
      <c r="BG128" s="49"/>
      <c r="BH128" s="49"/>
      <c r="BI128" s="335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7"/>
      <c r="BX128" s="47"/>
      <c r="BY128" s="49"/>
      <c r="BZ128" s="49"/>
      <c r="CA128" s="49"/>
      <c r="CB128" s="49"/>
      <c r="CC128" s="49"/>
      <c r="CD128" s="49"/>
      <c r="CE128" s="49"/>
      <c r="CF128" s="49"/>
      <c r="CG128" s="49"/>
      <c r="CH128" s="49"/>
      <c r="CI128" s="49"/>
      <c r="CJ128" s="49"/>
      <c r="CK128" s="49"/>
      <c r="CL128" s="49"/>
      <c r="CM128" s="49"/>
      <c r="CN128" s="49"/>
      <c r="CO128" s="49"/>
      <c r="CP128" s="49"/>
      <c r="CQ128" s="49"/>
      <c r="CR128" s="49"/>
      <c r="CS128" s="49"/>
      <c r="CT128" s="49"/>
      <c r="CU128" s="49"/>
      <c r="CV128" s="49"/>
      <c r="CW128" s="49"/>
      <c r="CX128" s="126"/>
      <c r="CY128" s="49"/>
      <c r="CZ128" s="49"/>
      <c r="DA128" s="49"/>
      <c r="DB128" s="49"/>
      <c r="DC128" s="49"/>
      <c r="DD128" s="49"/>
      <c r="DE128" s="49"/>
      <c r="DF128" s="49"/>
      <c r="DG128" s="49"/>
      <c r="DH128" s="49"/>
      <c r="DI128" s="49"/>
      <c r="DJ128" s="49"/>
      <c r="DK128" s="49"/>
      <c r="DL128" s="49"/>
      <c r="DM128" s="49"/>
      <c r="DN128" s="49"/>
      <c r="DO128" s="49"/>
      <c r="DP128" s="49"/>
      <c r="DQ128" s="49"/>
      <c r="DR128" s="49"/>
      <c r="DS128" s="49"/>
      <c r="DT128" s="49"/>
      <c r="DU128" s="49"/>
      <c r="DV128" s="49"/>
      <c r="DW128" s="49"/>
      <c r="DX128" s="126"/>
      <c r="DY128" s="49"/>
      <c r="DZ128" s="49"/>
      <c r="EA128" s="49"/>
      <c r="EB128" s="49"/>
      <c r="EC128" s="49"/>
      <c r="ED128" s="126"/>
      <c r="EE128" s="49"/>
      <c r="EF128" s="49"/>
      <c r="EG128" s="49"/>
      <c r="EH128" s="49"/>
      <c r="EI128" s="49"/>
      <c r="EJ128" s="126"/>
      <c r="EK128" s="49"/>
      <c r="EL128" s="49"/>
      <c r="EM128" s="49"/>
      <c r="EN128" s="49"/>
      <c r="EO128" s="49"/>
      <c r="EP128" s="126"/>
      <c r="EQ128" s="49"/>
      <c r="ER128" s="49"/>
      <c r="ES128" s="49"/>
      <c r="ET128" s="49"/>
      <c r="EU128" s="49"/>
      <c r="EV128" s="49"/>
      <c r="EW128" s="49"/>
      <c r="EX128" s="49"/>
      <c r="EY128" s="49"/>
      <c r="EZ128" s="49"/>
      <c r="FA128" s="49"/>
      <c r="FB128" s="49"/>
    </row>
    <row r="129" spans="1:164" ht="5.25" customHeight="1">
      <c r="A129" s="47"/>
      <c r="B129" s="32"/>
      <c r="C129" s="353"/>
      <c r="D129" s="90"/>
      <c r="E129" s="90"/>
      <c r="F129" s="90"/>
      <c r="G129" s="61"/>
      <c r="H129" s="90"/>
      <c r="I129" s="90"/>
      <c r="J129" s="90"/>
      <c r="K129" s="49"/>
      <c r="L129" s="49"/>
      <c r="M129" s="49"/>
      <c r="N129" s="49"/>
      <c r="O129" s="48"/>
      <c r="P129" s="49"/>
      <c r="Q129" s="49"/>
      <c r="R129" s="49"/>
      <c r="S129" s="49"/>
      <c r="T129" s="49"/>
      <c r="U129" s="48"/>
      <c r="V129" s="49"/>
      <c r="W129" s="49"/>
      <c r="X129" s="49"/>
      <c r="Y129" s="49"/>
      <c r="Z129" s="49"/>
      <c r="AA129" s="48"/>
      <c r="AB129" s="49"/>
      <c r="AC129" s="49"/>
      <c r="AD129" s="49"/>
      <c r="AE129" s="49"/>
      <c r="AF129" s="49"/>
      <c r="AG129" s="48"/>
      <c r="AH129" s="49"/>
      <c r="AI129" s="49"/>
      <c r="AJ129" s="49"/>
      <c r="AK129" s="49"/>
      <c r="AL129" s="49"/>
      <c r="AM129" s="49"/>
      <c r="AN129" s="49"/>
      <c r="AO129" s="49"/>
      <c r="AP129" s="49"/>
      <c r="AQ129" s="167"/>
      <c r="AR129" s="49"/>
      <c r="AS129" s="49"/>
      <c r="AT129" s="49"/>
      <c r="AU129" s="49"/>
      <c r="AV129" s="49"/>
      <c r="AW129" s="167"/>
      <c r="AX129" s="123"/>
      <c r="AY129" s="49"/>
      <c r="AZ129" s="49"/>
      <c r="BA129" s="49"/>
      <c r="BB129" s="49"/>
      <c r="BC129" s="167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49"/>
      <c r="BZ129" s="49"/>
      <c r="CA129" s="49"/>
      <c r="CB129" s="49"/>
      <c r="CC129" s="49"/>
      <c r="CD129" s="49"/>
      <c r="CE129" s="49"/>
      <c r="CF129" s="49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49"/>
      <c r="CV129" s="49"/>
      <c r="CW129" s="49"/>
      <c r="CX129" s="49"/>
      <c r="CY129" s="49"/>
      <c r="CZ129" s="49"/>
      <c r="DA129" s="49"/>
      <c r="DB129" s="49"/>
      <c r="DC129" s="49"/>
      <c r="DD129" s="49"/>
      <c r="DE129" s="49"/>
      <c r="DF129" s="49"/>
      <c r="DG129" s="49"/>
      <c r="DH129" s="49"/>
      <c r="DI129" s="49"/>
      <c r="DJ129" s="49"/>
      <c r="DK129" s="49"/>
      <c r="DL129" s="49"/>
      <c r="DM129" s="49"/>
      <c r="DN129" s="49"/>
      <c r="DO129" s="49"/>
      <c r="DP129" s="49"/>
      <c r="DQ129" s="49"/>
      <c r="DR129" s="49"/>
      <c r="DS129" s="49"/>
      <c r="DT129" s="49"/>
      <c r="DU129" s="49"/>
      <c r="DV129" s="49"/>
      <c r="DW129" s="49"/>
      <c r="DX129" s="126"/>
      <c r="DY129" s="49"/>
      <c r="DZ129" s="49"/>
      <c r="EA129" s="49"/>
      <c r="EB129" s="49"/>
      <c r="EC129" s="49"/>
      <c r="ED129" s="126"/>
      <c r="EE129" s="49"/>
      <c r="EF129" s="49"/>
      <c r="EG129" s="49"/>
      <c r="EH129" s="49"/>
      <c r="EI129" s="49"/>
      <c r="EJ129" s="126"/>
      <c r="EK129" s="49"/>
      <c r="EL129" s="49"/>
      <c r="EM129" s="49"/>
      <c r="EN129" s="49"/>
      <c r="EO129" s="49"/>
      <c r="EP129" s="126"/>
      <c r="EQ129" s="49"/>
      <c r="ER129" s="49"/>
      <c r="ES129" s="49"/>
      <c r="ET129" s="49"/>
      <c r="EU129" s="49"/>
      <c r="EV129" s="49"/>
      <c r="EW129" s="49"/>
      <c r="EX129" s="49"/>
      <c r="EY129" s="49"/>
      <c r="EZ129" s="49"/>
      <c r="FA129" s="49"/>
      <c r="FB129" s="49"/>
    </row>
    <row r="130" spans="1:164" ht="14.25" hidden="1" customHeight="1" outlineLevel="1">
      <c r="A130" s="616" t="s">
        <v>86</v>
      </c>
      <c r="B130" s="51"/>
      <c r="C130" s="64"/>
      <c r="D130" s="64"/>
      <c r="E130" s="64"/>
      <c r="F130" s="64"/>
      <c r="G130" s="64"/>
      <c r="H130" s="64"/>
      <c r="I130" s="64"/>
      <c r="J130" s="64"/>
      <c r="K130" s="633"/>
      <c r="L130" s="633"/>
      <c r="M130" s="633"/>
      <c r="N130" s="633"/>
      <c r="O130" s="634"/>
      <c r="P130" s="634"/>
      <c r="Q130" s="634"/>
      <c r="R130" s="634"/>
      <c r="S130" s="634"/>
      <c r="T130" s="633"/>
      <c r="U130" s="634"/>
      <c r="V130" s="634"/>
      <c r="W130" s="634"/>
      <c r="X130" s="634"/>
      <c r="Y130" s="634"/>
      <c r="Z130" s="633"/>
      <c r="AA130" s="634">
        <f>AA44-X44</f>
        <v>-16.370999999999981</v>
      </c>
      <c r="AB130" s="634">
        <f>AB44-AA44</f>
        <v>-30.447000000000003</v>
      </c>
      <c r="AC130" s="634">
        <f>AC44-AB44</f>
        <v>-41.991999999999962</v>
      </c>
      <c r="AD130" s="634">
        <f>AD44-AC44</f>
        <v>-48.352000000000032</v>
      </c>
      <c r="AE130" s="634">
        <f>SUM(AA130:AD130)</f>
        <v>-137.16199999999998</v>
      </c>
      <c r="AF130" s="633"/>
      <c r="AG130" s="634">
        <f>AG44-AD44</f>
        <v>-16.831999999999994</v>
      </c>
      <c r="AH130" s="634">
        <f>AH44-AG44</f>
        <v>9.9909999999999854</v>
      </c>
      <c r="AI130" s="634">
        <f>AI44-AH44</f>
        <v>15.966000000000008</v>
      </c>
      <c r="AJ130" s="634">
        <f>AJ44-AI44</f>
        <v>24.358000000000004</v>
      </c>
      <c r="AK130" s="634">
        <f>SUM(AG130:AJ130)</f>
        <v>33.483000000000004</v>
      </c>
      <c r="AL130" s="633"/>
      <c r="AM130" s="634"/>
      <c r="AN130" s="634"/>
      <c r="AO130" s="634"/>
      <c r="AP130" s="634"/>
      <c r="AQ130" s="634"/>
      <c r="AR130" s="633"/>
      <c r="AS130" s="634"/>
      <c r="AT130" s="634"/>
      <c r="AU130" s="634"/>
      <c r="AV130" s="634"/>
      <c r="AW130" s="634"/>
      <c r="AX130" s="633"/>
      <c r="AY130" s="634"/>
      <c r="AZ130" s="634"/>
      <c r="BA130" s="634"/>
      <c r="BB130" s="634"/>
      <c r="BC130" s="634"/>
      <c r="BD130" s="633"/>
      <c r="BE130" s="635"/>
      <c r="BF130" s="635"/>
      <c r="BG130" s="635"/>
      <c r="BH130" s="635"/>
      <c r="BI130" s="635"/>
      <c r="BJ130" s="633"/>
      <c r="BK130" s="635">
        <f>BK131+BK138+BK137+BK136</f>
        <v>64.498000000000005</v>
      </c>
      <c r="BL130" s="635">
        <f>BL131+BL138+BL137+BL136</f>
        <v>-54</v>
      </c>
      <c r="BM130" s="635">
        <f>BM131+BM138+BM137+BM136</f>
        <v>44.2</v>
      </c>
      <c r="BN130" s="635">
        <f>BN131+BN138+BN137+BN136</f>
        <v>23.499999999999993</v>
      </c>
      <c r="BO130" s="634">
        <f>SUM(BK130:BN130)</f>
        <v>78.198000000000008</v>
      </c>
      <c r="BP130" s="633"/>
      <c r="BQ130" s="635">
        <f>BQ131+BQ138+BQ137+BQ136</f>
        <v>39.900000000000006</v>
      </c>
      <c r="BR130" s="635">
        <f>BR131+BR138+BR137+BR136</f>
        <v>-220.1</v>
      </c>
      <c r="BS130" s="635">
        <f>BS131+BS138+BS137+BS136</f>
        <v>-30.360000000000021</v>
      </c>
      <c r="BT130" s="635">
        <f>BT131+BT138+BT137+BT136</f>
        <v>-47.199999999999974</v>
      </c>
      <c r="BU130" s="634">
        <f>SUM(BQ130:BT130)</f>
        <v>-257.76</v>
      </c>
      <c r="BV130" s="633"/>
      <c r="BW130" s="635">
        <f>BW44-BT44+BW47-BT47-Model!BW147</f>
        <v>-195.99999999999983</v>
      </c>
      <c r="BX130" s="635">
        <f>BX44-BW44+BX47-BW47-Model!BX147</f>
        <v>34.899999999999963</v>
      </c>
      <c r="BY130" s="635">
        <f>BY44-BX44+BY47-BX47-Model!BY147</f>
        <v>61.599999999999923</v>
      </c>
      <c r="BZ130" s="635">
        <f>BZ44-BY44+BZ47-BY47-Model!BZ147</f>
        <v>21.100000000000094</v>
      </c>
      <c r="CA130" s="634">
        <f>SUM(BW130:BZ130)</f>
        <v>-78.399999999999835</v>
      </c>
      <c r="CB130" s="633"/>
      <c r="CC130" s="635">
        <f>CC44-BZ44+CC47-BZ47-Model!CC147</f>
        <v>48.399999999999835</v>
      </c>
      <c r="CD130" s="635">
        <f>CD44-CC44+CD47-CC47-Model!CD147</f>
        <v>37.799999999999969</v>
      </c>
      <c r="CE130" s="635">
        <f>CE44-CD44+CE47-CD47-Model!CE147</f>
        <v>12.000000000000178</v>
      </c>
      <c r="CF130" s="635">
        <f>CF44-CE44+CF47-CE47-Model!CF147</f>
        <v>-1.1000000000000583</v>
      </c>
      <c r="CG130" s="634">
        <f>SUM(CC130:CF130)</f>
        <v>97.099999999999937</v>
      </c>
      <c r="CH130" s="633"/>
      <c r="CI130" s="635">
        <f>CI44-CF44+CI47-CF47-Model!CI147</f>
        <v>1.2999999999999616</v>
      </c>
      <c r="CJ130" s="635">
        <f>CJ44-CI44+CJ47-CI47-Model!CJ147</f>
        <v>-46.399999999999949</v>
      </c>
      <c r="CK130" s="635">
        <f>CK44-CJ44+CK47-CJ47-Model!CK147</f>
        <v>-22.199999999999982</v>
      </c>
      <c r="CL130" s="635">
        <f>CL44-CK44+CL47-CK47-Model!CL147</f>
        <v>-11.799999999999905</v>
      </c>
      <c r="CM130" s="634">
        <f>SUM(CI130:CL130)</f>
        <v>-79.099999999999881</v>
      </c>
      <c r="CN130" s="633"/>
      <c r="CO130" s="635">
        <f>CO44-CL44+CO47-CL47-Model!CO147</f>
        <v>67.199999999999974</v>
      </c>
      <c r="CP130" s="635">
        <f>CP44-CO44+CP47-CO47-Model!CP147</f>
        <v>-42.799999999999983</v>
      </c>
      <c r="CQ130" s="635">
        <f>CQ44-CP44+CQ47-CP47-Model!CQ147</f>
        <v>-23.499999999999829</v>
      </c>
      <c r="CR130" s="635">
        <f>CR44-CQ44+CR47-CQ47-Model!CR147</f>
        <v>-19.099999999999937</v>
      </c>
      <c r="CS130" s="634">
        <f>SUM(CO130:CR130)</f>
        <v>-18.199999999999775</v>
      </c>
      <c r="CT130" s="633"/>
      <c r="CU130" s="635">
        <f>CU44-CR44+CU47-CR47-Model!CU147</f>
        <v>85.699999999999903</v>
      </c>
      <c r="CV130" s="635">
        <f>CV44-CU44+CV47-CU47-Model!CV147</f>
        <v>-60.800000000000082</v>
      </c>
      <c r="CW130" s="635">
        <f>CW44-CV44+CW47-CV47-Model!CW147</f>
        <v>-55.699999999999882</v>
      </c>
      <c r="CX130" s="635">
        <f>CX44-CW44+CX47-CW47-Model!CX147</f>
        <v>-50.099999999999994</v>
      </c>
      <c r="CY130" s="634">
        <f>SUM(CU130:CX130)</f>
        <v>-80.900000000000063</v>
      </c>
      <c r="CZ130" s="633"/>
      <c r="DA130" s="635">
        <f>DA44-CX44+DA47-CX47-Model!DA147</f>
        <v>-18.399999999999892</v>
      </c>
      <c r="DB130" s="635">
        <f>DB44-DA44+DB47-DA47-Model!DB147</f>
        <v>-91.500000000000171</v>
      </c>
      <c r="DC130" s="635">
        <f>DC44-DB44+DC47-DB47-Model!DC147</f>
        <v>50.099999999999959</v>
      </c>
      <c r="DD130" s="635">
        <f>DD44-DC44+DD47-DC47-Model!DD147</f>
        <v>41.400000000000212</v>
      </c>
      <c r="DE130" s="634">
        <f>SUM(DA130:DD130)</f>
        <v>-18.399999999999892</v>
      </c>
      <c r="DF130" s="633"/>
      <c r="DG130" s="635">
        <f>DG44-DD44+DG47-DD47-Model!DG147</f>
        <v>-7.2999999999999936</v>
      </c>
      <c r="DH130" s="635">
        <f>DH44-DG44+DH47-DG47-Model!DH147</f>
        <v>-36.599999999999902</v>
      </c>
      <c r="DI130" s="635">
        <f>DI44-DH44+DI47-DH47-Model!DI147</f>
        <v>-21.999999999999851</v>
      </c>
      <c r="DJ130" s="635">
        <f>DJ44-DI44+DJ47-DI47-Model!DJ147</f>
        <v>-24.500000000000181</v>
      </c>
      <c r="DK130" s="634">
        <f>SUM(DG130:DJ130)</f>
        <v>-90.399999999999935</v>
      </c>
      <c r="DL130" s="633"/>
      <c r="DM130" s="635">
        <f>DM44-DJ44+DM47-DJ47-Model!DM147</f>
        <v>-11.199999999999868</v>
      </c>
      <c r="DN130" s="635">
        <f>DN44-DM44+DN47-DM47-Model!DN147</f>
        <v>-72.500000000000028</v>
      </c>
      <c r="DO130" s="635">
        <f>DO44-DN44+DO47-DN47-Model!DO147</f>
        <v>-109.09999999999982</v>
      </c>
      <c r="DP130" s="635">
        <f>DP44-DO44+DP47-DO47-Model!DP147</f>
        <v>-41.700000000000045</v>
      </c>
      <c r="DQ130" s="634">
        <f>SUM(DM130:DP130)</f>
        <v>-234.49999999999977</v>
      </c>
      <c r="DR130" s="633"/>
      <c r="DS130" s="635">
        <f>DS44-DP44+DS47-DP47-Model!DS147</f>
        <v>-14.804400000000072</v>
      </c>
      <c r="DT130" s="635">
        <f>DT44-DS44+DT47-DS47-Model!DT147</f>
        <v>-3.0000000000000853</v>
      </c>
      <c r="DU130" s="635">
        <f>DU44-DT44+DU47-DT47-Model!DU147</f>
        <v>-70.599999999999994</v>
      </c>
      <c r="DV130" s="635">
        <f>DV44-DU44+DV47-DU47-Model!DV147</f>
        <v>-162.59999999999991</v>
      </c>
      <c r="DW130">
        <f>SUM(DS130:DV130)</f>
        <v>-251.00440000000006</v>
      </c>
      <c r="DX130" s="636"/>
      <c r="DY130" s="635">
        <f>DY44-DV44+DY47-DV47-Model!DY147</f>
        <v>-110.99999999999997</v>
      </c>
      <c r="DZ130" s="635">
        <f>DZ44-DY44+DZ47-DY47-Model!DZ147</f>
        <v>-62.000000000000171</v>
      </c>
      <c r="EA130" s="635">
        <f>EA44-DZ44+EA47-DZ47-Model!EA147</f>
        <v>-85.799999999999869</v>
      </c>
      <c r="EB130" s="635">
        <f>EB44-EA44+EB47-EA47-Model!EB147</f>
        <v>-221.49999999999994</v>
      </c>
      <c r="EC130" s="1787">
        <f>SUM(DY130:EB130)</f>
        <v>-480.29999999999995</v>
      </c>
      <c r="ED130" s="636"/>
      <c r="EE130" s="2021">
        <f>EE131+EE138+EE137+EE136</f>
        <v>-84.242272727272734</v>
      </c>
      <c r="EF130" s="2021">
        <f>EF131+EF138+EF137+EF136</f>
        <v>-132.97227272727272</v>
      </c>
      <c r="EG130" s="2008">
        <f>EG131+EG138+EG137+EG136</f>
        <v>-98.322272727272718</v>
      </c>
      <c r="EH130" s="2008">
        <f>EH131+EH138+EH137+EH136</f>
        <v>-138.03227272727273</v>
      </c>
      <c r="EI130" s="2008">
        <f>SUM(EE130:EH130)</f>
        <v>-453.56909090909085</v>
      </c>
      <c r="EJ130" s="636"/>
      <c r="EK130" s="2250">
        <f>EK131+EK138+EK137+EK136</f>
        <v>-103.7753068181818</v>
      </c>
      <c r="EL130" s="2117">
        <f>EL131+EL138+EL137+EL136</f>
        <v>-157.37830681818181</v>
      </c>
      <c r="EM130" s="2117">
        <f>EM131+EM138+EM137+EM136</f>
        <v>-119.2633068181818</v>
      </c>
      <c r="EN130" s="2117">
        <f>EN131+EN138+EN137+EN136</f>
        <v>-162.94430681818181</v>
      </c>
      <c r="EO130" s="2117">
        <f>SUM(EK130:EN130)</f>
        <v>-543.36122727272732</v>
      </c>
      <c r="EP130" s="636"/>
      <c r="EQ130" s="2250">
        <f>EQ131+EQ138+EQ137+EQ136</f>
        <v>-125.88774517045451</v>
      </c>
      <c r="ER130" s="2291">
        <f>ER131+ER138+ER137+ER136</f>
        <v>-184.85104517045454</v>
      </c>
      <c r="ES130" s="2291">
        <f>ES131+ES138+ES137+ES136</f>
        <v>-142.92454517045451</v>
      </c>
      <c r="ET130" s="2291">
        <f>ET131+ET138+ET137+ET136</f>
        <v>-190.97364517045452</v>
      </c>
      <c r="EU130" s="2291">
        <f>SUM(EQ130:ET130)</f>
        <v>-644.63698068181816</v>
      </c>
      <c r="EV130" s="636"/>
      <c r="EW130" s="636"/>
      <c r="EX130" s="371"/>
      <c r="EY130" s="371"/>
      <c r="EZ130" s="371"/>
      <c r="FA130" s="371"/>
      <c r="FB130" s="371"/>
    </row>
    <row r="131" spans="1:164" ht="14.25" hidden="1" customHeight="1" outlineLevel="1">
      <c r="A131" s="604" t="s">
        <v>753</v>
      </c>
      <c r="B131" s="42"/>
      <c r="C131" s="61"/>
      <c r="D131" s="61"/>
      <c r="E131" s="61"/>
      <c r="F131" s="61"/>
      <c r="G131" s="61"/>
      <c r="H131" s="61"/>
      <c r="I131" s="61"/>
      <c r="J131" s="61"/>
      <c r="K131" s="361"/>
      <c r="L131" s="361"/>
      <c r="M131" s="361"/>
      <c r="N131" s="361"/>
      <c r="O131" s="501"/>
      <c r="P131" s="501"/>
      <c r="Q131" s="501"/>
      <c r="R131" s="501"/>
      <c r="S131" s="501"/>
      <c r="T131" s="361"/>
      <c r="U131" s="501"/>
      <c r="V131" s="501"/>
      <c r="W131" s="501"/>
      <c r="X131" s="501"/>
      <c r="Y131" s="501"/>
      <c r="Z131" s="361"/>
      <c r="AA131" s="501"/>
      <c r="AB131" s="501"/>
      <c r="AC131" s="501"/>
      <c r="AD131" s="501"/>
      <c r="AE131" s="501"/>
      <c r="AF131" s="361"/>
      <c r="AG131" s="501">
        <f>CF!AG128</f>
        <v>20.376000000000001</v>
      </c>
      <c r="AH131" s="501">
        <f>CF!AH128</f>
        <v>11.576999999999998</v>
      </c>
      <c r="AI131" s="501">
        <f>CF!AI128</f>
        <v>21.651999999999997</v>
      </c>
      <c r="AJ131" s="501">
        <f>CF!AJ128</f>
        <v>26.890000000000008</v>
      </c>
      <c r="AK131" s="502">
        <f>SUM(AG131:AJ131)</f>
        <v>80.495000000000005</v>
      </c>
      <c r="AL131" s="361"/>
      <c r="AM131" s="501">
        <f>CF!AM128</f>
        <v>58.107999999999997</v>
      </c>
      <c r="AN131" s="501">
        <f>CF!AN128</f>
        <v>1.6060000000000016</v>
      </c>
      <c r="AO131" s="501">
        <f>CF!AO128</f>
        <v>11.569000000000003</v>
      </c>
      <c r="AP131" s="501">
        <f>CF!AP128</f>
        <v>3.4039999999999964</v>
      </c>
      <c r="AQ131" s="502">
        <f>SUM(AM131:AP131)-6.57</f>
        <v>68.11699999999999</v>
      </c>
      <c r="AR131" s="361"/>
      <c r="AS131" s="501">
        <f>CF!AS128</f>
        <v>15.122999999999999</v>
      </c>
      <c r="AT131" s="501">
        <f>CF!AT128</f>
        <v>6.3439999999999994</v>
      </c>
      <c r="AU131" s="501">
        <f>CF!AU128</f>
        <v>28.987000000000002</v>
      </c>
      <c r="AV131" s="501">
        <f>CF!AV128</f>
        <v>64.947000000000003</v>
      </c>
      <c r="AW131" s="502">
        <f>SUM(AS131:AV131)</f>
        <v>115.40100000000001</v>
      </c>
      <c r="AX131" s="361"/>
      <c r="AY131" s="501">
        <f>CF!AY128</f>
        <v>104.9</v>
      </c>
      <c r="AZ131" s="501">
        <f>CF!AZ128</f>
        <v>56</v>
      </c>
      <c r="BA131" s="501">
        <f>CF!BA128</f>
        <v>50.599999999999994</v>
      </c>
      <c r="BB131" s="501">
        <f>CF!BB128</f>
        <v>30.699999999999989</v>
      </c>
      <c r="BC131" s="502">
        <f>SUM(AY131:BB131)</f>
        <v>242.2</v>
      </c>
      <c r="BD131" s="361"/>
      <c r="BE131" s="501">
        <f>CF!BE128</f>
        <v>40.1</v>
      </c>
      <c r="BF131" s="501">
        <f>CF!BF128</f>
        <v>32.70000000000001</v>
      </c>
      <c r="BG131" s="501">
        <f>CF!BG128</f>
        <v>54.2</v>
      </c>
      <c r="BH131" s="501">
        <f>CF!BH128</f>
        <v>17.600000000000009</v>
      </c>
      <c r="BI131" s="502">
        <f>SUM(BE131:BH131)-9.064</f>
        <v>135.53600000000003</v>
      </c>
      <c r="BJ131" s="361"/>
      <c r="BK131" s="501">
        <f>CF!BK128-6.402</f>
        <v>42.798000000000002</v>
      </c>
      <c r="BL131" s="501">
        <f>CF!BL128</f>
        <v>15</v>
      </c>
      <c r="BM131" s="501">
        <f>CF!BM128</f>
        <v>9.9000000000000057</v>
      </c>
      <c r="BN131" s="501">
        <f>CF!BN128</f>
        <v>9.9999999999994316E-2</v>
      </c>
      <c r="BO131" s="501">
        <f>SUM(BK131:BN131)</f>
        <v>67.798000000000002</v>
      </c>
      <c r="BP131" s="361"/>
      <c r="BQ131" s="501">
        <f>CF!BQ128+25.1</f>
        <v>25.1</v>
      </c>
      <c r="BR131" s="501">
        <f>CF!BR128</f>
        <v>83.8</v>
      </c>
      <c r="BS131" s="501">
        <f>CF!BS128-6.1</f>
        <v>70.8</v>
      </c>
      <c r="BT131" s="501">
        <f>CF!BT128</f>
        <v>26.600000000000023</v>
      </c>
      <c r="BU131" s="501">
        <f>SUM(BQ131:BT131)</f>
        <v>206.3</v>
      </c>
      <c r="BV131" s="361"/>
      <c r="BW131" s="501">
        <f>CF!BW128</f>
        <v>35.299999999999997</v>
      </c>
      <c r="BX131" s="501">
        <f>BX130-BX138-BX137</f>
        <v>11.699999999999964</v>
      </c>
      <c r="BY131" s="501">
        <f>BY130-BY138-BY137</f>
        <v>39.099999999999916</v>
      </c>
      <c r="BZ131" s="501">
        <f>BZ130-BZ138-BZ137</f>
        <v>2.5000000000000995</v>
      </c>
      <c r="CA131" s="501">
        <f>SUM(BW131:BZ131)</f>
        <v>88.59999999999998</v>
      </c>
      <c r="CB131" s="361"/>
      <c r="CC131" s="501">
        <f>CF!CC128</f>
        <v>25.4</v>
      </c>
      <c r="CD131" s="501">
        <f>CD130-CD138-CD137</f>
        <v>16.39999999999997</v>
      </c>
      <c r="CE131" s="501">
        <f>CE130-CE138-CE137</f>
        <v>20.700000000000173</v>
      </c>
      <c r="CF131" s="501">
        <f>CF130-CF138-CF137</f>
        <v>3.9999999999999503</v>
      </c>
      <c r="CG131" s="501">
        <f>SUM(CC131:CF131)</f>
        <v>66.500000000000085</v>
      </c>
      <c r="CH131" s="361"/>
      <c r="CI131" s="501">
        <f>CF!CI128</f>
        <v>36.200000000000003</v>
      </c>
      <c r="CJ131" s="501">
        <f>CJ130-CJ138-CJ137</f>
        <v>2.6000000000000547</v>
      </c>
      <c r="CK131" s="501">
        <f>CK130-CK138-CK137</f>
        <v>35.625000000000021</v>
      </c>
      <c r="CL131" s="501">
        <f>CL130-CL138-CL137</f>
        <v>46.000000000000114</v>
      </c>
      <c r="CM131" s="501">
        <f>SUM(CI131:CL131)</f>
        <v>120.42500000000018</v>
      </c>
      <c r="CN131" s="361"/>
      <c r="CO131" s="501">
        <f>CF!CO128</f>
        <v>111.3</v>
      </c>
      <c r="CP131" s="501">
        <f>CP130-CP138-CP137</f>
        <v>30.700000000000024</v>
      </c>
      <c r="CQ131" s="501">
        <f>CQ130-CQ138-CQ137</f>
        <v>45.200000000000159</v>
      </c>
      <c r="CR131" s="501">
        <f>CR130-CR138-CR137</f>
        <v>14.600000000000051</v>
      </c>
      <c r="CS131" s="501">
        <f>SUM(CO131:CR131)</f>
        <v>201.80000000000024</v>
      </c>
      <c r="CT131" s="361"/>
      <c r="CU131" s="501">
        <f>CF!CU128</f>
        <v>153</v>
      </c>
      <c r="CV131" s="501">
        <f>CV130-CV138-CV137</f>
        <v>16.799999999999919</v>
      </c>
      <c r="CW131" s="501">
        <f>CW130-CW138-CW137</f>
        <v>22.400000000000134</v>
      </c>
      <c r="CX131" s="501">
        <f>CX130-CX138-CX137</f>
        <v>3.0999999999999801</v>
      </c>
      <c r="CY131" s="501">
        <f>SUM(CU131:CX131)</f>
        <v>195.3</v>
      </c>
      <c r="CZ131" s="361"/>
      <c r="DA131" s="501">
        <f>DA130-DA138-DA137</f>
        <v>77.300000000000097</v>
      </c>
      <c r="DB131" s="501">
        <f>DB130-DB138-DB137</f>
        <v>-12.000000000000142</v>
      </c>
      <c r="DC131" s="501">
        <f>DC130-DC138-DC137</f>
        <v>97.499999999999943</v>
      </c>
      <c r="DD131" s="501">
        <f>DD130-DD138-DD137</f>
        <v>110.40000000000023</v>
      </c>
      <c r="DE131" s="501">
        <f>SUM(DA131:DD131)</f>
        <v>273.20000000000016</v>
      </c>
      <c r="DF131" s="361"/>
      <c r="DG131" s="501">
        <f>DG130-DG138-DG137</f>
        <v>61.6</v>
      </c>
      <c r="DH131" s="501">
        <f>DH130-DH138-DH137</f>
        <v>25.400000000000098</v>
      </c>
      <c r="DI131" s="501">
        <f>DI130-DI138-DI137</f>
        <v>38.200000000000159</v>
      </c>
      <c r="DJ131" s="501">
        <f>DJ130-DJ138-DJ137</f>
        <v>-8.8000000000002245</v>
      </c>
      <c r="DK131" s="501">
        <f>SUM(DG131:DJ131)</f>
        <v>116.40000000000003</v>
      </c>
      <c r="DL131" s="361"/>
      <c r="DM131" s="501">
        <f>DM130-DM138-DM137</f>
        <v>34.000000000000128</v>
      </c>
      <c r="DN131" s="501">
        <f>DN130-DN138-DN137</f>
        <v>-0.90000000000004832</v>
      </c>
      <c r="DO131" s="501">
        <f>DO130-DO138-DO137</f>
        <v>-9.2999999999998124</v>
      </c>
      <c r="DP131" s="501">
        <f>DP130-DP138-DP137</f>
        <v>54.099999999999994</v>
      </c>
      <c r="DQ131" s="501">
        <f>SUM(DM131:DP131)</f>
        <v>77.900000000000261</v>
      </c>
      <c r="DR131" s="361"/>
      <c r="DS131" s="501">
        <f>DS130-DS138-DS137</f>
        <v>46.695599999999921</v>
      </c>
      <c r="DT131" s="501">
        <f>DT130-DT138-DT137</f>
        <v>117.99999999999991</v>
      </c>
      <c r="DU131" s="501">
        <f>DU130-DU138-DU137</f>
        <v>-5.1999999999999886</v>
      </c>
      <c r="DV131" s="501">
        <f>DV130-DV138-DV137</f>
        <v>0.10000000000007958</v>
      </c>
      <c r="DW131" s="501">
        <f>SUM(DS131:DV131)</f>
        <v>159.59559999999993</v>
      </c>
      <c r="DX131" s="142"/>
      <c r="DY131" s="501">
        <f>DY130-DY138-DY137</f>
        <v>18.100000000000037</v>
      </c>
      <c r="DZ131" s="501">
        <f>DZ130-DZ138-DZ137</f>
        <v>-10.300000000000196</v>
      </c>
      <c r="EA131" s="501">
        <f>EA130-EA138-EA137</f>
        <v>-28.199999999999875</v>
      </c>
      <c r="EB131" s="501">
        <f>EB130-EB138-EB137</f>
        <v>-21.39999999999992</v>
      </c>
      <c r="EC131" s="501">
        <f>SUM(DY131:EB131)</f>
        <v>-41.799999999999955</v>
      </c>
      <c r="ED131" s="142"/>
      <c r="EE131" s="501">
        <f>EE132+EE136</f>
        <v>55.11</v>
      </c>
      <c r="EF131" s="501">
        <f>EF132+EF136</f>
        <v>6.3799999999999972</v>
      </c>
      <c r="EG131" s="501">
        <f>EG132+EG136</f>
        <v>41.030000000000008</v>
      </c>
      <c r="EH131" s="501">
        <f>EH132+EH136</f>
        <v>1.3200000000000032</v>
      </c>
      <c r="EI131" s="501">
        <f>SUM(EE131:EH131)</f>
        <v>103.84000000000002</v>
      </c>
      <c r="EJ131" s="142"/>
      <c r="EK131" s="501">
        <f>EK132+EK136</f>
        <v>60.621000000000009</v>
      </c>
      <c r="EL131" s="501">
        <f>EL132+EL136</f>
        <v>7.0179999999999971</v>
      </c>
      <c r="EM131" s="501">
        <f>EM132+EM136</f>
        <v>45.13300000000001</v>
      </c>
      <c r="EN131" s="501">
        <f>EN132+EN136</f>
        <v>1.4520000000000035</v>
      </c>
      <c r="EO131" s="501">
        <f>SUM(EK131:EN131)</f>
        <v>114.22400000000002</v>
      </c>
      <c r="EP131" s="142"/>
      <c r="EQ131" s="501">
        <f>EQ132+EQ136</f>
        <v>66.683100000000024</v>
      </c>
      <c r="ER131" s="501">
        <f>ER132+ER136</f>
        <v>7.7197999999999976</v>
      </c>
      <c r="ES131" s="501">
        <f>ES132+ES136</f>
        <v>49.646300000000018</v>
      </c>
      <c r="ET131" s="501">
        <f>ET132+ET136</f>
        <v>1.5972000000000039</v>
      </c>
      <c r="EU131" s="501">
        <f>SUM(EQ131:ET131)</f>
        <v>125.64640000000004</v>
      </c>
      <c r="EV131" s="142"/>
      <c r="EW131" s="142"/>
      <c r="EX131" s="127"/>
      <c r="EY131" s="127"/>
      <c r="EZ131" s="127"/>
      <c r="FA131" s="127"/>
      <c r="FB131" s="127"/>
    </row>
    <row r="132" spans="1:164" ht="14.25" hidden="1" customHeight="1" outlineLevel="1">
      <c r="A132" s="605" t="str">
        <f>CF!A128</f>
        <v>Proceeds from issuance of common stock, net of issuance costs</v>
      </c>
      <c r="B132" s="42"/>
      <c r="C132" s="61"/>
      <c r="D132" s="61"/>
      <c r="E132" s="61"/>
      <c r="F132" s="61"/>
      <c r="G132" s="61"/>
      <c r="H132" s="61"/>
      <c r="I132" s="61"/>
      <c r="J132" s="61"/>
      <c r="K132" s="361"/>
      <c r="L132" s="361"/>
      <c r="M132" s="361"/>
      <c r="N132" s="361"/>
      <c r="O132" s="501"/>
      <c r="P132" s="501"/>
      <c r="Q132" s="501"/>
      <c r="R132" s="501"/>
      <c r="S132" s="501"/>
      <c r="T132" s="361"/>
      <c r="U132" s="501"/>
      <c r="V132" s="501"/>
      <c r="W132" s="501"/>
      <c r="X132" s="501"/>
      <c r="Y132" s="501"/>
      <c r="Z132" s="361"/>
      <c r="AA132" s="501"/>
      <c r="AB132" s="501"/>
      <c r="AC132" s="501"/>
      <c r="AD132" s="501"/>
      <c r="AE132" s="501"/>
      <c r="AF132" s="361"/>
      <c r="AG132" s="501"/>
      <c r="AH132" s="501"/>
      <c r="AI132" s="501"/>
      <c r="AJ132" s="501"/>
      <c r="AK132" s="501"/>
      <c r="AL132" s="361"/>
      <c r="AM132" s="501">
        <f>CF!AM128</f>
        <v>58.107999999999997</v>
      </c>
      <c r="AN132" s="501">
        <f>CF!AN128</f>
        <v>1.6060000000000016</v>
      </c>
      <c r="AO132" s="501">
        <f>CF!AO128</f>
        <v>11.569000000000003</v>
      </c>
      <c r="AP132" s="501">
        <f>CF!AP128</f>
        <v>3.4039999999999964</v>
      </c>
      <c r="AQ132" s="501">
        <f>SUM(AM132:AP132)</f>
        <v>74.686999999999998</v>
      </c>
      <c r="AR132" s="361"/>
      <c r="AS132" s="501">
        <f>CF!AS128</f>
        <v>15.122999999999999</v>
      </c>
      <c r="AT132" s="501">
        <f>CF!AT128</f>
        <v>6.3439999999999994</v>
      </c>
      <c r="AU132" s="501">
        <f>CF!AU128</f>
        <v>28.987000000000002</v>
      </c>
      <c r="AV132" s="501">
        <f>CF!AV128</f>
        <v>64.947000000000003</v>
      </c>
      <c r="AW132" s="501">
        <f>SUM(AS132:AV132)</f>
        <v>115.40100000000001</v>
      </c>
      <c r="AX132" s="361"/>
      <c r="AY132" s="501">
        <f>CF!AY128</f>
        <v>104.9</v>
      </c>
      <c r="AZ132" s="501">
        <f>CF!AZ128</f>
        <v>56</v>
      </c>
      <c r="BA132" s="501">
        <f>CF!BA128</f>
        <v>50.599999999999994</v>
      </c>
      <c r="BB132" s="501">
        <f>CF!BB128</f>
        <v>30.699999999999989</v>
      </c>
      <c r="BC132" s="501">
        <f>SUM(AY132:BB132)</f>
        <v>242.2</v>
      </c>
      <c r="BD132" s="361"/>
      <c r="BE132" s="501">
        <f>CF!BE128</f>
        <v>40.1</v>
      </c>
      <c r="BF132" s="501">
        <f>CF!BF128</f>
        <v>32.70000000000001</v>
      </c>
      <c r="BG132" s="501">
        <f>CF!BG128</f>
        <v>54.2</v>
      </c>
      <c r="BH132" s="501">
        <f>CF!BH128</f>
        <v>17.600000000000009</v>
      </c>
      <c r="BI132" s="501">
        <f>SUM(BE132:BH132)</f>
        <v>144.60000000000002</v>
      </c>
      <c r="BJ132" s="361"/>
      <c r="BK132" s="501">
        <f>CF!BK128</f>
        <v>49.2</v>
      </c>
      <c r="BL132" s="501">
        <f>CF!BL128</f>
        <v>15</v>
      </c>
      <c r="BM132" s="501">
        <f>CF!BM128</f>
        <v>9.9000000000000057</v>
      </c>
      <c r="BN132" s="501">
        <f>CF!BN128</f>
        <v>9.9999999999994316E-2</v>
      </c>
      <c r="BO132" s="501">
        <f>SUM(BK132:BN132)</f>
        <v>74.2</v>
      </c>
      <c r="BP132" s="361"/>
      <c r="BQ132" s="501">
        <f>CF!BQ128</f>
        <v>0</v>
      </c>
      <c r="BR132" s="501">
        <f>CF!BR128</f>
        <v>83.8</v>
      </c>
      <c r="BS132" s="501">
        <f>CF!BS128</f>
        <v>76.899999999999991</v>
      </c>
      <c r="BT132" s="501">
        <f>CF!BT128</f>
        <v>26.600000000000023</v>
      </c>
      <c r="BU132" s="501">
        <f>SUM(BQ132:BT132)</f>
        <v>187.3</v>
      </c>
      <c r="BV132" s="361"/>
      <c r="BW132" s="501">
        <f>CF!BW128</f>
        <v>35.299999999999997</v>
      </c>
      <c r="BX132" s="501">
        <f>CF!BX128</f>
        <v>14.800000000000004</v>
      </c>
      <c r="BY132" s="501">
        <f>CF!BY128</f>
        <v>38.999999999999993</v>
      </c>
      <c r="BZ132" s="501">
        <f>CF!BZ128</f>
        <v>1</v>
      </c>
      <c r="CA132" s="501">
        <f>SUM(BW132:BZ132)</f>
        <v>90.1</v>
      </c>
      <c r="CB132" s="361"/>
      <c r="CC132" s="501">
        <f>CF!CC128</f>
        <v>25.4</v>
      </c>
      <c r="CD132" s="501">
        <f>CF!CD128</f>
        <v>18.700000000000003</v>
      </c>
      <c r="CE132" s="501">
        <f>CF!CE128</f>
        <v>23.4</v>
      </c>
      <c r="CF132" s="501">
        <f>CF!CF128</f>
        <v>2.5</v>
      </c>
      <c r="CG132" s="501">
        <f>SUM(CC132:CF132)</f>
        <v>70</v>
      </c>
      <c r="CH132" s="361"/>
      <c r="CI132" s="501">
        <f>CF!CI128</f>
        <v>36.200000000000003</v>
      </c>
      <c r="CJ132" s="501">
        <f>CF!CJ128</f>
        <v>3.8999999999999986</v>
      </c>
      <c r="CK132" s="501">
        <f>CF!CK128</f>
        <v>36.300000000000004</v>
      </c>
      <c r="CL132" s="501">
        <f>CF!CL128</f>
        <v>44.5</v>
      </c>
      <c r="CM132" s="501">
        <f>SUM(CI132:CL132)</f>
        <v>120.9</v>
      </c>
      <c r="CN132" s="361"/>
      <c r="CO132" s="501">
        <f>CF!CO128</f>
        <v>111.3</v>
      </c>
      <c r="CP132" s="501">
        <f>CF!CP128</f>
        <v>18.299999999999997</v>
      </c>
      <c r="CQ132" s="501">
        <f>CF!CQ128</f>
        <v>26.700000000000017</v>
      </c>
      <c r="CR132" s="501">
        <f>CF!CR128</f>
        <v>19.799999999999983</v>
      </c>
      <c r="CS132" s="501">
        <f>SUM(CO132:CR132)</f>
        <v>176.1</v>
      </c>
      <c r="CT132" s="361"/>
      <c r="CU132" s="501">
        <f>CF!CU128</f>
        <v>153</v>
      </c>
      <c r="CV132" s="501">
        <f>CF!CV128</f>
        <v>5.8000000000000114</v>
      </c>
      <c r="CW132" s="501">
        <f>CF!CW128</f>
        <v>40.799999999999983</v>
      </c>
      <c r="CX132" s="501">
        <f>CF!CX128</f>
        <v>14.5</v>
      </c>
      <c r="CY132" s="501">
        <f>SUM(CU132:CX132)</f>
        <v>214.1</v>
      </c>
      <c r="CZ132" s="361"/>
      <c r="DA132" s="501">
        <f>CF!DA128</f>
        <v>70</v>
      </c>
      <c r="DB132" s="501">
        <f>CF!DB128</f>
        <v>9.7999999999999972</v>
      </c>
      <c r="DC132" s="501">
        <f>CF!DC128</f>
        <v>103.60000000000001</v>
      </c>
      <c r="DD132" s="501">
        <f>CF!DD128</f>
        <v>104.79999999999998</v>
      </c>
      <c r="DE132" s="501">
        <f>SUM(DA132:DD132)</f>
        <v>288.2</v>
      </c>
      <c r="DF132" s="361"/>
      <c r="DG132" s="501">
        <f>CF!DG128</f>
        <v>62.2</v>
      </c>
      <c r="DH132" s="501">
        <f>CF!DH128</f>
        <v>29.099999999999994</v>
      </c>
      <c r="DI132" s="501">
        <f>CF!DI128</f>
        <v>38.299999999999997</v>
      </c>
      <c r="DJ132" s="501">
        <f>CF!DJ128</f>
        <v>5.8000000000000114</v>
      </c>
      <c r="DK132" s="501">
        <f>SUM(DG132:DJ132)</f>
        <v>135.4</v>
      </c>
      <c r="DL132" s="361"/>
      <c r="DM132" s="501">
        <f>CF!DM128</f>
        <v>34.1</v>
      </c>
      <c r="DN132" s="501">
        <f>CF!DN128</f>
        <v>-0.89999999999999858</v>
      </c>
      <c r="DO132" s="501">
        <f>CF!DO128</f>
        <v>23.799999999999997</v>
      </c>
      <c r="DP132" s="501">
        <f>CF!DP128</f>
        <v>53.8</v>
      </c>
      <c r="DQ132" s="501">
        <f>SUM(DM132:DP132)</f>
        <v>110.8</v>
      </c>
      <c r="DR132" s="361"/>
      <c r="DS132" s="501">
        <f>CF!DS128</f>
        <v>51.2</v>
      </c>
      <c r="DT132" s="501">
        <f>CF!DT128</f>
        <v>3</v>
      </c>
      <c r="DU132" s="501">
        <f>CF!DU128</f>
        <v>48</v>
      </c>
      <c r="DV132" s="501">
        <f>CF!DV128</f>
        <v>17.399999999999991</v>
      </c>
      <c r="DW132" s="501">
        <f>SUM(DS132:DV132)</f>
        <v>119.6</v>
      </c>
      <c r="DX132" s="142"/>
      <c r="DY132" s="501">
        <f>CF!DY128</f>
        <v>50.1</v>
      </c>
      <c r="DZ132" s="501">
        <f>CF!DZ128</f>
        <v>5.7999999999999972</v>
      </c>
      <c r="EA132" s="501">
        <f>CF!EA128</f>
        <v>37.300000000000004</v>
      </c>
      <c r="EB132" s="501">
        <f>CF!EB128</f>
        <v>1.2000000000000028</v>
      </c>
      <c r="EC132" s="501">
        <f>SUM(DY132:EB132)</f>
        <v>94.4</v>
      </c>
      <c r="ED132" s="142"/>
      <c r="EE132" s="501">
        <f>EE133*EE135</f>
        <v>55.11</v>
      </c>
      <c r="EF132" s="501">
        <f>EF133*EF135</f>
        <v>6.3799999999999972</v>
      </c>
      <c r="EG132" s="501">
        <f>EG133*EG135</f>
        <v>41.030000000000008</v>
      </c>
      <c r="EH132" s="501">
        <f>EH133*EH135</f>
        <v>1.3200000000000032</v>
      </c>
      <c r="EI132" s="501">
        <f>SUM(EE132:EH132)</f>
        <v>103.84000000000002</v>
      </c>
      <c r="EJ132" s="142"/>
      <c r="EK132" s="501">
        <f>EK133*EK135</f>
        <v>60.621000000000009</v>
      </c>
      <c r="EL132" s="501">
        <f>EL133*EL135</f>
        <v>7.0179999999999971</v>
      </c>
      <c r="EM132" s="501">
        <f>EM133*EM135</f>
        <v>45.13300000000001</v>
      </c>
      <c r="EN132" s="501">
        <f>EN133*EN135</f>
        <v>1.4520000000000035</v>
      </c>
      <c r="EO132" s="501">
        <f>SUM(EK132:EN132)</f>
        <v>114.22400000000002</v>
      </c>
      <c r="EP132" s="142"/>
      <c r="EQ132" s="501">
        <f>EQ133*EQ135</f>
        <v>66.683100000000024</v>
      </c>
      <c r="ER132" s="501">
        <f>ER133*ER135</f>
        <v>7.7197999999999976</v>
      </c>
      <c r="ES132" s="501">
        <f>ES133*ES135</f>
        <v>49.646300000000018</v>
      </c>
      <c r="ET132" s="501">
        <f>ET133*ET135</f>
        <v>1.5972000000000039</v>
      </c>
      <c r="EU132" s="501">
        <f>SUM(EQ132:ET132)</f>
        <v>125.64640000000004</v>
      </c>
      <c r="EV132" s="142"/>
      <c r="EW132" s="142"/>
      <c r="EX132" s="127"/>
      <c r="EY132" s="127"/>
      <c r="EZ132" s="127"/>
      <c r="FA132" s="127"/>
      <c r="FB132" s="127"/>
    </row>
    <row r="133" spans="1:164" ht="14.25" hidden="1" customHeight="1" outlineLevel="1">
      <c r="A133" s="606" t="s">
        <v>5240</v>
      </c>
      <c r="B133" s="294"/>
      <c r="C133" s="168"/>
      <c r="D133" s="168"/>
      <c r="E133" s="168"/>
      <c r="F133" s="168"/>
      <c r="G133" s="61"/>
      <c r="H133" s="168"/>
      <c r="I133" s="168"/>
      <c r="J133" s="168"/>
      <c r="K133" s="511"/>
      <c r="L133" s="511"/>
      <c r="M133" s="511"/>
      <c r="N133" s="511"/>
      <c r="O133" s="502"/>
      <c r="P133" s="502"/>
      <c r="Q133" s="502"/>
      <c r="R133" s="502"/>
      <c r="S133" s="502"/>
      <c r="T133" s="511"/>
      <c r="U133" s="502"/>
      <c r="V133" s="502"/>
      <c r="W133" s="502"/>
      <c r="X133" s="502"/>
      <c r="Y133" s="502"/>
      <c r="Z133" s="511"/>
      <c r="AA133" s="502">
        <f>Model!AA157-Model!X157+AA147</f>
        <v>12.23599999999999</v>
      </c>
      <c r="AB133" s="502">
        <f>Model!AB157-Model!AA157+AB147</f>
        <v>2.0000000000000169</v>
      </c>
      <c r="AC133" s="502">
        <f>Model!AC157-Model!AB157+AC147</f>
        <v>3.1999999999999886</v>
      </c>
      <c r="AD133" s="502">
        <f>Model!AD157-Model!AC157+AD147</f>
        <v>1.2559999999999967</v>
      </c>
      <c r="AE133" s="502">
        <f>Model!AE157-Model!Y157+AE147</f>
        <v>18.691999999999993</v>
      </c>
      <c r="AF133" s="511"/>
      <c r="AG133" s="502">
        <f>Model!AG157-Model!AD157+AG147</f>
        <v>3.944</v>
      </c>
      <c r="AH133" s="502">
        <f>Model!AH157-Model!AG157+AH147</f>
        <v>1.6000000000000114</v>
      </c>
      <c r="AI133" s="502">
        <f>Model!AI157-Model!AH157+AI147</f>
        <v>4.1959999999999829</v>
      </c>
      <c r="AJ133" s="502">
        <f>Model!AJ157-Model!AI157+AJ147</f>
        <v>4.5780000000000225</v>
      </c>
      <c r="AK133" s="502">
        <f>Model!AK157-Model!AE157+AK147</f>
        <v>14.318000000000017</v>
      </c>
      <c r="AL133" s="511"/>
      <c r="AM133" s="502">
        <f>Model!AM157-Model!AJ157+AM147</f>
        <v>7.6259999999999932</v>
      </c>
      <c r="AN133" s="502">
        <f>Model!AN157-Model!AM157+AN147</f>
        <v>-0.40000000000000568</v>
      </c>
      <c r="AO133" s="502">
        <f>Model!AO157-Model!AN157+AO147</f>
        <v>3.2000000000000117</v>
      </c>
      <c r="AP133" s="502">
        <f>Model!AP157-Model!AO157+AP147</f>
        <v>0.32799999999998075</v>
      </c>
      <c r="AQ133" s="502">
        <v>30.088000000000001</v>
      </c>
      <c r="AR133" s="511"/>
      <c r="AS133" s="502">
        <f>Model!AS157-Model!AP157+AS147</f>
        <v>3.0720000000000027</v>
      </c>
      <c r="AT133" s="502">
        <f>Model!AT157-Model!AS157+AT147</f>
        <v>3.5999999999999943</v>
      </c>
      <c r="AU133" s="502">
        <f>Model!AU157-Model!AT157+AU147</f>
        <v>14.400000000000006</v>
      </c>
      <c r="AV133" s="502">
        <f>Model!AV157-Model!AU157+AV147</f>
        <v>6.0400000000000027</v>
      </c>
      <c r="AW133" s="502">
        <v>30.088000000000001</v>
      </c>
      <c r="AX133" s="511"/>
      <c r="AY133" s="502">
        <f>Model!AY157-Model!AV157+AY147</f>
        <v>13.926000000000002</v>
      </c>
      <c r="AZ133" s="502">
        <f>Model!AZ157-Model!AY157+AZ147</f>
        <v>7.5199999999999889</v>
      </c>
      <c r="BA133" s="502">
        <f>Model!BA157-Model!AZ157+BA147</f>
        <v>6.3300000000000107</v>
      </c>
      <c r="BB133" s="502">
        <f>Model!BB157-Model!BA157+BB147</f>
        <v>2.3109999999999902</v>
      </c>
      <c r="BC133" s="501">
        <v>30.088000000000001</v>
      </c>
      <c r="BD133" s="511"/>
      <c r="BE133" s="501">
        <f>Model!BE157-Model!BB157+BE147</f>
        <v>3.4870000000000045</v>
      </c>
      <c r="BF133" s="502">
        <f>Model!BF157-Model!BE157+BF147</f>
        <v>3.3038960000000115</v>
      </c>
      <c r="BG133" s="502">
        <f>Model!BG157-Model!BF157+BG147</f>
        <v>5.6237750000000055</v>
      </c>
      <c r="BH133" s="502">
        <f>Model!BH157-Model!BG157+BH147</f>
        <v>1.2999999999999829</v>
      </c>
      <c r="BI133" s="502">
        <f>SUM(BE133:BH133)</f>
        <v>13.714671000000004</v>
      </c>
      <c r="BJ133" s="511"/>
      <c r="BK133" s="501">
        <f>Model!BK157-Model!BH157+BK147</f>
        <v>3.7999999999999945</v>
      </c>
      <c r="BL133" s="502">
        <f>Model!BL157-Model!BK157+BL147</f>
        <v>1.7980000000000116</v>
      </c>
      <c r="BM133" s="502">
        <f>Model!BM157-Model!BL157+BM147</f>
        <v>0</v>
      </c>
      <c r="BN133" s="502">
        <f>Model!BN157-Model!BM157+BN147</f>
        <v>0</v>
      </c>
      <c r="BO133" s="502">
        <f>SUM(BK133:BN133)</f>
        <v>5.5980000000000061</v>
      </c>
      <c r="BP133" s="511"/>
      <c r="BQ133" s="501">
        <f>Model!BQ157-Model!BN157+BQ147</f>
        <v>0.14895481519963027</v>
      </c>
      <c r="BR133" s="502">
        <f>Model!BR157-Model!BQ157+BR147</f>
        <v>4.91304518480037</v>
      </c>
      <c r="BS133" s="502">
        <f>Model!BS157-Model!BR157+BS147</f>
        <v>4.9010000000000051</v>
      </c>
      <c r="BT133" s="502">
        <f>Model!BT157-Model!BS157+BT147</f>
        <v>1.1639999999999944</v>
      </c>
      <c r="BU133" s="502">
        <f>SUM(BQ133:BT133)</f>
        <v>11.126999999999999</v>
      </c>
      <c r="BV133" s="511"/>
      <c r="BW133" s="502">
        <f>Model!BW157-Model!BT157+BW147</f>
        <v>1.6160000000000139</v>
      </c>
      <c r="BX133" s="502">
        <f>Model!BX157-Model!BW157+BX147</f>
        <v>0.91199999999997772</v>
      </c>
      <c r="BY133" s="502">
        <f>Model!BY157-Model!BX157+BY147</f>
        <v>1.7199999999999989</v>
      </c>
      <c r="BZ133" s="502">
        <f>Model!BZ157-Model!BY157+BZ147</f>
        <v>0.10600000000002296</v>
      </c>
      <c r="CA133" s="502">
        <f>SUM(BW133:BZ133)</f>
        <v>4.3540000000000134</v>
      </c>
      <c r="CB133" s="511"/>
      <c r="CC133" s="502">
        <f>Model!CC157-Model!BZ157+CC147</f>
        <v>2.3649999999999807</v>
      </c>
      <c r="CD133" s="502">
        <f>Model!CD157-Model!CC157+CD147</f>
        <v>1.6810000000000116</v>
      </c>
      <c r="CE133" s="502">
        <f>Model!CE157-Model!CD157+CE147</f>
        <v>0.19999999999998863</v>
      </c>
      <c r="CF133" s="502">
        <f>Model!CF157-Model!CE157+CF147</f>
        <v>-0.59999999999999432</v>
      </c>
      <c r="CG133" s="502">
        <f>SUM(CC133:CF133)</f>
        <v>3.6459999999999866</v>
      </c>
      <c r="CH133" s="511"/>
      <c r="CI133" s="502">
        <f>Model!CI157-Model!CF157+CI147</f>
        <v>2.0030000000000001</v>
      </c>
      <c r="CJ133" s="502">
        <f>Model!CJ157-Model!CI157+CJ147</f>
        <v>0.78346899999999664</v>
      </c>
      <c r="CK133" s="502">
        <f>Model!CK157-Model!CJ157+CK147</f>
        <v>1.2283379590922152</v>
      </c>
      <c r="CL133" s="502">
        <f>Model!CL157-Model!CK157+CL147</f>
        <v>1.2283379590922152</v>
      </c>
      <c r="CM133" s="502">
        <f>SUM(CI133:CL133)</f>
        <v>5.2431449181844272</v>
      </c>
      <c r="CN133" s="511"/>
      <c r="CO133" s="502">
        <f>Model!CO157-Model!CL157+CO147</f>
        <v>5.4598550818155731</v>
      </c>
      <c r="CP133" s="502">
        <f>Model!CP157-Model!CO157+CP147</f>
        <v>3</v>
      </c>
      <c r="CQ133" s="502">
        <f>AVERAGE(Metrics!$CI419:$CM419)*BS!$CS134/1000000/4</f>
        <v>1.2749999999999999</v>
      </c>
      <c r="CR133" s="502">
        <f>Model!CR157-Model!CQ157+CR147</f>
        <v>1.2750000000000057</v>
      </c>
      <c r="CS133" s="502">
        <f>SUM(CO133:CR133)</f>
        <v>11.009855081815578</v>
      </c>
      <c r="CT133" s="511"/>
      <c r="CU133" s="502">
        <f>Model!CU157-Model!CR157+CU147</f>
        <v>3.9499999999999886</v>
      </c>
      <c r="CV133" s="502">
        <f>Model!CV157-Model!CU157+CV147</f>
        <v>2.4</v>
      </c>
      <c r="CW133" s="502">
        <f>AVERAGE(Metrics!$CI419:$CM419)*BS!$CY134/1000000/4</f>
        <v>2.5499999999999998</v>
      </c>
      <c r="CX133" s="502">
        <f>AVERAGE(Metrics!$CI419:$CM419)*BS!$CY134/1000000/4</f>
        <v>2.5499999999999998</v>
      </c>
      <c r="CY133" s="502">
        <f>SUM(CU133:CX133)</f>
        <v>11.449999999999989</v>
      </c>
      <c r="CZ133" s="511"/>
      <c r="DA133" s="502">
        <f>AVERAGE(Metrics!$CI419:$CM419)*BS!$CY134/1000000/4</f>
        <v>2.5499999999999998</v>
      </c>
      <c r="DB133" s="502">
        <f>Model!DB157-Model!DA157+DB147</f>
        <v>1.2999999999999887</v>
      </c>
      <c r="DC133" s="502">
        <f>AVERAGE(Metrics!$CI419:$CM419)*BS!$CY134/1000000/4</f>
        <v>2.5499999999999998</v>
      </c>
      <c r="DD133" s="502">
        <f>AVERAGE(Metrics!$CI419:$CM419)*BS!$DE134/1000000/4</f>
        <v>4.76</v>
      </c>
      <c r="DE133" s="502">
        <f>SUM(DA133:DD133)</f>
        <v>11.159999999999988</v>
      </c>
      <c r="DF133" s="511"/>
      <c r="DG133" s="502">
        <f>AVERAGE(Metrics!$CI419:$CM419)*BS!$DE134/1000000/4</f>
        <v>4.76</v>
      </c>
      <c r="DH133" s="502">
        <f>AVERAGE(Metrics!$CI419:$CM419)*BS!$DE134/1000000/4</f>
        <v>4.76</v>
      </c>
      <c r="DI133" s="502">
        <f>AVERAGE(Metrics!$CI419:$CM419)*BS!$DE134/1000000/4</f>
        <v>4.76</v>
      </c>
      <c r="DJ133" s="502">
        <f>AVERAGE(Metrics!$CI419:$CM419)*BS!$DE134/1000000/4</f>
        <v>4.76</v>
      </c>
      <c r="DK133" s="502">
        <f>SUM(DG133:DJ133)</f>
        <v>19.04</v>
      </c>
      <c r="DL133" s="511"/>
      <c r="DM133" s="502">
        <f>AVERAGE(Metrics!$CI419:$CM419)*BS!$DE134/1000000/4</f>
        <v>4.76</v>
      </c>
      <c r="DN133" s="502">
        <f>AVERAGE(Metrics!$CI419:$CM419)*BS!$DE134/1000000/4</f>
        <v>4.76</v>
      </c>
      <c r="DO133" s="502">
        <f>AVERAGE(Metrics!$CI419:$CM419)*BS!$DE134/1000000/4</f>
        <v>4.76</v>
      </c>
      <c r="DP133" s="502">
        <f>AVERAGE(Metrics!$CI419:$CM419)*BS!$DE134/1000000/4</f>
        <v>4.76</v>
      </c>
      <c r="DQ133" s="502">
        <f>SUM(DM133:DP133)</f>
        <v>19.04</v>
      </c>
      <c r="DR133" s="511"/>
      <c r="DS133" s="502">
        <f>AVERAGE(Metrics!$CI419:$CM419)*BS!$DE134/1000000/4</f>
        <v>4.76</v>
      </c>
      <c r="DT133" s="502">
        <f>AVERAGE(Metrics!$CI419:$CM419)*BS!$DE134/1000000/4</f>
        <v>4.76</v>
      </c>
      <c r="DU133" s="502">
        <f>AVERAGE(Metrics!$CI419:$CM419)*BS!$DE134/1000000/4</f>
        <v>4.76</v>
      </c>
      <c r="DV133" s="502">
        <f>AVERAGE(Metrics!$CI419:$CM419)*BS!$DE134/1000000/4</f>
        <v>4.76</v>
      </c>
      <c r="DW133" s="502">
        <f>SUM(DS133:DV133)</f>
        <v>19.04</v>
      </c>
      <c r="DX133" s="175"/>
      <c r="DY133" s="502">
        <f>AVERAGE(Metrics!$CI419:$CM419)*BS!$DE134/1000000/4</f>
        <v>4.76</v>
      </c>
      <c r="DZ133" s="502">
        <f>AVERAGE(Metrics!$CI419:$CM419)*BS!$DE134/1000000/4</f>
        <v>4.76</v>
      </c>
      <c r="EA133" s="502">
        <f>AVERAGE(Metrics!$CI419:$CM419)*BS!$DE134/1000000/4</f>
        <v>4.76</v>
      </c>
      <c r="EB133" s="502">
        <f>AVERAGE(Metrics!$CI419:$CM419)*BS!$DE134/1000000/4</f>
        <v>4.76</v>
      </c>
      <c r="EC133" s="502">
        <f>SUM(DY133:EB133)</f>
        <v>19.04</v>
      </c>
      <c r="ED133" s="175"/>
      <c r="EE133" s="502">
        <f>AVERAGE(Metrics!$CI419:$CM419)*BS!$DE134/1000000/4</f>
        <v>4.76</v>
      </c>
      <c r="EF133" s="502">
        <f>AVERAGE(Metrics!$CI419:$CM419)*BS!$DE134/1000000/4</f>
        <v>4.76</v>
      </c>
      <c r="EG133" s="502">
        <f>AVERAGE(Metrics!$CI419:$CM419)*BS!$DE134/1000000/4</f>
        <v>4.76</v>
      </c>
      <c r="EH133" s="502">
        <f>AVERAGE(Metrics!$CI419:$CM419)*BS!$DE134/1000000/4</f>
        <v>4.76</v>
      </c>
      <c r="EI133" s="502">
        <f>SUM(EE133:EH133)</f>
        <v>19.04</v>
      </c>
      <c r="EJ133" s="175"/>
      <c r="EK133" s="502">
        <f>AVERAGE(Metrics!$CI419:$CM419)*BS!$DE134/1000000/4</f>
        <v>4.76</v>
      </c>
      <c r="EL133" s="502">
        <f>AVERAGE(Metrics!$CI419:$CM419)*BS!$DE134/1000000/4</f>
        <v>4.76</v>
      </c>
      <c r="EM133" s="502">
        <f>AVERAGE(Metrics!$CI419:$CM419)*BS!$DE134/1000000/4</f>
        <v>4.76</v>
      </c>
      <c r="EN133" s="502">
        <f>AVERAGE(Metrics!$CI419:$CM419)*BS!$DE134/1000000/4</f>
        <v>4.76</v>
      </c>
      <c r="EO133" s="502">
        <f>SUM(EK133:EN133)</f>
        <v>19.04</v>
      </c>
      <c r="EP133" s="175"/>
      <c r="EQ133" s="502">
        <f>AVERAGE(Metrics!$CI419:$CM419)*BS!$DE134/1000000/4</f>
        <v>4.76</v>
      </c>
      <c r="ER133" s="502">
        <f>AVERAGE(Metrics!$CI419:$CM419)*BS!$DE134/1000000/4</f>
        <v>4.76</v>
      </c>
      <c r="ES133" s="502">
        <f>AVERAGE(Metrics!$CI419:$CM419)*BS!$DE134/1000000/4</f>
        <v>4.76</v>
      </c>
      <c r="ET133" s="502">
        <f>AVERAGE(Metrics!$CI419:$CM419)*BS!$DE134/1000000/4</f>
        <v>4.76</v>
      </c>
      <c r="EU133" s="502">
        <f>SUM(EQ133:ET133)</f>
        <v>19.04</v>
      </c>
      <c r="EV133" s="175"/>
      <c r="EW133" s="175"/>
      <c r="EX133" s="160"/>
      <c r="EY133" s="160"/>
      <c r="EZ133" s="160"/>
      <c r="FA133" s="160"/>
      <c r="FB133" s="160"/>
    </row>
    <row r="134" spans="1:164" ht="14.25" hidden="1" customHeight="1" outlineLevel="1">
      <c r="A134" s="605" t="s">
        <v>3811</v>
      </c>
      <c r="B134" s="42"/>
      <c r="C134" s="61"/>
      <c r="D134" s="61"/>
      <c r="E134" s="61"/>
      <c r="F134" s="61"/>
      <c r="G134" s="61"/>
      <c r="H134" s="61"/>
      <c r="I134" s="61"/>
      <c r="J134" s="61"/>
      <c r="K134" s="361"/>
      <c r="L134" s="361"/>
      <c r="M134" s="361"/>
      <c r="N134" s="361"/>
      <c r="O134" s="501"/>
      <c r="P134" s="501"/>
      <c r="Q134" s="501"/>
      <c r="R134" s="501"/>
      <c r="S134" s="501"/>
      <c r="T134" s="361"/>
      <c r="U134" s="501"/>
      <c r="V134" s="501"/>
      <c r="W134" s="501"/>
      <c r="X134" s="501"/>
      <c r="Y134" s="501"/>
      <c r="Z134" s="361"/>
      <c r="AA134" s="501"/>
      <c r="AB134" s="501"/>
      <c r="AC134" s="501"/>
      <c r="AD134" s="501"/>
      <c r="AE134" s="501"/>
      <c r="AF134" s="361"/>
      <c r="AG134" s="501"/>
      <c r="AH134" s="501"/>
      <c r="AI134" s="501"/>
      <c r="AJ134" s="501"/>
      <c r="AK134" s="501"/>
      <c r="AL134" s="361"/>
      <c r="AM134" s="501"/>
      <c r="AN134" s="501"/>
      <c r="AO134" s="501"/>
      <c r="AP134" s="501"/>
      <c r="AQ134" s="501"/>
      <c r="AR134" s="361"/>
      <c r="AS134" s="501"/>
      <c r="AT134" s="501"/>
      <c r="AU134" s="501"/>
      <c r="AV134" s="501"/>
      <c r="AW134" s="718">
        <f>AW133/AVERAGE(Metrics!AS419:AV419)*1000000</f>
        <v>8508.4482149169307</v>
      </c>
      <c r="AX134" s="361"/>
      <c r="AY134" s="501"/>
      <c r="AZ134" s="501"/>
      <c r="BA134" s="501"/>
      <c r="BB134" s="501"/>
      <c r="BC134" s="718">
        <f>BC133/AVERAGE(Metrics!AY419:BB419)*1000000</f>
        <v>8742.6994043295072</v>
      </c>
      <c r="BD134" s="361"/>
      <c r="BE134" s="501"/>
      <c r="BF134" s="501"/>
      <c r="BG134" s="501"/>
      <c r="BH134" s="501"/>
      <c r="BI134" s="718">
        <f>BI133/AVERAGE(Metrics!BE419:BH419)*1000000</f>
        <v>3345.0417073170743</v>
      </c>
      <c r="BJ134" s="361"/>
      <c r="BK134" s="501"/>
      <c r="BL134" s="501"/>
      <c r="BM134" s="501"/>
      <c r="BN134" s="501"/>
      <c r="BO134" s="718">
        <f>BO133/AVERAGE(Metrics!BK419:BN419)*1000000</f>
        <v>1111.7068811438796</v>
      </c>
      <c r="BP134" s="361"/>
      <c r="BQ134" s="501"/>
      <c r="BR134" s="501"/>
      <c r="BS134" s="501"/>
      <c r="BT134" s="501"/>
      <c r="BU134" s="718">
        <f>BU133/AVERAGE(Metrics!BQ419:BT419)*1000000</f>
        <v>1711.6157440344568</v>
      </c>
      <c r="BV134" s="361"/>
      <c r="BW134" s="501"/>
      <c r="BX134" s="501"/>
      <c r="BY134" s="501"/>
      <c r="BZ134" s="501"/>
      <c r="CA134" s="718">
        <f>CA133/AVERAGE(Metrics!BW419:BZ419)*1000000</f>
        <v>558.20512820512988</v>
      </c>
      <c r="CB134" s="361"/>
      <c r="CC134" s="501"/>
      <c r="CD134" s="501"/>
      <c r="CE134" s="501"/>
      <c r="CF134" s="501"/>
      <c r="CG134" s="718">
        <v>600</v>
      </c>
      <c r="CH134" s="361"/>
      <c r="CI134" s="501"/>
      <c r="CJ134" s="501"/>
      <c r="CK134" s="501"/>
      <c r="CL134" s="501"/>
      <c r="CM134" s="718">
        <v>650</v>
      </c>
      <c r="CN134" s="361"/>
      <c r="CO134" s="501"/>
      <c r="CP134" s="501"/>
      <c r="CQ134" s="501"/>
      <c r="CR134" s="501"/>
      <c r="CS134" s="718">
        <v>750</v>
      </c>
      <c r="CT134" s="361"/>
      <c r="CU134" s="501"/>
      <c r="CV134" s="501"/>
      <c r="CW134" s="501"/>
      <c r="CX134" s="501"/>
      <c r="CY134" s="718">
        <v>1500</v>
      </c>
      <c r="CZ134" s="361"/>
      <c r="DA134" s="501"/>
      <c r="DB134" s="501"/>
      <c r="DC134" s="501"/>
      <c r="DD134" s="501"/>
      <c r="DE134" s="718">
        <v>2800</v>
      </c>
      <c r="DF134" s="361"/>
      <c r="DG134" s="501"/>
      <c r="DH134" s="501"/>
      <c r="DI134" s="501"/>
      <c r="DJ134" s="501"/>
      <c r="DK134" s="718">
        <v>850</v>
      </c>
      <c r="DL134" s="361"/>
      <c r="DM134" s="501"/>
      <c r="DN134" s="501"/>
      <c r="DO134" s="501"/>
      <c r="DP134" s="501"/>
      <c r="DQ134" s="718">
        <v>850</v>
      </c>
      <c r="DR134" s="361"/>
      <c r="DS134" s="501"/>
      <c r="DT134" s="501"/>
      <c r="DU134" s="501"/>
      <c r="DV134" s="501"/>
      <c r="DW134">
        <v>850</v>
      </c>
      <c r="DX134" s="142"/>
      <c r="DY134" s="501"/>
      <c r="DZ134" s="501"/>
      <c r="EA134" s="501"/>
      <c r="EB134" s="501"/>
      <c r="EC134" s="1787">
        <v>850</v>
      </c>
      <c r="ED134" s="142"/>
      <c r="EE134" s="501"/>
      <c r="EF134" s="501"/>
      <c r="EG134" s="501"/>
      <c r="EH134" s="501"/>
      <c r="EI134" s="2008">
        <v>850</v>
      </c>
      <c r="EJ134" s="142"/>
      <c r="EK134" s="501"/>
      <c r="EL134" s="501"/>
      <c r="EM134" s="501"/>
      <c r="EN134" s="501"/>
      <c r="EO134" s="2117">
        <v>850</v>
      </c>
      <c r="EP134" s="142"/>
      <c r="EQ134" s="501"/>
      <c r="ER134" s="501"/>
      <c r="ES134" s="501"/>
      <c r="ET134" s="501"/>
      <c r="EU134" s="2291">
        <v>850</v>
      </c>
      <c r="EV134" s="142"/>
      <c r="EW134" s="142"/>
      <c r="EX134" s="127"/>
      <c r="EY134" s="127"/>
      <c r="EZ134" s="127"/>
      <c r="FA134" s="127"/>
      <c r="FB134" s="127"/>
    </row>
    <row r="135" spans="1:164" ht="14.25" hidden="1" customHeight="1" outlineLevel="1">
      <c r="A135" s="597" t="s">
        <v>4739</v>
      </c>
      <c r="B135" s="598"/>
      <c r="C135" s="278"/>
      <c r="D135" s="278"/>
      <c r="E135" s="278"/>
      <c r="F135" s="278"/>
      <c r="G135" s="61"/>
      <c r="H135" s="278"/>
      <c r="I135" s="278"/>
      <c r="J135" s="278"/>
      <c r="K135" s="599"/>
      <c r="L135" s="599"/>
      <c r="M135" s="599"/>
      <c r="N135" s="599"/>
      <c r="O135" s="516"/>
      <c r="P135" s="516"/>
      <c r="Q135" s="516"/>
      <c r="R135" s="516"/>
      <c r="S135" s="516"/>
      <c r="T135" s="599"/>
      <c r="U135" s="516"/>
      <c r="V135" s="516"/>
      <c r="W135" s="516"/>
      <c r="X135" s="516"/>
      <c r="Y135" s="516"/>
      <c r="Z135" s="599"/>
      <c r="AA135" s="516"/>
      <c r="AB135" s="516"/>
      <c r="AC135" s="516"/>
      <c r="AD135" s="516"/>
      <c r="AE135" s="516"/>
      <c r="AF135" s="599"/>
      <c r="AG135" s="516"/>
      <c r="AH135" s="516"/>
      <c r="AI135" s="516"/>
      <c r="AJ135" s="516"/>
      <c r="AK135" s="516"/>
      <c r="AL135" s="599"/>
      <c r="AM135" s="516"/>
      <c r="AN135" s="516"/>
      <c r="AO135" s="516"/>
      <c r="AP135" s="516"/>
      <c r="AQ135" s="516"/>
      <c r="AR135" s="599"/>
      <c r="AS135" s="516"/>
      <c r="AT135" s="516"/>
      <c r="AU135" s="516"/>
      <c r="AV135" s="516"/>
      <c r="AW135" s="516"/>
      <c r="AX135" s="599"/>
      <c r="AY135" s="516"/>
      <c r="AZ135" s="516"/>
      <c r="BA135" s="516"/>
      <c r="BB135" s="516"/>
      <c r="BC135" s="516"/>
      <c r="BD135" s="599"/>
      <c r="BE135" s="600">
        <f>BE132/BE133</f>
        <v>11.49985661026669</v>
      </c>
      <c r="BF135" s="600">
        <f>BF132/BF133</f>
        <v>9.897405971616509</v>
      </c>
      <c r="BG135" s="600">
        <f>BG132/BG133</f>
        <v>9.6376544225186738</v>
      </c>
      <c r="BH135" s="600">
        <f>BH132/BH133</f>
        <v>13.538461538461723</v>
      </c>
      <c r="BI135" s="600">
        <f>BI132/BI133</f>
        <v>10.543453794844948</v>
      </c>
      <c r="BJ135" s="599"/>
      <c r="BK135" s="600">
        <f>BK132/BK133</f>
        <v>12.947368421052651</v>
      </c>
      <c r="BL135" s="600">
        <f>BL132/BL133</f>
        <v>8.342602892102283</v>
      </c>
      <c r="BM135" s="600"/>
      <c r="BN135" s="600"/>
      <c r="BO135" s="600">
        <f>BO132/BO133</f>
        <v>13.254733833511954</v>
      </c>
      <c r="BP135" s="599"/>
      <c r="BQ135" s="600">
        <f>BQ132/BQ133</f>
        <v>0</v>
      </c>
      <c r="BR135" s="600">
        <f>BR132/BR133</f>
        <v>17.056631243542085</v>
      </c>
      <c r="BS135" s="600">
        <f>BS132/BS133</f>
        <v>15.690675372372967</v>
      </c>
      <c r="BT135" s="600">
        <f>BT132/BT133</f>
        <v>22.852233676976073</v>
      </c>
      <c r="BU135" s="600">
        <f>BU132/BU133</f>
        <v>16.832928911656335</v>
      </c>
      <c r="BV135" s="599"/>
      <c r="BW135" s="600">
        <f>BW132/BW133</f>
        <v>21.844059405940406</v>
      </c>
      <c r="BX135" s="600">
        <f>BX132/BX133</f>
        <v>16.228070175438997</v>
      </c>
      <c r="BY135" s="600">
        <f>BY132/BY133</f>
        <v>22.674418604651173</v>
      </c>
      <c r="BZ135" s="600">
        <f>BZ132/BZ133</f>
        <v>9.4339622641488994</v>
      </c>
      <c r="CA135" s="600">
        <f>CA132/CA133</f>
        <v>20.693615066605354</v>
      </c>
      <c r="CB135" s="599"/>
      <c r="CC135" s="600">
        <f>CC132/CC133</f>
        <v>10.739957716701991</v>
      </c>
      <c r="CD135" s="600">
        <f>CD132/CD133</f>
        <v>11.124330755502601</v>
      </c>
      <c r="CE135" s="1462">
        <f>CE132/CE133</f>
        <v>117.00000000000665</v>
      </c>
      <c r="CF135" s="1462">
        <f>CF132/CF133</f>
        <v>-4.166666666666706</v>
      </c>
      <c r="CG135" s="600">
        <f>CG132/CG133</f>
        <v>19.199122325836605</v>
      </c>
      <c r="CH135" s="599"/>
      <c r="CI135" s="600">
        <f>CI132/CI133</f>
        <v>18.072890664003996</v>
      </c>
      <c r="CJ135" s="600">
        <f>CJ132/CJ133</f>
        <v>4.9778612810462386</v>
      </c>
      <c r="CK135" s="600">
        <f>CK132/CK133</f>
        <v>29.552127516133243</v>
      </c>
      <c r="CL135" s="600">
        <f>CL132/CL133</f>
        <v>36.227814723634417</v>
      </c>
      <c r="CM135" s="600">
        <f>CM132/CM133</f>
        <v>23.058679835587057</v>
      </c>
      <c r="CN135" s="599"/>
      <c r="CO135" s="600">
        <f>CO132/CO133</f>
        <v>20.385156443197985</v>
      </c>
      <c r="CP135" s="600">
        <f>CP132/CP133</f>
        <v>6.0999999999999988</v>
      </c>
      <c r="CQ135" s="600">
        <f>CQ132/CQ133</f>
        <v>20.94117647058825</v>
      </c>
      <c r="CR135" s="600">
        <f>CR132/CR133</f>
        <v>15.529411764705801</v>
      </c>
      <c r="CS135" s="600">
        <f>CS132/CS133</f>
        <v>15.994760938393773</v>
      </c>
      <c r="CT135" s="599"/>
      <c r="CU135" s="600">
        <f>CU132/CU133</f>
        <v>38.734177215189987</v>
      </c>
      <c r="CV135" s="600">
        <f>CV132/CV133</f>
        <v>2.4166666666666714</v>
      </c>
      <c r="CW135" s="600">
        <f>CW132/CW133</f>
        <v>15.999999999999995</v>
      </c>
      <c r="CX135" s="1462">
        <f>CX132/CX133</f>
        <v>5.6862745098039218</v>
      </c>
      <c r="CY135" s="600">
        <f>CY132/CY133</f>
        <v>18.698689956331897</v>
      </c>
      <c r="CZ135" s="599"/>
      <c r="DA135" s="600">
        <f>DA132/DA133</f>
        <v>27.450980392156865</v>
      </c>
      <c r="DB135" s="600">
        <f>DB132/DB133</f>
        <v>7.5384615384616014</v>
      </c>
      <c r="DC135" s="600">
        <f>DC132/DC133</f>
        <v>40.627450980392162</v>
      </c>
      <c r="DD135" s="600">
        <f>DD132/DD133</f>
        <v>22.016806722689072</v>
      </c>
      <c r="DE135" s="600">
        <f>DE132/DE133</f>
        <v>25.824372759856658</v>
      </c>
      <c r="DF135" s="599"/>
      <c r="DG135" s="600">
        <f>DG132/DG133</f>
        <v>13.067226890756304</v>
      </c>
      <c r="DH135" s="600">
        <f>DH132/DH133</f>
        <v>6.1134453781512592</v>
      </c>
      <c r="DI135" s="600">
        <f>DI132/DI133</f>
        <v>8.0462184873949578</v>
      </c>
      <c r="DJ135" s="600">
        <f>DJ132/DJ133</f>
        <v>1.2184873949579855</v>
      </c>
      <c r="DK135" s="600">
        <f>DK132/DK133</f>
        <v>7.1113445378151265</v>
      </c>
      <c r="DL135" s="599"/>
      <c r="DM135" s="600">
        <f>DM132/DM133</f>
        <v>7.1638655462184877</v>
      </c>
      <c r="DN135" s="600">
        <f>DN132/DN133</f>
        <v>-0.18907563025210056</v>
      </c>
      <c r="DO135" s="600">
        <f>DO132/DO133</f>
        <v>5</v>
      </c>
      <c r="DP135" s="600">
        <f>DP132/DP133</f>
        <v>11.302521008403362</v>
      </c>
      <c r="DQ135" s="600">
        <f>DQ132/DQ133</f>
        <v>5.8193277310924367</v>
      </c>
      <c r="DR135" s="599"/>
      <c r="DS135" s="600">
        <f>DS132/DS133</f>
        <v>10.756302521008404</v>
      </c>
      <c r="DT135" s="600">
        <f>DT132/DT133</f>
        <v>0.63025210084033612</v>
      </c>
      <c r="DU135" s="600">
        <f>DU132/DU133</f>
        <v>10.084033613445378</v>
      </c>
      <c r="DV135" s="600">
        <f>DV132/DV133</f>
        <v>3.6554621848739481</v>
      </c>
      <c r="DW135" s="600">
        <f>DW132/DW133</f>
        <v>6.2815126050420167</v>
      </c>
      <c r="DX135" s="602"/>
      <c r="DY135" s="600">
        <f>DY132/DY133</f>
        <v>10.525210084033613</v>
      </c>
      <c r="DZ135" s="600">
        <f>DZ132/DZ133</f>
        <v>1.2184873949579826</v>
      </c>
      <c r="EA135" s="600">
        <f>EA132/EA133</f>
        <v>7.8361344537815141</v>
      </c>
      <c r="EB135" s="600">
        <f>EB132/EB133</f>
        <v>0.25210084033613506</v>
      </c>
      <c r="EC135" s="600">
        <f>EC132/EC133</f>
        <v>4.9579831932773111</v>
      </c>
      <c r="ED135" s="602"/>
      <c r="EE135" s="603">
        <f>DY135*1.1</f>
        <v>11.577731092436975</v>
      </c>
      <c r="EF135" s="603">
        <f>DZ135*1.1</f>
        <v>1.340336134453781</v>
      </c>
      <c r="EG135" s="603">
        <f>EA135*1.1</f>
        <v>8.6197478991596661</v>
      </c>
      <c r="EH135" s="603">
        <f>EB135*1.1</f>
        <v>0.27731092436974858</v>
      </c>
      <c r="EI135" s="600">
        <f>EI132/EI133</f>
        <v>5.4537815126050431</v>
      </c>
      <c r="EJ135" s="602"/>
      <c r="EK135" s="603">
        <f>EE135*1.1</f>
        <v>12.735504201680675</v>
      </c>
      <c r="EL135" s="603">
        <f>EF135*1.1</f>
        <v>1.4743697478991591</v>
      </c>
      <c r="EM135" s="603">
        <f>EG135*1.1</f>
        <v>9.4817226890756334</v>
      </c>
      <c r="EN135" s="603">
        <f>EH135*1.1</f>
        <v>0.30504201680672344</v>
      </c>
      <c r="EO135" s="600">
        <f>EO132/EO133</f>
        <v>5.9991596638655471</v>
      </c>
      <c r="EP135" s="602"/>
      <c r="EQ135" s="603">
        <f>EK135*1.1</f>
        <v>14.009054621848744</v>
      </c>
      <c r="ER135" s="603">
        <f>EL135*1.1</f>
        <v>1.6218067226890751</v>
      </c>
      <c r="ES135" s="603">
        <f>EM135*1.1</f>
        <v>10.429894957983198</v>
      </c>
      <c r="ET135" s="603">
        <f>EN135*1.1</f>
        <v>0.3355462184873958</v>
      </c>
      <c r="EU135" s="600">
        <f>EU132/EU133</f>
        <v>6.599075630252103</v>
      </c>
      <c r="EV135" s="602"/>
      <c r="EW135" s="602"/>
      <c r="EX135" s="601"/>
      <c r="EY135" s="601"/>
      <c r="EZ135" s="601"/>
      <c r="FA135" s="601"/>
      <c r="FB135" s="601"/>
    </row>
    <row r="136" spans="1:164" ht="14.25" hidden="1" customHeight="1" outlineLevel="1">
      <c r="A136" s="337" t="str">
        <f>CF!A90</f>
        <v>Tax benefits from employee stock plans</v>
      </c>
      <c r="B136" s="32"/>
      <c r="C136" s="353"/>
      <c r="D136" s="90"/>
      <c r="E136" s="90"/>
      <c r="F136" s="90"/>
      <c r="G136" s="61"/>
      <c r="H136" s="90"/>
      <c r="I136" s="90"/>
      <c r="J136" s="90"/>
      <c r="K136" s="500"/>
      <c r="L136" s="500"/>
      <c r="M136" s="500"/>
      <c r="N136" s="500"/>
      <c r="O136" s="505">
        <f>CF!O90</f>
        <v>0</v>
      </c>
      <c r="P136" s="505">
        <f>CF!P90</f>
        <v>0</v>
      </c>
      <c r="Q136" s="505">
        <f>CF!Q90</f>
        <v>0</v>
      </c>
      <c r="R136" s="505">
        <f>CF!R90</f>
        <v>15.468999999999999</v>
      </c>
      <c r="S136" s="596">
        <f>SUM(O136:R136)</f>
        <v>15.468999999999999</v>
      </c>
      <c r="T136" s="500"/>
      <c r="U136" s="505">
        <f>CF!U90</f>
        <v>0</v>
      </c>
      <c r="V136" s="505">
        <f>CF!V90</f>
        <v>0</v>
      </c>
      <c r="W136" s="505">
        <f>CF!W90</f>
        <v>0</v>
      </c>
      <c r="X136" s="505">
        <f>CF!X90</f>
        <v>4.6420000000000003</v>
      </c>
      <c r="Y136" s="596">
        <f>SUM(U136:X136)</f>
        <v>4.6420000000000003</v>
      </c>
      <c r="Z136" s="500"/>
      <c r="AA136" s="505">
        <f>CF!AA90</f>
        <v>0</v>
      </c>
      <c r="AB136" s="505">
        <f>CF!AB90</f>
        <v>0</v>
      </c>
      <c r="AC136" s="505">
        <f>CF!AC90</f>
        <v>0</v>
      </c>
      <c r="AD136" s="505">
        <f>CF!AD90</f>
        <v>21.055</v>
      </c>
      <c r="AE136" s="596">
        <f>SUM(AA136:AD136)</f>
        <v>21.055</v>
      </c>
      <c r="AF136" s="500"/>
      <c r="AG136" s="505">
        <f>CF!AG90</f>
        <v>3.464</v>
      </c>
      <c r="AH136" s="505">
        <f>CF!AH90</f>
        <v>2.0660000000000003</v>
      </c>
      <c r="AI136" s="505">
        <f>CF!AI90</f>
        <v>2.7380000000000004</v>
      </c>
      <c r="AJ136" s="505">
        <f>CF!AJ90</f>
        <v>3.9079999999999995</v>
      </c>
      <c r="AK136" s="596">
        <f>SUM(AG136:AJ136)</f>
        <v>12.176</v>
      </c>
      <c r="AL136" s="500"/>
      <c r="AM136" s="505">
        <f>CF!AM90</f>
        <v>7.8979999999999997</v>
      </c>
      <c r="AN136" s="505">
        <f>CF!AN90</f>
        <v>0.25600000000000023</v>
      </c>
      <c r="AO136" s="505">
        <f>CF!AO90</f>
        <v>0.40000000000000036</v>
      </c>
      <c r="AP136" s="505">
        <f>CF!AP90</f>
        <v>0</v>
      </c>
      <c r="AQ136" s="596">
        <f>SUM(AM136:AP136)</f>
        <v>8.5540000000000003</v>
      </c>
      <c r="AR136" s="500"/>
      <c r="AS136" s="505">
        <f>CF!AS90</f>
        <v>0</v>
      </c>
      <c r="AT136" s="505">
        <f>CF!AT90</f>
        <v>0</v>
      </c>
      <c r="AU136" s="505">
        <f>CF!AU90</f>
        <v>0</v>
      </c>
      <c r="AV136" s="505">
        <f>CF!AV90</f>
        <v>0</v>
      </c>
      <c r="AW136" s="596">
        <f>SUM(AS136:AV136)</f>
        <v>0</v>
      </c>
      <c r="AX136" s="361"/>
      <c r="AY136" s="505">
        <f>CF!AY90</f>
        <v>23.7</v>
      </c>
      <c r="AZ136" s="505">
        <f>CF!AZ90</f>
        <v>0</v>
      </c>
      <c r="BA136" s="505">
        <f>CF!BA90</f>
        <v>63.5</v>
      </c>
      <c r="BB136" s="505">
        <f>CF!BB90</f>
        <v>25.299999999999997</v>
      </c>
      <c r="BC136" s="502">
        <f>SUM(AY136:BB136)</f>
        <v>112.5</v>
      </c>
      <c r="BD136" s="500"/>
      <c r="BE136" s="505">
        <f>CF!BE90</f>
        <v>23.7</v>
      </c>
      <c r="BF136" s="505">
        <f>CF!BF90</f>
        <v>26.7</v>
      </c>
      <c r="BG136" s="505">
        <f>CF!BG90</f>
        <v>54.6</v>
      </c>
      <c r="BH136" s="505">
        <f>CF!BH90</f>
        <v>19.599999999999994</v>
      </c>
      <c r="BI136" s="501">
        <f>SUM(BE136:BH136)</f>
        <v>124.6</v>
      </c>
      <c r="BJ136" s="500"/>
      <c r="BK136" s="505">
        <f>CF!BK90</f>
        <v>0</v>
      </c>
      <c r="BL136" s="505">
        <f>CF!BL90</f>
        <v>0</v>
      </c>
      <c r="BM136" s="505">
        <f>CF!BM90</f>
        <v>0</v>
      </c>
      <c r="BN136" s="505">
        <f>CF!BN90</f>
        <v>5.0999999999999996</v>
      </c>
      <c r="BO136" s="501">
        <f>SUM(BK136:BN136)</f>
        <v>5.0999999999999996</v>
      </c>
      <c r="BP136" s="500"/>
      <c r="BQ136" s="505">
        <f>CF!BQ90</f>
        <v>0</v>
      </c>
      <c r="BR136" s="505">
        <f>CF!BR90</f>
        <v>0</v>
      </c>
      <c r="BS136" s="505">
        <f>CF!BS90</f>
        <v>0</v>
      </c>
      <c r="BT136" s="505">
        <f>CF!BT90</f>
        <v>0</v>
      </c>
      <c r="BU136" s="501">
        <f>SUM(BQ136:BT136)</f>
        <v>0</v>
      </c>
      <c r="BV136" s="500"/>
      <c r="BW136" s="505">
        <f>CF!BW90</f>
        <v>0</v>
      </c>
      <c r="BX136" s="505">
        <f>CF!BX90</f>
        <v>0</v>
      </c>
      <c r="BY136" s="505">
        <f>CF!BY90</f>
        <v>0</v>
      </c>
      <c r="BZ136" s="505">
        <f>CF!BZ90</f>
        <v>0</v>
      </c>
      <c r="CA136" s="501">
        <f>SUM(BW136:BZ136)</f>
        <v>0</v>
      </c>
      <c r="CB136" s="500"/>
      <c r="CC136" s="505">
        <f>CF!CC90</f>
        <v>0</v>
      </c>
      <c r="CD136" s="505">
        <f>CF!CD90</f>
        <v>0</v>
      </c>
      <c r="CE136" s="505">
        <f>CF!CE90</f>
        <v>0</v>
      </c>
      <c r="CF136" s="505">
        <f>CF!CF90</f>
        <v>0</v>
      </c>
      <c r="CG136" s="501">
        <f>SUM(CC136:CF136)</f>
        <v>0</v>
      </c>
      <c r="CH136" s="500"/>
      <c r="CI136" s="505">
        <f>CF!CI90</f>
        <v>0</v>
      </c>
      <c r="CJ136" s="505">
        <f>CF!CJ90</f>
        <v>0</v>
      </c>
      <c r="CK136" s="505">
        <f>CF!CK90</f>
        <v>0</v>
      </c>
      <c r="CL136" s="505">
        <f>CF!CL90</f>
        <v>0</v>
      </c>
      <c r="CM136" s="501">
        <f>SUM(CI136:CL136)</f>
        <v>0</v>
      </c>
      <c r="CN136" s="500"/>
      <c r="CO136" s="505">
        <f>CF!CO90</f>
        <v>0</v>
      </c>
      <c r="CP136" s="505">
        <v>0</v>
      </c>
      <c r="CQ136" s="505">
        <v>0</v>
      </c>
      <c r="CR136" s="505">
        <f>CF!CR90</f>
        <v>1.5</v>
      </c>
      <c r="CS136" s="501">
        <f>SUM(CO136:CR136)</f>
        <v>1.5</v>
      </c>
      <c r="CT136" s="500"/>
      <c r="CU136" s="505">
        <f>CF!CU90</f>
        <v>-9.9</v>
      </c>
      <c r="CV136" s="505">
        <v>0</v>
      </c>
      <c r="CW136" s="505">
        <v>0</v>
      </c>
      <c r="CX136" s="505">
        <v>0</v>
      </c>
      <c r="CY136" s="501">
        <f>SUM(CU136:CX136)</f>
        <v>-9.9</v>
      </c>
      <c r="CZ136" s="500"/>
      <c r="DA136" s="505">
        <v>0</v>
      </c>
      <c r="DB136" s="505">
        <v>0</v>
      </c>
      <c r="DC136" s="505">
        <v>0</v>
      </c>
      <c r="DD136" s="505">
        <v>0</v>
      </c>
      <c r="DE136" s="501">
        <f>SUM(DA136:DD136)</f>
        <v>0</v>
      </c>
      <c r="DF136" s="500"/>
      <c r="DG136" s="505">
        <v>0</v>
      </c>
      <c r="DH136" s="505">
        <v>0</v>
      </c>
      <c r="DI136" s="505">
        <v>0</v>
      </c>
      <c r="DJ136" s="505">
        <v>0</v>
      </c>
      <c r="DK136" s="501">
        <f>SUM(DG136:DJ136)</f>
        <v>0</v>
      </c>
      <c r="DL136" s="500"/>
      <c r="DM136" s="505">
        <v>0</v>
      </c>
      <c r="DN136" s="505">
        <v>0</v>
      </c>
      <c r="DO136" s="505">
        <v>0</v>
      </c>
      <c r="DP136" s="505">
        <v>0</v>
      </c>
      <c r="DQ136" s="501">
        <f>SUM(DM136:DP136)</f>
        <v>0</v>
      </c>
      <c r="DR136" s="500"/>
      <c r="DS136" s="505">
        <v>0</v>
      </c>
      <c r="DT136" s="505">
        <v>0</v>
      </c>
      <c r="DU136" s="505">
        <v>0</v>
      </c>
      <c r="DV136" s="505">
        <v>0</v>
      </c>
      <c r="DW136" s="501">
        <f>SUM(DS136:DV136)</f>
        <v>0</v>
      </c>
      <c r="DX136" s="142"/>
      <c r="DY136" s="505">
        <v>0</v>
      </c>
      <c r="DZ136" s="505">
        <v>0</v>
      </c>
      <c r="EA136" s="505">
        <v>0</v>
      </c>
      <c r="EB136" s="505">
        <v>0</v>
      </c>
      <c r="EC136" s="501">
        <f>SUM(DY136:EB136)</f>
        <v>0</v>
      </c>
      <c r="ED136" s="142"/>
      <c r="EE136" s="505">
        <v>0</v>
      </c>
      <c r="EF136" s="505">
        <v>0</v>
      </c>
      <c r="EG136" s="505">
        <v>0</v>
      </c>
      <c r="EH136" s="505">
        <v>0</v>
      </c>
      <c r="EI136" s="501">
        <f>SUM(EE136:EH136)</f>
        <v>0</v>
      </c>
      <c r="EJ136" s="142"/>
      <c r="EK136" s="505">
        <v>0</v>
      </c>
      <c r="EL136" s="505">
        <v>0</v>
      </c>
      <c r="EM136" s="505">
        <v>0</v>
      </c>
      <c r="EN136" s="505">
        <v>0</v>
      </c>
      <c r="EO136" s="501">
        <f>SUM(EK136:EN136)</f>
        <v>0</v>
      </c>
      <c r="EP136" s="142"/>
      <c r="EQ136" s="505">
        <v>0</v>
      </c>
      <c r="ER136" s="505">
        <v>0</v>
      </c>
      <c r="ES136" s="505">
        <v>0</v>
      </c>
      <c r="ET136" s="505">
        <v>0</v>
      </c>
      <c r="EU136" s="501">
        <f>SUM(EQ136:ET136)</f>
        <v>0</v>
      </c>
      <c r="EV136" s="142"/>
      <c r="EW136" s="142"/>
      <c r="EX136" s="126"/>
      <c r="EY136" s="126"/>
      <c r="EZ136" s="126"/>
      <c r="FA136" s="126"/>
      <c r="FB136" s="126"/>
    </row>
    <row r="137" spans="1:164" ht="14.25" hidden="1" customHeight="1" outlineLevel="1">
      <c r="A137" s="337" t="str">
        <f>CF!A89</f>
        <v>Stock-Based Compensation Expense</v>
      </c>
      <c r="B137" s="32"/>
      <c r="C137" s="353"/>
      <c r="D137" s="90"/>
      <c r="E137" s="90"/>
      <c r="F137" s="90"/>
      <c r="G137" s="61"/>
      <c r="H137" s="90"/>
      <c r="I137" s="90"/>
      <c r="J137" s="90"/>
      <c r="K137" s="500"/>
      <c r="L137" s="500"/>
      <c r="M137" s="500"/>
      <c r="N137" s="500"/>
      <c r="O137" s="501"/>
      <c r="P137" s="501"/>
      <c r="Q137" s="501"/>
      <c r="R137" s="501"/>
      <c r="S137" s="501"/>
      <c r="T137" s="500"/>
      <c r="U137" s="501"/>
      <c r="V137" s="501"/>
      <c r="W137" s="501"/>
      <c r="X137" s="501"/>
      <c r="Y137" s="501"/>
      <c r="Z137" s="500"/>
      <c r="AA137" s="501"/>
      <c r="AB137" s="501"/>
      <c r="AC137" s="501"/>
      <c r="AD137" s="501"/>
      <c r="AE137" s="501"/>
      <c r="AF137" s="500"/>
      <c r="AG137" s="501"/>
      <c r="AH137" s="501"/>
      <c r="AI137" s="501"/>
      <c r="AJ137" s="501"/>
      <c r="AK137" s="501"/>
      <c r="AL137" s="500"/>
      <c r="AM137" s="505">
        <f>CF!AM89</f>
        <v>0</v>
      </c>
      <c r="AN137" s="505">
        <f>CF!AN89</f>
        <v>0</v>
      </c>
      <c r="AO137" s="505">
        <f>CF!AO89</f>
        <v>0</v>
      </c>
      <c r="AP137" s="505">
        <f>CF!AP89</f>
        <v>2.7530000000000001</v>
      </c>
      <c r="AQ137" s="596">
        <f>SUM(AM137:AP137)</f>
        <v>2.7530000000000001</v>
      </c>
      <c r="AR137" s="500"/>
      <c r="AS137" s="505">
        <f>CF!AS89</f>
        <v>0</v>
      </c>
      <c r="AT137" s="505">
        <f>CF!AT89</f>
        <v>0</v>
      </c>
      <c r="AU137" s="505">
        <f>CF!AU89</f>
        <v>0</v>
      </c>
      <c r="AV137" s="505">
        <f>CF!AV89</f>
        <v>1.7749999999999999</v>
      </c>
      <c r="AW137" s="596">
        <f>SUM(AS137:AV137)</f>
        <v>1.7749999999999999</v>
      </c>
      <c r="AX137" s="361"/>
      <c r="AY137" s="505">
        <f>CF!AY89</f>
        <v>1.4</v>
      </c>
      <c r="AZ137" s="505">
        <f>CF!AZ89</f>
        <v>1.6999999999999997</v>
      </c>
      <c r="BA137" s="505">
        <f>CF!BA89</f>
        <v>5.7999999999999989</v>
      </c>
      <c r="BB137" s="505">
        <f>CF!BB89</f>
        <v>2.6999999999999993</v>
      </c>
      <c r="BC137" s="596">
        <f>SUM(AY137:BB137)</f>
        <v>11.599999999999998</v>
      </c>
      <c r="BD137" s="500"/>
      <c r="BE137" s="505">
        <f>CF!BE89</f>
        <v>1.4</v>
      </c>
      <c r="BF137" s="505">
        <f>CF!BF89</f>
        <v>1.4</v>
      </c>
      <c r="BG137" s="505">
        <f>CF!BG89</f>
        <v>1.1000000000000001</v>
      </c>
      <c r="BH137" s="505">
        <f>CF!BH89</f>
        <v>0.69999999999999973</v>
      </c>
      <c r="BI137" s="501">
        <f>SUM(BE137:BH137)</f>
        <v>4.5999999999999996</v>
      </c>
      <c r="BJ137" s="500"/>
      <c r="BK137" s="505">
        <f>CF!BK89</f>
        <v>21.7</v>
      </c>
      <c r="BL137" s="505">
        <f>CF!BL89</f>
        <v>20.000000000000004</v>
      </c>
      <c r="BM137" s="505">
        <f>CF!BM89</f>
        <v>34.299999999999997</v>
      </c>
      <c r="BN137" s="505">
        <f>CF!BN89</f>
        <v>18.299999999999997</v>
      </c>
      <c r="BO137" s="501">
        <f>SUM(BK137:BN137)</f>
        <v>94.3</v>
      </c>
      <c r="BP137" s="500"/>
      <c r="BQ137" s="505">
        <f>CF!BQ89</f>
        <v>14.8</v>
      </c>
      <c r="BR137" s="505">
        <f>CF!BR89</f>
        <v>21.099999999999998</v>
      </c>
      <c r="BS137" s="505">
        <f>CF!BS89</f>
        <v>37.199999999999996</v>
      </c>
      <c r="BT137" s="505">
        <f>CF!BT89</f>
        <v>26.200000000000003</v>
      </c>
      <c r="BU137" s="501">
        <f>SUM(BQ137:BT137)</f>
        <v>99.3</v>
      </c>
      <c r="BV137" s="500"/>
      <c r="BW137" s="505">
        <f>CF!BW89</f>
        <v>25.2</v>
      </c>
      <c r="BX137" s="505">
        <f>CF!BX89</f>
        <v>23.2</v>
      </c>
      <c r="BY137" s="505">
        <f>CF!BY89</f>
        <v>22.500000000000007</v>
      </c>
      <c r="BZ137" s="505">
        <f>CF!BZ89</f>
        <v>18.599999999999994</v>
      </c>
      <c r="CA137" s="501">
        <f>SUM(BW137:BZ137)</f>
        <v>89.5</v>
      </c>
      <c r="CB137" s="500"/>
      <c r="CC137" s="505">
        <f>CF!CC89</f>
        <v>23</v>
      </c>
      <c r="CD137" s="505">
        <f>CF!CD89</f>
        <v>21.4</v>
      </c>
      <c r="CE137" s="505">
        <f>CF!CE89</f>
        <v>30.300000000000004</v>
      </c>
      <c r="CF137" s="505">
        <f>CF!CF89</f>
        <v>18.899999999999991</v>
      </c>
      <c r="CG137" s="501">
        <f>SUM(CC137:CF137)</f>
        <v>93.6</v>
      </c>
      <c r="CH137" s="500"/>
      <c r="CI137" s="505">
        <f>CF!CI89</f>
        <v>24.3</v>
      </c>
      <c r="CJ137" s="505">
        <f>CF!CJ89</f>
        <v>20.999999999999996</v>
      </c>
      <c r="CK137" s="505">
        <f>CF!CK89</f>
        <v>17</v>
      </c>
      <c r="CL137" s="505">
        <f>CF!CL89</f>
        <v>18.400000000000006</v>
      </c>
      <c r="CM137" s="501">
        <f>SUM(CI137:CL137)</f>
        <v>80.7</v>
      </c>
      <c r="CN137" s="500"/>
      <c r="CO137" s="505">
        <f>CF!CO89</f>
        <v>25.9</v>
      </c>
      <c r="CP137" s="505">
        <f>CF!CP89</f>
        <v>27.300000000000004</v>
      </c>
      <c r="CQ137" s="505">
        <f>CF!CQ89</f>
        <v>25.599999999999994</v>
      </c>
      <c r="CR137" s="505">
        <f>CF!CR89</f>
        <v>30</v>
      </c>
      <c r="CS137" s="501">
        <f>SUM(CO137:CR137)</f>
        <v>108.8</v>
      </c>
      <c r="CT137" s="500"/>
      <c r="CU137" s="505">
        <f>CF!CU89</f>
        <v>33.4</v>
      </c>
      <c r="CV137" s="505">
        <f>CF!CV89</f>
        <v>33.500000000000007</v>
      </c>
      <c r="CW137" s="505">
        <f>CF!CW89</f>
        <v>51.899999999999991</v>
      </c>
      <c r="CX137" s="505">
        <f>CF!CX89</f>
        <v>37.500000000000014</v>
      </c>
      <c r="CY137" s="501">
        <f>SUM(CU137:CX137)</f>
        <v>156.30000000000001</v>
      </c>
      <c r="CZ137" s="500"/>
      <c r="DA137" s="505">
        <f>CF!DA89</f>
        <v>33.5</v>
      </c>
      <c r="DB137" s="505">
        <f>CF!DB89</f>
        <v>31.099999999999994</v>
      </c>
      <c r="DC137" s="505">
        <f>CF!DC89</f>
        <v>31.5</v>
      </c>
      <c r="DD137" s="505">
        <f>CF!DD89</f>
        <v>36.099999999999994</v>
      </c>
      <c r="DE137" s="501">
        <f>SUM(DA137:DD137)</f>
        <v>132.19999999999999</v>
      </c>
      <c r="DF137" s="500"/>
      <c r="DG137" s="505">
        <f>CF!DG89</f>
        <v>33.6</v>
      </c>
      <c r="DH137" s="505">
        <f>CF!DH89</f>
        <v>39.800000000000004</v>
      </c>
      <c r="DI137" s="505">
        <f>CF!DI89</f>
        <v>43.099999999999994</v>
      </c>
      <c r="DJ137" s="505">
        <f>CF!DJ89</f>
        <v>49.099999999999994</v>
      </c>
      <c r="DK137" s="501">
        <f>SUM(DG137:DJ137)</f>
        <v>165.6</v>
      </c>
      <c r="DL137" s="500"/>
      <c r="DM137" s="505">
        <f>CF!DM89</f>
        <v>50.2</v>
      </c>
      <c r="DN137" s="505">
        <f>CF!DN89</f>
        <v>40.700000000000003</v>
      </c>
      <c r="DO137" s="505">
        <f>CF!DO89</f>
        <v>50.199999999999989</v>
      </c>
      <c r="DP137" s="505">
        <f>CF!DP89</f>
        <v>56.099999999999994</v>
      </c>
      <c r="DQ137" s="501">
        <f>SUM(DM137:DP137)</f>
        <v>197.2</v>
      </c>
      <c r="DR137" s="500"/>
      <c r="DS137" s="505">
        <f>CF!DS89</f>
        <v>56.9</v>
      </c>
      <c r="DT137" s="505">
        <f>CF!DT89</f>
        <v>49.000000000000007</v>
      </c>
      <c r="DU137" s="505">
        <f>CF!DU89</f>
        <v>56.599999999999994</v>
      </c>
      <c r="DV137" s="505">
        <f>CF!DV89</f>
        <v>59.300000000000011</v>
      </c>
      <c r="DW137" s="501">
        <f>SUM(DS137:DV137)</f>
        <v>221.8</v>
      </c>
      <c r="DX137" s="142"/>
      <c r="DY137" s="505">
        <f>CF!DY89</f>
        <v>66.8</v>
      </c>
      <c r="DZ137" s="505">
        <f>CF!DZ89</f>
        <v>67.600000000000009</v>
      </c>
      <c r="EA137" s="505">
        <f>CF!EA89</f>
        <v>65.099999999999994</v>
      </c>
      <c r="EB137" s="505">
        <f>CF!EB89</f>
        <v>61.899999999999977</v>
      </c>
      <c r="EC137" s="501">
        <f>SUM(DY137:EB137)</f>
        <v>261.39999999999998</v>
      </c>
      <c r="ED137" s="142"/>
      <c r="EE137" s="2021">
        <f>CF!EE89</f>
        <v>61</v>
      </c>
      <c r="EF137" s="2021">
        <f>CF!EF89</f>
        <v>61</v>
      </c>
      <c r="EG137" s="2008">
        <f>CF!EG89</f>
        <v>61</v>
      </c>
      <c r="EH137" s="2008">
        <f>CF!EH89</f>
        <v>61</v>
      </c>
      <c r="EI137" s="501">
        <f>SUM(EE137:EH137)</f>
        <v>244</v>
      </c>
      <c r="EJ137" s="142"/>
      <c r="EK137" s="2117">
        <f>CF!EK89</f>
        <v>61</v>
      </c>
      <c r="EL137" s="2117">
        <f>CF!EL89</f>
        <v>61</v>
      </c>
      <c r="EM137" s="2117">
        <f>CF!EM89</f>
        <v>61</v>
      </c>
      <c r="EN137" s="2117">
        <f>CF!EN89</f>
        <v>61</v>
      </c>
      <c r="EO137" s="501">
        <f>SUM(EK137:EN137)</f>
        <v>244</v>
      </c>
      <c r="EP137" s="142"/>
      <c r="EQ137" s="2291">
        <f>CF!EQ89</f>
        <v>61</v>
      </c>
      <c r="ER137" s="2291">
        <f>CF!ER89</f>
        <v>61</v>
      </c>
      <c r="ES137" s="2291">
        <f>CF!ES89</f>
        <v>61</v>
      </c>
      <c r="ET137" s="2291">
        <f>CF!ET89</f>
        <v>61</v>
      </c>
      <c r="EU137" s="501">
        <f>SUM(EQ137:ET137)</f>
        <v>244</v>
      </c>
      <c r="EV137" s="142"/>
      <c r="EW137" s="142"/>
      <c r="EX137" s="126"/>
      <c r="EY137" s="126"/>
      <c r="EZ137" s="126"/>
      <c r="FA137" s="126"/>
      <c r="FB137" s="126"/>
    </row>
    <row r="138" spans="1:164" ht="14.25" hidden="1" customHeight="1" outlineLevel="1">
      <c r="A138" s="597" t="s">
        <v>87</v>
      </c>
      <c r="B138" s="598"/>
      <c r="C138" s="278"/>
      <c r="D138" s="278"/>
      <c r="E138" s="278"/>
      <c r="F138" s="278"/>
      <c r="G138" s="278"/>
      <c r="H138" s="278"/>
      <c r="I138" s="278"/>
      <c r="J138" s="278"/>
      <c r="K138" s="599"/>
      <c r="L138" s="599"/>
      <c r="M138" s="599"/>
      <c r="N138" s="599"/>
      <c r="O138" s="516"/>
      <c r="P138" s="516"/>
      <c r="Q138" s="516"/>
      <c r="R138" s="516"/>
      <c r="S138" s="516"/>
      <c r="T138" s="599"/>
      <c r="U138" s="516"/>
      <c r="V138" s="516"/>
      <c r="W138" s="516"/>
      <c r="X138" s="516"/>
      <c r="Y138" s="516"/>
      <c r="Z138" s="599"/>
      <c r="AA138" s="516"/>
      <c r="AB138" s="516"/>
      <c r="AC138" s="516"/>
      <c r="AD138" s="516"/>
      <c r="AE138" s="516"/>
      <c r="AF138" s="599"/>
      <c r="AG138" s="516"/>
      <c r="AH138" s="516"/>
      <c r="AI138" s="516"/>
      <c r="AJ138" s="516"/>
      <c r="AK138" s="516"/>
      <c r="AL138" s="599"/>
      <c r="AM138" s="516"/>
      <c r="AN138" s="516"/>
      <c r="AO138" s="516"/>
      <c r="AP138" s="516"/>
      <c r="AQ138" s="516"/>
      <c r="AR138" s="599"/>
      <c r="AS138" s="516"/>
      <c r="AT138" s="516"/>
      <c r="AU138" s="516"/>
      <c r="AV138" s="516"/>
      <c r="AW138" s="516"/>
      <c r="AX138" s="599"/>
      <c r="AY138" s="516"/>
      <c r="AZ138" s="516"/>
      <c r="BA138" s="516"/>
      <c r="BB138" s="516"/>
      <c r="BC138" s="516"/>
      <c r="BD138" s="839"/>
      <c r="BE138" s="516"/>
      <c r="BF138" s="516"/>
      <c r="BG138" s="516"/>
      <c r="BH138" s="786"/>
      <c r="BI138" s="786">
        <f>SUM(BF138:BH138)</f>
        <v>0</v>
      </c>
      <c r="BJ138" s="839"/>
      <c r="BK138" s="516"/>
      <c r="BL138" s="839">
        <f>-BL148</f>
        <v>-89</v>
      </c>
      <c r="BM138" s="839">
        <f>-BM148</f>
        <v>0</v>
      </c>
      <c r="BN138" s="839">
        <f>-BN148</f>
        <v>0</v>
      </c>
      <c r="BO138" s="839">
        <f>SUM(BK138:BN138)</f>
        <v>-89</v>
      </c>
      <c r="BP138" s="839"/>
      <c r="BQ138" s="839">
        <f>-BQ148</f>
        <v>0</v>
      </c>
      <c r="BR138" s="839">
        <f>-BR148</f>
        <v>-325</v>
      </c>
      <c r="BS138" s="839">
        <f>-BS148</f>
        <v>-138.36000000000001</v>
      </c>
      <c r="BT138" s="839">
        <f>-BT148</f>
        <v>-100</v>
      </c>
      <c r="BU138" s="839">
        <f>SUM(BQ138:BT138)</f>
        <v>-563.36</v>
      </c>
      <c r="BV138" s="839"/>
      <c r="BW138" s="839">
        <f>-BW148</f>
        <v>-256.48</v>
      </c>
      <c r="BX138" s="839">
        <f>-BX148</f>
        <v>0</v>
      </c>
      <c r="BY138" s="839">
        <f>-BY148</f>
        <v>0</v>
      </c>
      <c r="BZ138" s="839">
        <f>-BZ148</f>
        <v>0</v>
      </c>
      <c r="CA138" s="839">
        <f>SUM(BW138:BZ138)</f>
        <v>-256.48</v>
      </c>
      <c r="CB138" s="839"/>
      <c r="CC138" s="839">
        <f>-CC148</f>
        <v>0</v>
      </c>
      <c r="CD138" s="839">
        <f>-CD148</f>
        <v>0</v>
      </c>
      <c r="CE138" s="839">
        <f>-CE148</f>
        <v>-39</v>
      </c>
      <c r="CF138" s="839">
        <f>-CF148</f>
        <v>-24</v>
      </c>
      <c r="CG138" s="839">
        <f>SUM(CC138:CF138)</f>
        <v>-63</v>
      </c>
      <c r="CH138" s="839"/>
      <c r="CI138" s="839">
        <f>-CI148</f>
        <v>-58.8</v>
      </c>
      <c r="CJ138" s="839">
        <f>-CJ148</f>
        <v>-70</v>
      </c>
      <c r="CK138" s="839">
        <f>-CK148</f>
        <v>-74.825000000000003</v>
      </c>
      <c r="CL138" s="839">
        <f>-CL148</f>
        <v>-76.200000000000017</v>
      </c>
      <c r="CM138" s="839">
        <f>SUM(CI138:CL138)</f>
        <v>-279.82500000000005</v>
      </c>
      <c r="CN138" s="839"/>
      <c r="CO138" s="839">
        <f>-CO148</f>
        <v>-69</v>
      </c>
      <c r="CP138" s="839">
        <f>-CP148</f>
        <v>-100.80000000000001</v>
      </c>
      <c r="CQ138" s="839">
        <f>-CQ148</f>
        <v>-94.299999999999983</v>
      </c>
      <c r="CR138" s="839">
        <f>-CR148</f>
        <v>-63.699999999999989</v>
      </c>
      <c r="CS138" s="839">
        <f>SUM(CO138:CR138)</f>
        <v>-327.8</v>
      </c>
      <c r="CT138" s="839"/>
      <c r="CU138" s="839">
        <f>-CU148</f>
        <v>-99.2</v>
      </c>
      <c r="CV138" s="839">
        <f>-CV148</f>
        <v>-111.10000000000001</v>
      </c>
      <c r="CW138" s="839">
        <f>-CW148</f>
        <v>-130</v>
      </c>
      <c r="CX138" s="839">
        <f>-CX148</f>
        <v>-90.699999999999989</v>
      </c>
      <c r="CY138" s="839">
        <f>SUM(CU138:CX138)</f>
        <v>-431</v>
      </c>
      <c r="CZ138" s="839"/>
      <c r="DA138" s="839">
        <f>-DA148</f>
        <v>-129.19999999999999</v>
      </c>
      <c r="DB138" s="839">
        <f>-DB148</f>
        <v>-110.60000000000002</v>
      </c>
      <c r="DC138" s="839">
        <f>-DC148</f>
        <v>-78.899999999999977</v>
      </c>
      <c r="DD138" s="839">
        <f>-DD148</f>
        <v>-105.10000000000002</v>
      </c>
      <c r="DE138" s="839">
        <f>SUM(DA138:DD138)</f>
        <v>-423.8</v>
      </c>
      <c r="DF138" s="839"/>
      <c r="DG138" s="839">
        <f>-DG148</f>
        <v>-102.5</v>
      </c>
      <c r="DH138" s="839">
        <f>-DH148</f>
        <v>-101.80000000000001</v>
      </c>
      <c r="DI138" s="839">
        <f>-DI148</f>
        <v>-103.30000000000001</v>
      </c>
      <c r="DJ138" s="839">
        <f>-DJ148</f>
        <v>-64.799999999999955</v>
      </c>
      <c r="DK138" s="839">
        <f>SUM(DG138:DJ138)</f>
        <v>-372.4</v>
      </c>
      <c r="DL138" s="839"/>
      <c r="DM138" s="839">
        <f>-DM148</f>
        <v>-95.4</v>
      </c>
      <c r="DN138" s="839">
        <f>-DN148</f>
        <v>-112.29999999999998</v>
      </c>
      <c r="DO138" s="839">
        <f>-DO148</f>
        <v>-150</v>
      </c>
      <c r="DP138" s="839">
        <f>-DP148</f>
        <v>-151.90000000000003</v>
      </c>
      <c r="DQ138" s="839">
        <f>SUM(DM138:DP138)</f>
        <v>-509.6</v>
      </c>
      <c r="DR138" s="839"/>
      <c r="DS138" s="839">
        <f>-DS148</f>
        <v>-118.39999999999999</v>
      </c>
      <c r="DT138" s="839">
        <f>-DT148</f>
        <v>-170</v>
      </c>
      <c r="DU138" s="839">
        <f>-DU148</f>
        <v>-122</v>
      </c>
      <c r="DV138" s="839">
        <f>-DV148</f>
        <v>-222</v>
      </c>
      <c r="DW138">
        <f>SUM(DS138:DV138)</f>
        <v>-632.4</v>
      </c>
      <c r="DX138" s="602"/>
      <c r="DY138" s="839">
        <f>-DY148</f>
        <v>-195.9</v>
      </c>
      <c r="DZ138" s="839">
        <f>-DZ148</f>
        <v>-119.29999999999998</v>
      </c>
      <c r="EA138" s="839">
        <f>-EA148</f>
        <v>-122.69999999999999</v>
      </c>
      <c r="EB138" s="839">
        <f>-EB148</f>
        <v>-262</v>
      </c>
      <c r="EC138" s="1787">
        <f>SUM(DY138:EB138)</f>
        <v>-699.9</v>
      </c>
      <c r="ED138" s="602"/>
      <c r="EE138" s="2021">
        <f>-EE148</f>
        <v>-200.35227272727272</v>
      </c>
      <c r="EF138" s="2021">
        <f>-EF148</f>
        <v>-200.35227272727272</v>
      </c>
      <c r="EG138" s="2008">
        <f>-EG148</f>
        <v>-200.35227272727272</v>
      </c>
      <c r="EH138" s="2008">
        <f>-EH148</f>
        <v>-200.35227272727272</v>
      </c>
      <c r="EI138" s="2008">
        <f>SUM(EE138:EH138)</f>
        <v>-801.40909090909088</v>
      </c>
      <c r="EJ138" s="602"/>
      <c r="EK138" s="2117">
        <f>-EK148</f>
        <v>-225.39630681818181</v>
      </c>
      <c r="EL138" s="2117">
        <f>-EL148</f>
        <v>-225.39630681818181</v>
      </c>
      <c r="EM138" s="2117">
        <f>-EM148</f>
        <v>-225.39630681818181</v>
      </c>
      <c r="EN138" s="2117">
        <f>-EN148</f>
        <v>-225.39630681818181</v>
      </c>
      <c r="EO138" s="2117">
        <f>SUM(EK138:EN138)</f>
        <v>-901.58522727272725</v>
      </c>
      <c r="EP138" s="602"/>
      <c r="EQ138" s="2291">
        <f>-EQ148</f>
        <v>-253.57084517045453</v>
      </c>
      <c r="ER138" s="2291">
        <f>-ER148</f>
        <v>-253.57084517045453</v>
      </c>
      <c r="ES138" s="2291">
        <f>-ES148</f>
        <v>-253.57084517045453</v>
      </c>
      <c r="ET138" s="2291">
        <f>-ET148</f>
        <v>-253.57084517045453</v>
      </c>
      <c r="EU138" s="2291">
        <f>SUM(EQ138:ET138)</f>
        <v>-1014.2833806818181</v>
      </c>
      <c r="EV138" s="602"/>
      <c r="EW138" s="602"/>
      <c r="EX138" s="601"/>
      <c r="EY138" s="601"/>
      <c r="EZ138" s="601"/>
      <c r="FA138" s="601"/>
      <c r="FB138" s="601"/>
    </row>
    <row r="139" spans="1:164" ht="14.25" hidden="1" customHeight="1" outlineLevel="1">
      <c r="A139" s="131"/>
      <c r="B139" s="32"/>
      <c r="C139" s="353"/>
      <c r="D139" s="90"/>
      <c r="E139" s="90"/>
      <c r="F139" s="90"/>
      <c r="G139" s="61"/>
      <c r="H139" s="90"/>
      <c r="I139" s="90"/>
      <c r="J139" s="90"/>
      <c r="K139" s="500"/>
      <c r="L139" s="500"/>
      <c r="M139" s="500"/>
      <c r="N139" s="500"/>
      <c r="O139" s="501"/>
      <c r="P139" s="501"/>
      <c r="Q139" s="501"/>
      <c r="R139" s="501"/>
      <c r="S139" s="501"/>
      <c r="T139" s="500"/>
      <c r="U139" s="501"/>
      <c r="V139" s="501"/>
      <c r="W139" s="501"/>
      <c r="X139" s="501"/>
      <c r="Y139" s="501"/>
      <c r="Z139" s="500"/>
      <c r="AA139" s="501"/>
      <c r="AB139" s="501"/>
      <c r="AC139" s="501"/>
      <c r="AD139" s="501"/>
      <c r="AE139" s="501"/>
      <c r="AF139" s="500"/>
      <c r="AG139" s="501"/>
      <c r="AH139" s="501"/>
      <c r="AI139" s="501"/>
      <c r="AJ139" s="501"/>
      <c r="AK139" s="501"/>
      <c r="AL139" s="500"/>
      <c r="AM139" s="501"/>
      <c r="AN139" s="501"/>
      <c r="AO139" s="501"/>
      <c r="AP139" s="501"/>
      <c r="AQ139" s="501"/>
      <c r="AR139" s="500"/>
      <c r="AS139" s="501"/>
      <c r="AT139" s="501"/>
      <c r="AU139" s="501"/>
      <c r="AV139" s="501"/>
      <c r="AW139" s="501"/>
      <c r="AX139" s="361"/>
      <c r="AY139" s="501"/>
      <c r="AZ139" s="501"/>
      <c r="BA139" s="501"/>
      <c r="BB139" s="501"/>
      <c r="BC139" s="596"/>
      <c r="BD139" s="500"/>
      <c r="BE139" s="502"/>
      <c r="BF139" s="501"/>
      <c r="BG139" s="501"/>
      <c r="BH139" s="501"/>
      <c r="BI139" s="501"/>
      <c r="BJ139" s="500"/>
      <c r="BK139" s="502"/>
      <c r="BL139" s="501"/>
      <c r="BM139" s="501"/>
      <c r="BN139" s="501"/>
      <c r="BO139" s="502"/>
      <c r="BP139" s="500"/>
      <c r="BQ139" s="501"/>
      <c r="BR139" s="501"/>
      <c r="BS139" s="501"/>
      <c r="BT139" s="501"/>
      <c r="BU139" s="502"/>
      <c r="BV139" s="500"/>
      <c r="BW139" s="501"/>
      <c r="BX139" s="501"/>
      <c r="BY139" s="501"/>
      <c r="BZ139" s="501"/>
      <c r="CA139" s="502"/>
      <c r="CB139" s="500"/>
      <c r="CC139" s="501"/>
      <c r="CD139" s="501"/>
      <c r="CE139" s="501"/>
      <c r="CF139" s="501"/>
      <c r="CG139" s="502"/>
      <c r="CH139" s="500"/>
      <c r="CI139" s="501"/>
      <c r="CJ139" s="501"/>
      <c r="CK139" s="501"/>
      <c r="CL139" s="501"/>
      <c r="CM139" s="502"/>
      <c r="CN139" s="500"/>
      <c r="CO139" s="501"/>
      <c r="CP139" s="501"/>
      <c r="CQ139" s="501"/>
      <c r="CR139" s="501"/>
      <c r="CS139" s="502"/>
      <c r="CT139" s="500"/>
      <c r="CU139" s="501"/>
      <c r="CV139" s="501"/>
      <c r="CW139" s="501"/>
      <c r="CX139" s="501"/>
      <c r="CY139" s="502"/>
      <c r="CZ139" s="500"/>
      <c r="DA139" s="501"/>
      <c r="DB139" s="501"/>
      <c r="DC139" s="501"/>
      <c r="DD139" s="501"/>
      <c r="DE139" s="502"/>
      <c r="DF139" s="500"/>
      <c r="DG139" s="501"/>
      <c r="DH139" s="501"/>
      <c r="DI139" s="501"/>
      <c r="DJ139" s="501"/>
      <c r="DK139" s="502"/>
      <c r="DL139" s="500"/>
      <c r="DM139" s="501"/>
      <c r="DN139" s="501"/>
      <c r="DO139" s="501"/>
      <c r="DP139" s="501"/>
      <c r="DQ139" s="502"/>
      <c r="DR139" s="500"/>
      <c r="DS139" s="501"/>
      <c r="DT139" s="501"/>
      <c r="DU139" s="501"/>
      <c r="DV139" s="501"/>
      <c r="DW139" s="502"/>
      <c r="DX139" s="142"/>
      <c r="DY139" s="501"/>
      <c r="DZ139" s="501"/>
      <c r="EA139" s="501"/>
      <c r="EB139" s="501"/>
      <c r="EC139" s="502"/>
      <c r="ED139" s="142"/>
      <c r="EE139" s="501"/>
      <c r="EF139" s="501"/>
      <c r="EG139" s="501"/>
      <c r="EH139" s="501"/>
      <c r="EI139" s="502"/>
      <c r="EJ139" s="142"/>
      <c r="EK139" s="501"/>
      <c r="EL139" s="501"/>
      <c r="EM139" s="501"/>
      <c r="EN139" s="501"/>
      <c r="EO139" s="502"/>
      <c r="EP139" s="142"/>
      <c r="EQ139" s="501"/>
      <c r="ER139" s="501"/>
      <c r="ES139" s="501"/>
      <c r="ET139" s="501"/>
      <c r="EU139" s="502"/>
      <c r="EV139" s="142"/>
      <c r="EW139" s="142"/>
      <c r="EX139" s="126"/>
      <c r="EY139" s="126"/>
      <c r="EZ139" s="126"/>
      <c r="FA139" s="126"/>
      <c r="FB139" s="126"/>
    </row>
    <row r="140" spans="1:164" ht="14.25" hidden="1" customHeight="1" outlineLevel="1">
      <c r="A140" s="100" t="s">
        <v>480</v>
      </c>
      <c r="B140" s="32"/>
      <c r="C140" s="353"/>
      <c r="D140" s="90"/>
      <c r="E140" s="90"/>
      <c r="F140" s="90"/>
      <c r="G140" s="61"/>
      <c r="H140" s="90"/>
      <c r="I140" s="90"/>
      <c r="J140" s="90"/>
      <c r="K140" s="500"/>
      <c r="L140" s="500"/>
      <c r="M140" s="500"/>
      <c r="N140" s="500"/>
      <c r="O140" s="501"/>
      <c r="P140" s="501"/>
      <c r="Q140" s="501"/>
      <c r="R140" s="501"/>
      <c r="S140" s="501"/>
      <c r="T140" s="500"/>
      <c r="U140" s="501"/>
      <c r="V140" s="501"/>
      <c r="W140" s="501"/>
      <c r="X140" s="501"/>
      <c r="Y140" s="501"/>
      <c r="Z140" s="500"/>
      <c r="AA140" s="502">
        <f>AA133-AA147</f>
        <v>-3.76400000000001</v>
      </c>
      <c r="AB140" s="502">
        <f>AB133-AB147</f>
        <v>-2.7999999999999829</v>
      </c>
      <c r="AC140" s="502">
        <f>AC133-AC147</f>
        <v>-4.8000000000000114</v>
      </c>
      <c r="AD140" s="502">
        <f>AD133-AD147</f>
        <v>-6.7439999999999998</v>
      </c>
      <c r="AE140" s="502">
        <f>AE133-AE147</f>
        <v>-18.108000000000004</v>
      </c>
      <c r="AF140" s="511"/>
      <c r="AG140" s="502">
        <f>AG133-AG147</f>
        <v>-3.2560000000000002</v>
      </c>
      <c r="AH140" s="502">
        <f>AH133-AH147</f>
        <v>0.80000000000001137</v>
      </c>
      <c r="AI140" s="502">
        <f>AI133-AI147</f>
        <v>2.7999999999999829</v>
      </c>
      <c r="AJ140" s="502">
        <f>AJ133-AJ147</f>
        <v>3.3740000000000236</v>
      </c>
      <c r="AK140" s="502">
        <f>AK133-AK147</f>
        <v>3.7180000000000177</v>
      </c>
      <c r="AL140" s="511"/>
      <c r="AM140" s="502">
        <f>AM133-AM147</f>
        <v>6.8259999999999934</v>
      </c>
      <c r="AN140" s="502">
        <f>AN133-AN147</f>
        <v>-4.4000000000000057</v>
      </c>
      <c r="AO140" s="502">
        <f>AO133-AO147</f>
        <v>1.8000000000000114</v>
      </c>
      <c r="AP140" s="502">
        <f>AP133-AP147</f>
        <v>-2.2720000000000198</v>
      </c>
      <c r="AQ140" s="502">
        <f>AQ133-AQ147</f>
        <v>21.288</v>
      </c>
      <c r="AR140" s="511"/>
      <c r="AS140" s="502">
        <f>AS133-AS147</f>
        <v>-0.92799999999999727</v>
      </c>
      <c r="AT140" s="502">
        <f>AT133-AT147</f>
        <v>-2.4000000000000057</v>
      </c>
      <c r="AU140" s="502">
        <f>AU133-AU147</f>
        <v>4.4000000000000057</v>
      </c>
      <c r="AV140" s="502">
        <f>AV133-AV147</f>
        <v>-2.1599999999999966</v>
      </c>
      <c r="AW140" s="502">
        <f>AW133-AW147</f>
        <v>11.888000000000002</v>
      </c>
      <c r="AX140" s="511"/>
      <c r="AY140" s="502">
        <f>AY133-AY147</f>
        <v>3.5600000000000023</v>
      </c>
      <c r="AZ140" s="502">
        <f>AZ133-AZ147</f>
        <v>4.1999999999999886</v>
      </c>
      <c r="BA140" s="502">
        <f>BA133-BA147</f>
        <v>-1.6999999999999886</v>
      </c>
      <c r="BB140" s="502">
        <f>BB133-BB147</f>
        <v>-1.88900000000001</v>
      </c>
      <c r="BC140" s="502">
        <f>BC133-BC147</f>
        <v>4.1709999999999994</v>
      </c>
      <c r="BD140" s="500"/>
      <c r="BE140" s="502">
        <f>BE133-BE147</f>
        <v>0.98900000000000432</v>
      </c>
      <c r="BF140" s="502">
        <f>BF133-BF147</f>
        <v>-0.19999999999998863</v>
      </c>
      <c r="BG140" s="502">
        <f>BG133-BG147</f>
        <v>2.4000000000000057</v>
      </c>
      <c r="BH140" s="502">
        <f>BH133-BH147</f>
        <v>-1.2000000000000171</v>
      </c>
      <c r="BI140" s="502">
        <f>BI133-BI147</f>
        <v>1.9890000000000043</v>
      </c>
      <c r="BJ140" s="500"/>
      <c r="BK140" s="502">
        <f>BK133-BK147</f>
        <v>2.0999999999999943</v>
      </c>
      <c r="BL140" s="502">
        <f>BL133-BL147</f>
        <v>-0.69999999999998863</v>
      </c>
      <c r="BM140" s="502">
        <f>BM133-BM147</f>
        <v>0</v>
      </c>
      <c r="BN140" s="502">
        <f>BN133-BN147</f>
        <v>0</v>
      </c>
      <c r="BO140" s="502">
        <f>BO133-BO147</f>
        <v>1.4000000000000057</v>
      </c>
      <c r="BP140" s="500"/>
      <c r="BQ140" s="502">
        <f>BQ133-BQ147</f>
        <v>0.14895481519963027</v>
      </c>
      <c r="BR140" s="502">
        <f>BR133-BR147</f>
        <v>-2.1489548151996303</v>
      </c>
      <c r="BS140" s="502">
        <f>BS133-BS147</f>
        <v>1.9000000000000052</v>
      </c>
      <c r="BT140" s="502">
        <f>BT133-BT147</f>
        <v>-0.90000000000000568</v>
      </c>
      <c r="BU140" s="502">
        <f>BU133-BU147</f>
        <v>-1.0000000000000018</v>
      </c>
      <c r="BV140" s="500"/>
      <c r="BW140" s="502">
        <f>BW133-BW147</f>
        <v>-6.3839999999999861</v>
      </c>
      <c r="BX140" s="502">
        <f>BX133-BX147</f>
        <v>0.91199999999997772</v>
      </c>
      <c r="BY140" s="502">
        <f>BY133-BY147</f>
        <v>1.7199999999999989</v>
      </c>
      <c r="BZ140" s="502">
        <f>BZ133-BZ147</f>
        <v>0.10600000000002296</v>
      </c>
      <c r="CA140" s="502">
        <f>CA133-CA147</f>
        <v>-3.6459999999999866</v>
      </c>
      <c r="CB140" s="500"/>
      <c r="CC140" s="502">
        <f>CC133-CC147</f>
        <v>1.8649999999999807</v>
      </c>
      <c r="CD140" s="502">
        <f>CD133-CD147</f>
        <v>1.1810000000000116</v>
      </c>
      <c r="CE140" s="502">
        <f>CE133-CE147</f>
        <v>0.19999999999998863</v>
      </c>
      <c r="CF140" s="502">
        <f>CF133-CF147</f>
        <v>-0.59999999999999432</v>
      </c>
      <c r="CG140" s="502">
        <f>CG133-CG147</f>
        <v>2.6459999999999866</v>
      </c>
      <c r="CH140" s="500"/>
      <c r="CI140" s="502">
        <f>CI133-CI147</f>
        <v>0</v>
      </c>
      <c r="CJ140" s="502">
        <f>CJ133-CJ147</f>
        <v>-1.7165310000000034</v>
      </c>
      <c r="CK140" s="502">
        <f>CK133-CK147</f>
        <v>-1.2716620409077848</v>
      </c>
      <c r="CL140" s="502">
        <f>CL133-CL147</f>
        <v>-0.77166204090778479</v>
      </c>
      <c r="CM140" s="502">
        <f>CM133-CM147</f>
        <v>-3.7598550818155729</v>
      </c>
      <c r="CN140" s="500"/>
      <c r="CO140" s="502">
        <f>CO133-CO147</f>
        <v>3.7598550818155729</v>
      </c>
      <c r="CP140" s="502">
        <f>CP133-CP147</f>
        <v>0.5</v>
      </c>
      <c r="CQ140" s="502">
        <f>CQ133-CQ147</f>
        <v>-2.2250000000000001</v>
      </c>
      <c r="CR140" s="502">
        <f>CR133-CR147</f>
        <v>-0.72499999999999432</v>
      </c>
      <c r="CS140" s="502">
        <f>CS133-CS147</f>
        <v>1.309855081815579</v>
      </c>
      <c r="CT140" s="500"/>
      <c r="CU140" s="502">
        <f>CU133-CU147</f>
        <v>1.4499999999999886</v>
      </c>
      <c r="CV140" s="502">
        <f>CV133-CV147</f>
        <v>-1</v>
      </c>
      <c r="CW140" s="502">
        <f>CW133-CW147</f>
        <v>-1.4500000000000002</v>
      </c>
      <c r="CX140" s="502">
        <f>CX133-CX147</f>
        <v>-5.0000000000000266E-2</v>
      </c>
      <c r="CY140" s="502">
        <f>SUM(CU140:CX140)</f>
        <v>-1.0500000000000118</v>
      </c>
      <c r="CZ140" s="500"/>
      <c r="DA140" s="502">
        <f>DA133-DA147</f>
        <v>-0.65000000000000036</v>
      </c>
      <c r="DB140" s="502">
        <f>DB133-DB147</f>
        <v>-1.8000000000000114</v>
      </c>
      <c r="DC140" s="502">
        <f>DC133-DC147</f>
        <v>0.54999999999999982</v>
      </c>
      <c r="DD140" s="502">
        <f>DD133-DD147</f>
        <v>2.5599999999999996</v>
      </c>
      <c r="DE140" s="502">
        <f>DE133-DE147</f>
        <v>0.65999999999998771</v>
      </c>
      <c r="DF140" s="500"/>
      <c r="DG140" s="502">
        <f>DG133-DG147</f>
        <v>2.76</v>
      </c>
      <c r="DH140" s="502">
        <f>DH133-DH147</f>
        <v>2.8446660395108179</v>
      </c>
      <c r="DI140" s="502">
        <f>DI133-DI147</f>
        <v>2.8509258917020879</v>
      </c>
      <c r="DJ140" s="502">
        <f>DJ133-DJ147</f>
        <v>3.6665136685791433</v>
      </c>
      <c r="DK140" s="502">
        <f>DK133-DK147</f>
        <v>12.12210559979205</v>
      </c>
      <c r="DL140" s="500"/>
      <c r="DM140" s="502">
        <f>DM133-DM147</f>
        <v>3.1599999999999997</v>
      </c>
      <c r="DN140" s="502">
        <f>DN133-DN147</f>
        <v>2.6599999999999997</v>
      </c>
      <c r="DO140" s="502">
        <f>DO133-DO147</f>
        <v>1.5599999999999996</v>
      </c>
      <c r="DP140" s="502">
        <f>DP133-DP147</f>
        <v>1.5599999999999996</v>
      </c>
      <c r="DQ140" s="502">
        <f>DQ133-DQ147</f>
        <v>8.9399999999999977</v>
      </c>
      <c r="DR140" s="500"/>
      <c r="DS140" s="502">
        <f>DS133-DS147</f>
        <v>3.1599999999999997</v>
      </c>
      <c r="DT140" s="502">
        <f>DT133-DT147</f>
        <v>1.7599999999999998</v>
      </c>
      <c r="DU140" s="502">
        <f>DU133-DU147</f>
        <v>2.5599999999999996</v>
      </c>
      <c r="DV140" s="502">
        <f>DV133-DV147</f>
        <v>1.8599999999999999</v>
      </c>
      <c r="DW140" s="502">
        <f>DW133-DW147</f>
        <v>9.34</v>
      </c>
      <c r="DX140" s="142"/>
      <c r="DY140" s="502">
        <f>DY133-DY147</f>
        <v>2.5599999999999996</v>
      </c>
      <c r="DZ140" s="502">
        <f>DZ133-DZ147</f>
        <v>3.5599999999999996</v>
      </c>
      <c r="EA140" s="502">
        <f>EA133-EA147</f>
        <v>3.6739999999999995</v>
      </c>
      <c r="EB140" s="502">
        <f>EB133-EB147</f>
        <v>2.2799999999999998</v>
      </c>
      <c r="EC140" s="502">
        <f>EC133-EC147</f>
        <v>12.073999999999998</v>
      </c>
      <c r="ED140" s="142"/>
      <c r="EE140" s="502">
        <f>EE133-EE147</f>
        <v>2.76</v>
      </c>
      <c r="EF140" s="502">
        <f>EF133-EF147</f>
        <v>2.76</v>
      </c>
      <c r="EG140" s="502">
        <f>EG133-EG147</f>
        <v>2.76</v>
      </c>
      <c r="EH140" s="502">
        <f>EH133-EH147</f>
        <v>2.76</v>
      </c>
      <c r="EI140" s="502">
        <f>EI133-EI147</f>
        <v>11.04</v>
      </c>
      <c r="EJ140" s="142"/>
      <c r="EK140" s="502">
        <f>EK133-EK147</f>
        <v>2.76</v>
      </c>
      <c r="EL140" s="502">
        <f>EL133-EL147</f>
        <v>2.76</v>
      </c>
      <c r="EM140" s="502">
        <f>EM133-EM147</f>
        <v>2.76</v>
      </c>
      <c r="EN140" s="502">
        <f>EN133-EN147</f>
        <v>2.76</v>
      </c>
      <c r="EO140" s="502">
        <f>EO133-EO147</f>
        <v>11.04</v>
      </c>
      <c r="EP140" s="142"/>
      <c r="EQ140" s="502">
        <f>EQ133-EQ147</f>
        <v>2.76</v>
      </c>
      <c r="ER140" s="502">
        <f>ER133-ER147</f>
        <v>2.76</v>
      </c>
      <c r="ES140" s="502">
        <f>ES133-ES147</f>
        <v>2.76</v>
      </c>
      <c r="ET140" s="502">
        <f>ET133-ET147</f>
        <v>2.76</v>
      </c>
      <c r="EU140" s="502">
        <f>EU133-EU147</f>
        <v>11.04</v>
      </c>
      <c r="EV140" s="142"/>
      <c r="EW140" s="142"/>
      <c r="EX140" s="126"/>
      <c r="EY140" s="126"/>
      <c r="EZ140" s="126"/>
      <c r="FA140" s="126"/>
      <c r="FB140" s="126"/>
    </row>
    <row r="141" spans="1:164" s="1781" customFormat="1" ht="12" hidden="1" customHeight="1" outlineLevel="1">
      <c r="A141" s="2010" t="s">
        <v>481</v>
      </c>
      <c r="B141" s="2011"/>
      <c r="C141" s="2012"/>
      <c r="D141" s="2012"/>
      <c r="E141" s="2012"/>
      <c r="F141" s="2012"/>
      <c r="G141" s="2013"/>
      <c r="H141" s="2012"/>
      <c r="I141" s="2012"/>
      <c r="J141" s="2012"/>
      <c r="K141" s="2010"/>
      <c r="L141" s="2010"/>
      <c r="M141" s="2010"/>
      <c r="N141" s="2010"/>
      <c r="O141" s="2014">
        <v>11.181547</v>
      </c>
      <c r="P141" s="2014">
        <v>10.06311</v>
      </c>
      <c r="Q141" s="2014">
        <v>6.8180290000000001</v>
      </c>
      <c r="R141" s="2014">
        <v>9.9404000000000003</v>
      </c>
      <c r="S141" s="2014">
        <v>9.4919400000000014</v>
      </c>
      <c r="T141" s="2010"/>
      <c r="U141" s="2014">
        <v>9.3276289999999999</v>
      </c>
      <c r="V141" s="2014">
        <v>8.5241869999999995</v>
      </c>
      <c r="W141" s="2014">
        <v>5.6120190000000001</v>
      </c>
      <c r="X141" s="2014">
        <v>7.0931919999999993</v>
      </c>
      <c r="Y141" s="2014">
        <v>7.1860079999999993</v>
      </c>
      <c r="Z141" s="2010"/>
      <c r="AA141" s="2014">
        <v>10.685736</v>
      </c>
      <c r="AB141" s="2014">
        <v>8.2722169999999995</v>
      </c>
      <c r="AC141" s="2014">
        <v>6.1627400000000003</v>
      </c>
      <c r="AD141" s="2014">
        <v>7.0844879999999995</v>
      </c>
      <c r="AE141" s="2014">
        <v>8.0291119999999996</v>
      </c>
      <c r="AF141" s="2010"/>
      <c r="AG141" s="2014">
        <v>8.543823999999999</v>
      </c>
      <c r="AH141" s="2014">
        <v>8.7869139999999994</v>
      </c>
      <c r="AI141" s="2014">
        <v>8.8125409999999995</v>
      </c>
      <c r="AJ141" s="2014">
        <v>9.496613</v>
      </c>
      <c r="AK141" s="2014">
        <v>8.9120860000000004</v>
      </c>
      <c r="AL141" s="2010"/>
      <c r="AM141" s="2014">
        <v>10.576188</v>
      </c>
      <c r="AN141" s="2014">
        <v>6.7590620000000001</v>
      </c>
      <c r="AO141" s="2014">
        <v>6.3055369999999993</v>
      </c>
      <c r="AP141" s="2014">
        <v>7.2674919999999998</v>
      </c>
      <c r="AQ141" s="2014">
        <v>7.7012719999999995</v>
      </c>
      <c r="AR141" s="2010"/>
      <c r="AS141" s="2014">
        <v>7.5063789999999999</v>
      </c>
      <c r="AT141" s="2014">
        <v>7.9025629999999998</v>
      </c>
      <c r="AU141" s="2014">
        <v>8.7740000000000009</v>
      </c>
      <c r="AV141" s="2014">
        <v>11.757741999999999</v>
      </c>
      <c r="AW141" s="2014">
        <v>8.9714069999999992</v>
      </c>
      <c r="AX141" s="2010"/>
      <c r="AY141" s="2014">
        <v>14.913360000000001</v>
      </c>
      <c r="AZ141" s="2014">
        <v>18.79655</v>
      </c>
      <c r="BA141" s="2014">
        <v>22.713230000000003</v>
      </c>
      <c r="BB141" s="2014">
        <v>32.565640000000002</v>
      </c>
      <c r="BC141" s="2014">
        <v>22.252080000000003</v>
      </c>
      <c r="BD141" s="2015"/>
      <c r="BE141" s="2014">
        <v>30.516780000000004</v>
      </c>
      <c r="BF141" s="2014">
        <v>35.580390000000001</v>
      </c>
      <c r="BG141" s="2014">
        <v>41.801250000000003</v>
      </c>
      <c r="BH141" s="2014">
        <v>43.50788</v>
      </c>
      <c r="BI141" s="2014">
        <v>37.851575000000004</v>
      </c>
      <c r="BJ141" s="2015"/>
      <c r="BK141" s="2014">
        <v>39.092950000000002</v>
      </c>
      <c r="BL141" s="2014">
        <v>35.177030000000002</v>
      </c>
      <c r="BM141" s="2014">
        <v>34.527500000000003</v>
      </c>
      <c r="BN141" s="2014">
        <v>40.569840000000006</v>
      </c>
      <c r="BO141" s="2014">
        <v>37.341830000000002</v>
      </c>
      <c r="BP141" s="2015"/>
      <c r="BQ141" s="2014">
        <v>40.143120000000003</v>
      </c>
      <c r="BR141" s="2014">
        <v>44.94547</v>
      </c>
      <c r="BS141" s="2014">
        <v>46.931100000000001</v>
      </c>
      <c r="BT141" s="2014">
        <v>46.469840000000005</v>
      </c>
      <c r="BU141" s="2014">
        <v>44.622382500000008</v>
      </c>
      <c r="BV141" s="2015"/>
      <c r="BW141" s="2014">
        <v>34.86739</v>
      </c>
      <c r="BX141" s="2014">
        <v>37.160940000000004</v>
      </c>
      <c r="BY141" s="2014">
        <v>31.542340000000003</v>
      </c>
      <c r="BZ141" s="2014">
        <v>18.194190000000003</v>
      </c>
      <c r="CA141" s="2014">
        <v>30.441215000000003</v>
      </c>
      <c r="CB141" s="2015"/>
      <c r="CC141" s="2014">
        <v>16.094440000000002</v>
      </c>
      <c r="CD141" s="2014">
        <v>20.238910000000001</v>
      </c>
      <c r="CE141" s="2014">
        <v>24.090320000000002</v>
      </c>
      <c r="CF141" s="2014">
        <v>25.1921</v>
      </c>
      <c r="CG141" s="2014">
        <v>21.403942499999999</v>
      </c>
      <c r="CH141" s="2015"/>
      <c r="CI141" s="2014">
        <v>28.918650000000003</v>
      </c>
      <c r="CJ141" s="2014">
        <v>28.333400000000001</v>
      </c>
      <c r="CK141" s="2014">
        <v>31.045650000000002</v>
      </c>
      <c r="CL141" s="2014">
        <v>38.127420000000001</v>
      </c>
      <c r="CM141" s="2014">
        <v>31.606280000000002</v>
      </c>
      <c r="CN141" s="2015"/>
      <c r="CO141" s="2014">
        <v>28.918650000000003</v>
      </c>
      <c r="CP141" s="2014">
        <v>28.333400000000001</v>
      </c>
      <c r="CQ141" s="2014" t="e">
        <f ca="1">_xll.FDSB("adsk","P_PRICE_AVG(8/1/10,10/30/10)")</f>
        <v>#NAME?</v>
      </c>
      <c r="CR141" s="2014">
        <f>CR150</f>
        <v>31.849999999999994</v>
      </c>
      <c r="CS141" s="2014" t="e">
        <f ca="1">AVERAGE(CO141:CR141)</f>
        <v>#NAME?</v>
      </c>
      <c r="CT141" s="2015"/>
      <c r="CU141" s="2014">
        <f>CR141*1.05</f>
        <v>33.442499999999995</v>
      </c>
      <c r="CV141" s="2014">
        <f>CU141</f>
        <v>33.442499999999995</v>
      </c>
      <c r="CW141" s="2014">
        <f>CV141</f>
        <v>33.442499999999995</v>
      </c>
      <c r="CX141" s="2014">
        <f>CX150</f>
        <v>34.88461538461538</v>
      </c>
      <c r="CY141" s="2014">
        <f>AVERAGE(CU141:CX141)</f>
        <v>33.803028846153843</v>
      </c>
      <c r="CZ141" s="2015"/>
      <c r="DA141" s="2014">
        <f>CX141*1.05</f>
        <v>36.628846153846148</v>
      </c>
      <c r="DB141" s="2014">
        <f>DA141</f>
        <v>36.628846153846148</v>
      </c>
      <c r="DC141" s="2014">
        <f>DB141</f>
        <v>36.628846153846148</v>
      </c>
      <c r="DD141" s="2014">
        <f>DC141</f>
        <v>36.628846153846148</v>
      </c>
      <c r="DE141" s="2014">
        <f>AVERAGE(DA141:DD141)</f>
        <v>36.628846153846148</v>
      </c>
      <c r="DF141" s="2015"/>
      <c r="DG141" s="2014">
        <f>DD141*1.05</f>
        <v>38.460288461538454</v>
      </c>
      <c r="DH141" s="2014">
        <f>DG141</f>
        <v>38.460288461538454</v>
      </c>
      <c r="DI141" s="2014">
        <f>DH141</f>
        <v>38.460288461538454</v>
      </c>
      <c r="DJ141" s="2014">
        <f>DI141</f>
        <v>38.460288461538454</v>
      </c>
      <c r="DK141" s="2014">
        <f>AVERAGE(DG141:DJ141)</f>
        <v>38.460288461538454</v>
      </c>
      <c r="DL141" s="2015"/>
      <c r="DM141" s="2014">
        <f>DJ141*1.05</f>
        <v>40.383302884615375</v>
      </c>
      <c r="DN141" s="2014">
        <f>DM141</f>
        <v>40.383302884615375</v>
      </c>
      <c r="DO141" s="2014">
        <f>DN141</f>
        <v>40.383302884615375</v>
      </c>
      <c r="DP141" s="2014">
        <f>DO141</f>
        <v>40.383302884615375</v>
      </c>
      <c r="DQ141" s="2014">
        <f>AVERAGE(DM141:DP141)</f>
        <v>40.383302884615375</v>
      </c>
      <c r="DR141" s="2015"/>
      <c r="DS141" s="2014">
        <f>DP141*1.05</f>
        <v>42.402468028846144</v>
      </c>
      <c r="DT141" s="2014">
        <f>DS141</f>
        <v>42.402468028846144</v>
      </c>
      <c r="DU141" s="2014">
        <f>DT141</f>
        <v>42.402468028846144</v>
      </c>
      <c r="DV141" s="2014">
        <f>DU141</f>
        <v>42.402468028846144</v>
      </c>
      <c r="DW141" s="2014">
        <f>AVERAGE(DS141:DV141)</f>
        <v>42.402468028846144</v>
      </c>
      <c r="DX141" s="2016"/>
      <c r="DY141" s="2014">
        <f>DV141*1.05</f>
        <v>44.52259143028845</v>
      </c>
      <c r="DZ141" s="2014">
        <f>DY141</f>
        <v>44.52259143028845</v>
      </c>
      <c r="EA141" s="2014">
        <f>DZ141</f>
        <v>44.52259143028845</v>
      </c>
      <c r="EB141" s="2014">
        <f>EA141</f>
        <v>44.52259143028845</v>
      </c>
      <c r="EC141" s="2014">
        <f>AVERAGE(DY141:EB141)</f>
        <v>44.52259143028845</v>
      </c>
      <c r="ED141" s="2016"/>
      <c r="EE141" s="2014">
        <v>45.78146770297986</v>
      </c>
      <c r="EF141" s="2014">
        <v>47.075938702281618</v>
      </c>
      <c r="EG141" s="2014">
        <v>48.40701086908863</v>
      </c>
      <c r="EH141" s="2014">
        <v>49.775719101412115</v>
      </c>
      <c r="EI141" s="2014">
        <f>AVERAGE(EE141:EH141)</f>
        <v>47.760034093940554</v>
      </c>
      <c r="EJ141" s="2016"/>
      <c r="EK141" s="2014">
        <v>51.183127559004546</v>
      </c>
      <c r="EL141" s="2014">
        <v>52.630330490735403</v>
      </c>
      <c r="EM141" s="2014">
        <v>54.118453085360947</v>
      </c>
      <c r="EN141" s="2014">
        <v>55.648652346349529</v>
      </c>
      <c r="EO141" s="2014">
        <f>AVERAGE(EK141:EN141)</f>
        <v>53.39514087036261</v>
      </c>
      <c r="EP141" s="2016"/>
      <c r="EQ141" s="2014">
        <v>57.222117991442566</v>
      </c>
      <c r="ER141" s="2014">
        <v>58.840073377650604</v>
      </c>
      <c r="ES141" s="2014">
        <v>60.503776452403677</v>
      </c>
      <c r="ET141" s="2014">
        <v>62.214520731595393</v>
      </c>
      <c r="EU141" s="2014">
        <f>AVERAGE(EQ141:ET141)</f>
        <v>59.695122138273064</v>
      </c>
      <c r="EV141" s="2017"/>
      <c r="EW141" s="2017"/>
      <c r="EX141" s="2017"/>
      <c r="EY141" s="2018"/>
      <c r="EZ141" s="2018"/>
      <c r="FA141" s="2018"/>
      <c r="FB141" s="2018"/>
      <c r="FC141"/>
      <c r="FD141"/>
      <c r="FE141"/>
      <c r="FF141"/>
      <c r="FG141"/>
      <c r="FH141"/>
    </row>
    <row r="142" spans="1:164" ht="14.25" hidden="1" customHeight="1" outlineLevel="1">
      <c r="A142" s="143"/>
      <c r="B142" s="32"/>
      <c r="C142" s="353"/>
      <c r="D142" s="90"/>
      <c r="E142" s="90"/>
      <c r="F142" s="90"/>
      <c r="G142" s="61"/>
      <c r="H142" s="90"/>
      <c r="I142" s="90"/>
      <c r="J142" s="90"/>
      <c r="K142" s="500"/>
      <c r="L142" s="500"/>
      <c r="M142" s="500"/>
      <c r="N142" s="500"/>
      <c r="O142" s="509"/>
      <c r="P142" s="509"/>
      <c r="Q142" s="509"/>
      <c r="R142" s="509"/>
      <c r="S142" s="509"/>
      <c r="T142" s="500"/>
      <c r="U142" s="509"/>
      <c r="V142" s="509"/>
      <c r="W142" s="509"/>
      <c r="X142" s="509"/>
      <c r="Y142" s="509"/>
      <c r="Z142" s="500"/>
      <c r="AA142" s="509"/>
      <c r="AB142" s="509"/>
      <c r="AC142" s="509"/>
      <c r="AD142" s="509"/>
      <c r="AE142" s="509"/>
      <c r="AF142" s="500"/>
      <c r="AG142" s="509"/>
      <c r="AH142" s="509"/>
      <c r="AI142" s="509"/>
      <c r="AJ142" s="509"/>
      <c r="AK142" s="509"/>
      <c r="AL142" s="500"/>
      <c r="AM142" s="509"/>
      <c r="AN142" s="509"/>
      <c r="AO142" s="509"/>
      <c r="AP142" s="509"/>
      <c r="AQ142" s="509"/>
      <c r="AR142" s="500"/>
      <c r="AS142" s="509"/>
      <c r="AT142" s="509"/>
      <c r="AU142" s="509"/>
      <c r="AV142" s="509"/>
      <c r="AW142" s="509"/>
      <c r="AX142" s="361"/>
      <c r="AY142" s="509"/>
      <c r="AZ142" s="509"/>
      <c r="BA142" s="509"/>
      <c r="BB142" s="509"/>
      <c r="BC142" s="509"/>
      <c r="BD142" s="500"/>
      <c r="BE142" s="509"/>
      <c r="BF142" s="501"/>
      <c r="BG142" s="501"/>
      <c r="BH142" s="501"/>
      <c r="BI142" s="503"/>
      <c r="BJ142" s="500"/>
      <c r="BK142" s="509"/>
      <c r="BL142" s="501"/>
      <c r="BM142" s="501"/>
      <c r="BN142" s="501"/>
      <c r="BO142" s="502"/>
      <c r="BP142" s="500"/>
      <c r="BQ142" s="501"/>
      <c r="BR142" s="501"/>
      <c r="BS142" s="501"/>
      <c r="BT142" s="501"/>
      <c r="BU142" s="502"/>
      <c r="BV142" s="500"/>
      <c r="BW142" s="501"/>
      <c r="BX142" s="501"/>
      <c r="BY142" s="501"/>
      <c r="BZ142" s="501"/>
      <c r="CA142" s="502"/>
      <c r="CB142" s="500"/>
      <c r="CC142" s="501"/>
      <c r="CD142" s="501"/>
      <c r="CE142" s="501"/>
      <c r="CF142" s="501"/>
      <c r="CG142" s="502"/>
      <c r="CH142" s="500"/>
      <c r="CI142" s="501"/>
      <c r="CJ142" s="501"/>
      <c r="CK142" s="501"/>
      <c r="CL142" s="501"/>
      <c r="CM142" s="502"/>
      <c r="CN142" s="500"/>
      <c r="CO142" s="501"/>
      <c r="CP142" s="501"/>
      <c r="CQ142" s="501"/>
      <c r="CR142" s="501"/>
      <c r="CS142" s="502"/>
      <c r="CT142" s="500"/>
      <c r="CU142" s="501"/>
      <c r="CV142" s="501"/>
      <c r="CW142" s="501"/>
      <c r="CX142" s="501"/>
      <c r="CY142" s="502"/>
      <c r="CZ142" s="500"/>
      <c r="DA142" s="501"/>
      <c r="DB142" s="501"/>
      <c r="DC142" s="501"/>
      <c r="DD142" s="501"/>
      <c r="DE142" s="502"/>
      <c r="DF142" s="500"/>
      <c r="DG142" s="501"/>
      <c r="DH142" s="501"/>
      <c r="DI142" s="501"/>
      <c r="DJ142" s="501"/>
      <c r="DK142" s="502"/>
      <c r="DL142" s="500"/>
      <c r="DM142" s="501"/>
      <c r="DN142" s="501"/>
      <c r="DO142" s="501"/>
      <c r="DP142" s="501"/>
      <c r="DQ142" s="502"/>
      <c r="DR142" s="500"/>
      <c r="DS142" s="501"/>
      <c r="DT142" s="501"/>
      <c r="DU142" s="501"/>
      <c r="DV142" s="501"/>
      <c r="DW142" s="502"/>
      <c r="DX142" s="142"/>
      <c r="DY142" s="501"/>
      <c r="DZ142" s="501"/>
      <c r="EA142" s="501"/>
      <c r="EB142" s="501"/>
      <c r="EC142" s="502"/>
      <c r="ED142" s="142"/>
      <c r="EE142" s="501"/>
      <c r="EF142" s="501"/>
      <c r="EG142" s="501"/>
      <c r="EH142" s="501"/>
      <c r="EI142" s="502"/>
      <c r="EJ142" s="142"/>
      <c r="EK142" s="501"/>
      <c r="EL142" s="501"/>
      <c r="EM142" s="501"/>
      <c r="EN142" s="501"/>
      <c r="EO142" s="502"/>
      <c r="EP142" s="142"/>
      <c r="EQ142" s="501"/>
      <c r="ER142" s="501"/>
      <c r="ES142" s="501"/>
      <c r="ET142" s="501"/>
      <c r="EU142" s="502"/>
      <c r="EV142" s="142"/>
      <c r="EW142" s="142"/>
      <c r="EX142" s="126"/>
      <c r="EY142" s="126"/>
      <c r="EZ142" s="126"/>
      <c r="FA142" s="126"/>
      <c r="FB142" s="126"/>
    </row>
    <row r="143" spans="1:164" ht="14.25" hidden="1" customHeight="1" outlineLevel="1">
      <c r="A143" s="143" t="s">
        <v>88</v>
      </c>
      <c r="B143" s="32"/>
      <c r="C143" s="353"/>
      <c r="D143" s="90"/>
      <c r="E143" s="90"/>
      <c r="F143" s="90"/>
      <c r="G143" s="61"/>
      <c r="H143" s="90"/>
      <c r="I143" s="90"/>
      <c r="J143" s="90"/>
      <c r="K143" s="500"/>
      <c r="L143" s="500"/>
      <c r="M143" s="500"/>
      <c r="N143" s="500"/>
      <c r="O143" s="501">
        <v>407.06400000000002</v>
      </c>
      <c r="P143" s="501">
        <f>O144</f>
        <v>342.31</v>
      </c>
      <c r="Q143" s="501">
        <f>P144</f>
        <v>337.28399999999999</v>
      </c>
      <c r="R143" s="501">
        <f>Q144</f>
        <v>345.73500000000001</v>
      </c>
      <c r="S143" s="503">
        <f>O143</f>
        <v>407.06400000000002</v>
      </c>
      <c r="T143" s="500"/>
      <c r="U143" s="501">
        <f>R44</f>
        <v>470.80099999999999</v>
      </c>
      <c r="V143" s="501">
        <f>U144</f>
        <v>605.03800000000001</v>
      </c>
      <c r="W143" s="501">
        <f>V144</f>
        <v>611.39</v>
      </c>
      <c r="X143" s="501">
        <f>W144</f>
        <v>620.125</v>
      </c>
      <c r="Y143" s="503">
        <f>U143</f>
        <v>470.80099999999999</v>
      </c>
      <c r="Z143" s="500"/>
      <c r="AA143" s="501">
        <f>X44</f>
        <v>561.81399999999996</v>
      </c>
      <c r="AB143" s="501">
        <f>AA144</f>
        <v>545.44299999999998</v>
      </c>
      <c r="AC143" s="501">
        <f>AB144</f>
        <v>514.99599999999998</v>
      </c>
      <c r="AD143" s="501">
        <f>AC144</f>
        <v>473.00400000000002</v>
      </c>
      <c r="AE143" s="503">
        <f>AA143</f>
        <v>561.81399999999996</v>
      </c>
      <c r="AF143" s="500"/>
      <c r="AG143" s="501">
        <f>AD44</f>
        <v>424.65199999999999</v>
      </c>
      <c r="AH143" s="501">
        <f>AG144</f>
        <v>407.82</v>
      </c>
      <c r="AI143" s="501">
        <f>AH144</f>
        <v>417.81099999999998</v>
      </c>
      <c r="AJ143" s="501">
        <f>AI144</f>
        <v>433.77699999999999</v>
      </c>
      <c r="AK143" s="503">
        <f>AG143</f>
        <v>424.65199999999999</v>
      </c>
      <c r="AL143" s="500"/>
      <c r="AM143" s="501">
        <f>AJ44</f>
        <v>458.13499999999999</v>
      </c>
      <c r="AN143" s="501">
        <f>AM144</f>
        <v>522.68399999999997</v>
      </c>
      <c r="AO143" s="501">
        <f>AN144</f>
        <v>497.74900000000002</v>
      </c>
      <c r="AP143" s="501">
        <f>AO144</f>
        <v>501.11200000000002</v>
      </c>
      <c r="AQ143" s="503">
        <f>AM143</f>
        <v>458.13499999999999</v>
      </c>
      <c r="AR143" s="500"/>
      <c r="AS143" s="501">
        <f>AP44</f>
        <v>479.87400000000002</v>
      </c>
      <c r="AT143" s="501">
        <f>AS144</f>
        <v>470.041</v>
      </c>
      <c r="AU143" s="501">
        <f>AT144</f>
        <v>463.14800000000002</v>
      </c>
      <c r="AV143" s="501">
        <f>AU144</f>
        <v>468.9</v>
      </c>
      <c r="AW143" s="503">
        <f>AS143</f>
        <v>479.87400000000002</v>
      </c>
      <c r="AX143" s="361"/>
      <c r="AY143" s="501">
        <f>AV44</f>
        <v>473.673</v>
      </c>
      <c r="AZ143" s="501">
        <f>AY144</f>
        <v>547.6</v>
      </c>
      <c r="BA143" s="501">
        <f>AZ144</f>
        <v>559.1</v>
      </c>
      <c r="BB143" s="501">
        <f>BA144</f>
        <v>632.29999999999995</v>
      </c>
      <c r="BC143" s="503">
        <f>AY143</f>
        <v>473.673</v>
      </c>
      <c r="BD143" s="500"/>
      <c r="BE143" s="501">
        <f>BB44</f>
        <v>656.2</v>
      </c>
      <c r="BF143" s="501">
        <f>BE144</f>
        <v>694.8</v>
      </c>
      <c r="BG143" s="501">
        <f>BF144</f>
        <v>719.3</v>
      </c>
      <c r="BH143" s="501">
        <f>BG144</f>
        <v>783.6</v>
      </c>
      <c r="BI143" s="503">
        <f>BE143</f>
        <v>656.2</v>
      </c>
      <c r="BJ143" s="500"/>
      <c r="BK143" s="501">
        <f>BH44</f>
        <v>803.8</v>
      </c>
      <c r="BL143" s="501">
        <f>BK144</f>
        <v>835.1</v>
      </c>
      <c r="BM143" s="501">
        <f>BL144</f>
        <v>842.1</v>
      </c>
      <c r="BN143" s="501">
        <f>BM144</f>
        <v>890</v>
      </c>
      <c r="BO143" s="503">
        <f>BK143</f>
        <v>803.8</v>
      </c>
      <c r="BP143" s="500"/>
      <c r="BQ143" s="501">
        <f>BN44</f>
        <v>908.3</v>
      </c>
      <c r="BR143" s="501">
        <f>BQ144</f>
        <v>921.8</v>
      </c>
      <c r="BS143" s="501">
        <f>BR144</f>
        <v>927.5</v>
      </c>
      <c r="BT143" s="501">
        <f>BS144</f>
        <v>987.9</v>
      </c>
      <c r="BU143" s="503">
        <f>BQ143</f>
        <v>908.3</v>
      </c>
      <c r="BV143" s="500"/>
      <c r="BW143" s="501">
        <f>BT44</f>
        <v>998.3</v>
      </c>
      <c r="BX143" s="501">
        <f>BW144</f>
        <v>962.7</v>
      </c>
      <c r="BY143" s="501">
        <f>BX144</f>
        <v>997.6</v>
      </c>
      <c r="BZ143" s="501">
        <f>BY144</f>
        <v>1059.2</v>
      </c>
      <c r="CA143" s="503">
        <f>BW143</f>
        <v>998.3</v>
      </c>
      <c r="CB143" s="500"/>
      <c r="CC143" s="501">
        <f>BZ44</f>
        <v>1080.4000000000001</v>
      </c>
      <c r="CD143" s="501">
        <f>CC144</f>
        <v>1128.8</v>
      </c>
      <c r="CE143" s="501">
        <f>CD144</f>
        <v>1166.5999999999999</v>
      </c>
      <c r="CF143" s="501">
        <f>CE144</f>
        <v>1194.2</v>
      </c>
      <c r="CG143" s="503">
        <f>CC143</f>
        <v>1080.4000000000001</v>
      </c>
      <c r="CH143" s="500"/>
      <c r="CI143" s="501">
        <f>CG144</f>
        <v>1204.3</v>
      </c>
      <c r="CJ143" s="501">
        <f>CI144</f>
        <v>1237.5999999999999</v>
      </c>
      <c r="CK143" s="501">
        <f>CJ144</f>
        <v>1225.0999999999999</v>
      </c>
      <c r="CL143" s="501">
        <f>CK144</f>
        <v>1242.0999999999999</v>
      </c>
      <c r="CM143" s="503">
        <f>CI143</f>
        <v>1204.3</v>
      </c>
      <c r="CN143" s="500"/>
      <c r="CO143" s="501">
        <f>CM144</f>
        <v>1267.2</v>
      </c>
      <c r="CP143" s="501">
        <f>CO144</f>
        <v>1363.5</v>
      </c>
      <c r="CQ143" s="501">
        <f>CP144</f>
        <v>1356.5</v>
      </c>
      <c r="CR143" s="501">
        <f>CQ144</f>
        <v>1359.9</v>
      </c>
      <c r="CS143" s="503">
        <f>CO143</f>
        <v>1267.2</v>
      </c>
      <c r="CT143" s="500"/>
      <c r="CU143" s="501">
        <f>CS144</f>
        <v>1365.4</v>
      </c>
      <c r="CV143" s="501">
        <f>CU144</f>
        <v>1496.2</v>
      </c>
      <c r="CW143" s="501">
        <f>CV144</f>
        <v>1457.3</v>
      </c>
      <c r="CX143" s="501">
        <f>CW144</f>
        <v>1438.9</v>
      </c>
      <c r="CY143" s="503">
        <f>CU143</f>
        <v>1365.4</v>
      </c>
      <c r="CZ143" s="500"/>
      <c r="DA143" s="501">
        <f>CY144</f>
        <v>1449.8</v>
      </c>
      <c r="DB143" s="501">
        <f>DA144</f>
        <v>1499.5</v>
      </c>
      <c r="DC143" s="501">
        <f>DB144</f>
        <v>1455.8</v>
      </c>
      <c r="DD143" s="501">
        <f>DC144</f>
        <v>1535.1</v>
      </c>
      <c r="DE143" s="503">
        <f>DA143</f>
        <v>1449.8</v>
      </c>
      <c r="DF143" s="500"/>
      <c r="DG143" s="501">
        <f>DE144</f>
        <v>1637.3</v>
      </c>
      <c r="DH143" s="501">
        <f>DG144</f>
        <v>1683.1</v>
      </c>
      <c r="DI143" s="501">
        <f>DH144</f>
        <v>1697.1</v>
      </c>
      <c r="DJ143" s="501">
        <f>DI144</f>
        <v>1731.2</v>
      </c>
      <c r="DK143" s="503">
        <f>DG143</f>
        <v>1637.3</v>
      </c>
      <c r="DL143" s="500"/>
      <c r="DM143" s="501">
        <f>DK144</f>
        <v>1773.1</v>
      </c>
      <c r="DN143" s="501">
        <f>DM144</f>
        <v>1816.2</v>
      </c>
      <c r="DO143" s="501">
        <f>DN144</f>
        <v>1808</v>
      </c>
      <c r="DP143" s="501">
        <f>DO144</f>
        <v>1809.9</v>
      </c>
      <c r="DQ143" s="503">
        <f>DM143</f>
        <v>1773.1</v>
      </c>
      <c r="DR143" s="500"/>
      <c r="DS143" s="501">
        <f>DQ144</f>
        <v>1821.5</v>
      </c>
      <c r="DT143" s="501">
        <f>DS144</f>
        <v>1865.6</v>
      </c>
      <c r="DU143" s="501">
        <f>DT144</f>
        <v>1857.1</v>
      </c>
      <c r="DV143" s="501">
        <f>DU144</f>
        <v>1882.8</v>
      </c>
      <c r="DW143" s="503">
        <f>DS143</f>
        <v>1821.5</v>
      </c>
      <c r="DX143" s="142"/>
      <c r="DY143" s="501">
        <f>DW144</f>
        <v>1876.3</v>
      </c>
      <c r="DZ143" s="501">
        <f>DY144</f>
        <v>1899</v>
      </c>
      <c r="EA143" s="501">
        <f>DZ144</f>
        <v>1934.8</v>
      </c>
      <c r="EB143" s="501">
        <f>EA144</f>
        <v>1930.8</v>
      </c>
      <c r="EC143" s="503">
        <f>DY143</f>
        <v>1876.3</v>
      </c>
      <c r="ED143" s="142"/>
      <c r="EE143" s="501">
        <f>EB44</f>
        <v>1952.7</v>
      </c>
      <c r="EF143" s="501">
        <f>EE144</f>
        <v>1868.4577272727274</v>
      </c>
      <c r="EG143" s="501">
        <f>EF144</f>
        <v>1735.4854545454548</v>
      </c>
      <c r="EH143" s="501">
        <f>EG144</f>
        <v>1637.163181818182</v>
      </c>
      <c r="EI143" s="503">
        <f>EE143</f>
        <v>1952.7</v>
      </c>
      <c r="EJ143" s="142"/>
      <c r="EK143" s="501">
        <f>EH44</f>
        <v>1499.1309090909092</v>
      </c>
      <c r="EL143" s="501">
        <f>EK144</f>
        <v>1395.3556022727273</v>
      </c>
      <c r="EM143" s="501">
        <f>EL144</f>
        <v>1237.9772954545456</v>
      </c>
      <c r="EN143" s="501">
        <f>EM144</f>
        <v>1118.7139886363639</v>
      </c>
      <c r="EO143" s="503">
        <f>EK143</f>
        <v>1499.1309090909092</v>
      </c>
      <c r="EP143" s="142"/>
      <c r="EQ143" s="501">
        <f>EN44</f>
        <v>955.76968181818211</v>
      </c>
      <c r="ER143" s="501">
        <f>EQ144</f>
        <v>829.88193664772757</v>
      </c>
      <c r="ES143" s="501">
        <f>ER144</f>
        <v>645.03089147727303</v>
      </c>
      <c r="ET143" s="501">
        <f>ES144</f>
        <v>502.10634630681852</v>
      </c>
      <c r="EU143" s="503">
        <f>EQ143</f>
        <v>955.76968181818211</v>
      </c>
      <c r="EV143" s="142"/>
      <c r="EW143" s="142"/>
      <c r="EX143" s="126"/>
      <c r="EY143" s="126"/>
      <c r="EZ143" s="126"/>
      <c r="FA143" s="126"/>
      <c r="FB143" s="126"/>
    </row>
    <row r="144" spans="1:164" ht="14.25" hidden="1" customHeight="1" outlineLevel="1">
      <c r="A144" s="143" t="s">
        <v>89</v>
      </c>
      <c r="B144" s="32"/>
      <c r="C144" s="353"/>
      <c r="D144" s="90"/>
      <c r="E144" s="90"/>
      <c r="F144" s="90"/>
      <c r="G144" s="61"/>
      <c r="H144" s="90"/>
      <c r="I144" s="90"/>
      <c r="J144" s="90"/>
      <c r="K144" s="500"/>
      <c r="L144" s="500"/>
      <c r="M144" s="500"/>
      <c r="N144" s="500"/>
      <c r="O144" s="501">
        <f>O44</f>
        <v>342.31</v>
      </c>
      <c r="P144" s="501">
        <f>P44</f>
        <v>337.28399999999999</v>
      </c>
      <c r="Q144" s="501">
        <f>Q44</f>
        <v>345.73500000000001</v>
      </c>
      <c r="R144" s="501">
        <f>R44</f>
        <v>470.80099999999999</v>
      </c>
      <c r="S144" s="503">
        <f>R144</f>
        <v>470.80099999999999</v>
      </c>
      <c r="T144" s="500"/>
      <c r="U144" s="501">
        <f>U44</f>
        <v>605.03800000000001</v>
      </c>
      <c r="V144" s="501">
        <f>V44</f>
        <v>611.39</v>
      </c>
      <c r="W144" s="501">
        <f>W44</f>
        <v>620.125</v>
      </c>
      <c r="X144" s="501">
        <f>X44</f>
        <v>561.81399999999996</v>
      </c>
      <c r="Y144" s="503">
        <f>X144</f>
        <v>561.81399999999996</v>
      </c>
      <c r="Z144" s="500"/>
      <c r="AA144" s="501">
        <f>AA44</f>
        <v>545.44299999999998</v>
      </c>
      <c r="AB144" s="501">
        <f>AB44</f>
        <v>514.99599999999998</v>
      </c>
      <c r="AC144" s="501">
        <f>AC44</f>
        <v>473.00400000000002</v>
      </c>
      <c r="AD144" s="501">
        <f>AD44</f>
        <v>424.65199999999999</v>
      </c>
      <c r="AE144" s="503">
        <f>AD144</f>
        <v>424.65199999999999</v>
      </c>
      <c r="AF144" s="500"/>
      <c r="AG144" s="501">
        <f>AG44</f>
        <v>407.82</v>
      </c>
      <c r="AH144" s="501">
        <f>AH44</f>
        <v>417.81099999999998</v>
      </c>
      <c r="AI144" s="501">
        <f>AI44</f>
        <v>433.77699999999999</v>
      </c>
      <c r="AJ144" s="501">
        <f>AJ44</f>
        <v>458.13499999999999</v>
      </c>
      <c r="AK144" s="503">
        <f>AJ144</f>
        <v>458.13499999999999</v>
      </c>
      <c r="AL144" s="500"/>
      <c r="AM144" s="501">
        <f>AM44</f>
        <v>522.68399999999997</v>
      </c>
      <c r="AN144" s="501">
        <f>AN44</f>
        <v>497.74900000000002</v>
      </c>
      <c r="AO144" s="501">
        <f>AO44</f>
        <v>501.11200000000002</v>
      </c>
      <c r="AP144" s="501">
        <f>AP44</f>
        <v>479.87400000000002</v>
      </c>
      <c r="AQ144" s="503">
        <f>AP144</f>
        <v>479.87400000000002</v>
      </c>
      <c r="AR144" s="500"/>
      <c r="AS144" s="501">
        <f>AS44</f>
        <v>470.041</v>
      </c>
      <c r="AT144" s="501">
        <f>AT44</f>
        <v>463.14800000000002</v>
      </c>
      <c r="AU144" s="501">
        <f>AU44</f>
        <v>468.9</v>
      </c>
      <c r="AV144" s="501">
        <f>AV44</f>
        <v>473.673</v>
      </c>
      <c r="AW144" s="510">
        <f>AV144</f>
        <v>473.673</v>
      </c>
      <c r="AX144" s="361"/>
      <c r="AY144" s="501">
        <f>AY44</f>
        <v>547.6</v>
      </c>
      <c r="AZ144" s="501">
        <f>AZ44</f>
        <v>559.1</v>
      </c>
      <c r="BA144" s="501">
        <f>BA44</f>
        <v>632.29999999999995</v>
      </c>
      <c r="BB144" s="501">
        <f>BB44</f>
        <v>656.2</v>
      </c>
      <c r="BC144" s="503">
        <f>BB144</f>
        <v>656.2</v>
      </c>
      <c r="BD144" s="500"/>
      <c r="BE144" s="501">
        <f>BE44</f>
        <v>694.8</v>
      </c>
      <c r="BF144" s="501">
        <f>BF44</f>
        <v>719.3</v>
      </c>
      <c r="BG144" s="501">
        <f>BG44</f>
        <v>783.6</v>
      </c>
      <c r="BH144" s="501">
        <f>BH44</f>
        <v>803.8</v>
      </c>
      <c r="BI144" s="503">
        <f>BH144</f>
        <v>803.8</v>
      </c>
      <c r="BJ144" s="500"/>
      <c r="BK144" s="501">
        <f>BK44</f>
        <v>835.1</v>
      </c>
      <c r="BL144" s="501">
        <f>BL44</f>
        <v>842.1</v>
      </c>
      <c r="BM144" s="501">
        <f>BM44</f>
        <v>890</v>
      </c>
      <c r="BN144" s="501">
        <f>BN44</f>
        <v>908.3</v>
      </c>
      <c r="BO144" s="503">
        <f>BN144</f>
        <v>908.3</v>
      </c>
      <c r="BP144" s="500"/>
      <c r="BQ144" s="501">
        <f>BQ44</f>
        <v>921.8</v>
      </c>
      <c r="BR144" s="501">
        <f>BR44</f>
        <v>927.5</v>
      </c>
      <c r="BS144" s="501">
        <f>BS44</f>
        <v>987.9</v>
      </c>
      <c r="BT144" s="501">
        <f>BT44</f>
        <v>998.3</v>
      </c>
      <c r="BU144" s="503">
        <f>BT144</f>
        <v>998.3</v>
      </c>
      <c r="BV144" s="500"/>
      <c r="BW144" s="501">
        <f>BW44</f>
        <v>962.7</v>
      </c>
      <c r="BX144" s="501">
        <f>BX44</f>
        <v>997.6</v>
      </c>
      <c r="BY144" s="501">
        <f>BY44</f>
        <v>1059.2</v>
      </c>
      <c r="BZ144" s="501">
        <f>BZ44</f>
        <v>1080.4000000000001</v>
      </c>
      <c r="CA144" s="503">
        <f>BZ144</f>
        <v>1080.4000000000001</v>
      </c>
      <c r="CB144" s="500"/>
      <c r="CC144" s="501">
        <f>CC44</f>
        <v>1128.8</v>
      </c>
      <c r="CD144" s="501">
        <f>CD44</f>
        <v>1166.5999999999999</v>
      </c>
      <c r="CE144" s="501">
        <f>CE44</f>
        <v>1194.2</v>
      </c>
      <c r="CF144" s="501">
        <f>CF44</f>
        <v>1204.3</v>
      </c>
      <c r="CG144" s="503">
        <f>CF144</f>
        <v>1204.3</v>
      </c>
      <c r="CH144" s="500"/>
      <c r="CI144" s="501">
        <f>CI44</f>
        <v>1237.5999999999999</v>
      </c>
      <c r="CJ144" s="501">
        <f>CJ44</f>
        <v>1225.0999999999999</v>
      </c>
      <c r="CK144" s="501">
        <f>CK44</f>
        <v>1242.0999999999999</v>
      </c>
      <c r="CL144" s="501">
        <f>CL44</f>
        <v>1267.2</v>
      </c>
      <c r="CM144" s="503">
        <f>CL144</f>
        <v>1267.2</v>
      </c>
      <c r="CN144" s="500"/>
      <c r="CO144" s="501">
        <f>CO44</f>
        <v>1363.5</v>
      </c>
      <c r="CP144" s="501">
        <f>CP44</f>
        <v>1356.5</v>
      </c>
      <c r="CQ144" s="501">
        <f>CQ44</f>
        <v>1359.9</v>
      </c>
      <c r="CR144" s="501">
        <f>CR44</f>
        <v>1365.4</v>
      </c>
      <c r="CS144" s="503">
        <f>CR144</f>
        <v>1365.4</v>
      </c>
      <c r="CT144" s="500"/>
      <c r="CU144" s="501">
        <f>CU44</f>
        <v>1496.2</v>
      </c>
      <c r="CV144" s="501">
        <f>CV44</f>
        <v>1457.3</v>
      </c>
      <c r="CW144" s="501">
        <f>CW44</f>
        <v>1438.9</v>
      </c>
      <c r="CX144" s="501">
        <f>CX44</f>
        <v>1449.8</v>
      </c>
      <c r="CY144" s="503">
        <f>CX144</f>
        <v>1449.8</v>
      </c>
      <c r="CZ144" s="500"/>
      <c r="DA144" s="501">
        <f>DA44</f>
        <v>1499.5</v>
      </c>
      <c r="DB144" s="501">
        <f>DB44</f>
        <v>1455.8</v>
      </c>
      <c r="DC144" s="501">
        <f>DC44</f>
        <v>1535.1</v>
      </c>
      <c r="DD144" s="501">
        <f>DD44</f>
        <v>1637.3</v>
      </c>
      <c r="DE144" s="503">
        <f>DD144</f>
        <v>1637.3</v>
      </c>
      <c r="DF144" s="500"/>
      <c r="DG144" s="501">
        <f>DG44</f>
        <v>1683.1</v>
      </c>
      <c r="DH144" s="501">
        <f>DH44</f>
        <v>1697.1</v>
      </c>
      <c r="DI144" s="501">
        <f>DI44</f>
        <v>1731.2</v>
      </c>
      <c r="DJ144" s="501">
        <f>DJ44</f>
        <v>1773.1</v>
      </c>
      <c r="DK144" s="503">
        <f>DJ144</f>
        <v>1773.1</v>
      </c>
      <c r="DL144" s="500"/>
      <c r="DM144" s="501">
        <f>DM44</f>
        <v>1816.2</v>
      </c>
      <c r="DN144" s="501">
        <f>DN44</f>
        <v>1808</v>
      </c>
      <c r="DO144" s="501">
        <f>DO44</f>
        <v>1809.9</v>
      </c>
      <c r="DP144" s="501">
        <f>DP44</f>
        <v>1821.5</v>
      </c>
      <c r="DQ144" s="503">
        <f>DP144</f>
        <v>1821.5</v>
      </c>
      <c r="DR144" s="500"/>
      <c r="DS144" s="501">
        <f>DS44</f>
        <v>1865.6</v>
      </c>
      <c r="DT144" s="501">
        <f>DT44</f>
        <v>1857.1</v>
      </c>
      <c r="DU144" s="501">
        <f>DU44</f>
        <v>1882.8</v>
      </c>
      <c r="DV144" s="501">
        <f>DV44</f>
        <v>1876.3</v>
      </c>
      <c r="DW144" s="503">
        <f>DV144</f>
        <v>1876.3</v>
      </c>
      <c r="DX144" s="142"/>
      <c r="DY144" s="501">
        <f>DY44</f>
        <v>1899</v>
      </c>
      <c r="DZ144" s="501">
        <f>DZ44</f>
        <v>1934.8</v>
      </c>
      <c r="EA144" s="501">
        <f>EA44</f>
        <v>1930.8</v>
      </c>
      <c r="EB144" s="501">
        <f>EB44</f>
        <v>1952.7</v>
      </c>
      <c r="EC144" s="503">
        <f>EB144</f>
        <v>1952.7</v>
      </c>
      <c r="ED144" s="142"/>
      <c r="EE144" s="501">
        <f>EE44</f>
        <v>1868.4577272727274</v>
      </c>
      <c r="EF144" s="501">
        <f>EF44</f>
        <v>1735.4854545454548</v>
      </c>
      <c r="EG144" s="501">
        <f>EG44</f>
        <v>1637.163181818182</v>
      </c>
      <c r="EH144" s="501">
        <f>EH44</f>
        <v>1499.1309090909092</v>
      </c>
      <c r="EI144" s="503">
        <f>EH144</f>
        <v>1499.1309090909092</v>
      </c>
      <c r="EJ144" s="142"/>
      <c r="EK144" s="501">
        <f>EK44</f>
        <v>1395.3556022727273</v>
      </c>
      <c r="EL144" s="501">
        <f>EL44</f>
        <v>1237.9772954545456</v>
      </c>
      <c r="EM144" s="501">
        <f>EM44</f>
        <v>1118.7139886363639</v>
      </c>
      <c r="EN144" s="501">
        <f>EN44</f>
        <v>955.76968181818211</v>
      </c>
      <c r="EO144" s="503">
        <f>EN144</f>
        <v>955.76968181818211</v>
      </c>
      <c r="EP144" s="142"/>
      <c r="EQ144" s="501">
        <f>EQ44</f>
        <v>829.88193664772757</v>
      </c>
      <c r="ER144" s="501">
        <f>ER44</f>
        <v>645.03089147727303</v>
      </c>
      <c r="ES144" s="501">
        <f>ES44</f>
        <v>502.10634630681852</v>
      </c>
      <c r="ET144" s="501">
        <f>ET44</f>
        <v>311.13270113636401</v>
      </c>
      <c r="EU144" s="503">
        <f>ET144</f>
        <v>311.13270113636401</v>
      </c>
      <c r="EV144" s="142"/>
      <c r="EW144" s="142"/>
      <c r="EX144" s="126"/>
      <c r="EY144" s="126"/>
      <c r="EZ144" s="126"/>
      <c r="FA144" s="126"/>
      <c r="FB144" s="126"/>
    </row>
    <row r="145" spans="1:158" ht="14.25" hidden="1" customHeight="1" outlineLevel="1">
      <c r="A145" s="126"/>
      <c r="B145" s="32"/>
      <c r="C145" s="353"/>
      <c r="D145" s="90"/>
      <c r="E145" s="90"/>
      <c r="F145" s="90"/>
      <c r="G145" s="61"/>
      <c r="H145" s="90"/>
      <c r="I145" s="90"/>
      <c r="J145" s="90"/>
      <c r="K145" s="126"/>
      <c r="L145" s="126"/>
      <c r="M145" s="126"/>
      <c r="N145" s="126"/>
      <c r="O145" s="142"/>
      <c r="P145" s="142"/>
      <c r="Q145" s="142"/>
      <c r="R145" s="142"/>
      <c r="S145" s="126"/>
      <c r="T145" s="126"/>
      <c r="U145" s="142"/>
      <c r="V145" s="142"/>
      <c r="W145" s="142"/>
      <c r="X145" s="126"/>
      <c r="Y145" s="126"/>
      <c r="Z145" s="126"/>
      <c r="AA145" s="142"/>
      <c r="AB145" s="142"/>
      <c r="AC145" s="142"/>
      <c r="AD145" s="142"/>
      <c r="AE145" s="130"/>
      <c r="AF145" s="126"/>
      <c r="AG145" s="142"/>
      <c r="AH145" s="142"/>
      <c r="AI145" s="142"/>
      <c r="AJ145" s="142"/>
      <c r="AK145" s="130"/>
      <c r="AL145" s="126"/>
      <c r="AM145" s="362" t="str">
        <f>IF(AM144=AM44,"ok",AM144-AM44)</f>
        <v>ok</v>
      </c>
      <c r="AN145" s="362" t="str">
        <f>IF(AN144=AN44,"ok",AN144-AN44)</f>
        <v>ok</v>
      </c>
      <c r="AO145" s="362" t="str">
        <f>IF(AO144=AO44,"ok",AO144-AO44)</f>
        <v>ok</v>
      </c>
      <c r="AP145" s="362" t="str">
        <f>IF(AP144=AP44,"ok",AP144-AP44)</f>
        <v>ok</v>
      </c>
      <c r="AQ145" s="362" t="str">
        <f>IF(AQ144=AQ44,"ok",AQ144-AQ44)</f>
        <v>ok</v>
      </c>
      <c r="AR145" s="126"/>
      <c r="AS145" s="362" t="str">
        <f>IF(AS144=AS44,"ok",AS144-AS44)</f>
        <v>ok</v>
      </c>
      <c r="AT145" s="362" t="str">
        <f>IF(AT144=AT44,"ok",AT144-AT44)</f>
        <v>ok</v>
      </c>
      <c r="AU145" s="362" t="str">
        <f>IF(AU144=AU44,"ok",AU144-AU44)</f>
        <v>ok</v>
      </c>
      <c r="AV145" s="362" t="str">
        <f>IF(AV144=AV44,"ok",AV144-AV44)</f>
        <v>ok</v>
      </c>
      <c r="AW145" s="362" t="str">
        <f>IF(AW144=AW44,"ok",AW144-AW44)</f>
        <v>ok</v>
      </c>
      <c r="AX145" s="127"/>
      <c r="AY145" s="362" t="str">
        <f>IF(AY144=AY44,"ok",AY144-AY44)</f>
        <v>ok</v>
      </c>
      <c r="AZ145" s="362" t="str">
        <f>IF(AZ144=AZ44,"ok",AZ144-AZ44)</f>
        <v>ok</v>
      </c>
      <c r="BA145" s="362" t="str">
        <f>IF(BA144=BA44,"ok",BA144-BA44)</f>
        <v>ok</v>
      </c>
      <c r="BB145" s="362" t="str">
        <f>IF(BB144=BB44,"ok",BB144-BB44)</f>
        <v>ok</v>
      </c>
      <c r="BC145" s="362" t="str">
        <f>IF(BC144=BC44,"ok",BC144-BC44)</f>
        <v>ok</v>
      </c>
      <c r="BD145" s="126"/>
      <c r="BE145" s="362" t="str">
        <f>IF(BE144=BE44,"ok",BE144-BE44)</f>
        <v>ok</v>
      </c>
      <c r="BF145" s="362" t="str">
        <f>IF(BF144=BF44,"ok",BF144-BF44)</f>
        <v>ok</v>
      </c>
      <c r="BG145" s="362" t="str">
        <f>IF(BG144=BG44,"ok",BG144-BG44)</f>
        <v>ok</v>
      </c>
      <c r="BH145" s="362" t="str">
        <f>IF(BH144=BH44,"ok",BH144-BH44)</f>
        <v>ok</v>
      </c>
      <c r="BI145" s="362" t="str">
        <f>IF(BI144=BI44,"ok",BI144-BI44)</f>
        <v>ok</v>
      </c>
      <c r="BJ145" s="126"/>
      <c r="BK145" s="362" t="str">
        <f>IF(BK144=BK44,"ok",BK144-BK44)</f>
        <v>ok</v>
      </c>
      <c r="BL145" s="362" t="str">
        <f>IF(BL144=BL44,"ok",BL144-BL44)</f>
        <v>ok</v>
      </c>
      <c r="BM145" s="362" t="str">
        <f>IF(BM144=BM44,"ok",BM144-BM44)</f>
        <v>ok</v>
      </c>
      <c r="BN145" s="362" t="str">
        <f>IF(BN144=BN44,"ok",BN144-BN44)</f>
        <v>ok</v>
      </c>
      <c r="BO145" s="362" t="str">
        <f>IF(BO144=BO44,"ok",BO144-BO44)</f>
        <v>ok</v>
      </c>
      <c r="BP145" s="126"/>
      <c r="BQ145" s="362" t="str">
        <f>IF(BQ144=BQ44,"ok",BQ144-BQ44)</f>
        <v>ok</v>
      </c>
      <c r="BR145" s="362" t="str">
        <f>IF(BR144=BR44,"ok",BR144-BR44)</f>
        <v>ok</v>
      </c>
      <c r="BS145" s="362" t="str">
        <f>IF(BS144=BS44,"ok",BS144-BS44)</f>
        <v>ok</v>
      </c>
      <c r="BT145" s="362" t="str">
        <f>IF(BT144=BT44,"ok",BT144-BT44)</f>
        <v>ok</v>
      </c>
      <c r="BU145" s="362" t="str">
        <f>IF(BU144=BU44,"ok",BU144-BU44)</f>
        <v>ok</v>
      </c>
      <c r="BV145" s="126"/>
      <c r="BW145" s="362" t="str">
        <f>IF(BW144=BW44,"ok",BW144-BW44)</f>
        <v>ok</v>
      </c>
      <c r="BX145" s="362" t="str">
        <f>IF(BX144=BX44,"ok",BX144-BX44)</f>
        <v>ok</v>
      </c>
      <c r="BY145" s="362" t="str">
        <f>IF(BY144=BY44,"ok",BY144-BY44)</f>
        <v>ok</v>
      </c>
      <c r="BZ145" s="362" t="str">
        <f>IF(BZ144=BZ44,"ok",BZ144-BZ44)</f>
        <v>ok</v>
      </c>
      <c r="CA145" s="362" t="str">
        <f>IF(CA144=CA44,"ok",CA144-CA44)</f>
        <v>ok</v>
      </c>
      <c r="CB145" s="126"/>
      <c r="CC145" s="362" t="str">
        <f>IF(CC144=CC44,"ok",CC144-CC44)</f>
        <v>ok</v>
      </c>
      <c r="CD145" s="362" t="str">
        <f>IF(CD144=CD44,"ok",CD144-CD44)</f>
        <v>ok</v>
      </c>
      <c r="CE145" s="362" t="str">
        <f>IF(CE144=CE44,"ok",CE144-CE44)</f>
        <v>ok</v>
      </c>
      <c r="CF145" s="362" t="str">
        <f>IF(CF144=CF44,"ok",CF144-CF44)</f>
        <v>ok</v>
      </c>
      <c r="CG145" s="362" t="str">
        <f>IF(CG144=CG44,"ok",CG144-CG44)</f>
        <v>ok</v>
      </c>
      <c r="CH145" s="126"/>
      <c r="CI145" s="362" t="str">
        <f>IF(CI144=CI44,"ok",CI144-CI44)</f>
        <v>ok</v>
      </c>
      <c r="CJ145" s="362" t="str">
        <f>IF(CJ144=CJ44,"ok",CJ144-CJ44)</f>
        <v>ok</v>
      </c>
      <c r="CK145" s="362" t="str">
        <f>IF(CK144=CK44,"ok",CK144-CK44)</f>
        <v>ok</v>
      </c>
      <c r="CL145" s="362" t="str">
        <f>IF(CL144=CL44,"ok",CL144-CL44)</f>
        <v>ok</v>
      </c>
      <c r="CM145" s="362" t="str">
        <f>IF(CM144=CM44,"ok",CM144-CM44)</f>
        <v>ok</v>
      </c>
      <c r="CN145" s="126"/>
      <c r="CO145" s="362" t="str">
        <f>IF(CO144=CO44,"ok",CO144-CO44)</f>
        <v>ok</v>
      </c>
      <c r="CP145" s="362" t="str">
        <f>IF(CP144=CP44,"ok",CP144-CP44)</f>
        <v>ok</v>
      </c>
      <c r="CQ145" s="362" t="str">
        <f>IF(CQ144=CQ44,"ok",CQ144-CQ44)</f>
        <v>ok</v>
      </c>
      <c r="CR145" s="362" t="str">
        <f>IF(CR144=CR44,"ok",CR144-CR44)</f>
        <v>ok</v>
      </c>
      <c r="CS145" s="362" t="str">
        <f>IF(CS144=CS44,"ok",CS144-CS44)</f>
        <v>ok</v>
      </c>
      <c r="CT145" s="126"/>
      <c r="CU145" s="362" t="str">
        <f>IF(CU144=CU44,"ok",CU144-CU44)</f>
        <v>ok</v>
      </c>
      <c r="CV145" s="362" t="str">
        <f>IF(CV144=CV44,"ok",CV144-CV44)</f>
        <v>ok</v>
      </c>
      <c r="CW145" s="362" t="str">
        <f>IF(CW144=CW44,"ok",CW144-CW44)</f>
        <v>ok</v>
      </c>
      <c r="CX145" s="362" t="str">
        <f>IF(CX144=CX44,"ok",CX144-CX44)</f>
        <v>ok</v>
      </c>
      <c r="CY145" s="362" t="str">
        <f>IF(CY144=CY44,"ok",CY144-CY44)</f>
        <v>ok</v>
      </c>
      <c r="CZ145" s="126"/>
      <c r="DA145" s="362" t="str">
        <f>IF(DA144=DA44,"ok",DA144-DA44)</f>
        <v>ok</v>
      </c>
      <c r="DB145" s="362" t="str">
        <f>IF(DB144=DB44,"ok",DB144-DB44)</f>
        <v>ok</v>
      </c>
      <c r="DC145" s="362" t="str">
        <f>IF(DC144=DC44,"ok",DC144-DC44)</f>
        <v>ok</v>
      </c>
      <c r="DD145" s="362" t="str">
        <f>IF(DD144=DD44,"ok",DD144-DD44)</f>
        <v>ok</v>
      </c>
      <c r="DE145" s="362" t="str">
        <f>IF(DE144=DE44,"ok",DE144-DE44)</f>
        <v>ok</v>
      </c>
      <c r="DF145" s="126"/>
      <c r="DG145" s="362" t="str">
        <f>IF(DG144=DG44,"ok",DG144-DG44)</f>
        <v>ok</v>
      </c>
      <c r="DH145" s="362" t="str">
        <f>IF(DH144=DH44,"ok",DH144-DH44)</f>
        <v>ok</v>
      </c>
      <c r="DI145" s="362" t="str">
        <f>IF(DI144=DI44,"ok",DI144-DI44)</f>
        <v>ok</v>
      </c>
      <c r="DJ145" s="362" t="str">
        <f>IF(DJ144=DJ44,"ok",DJ144-DJ44)</f>
        <v>ok</v>
      </c>
      <c r="DK145" s="362" t="str">
        <f>IF(DK144=DK44,"ok",DK144-DK44)</f>
        <v>ok</v>
      </c>
      <c r="DL145" s="126"/>
      <c r="DM145" s="362" t="str">
        <f>IF(DM144=DM44,"ok",DM144-DM44)</f>
        <v>ok</v>
      </c>
      <c r="DN145" s="362" t="str">
        <f>IF(DN144=DN44,"ok",DN144-DN44)</f>
        <v>ok</v>
      </c>
      <c r="DO145" s="362" t="str">
        <f>IF(DO144=DO44,"ok",DO144-DO44)</f>
        <v>ok</v>
      </c>
      <c r="DP145" s="362" t="str">
        <f>IF(DP144=DP44,"ok",DP144-DP44)</f>
        <v>ok</v>
      </c>
      <c r="DQ145" s="362" t="str">
        <f>IF(DQ144=DQ44,"ok",DQ144-DQ44)</f>
        <v>ok</v>
      </c>
      <c r="DR145" s="126"/>
      <c r="DS145" s="362" t="str">
        <f>IF(DS144=DS44,"ok",DS144-DS44)</f>
        <v>ok</v>
      </c>
      <c r="DT145" s="362" t="str">
        <f>IF(DT144=DT44,"ok",DT144-DT44)</f>
        <v>ok</v>
      </c>
      <c r="DU145" s="362" t="str">
        <f>IF(DU144=DU44,"ok",DU144-DU44)</f>
        <v>ok</v>
      </c>
      <c r="DV145" s="362" t="str">
        <f>IF(DV144=DV44,"ok",DV144-DV44)</f>
        <v>ok</v>
      </c>
      <c r="DW145" s="362" t="str">
        <f>IF(DW144=DW44,"ok",DW144-DW44)</f>
        <v>ok</v>
      </c>
      <c r="DX145" s="142"/>
      <c r="DY145" s="362" t="str">
        <f>IF(DY144=DY44,"ok",DY144-DY44)</f>
        <v>ok</v>
      </c>
      <c r="DZ145" s="362" t="str">
        <f>IF(DZ144=DZ44,"ok",DZ144-DZ44)</f>
        <v>ok</v>
      </c>
      <c r="EA145" s="362" t="str">
        <f>IF(EA144=EA44,"ok",EA144-EA44)</f>
        <v>ok</v>
      </c>
      <c r="EB145" s="362" t="str">
        <f>IF(EB144=EB44,"ok",EB144-EB44)</f>
        <v>ok</v>
      </c>
      <c r="EC145" s="362" t="str">
        <f>IF(EC144=EC44,"ok",EC144-EC44)</f>
        <v>ok</v>
      </c>
      <c r="ED145" s="142"/>
      <c r="EE145" s="362" t="str">
        <f>IF(EE144=EE44,"ok",EE144-EE44)</f>
        <v>ok</v>
      </c>
      <c r="EF145" s="362" t="str">
        <f>IF(EF144=EF44,"ok",EF144-EF44)</f>
        <v>ok</v>
      </c>
      <c r="EG145" s="362" t="str">
        <f>IF(EG144=EG44,"ok",EG144-EG44)</f>
        <v>ok</v>
      </c>
      <c r="EH145" s="362" t="str">
        <f>IF(EH144=EH44,"ok",EH144-EH44)</f>
        <v>ok</v>
      </c>
      <c r="EI145" s="362" t="str">
        <f>IF(EI144=EI44,"ok",EI144-EI44)</f>
        <v>ok</v>
      </c>
      <c r="EJ145" s="142"/>
      <c r="EK145" s="362" t="str">
        <f>IF(EK144=EK44,"ok",EK144-EK44)</f>
        <v>ok</v>
      </c>
      <c r="EL145" s="362" t="str">
        <f>IF(EL144=EL44,"ok",EL144-EL44)</f>
        <v>ok</v>
      </c>
      <c r="EM145" s="362" t="str">
        <f>IF(EM144=EM44,"ok",EM144-EM44)</f>
        <v>ok</v>
      </c>
      <c r="EN145" s="362" t="str">
        <f>IF(EN144=EN44,"ok",EN144-EN44)</f>
        <v>ok</v>
      </c>
      <c r="EO145" s="362" t="str">
        <f>IF(EO144=EO44,"ok",EO144-EO44)</f>
        <v>ok</v>
      </c>
      <c r="EP145" s="142"/>
      <c r="EQ145" s="362" t="str">
        <f>IF(EQ144=EQ44,"ok",EQ144-EQ44)</f>
        <v>ok</v>
      </c>
      <c r="ER145" s="362" t="str">
        <f>IF(ER144=ER44,"ok",ER144-ER44)</f>
        <v>ok</v>
      </c>
      <c r="ES145" s="362" t="str">
        <f>IF(ES144=ES44,"ok",ES144-ES44)</f>
        <v>ok</v>
      </c>
      <c r="ET145" s="362" t="str">
        <f>IF(ET144=ET44,"ok",ET144-ET44)</f>
        <v>ok</v>
      </c>
      <c r="EU145" s="362" t="str">
        <f>IF(EU144=EU44,"ok",EU144-EU44)</f>
        <v>ok</v>
      </c>
      <c r="EV145" s="142"/>
      <c r="EW145" s="142"/>
      <c r="EX145" s="126"/>
      <c r="EY145" s="126"/>
      <c r="EZ145" s="126"/>
      <c r="FA145" s="126"/>
      <c r="FB145" s="126"/>
    </row>
    <row r="146" spans="1:158" ht="14.25" hidden="1" customHeight="1" outlineLevel="1">
      <c r="A146" s="323" t="s">
        <v>4590</v>
      </c>
      <c r="B146" s="32"/>
      <c r="C146" s="353"/>
      <c r="D146" s="90"/>
      <c r="E146" s="90"/>
      <c r="F146" s="90"/>
      <c r="G146" s="61"/>
      <c r="H146" s="90"/>
      <c r="I146" s="90"/>
      <c r="J146" s="90"/>
      <c r="K146" s="511"/>
      <c r="L146" s="511"/>
      <c r="M146" s="511"/>
      <c r="N146" s="511"/>
      <c r="O146" s="502"/>
      <c r="P146" s="502"/>
      <c r="Q146" s="502"/>
      <c r="R146" s="502"/>
      <c r="S146" s="512"/>
      <c r="T146" s="511"/>
      <c r="U146" s="511"/>
      <c r="V146" s="511"/>
      <c r="W146" s="511"/>
      <c r="X146" s="511"/>
      <c r="Y146" s="512"/>
      <c r="Z146" s="511"/>
      <c r="AA146" s="512"/>
      <c r="AB146" s="512"/>
      <c r="AC146" s="512"/>
      <c r="AD146" s="512"/>
      <c r="AE146" s="512"/>
      <c r="AF146" s="511"/>
      <c r="AG146" s="512"/>
      <c r="AH146" s="512"/>
      <c r="AI146" s="512"/>
      <c r="AJ146" s="512"/>
      <c r="AK146" s="512"/>
      <c r="AL146" s="511"/>
      <c r="AM146" s="512"/>
      <c r="AN146" s="512"/>
      <c r="AO146" s="512"/>
      <c r="AP146" s="512"/>
      <c r="AQ146" s="512"/>
      <c r="AR146" s="511"/>
      <c r="AS146" s="512"/>
      <c r="AT146" s="512"/>
      <c r="AU146" s="512"/>
      <c r="AV146" s="512"/>
      <c r="AW146" s="512"/>
      <c r="AX146" s="511"/>
      <c r="AY146" s="512"/>
      <c r="AZ146" s="512"/>
      <c r="BA146" s="512"/>
      <c r="BB146" s="512"/>
      <c r="BC146" s="512"/>
      <c r="BD146" s="511"/>
      <c r="BE146" s="512"/>
      <c r="BF146" s="502"/>
      <c r="BG146" s="502"/>
      <c r="BH146" s="502"/>
      <c r="BI146" s="513"/>
      <c r="BJ146" s="511"/>
      <c r="BK146" s="502"/>
      <c r="BL146" s="502"/>
      <c r="BM146" s="502"/>
      <c r="BN146" s="502"/>
      <c r="BO146" s="502"/>
      <c r="BP146" s="511"/>
      <c r="BQ146" s="502"/>
      <c r="BR146" s="502"/>
      <c r="BS146" s="502"/>
      <c r="BT146" s="502"/>
      <c r="BU146" s="502"/>
      <c r="BV146" s="511"/>
      <c r="BW146" s="502"/>
      <c r="BX146" s="502"/>
      <c r="BY146" s="502"/>
      <c r="BZ146" s="502"/>
      <c r="CA146" s="502"/>
      <c r="CB146" s="511"/>
      <c r="CC146" s="502"/>
      <c r="CD146" s="502"/>
      <c r="CE146" s="502"/>
      <c r="CF146" s="502"/>
      <c r="CG146" s="502"/>
      <c r="CH146" s="511"/>
      <c r="CI146" s="502"/>
      <c r="CJ146" s="502"/>
      <c r="CK146" s="502"/>
      <c r="CL146" s="502"/>
      <c r="CM146" s="502"/>
      <c r="CN146" s="511"/>
      <c r="CO146" s="502"/>
      <c r="CP146" s="502"/>
      <c r="CQ146" s="502"/>
      <c r="CR146" s="502"/>
      <c r="CS146" s="502"/>
      <c r="CT146" s="511"/>
      <c r="CU146" s="502"/>
      <c r="CV146" s="502"/>
      <c r="CW146" s="502"/>
      <c r="CX146" s="502"/>
      <c r="CY146" s="502"/>
      <c r="CZ146" s="511"/>
      <c r="DA146" s="502"/>
      <c r="DB146" s="502"/>
      <c r="DC146" s="502"/>
      <c r="DD146" s="502"/>
      <c r="DE146" s="502"/>
      <c r="DF146" s="511"/>
      <c r="DG146" s="502"/>
      <c r="DH146" s="502"/>
      <c r="DI146" s="502"/>
      <c r="DJ146" s="502"/>
      <c r="DK146" s="502"/>
      <c r="DL146" s="511"/>
      <c r="DM146" s="502"/>
      <c r="DN146" s="502"/>
      <c r="DO146" s="502"/>
      <c r="DP146" s="502"/>
      <c r="DQ146" s="502"/>
      <c r="DR146" s="511"/>
      <c r="DS146" s="502"/>
      <c r="DT146" s="502"/>
      <c r="DU146" s="502"/>
      <c r="DV146" s="502"/>
      <c r="DW146" s="502"/>
      <c r="DX146" s="175"/>
      <c r="DY146" s="502"/>
      <c r="DZ146" s="502"/>
      <c r="EA146" s="502"/>
      <c r="EB146" s="502"/>
      <c r="EC146" s="502"/>
      <c r="ED146" s="175"/>
      <c r="EE146" s="502"/>
      <c r="EF146" s="502"/>
      <c r="EG146" s="502"/>
      <c r="EH146" s="502"/>
      <c r="EI146" s="502"/>
      <c r="EJ146" s="175"/>
      <c r="EK146" s="502"/>
      <c r="EL146" s="502"/>
      <c r="EM146" s="502"/>
      <c r="EN146" s="502"/>
      <c r="EO146" s="502"/>
      <c r="EP146" s="175"/>
      <c r="EQ146" s="502"/>
      <c r="ER146" s="502"/>
      <c r="ES146" s="502"/>
      <c r="ET146" s="502"/>
      <c r="EU146" s="502"/>
      <c r="EV146" s="175"/>
      <c r="EW146" s="175"/>
      <c r="EX146" s="160"/>
      <c r="EY146" s="160"/>
      <c r="EZ146" s="160"/>
      <c r="FA146" s="160"/>
      <c r="FB146" s="160"/>
    </row>
    <row r="147" spans="1:158" ht="14.25" hidden="1" customHeight="1" outlineLevel="1">
      <c r="A147" s="293" t="s">
        <v>4591</v>
      </c>
      <c r="B147" s="294"/>
      <c r="C147" s="168"/>
      <c r="D147" s="168"/>
      <c r="E147" s="168"/>
      <c r="F147" s="168"/>
      <c r="G147" s="61"/>
      <c r="H147" s="168"/>
      <c r="I147" s="168"/>
      <c r="J147" s="168"/>
      <c r="K147" s="511"/>
      <c r="L147" s="511"/>
      <c r="M147" s="511"/>
      <c r="N147" s="511"/>
      <c r="O147" s="504"/>
      <c r="P147" s="504"/>
      <c r="Q147" s="504"/>
      <c r="R147" s="504"/>
      <c r="S147" s="502">
        <f>1.2*4</f>
        <v>4.8</v>
      </c>
      <c r="T147" s="511"/>
      <c r="U147" s="504"/>
      <c r="V147" s="504"/>
      <c r="W147" s="504"/>
      <c r="X147" s="504"/>
      <c r="Y147" s="502">
        <f>2.9*4</f>
        <v>11.6</v>
      </c>
      <c r="Z147" s="511"/>
      <c r="AA147" s="502">
        <f>4*4</f>
        <v>16</v>
      </c>
      <c r="AB147" s="502">
        <f>4*1.2</f>
        <v>4.8</v>
      </c>
      <c r="AC147" s="502">
        <f>2*4</f>
        <v>8</v>
      </c>
      <c r="AD147" s="502">
        <f>AE147-SUM(AA147:AC147)</f>
        <v>7.9999999999999964</v>
      </c>
      <c r="AE147" s="502">
        <f>9.2*4</f>
        <v>36.799999999999997</v>
      </c>
      <c r="AF147" s="511"/>
      <c r="AG147" s="502">
        <f>1.8*4</f>
        <v>7.2</v>
      </c>
      <c r="AH147" s="502">
        <f>0.2*4</f>
        <v>0.8</v>
      </c>
      <c r="AI147" s="502">
        <f>0.349*4</f>
        <v>1.3959999999999999</v>
      </c>
      <c r="AJ147" s="502">
        <f>AK147-SUM(AG147:AI147)</f>
        <v>1.2039999999999988</v>
      </c>
      <c r="AK147" s="502">
        <f>5.3*2</f>
        <v>10.6</v>
      </c>
      <c r="AL147" s="511"/>
      <c r="AM147" s="502">
        <f>AM152</f>
        <v>0.8</v>
      </c>
      <c r="AN147" s="502">
        <f>AN152-AM152</f>
        <v>4</v>
      </c>
      <c r="AO147" s="502">
        <f>AO152-AN152</f>
        <v>1.4000000000000004</v>
      </c>
      <c r="AP147" s="502">
        <f>AP152-AO152</f>
        <v>2.6000000000000005</v>
      </c>
      <c r="AQ147" s="502">
        <f>AQ152</f>
        <v>8.8000000000000007</v>
      </c>
      <c r="AR147" s="511"/>
      <c r="AS147" s="502">
        <f>2*2</f>
        <v>4</v>
      </c>
      <c r="AT147" s="502">
        <f>3*2</f>
        <v>6</v>
      </c>
      <c r="AU147" s="502">
        <f>5*2</f>
        <v>10</v>
      </c>
      <c r="AV147" s="502">
        <f>AW147-AU147</f>
        <v>8.1999999999999993</v>
      </c>
      <c r="AW147" s="502">
        <f>9.1*2</f>
        <v>18.2</v>
      </c>
      <c r="AX147" s="511"/>
      <c r="AY147" s="502">
        <f>5.183*2</f>
        <v>10.366</v>
      </c>
      <c r="AZ147" s="502">
        <f>1.66*2</f>
        <v>3.32</v>
      </c>
      <c r="BA147" s="502">
        <v>8.0299999999999994</v>
      </c>
      <c r="BB147" s="502">
        <v>4.2</v>
      </c>
      <c r="BC147" s="502">
        <v>25.917000000000002</v>
      </c>
      <c r="BD147" s="511"/>
      <c r="BE147" s="502">
        <v>2.4980000000000002</v>
      </c>
      <c r="BF147" s="502">
        <v>3.5038960000000001</v>
      </c>
      <c r="BG147" s="502">
        <v>3.2237749999999998</v>
      </c>
      <c r="BH147" s="502">
        <f>2.5</f>
        <v>2.5</v>
      </c>
      <c r="BI147" s="502">
        <f>SUM(BE147:BH147)</f>
        <v>11.725671</v>
      </c>
      <c r="BJ147" s="511"/>
      <c r="BK147" s="502">
        <v>1.7</v>
      </c>
      <c r="BL147" s="502">
        <v>2.4980000000000002</v>
      </c>
      <c r="BM147" s="502">
        <v>0</v>
      </c>
      <c r="BN147" s="502">
        <v>0</v>
      </c>
      <c r="BO147" s="502">
        <f>SUM(BK147:BN147)</f>
        <v>4.1980000000000004</v>
      </c>
      <c r="BP147" s="511"/>
      <c r="BQ147" s="502">
        <v>0</v>
      </c>
      <c r="BR147" s="502">
        <v>7.0620000000000003</v>
      </c>
      <c r="BS147" s="502">
        <v>3.0009999999999999</v>
      </c>
      <c r="BT147" s="502">
        <v>2.0640000000000001</v>
      </c>
      <c r="BU147" s="502">
        <f>SUM(BQ147:BT147)</f>
        <v>12.127000000000001</v>
      </c>
      <c r="BV147" s="511"/>
      <c r="BW147" s="502">
        <v>8</v>
      </c>
      <c r="BX147" s="502">
        <v>0</v>
      </c>
      <c r="BY147" s="502">
        <v>0</v>
      </c>
      <c r="BZ147" s="502">
        <v>0</v>
      </c>
      <c r="CA147" s="502">
        <f>SUM(BW147:BZ147)</f>
        <v>8</v>
      </c>
      <c r="CB147" s="511"/>
      <c r="CC147" s="502">
        <v>0.5</v>
      </c>
      <c r="CD147" s="502">
        <v>0.5</v>
      </c>
      <c r="CE147" s="502">
        <v>0</v>
      </c>
      <c r="CF147" s="502">
        <v>0</v>
      </c>
      <c r="CG147" s="502">
        <f>SUM(CC147:CF147)</f>
        <v>1</v>
      </c>
      <c r="CH147" s="511"/>
      <c r="CI147" s="502">
        <v>2.0030000000000001</v>
      </c>
      <c r="CJ147" s="502">
        <v>2.5</v>
      </c>
      <c r="CK147" s="502">
        <v>2.5</v>
      </c>
      <c r="CL147" s="502">
        <v>2</v>
      </c>
      <c r="CM147" s="502">
        <f>SUM(CI147:CL147)</f>
        <v>9.0030000000000001</v>
      </c>
      <c r="CN147" s="511"/>
      <c r="CO147" s="502">
        <v>1.7</v>
      </c>
      <c r="CP147" s="502">
        <v>2.5</v>
      </c>
      <c r="CQ147" s="502">
        <v>3.5</v>
      </c>
      <c r="CR147" s="502">
        <v>2</v>
      </c>
      <c r="CS147" s="502">
        <f>SUM(CO147:CR147)</f>
        <v>9.6999999999999993</v>
      </c>
      <c r="CT147" s="511"/>
      <c r="CU147" s="502">
        <v>2.5</v>
      </c>
      <c r="CV147" s="502">
        <v>3.4</v>
      </c>
      <c r="CW147" s="502">
        <v>4</v>
      </c>
      <c r="CX147" s="502">
        <v>2.6</v>
      </c>
      <c r="CY147" s="502">
        <f>SUM(CU147:CX147)</f>
        <v>12.5</v>
      </c>
      <c r="CZ147" s="511"/>
      <c r="DA147" s="502">
        <v>3.2</v>
      </c>
      <c r="DB147" s="502">
        <v>3.1</v>
      </c>
      <c r="DC147" s="502">
        <v>2</v>
      </c>
      <c r="DD147" s="502">
        <v>2.2000000000000002</v>
      </c>
      <c r="DE147" s="502">
        <f>SUM(DA147:DD147)</f>
        <v>10.5</v>
      </c>
      <c r="DF147" s="511"/>
      <c r="DG147" s="502">
        <v>2</v>
      </c>
      <c r="DH147" s="502">
        <f>DH148/DH150</f>
        <v>1.9153339604891819</v>
      </c>
      <c r="DI147" s="502">
        <f>DI148/DI150</f>
        <v>1.9090741082979119</v>
      </c>
      <c r="DJ147" s="502">
        <f>DJ148/DJ150</f>
        <v>1.0934863314208565</v>
      </c>
      <c r="DK147" s="502">
        <f>SUM(DG147:DJ147)</f>
        <v>6.9178944002079499</v>
      </c>
      <c r="DL147" s="511"/>
      <c r="DM147" s="502">
        <v>1.6</v>
      </c>
      <c r="DN147" s="502">
        <v>2.1</v>
      </c>
      <c r="DO147" s="502">
        <v>3.2</v>
      </c>
      <c r="DP147" s="502">
        <v>3.2</v>
      </c>
      <c r="DQ147" s="502">
        <f>SUM(DM147:DP147)</f>
        <v>10.100000000000001</v>
      </c>
      <c r="DR147" s="511"/>
      <c r="DS147" s="502">
        <v>1.6</v>
      </c>
      <c r="DT147" s="502">
        <v>3</v>
      </c>
      <c r="DU147" s="502">
        <v>2.2000000000000002</v>
      </c>
      <c r="DV147" s="502">
        <v>2.9</v>
      </c>
      <c r="DW147" s="502">
        <f>SUM(DS147:DV147)</f>
        <v>9.6999999999999993</v>
      </c>
      <c r="DX147" s="175"/>
      <c r="DY147" s="502">
        <v>2.2000000000000002</v>
      </c>
      <c r="DZ147" s="502">
        <v>1.2</v>
      </c>
      <c r="EA147" s="502">
        <v>1.0860000000000001</v>
      </c>
      <c r="EB147" s="502">
        <v>2.48</v>
      </c>
      <c r="EC147" s="502">
        <f>SUM(DY147:EB147)</f>
        <v>6.9660000000000011</v>
      </c>
      <c r="ED147" s="175"/>
      <c r="EE147" s="502">
        <v>2</v>
      </c>
      <c r="EF147" s="502">
        <f>EE147</f>
        <v>2</v>
      </c>
      <c r="EG147" s="502">
        <f t="shared" ref="EG147:EH147" si="173">EF147</f>
        <v>2</v>
      </c>
      <c r="EH147" s="502">
        <f t="shared" si="173"/>
        <v>2</v>
      </c>
      <c r="EI147" s="502">
        <f>SUM(EE147:EH147)</f>
        <v>8</v>
      </c>
      <c r="EJ147" s="175"/>
      <c r="EK147" s="502">
        <f>EH147</f>
        <v>2</v>
      </c>
      <c r="EL147" s="502">
        <f>EK147</f>
        <v>2</v>
      </c>
      <c r="EM147" s="502">
        <f t="shared" ref="EM147:EN147" si="174">EL147</f>
        <v>2</v>
      </c>
      <c r="EN147" s="502">
        <f t="shared" si="174"/>
        <v>2</v>
      </c>
      <c r="EO147" s="502">
        <f>SUM(EK147:EN147)</f>
        <v>8</v>
      </c>
      <c r="EP147" s="175"/>
      <c r="EQ147" s="502">
        <f>EN147</f>
        <v>2</v>
      </c>
      <c r="ER147" s="502">
        <f>EQ147</f>
        <v>2</v>
      </c>
      <c r="ES147" s="502">
        <f t="shared" ref="ES147" si="175">ER147</f>
        <v>2</v>
      </c>
      <c r="ET147" s="502">
        <f t="shared" ref="ET147" si="176">ES147</f>
        <v>2</v>
      </c>
      <c r="EU147" s="502">
        <f>SUM(EQ147:ET147)</f>
        <v>8</v>
      </c>
      <c r="EV147" s="175"/>
      <c r="EW147" s="175"/>
      <c r="EX147" s="160"/>
      <c r="EY147" s="160"/>
      <c r="EZ147" s="160"/>
      <c r="FA147" s="160"/>
      <c r="FB147" s="160"/>
    </row>
    <row r="148" spans="1:158" ht="15" hidden="1" customHeight="1" outlineLevel="1">
      <c r="A148" s="662" t="s">
        <v>4592</v>
      </c>
      <c r="B148" s="598"/>
      <c r="C148" s="278"/>
      <c r="D148" s="278"/>
      <c r="E148" s="278"/>
      <c r="F148" s="278"/>
      <c r="G148" s="278"/>
      <c r="H148" s="278"/>
      <c r="I148" s="278"/>
      <c r="J148" s="278"/>
      <c r="K148" s="599"/>
      <c r="L148" s="599"/>
      <c r="M148" s="599"/>
      <c r="N148" s="599"/>
      <c r="O148" s="663"/>
      <c r="P148" s="663"/>
      <c r="Q148" s="663"/>
      <c r="R148" s="663"/>
      <c r="S148" s="516">
        <f>-CF!S129</f>
        <v>48.866</v>
      </c>
      <c r="T148" s="599"/>
      <c r="U148" s="663"/>
      <c r="V148" s="663"/>
      <c r="W148" s="663"/>
      <c r="X148" s="663"/>
      <c r="Y148" s="516">
        <f>-CF!Y129</f>
        <v>90.072000000000003</v>
      </c>
      <c r="Z148" s="516"/>
      <c r="AA148" s="516">
        <f>-CF!AA129</f>
        <v>192.96100000000001</v>
      </c>
      <c r="AB148" s="516">
        <f>-CF!AB129</f>
        <v>40.566999999999979</v>
      </c>
      <c r="AC148" s="516">
        <f>-CF!AC129</f>
        <v>59.216000000000037</v>
      </c>
      <c r="AD148" s="516">
        <f>-CF!AD129</f>
        <v>66.548999999999978</v>
      </c>
      <c r="AE148" s="516">
        <f>SUM(AA148:AD148)</f>
        <v>359.29300000000001</v>
      </c>
      <c r="AF148" s="599"/>
      <c r="AG148" s="516">
        <f>-CF!AG129-AG159</f>
        <v>68.290000000000006</v>
      </c>
      <c r="AH148" s="516">
        <f>-CF!AH129-AH159</f>
        <v>6.6759999999999877</v>
      </c>
      <c r="AI148" s="516">
        <f>-CF!AI129-AI159</f>
        <v>12.321000000000012</v>
      </c>
      <c r="AJ148" s="516">
        <f>-CF!AJ129-AJ159</f>
        <v>10.006</v>
      </c>
      <c r="AK148" s="516">
        <f>-CF!AK129-AK159</f>
        <v>97.293000000000006</v>
      </c>
      <c r="AL148" s="599"/>
      <c r="AM148" s="516">
        <f>-CF!AM129-AM159</f>
        <v>9.9960000000000004</v>
      </c>
      <c r="AN148" s="516">
        <f>-CF!AN129-AN159</f>
        <v>26.796999999999997</v>
      </c>
      <c r="AO148" s="516">
        <f>-CF!AO129-AO159</f>
        <v>8.6060000000000016</v>
      </c>
      <c r="AP148" s="516">
        <f>-CF!AP129-AP159</f>
        <v>19.417999999999992</v>
      </c>
      <c r="AQ148" s="516">
        <f>-CF!AQ129-AQ159</f>
        <v>64.816999999999993</v>
      </c>
      <c r="AR148" s="599"/>
      <c r="AS148" s="516">
        <f>-CF!AS129-AS159</f>
        <v>29.881</v>
      </c>
      <c r="AT148" s="516">
        <f>-CF!AT129-AT159</f>
        <v>15.79</v>
      </c>
      <c r="AU148" s="516">
        <f>-CF!AU129-AU159</f>
        <v>35.390999999999998</v>
      </c>
      <c r="AV148" s="516">
        <f>-CF!AV129-AV159</f>
        <v>97.400999999999996</v>
      </c>
      <c r="AW148" s="516">
        <f>-CF!AW129-AW159</f>
        <v>178.46299999999999</v>
      </c>
      <c r="AX148" s="599"/>
      <c r="AY148" s="786">
        <f>-CF!AY129-AY159</f>
        <v>149</v>
      </c>
      <c r="AZ148" s="786">
        <f>-CF!AZ129-AZ159</f>
        <v>67.400000000000006</v>
      </c>
      <c r="BA148" s="786">
        <f>-CF!BA129-BA159</f>
        <v>183.70000000000002</v>
      </c>
      <c r="BB148" s="786">
        <f>-CF!BB129-BB159</f>
        <v>146.19999999999993</v>
      </c>
      <c r="BC148" s="786">
        <f>-CF!BC129-BC159</f>
        <v>546.42399999999998</v>
      </c>
      <c r="BD148" s="514"/>
      <c r="BE148" s="786">
        <f>-CF!BE129-BE159</f>
        <v>73.599999999999994</v>
      </c>
      <c r="BF148" s="786">
        <f>-CF!BF129-BF159</f>
        <v>128.5</v>
      </c>
      <c r="BG148" s="786">
        <f>-CF!BG129-BG159</f>
        <v>137.69999999999996</v>
      </c>
      <c r="BH148" s="786">
        <f>-CF!BH129-BH159</f>
        <v>101.13600000000001</v>
      </c>
      <c r="BI148" s="786">
        <f>SUM(BE148:BH148)</f>
        <v>440.93599999999998</v>
      </c>
      <c r="BJ148" s="514"/>
      <c r="BK148" s="786">
        <f>-CF!BK129-BK159</f>
        <v>65.8</v>
      </c>
      <c r="BL148" s="786">
        <v>89</v>
      </c>
      <c r="BM148" s="786">
        <v>0</v>
      </c>
      <c r="BN148" s="786">
        <v>0</v>
      </c>
      <c r="BO148" s="786">
        <f>SUM(BK148:BN148)</f>
        <v>154.80000000000001</v>
      </c>
      <c r="BP148" s="514"/>
      <c r="BQ148" s="786">
        <v>0</v>
      </c>
      <c r="BR148" s="786">
        <v>325</v>
      </c>
      <c r="BS148" s="786">
        <v>138.36000000000001</v>
      </c>
      <c r="BT148" s="786">
        <v>100</v>
      </c>
      <c r="BU148" s="786">
        <f>SUM(BQ148:BT148)</f>
        <v>563.36</v>
      </c>
      <c r="BV148" s="514"/>
      <c r="BW148" s="786">
        <f>BW147*32.06</f>
        <v>256.48</v>
      </c>
      <c r="BX148" s="786">
        <v>0</v>
      </c>
      <c r="BY148" s="786">
        <v>0</v>
      </c>
      <c r="BZ148" s="786">
        <v>0</v>
      </c>
      <c r="CA148" s="786">
        <f>SUM(BW148:BZ148)</f>
        <v>256.48</v>
      </c>
      <c r="CB148" s="514"/>
      <c r="CC148" s="786">
        <v>0</v>
      </c>
      <c r="CD148" s="786">
        <v>0</v>
      </c>
      <c r="CE148" s="786">
        <v>39</v>
      </c>
      <c r="CF148" s="786">
        <v>24</v>
      </c>
      <c r="CG148" s="786">
        <f>SUM(CC148:CF148)</f>
        <v>63</v>
      </c>
      <c r="CH148" s="514"/>
      <c r="CI148" s="786">
        <f>-CF!CI129</f>
        <v>58.8</v>
      </c>
      <c r="CJ148" s="786">
        <v>70</v>
      </c>
      <c r="CK148" s="786">
        <f>2.5*29.93</f>
        <v>74.825000000000003</v>
      </c>
      <c r="CL148" s="786">
        <f>-CF!CL129</f>
        <v>76.200000000000017</v>
      </c>
      <c r="CM148" s="786">
        <f>SUM(CI148:CL148)</f>
        <v>279.82500000000005</v>
      </c>
      <c r="CN148" s="514"/>
      <c r="CO148" s="786">
        <v>69</v>
      </c>
      <c r="CP148" s="786">
        <f>-CF!CP129</f>
        <v>100.80000000000001</v>
      </c>
      <c r="CQ148" s="786">
        <f>-CF!CQ129</f>
        <v>94.299999999999983</v>
      </c>
      <c r="CR148" s="786">
        <f>-CF!CR129</f>
        <v>63.699999999999989</v>
      </c>
      <c r="CS148" s="786">
        <f>SUM(CO148:CR148)</f>
        <v>327.8</v>
      </c>
      <c r="CT148" s="514"/>
      <c r="CU148" s="786">
        <f>-CF!CU56</f>
        <v>99.2</v>
      </c>
      <c r="CV148" s="786">
        <f>-CF!CV129</f>
        <v>111.10000000000001</v>
      </c>
      <c r="CW148" s="786">
        <f>130</f>
        <v>130</v>
      </c>
      <c r="CX148" s="786">
        <f>-CF!CX129</f>
        <v>90.699999999999989</v>
      </c>
      <c r="CY148" s="786">
        <f>SUM(CU148:CX148)</f>
        <v>431</v>
      </c>
      <c r="CZ148" s="514"/>
      <c r="DA148" s="786">
        <f>-CF!DA56</f>
        <v>129.19999999999999</v>
      </c>
      <c r="DB148" s="786">
        <f>-CF!DB129</f>
        <v>110.60000000000002</v>
      </c>
      <c r="DC148" s="786">
        <f>-CF!DC129</f>
        <v>78.899999999999977</v>
      </c>
      <c r="DD148" s="786">
        <f>-CF!DD129</f>
        <v>105.10000000000002</v>
      </c>
      <c r="DE148" s="786">
        <f>SUM(DA148:DD148)</f>
        <v>423.8</v>
      </c>
      <c r="DF148" s="514"/>
      <c r="DG148" s="786">
        <f>-CF!DG56</f>
        <v>102.5</v>
      </c>
      <c r="DH148" s="786">
        <f>-CF!DH129</f>
        <v>101.80000000000001</v>
      </c>
      <c r="DI148" s="786">
        <f>-CF!DI129</f>
        <v>103.30000000000001</v>
      </c>
      <c r="DJ148" s="786">
        <f>-CF!DJ129</f>
        <v>64.799999999999955</v>
      </c>
      <c r="DK148" s="786">
        <f>SUM(DG148:DJ148)</f>
        <v>372.4</v>
      </c>
      <c r="DL148" s="514"/>
      <c r="DM148" s="786">
        <f>-CF!DM56</f>
        <v>95.4</v>
      </c>
      <c r="DN148" s="786">
        <f>-CF!DN129</f>
        <v>112.29999999999998</v>
      </c>
      <c r="DO148" s="786">
        <f>-CF!DO129</f>
        <v>150</v>
      </c>
      <c r="DP148" s="786">
        <f>-CF!DP129</f>
        <v>151.90000000000003</v>
      </c>
      <c r="DQ148" s="786">
        <f>SUM(DM148:DP148)</f>
        <v>509.6</v>
      </c>
      <c r="DR148" s="514"/>
      <c r="DS148" s="786">
        <f>-CF!DS56</f>
        <v>118.39999999999999</v>
      </c>
      <c r="DT148" s="786">
        <v>170</v>
      </c>
      <c r="DU148" s="786">
        <v>122</v>
      </c>
      <c r="DV148" s="786">
        <v>222</v>
      </c>
      <c r="DW148">
        <f>SUM(DS148:DV148)</f>
        <v>632.4</v>
      </c>
      <c r="DX148" s="602"/>
      <c r="DY148" s="786">
        <f>-CF!DY56</f>
        <v>195.9</v>
      </c>
      <c r="DZ148" s="786">
        <f>-CF!DZ129</f>
        <v>119.29999999999998</v>
      </c>
      <c r="EA148" s="786">
        <f>-CF!EA129</f>
        <v>122.69999999999999</v>
      </c>
      <c r="EB148" s="786">
        <v>262</v>
      </c>
      <c r="EC148" s="1787">
        <f>SUM(DY148:EB148)</f>
        <v>699.9</v>
      </c>
      <c r="ED148" s="602"/>
      <c r="EE148" s="2238">
        <f>EE150*EE147</f>
        <v>200.35227272727272</v>
      </c>
      <c r="EF148" s="2238">
        <f t="shared" ref="EF148:EH148" si="177">EF150*EF147</f>
        <v>200.35227272727272</v>
      </c>
      <c r="EG148" s="2238">
        <f t="shared" si="177"/>
        <v>200.35227272727272</v>
      </c>
      <c r="EH148" s="2238">
        <f t="shared" si="177"/>
        <v>200.35227272727272</v>
      </c>
      <c r="EI148" s="2008">
        <f>SUM(EE148:EH148)</f>
        <v>801.40909090909088</v>
      </c>
      <c r="EJ148" s="602"/>
      <c r="EK148" s="2238">
        <f>EK150*EK147</f>
        <v>225.39630681818181</v>
      </c>
      <c r="EL148" s="2238">
        <f t="shared" ref="EL148" si="178">EL150*EL147</f>
        <v>225.39630681818181</v>
      </c>
      <c r="EM148" s="2238">
        <f t="shared" ref="EM148" si="179">EM150*EM147</f>
        <v>225.39630681818181</v>
      </c>
      <c r="EN148" s="2238">
        <f t="shared" ref="EN148" si="180">EN150*EN147</f>
        <v>225.39630681818181</v>
      </c>
      <c r="EO148" s="2117">
        <f>SUM(EK148:EN148)</f>
        <v>901.58522727272725</v>
      </c>
      <c r="EP148" s="602"/>
      <c r="EQ148" s="2238">
        <f>EQ150*EQ147</f>
        <v>253.57084517045453</v>
      </c>
      <c r="ER148" s="2238">
        <f t="shared" ref="ER148:ET148" si="181">ER150*ER147</f>
        <v>253.57084517045453</v>
      </c>
      <c r="ES148" s="2238">
        <f t="shared" si="181"/>
        <v>253.57084517045453</v>
      </c>
      <c r="ET148" s="2238">
        <f t="shared" si="181"/>
        <v>253.57084517045453</v>
      </c>
      <c r="EU148" s="2291">
        <f>SUM(EQ148:ET148)</f>
        <v>1014.2833806818181</v>
      </c>
      <c r="EV148" s="602"/>
      <c r="EW148" s="602"/>
      <c r="EX148" s="601"/>
      <c r="EY148" s="601"/>
      <c r="EZ148" s="601"/>
      <c r="FA148" s="601"/>
      <c r="FB148" s="601"/>
    </row>
    <row r="149" spans="1:158" ht="15" hidden="1" customHeight="1" outlineLevel="1">
      <c r="A149" s="723" t="s">
        <v>2327</v>
      </c>
      <c r="B149" s="719"/>
      <c r="C149" s="720"/>
      <c r="D149" s="720"/>
      <c r="E149" s="720"/>
      <c r="F149" s="720"/>
      <c r="G149" s="720"/>
      <c r="H149" s="720"/>
      <c r="I149" s="720"/>
      <c r="J149" s="720"/>
      <c r="K149" s="599"/>
      <c r="L149" s="599"/>
      <c r="M149" s="599"/>
      <c r="N149" s="599"/>
      <c r="O149" s="721"/>
      <c r="P149" s="721"/>
      <c r="Q149" s="721"/>
      <c r="R149" s="721"/>
      <c r="S149" s="508">
        <f>S148/Model!S286</f>
        <v>0.33651257118852984</v>
      </c>
      <c r="T149" s="599"/>
      <c r="U149" s="721"/>
      <c r="V149" s="721"/>
      <c r="W149" s="721"/>
      <c r="X149" s="721"/>
      <c r="Y149" s="508">
        <f>Y148/Model!Y286</f>
        <v>0.96854737249588674</v>
      </c>
      <c r="Z149" s="507"/>
      <c r="AA149" s="508">
        <f>AA148/Model!AA286</f>
        <v>6.8862995610435105</v>
      </c>
      <c r="AB149" s="508">
        <f>AB148/Model!AB286</f>
        <v>0.88344693917550388</v>
      </c>
      <c r="AC149" s="508">
        <f>AC148/Model!AC286</f>
        <v>1.9946106170843445</v>
      </c>
      <c r="AD149" s="508">
        <f>AD148/Model!AD286</f>
        <v>1.1076731025299595</v>
      </c>
      <c r="AE149" s="508">
        <f>AE148/Model!AE286</f>
        <v>2.1947186453930168</v>
      </c>
      <c r="AF149" s="599"/>
      <c r="AG149" s="508">
        <f>AG148/Model!AG286</f>
        <v>2.2840992708542416</v>
      </c>
      <c r="AH149" s="508">
        <f>AH148/Model!AH286</f>
        <v>0.16648379052369053</v>
      </c>
      <c r="AI149" s="508">
        <f>AI148/Model!AI286</f>
        <v>0.54082170134316665</v>
      </c>
      <c r="AJ149" s="508">
        <f>AJ148/Model!AJ286</f>
        <v>0.13838026221165006</v>
      </c>
      <c r="AK149" s="508">
        <f>AK148/Model!AK286</f>
        <v>0.58934023066485774</v>
      </c>
      <c r="AL149" s="599"/>
      <c r="AM149" s="508">
        <f>AM148/Model!AM286</f>
        <v>1.8849707712615436</v>
      </c>
      <c r="AN149" s="508">
        <f>AN148/Model!AN286</f>
        <v>2.8635392177815726</v>
      </c>
      <c r="AO149" s="508">
        <f>AO148/Model!AO286</f>
        <v>-17.929166666665857</v>
      </c>
      <c r="AP149" s="508">
        <f>AP148/Model!AP286</f>
        <v>0.54929139203982869</v>
      </c>
      <c r="AQ149" s="508">
        <f>AQ148/Model!AQ286</f>
        <v>1.3085883873051758</v>
      </c>
      <c r="AR149" s="599"/>
      <c r="AS149" s="508">
        <f>AS148/Model!AS286</f>
        <v>2.2428131802146667</v>
      </c>
      <c r="AT149" s="508">
        <f>AT148/Model!AT286</f>
        <v>0.77466516214492553</v>
      </c>
      <c r="AU149" s="508">
        <f>AU148/Model!AU286</f>
        <v>0.72929030662710193</v>
      </c>
      <c r="AV149" s="508">
        <f>AV148/Model!AV286</f>
        <v>0.86967508058251497</v>
      </c>
      <c r="AW149" s="508">
        <f>AW148/Model!AW286</f>
        <v>0.91881831427526994</v>
      </c>
      <c r="AX149" s="599"/>
      <c r="AY149" s="508">
        <f>AY148/Model!AY286</f>
        <v>3.0460381061411379</v>
      </c>
      <c r="AZ149" s="508">
        <f>AZ148/Model!AZ286</f>
        <v>0.91451831750339196</v>
      </c>
      <c r="BA149" s="508">
        <f>BA148/Model!BA286</f>
        <v>2.3740598102819934</v>
      </c>
      <c r="BB149" s="508">
        <f>BB148/Model!BB286</f>
        <v>1.1051561354307613</v>
      </c>
      <c r="BC149" s="508">
        <f>BC148/Model!BC286</f>
        <v>1.6444536735252784</v>
      </c>
      <c r="BD149" s="599"/>
      <c r="BE149" s="508">
        <f>BE148/Model!BE286</f>
        <v>1.2731141132310466</v>
      </c>
      <c r="BF149" s="508">
        <f>BF148/Model!BF286</f>
        <v>1.1808925158064991</v>
      </c>
      <c r="BG149" s="508">
        <f>BG148/Model!BG286</f>
        <v>1.1520602384438399</v>
      </c>
      <c r="BH149" s="508">
        <f>BH148/Model!BH286</f>
        <v>0.93085928871217138</v>
      </c>
      <c r="BI149" s="508">
        <f>BI148/Model!BI286</f>
        <v>1.1168591691995944</v>
      </c>
      <c r="BJ149" s="599"/>
      <c r="BK149" s="508">
        <f>BK148/Model!BK286</f>
        <v>0.83502538071066024</v>
      </c>
      <c r="BL149" s="508">
        <f>BL148/Model!BL286</f>
        <v>0.57161207450224794</v>
      </c>
      <c r="BM149" s="508">
        <f>BM148/Model!BM286</f>
        <v>0</v>
      </c>
      <c r="BN149" s="508">
        <f>BN148/Model!BN286</f>
        <v>0</v>
      </c>
      <c r="BO149" s="508">
        <f>BO148/Model!BO286</f>
        <v>0.28597820062811752</v>
      </c>
      <c r="BP149" s="599"/>
      <c r="BQ149" s="508">
        <f>BQ148/Model!BQ286</f>
        <v>0</v>
      </c>
      <c r="BR149" s="508">
        <f>BR148/Model!BR286</f>
        <v>2.5958466453674114</v>
      </c>
      <c r="BS149" s="508">
        <f>BS148/Model!BS286</f>
        <v>0.9199468085106387</v>
      </c>
      <c r="BT149" s="508">
        <f>BT148/Model!BT286</f>
        <v>0.48828125000000006</v>
      </c>
      <c r="BU149" s="508">
        <f>BU148/Model!BU286</f>
        <v>0.84690318701142508</v>
      </c>
      <c r="BV149" s="599"/>
      <c r="BW149" s="508">
        <f>BW148/Model!BW286</f>
        <v>1.4920302501454337</v>
      </c>
      <c r="BX149" s="508">
        <f>BX148/Model!BX286</f>
        <v>0</v>
      </c>
      <c r="BY149" s="508">
        <f>BY148/Model!BY286</f>
        <v>0</v>
      </c>
      <c r="BZ149" s="508">
        <f>BZ148/Model!BZ286</f>
        <v>0</v>
      </c>
      <c r="CA149" s="508">
        <f>CA148/Model!CA286</f>
        <v>0.49755567626290059</v>
      </c>
      <c r="CB149" s="599"/>
      <c r="CC149" s="508">
        <f>CC148/Model!CC286</f>
        <v>0</v>
      </c>
      <c r="CD149" s="508">
        <f>CD148/Model!CD286</f>
        <v>0</v>
      </c>
      <c r="CE149" s="508">
        <f>CE148/Model!CE286</f>
        <v>0.95588235294117607</v>
      </c>
      <c r="CF149" s="508">
        <f>CF148/Model!CF286</f>
        <v>0.20547945205479454</v>
      </c>
      <c r="CG149" s="508">
        <f>CG148/Model!CG286</f>
        <v>0.30317613089509143</v>
      </c>
      <c r="CH149" s="599"/>
      <c r="CI149" s="508">
        <f>CI148/Model!CI286</f>
        <v>0.44111027756939236</v>
      </c>
      <c r="CJ149" s="508">
        <f>CJ148/Model!CJ286</f>
        <v>0.65913370998116771</v>
      </c>
      <c r="CK149" s="508">
        <f>CK148/Model!CK286</f>
        <v>0.6973438956197574</v>
      </c>
      <c r="CL149" s="508">
        <f>CL148/Model!CL286</f>
        <v>0.45986722993361495</v>
      </c>
      <c r="CM149" s="508">
        <f>CM148/Model!CM286</f>
        <v>0.54600000000000004</v>
      </c>
      <c r="CN149" s="599"/>
      <c r="CO149" s="508">
        <f>CO148/Model!CO286</f>
        <v>0.65714285714285736</v>
      </c>
      <c r="CP149" s="508">
        <f>CP148/Model!CP286</f>
        <v>0.8704663212435233</v>
      </c>
      <c r="CQ149" s="508">
        <f>CQ148/Model!CQ286</f>
        <v>0.73214285714285698</v>
      </c>
      <c r="CR149" s="508">
        <f>CR148/Model!CR286</f>
        <v>0.39589807333747667</v>
      </c>
      <c r="CS149" s="508">
        <f>CS148/Model!CS286</f>
        <v>0.64211557296767874</v>
      </c>
      <c r="CT149" s="599"/>
      <c r="CU149" s="508">
        <f>CU148/Model!CU286</f>
        <v>0.77621283255086082</v>
      </c>
      <c r="CV149" s="508">
        <f>CV148/Model!CV286</f>
        <v>1.2289823008849559</v>
      </c>
      <c r="CW149" s="508">
        <f>CW148/Model!CW286</f>
        <v>0.9246088193456613</v>
      </c>
      <c r="CX149" s="508">
        <f>CX148/Model!CX286</f>
        <v>0.63029881862404424</v>
      </c>
      <c r="CY149" s="508">
        <f>CY148/Model!CY286</f>
        <v>0.85737020091505856</v>
      </c>
      <c r="CZ149" s="599"/>
      <c r="DA149" s="508">
        <f>DA148/Model!DA286</f>
        <v>0.65153807362581939</v>
      </c>
      <c r="DB149" s="508">
        <f>DB148/Model!DB286</f>
        <v>2.2804123711340218</v>
      </c>
      <c r="DC149" s="508">
        <f>DC148/Model!DC286</f>
        <v>1.0089514066496155</v>
      </c>
      <c r="DD149" s="508">
        <f>DD148/Model!DD286</f>
        <v>0.60298336201950664</v>
      </c>
      <c r="DE149" s="508">
        <f>DE148/Model!DE286</f>
        <v>0.84878830362507507</v>
      </c>
      <c r="DF149" s="599"/>
      <c r="DG149" s="508">
        <f>DG148/Model!DG286</f>
        <v>0.50195886385896182</v>
      </c>
      <c r="DH149" s="508">
        <f>DH148/Model!DH286</f>
        <v>1.2869785082174461</v>
      </c>
      <c r="DI149" s="508">
        <f>DI148/Model!DI286</f>
        <v>0.96003717472118977</v>
      </c>
      <c r="DJ149" s="508">
        <f>DJ148/Model!DJ286</f>
        <v>0.2681009515928835</v>
      </c>
      <c r="DK149" s="508">
        <f>DK148/Model!DK286</f>
        <v>0.58868163136263041</v>
      </c>
      <c r="DL149" s="599"/>
      <c r="DM149" s="508">
        <f>DM148/Model!DM286</f>
        <v>1.2891891891891896</v>
      </c>
      <c r="DN149" s="508">
        <f>DN148/Model!DN286</f>
        <v>1.8747913188647742</v>
      </c>
      <c r="DO149" s="508">
        <f>DO148/Model!DO286</f>
        <v>2.1929824561403515</v>
      </c>
      <c r="DP149" s="508">
        <f>DP148/Model!DP286</f>
        <v>1.0904522613065328</v>
      </c>
      <c r="DQ149" s="508">
        <f>DQ148/Model!DQ286</f>
        <v>1.4918032786885245</v>
      </c>
      <c r="DR149" s="599"/>
      <c r="DS149" s="508">
        <f>DS148/Model!DS286</f>
        <v>0.83380281690140823</v>
      </c>
      <c r="DT149" s="508">
        <f>DT148/Model!DT286</f>
        <v>-4.4502617801047135</v>
      </c>
      <c r="DU149" s="508">
        <f>DU148/Model!DU286</f>
        <v>-8.2432432432432492</v>
      </c>
      <c r="DV149" s="508">
        <f>DV148/Model!DV286</f>
        <v>47.234042553192033</v>
      </c>
      <c r="DW149" s="508">
        <f>DW148/Model!DW286</f>
        <v>6.7491995731056571</v>
      </c>
      <c r="DX149" s="722"/>
      <c r="DY149" s="508">
        <f>DY148/Model!DY286</f>
        <v>5.3524590163934347</v>
      </c>
      <c r="DZ149" s="508">
        <f>DZ148/Model!DZ286</f>
        <v>-1.3211517165005524</v>
      </c>
      <c r="EA149" s="508">
        <f>EA148/Model!EA286</f>
        <v>-1.9201877934272307</v>
      </c>
      <c r="EB149" s="508">
        <f>EB148/Model!EB286</f>
        <v>3.8643067846607657</v>
      </c>
      <c r="EC149" s="508">
        <f>EC148/Model!EC286</f>
        <v>-14.054216867469872</v>
      </c>
      <c r="ED149" s="722"/>
      <c r="EE149" s="508">
        <f>EE148/Model!EE286</f>
        <v>6.9829203933392927</v>
      </c>
      <c r="EF149" s="508">
        <f>EF148/Model!EF286</f>
        <v>3.080151695680069</v>
      </c>
      <c r="EG149" s="508">
        <f>EG148/Model!EG286</f>
        <v>4.4274928949712482</v>
      </c>
      <c r="EH149" s="508">
        <f>EH148/Model!EH286</f>
        <v>0.50202535079201438</v>
      </c>
      <c r="EI149" s="508">
        <f>EI148/Model!EI286</f>
        <v>1.4893925654545233</v>
      </c>
      <c r="EJ149" s="722"/>
      <c r="EK149" s="508">
        <f>EK148/Model!EK286</f>
        <v>-51.544066037528729</v>
      </c>
      <c r="EL149" s="508">
        <f>EL148/Model!EL286</f>
        <v>0.97749387385107556</v>
      </c>
      <c r="EM149" s="508">
        <f>EM148/Model!EM286</f>
        <v>1.0447650653339897</v>
      </c>
      <c r="EN149" s="508">
        <f>EN148/Model!EN286</f>
        <v>0.33288243604181195</v>
      </c>
      <c r="EO149" s="508">
        <f>EO148/Model!EO286</f>
        <v>0.8056654401095239</v>
      </c>
      <c r="EP149" s="722"/>
      <c r="EQ149" s="508">
        <f>EQ148/Model!EQ286</f>
        <v>1.5400125115287748</v>
      </c>
      <c r="ER149" s="508">
        <f>ER148/Model!ER286</f>
        <v>0.81826975088120335</v>
      </c>
      <c r="ES149" s="508">
        <f>ES148/Model!ES286</f>
        <v>0.9699873948748402</v>
      </c>
      <c r="ET149" s="508">
        <f>ET148/Model!ET286</f>
        <v>0.37502149083240882</v>
      </c>
      <c r="EU149" s="508">
        <f>EU148/Model!EU286</f>
        <v>0.71827582141672464</v>
      </c>
      <c r="EV149" s="722"/>
      <c r="EW149" s="722"/>
      <c r="EX149" s="601"/>
      <c r="EY149" s="601"/>
      <c r="EZ149" s="601"/>
      <c r="FA149" s="601"/>
      <c r="FB149" s="601"/>
    </row>
    <row r="150" spans="1:158" ht="14.25" hidden="1" customHeight="1" outlineLevel="1">
      <c r="A150" s="292" t="s">
        <v>4593</v>
      </c>
      <c r="B150" s="32"/>
      <c r="C150" s="353"/>
      <c r="D150" s="90"/>
      <c r="E150" s="90"/>
      <c r="F150" s="90"/>
      <c r="G150" s="61"/>
      <c r="H150" s="90"/>
      <c r="I150" s="90"/>
      <c r="J150" s="90"/>
      <c r="K150" s="500"/>
      <c r="L150" s="500"/>
      <c r="M150" s="500"/>
      <c r="N150" s="500"/>
      <c r="O150" s="515"/>
      <c r="P150" s="515"/>
      <c r="Q150" s="515"/>
      <c r="R150" s="515"/>
      <c r="S150" s="516">
        <f>42.56/4</f>
        <v>10.64</v>
      </c>
      <c r="T150" s="514"/>
      <c r="U150" s="515"/>
      <c r="V150" s="515"/>
      <c r="W150" s="515"/>
      <c r="X150" s="515"/>
      <c r="Y150" s="516">
        <f>31.11/4</f>
        <v>7.7774999999999999</v>
      </c>
      <c r="Z150" s="514"/>
      <c r="AA150" s="516">
        <f>AA148/AA147</f>
        <v>12.060062500000001</v>
      </c>
      <c r="AB150" s="516">
        <f>AB148/AB147</f>
        <v>8.4514583333333295</v>
      </c>
      <c r="AC150" s="516">
        <f>AC148/AC147</f>
        <v>7.4020000000000046</v>
      </c>
      <c r="AD150" s="516">
        <f>AD148/AD147</f>
        <v>8.3186250000000008</v>
      </c>
      <c r="AE150" s="516">
        <f>AE148/AE147</f>
        <v>9.7633967391304353</v>
      </c>
      <c r="AF150" s="514"/>
      <c r="AG150" s="516">
        <f>AG148/AG147</f>
        <v>9.4847222222222225</v>
      </c>
      <c r="AH150" s="516">
        <f>AH148/AH147</f>
        <v>8.3449999999999847</v>
      </c>
      <c r="AI150" s="516">
        <f>AI148/AI147</f>
        <v>8.8259312320916994</v>
      </c>
      <c r="AJ150" s="516">
        <f>AJ148/AJ147</f>
        <v>8.3106312292358879</v>
      </c>
      <c r="AK150" s="516">
        <f>AK148/AK147</f>
        <v>9.1785849056603777</v>
      </c>
      <c r="AL150" s="514"/>
      <c r="AM150" s="516">
        <f>AM148/AM147</f>
        <v>12.494999999999999</v>
      </c>
      <c r="AN150" s="516">
        <f>AN148/AN147</f>
        <v>6.6992499999999993</v>
      </c>
      <c r="AO150" s="516">
        <f>AO148/AO147</f>
        <v>6.1471428571428568</v>
      </c>
      <c r="AP150" s="516">
        <f>AP148/AP147</f>
        <v>7.4684615384615336</v>
      </c>
      <c r="AQ150" s="516">
        <f>AQ148/AQ147</f>
        <v>7.3655681818181806</v>
      </c>
      <c r="AR150" s="514"/>
      <c r="AS150" s="516">
        <f>AS148/AS147</f>
        <v>7.4702500000000001</v>
      </c>
      <c r="AT150" s="516">
        <f>AT148/AT147</f>
        <v>2.6316666666666664</v>
      </c>
      <c r="AU150" s="516">
        <f>AU148/AU147</f>
        <v>3.5390999999999999</v>
      </c>
      <c r="AV150" s="516">
        <f>AV148/AV147</f>
        <v>11.878170731707318</v>
      </c>
      <c r="AW150" s="516">
        <f>AW148/AW147</f>
        <v>9.8056593406593411</v>
      </c>
      <c r="AX150" s="361"/>
      <c r="AY150" s="516">
        <f>AY148/AY147</f>
        <v>14.373914721203937</v>
      </c>
      <c r="AZ150" s="516">
        <f>AZ148/AZ147</f>
        <v>20.30120481927711</v>
      </c>
      <c r="BA150" s="516">
        <f>BA148/BA147</f>
        <v>22.876712328767127</v>
      </c>
      <c r="BB150" s="516">
        <f>BB148/BB147</f>
        <v>34.809523809523789</v>
      </c>
      <c r="BC150" s="516">
        <f>BC148/BC147</f>
        <v>21.083613072500672</v>
      </c>
      <c r="BD150" s="500"/>
      <c r="BE150" s="516">
        <f>BE148/BE147</f>
        <v>29.463570856685344</v>
      </c>
      <c r="BF150" s="516">
        <f>BF148/BF147</f>
        <v>36.673462910999639</v>
      </c>
      <c r="BG150" s="516">
        <f>BG148/BG147</f>
        <v>42.713899077944326</v>
      </c>
      <c r="BH150" s="516">
        <f>BH148/BH147</f>
        <v>40.454400000000007</v>
      </c>
      <c r="BI150" s="516">
        <f>BI148/BI147</f>
        <v>37.60432985029172</v>
      </c>
      <c r="BJ150" s="500"/>
      <c r="BK150" s="516">
        <f>BK148/BK147</f>
        <v>38.705882352941174</v>
      </c>
      <c r="BL150" s="516">
        <f>BL141</f>
        <v>35.177030000000002</v>
      </c>
      <c r="BM150" s="516">
        <f>BM141</f>
        <v>34.527500000000003</v>
      </c>
      <c r="BN150" s="516">
        <f>BN141</f>
        <v>40.569840000000006</v>
      </c>
      <c r="BO150" s="516">
        <f>AVERAGE(BK150:BN150)</f>
        <v>37.245063088235298</v>
      </c>
      <c r="BP150" s="500"/>
      <c r="BQ150" s="516">
        <f>BQ141</f>
        <v>40.143120000000003</v>
      </c>
      <c r="BR150" s="516">
        <f>BR148/BR147</f>
        <v>46.020957235910508</v>
      </c>
      <c r="BS150" s="516">
        <f>BS148/BS147</f>
        <v>46.104631789403541</v>
      </c>
      <c r="BT150" s="516">
        <f>BT148/BT147</f>
        <v>48.449612403100772</v>
      </c>
      <c r="BU150" s="516">
        <f>AVERAGE(BQ150:BT150)</f>
        <v>45.179580357103703</v>
      </c>
      <c r="BV150" s="500"/>
      <c r="BW150" s="516">
        <f>BW148/BW147</f>
        <v>32.06</v>
      </c>
      <c r="BX150" s="516">
        <f>BX141</f>
        <v>37.160940000000004</v>
      </c>
      <c r="BY150" s="516">
        <f>BY141</f>
        <v>31.542340000000003</v>
      </c>
      <c r="BZ150" s="516">
        <f>BZ141</f>
        <v>18.194190000000003</v>
      </c>
      <c r="CA150" s="516">
        <f>AVERAGE(BW150:BZ150)</f>
        <v>29.739367500000004</v>
      </c>
      <c r="CB150" s="500"/>
      <c r="CC150" s="516">
        <f>CC148/CC147</f>
        <v>0</v>
      </c>
      <c r="CD150" s="516">
        <f>CD148/CD147</f>
        <v>0</v>
      </c>
      <c r="CE150" s="516">
        <v>0</v>
      </c>
      <c r="CF150" s="516">
        <v>0</v>
      </c>
      <c r="CG150" s="516">
        <f>CG148/CG147</f>
        <v>63</v>
      </c>
      <c r="CH150" s="500"/>
      <c r="CI150" s="516">
        <f>CI148/CI147</f>
        <v>29.355966050923612</v>
      </c>
      <c r="CJ150" s="516">
        <f>CJ148/CJ147</f>
        <v>28</v>
      </c>
      <c r="CK150" s="516">
        <f>CK148/CK147</f>
        <v>29.93</v>
      </c>
      <c r="CL150" s="516">
        <f>CL148/CL147</f>
        <v>38.100000000000009</v>
      </c>
      <c r="CM150" s="516">
        <f>AVERAGE(CI150:CL150)</f>
        <v>31.346491512730903</v>
      </c>
      <c r="CN150" s="500"/>
      <c r="CO150" s="516">
        <f>CO148/CO147</f>
        <v>40.588235294117645</v>
      </c>
      <c r="CP150" s="516">
        <f>CP148/CP147</f>
        <v>40.320000000000007</v>
      </c>
      <c r="CQ150" s="516">
        <f>CQ148/CQ147</f>
        <v>26.94285714285714</v>
      </c>
      <c r="CR150" s="516">
        <f>CR148/CR147</f>
        <v>31.849999999999994</v>
      </c>
      <c r="CS150" s="516">
        <f>AVERAGE(CO150:CR150)</f>
        <v>34.92527310924369</v>
      </c>
      <c r="CT150" s="500"/>
      <c r="CU150" s="516">
        <f>CU148/CU147</f>
        <v>39.68</v>
      </c>
      <c r="CV150" s="516">
        <f>CV148/CV147</f>
        <v>32.676470588235297</v>
      </c>
      <c r="CW150" s="516">
        <f>CW148/CW147</f>
        <v>32.5</v>
      </c>
      <c r="CX150" s="516">
        <f>CX148/CX147</f>
        <v>34.88461538461538</v>
      </c>
      <c r="CY150" s="516">
        <f>AVERAGE(CU150:CX150)</f>
        <v>34.935271493212667</v>
      </c>
      <c r="CZ150" s="500"/>
      <c r="DA150" s="516">
        <f>DA148/DA147</f>
        <v>40.374999999999993</v>
      </c>
      <c r="DB150" s="516">
        <f>DB148/DB147</f>
        <v>35.677419354838719</v>
      </c>
      <c r="DC150" s="516">
        <f>DC148/DC147</f>
        <v>39.449999999999989</v>
      </c>
      <c r="DD150" s="516">
        <f>DD148/DD147</f>
        <v>47.77272727272728</v>
      </c>
      <c r="DE150" s="516">
        <f>AVERAGE(DA150:DD150)</f>
        <v>40.818786656891497</v>
      </c>
      <c r="DF150" s="500"/>
      <c r="DG150" s="516">
        <f>DG148/DG147</f>
        <v>51.25</v>
      </c>
      <c r="DH150" s="516">
        <v>53.15</v>
      </c>
      <c r="DI150" s="516">
        <v>54.11</v>
      </c>
      <c r="DJ150" s="516">
        <v>59.26</v>
      </c>
      <c r="DK150" s="516">
        <f>AVERAGE(DG150:DJ150)</f>
        <v>54.442499999999995</v>
      </c>
      <c r="DL150" s="500"/>
      <c r="DM150" s="516">
        <f>DM148/DM147</f>
        <v>59.625</v>
      </c>
      <c r="DN150" s="516">
        <f>DN148/DN147</f>
        <v>53.476190476190467</v>
      </c>
      <c r="DO150" s="516">
        <f>DO148/DO147</f>
        <v>46.875</v>
      </c>
      <c r="DP150" s="516">
        <f>DP141</f>
        <v>40.383302884615375</v>
      </c>
      <c r="DQ150" s="516">
        <f>AVERAGE(DM150:DP150)</f>
        <v>50.089873340201464</v>
      </c>
      <c r="DR150" s="500"/>
      <c r="DS150" s="516">
        <f>DS148/DS147</f>
        <v>73.999999999999986</v>
      </c>
      <c r="DT150" s="516">
        <f>DT148/DT147</f>
        <v>56.666666666666664</v>
      </c>
      <c r="DU150" s="516">
        <f>DU148/DU147</f>
        <v>55.454545454545453</v>
      </c>
      <c r="DV150" s="516">
        <v>75.98</v>
      </c>
      <c r="DW150" s="516">
        <f>DW148/DW147</f>
        <v>65.19587628865979</v>
      </c>
      <c r="DX150" s="142"/>
      <c r="DY150" s="516">
        <f>DY148/DY147</f>
        <v>89.045454545454547</v>
      </c>
      <c r="DZ150" s="2276">
        <f>DZ148/DZ147</f>
        <v>99.416666666666657</v>
      </c>
      <c r="EA150" s="786">
        <f>EA148/EA147</f>
        <v>112.98342541436462</v>
      </c>
      <c r="EB150" s="786">
        <f>EB148/EB147</f>
        <v>105.64516129032258</v>
      </c>
      <c r="EC150" s="786">
        <f>EC148/EC147</f>
        <v>100.47372954349697</v>
      </c>
      <c r="ED150" s="142"/>
      <c r="EE150" s="2118">
        <f>DY150*(1+'Biz Transition Scenarios'!$H$301)</f>
        <v>100.17613636363636</v>
      </c>
      <c r="EF150" s="2118">
        <f>EE150</f>
        <v>100.17613636363636</v>
      </c>
      <c r="EG150" s="2118">
        <f>EF150</f>
        <v>100.17613636363636</v>
      </c>
      <c r="EH150" s="2118">
        <f>EG150</f>
        <v>100.17613636363636</v>
      </c>
      <c r="EI150" s="516">
        <f>AVERAGE(EE150:EH150)</f>
        <v>100.17613636363636</v>
      </c>
      <c r="EJ150" s="142"/>
      <c r="EK150" s="2118">
        <f>EE150*(1+'Biz Transition Scenarios'!$H$301)</f>
        <v>112.69815340909091</v>
      </c>
      <c r="EL150" s="2118">
        <f>EK150</f>
        <v>112.69815340909091</v>
      </c>
      <c r="EM150" s="2118">
        <f>EL150</f>
        <v>112.69815340909091</v>
      </c>
      <c r="EN150" s="2118">
        <f>EM150</f>
        <v>112.69815340909091</v>
      </c>
      <c r="EO150" s="516">
        <f>AVERAGE(EK150:EN150)</f>
        <v>112.69815340909091</v>
      </c>
      <c r="EP150" s="142"/>
      <c r="EQ150" s="2118">
        <f>EK150*(1+'Biz Transition Scenarios'!$H$301)</f>
        <v>126.78542258522727</v>
      </c>
      <c r="ER150" s="2118">
        <f>EQ150</f>
        <v>126.78542258522727</v>
      </c>
      <c r="ES150" s="2118">
        <f>ER150</f>
        <v>126.78542258522727</v>
      </c>
      <c r="ET150" s="2118">
        <f>ES150</f>
        <v>126.78542258522727</v>
      </c>
      <c r="EU150" s="516">
        <f>AVERAGE(EQ150:ET150)</f>
        <v>126.78542258522727</v>
      </c>
      <c r="EV150" s="142"/>
      <c r="EW150" s="142"/>
      <c r="EX150" s="126"/>
      <c r="EY150" s="126"/>
      <c r="EZ150" s="126"/>
      <c r="FA150" s="126"/>
      <c r="FB150" s="126"/>
    </row>
    <row r="151" spans="1:158" ht="14.25" hidden="1" customHeight="1" outlineLevel="1">
      <c r="A151" s="357" t="s">
        <v>85</v>
      </c>
      <c r="B151" s="32"/>
      <c r="C151" s="353"/>
      <c r="D151" s="90"/>
      <c r="E151" s="90"/>
      <c r="F151" s="90"/>
      <c r="G151" s="61"/>
      <c r="H151" s="90"/>
      <c r="I151" s="90"/>
      <c r="J151" s="90"/>
      <c r="K151" s="357"/>
      <c r="L151" s="357"/>
      <c r="M151" s="357"/>
      <c r="N151" s="357"/>
      <c r="O151" s="508"/>
      <c r="P151" s="508"/>
      <c r="Q151" s="508"/>
      <c r="R151" s="508"/>
      <c r="S151" s="508">
        <f>S150/S141</f>
        <v>1.1209510384599985</v>
      </c>
      <c r="T151" s="357"/>
      <c r="U151" s="508"/>
      <c r="V151" s="508"/>
      <c r="W151" s="508"/>
      <c r="X151" s="508"/>
      <c r="Y151" s="508">
        <f>Y150/Y141</f>
        <v>1.0823116255924012</v>
      </c>
      <c r="Z151" s="357"/>
      <c r="AA151" s="508">
        <f>AA150/AA141</f>
        <v>1.1286131811603806</v>
      </c>
      <c r="AB151" s="508">
        <f>AB150/AB141</f>
        <v>1.0216678713014093</v>
      </c>
      <c r="AC151" s="508">
        <f>AC150/AC141</f>
        <v>1.2010891259407348</v>
      </c>
      <c r="AD151" s="508">
        <f>AD150/AD141</f>
        <v>1.1742027087913764</v>
      </c>
      <c r="AE151" s="508">
        <f>AE150/AE141</f>
        <v>1.2159995699562338</v>
      </c>
      <c r="AF151" s="357"/>
      <c r="AG151" s="508">
        <f>AG150/AG141</f>
        <v>1.1101261241128355</v>
      </c>
      <c r="AH151" s="508">
        <f>AH150/AH141</f>
        <v>0.94970771308334023</v>
      </c>
      <c r="AI151" s="508">
        <f>AI150/AI141</f>
        <v>1.0015194518915373</v>
      </c>
      <c r="AJ151" s="508">
        <f>AJ150/AJ141</f>
        <v>0.87511528891783708</v>
      </c>
      <c r="AK151" s="508">
        <f>AK150/AK141</f>
        <v>1.029903089541593</v>
      </c>
      <c r="AL151" s="357"/>
      <c r="AM151" s="508">
        <f>AM150/AM141</f>
        <v>1.1814275616129364</v>
      </c>
      <c r="AN151" s="508">
        <f>AN150/AN141</f>
        <v>0.99115084311994761</v>
      </c>
      <c r="AO151" s="508">
        <f>AO150/AO141</f>
        <v>0.97488015011930906</v>
      </c>
      <c r="AP151" s="508">
        <f>AP150/AP141</f>
        <v>1.0276532177072275</v>
      </c>
      <c r="AQ151" s="508">
        <f>AQ150/AQ141</f>
        <v>0.95640930249161193</v>
      </c>
      <c r="AR151" s="357"/>
      <c r="AS151" s="508">
        <f>AS150/AS141</f>
        <v>0.99518689370733882</v>
      </c>
      <c r="AT151" s="508">
        <f>AT150/AT141</f>
        <v>0.33301432290595678</v>
      </c>
      <c r="AU151" s="508">
        <f>AU150/AU141</f>
        <v>0.40336220651926141</v>
      </c>
      <c r="AV151" s="508">
        <f>AV150/AV141</f>
        <v>1.0102425050411312</v>
      </c>
      <c r="AW151" s="508">
        <f>AW150/AW141</f>
        <v>1.0929901341739754</v>
      </c>
      <c r="AX151" s="508"/>
      <c r="AY151" s="508">
        <f>AY150/AY141</f>
        <v>0.96382805224335333</v>
      </c>
      <c r="AZ151" s="508">
        <f>AZ150/AZ141</f>
        <v>1.0800495207512608</v>
      </c>
      <c r="BA151" s="508">
        <f>BA150/BA141</f>
        <v>1.007197669761946</v>
      </c>
      <c r="BB151" s="508">
        <f>BB150/BB141</f>
        <v>1.0689034150572132</v>
      </c>
      <c r="BC151" s="508">
        <f>BC150/BC141</f>
        <v>0.94748954131481955</v>
      </c>
      <c r="BD151" s="357"/>
      <c r="BE151" s="508">
        <f>BE150/BE141</f>
        <v>0.96548754018888427</v>
      </c>
      <c r="BF151" s="508">
        <f>BF150/BF141</f>
        <v>1.0307212178112617</v>
      </c>
      <c r="BG151" s="508">
        <f>BG150/BG141</f>
        <v>1.0218330570962428</v>
      </c>
      <c r="BH151" s="508">
        <f>BH150/BH141</f>
        <v>0.9298177709417238</v>
      </c>
      <c r="BI151" s="508">
        <f>BI150/BI141</f>
        <v>0.99346803535366002</v>
      </c>
      <c r="BJ151" s="357"/>
      <c r="BK151" s="508">
        <f>BK150/BK141</f>
        <v>0.99009878642929661</v>
      </c>
      <c r="BL151" s="508">
        <f>BL150/BL141</f>
        <v>1</v>
      </c>
      <c r="BM151" s="508">
        <f>BM150/BM141</f>
        <v>1</v>
      </c>
      <c r="BN151" s="508">
        <f>BN150/BN141</f>
        <v>1</v>
      </c>
      <c r="BO151" s="508">
        <f>BO150/BO141</f>
        <v>0.99740861891972876</v>
      </c>
      <c r="BP151" s="357"/>
      <c r="BQ151" s="508">
        <f>BQ150/BQ141</f>
        <v>1</v>
      </c>
      <c r="BR151" s="508">
        <f>BR150/BR141</f>
        <v>1.0239287126357897</v>
      </c>
      <c r="BS151" s="508">
        <f>BS150/BS141</f>
        <v>0.98238975411621587</v>
      </c>
      <c r="BT151" s="508">
        <f>BT150/BT141</f>
        <v>1.0426033832503139</v>
      </c>
      <c r="BU151" s="508">
        <f>BU150/BU141</f>
        <v>1.0124869589180652</v>
      </c>
      <c r="BV151" s="357"/>
      <c r="BW151" s="508">
        <f>BW150/BW141</f>
        <v>0.91948379273584868</v>
      </c>
      <c r="BX151" s="508">
        <f>BX150/BX141</f>
        <v>1</v>
      </c>
      <c r="BY151" s="508">
        <f>BY150/BY141</f>
        <v>1</v>
      </c>
      <c r="BZ151" s="508">
        <f>BZ150/BZ141</f>
        <v>1</v>
      </c>
      <c r="CA151" s="508">
        <f>CA150/CA141</f>
        <v>0.97694416927839445</v>
      </c>
      <c r="CB151" s="357"/>
      <c r="CC151" s="508">
        <f>CC150/CC141</f>
        <v>0</v>
      </c>
      <c r="CD151" s="508">
        <f>CD150/CD141</f>
        <v>0</v>
      </c>
      <c r="CE151" s="508">
        <f>CE150/CE141</f>
        <v>0</v>
      </c>
      <c r="CF151" s="508">
        <f>CF150/CF141</f>
        <v>0</v>
      </c>
      <c r="CG151" s="508">
        <f>CG150/CG141</f>
        <v>2.9433829772248736</v>
      </c>
      <c r="CH151" s="357"/>
      <c r="CI151" s="508">
        <f>CI150/CI141</f>
        <v>1.0151222844400969</v>
      </c>
      <c r="CJ151" s="508">
        <f>CJ150/CJ141</f>
        <v>0.98823296886360268</v>
      </c>
      <c r="CK151" s="508">
        <f>CK150/CK141</f>
        <v>0.96406420867335674</v>
      </c>
      <c r="CL151" s="508">
        <f>CL150/CL141</f>
        <v>0.99928083253469568</v>
      </c>
      <c r="CM151" s="508">
        <f>CM150/CM141</f>
        <v>0.99178047883936049</v>
      </c>
      <c r="CN151" s="357"/>
      <c r="CO151" s="508">
        <f>CO150/CO141</f>
        <v>1.4035314682434221</v>
      </c>
      <c r="CP151" s="508">
        <f>CP150/CP141</f>
        <v>1.423055475163588</v>
      </c>
      <c r="CQ151" s="508" t="e">
        <f ca="1">CQ150/CQ141</f>
        <v>#NAME?</v>
      </c>
      <c r="CR151" s="508">
        <f>CR150/CR141</f>
        <v>1</v>
      </c>
      <c r="CS151" s="508" t="e">
        <f ca="1">CS150/CS141</f>
        <v>#NAME?</v>
      </c>
      <c r="CT151" s="357"/>
      <c r="CU151" s="508">
        <f>CU150/CU141</f>
        <v>1.186514166106003</v>
      </c>
      <c r="CV151" s="508">
        <f>CV150/CV141</f>
        <v>0.97709413435703973</v>
      </c>
      <c r="CW151" s="508">
        <f>CW150/CW141</f>
        <v>0.97181729834791075</v>
      </c>
      <c r="CX151" s="508">
        <f>CX150/CX141</f>
        <v>1</v>
      </c>
      <c r="CY151" s="508">
        <f>CY150/CY141</f>
        <v>1.0334953016255422</v>
      </c>
      <c r="CZ151" s="357"/>
      <c r="DA151" s="508">
        <f>DA150/DA141</f>
        <v>1.1022733238830262</v>
      </c>
      <c r="DB151" s="508">
        <f>DB150/DB141</f>
        <v>0.97402520420623384</v>
      </c>
      <c r="DC151" s="508">
        <f>DC150/DC141</f>
        <v>1.0770200031501023</v>
      </c>
      <c r="DD151" s="508">
        <f>DD150/DD141</f>
        <v>1.3042378422753289</v>
      </c>
      <c r="DE151" s="508">
        <f>DE150/DE141</f>
        <v>1.1143890933786729</v>
      </c>
      <c r="DF151" s="357"/>
      <c r="DG151" s="508">
        <f>DG150/DG141</f>
        <v>1.3325433076574991</v>
      </c>
      <c r="DH151" s="508">
        <f>DH150/DH141</f>
        <v>1.3819449132096795</v>
      </c>
      <c r="DI151" s="508">
        <f>DI150/DI141</f>
        <v>1.4069057244360443</v>
      </c>
      <c r="DJ151" s="508">
        <f>DJ150/DJ141</f>
        <v>1.5408100763274808</v>
      </c>
      <c r="DK151" s="508">
        <f>DK150/DK141</f>
        <v>1.4155510054076759</v>
      </c>
      <c r="DL151" s="357"/>
      <c r="DM151" s="508">
        <f>DM150/DM141</f>
        <v>1.4764765569166716</v>
      </c>
      <c r="DN151" s="508">
        <f>DN150/DN141</f>
        <v>1.3242153726005166</v>
      </c>
      <c r="DO151" s="508">
        <f>DO150/DO141</f>
        <v>1.160752010154616</v>
      </c>
      <c r="DP151" s="508">
        <f>DP150/DP141</f>
        <v>1</v>
      </c>
      <c r="DQ151" s="508">
        <f>DQ150/DQ141</f>
        <v>1.2403609849179511</v>
      </c>
      <c r="DR151" s="357"/>
      <c r="DS151" s="508">
        <f>DS150/DS141</f>
        <v>1.7451814349499239</v>
      </c>
      <c r="DT151" s="508">
        <f>DT150/DT141</f>
        <v>1.3364001979346267</v>
      </c>
      <c r="DU151" s="508">
        <f>DU150/DU141</f>
        <v>1.3078140974440464</v>
      </c>
      <c r="DV151" s="508">
        <f>DV150/DV141</f>
        <v>1.7918768301012873</v>
      </c>
      <c r="DW151" s="508">
        <f>DW150/DW141</f>
        <v>1.5375490937062302</v>
      </c>
      <c r="DX151" s="263"/>
      <c r="DY151" s="508">
        <f>DY150/DY141</f>
        <v>2.0000061021802398</v>
      </c>
      <c r="DZ151" s="508">
        <f>DZ150/DZ141</f>
        <v>2.2329487901064557</v>
      </c>
      <c r="EA151" s="508">
        <f>EA150/EA141</f>
        <v>2.5376650770939331</v>
      </c>
      <c r="EB151" s="508">
        <f>EB150/EB141</f>
        <v>2.372843940491137</v>
      </c>
      <c r="EC151" s="508">
        <f>EC150/EC141</f>
        <v>2.2566909588094033</v>
      </c>
      <c r="ED151" s="263"/>
      <c r="EE151" s="508">
        <f>EE150/EE141</f>
        <v>2.1881372832683565</v>
      </c>
      <c r="EF151" s="508">
        <f>EF150/EF141</f>
        <v>2.1279689608989387</v>
      </c>
      <c r="EG151" s="508">
        <f>EG150/EG141</f>
        <v>2.0694551174529567</v>
      </c>
      <c r="EH151" s="508">
        <f>EH150/EH141</f>
        <v>2.0125502588830386</v>
      </c>
      <c r="EI151" s="508">
        <f>EI150/EI141</f>
        <v>2.0974887950581671</v>
      </c>
      <c r="EJ151" s="263"/>
      <c r="EK151" s="508">
        <f>EK150/EK141</f>
        <v>2.2018614098790872</v>
      </c>
      <c r="EL151" s="508">
        <f>EL150/EL141</f>
        <v>2.1413157082289143</v>
      </c>
      <c r="EM151" s="508">
        <f>EM150/EM141</f>
        <v>2.0824348624919544</v>
      </c>
      <c r="EN151" s="508">
        <f>EN150/EN141</f>
        <v>2.0251730932794771</v>
      </c>
      <c r="EO151" s="508">
        <f>EO150/EO141</f>
        <v>2.1106443689831127</v>
      </c>
      <c r="EP151" s="263"/>
      <c r="EQ151" s="508">
        <f>EQ150/EQ141</f>
        <v>2.2156716150245912</v>
      </c>
      <c r="ER151" s="508">
        <f>ER150/ER141</f>
        <v>2.1547461671484682</v>
      </c>
      <c r="ES151" s="508">
        <f>ES150/ES141</f>
        <v>2.0954960172604293</v>
      </c>
      <c r="ET151" s="508">
        <f>ET150/ET141</f>
        <v>2.0378750988407086</v>
      </c>
      <c r="EU151" s="508">
        <f>EU150/EU141</f>
        <v>2.1238824554467204</v>
      </c>
      <c r="EV151" s="263"/>
      <c r="EW151" s="263"/>
      <c r="EX151" s="358"/>
      <c r="EY151" s="358"/>
      <c r="EZ151" s="358"/>
      <c r="FA151" s="358"/>
      <c r="FB151" s="358"/>
    </row>
    <row r="152" spans="1:158" ht="14.25" hidden="1" customHeight="1" outlineLevel="1">
      <c r="A152" s="293" t="s">
        <v>5191</v>
      </c>
      <c r="B152" s="32"/>
      <c r="C152" s="353"/>
      <c r="D152" s="90"/>
      <c r="E152" s="90"/>
      <c r="F152" s="90"/>
      <c r="G152" s="61"/>
      <c r="H152" s="90"/>
      <c r="I152" s="90"/>
      <c r="J152" s="90"/>
      <c r="K152" s="357"/>
      <c r="L152" s="357"/>
      <c r="M152" s="357"/>
      <c r="N152" s="357"/>
      <c r="O152" s="508"/>
      <c r="P152" s="508"/>
      <c r="Q152" s="508"/>
      <c r="R152" s="508"/>
      <c r="S152" s="502">
        <f>1.2*4</f>
        <v>4.8</v>
      </c>
      <c r="T152" s="357"/>
      <c r="U152" s="508"/>
      <c r="V152" s="508"/>
      <c r="W152" s="508"/>
      <c r="X152" s="508"/>
      <c r="Y152" s="508"/>
      <c r="Z152" s="357"/>
      <c r="AA152" s="508"/>
      <c r="AB152" s="508"/>
      <c r="AC152" s="508"/>
      <c r="AD152" s="508"/>
      <c r="AE152" s="508"/>
      <c r="AF152" s="357"/>
      <c r="AG152" s="508"/>
      <c r="AH152" s="508"/>
      <c r="AI152" s="508"/>
      <c r="AJ152" s="508"/>
      <c r="AK152" s="508"/>
      <c r="AL152" s="357"/>
      <c r="AM152" s="610">
        <f>0.4*2</f>
        <v>0.8</v>
      </c>
      <c r="AN152" s="610">
        <f>2.4*2</f>
        <v>4.8</v>
      </c>
      <c r="AO152" s="610">
        <f>3.1*2</f>
        <v>6.2</v>
      </c>
      <c r="AP152" s="610">
        <f>AQ152</f>
        <v>8.8000000000000007</v>
      </c>
      <c r="AQ152" s="610">
        <f>4.4*2</f>
        <v>8.8000000000000007</v>
      </c>
      <c r="AR152" s="357"/>
      <c r="AS152" s="508"/>
      <c r="AT152" s="508"/>
      <c r="AU152" s="508"/>
      <c r="AV152" s="508"/>
      <c r="AW152" s="508"/>
      <c r="AX152" s="508"/>
      <c r="AY152" s="508"/>
      <c r="AZ152" s="508"/>
      <c r="BA152" s="508"/>
      <c r="BB152" s="508"/>
      <c r="BC152" s="508"/>
      <c r="BD152" s="357"/>
      <c r="BE152" s="508"/>
      <c r="BF152" s="508"/>
      <c r="BG152" s="508"/>
      <c r="BH152" s="508"/>
      <c r="BI152" s="508"/>
      <c r="BJ152" s="357"/>
      <c r="BK152" s="508"/>
      <c r="BL152" s="508"/>
      <c r="BM152" s="508"/>
      <c r="BN152" s="508"/>
      <c r="BO152" s="508"/>
      <c r="BP152" s="357"/>
      <c r="BQ152" s="508"/>
      <c r="BR152" s="508"/>
      <c r="BS152" s="508"/>
      <c r="BT152" s="508"/>
      <c r="BU152" s="508"/>
      <c r="BV152" s="357"/>
      <c r="BW152" s="508"/>
      <c r="BX152" s="508"/>
      <c r="BY152" s="508"/>
      <c r="BZ152" s="508"/>
      <c r="CA152" s="508"/>
      <c r="CB152" s="357"/>
      <c r="CC152" s="508"/>
      <c r="CD152" s="508"/>
      <c r="CE152" s="508"/>
      <c r="CF152" s="508"/>
      <c r="CG152" s="508"/>
      <c r="CH152" s="357"/>
      <c r="CI152" s="508"/>
      <c r="CJ152" s="508"/>
      <c r="CK152" s="508"/>
      <c r="CL152" s="508"/>
      <c r="CM152" s="508"/>
      <c r="CN152" s="357"/>
      <c r="CO152" s="508"/>
      <c r="CP152" s="508"/>
      <c r="CQ152" s="508"/>
      <c r="CR152" s="508"/>
      <c r="CS152" s="508"/>
      <c r="CT152" s="357"/>
      <c r="CU152" s="508"/>
      <c r="CV152" s="508"/>
      <c r="CW152" s="508"/>
      <c r="CX152" s="508"/>
      <c r="CY152" s="508"/>
      <c r="CZ152" s="357"/>
      <c r="DA152" s="508"/>
      <c r="DB152" s="508"/>
      <c r="DC152" s="508"/>
      <c r="DD152" s="508"/>
      <c r="DE152" s="508"/>
      <c r="DF152" s="357"/>
      <c r="DG152" s="508"/>
      <c r="DH152" s="508"/>
      <c r="DI152" s="508"/>
      <c r="DJ152" s="508"/>
      <c r="DK152" s="508"/>
      <c r="DL152" s="357"/>
      <c r="DM152" s="508"/>
      <c r="DN152" s="508"/>
      <c r="DO152" s="508"/>
      <c r="DP152" s="508"/>
      <c r="DQ152" s="508"/>
      <c r="DR152" s="357"/>
      <c r="DS152" s="508"/>
      <c r="DT152" s="508"/>
      <c r="DU152" s="508"/>
      <c r="DV152" s="508"/>
      <c r="DW152" s="508"/>
      <c r="DX152" s="263"/>
      <c r="DY152" s="508"/>
      <c r="DZ152" s="508"/>
      <c r="EA152" s="508"/>
      <c r="EB152" s="508"/>
      <c r="EC152" s="508"/>
      <c r="ED152" s="263"/>
      <c r="EE152" s="508"/>
      <c r="EF152" s="508"/>
      <c r="EG152" s="508"/>
      <c r="EH152" s="508"/>
      <c r="EI152" s="508"/>
      <c r="EJ152" s="263"/>
      <c r="EK152" s="508"/>
      <c r="EL152" s="508"/>
      <c r="EM152" s="508"/>
      <c r="EN152" s="508"/>
      <c r="EO152" s="508"/>
      <c r="EP152" s="263"/>
      <c r="EQ152" s="508"/>
      <c r="ER152" s="508"/>
      <c r="ES152" s="508"/>
      <c r="ET152" s="508"/>
      <c r="EU152" s="508"/>
      <c r="EV152" s="263"/>
      <c r="EW152" s="263"/>
      <c r="EX152" s="358"/>
      <c r="EY152" s="358"/>
      <c r="EZ152" s="358"/>
      <c r="FA152" s="358"/>
      <c r="FB152" s="358"/>
    </row>
    <row r="153" spans="1:158" ht="14.25" hidden="1" customHeight="1" outlineLevel="1">
      <c r="A153" s="293"/>
      <c r="B153" s="32"/>
      <c r="C153" s="353"/>
      <c r="D153" s="90"/>
      <c r="E153" s="90"/>
      <c r="F153" s="90"/>
      <c r="G153" s="61"/>
      <c r="H153" s="90"/>
      <c r="I153" s="90"/>
      <c r="J153" s="90"/>
      <c r="K153" s="357"/>
      <c r="L153" s="357"/>
      <c r="M153" s="357"/>
      <c r="N153" s="357"/>
      <c r="O153" s="508"/>
      <c r="P153" s="508"/>
      <c r="Q153" s="508"/>
      <c r="R153" s="508"/>
      <c r="S153" s="502"/>
      <c r="T153" s="357"/>
      <c r="U153" s="508"/>
      <c r="V153" s="508"/>
      <c r="W153" s="508"/>
      <c r="X153" s="508"/>
      <c r="Y153" s="508"/>
      <c r="Z153" s="357"/>
      <c r="AA153" s="508"/>
      <c r="AB153" s="508"/>
      <c r="AC153" s="508"/>
      <c r="AD153" s="508"/>
      <c r="AE153" s="508"/>
      <c r="AF153" s="357"/>
      <c r="AG153" s="508"/>
      <c r="AH153" s="508"/>
      <c r="AI153" s="508"/>
      <c r="AJ153" s="508"/>
      <c r="AK153" s="508"/>
      <c r="AL153" s="357"/>
      <c r="AM153" s="508"/>
      <c r="AN153" s="508"/>
      <c r="AO153" s="508"/>
      <c r="AP153" s="508"/>
      <c r="AQ153" s="508"/>
      <c r="AR153" s="357"/>
      <c r="AS153" s="508"/>
      <c r="AT153" s="508"/>
      <c r="AU153" s="508"/>
      <c r="AV153" s="508"/>
      <c r="AW153" s="508"/>
      <c r="AX153" s="508"/>
      <c r="AY153" s="508"/>
      <c r="AZ153" s="508"/>
      <c r="BA153" s="508"/>
      <c r="BB153" s="508"/>
      <c r="BC153" s="508"/>
      <c r="BD153" s="357"/>
      <c r="BE153" s="508"/>
      <c r="BF153" s="508"/>
      <c r="BG153" s="508"/>
      <c r="BH153" s="508"/>
      <c r="BI153" s="508"/>
      <c r="BJ153" s="357"/>
      <c r="BK153" s="508"/>
      <c r="BL153" s="508"/>
      <c r="BM153" s="508"/>
      <c r="BN153" s="508"/>
      <c r="BO153" s="508"/>
      <c r="BP153" s="357"/>
      <c r="BQ153" s="508"/>
      <c r="BR153" s="508"/>
      <c r="BS153" s="508"/>
      <c r="BT153" s="508"/>
      <c r="BU153" s="508"/>
      <c r="BV153" s="357"/>
      <c r="BW153" s="508"/>
      <c r="BX153" s="508"/>
      <c r="BY153" s="508"/>
      <c r="BZ153" s="508"/>
      <c r="CA153" s="508"/>
      <c r="CB153" s="357"/>
      <c r="CC153" s="508"/>
      <c r="CD153" s="508"/>
      <c r="CE153" s="508"/>
      <c r="CF153" s="508"/>
      <c r="CG153" s="508"/>
      <c r="CH153" s="357"/>
      <c r="CI153" s="508"/>
      <c r="CJ153" s="508"/>
      <c r="CK153" s="508"/>
      <c r="CL153" s="508"/>
      <c r="CM153" s="508"/>
      <c r="CN153" s="357"/>
      <c r="CO153" s="508"/>
      <c r="CP153" s="508"/>
      <c r="CQ153" s="508"/>
      <c r="CR153" s="508"/>
      <c r="CS153" s="508"/>
      <c r="CT153" s="357"/>
      <c r="CU153" s="508"/>
      <c r="CV153" s="508"/>
      <c r="CW153" s="508"/>
      <c r="CX153" s="508"/>
      <c r="CY153" s="508"/>
      <c r="CZ153" s="357"/>
      <c r="DA153" s="508"/>
      <c r="DB153" s="508"/>
      <c r="DC153" s="508"/>
      <c r="DD153" s="508"/>
      <c r="DE153" s="508"/>
      <c r="DF153" s="357"/>
      <c r="DG153" s="508"/>
      <c r="DH153" s="508"/>
      <c r="DI153" s="508"/>
      <c r="DJ153" s="508"/>
      <c r="DK153" s="508"/>
      <c r="DL153" s="357"/>
      <c r="DM153" s="508"/>
      <c r="DN153" s="508"/>
      <c r="DO153" s="508"/>
      <c r="DP153" s="508"/>
      <c r="DQ153" s="508"/>
      <c r="DR153" s="357"/>
      <c r="DS153" s="508"/>
      <c r="DT153" s="508"/>
      <c r="DU153" s="508"/>
      <c r="DV153" s="508"/>
      <c r="DW153" s="508"/>
      <c r="DX153" s="263"/>
      <c r="DY153" s="508"/>
      <c r="DZ153" s="508"/>
      <c r="EA153" s="508"/>
      <c r="EB153" s="508"/>
      <c r="EC153" s="508"/>
      <c r="ED153" s="263"/>
      <c r="EE153" s="508"/>
      <c r="EF153" s="508"/>
      <c r="EG153" s="508"/>
      <c r="EH153" s="508"/>
      <c r="EI153" s="508"/>
      <c r="EJ153" s="263"/>
      <c r="EK153" s="508"/>
      <c r="EL153" s="508"/>
      <c r="EM153" s="508"/>
      <c r="EN153" s="508"/>
      <c r="EO153" s="508"/>
      <c r="EP153" s="263"/>
      <c r="EQ153" s="508"/>
      <c r="ER153" s="508"/>
      <c r="ES153" s="508"/>
      <c r="ET153" s="508"/>
      <c r="EU153" s="508"/>
      <c r="EV153" s="263"/>
      <c r="EW153" s="263"/>
      <c r="EX153" s="358"/>
      <c r="EY153" s="358"/>
      <c r="EZ153" s="358"/>
      <c r="FA153" s="358"/>
      <c r="FB153" s="358"/>
    </row>
    <row r="154" spans="1:158" ht="14.25" hidden="1" customHeight="1" outlineLevel="1">
      <c r="A154" s="293" t="s">
        <v>7002</v>
      </c>
      <c r="B154" s="294"/>
      <c r="C154" s="168"/>
      <c r="D154" s="168"/>
      <c r="E154" s="168"/>
      <c r="F154" s="168"/>
      <c r="G154" s="61"/>
      <c r="H154" s="168"/>
      <c r="I154" s="168"/>
      <c r="J154" s="168"/>
      <c r="K154" s="611"/>
      <c r="L154" s="611"/>
      <c r="M154" s="611"/>
      <c r="N154" s="611"/>
      <c r="O154" s="610"/>
      <c r="P154" s="610"/>
      <c r="Q154" s="610"/>
      <c r="R154" s="610"/>
      <c r="S154" s="502"/>
      <c r="T154" s="611"/>
      <c r="U154" s="610"/>
      <c r="V154" s="610"/>
      <c r="W154" s="610"/>
      <c r="X154" s="610"/>
      <c r="Y154" s="610">
        <f>AA154+AA147</f>
        <v>76.399999999999991</v>
      </c>
      <c r="Z154" s="611"/>
      <c r="AA154" s="610">
        <f>AB154+AB147</f>
        <v>60.399999999999991</v>
      </c>
      <c r="AB154" s="610">
        <f>AC154+AC147</f>
        <v>55.599999999999994</v>
      </c>
      <c r="AC154" s="610">
        <f>AD154+AD147</f>
        <v>47.599999999999994</v>
      </c>
      <c r="AD154" s="502">
        <f>9.9*4</f>
        <v>39.6</v>
      </c>
      <c r="AE154" s="610">
        <f>AD154</f>
        <v>39.6</v>
      </c>
      <c r="AF154" s="611"/>
      <c r="AG154" s="610">
        <f>AE154+AG155-AG147</f>
        <v>32.4</v>
      </c>
      <c r="AH154" s="610">
        <f>AG154+AH155-AH147</f>
        <v>31.599999999999998</v>
      </c>
      <c r="AI154" s="610">
        <f>AH154+AI155-AI147</f>
        <v>30.203999999999997</v>
      </c>
      <c r="AJ154" s="610">
        <f>AI154+AJ155-AJ147</f>
        <v>29</v>
      </c>
      <c r="AK154" s="610">
        <f>AJ154</f>
        <v>29</v>
      </c>
      <c r="AL154" s="611"/>
      <c r="AM154" s="610">
        <f>AK154+AM155-AM147</f>
        <v>28.2</v>
      </c>
      <c r="AN154" s="610">
        <f>AM154+AN155-AN147</f>
        <v>24.2</v>
      </c>
      <c r="AO154" s="610">
        <f>AN154+AO155-AO147</f>
        <v>22.799999999999997</v>
      </c>
      <c r="AP154" s="610">
        <f>AO154+AP155-AP147</f>
        <v>20.199999999999996</v>
      </c>
      <c r="AQ154" s="610">
        <f>AP154</f>
        <v>20.199999999999996</v>
      </c>
      <c r="AR154" s="611"/>
      <c r="AS154" s="610">
        <f>AQ154+AS155-AS147</f>
        <v>16.199999999999996</v>
      </c>
      <c r="AT154" s="610">
        <f>AS154+AT155-AT147</f>
        <v>10.199999999999996</v>
      </c>
      <c r="AU154" s="610">
        <f>AT154+AU155-AU147</f>
        <v>32.199999999999996</v>
      </c>
      <c r="AV154" s="610">
        <f>17.1*2</f>
        <v>34.200000000000003</v>
      </c>
      <c r="AW154" s="610">
        <f>AV154</f>
        <v>34.200000000000003</v>
      </c>
      <c r="AX154" s="610"/>
      <c r="AY154" s="610">
        <f>2*11.868</f>
        <v>23.736000000000001</v>
      </c>
      <c r="AZ154" s="506">
        <f>2*10.209</f>
        <v>20.417999999999999</v>
      </c>
      <c r="BA154" s="506">
        <v>12.349</v>
      </c>
      <c r="BB154" s="610">
        <v>32.200000000000003</v>
      </c>
      <c r="BC154" s="610">
        <f>BB154</f>
        <v>32.200000000000003</v>
      </c>
      <c r="BD154" s="611"/>
      <c r="BE154" s="610">
        <f>BC154+BE155-BE147</f>
        <v>29.702000000000002</v>
      </c>
      <c r="BF154" s="610">
        <f>BE154+BF155-BF147</f>
        <v>26.198104000000001</v>
      </c>
      <c r="BG154" s="610">
        <f>BF154+BG155-BG147</f>
        <v>22.974329000000001</v>
      </c>
      <c r="BH154" s="610">
        <f>BG154+BH155-BH147</f>
        <v>20.474329000000001</v>
      </c>
      <c r="BI154" s="610">
        <f>BH154</f>
        <v>20.474329000000001</v>
      </c>
      <c r="BJ154" s="611"/>
      <c r="BK154" s="610">
        <f>BI154+BK155-BK147</f>
        <v>18.774329000000002</v>
      </c>
      <c r="BL154" s="610">
        <f>BK154+BL155-BL147</f>
        <v>16.276329</v>
      </c>
      <c r="BM154" s="610">
        <f>BL154+BM155-BM147</f>
        <v>16.276329</v>
      </c>
      <c r="BN154" s="610">
        <f>BM154+BN155-BN147</f>
        <v>16.276329</v>
      </c>
      <c r="BO154" s="610">
        <f>BN154</f>
        <v>16.276329</v>
      </c>
      <c r="BP154" s="611"/>
      <c r="BQ154" s="610">
        <f>BO154+BQ155-BQ147</f>
        <v>16.276329</v>
      </c>
      <c r="BR154" s="610">
        <f>BQ154+BR155-BR147</f>
        <v>9.2143289999999993</v>
      </c>
      <c r="BS154" s="610">
        <f>BR154+BS155-BS147</f>
        <v>6.2133289999999999</v>
      </c>
      <c r="BT154" s="610">
        <f>BS154+BT155-BT147</f>
        <v>24.149329000000002</v>
      </c>
      <c r="BU154" s="610">
        <f>BT154</f>
        <v>24.149329000000002</v>
      </c>
      <c r="BV154" s="611"/>
      <c r="BW154" s="610">
        <f>BU154+BW155-BW147</f>
        <v>16.149329000000002</v>
      </c>
      <c r="BX154" s="610">
        <f>BW154+BX155-BX147</f>
        <v>16.149329000000002</v>
      </c>
      <c r="BY154" s="610">
        <f>BX154+BY155-BY147</f>
        <v>16.149329000000002</v>
      </c>
      <c r="BZ154" s="610">
        <f>BY154+BZ155-BZ147</f>
        <v>16.149329000000002</v>
      </c>
      <c r="CA154" s="610">
        <f>BZ154</f>
        <v>16.149329000000002</v>
      </c>
      <c r="CB154" s="611"/>
      <c r="CC154" s="610">
        <f>CA154+CC155-CC147</f>
        <v>15.649329000000002</v>
      </c>
      <c r="CD154" s="610">
        <f>CC154+CD155-CD147</f>
        <v>15.149329000000002</v>
      </c>
      <c r="CE154" s="610">
        <f>CD154+CE155-CE147</f>
        <v>15.149329000000002</v>
      </c>
      <c r="CF154" s="610">
        <f>CE154+CF155-CF147</f>
        <v>15.149329000000002</v>
      </c>
      <c r="CG154" s="610">
        <f>CF154</f>
        <v>15.149329000000002</v>
      </c>
      <c r="CH154" s="611"/>
      <c r="CI154" s="610">
        <f>CF154+CI155-CI147</f>
        <v>13.146329000000001</v>
      </c>
      <c r="CJ154" s="610">
        <v>9</v>
      </c>
      <c r="CK154" s="610">
        <f>CJ154+CK155-CK147</f>
        <v>6.5</v>
      </c>
      <c r="CL154" s="610">
        <f>CK154+CL155-CL147</f>
        <v>4.5</v>
      </c>
      <c r="CM154" s="610">
        <f>CL154</f>
        <v>4.5</v>
      </c>
      <c r="CN154" s="611"/>
      <c r="CO154" s="610">
        <f>CL154+CO155-CO147</f>
        <v>2.8</v>
      </c>
      <c r="CP154" s="610">
        <v>20.2</v>
      </c>
      <c r="CQ154" s="610">
        <f>CP154+CQ155-CQ147</f>
        <v>16.7</v>
      </c>
      <c r="CR154" s="610">
        <f>CQ154+CR155-CR147</f>
        <v>14.7</v>
      </c>
      <c r="CS154" s="610">
        <f>CR154</f>
        <v>14.7</v>
      </c>
      <c r="CT154" s="611"/>
      <c r="CU154" s="610">
        <f>CR154+CU155-CU147</f>
        <v>12.2</v>
      </c>
      <c r="CV154" s="610">
        <v>20.2</v>
      </c>
      <c r="CW154" s="610">
        <f>CV154+CW155-CW147</f>
        <v>16.2</v>
      </c>
      <c r="CX154" s="610">
        <f>CW154+CX155-CX147</f>
        <v>13.6</v>
      </c>
      <c r="CY154" s="610">
        <f>CX154</f>
        <v>13.6</v>
      </c>
      <c r="CZ154" s="611"/>
      <c r="DA154" s="610">
        <f>CY154+DA155-DA147</f>
        <v>10.399999999999999</v>
      </c>
      <c r="DB154" s="610">
        <v>25.9</v>
      </c>
      <c r="DC154" s="610">
        <f>DB154+DC155-DC147</f>
        <v>23.9</v>
      </c>
      <c r="DD154" s="610">
        <f>DC154+DD155-DD147</f>
        <v>21.7</v>
      </c>
      <c r="DE154" s="610">
        <f>DD154</f>
        <v>21.7</v>
      </c>
      <c r="DF154" s="611"/>
      <c r="DG154" s="610">
        <f>DE154+DG155-DG147</f>
        <v>19.7</v>
      </c>
      <c r="DH154" s="610">
        <f>DG154+DH155-DH147</f>
        <v>17.784666039510817</v>
      </c>
      <c r="DI154" s="610">
        <f>DH154+DI155-DI147</f>
        <v>15.875591931212906</v>
      </c>
      <c r="DJ154" s="610">
        <f>DI154+DJ155-DJ147</f>
        <v>14.78210559979205</v>
      </c>
      <c r="DK154" s="610">
        <f>DJ154</f>
        <v>14.78210559979205</v>
      </c>
      <c r="DL154" s="611"/>
      <c r="DM154" s="610">
        <f>DK154+DM155-DM147</f>
        <v>13.182105599792051</v>
      </c>
      <c r="DN154" s="610">
        <f>DM154+DN155-DN147</f>
        <v>11.082105599792051</v>
      </c>
      <c r="DO154" s="610">
        <f>DN154+DO155-DO147</f>
        <v>7.8821055997920508</v>
      </c>
      <c r="DP154" s="610">
        <f>DO154+DP155-DP147</f>
        <v>4.6821055997920507</v>
      </c>
      <c r="DQ154" s="610">
        <f>DP154</f>
        <v>4.6821055997920507</v>
      </c>
      <c r="DR154" s="611"/>
      <c r="DS154" s="610">
        <f>DQ154+DS155-DS147</f>
        <v>3.0821055997920506</v>
      </c>
      <c r="DT154" s="610">
        <f>DS154+DT155-DT147</f>
        <v>8.2105599792050565E-2</v>
      </c>
      <c r="DU154" s="610">
        <f>DT154+DU155-DU147</f>
        <v>27.882105599792052</v>
      </c>
      <c r="DV154" s="610">
        <f>DU154+DV155-DV147</f>
        <v>24.982105599792053</v>
      </c>
      <c r="DW154" s="610">
        <f>DV154</f>
        <v>24.982105599792053</v>
      </c>
      <c r="DX154" s="585"/>
      <c r="DY154" s="610">
        <f>DW154+DY155-DY147</f>
        <v>22.782105599792054</v>
      </c>
      <c r="DZ154" s="610">
        <f>DY154+DZ155-DZ147</f>
        <v>21.582105599792055</v>
      </c>
      <c r="EA154" s="610">
        <f>DZ154+EA155-EA147</f>
        <v>20.496105599792056</v>
      </c>
      <c r="EB154" s="610">
        <f>EA154+EB155-EB147</f>
        <v>18.016105599792056</v>
      </c>
      <c r="EC154" s="610">
        <f>EB154</f>
        <v>18.016105599792056</v>
      </c>
      <c r="ED154" s="585"/>
      <c r="EE154" s="610">
        <f>EC154+EE155-EE147</f>
        <v>16.016105599792056</v>
      </c>
      <c r="EF154" s="610">
        <f>EE154+EF155-EF147</f>
        <v>14.016105599792056</v>
      </c>
      <c r="EG154" s="610">
        <f>EF154+EG155-EG147</f>
        <v>12.016105599792056</v>
      </c>
      <c r="EH154" s="610">
        <f>EG154+EH155-EH147</f>
        <v>10.016105599792056</v>
      </c>
      <c r="EI154" s="610">
        <f>EH154</f>
        <v>10.016105599792056</v>
      </c>
      <c r="EJ154" s="585"/>
      <c r="EK154" s="610">
        <f>EI154+EK155-EK147</f>
        <v>8.0161055997920556</v>
      </c>
      <c r="EL154" s="610">
        <f>EK154+EL155-EL147</f>
        <v>6.0161055997920556</v>
      </c>
      <c r="EM154" s="610">
        <f>EL154+EM155-EM147</f>
        <v>4.0161055997920556</v>
      </c>
      <c r="EN154" s="610">
        <f>EM154+EN155-EN147</f>
        <v>2.0161055997920556</v>
      </c>
      <c r="EO154" s="610">
        <f>EN154</f>
        <v>2.0161055997920556</v>
      </c>
      <c r="EP154" s="585"/>
      <c r="EQ154" s="610">
        <f>EO154+EQ155-EQ147</f>
        <v>1.6105599792055614E-2</v>
      </c>
      <c r="ER154" s="610">
        <f>EQ154+ER155-ER147</f>
        <v>-1.9838944002079444</v>
      </c>
      <c r="ES154" s="610">
        <f>ER154+ES155-ES147</f>
        <v>-3.9838944002079444</v>
      </c>
      <c r="ET154" s="610">
        <f>ES154+ET155-ET147</f>
        <v>-5.9838944002079444</v>
      </c>
      <c r="EU154" s="610">
        <f>ET154</f>
        <v>-5.9838944002079444</v>
      </c>
      <c r="EV154" s="585"/>
      <c r="EW154" s="585"/>
      <c r="EX154" s="612"/>
      <c r="EY154" s="612"/>
      <c r="EZ154" s="612"/>
      <c r="FA154" s="612"/>
      <c r="FB154" s="612"/>
    </row>
    <row r="155" spans="1:158" ht="14.25" hidden="1" customHeight="1" outlineLevel="1">
      <c r="A155" s="293" t="s">
        <v>4594</v>
      </c>
      <c r="B155" s="294"/>
      <c r="C155" s="168"/>
      <c r="D155" s="168"/>
      <c r="E155" s="168"/>
      <c r="F155" s="168"/>
      <c r="G155" s="61"/>
      <c r="H155" s="168"/>
      <c r="I155" s="168"/>
      <c r="J155" s="168"/>
      <c r="K155" s="611"/>
      <c r="L155" s="611"/>
      <c r="M155" s="611"/>
      <c r="N155" s="611"/>
      <c r="O155" s="610"/>
      <c r="P155" s="610"/>
      <c r="Q155" s="610"/>
      <c r="R155" s="610"/>
      <c r="S155" s="502"/>
      <c r="T155" s="611"/>
      <c r="U155" s="610"/>
      <c r="V155" s="610"/>
      <c r="W155" s="610"/>
      <c r="X155" s="610"/>
      <c r="Y155" s="610"/>
      <c r="Z155" s="611"/>
      <c r="AA155" s="610"/>
      <c r="AB155" s="610"/>
      <c r="AC155" s="610"/>
      <c r="AD155" s="610"/>
      <c r="AE155" s="610"/>
      <c r="AF155" s="611"/>
      <c r="AG155" s="610"/>
      <c r="AH155" s="610"/>
      <c r="AI155" s="610"/>
      <c r="AJ155" s="610"/>
      <c r="AK155" s="610"/>
      <c r="AL155" s="611"/>
      <c r="AM155" s="610"/>
      <c r="AN155" s="610"/>
      <c r="AO155" s="610"/>
      <c r="AP155" s="610"/>
      <c r="AQ155" s="610"/>
      <c r="AR155" s="611"/>
      <c r="AS155" s="610"/>
      <c r="AT155" s="610"/>
      <c r="AU155" s="610">
        <v>32</v>
      </c>
      <c r="AV155" s="610"/>
      <c r="AW155" s="610"/>
      <c r="AX155" s="610"/>
      <c r="AY155" s="610"/>
      <c r="AZ155" s="610"/>
      <c r="BA155" s="610">
        <v>24</v>
      </c>
      <c r="BB155" s="610"/>
      <c r="BC155" s="610"/>
      <c r="BD155" s="611"/>
      <c r="BE155" s="610"/>
      <c r="BF155" s="610"/>
      <c r="BG155" s="610"/>
      <c r="BH155" s="610"/>
      <c r="BI155" s="610"/>
      <c r="BJ155" s="611"/>
      <c r="BK155" s="610"/>
      <c r="BL155" s="610"/>
      <c r="BM155" s="610"/>
      <c r="BN155" s="610"/>
      <c r="BO155" s="610"/>
      <c r="BP155" s="611"/>
      <c r="BQ155" s="610"/>
      <c r="BR155" s="610"/>
      <c r="BS155" s="610"/>
      <c r="BT155" s="610">
        <v>20</v>
      </c>
      <c r="BU155" s="610"/>
      <c r="BV155" s="611"/>
      <c r="BW155" s="610"/>
      <c r="BX155" s="610"/>
      <c r="BY155" s="610"/>
      <c r="BZ155" s="610"/>
      <c r="CA155" s="610"/>
      <c r="CB155" s="611"/>
      <c r="CC155" s="610"/>
      <c r="CD155" s="610"/>
      <c r="CE155" s="610"/>
      <c r="CF155" s="610"/>
      <c r="CG155" s="610"/>
      <c r="CH155" s="611"/>
      <c r="CI155" s="610"/>
      <c r="CJ155" s="610"/>
      <c r="CK155" s="610"/>
      <c r="CL155" s="610"/>
      <c r="CM155" s="610"/>
      <c r="CN155" s="611"/>
      <c r="CO155" s="610"/>
      <c r="CP155" s="610"/>
      <c r="CQ155" s="610"/>
      <c r="CR155" s="610"/>
      <c r="CS155" s="610"/>
      <c r="CT155" s="611"/>
      <c r="CU155" s="610"/>
      <c r="CV155" s="610"/>
      <c r="CW155" s="610"/>
      <c r="CX155" s="610"/>
      <c r="CY155" s="610"/>
      <c r="CZ155" s="611"/>
      <c r="DA155" s="610"/>
      <c r="DB155" s="610"/>
      <c r="DC155" s="610"/>
      <c r="DD155" s="610"/>
      <c r="DE155" s="610"/>
      <c r="DF155" s="611"/>
      <c r="DG155" s="610"/>
      <c r="DH155" s="610"/>
      <c r="DI155" s="610"/>
      <c r="DJ155" s="610"/>
      <c r="DK155" s="610"/>
      <c r="DL155" s="611"/>
      <c r="DM155" s="610"/>
      <c r="DN155" s="610"/>
      <c r="DO155" s="610"/>
      <c r="DP155" s="610"/>
      <c r="DQ155" s="610"/>
      <c r="DR155" s="611"/>
      <c r="DS155" s="610"/>
      <c r="DT155" s="610"/>
      <c r="DU155" s="610">
        <v>30</v>
      </c>
      <c r="DV155" s="610"/>
      <c r="DW155" s="610"/>
      <c r="DX155" s="585"/>
      <c r="DY155" s="610"/>
      <c r="DZ155" s="610"/>
      <c r="EA155" s="610"/>
      <c r="EB155" s="610"/>
      <c r="EC155" s="610"/>
      <c r="ED155" s="585"/>
      <c r="EE155" s="610"/>
      <c r="EF155" s="610"/>
      <c r="EG155" s="610"/>
      <c r="EH155" s="610"/>
      <c r="EI155" s="610"/>
      <c r="EJ155" s="585"/>
      <c r="EK155" s="610"/>
      <c r="EL155" s="610"/>
      <c r="EM155" s="610"/>
      <c r="EN155" s="610"/>
      <c r="EO155" s="610"/>
      <c r="EP155" s="585"/>
      <c r="EQ155" s="610"/>
      <c r="ER155" s="610"/>
      <c r="ES155" s="610"/>
      <c r="ET155" s="610"/>
      <c r="EU155" s="610"/>
      <c r="EV155" s="585"/>
      <c r="EW155" s="585"/>
      <c r="EX155" s="612"/>
      <c r="EY155" s="612"/>
      <c r="EZ155" s="612"/>
      <c r="FA155" s="612"/>
      <c r="FB155" s="612"/>
    </row>
    <row r="156" spans="1:158" ht="12" customHeight="1" collapsed="1">
      <c r="A156" s="47"/>
      <c r="B156" s="32"/>
      <c r="C156" s="90"/>
      <c r="D156" s="90"/>
      <c r="E156" s="90"/>
      <c r="F156" s="90"/>
      <c r="G156" s="61"/>
      <c r="H156" s="90"/>
      <c r="I156" s="90"/>
      <c r="J156" s="90"/>
      <c r="K156" s="126"/>
      <c r="L156" s="126"/>
      <c r="M156" s="126"/>
      <c r="N156" s="126"/>
      <c r="O156" s="130"/>
      <c r="P156" s="130"/>
      <c r="Q156" s="130"/>
      <c r="R156" s="130"/>
      <c r="S156" s="126"/>
      <c r="T156" s="126"/>
      <c r="U156" s="130"/>
      <c r="V156" s="130"/>
      <c r="W156" s="130"/>
      <c r="X156" s="126"/>
      <c r="Y156" s="126"/>
      <c r="Z156" s="126"/>
      <c r="AA156" s="130"/>
      <c r="AB156" s="130"/>
      <c r="AC156" s="130"/>
      <c r="AD156" s="130"/>
      <c r="AE156" s="126"/>
      <c r="AF156" s="126"/>
      <c r="AG156" s="130"/>
      <c r="AH156" s="129"/>
      <c r="AI156" s="129"/>
      <c r="AJ156" s="129"/>
      <c r="AK156" s="126"/>
      <c r="AL156" s="126"/>
      <c r="AM156" s="129"/>
      <c r="AN156" s="129"/>
      <c r="AO156" s="129"/>
      <c r="AP156" s="129"/>
      <c r="AQ156" s="144"/>
      <c r="AR156" s="126"/>
      <c r="AS156" s="129"/>
      <c r="AT156" s="129"/>
      <c r="AU156" s="129"/>
      <c r="AV156" s="129"/>
      <c r="AW156" s="144"/>
      <c r="AX156" s="127"/>
      <c r="AY156" s="129"/>
      <c r="AZ156" s="129"/>
      <c r="BA156" s="129"/>
      <c r="BB156" s="129"/>
      <c r="BC156" s="282"/>
      <c r="BD156" s="125"/>
      <c r="BE156" s="129"/>
      <c r="BF156" s="130"/>
      <c r="BG156" s="130"/>
      <c r="BH156" s="130"/>
      <c r="BI156" s="144"/>
      <c r="BJ156" s="125"/>
      <c r="BK156" s="130"/>
      <c r="BL156" s="130"/>
      <c r="BM156" s="130"/>
      <c r="BN156" s="145"/>
      <c r="BO156" s="144"/>
      <c r="BP156" s="125"/>
      <c r="BQ156" s="130"/>
      <c r="BR156" s="130"/>
      <c r="BS156" s="145"/>
      <c r="BT156" s="145"/>
      <c r="BU156" s="144"/>
      <c r="BV156" s="125"/>
      <c r="BW156" s="130"/>
      <c r="BX156" s="130"/>
      <c r="BY156" s="130"/>
      <c r="BZ156" s="145"/>
      <c r="CA156" s="144"/>
      <c r="CB156" s="125"/>
      <c r="CC156" s="130"/>
      <c r="CD156" s="130"/>
      <c r="CE156" s="130"/>
      <c r="CF156" s="130"/>
      <c r="CG156" s="144"/>
      <c r="CH156" s="125"/>
      <c r="CI156" s="130"/>
      <c r="CJ156" s="130"/>
      <c r="CK156" s="130"/>
      <c r="CL156" s="145"/>
      <c r="CM156" s="144"/>
      <c r="CN156" s="125"/>
      <c r="CO156" s="130"/>
      <c r="CP156" s="130"/>
      <c r="CQ156" s="130"/>
      <c r="CR156" s="145"/>
      <c r="CS156" s="144"/>
      <c r="CT156" s="125"/>
      <c r="CU156" s="130"/>
      <c r="CV156" s="130"/>
      <c r="CW156" s="130"/>
      <c r="CX156" s="145"/>
      <c r="CY156" s="144"/>
      <c r="CZ156" s="125"/>
      <c r="DA156" s="130"/>
      <c r="DB156" s="130"/>
      <c r="DC156" s="130"/>
      <c r="DD156" s="145"/>
      <c r="DE156" s="144"/>
      <c r="DF156" s="125"/>
      <c r="DG156" s="130"/>
      <c r="DH156" s="130"/>
      <c r="DI156" s="130"/>
      <c r="DJ156" s="145"/>
      <c r="DK156" s="144"/>
      <c r="DL156" s="125"/>
      <c r="DM156" s="130"/>
      <c r="DN156" s="130"/>
      <c r="DO156" s="130"/>
      <c r="DP156" s="145"/>
      <c r="DQ156" s="144"/>
      <c r="DR156" s="125"/>
      <c r="DS156" s="130"/>
      <c r="DT156" s="130"/>
      <c r="DU156" s="130"/>
      <c r="DV156" s="145"/>
      <c r="DW156" s="144"/>
      <c r="DX156" s="130"/>
      <c r="DY156" s="130"/>
      <c r="DZ156" s="130"/>
      <c r="EA156" s="130"/>
      <c r="EB156" s="145"/>
      <c r="EC156" s="144"/>
      <c r="ED156" s="130"/>
      <c r="EE156" s="130"/>
      <c r="EF156" s="130"/>
      <c r="EG156" s="130"/>
      <c r="EH156" s="145"/>
      <c r="EI156" s="144"/>
      <c r="EJ156" s="130"/>
      <c r="EK156" s="130"/>
      <c r="EL156" s="130"/>
      <c r="EM156" s="130"/>
      <c r="EN156" s="145"/>
      <c r="EO156" s="144"/>
      <c r="EP156" s="130"/>
      <c r="EQ156" s="130"/>
      <c r="ER156" s="130"/>
      <c r="ES156" s="130"/>
      <c r="ET156" s="145"/>
      <c r="EU156" s="144"/>
      <c r="EV156" s="130"/>
      <c r="EW156" s="145"/>
      <c r="EX156" s="126"/>
      <c r="EY156" s="126"/>
      <c r="EZ156" s="126"/>
      <c r="FA156" s="126"/>
      <c r="FB156" s="126"/>
    </row>
    <row r="157" spans="1:158" ht="15" hidden="1" customHeight="1" outlineLevel="1">
      <c r="A157" s="47"/>
      <c r="B157" s="32"/>
      <c r="C157" s="90"/>
      <c r="D157" s="90"/>
      <c r="E157" s="90"/>
      <c r="F157" s="90"/>
      <c r="G157" s="61"/>
      <c r="H157" s="90"/>
      <c r="I157" s="90"/>
      <c r="J157" s="90"/>
      <c r="K157" s="126"/>
      <c r="L157" s="126"/>
      <c r="M157" s="126"/>
      <c r="N157" s="126"/>
      <c r="O157" s="142"/>
      <c r="P157" s="142"/>
      <c r="Q157" s="142"/>
      <c r="R157" s="142"/>
      <c r="S157" s="126"/>
      <c r="T157" s="126"/>
      <c r="U157" s="142"/>
      <c r="V157" s="142"/>
      <c r="W157" s="142"/>
      <c r="X157" s="126"/>
      <c r="Y157" s="126"/>
      <c r="Z157" s="126"/>
      <c r="AA157" s="142"/>
      <c r="AB157" s="142"/>
      <c r="AC157" s="142"/>
      <c r="AD157" s="142"/>
      <c r="AE157" s="130"/>
      <c r="AF157" s="126"/>
      <c r="AG157" s="142"/>
      <c r="AH157" s="142"/>
      <c r="AI157" s="142"/>
      <c r="AJ157" s="142"/>
      <c r="AK157" s="130"/>
      <c r="AL157" s="126"/>
      <c r="AM157" s="142"/>
      <c r="AN157" s="142"/>
      <c r="AO157" s="142"/>
      <c r="AP157" s="142"/>
      <c r="AQ157" s="130"/>
      <c r="AR157" s="126"/>
      <c r="AS157" s="142"/>
      <c r="AT157" s="142"/>
      <c r="AU157" s="142"/>
      <c r="AV157" s="142"/>
      <c r="AW157" s="130"/>
      <c r="AX157" s="127"/>
      <c r="AY157" s="142"/>
      <c r="AZ157" s="142"/>
      <c r="BA157" s="142"/>
      <c r="BB157" s="142"/>
      <c r="BC157" s="130"/>
      <c r="BD157" s="126"/>
      <c r="BE157" s="175"/>
      <c r="BF157" s="142"/>
      <c r="BG157" s="142"/>
      <c r="BH157" s="142"/>
      <c r="BI157" s="130"/>
      <c r="BJ157" s="126"/>
      <c r="BK157" s="142"/>
      <c r="BL157" s="142"/>
      <c r="BM157" s="142"/>
      <c r="BN157" s="142"/>
      <c r="BO157" s="175"/>
      <c r="BP157" s="126"/>
      <c r="BQ157" s="142"/>
      <c r="BR157" s="142"/>
      <c r="BS157" s="142"/>
      <c r="BT157" s="142"/>
      <c r="BU157" s="175"/>
      <c r="BV157" s="126"/>
      <c r="BW157" s="142"/>
      <c r="BX157" s="142"/>
      <c r="BY157" s="142"/>
      <c r="BZ157" s="142"/>
      <c r="CA157" s="175"/>
      <c r="CB157" s="126"/>
      <c r="CC157" s="142"/>
      <c r="CD157" s="142"/>
      <c r="CE157" s="142"/>
      <c r="CF157" s="142"/>
      <c r="CG157" s="175"/>
      <c r="CH157" s="126"/>
      <c r="CI157" s="142"/>
      <c r="CJ157" s="142"/>
      <c r="CK157" s="142"/>
      <c r="CL157" s="142"/>
      <c r="CM157" s="175"/>
      <c r="CN157" s="126"/>
      <c r="CO157" s="142"/>
      <c r="CP157" s="142"/>
      <c r="CQ157" s="142"/>
      <c r="CR157" s="142"/>
      <c r="CS157" s="175"/>
      <c r="CT157" s="126"/>
      <c r="CU157" s="142"/>
      <c r="CV157" s="142"/>
      <c r="CW157" s="142"/>
      <c r="CX157" s="142"/>
      <c r="CY157" s="175"/>
      <c r="CZ157" s="126"/>
      <c r="DA157" s="142"/>
      <c r="DB157" s="142"/>
      <c r="DC157" s="142"/>
      <c r="DD157" s="142"/>
      <c r="DE157" s="175"/>
      <c r="DF157" s="126"/>
      <c r="DG157" s="142"/>
      <c r="DH157" s="142"/>
      <c r="DI157" s="142"/>
      <c r="DJ157" s="142"/>
      <c r="DK157" s="175"/>
      <c r="DL157" s="126"/>
      <c r="DM157" s="142"/>
      <c r="DN157" s="142"/>
      <c r="DO157" s="142"/>
      <c r="DP157" s="142"/>
      <c r="DQ157" s="175"/>
      <c r="DR157" s="126"/>
      <c r="DS157" s="142"/>
      <c r="DT157" s="142"/>
      <c r="DU157" s="142"/>
      <c r="DV157" s="142"/>
      <c r="DW157" s="175"/>
      <c r="DX157" s="142"/>
      <c r="DY157" s="142"/>
      <c r="DZ157" s="142"/>
      <c r="EA157" s="142"/>
      <c r="EB157" s="142"/>
      <c r="EC157" s="175"/>
      <c r="ED157" s="142"/>
      <c r="EE157" s="142"/>
      <c r="EF157" s="142"/>
      <c r="EG157" s="142"/>
      <c r="EH157" s="142"/>
      <c r="EI157" s="175"/>
      <c r="EJ157" s="142"/>
      <c r="EK157" s="142"/>
      <c r="EL157" s="142"/>
      <c r="EM157" s="142"/>
      <c r="EN157" s="142"/>
      <c r="EO157" s="175"/>
      <c r="EP157" s="142"/>
      <c r="EQ157" s="142"/>
      <c r="ER157" s="142"/>
      <c r="ES157" s="142"/>
      <c r="ET157" s="142"/>
      <c r="EU157" s="175"/>
      <c r="EV157" s="142"/>
      <c r="EW157" s="142"/>
      <c r="EX157" s="126"/>
      <c r="EY157" s="126"/>
      <c r="EZ157" s="126"/>
      <c r="FA157" s="126"/>
      <c r="FB157" s="126"/>
    </row>
    <row r="158" spans="1:158" ht="14.25" hidden="1" customHeight="1" outlineLevel="1">
      <c r="A158" s="131" t="s">
        <v>4571</v>
      </c>
      <c r="B158" s="32"/>
      <c r="C158" s="90"/>
      <c r="D158" s="90"/>
      <c r="E158" s="90"/>
      <c r="F158" s="90"/>
      <c r="G158" s="61"/>
      <c r="H158" s="90"/>
      <c r="I158" s="90"/>
      <c r="J158" s="90"/>
      <c r="K158" s="500"/>
      <c r="L158" s="500"/>
      <c r="M158" s="500"/>
      <c r="N158" s="500"/>
      <c r="O158" s="501"/>
      <c r="P158" s="501"/>
      <c r="Q158" s="501"/>
      <c r="R158" s="501"/>
      <c r="S158" s="500"/>
      <c r="T158" s="500"/>
      <c r="U158" s="501"/>
      <c r="V158" s="501"/>
      <c r="W158" s="501"/>
      <c r="X158" s="500"/>
      <c r="Y158" s="500"/>
      <c r="Z158" s="500"/>
      <c r="AA158" s="501"/>
      <c r="AB158" s="501"/>
      <c r="AC158" s="501"/>
      <c r="AD158" s="501"/>
      <c r="AE158" s="503"/>
      <c r="AF158" s="500"/>
      <c r="AG158" s="501"/>
      <c r="AH158" s="501"/>
      <c r="AI158" s="501"/>
      <c r="AJ158" s="501"/>
      <c r="AK158" s="503"/>
      <c r="AL158" s="500"/>
      <c r="AM158" s="501"/>
      <c r="AN158" s="501"/>
      <c r="AO158" s="501"/>
      <c r="AP158" s="501"/>
      <c r="AQ158" s="503"/>
      <c r="AR158" s="500"/>
      <c r="AS158" s="501"/>
      <c r="AT158" s="501"/>
      <c r="AU158" s="501"/>
      <c r="AV158" s="501"/>
      <c r="AW158" s="503"/>
      <c r="AX158" s="361"/>
      <c r="AY158" s="501"/>
      <c r="AZ158" s="501"/>
      <c r="BA158" s="501"/>
      <c r="BB158" s="501"/>
      <c r="BC158" s="503"/>
      <c r="BD158" s="500"/>
      <c r="BE158" s="501"/>
      <c r="BF158" s="501"/>
      <c r="BG158" s="501"/>
      <c r="BH158" s="501"/>
      <c r="BI158" s="503"/>
      <c r="BJ158" s="500"/>
      <c r="BK158" s="501"/>
      <c r="BL158" s="501"/>
      <c r="BM158" s="501"/>
      <c r="BN158" s="501"/>
      <c r="BO158" s="502"/>
      <c r="BP158" s="500"/>
      <c r="BQ158" s="501"/>
      <c r="BR158" s="501"/>
      <c r="BS158" s="501"/>
      <c r="BT158" s="501"/>
      <c r="BU158" s="502"/>
      <c r="BV158" s="500"/>
      <c r="BW158" s="501"/>
      <c r="BX158" s="501"/>
      <c r="BY158" s="501"/>
      <c r="BZ158" s="501"/>
      <c r="CA158" s="502"/>
      <c r="CB158" s="500"/>
      <c r="CC158" s="501"/>
      <c r="CD158" s="501"/>
      <c r="CE158" s="501"/>
      <c r="CF158" s="501"/>
      <c r="CG158" s="502"/>
      <c r="CH158" s="500"/>
      <c r="CI158" s="501"/>
      <c r="CJ158" s="501"/>
      <c r="CK158" s="501"/>
      <c r="CL158" s="501"/>
      <c r="CM158" s="502"/>
      <c r="CN158" s="500"/>
      <c r="CO158" s="501"/>
      <c r="CP158" s="501"/>
      <c r="CQ158" s="501"/>
      <c r="CR158" s="501"/>
      <c r="CS158" s="502"/>
      <c r="CT158" s="500"/>
      <c r="CU158" s="501"/>
      <c r="CV158" s="501"/>
      <c r="CW158" s="501"/>
      <c r="CX158" s="501"/>
      <c r="CY158" s="502"/>
      <c r="CZ158" s="500"/>
      <c r="DA158" s="501"/>
      <c r="DB158" s="501"/>
      <c r="DC158" s="501"/>
      <c r="DD158" s="501"/>
      <c r="DE158" s="502"/>
      <c r="DF158" s="500"/>
      <c r="DG158" s="501"/>
      <c r="DH158" s="501"/>
      <c r="DI158" s="501"/>
      <c r="DJ158" s="501"/>
      <c r="DK158" s="502"/>
      <c r="DL158" s="500"/>
      <c r="DM158" s="501"/>
      <c r="DN158" s="501"/>
      <c r="DO158" s="501"/>
      <c r="DP158" s="501"/>
      <c r="DQ158" s="502"/>
      <c r="DR158" s="500"/>
      <c r="DS158" s="501"/>
      <c r="DT158" s="501"/>
      <c r="DU158" s="501"/>
      <c r="DV158" s="501"/>
      <c r="DW158" s="502"/>
      <c r="DX158" s="501"/>
      <c r="DY158" s="501"/>
      <c r="DZ158" s="501"/>
      <c r="EA158" s="501"/>
      <c r="EB158" s="501"/>
      <c r="EC158" s="502"/>
      <c r="ED158" s="501"/>
      <c r="EE158" s="501"/>
      <c r="EF158" s="501"/>
      <c r="EG158" s="501"/>
      <c r="EH158" s="501"/>
      <c r="EI158" s="502"/>
      <c r="EJ158" s="501"/>
      <c r="EK158" s="501"/>
      <c r="EL158" s="501"/>
      <c r="EM158" s="501"/>
      <c r="EN158" s="501"/>
      <c r="EO158" s="502"/>
      <c r="EP158" s="501"/>
      <c r="EQ158" s="501"/>
      <c r="ER158" s="501"/>
      <c r="ES158" s="501"/>
      <c r="ET158" s="501"/>
      <c r="EU158" s="502"/>
      <c r="EV158" s="142"/>
      <c r="EW158" s="142"/>
      <c r="EX158" s="126"/>
      <c r="EY158" s="126"/>
      <c r="EZ158" s="126"/>
      <c r="FA158" s="126"/>
      <c r="FB158" s="126"/>
    </row>
    <row r="159" spans="1:158" ht="14.25" hidden="1" customHeight="1" outlineLevel="1">
      <c r="A159" s="100" t="s">
        <v>4251</v>
      </c>
      <c r="B159" s="32"/>
      <c r="C159" s="90"/>
      <c r="D159" s="90"/>
      <c r="E159" s="90"/>
      <c r="F159" s="90"/>
      <c r="G159" s="61"/>
      <c r="H159" s="90"/>
      <c r="I159" s="90"/>
      <c r="J159" s="90"/>
      <c r="K159" s="500"/>
      <c r="L159" s="500"/>
      <c r="M159" s="500"/>
      <c r="N159" s="500"/>
      <c r="O159" s="501"/>
      <c r="P159" s="501"/>
      <c r="Q159" s="501"/>
      <c r="R159" s="501"/>
      <c r="S159" s="510"/>
      <c r="T159" s="613"/>
      <c r="U159" s="596"/>
      <c r="V159" s="596"/>
      <c r="W159" s="596"/>
      <c r="X159" s="596"/>
      <c r="Y159" s="510">
        <v>0</v>
      </c>
      <c r="Z159" s="613"/>
      <c r="AA159" s="596"/>
      <c r="AB159" s="596"/>
      <c r="AC159" s="596"/>
      <c r="AD159" s="596"/>
      <c r="AE159" s="510">
        <v>0</v>
      </c>
      <c r="AF159" s="613"/>
      <c r="AG159" s="596"/>
      <c r="AH159" s="596"/>
      <c r="AI159" s="596"/>
      <c r="AJ159" s="596"/>
      <c r="AK159" s="510">
        <v>0</v>
      </c>
      <c r="AL159" s="613"/>
      <c r="AM159" s="596"/>
      <c r="AN159" s="596"/>
      <c r="AO159" s="596"/>
      <c r="AP159" s="596"/>
      <c r="AQ159" s="510">
        <v>0</v>
      </c>
      <c r="AR159" s="613"/>
      <c r="AS159" s="596"/>
      <c r="AT159" s="596"/>
      <c r="AU159" s="596"/>
      <c r="AV159" s="596"/>
      <c r="AW159" s="510">
        <v>0</v>
      </c>
      <c r="AX159" s="613"/>
      <c r="AY159" s="596"/>
      <c r="AZ159" s="596"/>
      <c r="BA159" s="596"/>
      <c r="BB159" s="596"/>
      <c r="BC159" s="614">
        <v>-0.124</v>
      </c>
      <c r="BD159" s="613"/>
      <c r="BE159" s="596"/>
      <c r="BF159" s="596"/>
      <c r="BG159" s="596"/>
      <c r="BH159" s="596">
        <f>5.664</f>
        <v>5.6639999999999997</v>
      </c>
      <c r="BI159" s="510"/>
      <c r="BJ159" s="613"/>
      <c r="BK159" s="596"/>
      <c r="BL159" s="596"/>
      <c r="BM159" s="596"/>
      <c r="BN159" s="596"/>
      <c r="BO159" s="596"/>
      <c r="BP159" s="613"/>
      <c r="BQ159" s="596"/>
      <c r="BR159" s="596"/>
      <c r="BS159" s="596"/>
      <c r="BT159" s="596"/>
      <c r="BU159" s="596"/>
      <c r="BV159" s="613"/>
      <c r="BW159" s="596"/>
      <c r="BX159" s="596"/>
      <c r="BY159" s="596"/>
      <c r="BZ159" s="596"/>
      <c r="CA159" s="596"/>
      <c r="CB159" s="613"/>
      <c r="CC159" s="596"/>
      <c r="CD159" s="596"/>
      <c r="CE159" s="596"/>
      <c r="CF159" s="596"/>
      <c r="CG159" s="596"/>
      <c r="CH159" s="613"/>
      <c r="CI159" s="596"/>
      <c r="CJ159" s="596"/>
      <c r="CK159" s="596"/>
      <c r="CL159" s="596"/>
      <c r="CM159" s="596"/>
      <c r="CN159" s="613"/>
      <c r="CO159" s="596"/>
      <c r="CP159" s="596"/>
      <c r="CQ159" s="596"/>
      <c r="CR159" s="596"/>
      <c r="CS159" s="596"/>
      <c r="CT159" s="613"/>
      <c r="CU159" s="596"/>
      <c r="CV159" s="596"/>
      <c r="CW159" s="596"/>
      <c r="CX159" s="596"/>
      <c r="CY159" s="596"/>
      <c r="CZ159" s="613"/>
      <c r="DA159" s="596"/>
      <c r="DB159" s="596"/>
      <c r="DC159" s="596"/>
      <c r="DD159" s="596"/>
      <c r="DE159" s="596"/>
      <c r="DF159" s="613"/>
      <c r="DG159" s="596"/>
      <c r="DH159" s="596"/>
      <c r="DI159" s="596"/>
      <c r="DJ159" s="596"/>
      <c r="DK159" s="596"/>
      <c r="DL159" s="613"/>
      <c r="DM159" s="596"/>
      <c r="DN159" s="596"/>
      <c r="DO159" s="596"/>
      <c r="DP159" s="596"/>
      <c r="DQ159" s="596"/>
      <c r="DR159" s="613"/>
      <c r="DV159" s="596"/>
      <c r="DX159" s="501"/>
      <c r="EA159" s="2280"/>
      <c r="ED159" s="501"/>
      <c r="EJ159" s="501"/>
      <c r="EP159" s="501"/>
      <c r="EV159" s="142"/>
      <c r="EW159" s="142"/>
      <c r="EX159" s="126"/>
      <c r="EY159" s="126"/>
      <c r="EZ159" s="126"/>
      <c r="FA159" s="126"/>
      <c r="FB159" s="126"/>
    </row>
    <row r="160" spans="1:158" ht="14.25" hidden="1" customHeight="1" outlineLevel="1">
      <c r="A160" s="100" t="s">
        <v>4253</v>
      </c>
      <c r="B160" s="32"/>
      <c r="C160" s="90"/>
      <c r="D160" s="90"/>
      <c r="E160" s="90"/>
      <c r="F160" s="90"/>
      <c r="G160" s="61"/>
      <c r="H160" s="90"/>
      <c r="I160" s="90"/>
      <c r="J160" s="90"/>
      <c r="K160" s="500"/>
      <c r="L160" s="500"/>
      <c r="M160" s="500"/>
      <c r="N160" s="500"/>
      <c r="O160" s="501"/>
      <c r="P160" s="501"/>
      <c r="Q160" s="501"/>
      <c r="R160" s="501"/>
      <c r="S160" s="510"/>
      <c r="T160" s="613"/>
      <c r="U160" s="596"/>
      <c r="V160" s="596"/>
      <c r="W160" s="596"/>
      <c r="X160" s="596"/>
      <c r="Y160" s="510">
        <v>0</v>
      </c>
      <c r="Z160" s="613"/>
      <c r="AA160" s="596"/>
      <c r="AB160" s="596"/>
      <c r="AC160" s="596"/>
      <c r="AD160" s="596"/>
      <c r="AE160" s="510">
        <v>0</v>
      </c>
      <c r="AF160" s="613"/>
      <c r="AG160" s="596"/>
      <c r="AH160" s="596"/>
      <c r="AI160" s="596"/>
      <c r="AJ160" s="596"/>
      <c r="AK160" s="510">
        <v>0</v>
      </c>
      <c r="AL160" s="613"/>
      <c r="AM160" s="596"/>
      <c r="AN160" s="596"/>
      <c r="AO160" s="596"/>
      <c r="AP160" s="596"/>
      <c r="AQ160" s="510">
        <v>-4.556</v>
      </c>
      <c r="AR160" s="613"/>
      <c r="AS160" s="596"/>
      <c r="AT160" s="596"/>
      <c r="AU160" s="596"/>
      <c r="AV160" s="596"/>
      <c r="AW160" s="510">
        <v>0</v>
      </c>
      <c r="AX160" s="613"/>
      <c r="AY160" s="596"/>
      <c r="AZ160" s="596"/>
      <c r="BA160" s="596"/>
      <c r="BB160" s="596"/>
      <c r="BC160" s="614">
        <v>0</v>
      </c>
      <c r="BD160" s="613"/>
      <c r="BE160" s="596"/>
      <c r="BF160" s="596"/>
      <c r="BG160" s="596"/>
      <c r="BH160" s="596"/>
      <c r="BI160" s="510"/>
      <c r="BJ160" s="613"/>
      <c r="BK160" s="596"/>
      <c r="BL160" s="596"/>
      <c r="BM160" s="596"/>
      <c r="BN160" s="596"/>
      <c r="BO160" s="596"/>
      <c r="BP160" s="613"/>
      <c r="BQ160" s="596"/>
      <c r="BR160" s="596"/>
      <c r="BS160" s="596"/>
      <c r="BT160" s="596"/>
      <c r="BU160" s="596"/>
      <c r="BV160" s="613"/>
      <c r="BW160" s="596"/>
      <c r="BX160" s="596"/>
      <c r="BY160" s="596"/>
      <c r="BZ160" s="596"/>
      <c r="CA160" s="596"/>
      <c r="CB160" s="613"/>
      <c r="CC160" s="596"/>
      <c r="CD160" s="596"/>
      <c r="CE160" s="596"/>
      <c r="CF160" s="596"/>
      <c r="CG160" s="596"/>
      <c r="CH160" s="613"/>
      <c r="CI160" s="596"/>
      <c r="CJ160" s="596"/>
      <c r="CK160" s="596"/>
      <c r="CL160" s="596"/>
      <c r="CM160" s="596"/>
      <c r="CN160" s="613"/>
      <c r="CO160" s="596"/>
      <c r="CP160" s="596"/>
      <c r="CQ160" s="596"/>
      <c r="CR160" s="596"/>
      <c r="CS160" s="596"/>
      <c r="CT160" s="613"/>
      <c r="CU160" s="596"/>
      <c r="CV160" s="596"/>
      <c r="CW160" s="596"/>
      <c r="CX160" s="596"/>
      <c r="CY160" s="596"/>
      <c r="CZ160" s="613"/>
      <c r="DA160" s="596"/>
      <c r="DB160" s="596"/>
      <c r="DC160" s="596"/>
      <c r="DD160" s="596"/>
      <c r="DE160" s="596"/>
      <c r="DF160" s="613"/>
      <c r="DG160" s="596"/>
      <c r="DH160" s="596"/>
      <c r="DI160" s="596"/>
      <c r="DJ160" s="596"/>
      <c r="DK160" s="596"/>
      <c r="DL160" s="613"/>
      <c r="DM160" s="596"/>
      <c r="DN160" s="596"/>
      <c r="DO160" s="596"/>
      <c r="DP160" s="596"/>
      <c r="DQ160" s="596"/>
      <c r="DR160" s="613"/>
      <c r="DV160" s="596"/>
      <c r="DX160" s="501"/>
      <c r="EA160" s="2280"/>
      <c r="ED160" s="501"/>
      <c r="EJ160" s="501"/>
      <c r="EP160" s="501"/>
      <c r="EV160" s="142"/>
      <c r="EW160" s="142"/>
      <c r="EX160" s="126"/>
      <c r="EY160" s="126"/>
      <c r="EZ160" s="126"/>
      <c r="FA160" s="126"/>
      <c r="FB160" s="126"/>
    </row>
    <row r="161" spans="1:158" ht="14.25" hidden="1" customHeight="1" outlineLevel="1" thickBot="1">
      <c r="A161" s="146" t="s">
        <v>4252</v>
      </c>
      <c r="B161" s="32"/>
      <c r="C161" s="90"/>
      <c r="D161" s="90"/>
      <c r="E161" s="90"/>
      <c r="F161" s="90"/>
      <c r="G161" s="61"/>
      <c r="H161" s="90"/>
      <c r="I161" s="90"/>
      <c r="J161" s="90"/>
      <c r="K161" s="500"/>
      <c r="L161" s="500"/>
      <c r="M161" s="500"/>
      <c r="N161" s="500"/>
      <c r="O161" s="501"/>
      <c r="P161" s="501"/>
      <c r="Q161" s="501"/>
      <c r="R161" s="501"/>
      <c r="S161" s="510">
        <f>0.331+0.025</f>
        <v>0.35600000000000004</v>
      </c>
      <c r="T161" s="613"/>
      <c r="U161" s="596"/>
      <c r="V161" s="596"/>
      <c r="W161" s="596"/>
      <c r="X161" s="596"/>
      <c r="Y161" s="510">
        <v>-0.78700000000000003</v>
      </c>
      <c r="Z161" s="613"/>
      <c r="AA161" s="596"/>
      <c r="AB161" s="596"/>
      <c r="AC161" s="596"/>
      <c r="AD161" s="596"/>
      <c r="AE161" s="510">
        <v>0.16600000000000001</v>
      </c>
      <c r="AF161" s="613"/>
      <c r="AG161" s="596"/>
      <c r="AH161" s="596"/>
      <c r="AI161" s="596"/>
      <c r="AJ161" s="596"/>
      <c r="AK161" s="510">
        <v>0.45900000000000002</v>
      </c>
      <c r="AL161" s="613"/>
      <c r="AM161" s="596"/>
      <c r="AN161" s="596"/>
      <c r="AO161" s="596"/>
      <c r="AP161" s="596"/>
      <c r="AQ161" s="510">
        <v>3.0840000000000001</v>
      </c>
      <c r="AR161" s="613"/>
      <c r="AS161" s="596"/>
      <c r="AT161" s="596"/>
      <c r="AU161" s="596"/>
      <c r="AV161" s="596"/>
      <c r="AW161" s="510">
        <v>1.734</v>
      </c>
      <c r="AX161" s="613"/>
      <c r="AY161" s="596"/>
      <c r="AZ161" s="596"/>
      <c r="BA161" s="596"/>
      <c r="BB161" s="596"/>
      <c r="BC161" s="614">
        <v>0.30599999999999999</v>
      </c>
      <c r="BD161" s="613"/>
      <c r="BE161" s="596"/>
      <c r="BF161" s="596"/>
      <c r="BG161" s="596"/>
      <c r="BH161" s="596"/>
      <c r="BI161" s="510"/>
      <c r="BJ161" s="613"/>
      <c r="BK161" s="596"/>
      <c r="BL161" s="596"/>
      <c r="BM161" s="596"/>
      <c r="BN161" s="596"/>
      <c r="BO161" s="596"/>
      <c r="BP161" s="613"/>
      <c r="BQ161" s="596"/>
      <c r="BR161" s="596"/>
      <c r="BS161" s="596"/>
      <c r="BT161" s="596"/>
      <c r="BU161" s="596"/>
      <c r="BV161" s="613"/>
      <c r="BW161" s="596"/>
      <c r="BX161" s="596"/>
      <c r="BY161" s="596"/>
      <c r="BZ161" s="596"/>
      <c r="CA161" s="596"/>
      <c r="CB161" s="613"/>
      <c r="CC161" s="596"/>
      <c r="CD161" s="596"/>
      <c r="CE161" s="596"/>
      <c r="CF161" s="596"/>
      <c r="CG161" s="596"/>
      <c r="CH161" s="613"/>
      <c r="CI161" s="596"/>
      <c r="CJ161" s="596"/>
      <c r="CK161" s="596"/>
      <c r="CL161" s="596"/>
      <c r="CM161" s="596"/>
      <c r="CN161" s="613"/>
      <c r="CO161" s="596"/>
      <c r="CP161" s="596"/>
      <c r="CQ161" s="596"/>
      <c r="CR161" s="596"/>
      <c r="CS161" s="596"/>
      <c r="CT161" s="613"/>
      <c r="CU161" s="596"/>
      <c r="CV161" s="596"/>
      <c r="CW161" s="596"/>
      <c r="CX161" s="596"/>
      <c r="CY161" s="596"/>
      <c r="CZ161" s="613"/>
      <c r="DA161" s="596"/>
      <c r="DB161" s="596"/>
      <c r="DC161" s="596"/>
      <c r="DD161" s="596"/>
      <c r="DE161" s="596"/>
      <c r="DF161" s="613"/>
      <c r="DG161" s="596"/>
      <c r="DH161" s="596"/>
      <c r="DI161" s="596"/>
      <c r="DJ161" s="596"/>
      <c r="DK161" s="596"/>
      <c r="DL161" s="613"/>
      <c r="DM161" s="596"/>
      <c r="DN161" s="596"/>
      <c r="DO161" s="596"/>
      <c r="DP161" s="596"/>
      <c r="DQ161" s="596"/>
      <c r="DR161" s="613"/>
      <c r="DV161" s="596"/>
      <c r="DX161" s="501"/>
      <c r="EA161" s="2280"/>
      <c r="ED161" s="501"/>
      <c r="EJ161" s="501"/>
      <c r="EP161" s="501"/>
      <c r="EV161" s="142"/>
      <c r="EW161" s="142"/>
      <c r="EX161" s="126"/>
      <c r="EY161" s="126"/>
      <c r="EZ161" s="126"/>
      <c r="FA161" s="126"/>
      <c r="FB161" s="126"/>
    </row>
    <row r="162" spans="1:158" ht="14.25" hidden="1" customHeight="1" outlineLevel="1" thickTop="1">
      <c r="A162" s="100" t="s">
        <v>3351</v>
      </c>
      <c r="B162" s="32"/>
      <c r="C162" s="90"/>
      <c r="D162" s="90"/>
      <c r="E162" s="90"/>
      <c r="F162" s="90"/>
      <c r="G162" s="61"/>
      <c r="H162" s="90"/>
      <c r="I162" s="90"/>
      <c r="J162" s="90"/>
      <c r="K162" s="500"/>
      <c r="L162" s="500"/>
      <c r="M162" s="500"/>
      <c r="N162" s="500"/>
      <c r="O162" s="503"/>
      <c r="P162" s="503"/>
      <c r="Q162" s="503"/>
      <c r="R162" s="503"/>
      <c r="S162" s="510">
        <f>SUM(S159:S161)</f>
        <v>0.35600000000000004</v>
      </c>
      <c r="T162" s="613"/>
      <c r="U162" s="510"/>
      <c r="V162" s="510"/>
      <c r="W162" s="510"/>
      <c r="X162" s="510"/>
      <c r="Y162" s="510">
        <f>SUM(Y159:Y161)</f>
        <v>-0.78700000000000003</v>
      </c>
      <c r="Z162" s="613"/>
      <c r="AA162" s="510"/>
      <c r="AB162" s="510"/>
      <c r="AC162" s="510"/>
      <c r="AD162" s="510"/>
      <c r="AE162" s="510">
        <f>SUM(AE159:AE161)</f>
        <v>0.16600000000000001</v>
      </c>
      <c r="AF162" s="613"/>
      <c r="AG162" s="510"/>
      <c r="AH162" s="510"/>
      <c r="AI162" s="510"/>
      <c r="AJ162" s="510"/>
      <c r="AK162" s="510">
        <f>SUM(AK159:AK161)</f>
        <v>0.45900000000000002</v>
      </c>
      <c r="AL162" s="613"/>
      <c r="AM162" s="510"/>
      <c r="AN162" s="510"/>
      <c r="AO162" s="510"/>
      <c r="AP162" s="510"/>
      <c r="AQ162" s="510">
        <f>SUM(AQ159:AQ161)</f>
        <v>-1.472</v>
      </c>
      <c r="AR162" s="613"/>
      <c r="AS162" s="510"/>
      <c r="AT162" s="510"/>
      <c r="AU162" s="510"/>
      <c r="AV162" s="510"/>
      <c r="AW162" s="510">
        <f>SUM(AW159:AW161)</f>
        <v>1.734</v>
      </c>
      <c r="AX162" s="613"/>
      <c r="AY162" s="510"/>
      <c r="AZ162" s="510"/>
      <c r="BA162" s="510"/>
      <c r="BB162" s="510"/>
      <c r="BC162" s="510">
        <f>SUM(BC159:BC161)</f>
        <v>0.182</v>
      </c>
      <c r="BD162" s="613"/>
      <c r="BE162" s="596"/>
      <c r="BF162" s="596"/>
      <c r="BG162" s="596"/>
      <c r="BH162" s="596"/>
      <c r="BI162" s="510">
        <f>BI46-BC46</f>
        <v>0.40000000000000036</v>
      </c>
      <c r="BJ162" s="613"/>
      <c r="BK162" s="596"/>
      <c r="BL162" s="596"/>
      <c r="BM162" s="596"/>
      <c r="BN162" s="596"/>
      <c r="BO162" s="510">
        <f>BO46-BI46</f>
        <v>10.1</v>
      </c>
      <c r="BP162" s="613"/>
      <c r="BQ162" s="596"/>
      <c r="BR162" s="596"/>
      <c r="BS162" s="596"/>
      <c r="BT162" s="596"/>
      <c r="BU162" s="510">
        <f>BU46-BO46</f>
        <v>0</v>
      </c>
      <c r="BV162" s="613"/>
      <c r="BW162" s="596"/>
      <c r="BX162" s="596"/>
      <c r="BY162" s="596"/>
      <c r="BZ162" s="596"/>
      <c r="CA162" s="510">
        <f>CA46-BU46</f>
        <v>0</v>
      </c>
      <c r="CB162" s="613"/>
      <c r="CC162" s="596"/>
      <c r="CD162" s="596"/>
      <c r="CE162" s="596"/>
      <c r="CF162" s="596"/>
      <c r="CG162" s="510">
        <f>CG46-CA46</f>
        <v>0</v>
      </c>
      <c r="CH162" s="613"/>
      <c r="CI162" s="596"/>
      <c r="CJ162" s="596"/>
      <c r="CK162" s="596"/>
      <c r="CL162" s="596"/>
      <c r="CM162" s="510">
        <f>CM46-CG46</f>
        <v>0</v>
      </c>
      <c r="CN162" s="613"/>
      <c r="CO162" s="596"/>
      <c r="CP162" s="596"/>
      <c r="CQ162" s="596"/>
      <c r="CR162" s="596"/>
      <c r="CS162" s="510">
        <f>CS46-CM46</f>
        <v>0</v>
      </c>
      <c r="CT162" s="613"/>
      <c r="CU162" s="596"/>
      <c r="CV162" s="596"/>
      <c r="CW162" s="596"/>
      <c r="CX162" s="596"/>
      <c r="CY162" s="510">
        <f>CY46-CS46</f>
        <v>0</v>
      </c>
      <c r="CZ162" s="613"/>
      <c r="DA162" s="596"/>
      <c r="DB162" s="596"/>
      <c r="DC162" s="596"/>
      <c r="DD162" s="596"/>
      <c r="DE162" s="510">
        <f>DE46-CY46</f>
        <v>0</v>
      </c>
      <c r="DF162" s="613"/>
      <c r="DG162" s="596"/>
      <c r="DH162" s="596"/>
      <c r="DI162" s="596"/>
      <c r="DJ162" s="596"/>
      <c r="DK162" s="510">
        <f>DK46-DE46</f>
        <v>0</v>
      </c>
      <c r="DL162" s="613"/>
      <c r="DM162" s="596"/>
      <c r="DN162" s="596"/>
      <c r="DO162" s="596"/>
      <c r="DP162" s="596"/>
      <c r="DQ162" s="510">
        <f>DQ46-DK46</f>
        <v>0</v>
      </c>
      <c r="DR162" s="613"/>
      <c r="DV162" s="596"/>
      <c r="DW162" s="510">
        <f>DW46-DQ46</f>
        <v>0</v>
      </c>
      <c r="DX162" s="501"/>
      <c r="EA162" s="2280"/>
      <c r="EC162" s="510">
        <f>EC46-DW46</f>
        <v>0</v>
      </c>
      <c r="ED162" s="501"/>
      <c r="EI162" s="510">
        <f>EI46-EC46</f>
        <v>0</v>
      </c>
      <c r="EJ162" s="501"/>
      <c r="EO162" s="510">
        <f>EO46-EI46</f>
        <v>0</v>
      </c>
      <c r="EP162" s="501"/>
      <c r="EU162" s="510">
        <f>EU46-EO46</f>
        <v>0</v>
      </c>
      <c r="EV162" s="142"/>
      <c r="EW162" s="142"/>
      <c r="EX162" s="126"/>
      <c r="EY162" s="126"/>
      <c r="EZ162" s="126"/>
      <c r="FA162" s="126"/>
      <c r="FB162" s="126"/>
    </row>
    <row r="163" spans="1:158" ht="14.25" hidden="1" customHeight="1" outlineLevel="1">
      <c r="A163" s="100"/>
      <c r="B163" s="32"/>
      <c r="C163" s="90"/>
      <c r="D163" s="90"/>
      <c r="E163" s="90"/>
      <c r="F163" s="90"/>
      <c r="G163" s="61"/>
      <c r="H163" s="90"/>
      <c r="I163" s="90"/>
      <c r="J163" s="90"/>
      <c r="K163" s="500"/>
      <c r="L163" s="500"/>
      <c r="M163" s="500"/>
      <c r="N163" s="500"/>
      <c r="O163" s="501"/>
      <c r="P163" s="501"/>
      <c r="Q163" s="501"/>
      <c r="R163" s="501"/>
      <c r="S163" s="613"/>
      <c r="T163" s="613"/>
      <c r="U163" s="596"/>
      <c r="V163" s="596"/>
      <c r="W163" s="596"/>
      <c r="X163" s="613"/>
      <c r="Y163" s="613"/>
      <c r="Z163" s="613"/>
      <c r="AA163" s="596"/>
      <c r="AB163" s="596"/>
      <c r="AC163" s="596"/>
      <c r="AD163" s="596"/>
      <c r="AE163" s="510"/>
      <c r="AF163" s="613"/>
      <c r="AG163" s="596"/>
      <c r="AH163" s="596"/>
      <c r="AI163" s="596"/>
      <c r="AJ163" s="596"/>
      <c r="AK163" s="510"/>
      <c r="AL163" s="613"/>
      <c r="AM163" s="596"/>
      <c r="AN163" s="596"/>
      <c r="AO163" s="596"/>
      <c r="AP163" s="596"/>
      <c r="AQ163" s="510"/>
      <c r="AR163" s="613"/>
      <c r="AS163" s="596"/>
      <c r="AT163" s="596"/>
      <c r="AU163" s="596"/>
      <c r="AV163" s="596"/>
      <c r="AW163" s="510"/>
      <c r="AX163" s="613"/>
      <c r="AY163" s="596"/>
      <c r="AZ163" s="596"/>
      <c r="BA163" s="596"/>
      <c r="BB163" s="596"/>
      <c r="BC163" s="510"/>
      <c r="BD163" s="613"/>
      <c r="BE163" s="596"/>
      <c r="BF163" s="596"/>
      <c r="BG163" s="596"/>
      <c r="BH163" s="596"/>
      <c r="BI163" s="510"/>
      <c r="BJ163" s="613"/>
      <c r="BK163" s="596"/>
      <c r="BL163" s="596"/>
      <c r="BM163" s="596"/>
      <c r="BN163" s="596"/>
      <c r="BO163" s="510"/>
      <c r="BP163" s="613"/>
      <c r="BQ163" s="596"/>
      <c r="BR163" s="596"/>
      <c r="BS163" s="596"/>
      <c r="BT163" s="596"/>
      <c r="BU163" s="510"/>
      <c r="BV163" s="613"/>
      <c r="BW163" s="596"/>
      <c r="BX163" s="596"/>
      <c r="BY163" s="596"/>
      <c r="BZ163" s="596"/>
      <c r="CA163" s="510"/>
      <c r="CB163" s="613"/>
      <c r="CC163" s="596"/>
      <c r="CD163" s="596"/>
      <c r="CE163" s="596"/>
      <c r="CF163" s="596"/>
      <c r="CG163" s="510"/>
      <c r="CH163" s="613"/>
      <c r="CI163" s="596"/>
      <c r="CJ163" s="596"/>
      <c r="CK163" s="596"/>
      <c r="CL163" s="596"/>
      <c r="CM163" s="510"/>
      <c r="CN163" s="613"/>
      <c r="CO163" s="596"/>
      <c r="CP163" s="596"/>
      <c r="CQ163" s="596"/>
      <c r="CR163" s="596"/>
      <c r="CS163" s="510"/>
      <c r="CT163" s="613"/>
      <c r="CU163" s="596"/>
      <c r="CV163" s="596"/>
      <c r="CW163" s="596"/>
      <c r="CX163" s="596"/>
      <c r="CY163" s="510"/>
      <c r="CZ163" s="613"/>
      <c r="DA163" s="596"/>
      <c r="DB163" s="596"/>
      <c r="DC163" s="596"/>
      <c r="DD163" s="596"/>
      <c r="DE163" s="510"/>
      <c r="DF163" s="613"/>
      <c r="DG163" s="596"/>
      <c r="DH163" s="596"/>
      <c r="DI163" s="596"/>
      <c r="DJ163" s="596"/>
      <c r="DK163" s="510"/>
      <c r="DL163" s="613"/>
      <c r="DM163" s="596"/>
      <c r="DN163" s="596"/>
      <c r="DO163" s="596"/>
      <c r="DP163" s="596"/>
      <c r="DQ163" s="510"/>
      <c r="DR163" s="613"/>
      <c r="DV163" s="596"/>
      <c r="DW163" s="510"/>
      <c r="DX163" s="501"/>
      <c r="EA163" s="2280"/>
      <c r="EC163" s="510"/>
      <c r="ED163" s="501"/>
      <c r="EI163" s="510"/>
      <c r="EJ163" s="501"/>
      <c r="EO163" s="510"/>
      <c r="EP163" s="501"/>
      <c r="EU163" s="510"/>
      <c r="EV163" s="142"/>
      <c r="EW163" s="142"/>
      <c r="EX163" s="126"/>
      <c r="EY163" s="126"/>
      <c r="EZ163" s="126"/>
      <c r="FA163" s="126"/>
      <c r="FB163" s="126"/>
    </row>
    <row r="164" spans="1:158" ht="14.25" hidden="1" customHeight="1" outlineLevel="1">
      <c r="A164" s="143" t="s">
        <v>3352</v>
      </c>
      <c r="B164" s="32"/>
      <c r="C164" s="90"/>
      <c r="D164" s="90"/>
      <c r="E164" s="90"/>
      <c r="F164" s="90"/>
      <c r="G164" s="61"/>
      <c r="H164" s="90"/>
      <c r="I164" s="90"/>
      <c r="J164" s="90"/>
      <c r="K164" s="500"/>
      <c r="L164" s="500"/>
      <c r="M164" s="500"/>
      <c r="N164" s="500"/>
      <c r="O164" s="501"/>
      <c r="P164" s="501"/>
      <c r="Q164" s="501"/>
      <c r="R164" s="501"/>
      <c r="S164" s="510">
        <v>-0.90700000000000003</v>
      </c>
      <c r="T164" s="613"/>
      <c r="U164" s="596"/>
      <c r="V164" s="596"/>
      <c r="W164" s="596"/>
      <c r="X164" s="613"/>
      <c r="Y164" s="510">
        <f>S46</f>
        <v>-0.55100000000000005</v>
      </c>
      <c r="Z164" s="613"/>
      <c r="AA164" s="596"/>
      <c r="AB164" s="596"/>
      <c r="AC164" s="596"/>
      <c r="AD164" s="596"/>
      <c r="AE164" s="510">
        <f>Y46</f>
        <v>-1.3380000000000001</v>
      </c>
      <c r="AF164" s="613"/>
      <c r="AG164" s="596"/>
      <c r="AH164" s="596"/>
      <c r="AI164" s="596"/>
      <c r="AJ164" s="596"/>
      <c r="AK164" s="510">
        <f>AE46</f>
        <v>-1.1719999999999999</v>
      </c>
      <c r="AL164" s="613"/>
      <c r="AM164" s="596"/>
      <c r="AN164" s="596"/>
      <c r="AO164" s="596"/>
      <c r="AP164" s="596"/>
      <c r="AQ164" s="510">
        <f>AK46</f>
        <v>-0.71299999999999997</v>
      </c>
      <c r="AR164" s="613"/>
      <c r="AS164" s="596"/>
      <c r="AT164" s="596"/>
      <c r="AU164" s="596"/>
      <c r="AV164" s="596"/>
      <c r="AW164" s="510">
        <f>AQ46</f>
        <v>-2.1850000000000001</v>
      </c>
      <c r="AX164" s="613"/>
      <c r="AY164" s="596"/>
      <c r="AZ164" s="596"/>
      <c r="BA164" s="596"/>
      <c r="BB164" s="596"/>
      <c r="BC164" s="510">
        <f>AW46</f>
        <v>-0.45100000000000001</v>
      </c>
      <c r="BD164" s="613"/>
      <c r="BE164" s="596"/>
      <c r="BF164" s="596"/>
      <c r="BG164" s="596"/>
      <c r="BH164" s="596"/>
      <c r="BI164" s="595">
        <f>BC46</f>
        <v>-10.5</v>
      </c>
      <c r="BJ164" s="143"/>
      <c r="BK164" s="505"/>
      <c r="BL164" s="505"/>
      <c r="BM164" s="505"/>
      <c r="BN164" s="505"/>
      <c r="BO164" s="595">
        <f>BI46</f>
        <v>-10.1</v>
      </c>
      <c r="BP164" s="613"/>
      <c r="BQ164" s="596"/>
      <c r="BR164" s="596"/>
      <c r="BS164" s="596"/>
      <c r="BT164" s="596"/>
      <c r="BU164" s="510">
        <f>BO46</f>
        <v>0</v>
      </c>
      <c r="BV164" s="613"/>
      <c r="BW164" s="596"/>
      <c r="BX164" s="596"/>
      <c r="BY164" s="596"/>
      <c r="BZ164" s="596"/>
      <c r="CA164" s="510">
        <f>BU46</f>
        <v>0</v>
      </c>
      <c r="CB164" s="613"/>
      <c r="CC164" s="596"/>
      <c r="CD164" s="596"/>
      <c r="CE164" s="596"/>
      <c r="CF164" s="596"/>
      <c r="CG164" s="510">
        <f>CA46</f>
        <v>0</v>
      </c>
      <c r="CH164" s="613"/>
      <c r="CI164" s="596"/>
      <c r="CJ164" s="596"/>
      <c r="CK164" s="596"/>
      <c r="CL164" s="596"/>
      <c r="CM164" s="510">
        <f>CG46</f>
        <v>0</v>
      </c>
      <c r="CN164" s="613"/>
      <c r="CO164" s="596"/>
      <c r="CP164" s="596"/>
      <c r="CQ164" s="596"/>
      <c r="CR164" s="596"/>
      <c r="CS164" s="510">
        <f>CM46</f>
        <v>0</v>
      </c>
      <c r="CT164" s="613"/>
      <c r="CU164" s="596"/>
      <c r="CV164" s="596"/>
      <c r="CW164" s="596"/>
      <c r="CX164" s="596"/>
      <c r="CY164" s="510">
        <f>CS46</f>
        <v>0</v>
      </c>
      <c r="CZ164" s="613"/>
      <c r="DA164" s="596"/>
      <c r="DB164" s="596"/>
      <c r="DC164" s="596"/>
      <c r="DD164" s="596"/>
      <c r="DE164" s="510">
        <f>CY46</f>
        <v>0</v>
      </c>
      <c r="DF164" s="613"/>
      <c r="DG164" s="596"/>
      <c r="DH164" s="596"/>
      <c r="DI164" s="596"/>
      <c r="DJ164" s="596"/>
      <c r="DK164" s="510">
        <f>DE46</f>
        <v>0</v>
      </c>
      <c r="DL164" s="613"/>
      <c r="DM164" s="596"/>
      <c r="DN164" s="596"/>
      <c r="DO164" s="596"/>
      <c r="DP164" s="596"/>
      <c r="DQ164" s="510">
        <f>DK46</f>
        <v>0</v>
      </c>
      <c r="DR164" s="613"/>
      <c r="DV164" s="596"/>
      <c r="DW164" s="510">
        <f>DQ46</f>
        <v>0</v>
      </c>
      <c r="DX164" s="501"/>
      <c r="EA164" s="2280"/>
      <c r="EC164" s="510">
        <f>DW46</f>
        <v>0</v>
      </c>
      <c r="ED164" s="501"/>
      <c r="EI164" s="510">
        <f>EC46</f>
        <v>0</v>
      </c>
      <c r="EJ164" s="501"/>
      <c r="EO164" s="510">
        <f>EI46</f>
        <v>0</v>
      </c>
      <c r="EP164" s="501"/>
      <c r="EU164" s="510">
        <f>EO46</f>
        <v>0</v>
      </c>
      <c r="EV164" s="142"/>
      <c r="EW164" s="142"/>
      <c r="EX164" s="126"/>
      <c r="EY164" s="126"/>
      <c r="EZ164" s="126"/>
      <c r="FA164" s="126"/>
      <c r="FB164" s="126"/>
    </row>
    <row r="165" spans="1:158" ht="14.25" hidden="1" customHeight="1" outlineLevel="1">
      <c r="A165" s="143" t="s">
        <v>3353</v>
      </c>
      <c r="B165" s="32"/>
      <c r="C165" s="90"/>
      <c r="D165" s="90"/>
      <c r="E165" s="90"/>
      <c r="F165" s="90"/>
      <c r="G165" s="61"/>
      <c r="H165" s="90"/>
      <c r="I165" s="90"/>
      <c r="J165" s="90"/>
      <c r="K165" s="500"/>
      <c r="L165" s="500"/>
      <c r="M165" s="500"/>
      <c r="N165" s="500"/>
      <c r="O165" s="501"/>
      <c r="P165" s="501"/>
      <c r="Q165" s="501"/>
      <c r="R165" s="501"/>
      <c r="S165" s="510">
        <f>S164+S162</f>
        <v>-0.55099999999999993</v>
      </c>
      <c r="T165" s="613"/>
      <c r="U165" s="596"/>
      <c r="V165" s="596"/>
      <c r="W165" s="596"/>
      <c r="X165" s="613"/>
      <c r="Y165" s="510">
        <f>Y164+Y162</f>
        <v>-1.3380000000000001</v>
      </c>
      <c r="Z165" s="613"/>
      <c r="AA165" s="596"/>
      <c r="AB165" s="596"/>
      <c r="AC165" s="596"/>
      <c r="AD165" s="596"/>
      <c r="AE165" s="510">
        <f>AE164+AE162</f>
        <v>-1.1720000000000002</v>
      </c>
      <c r="AF165" s="613"/>
      <c r="AG165" s="596"/>
      <c r="AH165" s="596"/>
      <c r="AI165" s="596"/>
      <c r="AJ165" s="596"/>
      <c r="AK165" s="510">
        <f>AK164+AK162</f>
        <v>-0.71299999999999986</v>
      </c>
      <c r="AL165" s="613"/>
      <c r="AM165" s="596"/>
      <c r="AN165" s="596"/>
      <c r="AO165" s="596"/>
      <c r="AP165" s="596"/>
      <c r="AQ165" s="510">
        <f>AQ164+AQ162</f>
        <v>-2.1850000000000001</v>
      </c>
      <c r="AR165" s="613"/>
      <c r="AS165" s="596"/>
      <c r="AT165" s="596"/>
      <c r="AU165" s="596"/>
      <c r="AV165" s="596"/>
      <c r="AW165" s="510">
        <f>AW164+AW162</f>
        <v>-0.45100000000000007</v>
      </c>
      <c r="AX165" s="613"/>
      <c r="AY165" s="596"/>
      <c r="AZ165" s="596"/>
      <c r="BA165" s="596"/>
      <c r="BB165" s="596"/>
      <c r="BC165" s="510">
        <f>BC164+BC162</f>
        <v>-0.26900000000000002</v>
      </c>
      <c r="BD165" s="613"/>
      <c r="BE165" s="596"/>
      <c r="BF165" s="596"/>
      <c r="BG165" s="596"/>
      <c r="BH165" s="596"/>
      <c r="BI165" s="595">
        <f>BI164+BI162</f>
        <v>-10.1</v>
      </c>
      <c r="BJ165" s="143"/>
      <c r="BK165" s="505"/>
      <c r="BL165" s="505"/>
      <c r="BM165" s="505"/>
      <c r="BN165" s="505"/>
      <c r="BO165" s="595">
        <f>BO164+BO162</f>
        <v>0</v>
      </c>
      <c r="BP165" s="613"/>
      <c r="BQ165" s="596"/>
      <c r="BR165" s="596"/>
      <c r="BS165" s="596"/>
      <c r="BT165" s="596"/>
      <c r="BU165" s="510">
        <f>BU164+BU162</f>
        <v>0</v>
      </c>
      <c r="BV165" s="613"/>
      <c r="BW165" s="596"/>
      <c r="BX165" s="596"/>
      <c r="BY165" s="596"/>
      <c r="BZ165" s="596"/>
      <c r="CA165" s="510">
        <f>CA164+CA162</f>
        <v>0</v>
      </c>
      <c r="CB165" s="613"/>
      <c r="CC165" s="596"/>
      <c r="CD165" s="596"/>
      <c r="CE165" s="596"/>
      <c r="CF165" s="596"/>
      <c r="CG165" s="510">
        <f>CG164+CG162</f>
        <v>0</v>
      </c>
      <c r="CH165" s="613"/>
      <c r="CI165" s="596"/>
      <c r="CJ165" s="596"/>
      <c r="CK165" s="596"/>
      <c r="CL165" s="596"/>
      <c r="CM165" s="510">
        <f>CM164+CM162</f>
        <v>0</v>
      </c>
      <c r="CN165" s="613"/>
      <c r="CO165" s="596"/>
      <c r="CP165" s="596"/>
      <c r="CQ165" s="596"/>
      <c r="CR165" s="596"/>
      <c r="CS165" s="510">
        <f>CS164+CS162</f>
        <v>0</v>
      </c>
      <c r="CT165" s="613"/>
      <c r="CU165" s="596"/>
      <c r="CV165" s="596"/>
      <c r="CW165" s="596"/>
      <c r="CX165" s="596"/>
      <c r="CY165" s="510">
        <f>CY164+CY162</f>
        <v>0</v>
      </c>
      <c r="CZ165" s="613"/>
      <c r="DA165" s="596"/>
      <c r="DB165" s="596"/>
      <c r="DC165" s="596"/>
      <c r="DD165" s="596"/>
      <c r="DE165" s="510">
        <f>DE164+DE162</f>
        <v>0</v>
      </c>
      <c r="DF165" s="613"/>
      <c r="DG165" s="596"/>
      <c r="DH165" s="596"/>
      <c r="DI165" s="596"/>
      <c r="DJ165" s="596"/>
      <c r="DK165" s="510">
        <f>DK164+DK162</f>
        <v>0</v>
      </c>
      <c r="DL165" s="613"/>
      <c r="DM165" s="596"/>
      <c r="DN165" s="596"/>
      <c r="DO165" s="596"/>
      <c r="DP165" s="596"/>
      <c r="DQ165" s="510">
        <f>DQ164+DQ162</f>
        <v>0</v>
      </c>
      <c r="DR165" s="613"/>
      <c r="DV165" s="596"/>
      <c r="DW165" s="510">
        <f>DW164+DW162</f>
        <v>0</v>
      </c>
      <c r="DX165" s="501"/>
      <c r="EA165" s="2280"/>
      <c r="EC165" s="510">
        <f>EC164+EC162</f>
        <v>0</v>
      </c>
      <c r="ED165" s="501"/>
      <c r="EI165" s="510">
        <f>EI164+EI162</f>
        <v>0</v>
      </c>
      <c r="EJ165" s="501"/>
      <c r="EO165" s="510">
        <f>EO164+EO162</f>
        <v>0</v>
      </c>
      <c r="EP165" s="501"/>
      <c r="EU165" s="510">
        <f>EU164+EU162</f>
        <v>0</v>
      </c>
      <c r="EV165" s="142"/>
      <c r="EW165" s="142"/>
      <c r="EX165" s="126"/>
      <c r="EY165" s="126"/>
      <c r="EZ165" s="126"/>
      <c r="FA165" s="126"/>
      <c r="FB165" s="126"/>
    </row>
    <row r="166" spans="1:158" ht="14.25" hidden="1" customHeight="1" outlineLevel="1">
      <c r="A166" s="47"/>
      <c r="B166" s="32"/>
      <c r="C166" s="90"/>
      <c r="D166" s="90"/>
      <c r="E166" s="90"/>
      <c r="F166" s="90"/>
      <c r="G166" s="61"/>
      <c r="H166" s="90"/>
      <c r="I166" s="90"/>
      <c r="J166" s="90"/>
      <c r="K166" s="126"/>
      <c r="L166" s="126"/>
      <c r="M166" s="126"/>
      <c r="N166" s="126"/>
      <c r="O166" s="142"/>
      <c r="P166" s="142"/>
      <c r="Q166" s="142"/>
      <c r="R166" s="142"/>
      <c r="S166" s="130" t="str">
        <f>IF(ROUND(S165,2)=ROUND(S46,2),"cool","problem")</f>
        <v>cool</v>
      </c>
      <c r="T166" s="126"/>
      <c r="U166" s="142"/>
      <c r="V166" s="142"/>
      <c r="W166" s="142"/>
      <c r="X166" s="126"/>
      <c r="Y166" s="130" t="str">
        <f>IF(ROUND(Y165,2)=ROUND(Y46,2),"cool","problem")</f>
        <v>cool</v>
      </c>
      <c r="Z166" s="126"/>
      <c r="AA166" s="142"/>
      <c r="AB166" s="142"/>
      <c r="AC166" s="142"/>
      <c r="AD166" s="142"/>
      <c r="AE166" s="130" t="str">
        <f>IF(ROUND(AE165,2)=ROUND(AE46,2),"cool","problem")</f>
        <v>cool</v>
      </c>
      <c r="AF166" s="126"/>
      <c r="AG166" s="142"/>
      <c r="AH166" s="142"/>
      <c r="AI166" s="142"/>
      <c r="AJ166" s="142"/>
      <c r="AK166" s="130" t="str">
        <f>IF(ROUND(AK165,2)=ROUND(AK46,2),"cool","problem")</f>
        <v>cool</v>
      </c>
      <c r="AL166" s="126"/>
      <c r="AM166" s="142"/>
      <c r="AN166" s="142"/>
      <c r="AO166" s="142"/>
      <c r="AP166" s="142"/>
      <c r="AQ166" s="130" t="str">
        <f>IF(ROUND(AQ165,2)=ROUND(AQ46,2),"cool","problem")</f>
        <v>cool</v>
      </c>
      <c r="AR166" s="126"/>
      <c r="AS166" s="142"/>
      <c r="AT166" s="142"/>
      <c r="AU166" s="142"/>
      <c r="AV166" s="142"/>
      <c r="AW166" s="130" t="str">
        <f>IF(ROUND(AW165,2)=ROUND(AW46,2),"cool","problem")</f>
        <v>cool</v>
      </c>
      <c r="AX166" s="127"/>
      <c r="AY166" s="142"/>
      <c r="AZ166" s="142"/>
      <c r="BA166" s="142"/>
      <c r="BB166" s="142"/>
      <c r="BC166" s="130" t="str">
        <f>IF(ROUND(BC165,2)=ROUND(BC46,2),"cool","problem")</f>
        <v>problem</v>
      </c>
      <c r="BD166" s="126"/>
      <c r="BE166" s="142"/>
      <c r="BF166" s="142"/>
      <c r="BG166" s="142"/>
      <c r="BH166" s="142"/>
      <c r="BI166" s="130" t="str">
        <f>IF(ROUND(BI165,2)=ROUND(BI46,2),"cool","problem")</f>
        <v>cool</v>
      </c>
      <c r="BJ166" s="126"/>
      <c r="BK166" s="142"/>
      <c r="BL166" s="142"/>
      <c r="BM166" s="142"/>
      <c r="BN166" s="142"/>
      <c r="BO166" s="130" t="str">
        <f>IF(ROUND(BO165,2)=ROUND(BO46,2),"cool","problem")</f>
        <v>cool</v>
      </c>
      <c r="BP166" s="126"/>
      <c r="BQ166" s="142"/>
      <c r="BR166" s="142"/>
      <c r="BS166" s="142"/>
      <c r="BT166" s="142"/>
      <c r="BU166" s="130" t="str">
        <f>IF(ROUND(BU165,2)=ROUND(BU46,2),"cool","problem")</f>
        <v>cool</v>
      </c>
      <c r="BV166" s="126"/>
      <c r="BW166" s="142"/>
      <c r="BX166" s="142"/>
      <c r="BY166" s="142"/>
      <c r="BZ166" s="142"/>
      <c r="CA166" s="130" t="str">
        <f>IF(ROUND(CA165,2)=ROUND(CA46,2),"cool","problem")</f>
        <v>cool</v>
      </c>
      <c r="CB166" s="126"/>
      <c r="CC166" s="142"/>
      <c r="CD166" s="142"/>
      <c r="CE166" s="142"/>
      <c r="CF166" s="142"/>
      <c r="CG166" s="130" t="str">
        <f>IF(ROUND(CG165,2)=ROUND(CG46,2),"cool","problem")</f>
        <v>cool</v>
      </c>
      <c r="CH166" s="126"/>
      <c r="CI166" s="142"/>
      <c r="CJ166" s="142"/>
      <c r="CK166" s="142"/>
      <c r="CL166" s="142"/>
      <c r="CM166" s="130" t="str">
        <f>IF(ROUND(CM165,2)=ROUND(CM46,2),"cool","problem")</f>
        <v>cool</v>
      </c>
      <c r="CN166" s="126"/>
      <c r="CO166" s="142"/>
      <c r="CP166" s="142"/>
      <c r="CQ166" s="142"/>
      <c r="CR166" s="142"/>
      <c r="CS166" s="130" t="str">
        <f>IF(ROUND(CS165,2)=ROUND(CS46,2),"cool","problem")</f>
        <v>cool</v>
      </c>
      <c r="CT166" s="126"/>
      <c r="CU166" s="142"/>
      <c r="CV166" s="142"/>
      <c r="CW166" s="142"/>
      <c r="CX166" s="142"/>
      <c r="CY166" s="130" t="str">
        <f>IF(ROUND(CY165,2)=ROUND(CY46,2),"cool","problem")</f>
        <v>cool</v>
      </c>
      <c r="CZ166" s="126"/>
      <c r="DA166" s="142"/>
      <c r="DB166" s="142"/>
      <c r="DC166" s="142"/>
      <c r="DD166" s="142"/>
      <c r="DE166" s="130" t="str">
        <f>IF(ROUND(DE165,2)=ROUND(DE46,2),"cool","problem")</f>
        <v>cool</v>
      </c>
      <c r="DF166" s="126"/>
      <c r="DG166" s="142"/>
      <c r="DH166" s="142"/>
      <c r="DI166" s="142"/>
      <c r="DJ166" s="142"/>
      <c r="DK166" s="130" t="str">
        <f>IF(ROUND(DK165,2)=ROUND(DK46,2),"cool","problem")</f>
        <v>cool</v>
      </c>
      <c r="DL166" s="126"/>
      <c r="DM166" s="142"/>
      <c r="DN166" s="142"/>
      <c r="DO166" s="142"/>
      <c r="DP166" s="142"/>
      <c r="DQ166" s="130" t="str">
        <f>IF(ROUND(DQ165,2)=ROUND(DQ46,2),"cool","problem")</f>
        <v>cool</v>
      </c>
      <c r="DR166" s="126"/>
      <c r="DS166" s="142"/>
      <c r="DT166" s="142"/>
      <c r="DU166" s="142"/>
      <c r="DV166" s="142"/>
      <c r="DW166" s="130" t="str">
        <f>IF(ROUND(DW165,2)=ROUND(DW46,2),"cool","problem")</f>
        <v>cool</v>
      </c>
      <c r="DX166" s="142"/>
      <c r="DY166" s="142"/>
      <c r="DZ166" s="142"/>
      <c r="EA166" s="142"/>
      <c r="EB166" s="142"/>
      <c r="EC166" s="130" t="str">
        <f>IF(ROUND(EC165,2)=ROUND(EC46,2),"cool","problem")</f>
        <v>cool</v>
      </c>
      <c r="ED166" s="142"/>
      <c r="EE166" s="142"/>
      <c r="EF166" s="142"/>
      <c r="EG166" s="142"/>
      <c r="EH166" s="142"/>
      <c r="EI166" s="130" t="str">
        <f>IF(ROUND(EI165,2)=ROUND(EI46,2),"cool","problem")</f>
        <v>cool</v>
      </c>
      <c r="EJ166" s="142"/>
      <c r="EK166" s="142"/>
      <c r="EL166" s="142"/>
      <c r="EM166" s="142"/>
      <c r="EN166" s="142"/>
      <c r="EO166" s="130" t="str">
        <f>IF(ROUND(EO165,2)=ROUND(EO46,2),"cool","problem")</f>
        <v>cool</v>
      </c>
      <c r="EP166" s="142"/>
      <c r="EQ166" s="142"/>
      <c r="ER166" s="142"/>
      <c r="ES166" s="142"/>
      <c r="ET166" s="142"/>
      <c r="EU166" s="130" t="str">
        <f>IF(ROUND(EU165,2)=ROUND(EU46,2),"cool","problem")</f>
        <v>cool</v>
      </c>
      <c r="EV166" s="142"/>
      <c r="EW166" s="142"/>
      <c r="EX166" s="126"/>
      <c r="EY166" s="126"/>
      <c r="EZ166" s="126"/>
      <c r="FA166" s="126"/>
      <c r="FB166" s="126"/>
    </row>
    <row r="167" spans="1:158" ht="14.25" hidden="1" customHeight="1" outlineLevel="1">
      <c r="A167" s="47"/>
      <c r="B167" s="32"/>
      <c r="C167" s="90"/>
      <c r="D167" s="90"/>
      <c r="E167" s="90"/>
      <c r="F167" s="90"/>
      <c r="G167" s="61"/>
      <c r="H167" s="90"/>
      <c r="I167" s="90"/>
      <c r="J167" s="90"/>
      <c r="K167" s="126"/>
      <c r="L167" s="126"/>
      <c r="M167" s="126"/>
      <c r="N167" s="126"/>
      <c r="O167" s="142"/>
      <c r="P167" s="142"/>
      <c r="Q167" s="142"/>
      <c r="R167" s="142"/>
      <c r="S167" s="335"/>
      <c r="T167" s="126"/>
      <c r="U167" s="142"/>
      <c r="V167" s="142"/>
      <c r="W167" s="142"/>
      <c r="X167" s="126"/>
      <c r="Y167" s="335"/>
      <c r="Z167" s="126"/>
      <c r="AA167" s="142"/>
      <c r="AB167" s="142"/>
      <c r="AC167" s="142"/>
      <c r="AD167" s="142"/>
      <c r="AE167" s="130"/>
      <c r="AF167" s="126"/>
      <c r="AG167" s="142"/>
      <c r="AH167" s="142"/>
      <c r="AI167" s="142"/>
      <c r="AJ167" s="142"/>
      <c r="AK167" s="130"/>
      <c r="AL167" s="126"/>
      <c r="AM167" s="142"/>
      <c r="AN167" s="142"/>
      <c r="AO167" s="142"/>
      <c r="AP167" s="142"/>
      <c r="AQ167" s="126"/>
      <c r="AR167" s="126"/>
      <c r="AS167" s="142"/>
      <c r="AT167" s="142"/>
      <c r="AU167" s="142"/>
      <c r="AV167" s="142"/>
      <c r="AW167" s="130"/>
      <c r="AX167" s="127"/>
      <c r="AY167" s="142"/>
      <c r="AZ167" s="142"/>
      <c r="BA167" s="142"/>
      <c r="BB167" s="142"/>
      <c r="BC167" s="336"/>
      <c r="BD167" s="126"/>
      <c r="BE167" s="142"/>
      <c r="BF167" s="142"/>
      <c r="BG167" s="142"/>
      <c r="BH167" s="142"/>
      <c r="BI167" s="130"/>
      <c r="BJ167" s="126"/>
      <c r="BK167" s="142"/>
      <c r="BL167" s="142"/>
      <c r="BM167" s="142"/>
      <c r="BN167" s="142"/>
      <c r="BO167" s="175"/>
      <c r="BP167" s="126"/>
      <c r="BQ167" s="142"/>
      <c r="BR167" s="142"/>
      <c r="BS167" s="142"/>
      <c r="BT167" s="142"/>
      <c r="BU167" s="175"/>
      <c r="BV167" s="126"/>
      <c r="BW167" s="142"/>
      <c r="BX167" s="142"/>
      <c r="BY167" s="142"/>
      <c r="BZ167" s="142"/>
      <c r="CA167" s="175"/>
      <c r="CB167" s="126"/>
      <c r="CC167" s="142"/>
      <c r="CD167" s="142"/>
      <c r="CE167" s="142"/>
      <c r="CF167" s="142"/>
      <c r="CG167" s="175"/>
      <c r="CH167" s="126"/>
      <c r="CI167" s="142"/>
      <c r="CJ167" s="142"/>
      <c r="CK167" s="142"/>
      <c r="CL167" s="142"/>
      <c r="CM167" s="175"/>
      <c r="CN167" s="126"/>
      <c r="CO167" s="142"/>
      <c r="CP167" s="142"/>
      <c r="CQ167" s="142"/>
      <c r="CR167" s="142"/>
      <c r="CS167" s="175"/>
      <c r="CT167" s="126"/>
      <c r="CU167" s="142"/>
      <c r="CV167" s="142"/>
      <c r="CW167" s="142"/>
      <c r="CX167" s="142"/>
      <c r="CY167" s="175"/>
      <c r="CZ167" s="126"/>
      <c r="DA167" s="142"/>
      <c r="DB167" s="142"/>
      <c r="DC167" s="142"/>
      <c r="DD167" s="142"/>
      <c r="DE167" s="175"/>
      <c r="DF167" s="126"/>
      <c r="DG167" s="142"/>
      <c r="DH167" s="142"/>
      <c r="DI167" s="142"/>
      <c r="DJ167" s="142"/>
      <c r="DK167" s="175"/>
      <c r="DL167" s="126"/>
      <c r="DM167" s="142"/>
      <c r="DN167" s="142"/>
      <c r="DO167" s="142"/>
      <c r="DP167" s="142"/>
      <c r="DQ167" s="175"/>
      <c r="DR167" s="126"/>
      <c r="DS167" s="142"/>
      <c r="DT167" s="142"/>
      <c r="DU167" s="142"/>
      <c r="DV167" s="142"/>
      <c r="DW167" s="175"/>
      <c r="DX167" s="142"/>
      <c r="DY167" s="142"/>
      <c r="DZ167" s="142"/>
      <c r="EA167" s="142"/>
      <c r="EB167" s="142"/>
      <c r="EC167" s="175"/>
      <c r="ED167" s="142"/>
      <c r="EE167" s="142"/>
      <c r="EF167" s="142"/>
      <c r="EG167" s="142"/>
      <c r="EH167" s="142"/>
      <c r="EI167" s="175"/>
      <c r="EJ167" s="142"/>
      <c r="EK167" s="142"/>
      <c r="EL167" s="142"/>
      <c r="EM167" s="142"/>
      <c r="EN167" s="142"/>
      <c r="EO167" s="175"/>
      <c r="EP167" s="142"/>
      <c r="EQ167" s="142"/>
      <c r="ER167" s="142"/>
      <c r="ES167" s="142"/>
      <c r="ET167" s="142"/>
      <c r="EU167" s="175"/>
      <c r="EV167" s="142"/>
      <c r="EW167" s="142"/>
      <c r="EX167" s="126"/>
      <c r="EY167" s="126"/>
      <c r="EZ167" s="126"/>
      <c r="FA167" s="126"/>
      <c r="FB167" s="126"/>
    </row>
    <row r="168" spans="1:158" ht="14.25" hidden="1" customHeight="1" outlineLevel="1">
      <c r="A168" s="131" t="s">
        <v>1438</v>
      </c>
      <c r="B168" s="32"/>
      <c r="C168" s="90"/>
      <c r="D168" s="90"/>
      <c r="E168" s="90"/>
      <c r="F168" s="90"/>
      <c r="G168" s="61"/>
      <c r="H168" s="90"/>
      <c r="I168" s="90"/>
      <c r="J168" s="90"/>
      <c r="K168" s="143"/>
      <c r="L168" s="143"/>
      <c r="M168" s="143"/>
      <c r="N168" s="143"/>
      <c r="O168" s="595">
        <f>O45</f>
        <v>-17.135999999999999</v>
      </c>
      <c r="P168" s="595">
        <f>P45</f>
        <v>-18.702999999999999</v>
      </c>
      <c r="Q168" s="595">
        <f>Q45</f>
        <v>-0.60199999999999998</v>
      </c>
      <c r="R168" s="595">
        <f>R45</f>
        <v>-14.132</v>
      </c>
      <c r="S168" s="595">
        <f>S45</f>
        <v>-14.132</v>
      </c>
      <c r="T168" s="143"/>
      <c r="U168" s="595">
        <f>U45</f>
        <v>-15.525</v>
      </c>
      <c r="V168" s="595">
        <f>V45</f>
        <v>-19.128</v>
      </c>
      <c r="W168" s="595">
        <f>W45</f>
        <v>-15.648999999999999</v>
      </c>
      <c r="X168" s="595">
        <f>X45</f>
        <v>-14.821999999999999</v>
      </c>
      <c r="Y168" s="595">
        <f>Y45</f>
        <v>-14.821999999999999</v>
      </c>
      <c r="Z168" s="143"/>
      <c r="AA168" s="595">
        <f>AA45</f>
        <v>-16.693999999999999</v>
      </c>
      <c r="AB168" s="595">
        <f>AB45</f>
        <v>-15.869</v>
      </c>
      <c r="AC168" s="595">
        <f>AC45</f>
        <v>-18.741</v>
      </c>
      <c r="AD168" s="595">
        <f>AD45</f>
        <v>-16.103999999999999</v>
      </c>
      <c r="AE168" s="595">
        <f>AE45</f>
        <v>-16.103999999999999</v>
      </c>
      <c r="AF168" s="143"/>
      <c r="AG168" s="595">
        <f>AG45</f>
        <v>-18.722000000000001</v>
      </c>
      <c r="AH168" s="595">
        <f>AH45</f>
        <v>-19.538</v>
      </c>
      <c r="AI168" s="595">
        <f>AI45</f>
        <v>-17.856000000000002</v>
      </c>
      <c r="AJ168" s="595">
        <f>AJ45</f>
        <v>-19.972000000000001</v>
      </c>
      <c r="AK168" s="595">
        <f>AK45</f>
        <v>-19.972000000000001</v>
      </c>
      <c r="AL168" s="143"/>
      <c r="AM168" s="595">
        <f>AM45</f>
        <v>-18.596</v>
      </c>
      <c r="AN168" s="595">
        <f>AN45</f>
        <v>-15.369</v>
      </c>
      <c r="AO168" s="595">
        <f>AO45</f>
        <v>-16.151</v>
      </c>
      <c r="AP168" s="595">
        <f>AP45</f>
        <v>-11.568</v>
      </c>
      <c r="AQ168" s="595">
        <f>AQ45</f>
        <v>-11.568</v>
      </c>
      <c r="AR168" s="143"/>
      <c r="AS168" s="595">
        <f>AS45</f>
        <v>-11.398999999999999</v>
      </c>
      <c r="AT168" s="595">
        <f>AT45</f>
        <v>-10.194000000000001</v>
      </c>
      <c r="AU168" s="595">
        <f>AU45</f>
        <v>-7.819</v>
      </c>
      <c r="AV168" s="595">
        <f>AV45</f>
        <v>-4.7539999999999996</v>
      </c>
      <c r="AW168" s="595">
        <f>AW45</f>
        <v>-4.7539999999999996</v>
      </c>
      <c r="AX168" s="143"/>
      <c r="AY168" s="595">
        <f>AY45</f>
        <v>-8.9</v>
      </c>
      <c r="AZ168" s="595">
        <f>AZ45</f>
        <v>-9.5</v>
      </c>
      <c r="BA168" s="595">
        <f>BA45</f>
        <v>-4.4000000000000004</v>
      </c>
      <c r="BB168" s="595">
        <f>BB45</f>
        <v>-2.8</v>
      </c>
      <c r="BC168" s="595">
        <f>BC45</f>
        <v>-2.8</v>
      </c>
      <c r="BD168" s="143"/>
      <c r="BE168" s="595">
        <f>BE45</f>
        <v>-3.3</v>
      </c>
      <c r="BF168" s="595">
        <f>BF45</f>
        <v>-8.5</v>
      </c>
      <c r="BG168" s="595">
        <f>BG45</f>
        <v>-7.7</v>
      </c>
      <c r="BH168" s="595">
        <f>BH45</f>
        <v>-7.4</v>
      </c>
      <c r="BI168" s="595">
        <f>BH168</f>
        <v>-7.4</v>
      </c>
      <c r="BJ168" s="143"/>
      <c r="BK168" s="595">
        <f>BK171</f>
        <v>0.3</v>
      </c>
      <c r="BL168" s="595">
        <f>BL171</f>
        <v>-3.0000000000000213</v>
      </c>
      <c r="BM168" s="595">
        <f>BM171</f>
        <v>-3.300000000000324</v>
      </c>
      <c r="BN168" s="595">
        <f>BN171</f>
        <v>-3.5999999999999659</v>
      </c>
      <c r="BO168" s="595">
        <f>BN168</f>
        <v>-3.5999999999999659</v>
      </c>
      <c r="BP168" s="143"/>
      <c r="BQ168" s="595">
        <f>BQ171</f>
        <v>2.4000000000003183</v>
      </c>
      <c r="BR168" s="595">
        <f>BR171</f>
        <v>4.4999999999998295</v>
      </c>
      <c r="BS168" s="595">
        <f>BS171</f>
        <v>11.80000000000021</v>
      </c>
      <c r="BT168" s="595">
        <f>BT171</f>
        <v>13.800000000000495</v>
      </c>
      <c r="BU168" s="595">
        <f>BT168</f>
        <v>13.800000000000495</v>
      </c>
      <c r="BV168" s="143"/>
      <c r="BW168" s="595">
        <f>BW171</f>
        <v>20.100000000000051</v>
      </c>
      <c r="BX168" s="595">
        <f>BX171</f>
        <v>19.900000000000517</v>
      </c>
      <c r="BY168" s="595">
        <f>BY171</f>
        <v>-6.0000000000005684</v>
      </c>
      <c r="BZ168" s="513">
        <f>BZ171</f>
        <v>-11.200000000000728</v>
      </c>
      <c r="CA168" s="513">
        <f>BZ168</f>
        <v>-11.200000000000728</v>
      </c>
      <c r="CB168" s="143"/>
      <c r="CC168" s="513">
        <f>CC171</f>
        <v>-9.6999999999999602</v>
      </c>
      <c r="CD168" s="513">
        <f>CD171</f>
        <v>-1.4000000000000057</v>
      </c>
      <c r="CE168" s="513">
        <f>CE171</f>
        <v>3.700000000000216</v>
      </c>
      <c r="CF168" s="513">
        <f>CF171</f>
        <v>-3.5000000000001705</v>
      </c>
      <c r="CG168" s="513">
        <f>CF168</f>
        <v>-3.5000000000001705</v>
      </c>
      <c r="CH168" s="143"/>
      <c r="CI168" s="513">
        <f>CI171</f>
        <v>-1.1000000000000227</v>
      </c>
      <c r="CJ168" s="513">
        <f>CJ171</f>
        <v>-2.900000000000432</v>
      </c>
      <c r="CK168" s="503">
        <f>CK171</f>
        <v>-4.0000000000004547</v>
      </c>
      <c r="CL168" s="503">
        <f>CL171</f>
        <v>-0.60000000000121645</v>
      </c>
      <c r="CM168" s="503">
        <f>CL168</f>
        <v>-0.60000000000121645</v>
      </c>
      <c r="CN168" s="143"/>
      <c r="CO168" s="513">
        <f>CO171</f>
        <v>4.8000000000002956</v>
      </c>
      <c r="CP168" s="503">
        <f>CP171</f>
        <v>14.300000000000125</v>
      </c>
      <c r="CQ168" s="503">
        <f>CQ171</f>
        <v>3.3999999999994657</v>
      </c>
      <c r="CR168" s="503">
        <f>CR171</f>
        <v>5.900000000000432</v>
      </c>
      <c r="CS168" s="503">
        <f>CR168</f>
        <v>5.900000000000432</v>
      </c>
      <c r="CT168" s="143"/>
      <c r="CU168" s="503">
        <f>CU171</f>
        <v>3.7000000000003865</v>
      </c>
      <c r="CV168" s="503">
        <f>CV171</f>
        <v>0.59999999999979536</v>
      </c>
      <c r="CW168" s="503">
        <f>CW171</f>
        <v>-6.3999999999998636</v>
      </c>
      <c r="CX168" s="503">
        <f>CX171</f>
        <v>-5.7000000000001592</v>
      </c>
      <c r="CY168" s="503">
        <f>CX168</f>
        <v>-5.7000000000001592</v>
      </c>
      <c r="CZ168" s="143"/>
      <c r="DA168" s="503">
        <f>DA171</f>
        <v>-2</v>
      </c>
      <c r="DB168" s="503">
        <f>DB171</f>
        <v>-7.4999999999995453</v>
      </c>
      <c r="DC168" s="503">
        <f>DC171</f>
        <v>-4.0999999999993406</v>
      </c>
      <c r="DD168" s="503">
        <f>DD171</f>
        <v>-0.59999999999899956</v>
      </c>
      <c r="DE168" s="503">
        <f>DD168</f>
        <v>-0.59999999999899956</v>
      </c>
      <c r="DF168" s="143"/>
      <c r="DG168" s="503">
        <f>DG171</f>
        <v>5.6000000000003638</v>
      </c>
      <c r="DH168" s="503">
        <f>DH171</f>
        <v>2.2999999999997272</v>
      </c>
      <c r="DI168" s="503">
        <f>DI171</f>
        <v>-1.300000000000523</v>
      </c>
      <c r="DJ168" s="503">
        <f>DJ171</f>
        <v>-53.299999999999613</v>
      </c>
      <c r="DK168" s="503">
        <f>DJ168</f>
        <v>-53.299999999999613</v>
      </c>
      <c r="DL168" s="143"/>
      <c r="DM168" s="503">
        <f>DM171</f>
        <v>-55.999999999999488</v>
      </c>
      <c r="DN168" s="503">
        <f>DN171</f>
        <v>-70.300000000001461</v>
      </c>
      <c r="DO168" s="503">
        <f>DO171</f>
        <v>-86.500000000000185</v>
      </c>
      <c r="DP168" s="503">
        <f>DP171</f>
        <v>-121.09999999999964</v>
      </c>
      <c r="DQ168" s="503">
        <f>DP168</f>
        <v>-121.09999999999964</v>
      </c>
      <c r="DR168" s="143"/>
      <c r="DS168" s="503">
        <f>DS171</f>
        <v>-121.49999999999892</v>
      </c>
      <c r="DT168" s="503">
        <f>DT171</f>
        <v>-129.79999999999916</v>
      </c>
      <c r="DU168" s="503">
        <f>DU171</f>
        <v>-187.49999999999955</v>
      </c>
      <c r="DV168" s="503">
        <f>DV171</f>
        <v>-178.50000000000045</v>
      </c>
      <c r="DW168" s="503">
        <f>DV168</f>
        <v>-178.50000000000045</v>
      </c>
      <c r="DX168" s="505"/>
      <c r="DY168" s="503">
        <f>DY171</f>
        <v>-166.29999999999927</v>
      </c>
      <c r="DZ168" s="503">
        <f>DZ171</f>
        <v>-152.90000000000123</v>
      </c>
      <c r="EA168" s="503">
        <f>EA171</f>
        <v>-155.50000000000023</v>
      </c>
      <c r="EB168" s="503">
        <f>EB171</f>
        <v>-123.80000000000064</v>
      </c>
      <c r="EC168" s="503">
        <f>EB168</f>
        <v>-123.80000000000064</v>
      </c>
      <c r="ED168" s="505"/>
      <c r="EE168" s="503">
        <f>EE171</f>
        <v>-67.139000000000124</v>
      </c>
      <c r="EF168" s="503">
        <f>EF171</f>
        <v>-60.739000000000487</v>
      </c>
      <c r="EG168" s="503">
        <f>EG171</f>
        <v>-36.938999999999851</v>
      </c>
      <c r="EH168" s="503">
        <f>EH171</f>
        <v>-28.288999999998396</v>
      </c>
      <c r="EI168" s="503">
        <f>EH168</f>
        <v>-28.288999999998396</v>
      </c>
      <c r="EJ168" s="505"/>
      <c r="EK168" s="503">
        <f>EK171</f>
        <v>-20.388999999999214</v>
      </c>
      <c r="EL168" s="503">
        <f>EL171</f>
        <v>-13.989000000000487</v>
      </c>
      <c r="EM168" s="503">
        <f>EM171</f>
        <v>-7.7889999999997599</v>
      </c>
      <c r="EN168" s="503">
        <f>EN171</f>
        <v>-1.2889999999993051</v>
      </c>
      <c r="EO168" s="503">
        <f>EN168</f>
        <v>-1.2889999999993051</v>
      </c>
      <c r="EP168" s="505"/>
      <c r="EQ168" s="503">
        <f>EQ171</f>
        <v>6.6110000000001037</v>
      </c>
      <c r="ER168" s="503">
        <f>ER171</f>
        <v>13.01099999999974</v>
      </c>
      <c r="ES168" s="503">
        <f>ES171</f>
        <v>19.211000000000922</v>
      </c>
      <c r="ET168" s="503">
        <f>ET171</f>
        <v>25.711000000000354</v>
      </c>
      <c r="EU168" s="503">
        <f>ET168</f>
        <v>25.711000000000354</v>
      </c>
      <c r="EV168" s="324"/>
      <c r="EW168" s="324"/>
      <c r="EX168" s="47"/>
      <c r="EY168" s="47"/>
      <c r="EZ168" s="47"/>
      <c r="FA168" s="47"/>
      <c r="FB168" s="47"/>
    </row>
    <row r="169" spans="1:158" ht="14.25" hidden="1" customHeight="1" outlineLevel="1">
      <c r="A169" s="143" t="s">
        <v>659</v>
      </c>
      <c r="B169" s="615"/>
      <c r="C169" s="69"/>
      <c r="D169" s="69"/>
      <c r="E169" s="69"/>
      <c r="F169" s="69"/>
      <c r="G169" s="121"/>
      <c r="H169" s="69"/>
      <c r="I169" s="69"/>
      <c r="J169" s="69"/>
      <c r="K169" s="143"/>
      <c r="L169" s="143"/>
      <c r="M169" s="143"/>
      <c r="N169" s="143"/>
      <c r="O169" s="595">
        <f>O168-L168</f>
        <v>-17.135999999999999</v>
      </c>
      <c r="P169" s="595">
        <f>P168-O168</f>
        <v>-1.5670000000000002</v>
      </c>
      <c r="Q169" s="595">
        <f>Q168-P168</f>
        <v>18.100999999999999</v>
      </c>
      <c r="R169" s="595">
        <f>R168-Q168</f>
        <v>-13.53</v>
      </c>
      <c r="S169" s="595">
        <f>S168-M168</f>
        <v>-14.132</v>
      </c>
      <c r="T169" s="143"/>
      <c r="U169" s="595">
        <f>U168-R168</f>
        <v>-1.3930000000000007</v>
      </c>
      <c r="V169" s="595">
        <f>V168-U168</f>
        <v>-3.6029999999999998</v>
      </c>
      <c r="W169" s="595">
        <f>W168-V168</f>
        <v>3.479000000000001</v>
      </c>
      <c r="X169" s="595">
        <f>X168-W168</f>
        <v>0.82699999999999996</v>
      </c>
      <c r="Y169" s="595">
        <f>Y168-S168</f>
        <v>-0.6899999999999995</v>
      </c>
      <c r="Z169" s="143"/>
      <c r="AA169" s="595">
        <f>AA168-X168</f>
        <v>-1.8719999999999999</v>
      </c>
      <c r="AB169" s="595">
        <f>AB168-AA168</f>
        <v>0.82499999999999929</v>
      </c>
      <c r="AC169" s="595">
        <f>AC168-AB168</f>
        <v>-2.8719999999999999</v>
      </c>
      <c r="AD169" s="595">
        <f>AD168-AC168</f>
        <v>2.6370000000000005</v>
      </c>
      <c r="AE169" s="595">
        <f>AE168-Y168</f>
        <v>-1.282</v>
      </c>
      <c r="AF169" s="143"/>
      <c r="AG169" s="595">
        <f>AG168-AD168</f>
        <v>-2.6180000000000021</v>
      </c>
      <c r="AH169" s="595">
        <f>AH168-AG168</f>
        <v>-0.81599999999999895</v>
      </c>
      <c r="AI169" s="595">
        <f>AI168-AH168</f>
        <v>1.6819999999999986</v>
      </c>
      <c r="AJ169" s="595">
        <f>AJ168-AI168</f>
        <v>-2.1159999999999997</v>
      </c>
      <c r="AK169" s="595">
        <f>AK168-AE168</f>
        <v>-3.8680000000000021</v>
      </c>
      <c r="AL169" s="143"/>
      <c r="AM169" s="595">
        <f>AM168-AJ168</f>
        <v>1.3760000000000012</v>
      </c>
      <c r="AN169" s="595">
        <f>AN168-AM168</f>
        <v>3.2270000000000003</v>
      </c>
      <c r="AO169" s="595">
        <f>AO168-AN168</f>
        <v>-0.78200000000000003</v>
      </c>
      <c r="AP169" s="595">
        <f>AP168-AO168</f>
        <v>4.5830000000000002</v>
      </c>
      <c r="AQ169" s="595">
        <f>AQ168-AK168</f>
        <v>8.4040000000000017</v>
      </c>
      <c r="AR169" s="143"/>
      <c r="AS169" s="595">
        <f>AS168-AP168</f>
        <v>0.16900000000000048</v>
      </c>
      <c r="AT169" s="595">
        <f>AT168-AS168</f>
        <v>1.2049999999999983</v>
      </c>
      <c r="AU169" s="595">
        <f>AU168-AT168</f>
        <v>2.3750000000000009</v>
      </c>
      <c r="AV169" s="595">
        <f>AV168-AU168</f>
        <v>3.0650000000000004</v>
      </c>
      <c r="AW169" s="595">
        <f>AW168-AQ168</f>
        <v>6.8140000000000001</v>
      </c>
      <c r="AX169" s="143"/>
      <c r="AY169" s="595">
        <f>AY168-AV168</f>
        <v>-4.1460000000000008</v>
      </c>
      <c r="AZ169" s="595">
        <f>AZ168-AY168</f>
        <v>-0.59999999999999964</v>
      </c>
      <c r="BA169" s="595">
        <f>BA168-AZ168</f>
        <v>5.0999999999999996</v>
      </c>
      <c r="BB169" s="595">
        <f>BB168-BA168</f>
        <v>1.6000000000000005</v>
      </c>
      <c r="BC169" s="510">
        <f>BC168-AW168</f>
        <v>1.9539999999999997</v>
      </c>
      <c r="BD169" s="143"/>
      <c r="BE169" s="510">
        <f>BE168-BB168</f>
        <v>-0.5</v>
      </c>
      <c r="BF169" s="595">
        <f>BF168-BE168</f>
        <v>-5.2</v>
      </c>
      <c r="BG169" s="595">
        <f>BG168-BF168</f>
        <v>0.79999999999999982</v>
      </c>
      <c r="BH169" s="595">
        <f>BH168-BG168</f>
        <v>0.29999999999999982</v>
      </c>
      <c r="BI169" s="595">
        <f>BI168-BC168</f>
        <v>-4.6000000000000005</v>
      </c>
      <c r="BJ169" s="143"/>
      <c r="BK169" s="595">
        <f>BK168-BH168</f>
        <v>7.7</v>
      </c>
      <c r="BL169" s="595">
        <f>BL168-BK168</f>
        <v>-3.3000000000000211</v>
      </c>
      <c r="BM169" s="595">
        <f>BM168-BL168</f>
        <v>-0.30000000000030269</v>
      </c>
      <c r="BN169" s="595">
        <f>BN168-BM168</f>
        <v>-0.29999999999964189</v>
      </c>
      <c r="BO169" s="595">
        <f>BO168-BI168</f>
        <v>3.8000000000000345</v>
      </c>
      <c r="BP169" s="143"/>
      <c r="BQ169" s="595">
        <f>BQ168-BN168</f>
        <v>6.0000000000002842</v>
      </c>
      <c r="BR169" s="595">
        <f>BR168-BQ168</f>
        <v>2.0999999999995111</v>
      </c>
      <c r="BS169" s="595">
        <f>BS168-BR168</f>
        <v>7.3000000000003809</v>
      </c>
      <c r="BT169" s="595">
        <f>BT168-BS168</f>
        <v>2.0000000000002842</v>
      </c>
      <c r="BU169" s="595">
        <f>BU168-BO168</f>
        <v>17.40000000000046</v>
      </c>
      <c r="BV169" s="143"/>
      <c r="BW169" s="595">
        <f>BW168-BT168</f>
        <v>6.2999999999995566</v>
      </c>
      <c r="BX169" s="595">
        <f>BX168-BW168</f>
        <v>-0.19999999999953388</v>
      </c>
      <c r="BY169" s="595">
        <f>BY168-BX168</f>
        <v>-25.900000000001086</v>
      </c>
      <c r="BZ169" s="595">
        <f>BZ168-BY168</f>
        <v>-5.2000000000001592</v>
      </c>
      <c r="CA169" s="513">
        <f>CA168-BU168</f>
        <v>-25.000000000001222</v>
      </c>
      <c r="CB169" s="143"/>
      <c r="CC169" s="513">
        <f>CC168-BZ168</f>
        <v>1.5000000000007674</v>
      </c>
      <c r="CD169" s="513">
        <f>CD168-CC168</f>
        <v>8.2999999999999545</v>
      </c>
      <c r="CE169" s="513">
        <f>CE168-CD168</f>
        <v>5.1000000000002217</v>
      </c>
      <c r="CF169" s="513">
        <f>CF168-CE168</f>
        <v>-7.2000000000003865</v>
      </c>
      <c r="CG169" s="513">
        <f>CG168-CA168</f>
        <v>7.7000000000005571</v>
      </c>
      <c r="CH169" s="143"/>
      <c r="CI169" s="513">
        <f>CI168-CF168</f>
        <v>2.4000000000001478</v>
      </c>
      <c r="CJ169" s="513">
        <f>CJ168-CI168</f>
        <v>-1.8000000000004093</v>
      </c>
      <c r="CK169" s="503">
        <f>CK168-CJ168</f>
        <v>-1.1000000000000227</v>
      </c>
      <c r="CL169" s="503">
        <f>CL168-CK168</f>
        <v>3.3999999999992383</v>
      </c>
      <c r="CM169" s="503">
        <f>CM168-CG168</f>
        <v>2.8999999999989541</v>
      </c>
      <c r="CN169" s="143"/>
      <c r="CO169" s="513">
        <f>CO168-CL168</f>
        <v>5.400000000001512</v>
      </c>
      <c r="CP169" s="503">
        <f>CP168-CO168</f>
        <v>9.4999999999998295</v>
      </c>
      <c r="CQ169" s="503">
        <f>CQ168-CP168</f>
        <v>-10.900000000000659</v>
      </c>
      <c r="CR169" s="503">
        <f>CR168-CQ168</f>
        <v>2.5000000000009663</v>
      </c>
      <c r="CS169" s="503">
        <f>CS168-CM168</f>
        <v>6.5000000000016485</v>
      </c>
      <c r="CT169" s="143"/>
      <c r="CU169" s="503">
        <f>CU168-CR168</f>
        <v>-2.2000000000000455</v>
      </c>
      <c r="CV169" s="503">
        <f>CV168-CU168</f>
        <v>-3.1000000000005912</v>
      </c>
      <c r="CW169" s="503">
        <f>CW168-CV168</f>
        <v>-6.9999999999996589</v>
      </c>
      <c r="CX169" s="503">
        <f>CX168-CW168</f>
        <v>0.69999999999970441</v>
      </c>
      <c r="CY169" s="503">
        <f>CY168-CS168</f>
        <v>-11.600000000000591</v>
      </c>
      <c r="CZ169" s="143"/>
      <c r="DA169" s="503">
        <f>DA168-CX168</f>
        <v>3.7000000000001592</v>
      </c>
      <c r="DB169" s="503">
        <f>DB168-DA168</f>
        <v>-5.4999999999995453</v>
      </c>
      <c r="DC169" s="503">
        <f>DC168-DB168</f>
        <v>3.4000000000002046</v>
      </c>
      <c r="DD169" s="503">
        <f>DD168-DC168</f>
        <v>3.5000000000003411</v>
      </c>
      <c r="DE169" s="503">
        <f>DE168-CY168</f>
        <v>5.1000000000011596</v>
      </c>
      <c r="DF169" s="143"/>
      <c r="DG169" s="503">
        <f>DG168-DD168</f>
        <v>6.1999999999993634</v>
      </c>
      <c r="DH169" s="503">
        <f>DH168-DG168</f>
        <v>-3.3000000000006366</v>
      </c>
      <c r="DI169" s="503">
        <f>DI168-DH168</f>
        <v>-3.6000000000002501</v>
      </c>
      <c r="DJ169" s="503">
        <f>DJ168-DI168</f>
        <v>-51.999999999999091</v>
      </c>
      <c r="DK169" s="503">
        <f>DK168-DE168</f>
        <v>-52.700000000000614</v>
      </c>
      <c r="DL169" s="143"/>
      <c r="DM169" s="503">
        <f>DM168-DJ168</f>
        <v>-2.6999999999998749</v>
      </c>
      <c r="DN169" s="503">
        <f>DN168-DM168</f>
        <v>-14.300000000001972</v>
      </c>
      <c r="DO169" s="503">
        <f>DO168-DN168</f>
        <v>-16.199999999998724</v>
      </c>
      <c r="DP169" s="503">
        <f>DP168-DO168</f>
        <v>-34.599999999999454</v>
      </c>
      <c r="DQ169" s="503">
        <f>DQ168-DK168</f>
        <v>-67.800000000000026</v>
      </c>
      <c r="DR169" s="143"/>
      <c r="DS169" s="503">
        <f>DS168-DP168</f>
        <v>-0.39999999999928093</v>
      </c>
      <c r="DT169" s="503">
        <f>DT168-DS168</f>
        <v>-8.3000000000002387</v>
      </c>
      <c r="DU169" s="503">
        <f>DU168-DT168</f>
        <v>-57.700000000000387</v>
      </c>
      <c r="DV169" s="503">
        <f>DV168-DU168</f>
        <v>8.9999999999990905</v>
      </c>
      <c r="DW169" s="503">
        <f>DW168-DQ168</f>
        <v>-57.400000000000816</v>
      </c>
      <c r="DX169" s="595"/>
      <c r="DY169" s="503">
        <f>DY168-DV168</f>
        <v>12.200000000001182</v>
      </c>
      <c r="DZ169" s="503">
        <f>DZ168-DY168</f>
        <v>13.399999999998045</v>
      </c>
      <c r="EA169" s="503">
        <f>EA168-DZ168</f>
        <v>-2.5999999999989996</v>
      </c>
      <c r="EB169" s="503">
        <f>EB168-EA168</f>
        <v>31.699999999999591</v>
      </c>
      <c r="EC169" s="503">
        <f>EC168-DW168</f>
        <v>54.699999999999818</v>
      </c>
      <c r="ED169" s="595"/>
      <c r="EE169" s="503">
        <f>EE168-EB168</f>
        <v>56.661000000000513</v>
      </c>
      <c r="EF169" s="503">
        <f>EF168-EE168</f>
        <v>6.3999999999996362</v>
      </c>
      <c r="EG169" s="503">
        <f>EG168-EF168</f>
        <v>23.800000000000637</v>
      </c>
      <c r="EH169" s="503">
        <f>EH168-EG168</f>
        <v>8.6500000000014552</v>
      </c>
      <c r="EI169" s="503">
        <f>EI168-EC168</f>
        <v>95.511000000002241</v>
      </c>
      <c r="EJ169" s="595"/>
      <c r="EK169" s="503">
        <f>EK168-EH168</f>
        <v>7.8999999999991815</v>
      </c>
      <c r="EL169" s="503">
        <f>EL168-EK168</f>
        <v>6.3999999999987267</v>
      </c>
      <c r="EM169" s="503">
        <f>EM168-EL168</f>
        <v>6.2000000000007276</v>
      </c>
      <c r="EN169" s="503">
        <f>EN168-EM168</f>
        <v>6.5000000000004547</v>
      </c>
      <c r="EO169" s="503">
        <f>EO168-EI168</f>
        <v>26.999999999999091</v>
      </c>
      <c r="EP169" s="595"/>
      <c r="EQ169" s="503">
        <f>EQ168-EN168</f>
        <v>7.8999999999994088</v>
      </c>
      <c r="ER169" s="503">
        <f>ER168-EQ168</f>
        <v>6.3999999999996362</v>
      </c>
      <c r="ES169" s="503">
        <f>ES168-ER168</f>
        <v>6.2000000000011823</v>
      </c>
      <c r="ET169" s="503">
        <f>ET168-ES168</f>
        <v>6.4999999999994316</v>
      </c>
      <c r="EU169" s="503">
        <f>EU168-EO168</f>
        <v>26.999999999999659</v>
      </c>
      <c r="EV169" s="362"/>
      <c r="EW169" s="362"/>
      <c r="EX169" s="47"/>
      <c r="EY169" s="47"/>
      <c r="EZ169" s="47"/>
      <c r="FA169" s="47"/>
      <c r="FB169" s="47"/>
    </row>
    <row r="170" spans="1:158" ht="14.25" hidden="1" customHeight="1" outlineLevel="1">
      <c r="A170" s="143" t="s">
        <v>5549</v>
      </c>
      <c r="B170" s="32"/>
      <c r="C170" s="90"/>
      <c r="D170" s="90"/>
      <c r="E170" s="90"/>
      <c r="F170" s="90"/>
      <c r="G170" s="61"/>
      <c r="H170" s="90"/>
      <c r="I170" s="90"/>
      <c r="J170" s="90"/>
      <c r="K170" s="500"/>
      <c r="L170" s="500"/>
      <c r="M170" s="500"/>
      <c r="N170" s="500"/>
      <c r="O170" s="501"/>
      <c r="P170" s="501"/>
      <c r="Q170" s="501"/>
      <c r="R170" s="501"/>
      <c r="S170" s="505"/>
      <c r="T170" s="500"/>
      <c r="U170" s="501"/>
      <c r="V170" s="501"/>
      <c r="W170" s="501"/>
      <c r="X170" s="500"/>
      <c r="Y170" s="505" t="str">
        <f>IF(ROUND((Y168-Y171-Y172-S168),3)=0,"cool","problem")</f>
        <v>cool</v>
      </c>
      <c r="Z170" s="500"/>
      <c r="AA170" s="501"/>
      <c r="AB170" s="501"/>
      <c r="AC170" s="501"/>
      <c r="AD170" s="501"/>
      <c r="AE170" s="505" t="str">
        <f>IF(ROUND((AE168-AE171-AE172-Y168),3)=0,"cool","problem")</f>
        <v>cool</v>
      </c>
      <c r="AF170" s="500"/>
      <c r="AG170" s="501"/>
      <c r="AH170" s="501"/>
      <c r="AI170" s="501"/>
      <c r="AJ170" s="501"/>
      <c r="AK170" s="505" t="str">
        <f>IF(ROUND((AK168-AK171-AK172-AE168),3)=0,"cool","problem")</f>
        <v>cool</v>
      </c>
      <c r="AL170" s="500"/>
      <c r="AM170" s="501"/>
      <c r="AN170" s="501"/>
      <c r="AO170" s="501"/>
      <c r="AP170" s="501"/>
      <c r="AQ170" s="505" t="str">
        <f>IF(ROUND((AQ168-AQ171-AQ172-AK168),3)=0,"cool","problem")</f>
        <v>cool</v>
      </c>
      <c r="AR170" s="500"/>
      <c r="AS170" s="501"/>
      <c r="AT170" s="501"/>
      <c r="AU170" s="501"/>
      <c r="AV170" s="501"/>
      <c r="AW170" s="505" t="str">
        <f>IF(ROUND((AW168-AW171-AW172-AQ168),3)=0,"cool","problem")</f>
        <v>cool</v>
      </c>
      <c r="AX170" s="361"/>
      <c r="AY170" s="596"/>
      <c r="AZ170" s="501"/>
      <c r="BA170" s="501"/>
      <c r="BB170" s="500"/>
      <c r="BC170" s="505" t="str">
        <f>IF(ROUND((BC168-BC171-BC172-AW168),3)=0,"cool","problem")</f>
        <v>problem</v>
      </c>
      <c r="BD170" s="500"/>
      <c r="BE170" s="501"/>
      <c r="BF170" s="501"/>
      <c r="BG170" s="501"/>
      <c r="BH170" s="501"/>
      <c r="BI170" s="503"/>
      <c r="BJ170" s="500"/>
      <c r="BK170" s="501"/>
      <c r="BL170" s="501"/>
      <c r="BM170" s="501"/>
      <c r="BN170" s="501"/>
      <c r="BO170" s="502"/>
      <c r="BP170" s="500"/>
      <c r="BQ170" s="501"/>
      <c r="BR170" s="501"/>
      <c r="BS170" s="501"/>
      <c r="BT170" s="501"/>
      <c r="BU170" s="502"/>
      <c r="BV170" s="500"/>
      <c r="BW170" s="501"/>
      <c r="BX170" s="501"/>
      <c r="BY170" s="501"/>
      <c r="BZ170" s="501"/>
      <c r="CA170" s="502"/>
      <c r="CB170" s="500"/>
      <c r="CC170" s="501"/>
      <c r="CD170" s="501"/>
      <c r="CE170" s="501"/>
      <c r="CF170" s="501"/>
      <c r="CG170" s="502"/>
      <c r="CH170" s="500"/>
      <c r="CI170" s="501"/>
      <c r="CJ170" s="501"/>
      <c r="CK170" s="501"/>
      <c r="CL170" s="501"/>
      <c r="CM170" s="501"/>
      <c r="CN170" s="500"/>
      <c r="CO170" s="501"/>
      <c r="CP170" s="501"/>
      <c r="CQ170" s="501"/>
      <c r="CR170" s="501"/>
      <c r="CS170" s="501"/>
      <c r="CT170" s="500"/>
      <c r="CU170" s="501"/>
      <c r="CV170" s="501"/>
      <c r="CW170" s="501"/>
      <c r="CX170" s="501"/>
      <c r="CY170" s="501"/>
      <c r="CZ170" s="500"/>
      <c r="DA170" s="501"/>
      <c r="DB170" s="501"/>
      <c r="DC170" s="501"/>
      <c r="DD170" s="501"/>
      <c r="DE170" s="501"/>
      <c r="DF170" s="500"/>
      <c r="DG170" s="501"/>
      <c r="DH170" s="501"/>
      <c r="DI170" s="501"/>
      <c r="DJ170" s="501"/>
      <c r="DK170" s="501"/>
      <c r="DL170" s="500"/>
      <c r="DM170" s="501"/>
      <c r="DN170" s="501"/>
      <c r="DO170" s="501"/>
      <c r="DP170" s="501"/>
      <c r="DQ170" s="501"/>
      <c r="DR170" s="500"/>
      <c r="DS170" s="501"/>
      <c r="DT170" s="501"/>
      <c r="DU170" s="501"/>
      <c r="DV170" s="501"/>
      <c r="DW170" s="501"/>
      <c r="DX170" s="501"/>
      <c r="DY170" s="501"/>
      <c r="DZ170" s="501"/>
      <c r="EA170" s="501"/>
      <c r="EB170" s="501"/>
      <c r="EC170" s="501"/>
      <c r="ED170" s="501"/>
      <c r="EE170" s="501"/>
      <c r="EF170" s="501"/>
      <c r="EG170" s="501"/>
      <c r="EH170" s="501"/>
      <c r="EI170" s="501"/>
      <c r="EJ170" s="501"/>
      <c r="EK170" s="501"/>
      <c r="EL170" s="501"/>
      <c r="EM170" s="501"/>
      <c r="EN170" s="501"/>
      <c r="EO170" s="501"/>
      <c r="EP170" s="501"/>
      <c r="EQ170" s="501"/>
      <c r="ER170" s="501"/>
      <c r="ES170" s="501"/>
      <c r="ET170" s="501"/>
      <c r="EU170" s="501"/>
      <c r="EV170" s="142"/>
      <c r="EW170" s="142"/>
      <c r="EX170" s="126"/>
      <c r="EY170" s="126"/>
      <c r="EZ170" s="126"/>
      <c r="FA170" s="126"/>
      <c r="FB170" s="126"/>
    </row>
    <row r="171" spans="1:158" ht="14.25" hidden="1" customHeight="1" outlineLevel="1">
      <c r="A171" s="337" t="s">
        <v>4255</v>
      </c>
      <c r="B171" s="32"/>
      <c r="C171" s="90"/>
      <c r="D171" s="90"/>
      <c r="E171" s="90"/>
      <c r="F171" s="90"/>
      <c r="G171" s="61"/>
      <c r="H171" s="90"/>
      <c r="I171" s="90"/>
      <c r="J171" s="90"/>
      <c r="K171" s="143"/>
      <c r="L171" s="143"/>
      <c r="M171" s="143"/>
      <c r="N171" s="143"/>
      <c r="O171" s="505"/>
      <c r="P171" s="505"/>
      <c r="Q171" s="505"/>
      <c r="R171" s="505"/>
      <c r="S171" s="595">
        <v>6.5010000000000003</v>
      </c>
      <c r="T171" s="143"/>
      <c r="U171" s="505"/>
      <c r="V171" s="505"/>
      <c r="W171" s="505"/>
      <c r="X171" s="143"/>
      <c r="Y171" s="595">
        <v>1.4550000000000001</v>
      </c>
      <c r="Z171" s="143"/>
      <c r="AA171" s="505"/>
      <c r="AB171" s="505"/>
      <c r="AC171" s="505"/>
      <c r="AD171" s="505"/>
      <c r="AE171" s="595">
        <v>-5.0090000000000003</v>
      </c>
      <c r="AF171" s="143"/>
      <c r="AG171" s="505"/>
      <c r="AH171" s="505"/>
      <c r="AI171" s="505"/>
      <c r="AJ171" s="505"/>
      <c r="AK171" s="595">
        <v>-3.7570000000000001</v>
      </c>
      <c r="AL171" s="143"/>
      <c r="AM171" s="505"/>
      <c r="AN171" s="505"/>
      <c r="AO171" s="505"/>
      <c r="AP171" s="505"/>
      <c r="AQ171" s="595">
        <v>0.753</v>
      </c>
      <c r="AR171" s="143"/>
      <c r="AS171" s="505"/>
      <c r="AT171" s="505"/>
      <c r="AU171" s="505"/>
      <c r="AV171" s="505"/>
      <c r="AW171" s="595">
        <v>8.2739999999999991</v>
      </c>
      <c r="AX171" s="143"/>
      <c r="AY171" s="505"/>
      <c r="AZ171" s="505"/>
      <c r="BA171" s="505"/>
      <c r="BB171" s="505"/>
      <c r="BC171" s="595">
        <v>3.45</v>
      </c>
      <c r="BD171" s="143"/>
      <c r="BE171" s="510">
        <f>CF!BE136</f>
        <v>-1.2</v>
      </c>
      <c r="BF171" s="595">
        <f>CF!BF136</f>
        <v>-0.59999999999999987</v>
      </c>
      <c r="BG171" s="595">
        <f>CF!BG136</f>
        <v>-0.19999999999999996</v>
      </c>
      <c r="BH171" s="595">
        <f>CF!BH136</f>
        <v>-9.9999999999999867E-2</v>
      </c>
      <c r="BI171" s="595">
        <f>SUM(BE171:BH171)</f>
        <v>-2.0999999999999996</v>
      </c>
      <c r="BJ171" s="143"/>
      <c r="BK171" s="510">
        <f>CF!BK136</f>
        <v>0.3</v>
      </c>
      <c r="BL171" s="595">
        <f>BL24-BL42-BL44-BL46-BL47</f>
        <v>-3.0000000000000213</v>
      </c>
      <c r="BM171" s="595">
        <f>BM24-BM42-BM44-BM46-BM47</f>
        <v>-3.300000000000324</v>
      </c>
      <c r="BN171" s="595">
        <f>BN24-BN42-BN44-BN46-BN47</f>
        <v>-3.5999999999999659</v>
      </c>
      <c r="BO171" s="595">
        <f>SUM(BK171:BN171)</f>
        <v>-9.6000000000003105</v>
      </c>
      <c r="BP171" s="143"/>
      <c r="BQ171" s="595">
        <f>BQ24-BQ42-BQ44-BQ46-BQ47</f>
        <v>2.4000000000003183</v>
      </c>
      <c r="BR171" s="595">
        <f>BR24-BR42-BR44-BR46-BR47</f>
        <v>4.4999999999998295</v>
      </c>
      <c r="BS171" s="595">
        <f>BS24-BS42-BS44-BS46-BS47</f>
        <v>11.80000000000021</v>
      </c>
      <c r="BT171" s="595">
        <f>BT24-BT42-BT44-BT46-BT47</f>
        <v>13.800000000000495</v>
      </c>
      <c r="BU171" s="595">
        <f>SUM(BQ171:BT171)</f>
        <v>32.500000000000853</v>
      </c>
      <c r="BV171" s="143"/>
      <c r="BW171" s="595">
        <f>BW24-BW42-BW44-BW46-BW47</f>
        <v>20.100000000000051</v>
      </c>
      <c r="BX171" s="595">
        <f>BX24-BX42-BX44-BX46-BX47</f>
        <v>19.900000000000517</v>
      </c>
      <c r="BY171" s="595">
        <f>BY24-BY42-BY44-BY46-BY47</f>
        <v>-6.0000000000005684</v>
      </c>
      <c r="BZ171" s="513">
        <f>BZ24-BZ42-BZ44-BZ46-BZ47</f>
        <v>-11.200000000000728</v>
      </c>
      <c r="CA171" s="513">
        <f>SUM(BW171:BZ171)</f>
        <v>22.799999999999272</v>
      </c>
      <c r="CB171" s="511"/>
      <c r="CC171" s="513">
        <f>CC24-CC42-CC44-CC46-CC47</f>
        <v>-9.6999999999999602</v>
      </c>
      <c r="CD171" s="513">
        <f>CD24-CD42-CD44-CD46-CD47</f>
        <v>-1.4000000000000057</v>
      </c>
      <c r="CE171" s="513">
        <f>CE24-CE42-CE44-CE46-CE47</f>
        <v>3.700000000000216</v>
      </c>
      <c r="CF171" s="513">
        <f>CF24-CF42-CF44-CF46-CF47</f>
        <v>-3.5000000000001705</v>
      </c>
      <c r="CG171" s="513">
        <f>SUM(CC171:CF171)</f>
        <v>-10.89999999999992</v>
      </c>
      <c r="CH171" s="511"/>
      <c r="CI171" s="513">
        <f>CI24-CI42-CI44-CI46-CI47</f>
        <v>-1.1000000000000227</v>
      </c>
      <c r="CJ171" s="513">
        <f>CJ24-CJ42-CJ44-CJ46-CJ47</f>
        <v>-2.900000000000432</v>
      </c>
      <c r="CK171" s="503">
        <f>CK24-CK42-CK44-CK46-CK47</f>
        <v>-4.0000000000004547</v>
      </c>
      <c r="CL171" s="503">
        <f>CL24-CL42-CL44-CL46-CL47</f>
        <v>-0.60000000000121645</v>
      </c>
      <c r="CM171" s="503">
        <f>SUM(CI171:CL171)</f>
        <v>-8.6000000000021259</v>
      </c>
      <c r="CN171" s="511"/>
      <c r="CO171" s="513">
        <f>CO24-CO42-CO44-CO46-CO47</f>
        <v>4.8000000000002956</v>
      </c>
      <c r="CP171" s="503">
        <f>CP24-CP42-CP44-CP46-CP47</f>
        <v>14.300000000000125</v>
      </c>
      <c r="CQ171" s="503">
        <f>CQ24-CQ42-CQ44-CQ46-CQ47</f>
        <v>3.3999999999994657</v>
      </c>
      <c r="CR171" s="503">
        <f>CR24-CR42-CR44-CR46-CR47</f>
        <v>5.900000000000432</v>
      </c>
      <c r="CS171" s="503">
        <f>SUM(CO171:CR171)</f>
        <v>28.400000000000318</v>
      </c>
      <c r="CT171" s="511"/>
      <c r="CU171" s="503">
        <f>CU24-CU42-CU44-CU46-CU47</f>
        <v>3.7000000000003865</v>
      </c>
      <c r="CV171" s="503">
        <f>CV24-CV42-CV44-CV46-CV47</f>
        <v>0.59999999999979536</v>
      </c>
      <c r="CW171" s="503">
        <f>CW24-CW42-CW44-CW46-CW47</f>
        <v>-6.3999999999998636</v>
      </c>
      <c r="CX171" s="503">
        <f>CX24-CX42-CX44-CX46-CX47</f>
        <v>-5.7000000000001592</v>
      </c>
      <c r="CY171" s="503">
        <f>SUM(CU171:CX171)</f>
        <v>-7.7999999999998408</v>
      </c>
      <c r="CZ171" s="511"/>
      <c r="DA171" s="503">
        <f>DA24-DA42-DA44-DA46-DA47</f>
        <v>-2</v>
      </c>
      <c r="DB171" s="503">
        <f>DB24-DB42-DB44-DB46-DB47</f>
        <v>-7.4999999999995453</v>
      </c>
      <c r="DC171" s="503">
        <f>DC24-DC42-DC44-DC46-DC47</f>
        <v>-4.0999999999993406</v>
      </c>
      <c r="DD171" s="503">
        <f>DD24-DD42-DD44-DD46-DD47</f>
        <v>-0.59999999999899956</v>
      </c>
      <c r="DE171" s="503">
        <f>SUM(DA171:DD171)</f>
        <v>-14.199999999997885</v>
      </c>
      <c r="DF171" s="511"/>
      <c r="DG171" s="503">
        <f>DG24-DG42-DG44-DG46-DG47</f>
        <v>5.6000000000003638</v>
      </c>
      <c r="DH171" s="503">
        <f>DH24-DH42-DH44-DH46-DH47</f>
        <v>2.2999999999997272</v>
      </c>
      <c r="DI171" s="503">
        <f>DI24-DI42-DI44-DI46-DI47</f>
        <v>-1.300000000000523</v>
      </c>
      <c r="DJ171" s="503">
        <f>DJ24-DJ42-DJ44-DJ46-DJ47</f>
        <v>-53.299999999999613</v>
      </c>
      <c r="DK171" s="503">
        <f>SUM(DG171:DJ171)</f>
        <v>-46.700000000000045</v>
      </c>
      <c r="DL171" s="511"/>
      <c r="DM171" s="503">
        <f>DM24-DM42-DM44-DM46-DM47</f>
        <v>-55.999999999999488</v>
      </c>
      <c r="DN171" s="503">
        <f>DN24-DN42-DN44-DN46-DN47</f>
        <v>-70.300000000001461</v>
      </c>
      <c r="DO171" s="503">
        <f>DO24-DO42-DO44-DO46-DO47</f>
        <v>-86.500000000000185</v>
      </c>
      <c r="DP171" s="503">
        <f>DP24-DP42-DP44-DP46-DP47</f>
        <v>-121.09999999999964</v>
      </c>
      <c r="DQ171" s="503">
        <f>SUM(DM171:DP171)</f>
        <v>-333.90000000000077</v>
      </c>
      <c r="DR171" s="511"/>
      <c r="DS171" s="503">
        <f>DS24-DS42-DS44-DS46-DS47</f>
        <v>-121.49999999999892</v>
      </c>
      <c r="DT171" s="503">
        <f>DT24-DT42-DT44-DT46-DT47</f>
        <v>-129.79999999999916</v>
      </c>
      <c r="DU171" s="503">
        <f>DU24-DU42-DU44-DU46-DU47</f>
        <v>-187.49999999999955</v>
      </c>
      <c r="DV171" s="503">
        <f>DV24-DV42-DV44-DV46-DV47</f>
        <v>-178.50000000000045</v>
      </c>
      <c r="DW171" s="503">
        <f>SUM(DS171:DV171)</f>
        <v>-617.29999999999814</v>
      </c>
      <c r="DX171" s="505"/>
      <c r="DY171" s="503">
        <f>DY24-DY42-DY44-DY46-DY47</f>
        <v>-166.29999999999927</v>
      </c>
      <c r="DZ171" s="503">
        <f>DZ24-DZ42-DZ44-DZ46-DZ47</f>
        <v>-152.90000000000123</v>
      </c>
      <c r="EA171" s="503">
        <f>EA24-EA42-EA44-EA46-EA47</f>
        <v>-155.50000000000023</v>
      </c>
      <c r="EB171" s="503">
        <f>EB24-EB42-EB44-EB46-EB47</f>
        <v>-123.80000000000064</v>
      </c>
      <c r="EC171" s="503">
        <f>SUM(DY171:EB171)</f>
        <v>-598.50000000000136</v>
      </c>
      <c r="ED171" s="505"/>
      <c r="EE171" s="503">
        <f>EE24-EE42-EE44-EE46-EE47</f>
        <v>-67.139000000000124</v>
      </c>
      <c r="EF171" s="503">
        <f>EF24-EF42-EF44-EF46-EF47</f>
        <v>-60.739000000000487</v>
      </c>
      <c r="EG171" s="503">
        <f>EG24-EG42-EG44-EG46-EG47</f>
        <v>-36.938999999999851</v>
      </c>
      <c r="EH171" s="503">
        <f>EH24-EH42-EH44-EH46-EH47</f>
        <v>-28.288999999998396</v>
      </c>
      <c r="EI171" s="503">
        <f>SUM(EE171:EH171)</f>
        <v>-193.10599999999886</v>
      </c>
      <c r="EJ171" s="505"/>
      <c r="EK171" s="503">
        <f>EK24-EK42-EK44-EK46-EK47</f>
        <v>-20.388999999999214</v>
      </c>
      <c r="EL171" s="503">
        <f>EL24-EL42-EL44-EL46-EL47</f>
        <v>-13.989000000000487</v>
      </c>
      <c r="EM171" s="503">
        <f>EM24-EM42-EM44-EM46-EM47</f>
        <v>-7.7889999999997599</v>
      </c>
      <c r="EN171" s="503">
        <f>EN24-EN42-EN44-EN46-EN47</f>
        <v>-1.2889999999993051</v>
      </c>
      <c r="EO171" s="503">
        <f>SUM(EK171:EN171)</f>
        <v>-43.455999999998767</v>
      </c>
      <c r="EP171" s="505"/>
      <c r="EQ171" s="503">
        <f>EQ24-EQ42-EQ44-EQ46-EQ47</f>
        <v>6.6110000000001037</v>
      </c>
      <c r="ER171" s="503">
        <f>ER24-ER42-ER44-ER46-ER47</f>
        <v>13.01099999999974</v>
      </c>
      <c r="ES171" s="503">
        <f>ES24-ES42-ES44-ES46-ES47</f>
        <v>19.211000000000922</v>
      </c>
      <c r="ET171" s="503">
        <f>ET24-ET42-ET44-ET46-ET47</f>
        <v>25.711000000000354</v>
      </c>
      <c r="EU171" s="503">
        <f>SUM(EQ171:ET171)</f>
        <v>64.54400000000112</v>
      </c>
      <c r="EV171" s="324"/>
      <c r="EW171" s="324"/>
      <c r="EX171" s="47"/>
      <c r="EY171" s="47"/>
      <c r="EZ171" s="47"/>
      <c r="FA171" s="47"/>
      <c r="FB171" s="47"/>
    </row>
    <row r="172" spans="1:158" ht="14.25" hidden="1" customHeight="1" outlineLevel="1">
      <c r="A172" s="337" t="s">
        <v>4254</v>
      </c>
      <c r="B172" s="32"/>
      <c r="C172" s="90"/>
      <c r="D172" s="90"/>
      <c r="E172" s="90"/>
      <c r="F172" s="90"/>
      <c r="G172" s="61"/>
      <c r="H172" s="90"/>
      <c r="I172" s="90"/>
      <c r="J172" s="90"/>
      <c r="K172" s="143"/>
      <c r="L172" s="143"/>
      <c r="M172" s="143"/>
      <c r="N172" s="143"/>
      <c r="O172" s="505"/>
      <c r="P172" s="505"/>
      <c r="Q172" s="505"/>
      <c r="R172" s="505"/>
      <c r="S172" s="595">
        <v>0.19800000000000001</v>
      </c>
      <c r="T172" s="143"/>
      <c r="U172" s="505"/>
      <c r="V172" s="505"/>
      <c r="W172" s="505"/>
      <c r="X172" s="143"/>
      <c r="Y172" s="595">
        <v>-2.145</v>
      </c>
      <c r="Z172" s="143"/>
      <c r="AA172" s="505"/>
      <c r="AB172" s="505"/>
      <c r="AC172" s="505"/>
      <c r="AD172" s="505"/>
      <c r="AE172" s="595">
        <v>3.7269999999999999</v>
      </c>
      <c r="AF172" s="143"/>
      <c r="AG172" s="505"/>
      <c r="AH172" s="505"/>
      <c r="AI172" s="505"/>
      <c r="AJ172" s="505"/>
      <c r="AK172" s="595">
        <v>-0.111</v>
      </c>
      <c r="AL172" s="143"/>
      <c r="AM172" s="505"/>
      <c r="AN172" s="505"/>
      <c r="AO172" s="505"/>
      <c r="AP172" s="505"/>
      <c r="AQ172" s="595">
        <v>7.6509999999999998</v>
      </c>
      <c r="AR172" s="143"/>
      <c r="AS172" s="505"/>
      <c r="AT172" s="505"/>
      <c r="AU172" s="505"/>
      <c r="AV172" s="505"/>
      <c r="AW172" s="595">
        <v>-1.46</v>
      </c>
      <c r="AX172" s="143"/>
      <c r="AY172" s="505"/>
      <c r="AZ172" s="505"/>
      <c r="BA172" s="505"/>
      <c r="BB172" s="505"/>
      <c r="BC172" s="595">
        <v>-1.5389999999999999</v>
      </c>
      <c r="BD172" s="143"/>
      <c r="BE172" s="505"/>
      <c r="BF172" s="505"/>
      <c r="BG172" s="505"/>
      <c r="BH172" s="505"/>
      <c r="BI172" s="595"/>
      <c r="BJ172" s="143"/>
      <c r="BK172" s="505"/>
      <c r="BL172" s="505"/>
      <c r="BM172" s="505"/>
      <c r="BN172" s="505"/>
      <c r="BO172" s="505"/>
      <c r="BP172" s="143"/>
      <c r="BQ172" s="505"/>
      <c r="BR172" s="505"/>
      <c r="BS172" s="505"/>
      <c r="BT172" s="505"/>
      <c r="BU172" s="505"/>
      <c r="BV172" s="143"/>
      <c r="BW172" s="505"/>
      <c r="BX172" s="505"/>
      <c r="BY172" s="505"/>
      <c r="BZ172" s="505"/>
      <c r="CA172" s="505"/>
      <c r="CB172" s="143"/>
      <c r="CC172" s="505"/>
      <c r="CD172" s="505"/>
      <c r="CE172" s="505"/>
      <c r="CF172" s="505"/>
      <c r="CG172" s="505"/>
      <c r="CH172" s="143"/>
      <c r="CI172" s="505"/>
      <c r="CJ172" s="505"/>
      <c r="CK172" s="505"/>
      <c r="CL172" s="505"/>
      <c r="CM172" s="505"/>
      <c r="CN172" s="143"/>
      <c r="CO172" s="505"/>
      <c r="CP172" s="505"/>
      <c r="CQ172" s="505"/>
      <c r="CR172" s="505"/>
      <c r="CS172" s="505"/>
      <c r="CT172" s="143"/>
      <c r="CU172" s="505"/>
      <c r="CV172" s="505"/>
      <c r="CW172" s="505"/>
      <c r="CX172" s="505"/>
      <c r="CY172" s="505"/>
      <c r="CZ172" s="143"/>
      <c r="DA172" s="505"/>
      <c r="DB172" s="505"/>
      <c r="DC172" s="505"/>
      <c r="DD172" s="505"/>
      <c r="DE172" s="505"/>
      <c r="DF172" s="143"/>
      <c r="DG172" s="505"/>
      <c r="DH172" s="505"/>
      <c r="DI172" s="505"/>
      <c r="DJ172" s="505"/>
      <c r="DK172" s="505"/>
      <c r="DL172" s="143"/>
      <c r="DM172" s="505"/>
      <c r="DN172" s="505"/>
      <c r="DO172" s="505"/>
      <c r="DP172" s="505"/>
      <c r="DQ172" s="505"/>
      <c r="DR172" s="143"/>
      <c r="DS172" s="505"/>
      <c r="DT172" s="505"/>
      <c r="DU172" s="505"/>
      <c r="DV172" s="505"/>
      <c r="DW172" s="505"/>
      <c r="DX172" s="505"/>
      <c r="DY172" s="505"/>
      <c r="DZ172" s="505"/>
      <c r="EA172" s="505"/>
      <c r="EB172" s="505"/>
      <c r="EC172" s="505"/>
      <c r="ED172" s="505"/>
      <c r="EE172" s="505"/>
      <c r="EF172" s="505"/>
      <c r="EG172" s="505"/>
      <c r="EH172" s="505"/>
      <c r="EI172" s="505"/>
      <c r="EJ172" s="505"/>
      <c r="EK172" s="505"/>
      <c r="EL172" s="505"/>
      <c r="EM172" s="505"/>
      <c r="EN172" s="505"/>
      <c r="EO172" s="505"/>
      <c r="EP172" s="505"/>
      <c r="EQ172" s="505"/>
      <c r="ER172" s="505"/>
      <c r="ES172" s="505"/>
      <c r="ET172" s="505"/>
      <c r="EU172" s="505"/>
      <c r="EV172" s="324"/>
      <c r="EW172" s="324"/>
      <c r="EX172" s="47"/>
      <c r="EY172" s="47"/>
      <c r="EZ172" s="47"/>
      <c r="FA172" s="47"/>
      <c r="FB172" s="47"/>
    </row>
    <row r="173" spans="1:158" ht="14.25" hidden="1" customHeight="1" outlineLevel="1">
      <c r="A173" s="337" t="s">
        <v>4745</v>
      </c>
      <c r="B173" s="32"/>
      <c r="C173" s="90"/>
      <c r="D173" s="90"/>
      <c r="E173" s="90"/>
      <c r="F173" s="90"/>
      <c r="G173" s="61"/>
      <c r="H173" s="90"/>
      <c r="I173" s="90"/>
      <c r="J173" s="90"/>
      <c r="K173" s="143"/>
      <c r="L173" s="143"/>
      <c r="M173" s="143"/>
      <c r="N173" s="143"/>
      <c r="O173" s="505"/>
      <c r="P173" s="505"/>
      <c r="Q173" s="505"/>
      <c r="R173" s="505"/>
      <c r="S173" s="595"/>
      <c r="T173" s="143"/>
      <c r="U173" s="505"/>
      <c r="V173" s="505"/>
      <c r="W173" s="505"/>
      <c r="X173" s="143"/>
      <c r="Y173" s="595"/>
      <c r="Z173" s="143"/>
      <c r="AA173" s="505"/>
      <c r="AB173" s="505"/>
      <c r="AC173" s="505"/>
      <c r="AD173" s="505"/>
      <c r="AE173" s="595"/>
      <c r="AF173" s="143"/>
      <c r="AG173" s="505"/>
      <c r="AH173" s="505"/>
      <c r="AI173" s="505"/>
      <c r="AJ173" s="505"/>
      <c r="AK173" s="595"/>
      <c r="AL173" s="143"/>
      <c r="AM173" s="505"/>
      <c r="AN173" s="505"/>
      <c r="AO173" s="505"/>
      <c r="AP173" s="505"/>
      <c r="AQ173" s="595"/>
      <c r="AR173" s="143"/>
      <c r="AS173" s="505"/>
      <c r="AT173" s="505"/>
      <c r="AU173" s="505"/>
      <c r="AV173" s="505"/>
      <c r="AW173" s="595"/>
      <c r="AX173" s="143"/>
      <c r="AY173" s="505"/>
      <c r="AZ173" s="505"/>
      <c r="BA173" s="505"/>
      <c r="BB173" s="505"/>
      <c r="BC173" s="595"/>
      <c r="BD173" s="143"/>
      <c r="BE173" s="505"/>
      <c r="BF173" s="505"/>
      <c r="BG173" s="505"/>
      <c r="BH173" s="505"/>
      <c r="BI173" s="595"/>
      <c r="BJ173" s="143"/>
      <c r="BK173" s="505"/>
      <c r="BL173" s="505"/>
      <c r="BM173" s="505"/>
      <c r="BN173" s="505"/>
      <c r="BO173" s="505"/>
      <c r="BP173" s="143"/>
      <c r="BQ173" s="505"/>
      <c r="BR173" s="505"/>
      <c r="BS173" s="505"/>
      <c r="BT173" s="505"/>
      <c r="BU173" s="505"/>
      <c r="BV173" s="143"/>
      <c r="BW173" s="505"/>
      <c r="BX173" s="505"/>
      <c r="BY173" s="505"/>
      <c r="BZ173" s="505"/>
      <c r="CA173" s="505"/>
      <c r="CB173" s="143"/>
      <c r="CC173" s="505"/>
      <c r="CD173" s="505"/>
      <c r="CE173" s="505"/>
      <c r="CF173" s="505"/>
      <c r="CG173" s="505"/>
      <c r="CH173" s="143"/>
      <c r="CI173" s="505"/>
      <c r="CJ173" s="505"/>
      <c r="CK173" s="505"/>
      <c r="CL173" s="505"/>
      <c r="CM173" s="505"/>
      <c r="CN173" s="143"/>
      <c r="CO173" s="505"/>
      <c r="CP173" s="505"/>
      <c r="CQ173" s="505"/>
      <c r="CR173" s="505"/>
      <c r="CS173" s="505"/>
      <c r="CT173" s="143"/>
      <c r="CU173" s="505"/>
      <c r="CV173" s="505"/>
      <c r="CW173" s="505"/>
      <c r="CX173" s="505"/>
      <c r="CY173" s="505"/>
      <c r="CZ173" s="143"/>
      <c r="DA173" s="505"/>
      <c r="DB173" s="505"/>
      <c r="DC173" s="505"/>
      <c r="DD173" s="505"/>
      <c r="DE173" s="505"/>
      <c r="DF173" s="143"/>
      <c r="DG173" s="505"/>
      <c r="DH173" s="505"/>
      <c r="DI173" s="505"/>
      <c r="DJ173" s="505"/>
      <c r="DK173" s="505"/>
      <c r="DL173" s="143"/>
      <c r="DM173" s="505"/>
      <c r="DN173" s="505"/>
      <c r="DO173" s="505"/>
      <c r="DP173" s="505"/>
      <c r="DQ173" s="505"/>
      <c r="DR173" s="143"/>
      <c r="DS173" s="505"/>
      <c r="DT173" s="505"/>
      <c r="DU173" s="505"/>
      <c r="DV173" s="505"/>
      <c r="DW173" s="505"/>
      <c r="DX173" s="505"/>
      <c r="DY173" s="505"/>
      <c r="DZ173" s="505"/>
      <c r="EA173" s="505"/>
      <c r="EB173" s="505"/>
      <c r="EC173" s="505"/>
      <c r="ED173" s="505"/>
      <c r="EE173" s="505"/>
      <c r="EF173" s="505"/>
      <c r="EG173" s="505"/>
      <c r="EH173" s="505"/>
      <c r="EI173" s="505"/>
      <c r="EJ173" s="505"/>
      <c r="EK173" s="505"/>
      <c r="EL173" s="505"/>
      <c r="EM173" s="505"/>
      <c r="EN173" s="505"/>
      <c r="EO173" s="505"/>
      <c r="EP173" s="505"/>
      <c r="EQ173" s="505"/>
      <c r="ER173" s="505"/>
      <c r="ES173" s="505"/>
      <c r="ET173" s="505"/>
      <c r="EU173" s="505"/>
      <c r="EV173" s="324"/>
      <c r="EW173" s="324"/>
      <c r="EX173" s="47"/>
      <c r="EY173" s="47"/>
      <c r="EZ173" s="47"/>
      <c r="FA173" s="47"/>
      <c r="FB173" s="47"/>
    </row>
    <row r="174" spans="1:158" ht="12.75" customHeight="1" collapsed="1">
      <c r="A174" s="22"/>
      <c r="B174" s="32"/>
      <c r="C174" s="90"/>
      <c r="D174" s="90"/>
      <c r="E174" s="90"/>
      <c r="F174" s="90"/>
      <c r="G174" s="61"/>
      <c r="H174" s="90"/>
      <c r="I174" s="90"/>
      <c r="J174" s="90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9"/>
      <c r="AR174" s="126"/>
      <c r="AS174" s="126"/>
      <c r="AT174" s="126"/>
      <c r="AU174" s="126"/>
      <c r="AV174" s="126"/>
      <c r="AW174" s="129"/>
      <c r="AX174" s="127"/>
      <c r="AY174" s="126"/>
      <c r="AZ174" s="126"/>
      <c r="BA174" s="126"/>
      <c r="BB174" s="126"/>
      <c r="BC174" s="129"/>
      <c r="BD174" s="156"/>
      <c r="BE174" s="155"/>
      <c r="BF174" s="155"/>
      <c r="BG174" s="155"/>
      <c r="BH174" s="155"/>
      <c r="BI174" s="155"/>
      <c r="BJ174" s="156"/>
      <c r="BK174" s="155"/>
      <c r="BL174" s="155"/>
      <c r="BM174" s="155"/>
      <c r="BN174" s="155"/>
      <c r="BO174" s="155"/>
      <c r="BP174" s="156"/>
      <c r="BQ174" s="155"/>
      <c r="BR174" s="155"/>
      <c r="BS174" s="155"/>
      <c r="BT174" s="155"/>
      <c r="BU174" s="155"/>
      <c r="BV174" s="156"/>
      <c r="BW174" s="155"/>
      <c r="BX174" s="155"/>
      <c r="BY174" s="155"/>
      <c r="BZ174" s="155"/>
      <c r="CA174" s="155"/>
      <c r="CB174" s="156"/>
      <c r="CC174" s="155"/>
      <c r="CD174" s="155"/>
      <c r="CE174" s="155"/>
      <c r="CF174" s="155"/>
      <c r="CG174" s="155"/>
      <c r="CH174" s="156"/>
      <c r="CI174" s="155"/>
      <c r="CJ174" s="155"/>
      <c r="CK174" s="155"/>
      <c r="CL174" s="155"/>
      <c r="CM174" s="155"/>
      <c r="CN174" s="156"/>
      <c r="CO174" s="155"/>
      <c r="CP174" s="155"/>
      <c r="CQ174" s="155"/>
      <c r="CR174" s="155"/>
      <c r="CS174" s="155"/>
      <c r="CT174" s="156"/>
      <c r="CU174" s="155"/>
      <c r="CV174" s="155"/>
      <c r="CW174" s="155"/>
      <c r="CX174" s="155"/>
      <c r="CY174" s="155"/>
      <c r="CZ174" s="156"/>
      <c r="DA174" s="155"/>
      <c r="DB174" s="155"/>
      <c r="DC174" s="155"/>
      <c r="DD174" s="155"/>
      <c r="DE174" s="155"/>
      <c r="DF174" s="156"/>
      <c r="DG174" s="155"/>
      <c r="DH174" s="155"/>
      <c r="DI174" s="155"/>
      <c r="DJ174" s="155"/>
      <c r="DK174" s="155"/>
      <c r="DL174" s="156"/>
      <c r="DM174" s="155"/>
      <c r="DN174" s="155"/>
      <c r="DO174" s="155"/>
      <c r="DP174" s="155"/>
      <c r="DQ174" s="155"/>
      <c r="DR174" s="156"/>
      <c r="DS174" s="155"/>
      <c r="DT174" s="155"/>
      <c r="DU174" s="155"/>
      <c r="DV174" s="155"/>
      <c r="DW174" s="155"/>
      <c r="DX174" s="126"/>
      <c r="DY174" s="155"/>
      <c r="DZ174" s="155"/>
      <c r="EA174" s="155"/>
      <c r="EB174" s="155"/>
      <c r="EC174" s="155"/>
      <c r="ED174" s="126"/>
      <c r="EE174" s="155"/>
      <c r="EF174" s="155"/>
      <c r="EG174" s="155"/>
      <c r="EH174" s="155"/>
      <c r="EI174" s="155"/>
      <c r="EJ174" s="126"/>
      <c r="EK174" s="155"/>
      <c r="EL174" s="155"/>
      <c r="EM174" s="155"/>
      <c r="EN174" s="155"/>
      <c r="EO174" s="155"/>
      <c r="EP174" s="126"/>
      <c r="EQ174" s="155"/>
      <c r="ER174" s="155"/>
      <c r="ES174" s="155"/>
      <c r="ET174" s="155"/>
      <c r="EU174" s="155"/>
      <c r="EV174" s="126"/>
      <c r="EW174" s="126"/>
      <c r="EX174" s="126"/>
      <c r="EY174" s="126"/>
      <c r="EZ174" s="126"/>
      <c r="FA174" s="126"/>
      <c r="FB174" s="126"/>
    </row>
    <row r="175" spans="1:158" ht="10.5" customHeight="1" thickBot="1">
      <c r="A175" s="60" t="s">
        <v>2321</v>
      </c>
      <c r="B175" s="32"/>
      <c r="C175" s="90"/>
      <c r="D175" s="90"/>
      <c r="E175" s="90"/>
      <c r="F175" s="90"/>
      <c r="G175" s="61"/>
      <c r="H175" s="90"/>
      <c r="I175" s="90"/>
      <c r="J175" s="90"/>
      <c r="K175" s="61"/>
      <c r="L175" s="61"/>
      <c r="M175" s="61"/>
      <c r="N175" s="61"/>
      <c r="O175" s="62"/>
      <c r="P175" s="62"/>
      <c r="Q175" s="62"/>
      <c r="R175" s="62"/>
      <c r="S175" s="62"/>
      <c r="T175" s="61"/>
      <c r="U175" s="62"/>
      <c r="V175" s="62"/>
      <c r="W175" s="62"/>
      <c r="X175" s="62"/>
      <c r="Y175" s="62"/>
      <c r="Z175" s="61"/>
      <c r="AA175" s="62"/>
      <c r="AB175" s="62"/>
      <c r="AC175" s="62"/>
      <c r="AD175" s="62"/>
      <c r="AE175" s="62"/>
      <c r="AF175" s="61"/>
      <c r="AG175" s="62"/>
      <c r="AH175" s="62"/>
      <c r="AI175" s="62"/>
      <c r="AJ175" s="62"/>
      <c r="AK175" s="62"/>
      <c r="AL175" s="61"/>
      <c r="AM175" s="62"/>
      <c r="AN175" s="62"/>
      <c r="AO175" s="62"/>
      <c r="AP175" s="62"/>
      <c r="AQ175" s="62"/>
      <c r="AR175" s="61"/>
      <c r="AS175" s="62"/>
      <c r="AT175" s="62"/>
      <c r="AU175" s="61"/>
      <c r="AV175" s="61"/>
      <c r="AW175" s="62"/>
      <c r="AX175" s="61"/>
      <c r="AY175" s="61"/>
      <c r="AZ175" s="61"/>
      <c r="BA175" s="61"/>
      <c r="BB175" s="61"/>
      <c r="BC175" s="62"/>
      <c r="BD175" s="61"/>
      <c r="BE175" s="63"/>
      <c r="BF175" s="63"/>
      <c r="BG175" s="63"/>
      <c r="BH175" s="63"/>
      <c r="BI175" s="62"/>
      <c r="BJ175" s="61"/>
      <c r="BK175" s="63"/>
      <c r="BL175" s="63"/>
      <c r="BM175" s="63"/>
      <c r="BN175" s="63"/>
      <c r="BO175" s="62"/>
      <c r="BP175" s="61"/>
      <c r="BQ175" s="63"/>
      <c r="BR175" s="63"/>
      <c r="BS175" s="63"/>
      <c r="BT175" s="63"/>
      <c r="BU175" s="62"/>
      <c r="BV175" s="61"/>
      <c r="BW175" s="63"/>
      <c r="BX175" s="63"/>
      <c r="BY175" s="63"/>
      <c r="BZ175" s="63"/>
      <c r="CA175" s="62"/>
      <c r="CB175" s="61"/>
      <c r="CC175" s="63"/>
      <c r="CD175" s="63"/>
      <c r="CE175" s="63"/>
      <c r="CF175" s="63"/>
      <c r="CG175" s="62"/>
      <c r="CH175" s="61"/>
      <c r="CI175" s="63"/>
      <c r="CJ175" s="63"/>
      <c r="CK175" s="63"/>
      <c r="CL175" s="63"/>
      <c r="CM175" s="62"/>
      <c r="CN175" s="61"/>
      <c r="CO175" s="63"/>
      <c r="CP175" s="63"/>
      <c r="CQ175" s="63"/>
      <c r="CR175" s="63"/>
      <c r="CS175" s="62"/>
      <c r="CT175" s="61"/>
      <c r="CU175" s="63"/>
      <c r="CV175" s="63"/>
      <c r="CW175" s="63"/>
      <c r="CX175" s="63"/>
      <c r="CY175" s="62"/>
      <c r="CZ175" s="61"/>
      <c r="DA175" s="63"/>
      <c r="DB175" s="63"/>
      <c r="DC175" s="63"/>
      <c r="DD175" s="63"/>
      <c r="DE175" s="62"/>
      <c r="DF175" s="61"/>
      <c r="DG175" s="63"/>
      <c r="DH175" s="63"/>
      <c r="DI175" s="63"/>
      <c r="DJ175" s="63"/>
      <c r="DK175" s="62"/>
      <c r="DL175" s="61"/>
      <c r="DM175" s="63"/>
      <c r="DN175" s="63"/>
      <c r="DO175" s="63"/>
      <c r="DP175" s="63"/>
      <c r="DQ175" s="62"/>
      <c r="DR175" s="61"/>
      <c r="DS175" s="63"/>
      <c r="DT175" s="63"/>
      <c r="DU175" s="63"/>
      <c r="DV175" s="63"/>
      <c r="DW175" s="62"/>
      <c r="DX175" s="45"/>
      <c r="DY175" s="63"/>
      <c r="DZ175" s="63"/>
      <c r="EA175" s="63"/>
      <c r="EB175" s="63"/>
      <c r="EC175" s="62"/>
      <c r="ED175" s="45"/>
      <c r="EE175" s="63"/>
      <c r="EF175" s="63"/>
      <c r="EG175" s="63"/>
      <c r="EH175" s="63"/>
      <c r="EI175" s="62"/>
      <c r="EJ175" s="45"/>
      <c r="EK175" s="63"/>
      <c r="EL175" s="63"/>
      <c r="EM175" s="63"/>
      <c r="EN175" s="63"/>
      <c r="EO175" s="62"/>
      <c r="EP175" s="45"/>
      <c r="EQ175" s="63"/>
      <c r="ER175" s="63"/>
      <c r="ES175" s="63"/>
      <c r="ET175" s="63"/>
      <c r="EU175" s="62"/>
      <c r="EV175" s="45"/>
      <c r="EW175" s="45"/>
      <c r="EX175" s="45"/>
      <c r="EY175" s="45"/>
      <c r="EZ175" s="45"/>
      <c r="FA175" s="45"/>
      <c r="FB175" s="45"/>
    </row>
    <row r="176" spans="1:158">
      <c r="A176" s="557" t="s">
        <v>750</v>
      </c>
      <c r="B176" s="32"/>
      <c r="C176" s="400"/>
      <c r="D176" s="400"/>
      <c r="E176" s="400"/>
      <c r="F176" s="400"/>
      <c r="G176" s="400"/>
      <c r="H176" s="400"/>
      <c r="I176" s="400"/>
      <c r="J176" s="400"/>
      <c r="K176" s="400"/>
      <c r="L176" s="400"/>
      <c r="M176" s="400"/>
      <c r="N176" s="400"/>
      <c r="O176" s="558" t="s">
        <v>6442</v>
      </c>
      <c r="P176" s="558" t="s">
        <v>6442</v>
      </c>
      <c r="Q176" s="558" t="s">
        <v>6442</v>
      </c>
      <c r="R176" s="558" t="s">
        <v>6442</v>
      </c>
      <c r="S176" s="558">
        <f>Model!S71</f>
        <v>28.716000000000001</v>
      </c>
      <c r="T176" s="400"/>
      <c r="U176" s="558" t="s">
        <v>6442</v>
      </c>
      <c r="V176" s="558" t="s">
        <v>6442</v>
      </c>
      <c r="W176" s="558" t="s">
        <v>6442</v>
      </c>
      <c r="X176" s="558" t="s">
        <v>6442</v>
      </c>
      <c r="Y176" s="558">
        <f>S176+Model!Y71</f>
        <v>59.341000000000001</v>
      </c>
      <c r="Z176" s="400"/>
      <c r="AA176" s="558" t="s">
        <v>6442</v>
      </c>
      <c r="AB176" s="558" t="s">
        <v>6442</v>
      </c>
      <c r="AC176" s="558" t="s">
        <v>6442</v>
      </c>
      <c r="AD176" s="558" t="s">
        <v>6442</v>
      </c>
      <c r="AE176" s="558">
        <f>Y176+Model!AE71</f>
        <v>85.87</v>
      </c>
      <c r="AF176" s="400"/>
      <c r="AG176" s="558" t="s">
        <v>6442</v>
      </c>
      <c r="AH176" s="558" t="s">
        <v>6442</v>
      </c>
      <c r="AI176" s="558" t="s">
        <v>6442</v>
      </c>
      <c r="AJ176" s="558" t="s">
        <v>6442</v>
      </c>
      <c r="AK176" s="558">
        <f>AE176+Model!AK71</f>
        <v>106.77300000000001</v>
      </c>
      <c r="AL176" s="400"/>
      <c r="AM176" s="558" t="s">
        <v>6442</v>
      </c>
      <c r="AN176" s="558" t="s">
        <v>6442</v>
      </c>
      <c r="AO176" s="558" t="s">
        <v>6442</v>
      </c>
      <c r="AP176" s="558" t="s">
        <v>6442</v>
      </c>
      <c r="AQ176" s="558">
        <f>AK176+Model!AQ71</f>
        <v>106.77300000000001</v>
      </c>
      <c r="AR176" s="400"/>
      <c r="AS176" s="558" t="s">
        <v>6442</v>
      </c>
      <c r="AT176" s="558" t="s">
        <v>6442</v>
      </c>
      <c r="AU176" s="558" t="s">
        <v>6442</v>
      </c>
      <c r="AV176" s="558" t="s">
        <v>6442</v>
      </c>
      <c r="AW176" s="558">
        <f>AQ176+Model!AW71</f>
        <v>106.77300000000001</v>
      </c>
      <c r="AX176" s="400"/>
      <c r="AY176" s="558" t="s">
        <v>6442</v>
      </c>
      <c r="AZ176" s="558" t="s">
        <v>6442</v>
      </c>
      <c r="BA176" s="558" t="s">
        <v>6442</v>
      </c>
      <c r="BB176" s="558" t="s">
        <v>6442</v>
      </c>
      <c r="BC176" s="558">
        <f>AW176+Model!BC71</f>
        <v>106.77300000000001</v>
      </c>
      <c r="BD176" s="400"/>
      <c r="BE176" s="558" t="s">
        <v>6442</v>
      </c>
      <c r="BF176" s="558" t="s">
        <v>6442</v>
      </c>
      <c r="BG176" s="558" t="s">
        <v>6442</v>
      </c>
      <c r="BH176" s="558" t="s">
        <v>6442</v>
      </c>
      <c r="BI176" s="558">
        <f>BC176+Model!BI71</f>
        <v>107.47300000000001</v>
      </c>
      <c r="BJ176" s="400"/>
      <c r="BK176" s="558" t="s">
        <v>6442</v>
      </c>
      <c r="BL176" s="558" t="s">
        <v>6442</v>
      </c>
      <c r="BM176" s="558" t="s">
        <v>6442</v>
      </c>
      <c r="BN176" s="558" t="s">
        <v>6442</v>
      </c>
      <c r="BO176" s="558">
        <f>BI176+Model!BO71</f>
        <v>122.37300000000002</v>
      </c>
      <c r="BP176" s="400"/>
      <c r="BQ176" s="558" t="s">
        <v>6442</v>
      </c>
      <c r="BR176" s="558" t="s">
        <v>6442</v>
      </c>
      <c r="BS176" s="558" t="s">
        <v>6442</v>
      </c>
      <c r="BT176" s="558" t="s">
        <v>6442</v>
      </c>
      <c r="BU176" s="558">
        <f>BO176+Model!BU71</f>
        <v>142.47300000000001</v>
      </c>
      <c r="BV176" s="400"/>
      <c r="BW176" s="558" t="s">
        <v>6442</v>
      </c>
      <c r="BX176" s="558" t="s">
        <v>6442</v>
      </c>
      <c r="BY176" s="558" t="s">
        <v>6442</v>
      </c>
      <c r="BZ176" s="558" t="s">
        <v>6442</v>
      </c>
      <c r="CA176" s="558">
        <f>BU176+Model!CA71</f>
        <v>215.97300000000001</v>
      </c>
      <c r="CB176" s="400"/>
      <c r="CC176" s="558" t="s">
        <v>6442</v>
      </c>
      <c r="CD176" s="558" t="s">
        <v>6442</v>
      </c>
      <c r="CE176" s="558" t="s">
        <v>6442</v>
      </c>
      <c r="CF176" s="558" t="s">
        <v>6442</v>
      </c>
      <c r="CG176" s="558">
        <f>CA176+Model!CG71</f>
        <v>274.37300000000005</v>
      </c>
      <c r="CH176" s="400"/>
      <c r="CI176" s="558" t="s">
        <v>6442</v>
      </c>
      <c r="CJ176" s="558" t="s">
        <v>6442</v>
      </c>
      <c r="CK176" s="558" t="s">
        <v>6442</v>
      </c>
      <c r="CL176" s="558" t="s">
        <v>6442</v>
      </c>
      <c r="CM176" s="559">
        <f>CG176+Model!CM71</f>
        <v>330.27300000000002</v>
      </c>
      <c r="CN176" s="400"/>
      <c r="CO176" s="558" t="s">
        <v>6442</v>
      </c>
      <c r="CP176" s="558" t="s">
        <v>6442</v>
      </c>
      <c r="CQ176" s="558" t="s">
        <v>6442</v>
      </c>
      <c r="CR176" s="558" t="s">
        <v>6442</v>
      </c>
      <c r="CS176" s="559">
        <f>CM176+Model!CS71</f>
        <v>400.57300000000004</v>
      </c>
      <c r="CT176" s="400"/>
      <c r="CU176" s="558" t="s">
        <v>6442</v>
      </c>
      <c r="CV176" s="558" t="s">
        <v>6442</v>
      </c>
      <c r="CW176" s="558" t="s">
        <v>6442</v>
      </c>
      <c r="CX176" s="558" t="s">
        <v>6442</v>
      </c>
      <c r="CY176" s="559">
        <f>CS176+Model!CY71</f>
        <v>482.37300000000005</v>
      </c>
      <c r="CZ176" s="400"/>
      <c r="DA176" s="558" t="s">
        <v>6442</v>
      </c>
      <c r="DB176" s="558" t="s">
        <v>6442</v>
      </c>
      <c r="DC176" s="558" t="s">
        <v>6442</v>
      </c>
      <c r="DD176" s="558" t="s">
        <v>6442</v>
      </c>
      <c r="DE176" s="559">
        <f>CY176+Model!DE71</f>
        <v>563.07300000000009</v>
      </c>
      <c r="DF176" s="400"/>
      <c r="DG176" s="558" t="s">
        <v>6442</v>
      </c>
      <c r="DH176" s="558" t="s">
        <v>6442</v>
      </c>
      <c r="DI176" s="558" t="s">
        <v>6442</v>
      </c>
      <c r="DJ176" s="558" t="s">
        <v>6442</v>
      </c>
      <c r="DK176" s="559">
        <f>DE176+Model!DK71</f>
        <v>656.07300000000009</v>
      </c>
      <c r="DL176" s="400"/>
      <c r="DM176" s="558" t="s">
        <v>6442</v>
      </c>
      <c r="DN176" s="558" t="s">
        <v>6442</v>
      </c>
      <c r="DO176" s="558" t="s">
        <v>6442</v>
      </c>
      <c r="DP176" s="558" t="s">
        <v>6442</v>
      </c>
      <c r="DQ176" s="559">
        <f>DK176+Model!DQ71</f>
        <v>738.27300000000014</v>
      </c>
      <c r="DR176" s="400"/>
      <c r="DS176" s="558" t="s">
        <v>6442</v>
      </c>
      <c r="DT176" s="558" t="s">
        <v>6442</v>
      </c>
      <c r="DU176" s="558" t="s">
        <v>6442</v>
      </c>
      <c r="DV176" s="558" t="s">
        <v>6442</v>
      </c>
      <c r="DW176" s="559">
        <f>DQ176+Model!DW71</f>
        <v>810.07300000000009</v>
      </c>
      <c r="DX176" s="90"/>
      <c r="DY176" s="558" t="s">
        <v>6442</v>
      </c>
      <c r="DZ176" s="558" t="s">
        <v>6442</v>
      </c>
      <c r="EA176" s="558" t="s">
        <v>6442</v>
      </c>
      <c r="EB176" s="558" t="s">
        <v>6442</v>
      </c>
      <c r="EC176" s="559">
        <f>DW176+Model!EC71</f>
        <v>846.67300000000012</v>
      </c>
      <c r="ED176" s="90"/>
      <c r="EE176" s="558" t="s">
        <v>6442</v>
      </c>
      <c r="EF176" s="558" t="s">
        <v>6442</v>
      </c>
      <c r="EG176" s="558" t="s">
        <v>6442</v>
      </c>
      <c r="EH176" s="558" t="s">
        <v>6442</v>
      </c>
      <c r="EI176" s="559">
        <f>EC176+Model!EI71</f>
        <v>873.67300000000012</v>
      </c>
      <c r="EJ176" s="90"/>
      <c r="EK176" s="558" t="s">
        <v>6442</v>
      </c>
      <c r="EL176" s="558" t="s">
        <v>6442</v>
      </c>
      <c r="EM176" s="558" t="s">
        <v>6442</v>
      </c>
      <c r="EN176" s="558" t="s">
        <v>6442</v>
      </c>
      <c r="EO176" s="559">
        <f>EI176+Model!EO71</f>
        <v>900.67300000000012</v>
      </c>
      <c r="EP176" s="90"/>
      <c r="EQ176" s="558" t="s">
        <v>6442</v>
      </c>
      <c r="ER176" s="558" t="s">
        <v>6442</v>
      </c>
      <c r="ES176" s="558" t="s">
        <v>6442</v>
      </c>
      <c r="ET176" s="558" t="s">
        <v>6442</v>
      </c>
      <c r="EU176" s="559">
        <f>EO176+Model!EU71</f>
        <v>927.67300000000012</v>
      </c>
      <c r="EV176" s="90"/>
      <c r="EW176" s="90"/>
      <c r="EX176" s="90"/>
      <c r="EY176" s="90"/>
      <c r="EZ176" s="90"/>
      <c r="FA176" s="90"/>
      <c r="FB176" s="90"/>
    </row>
    <row r="177" spans="1:158" ht="10.5" customHeight="1">
      <c r="A177" s="560" t="s">
        <v>1595</v>
      </c>
      <c r="B177" s="32"/>
      <c r="C177" s="554"/>
      <c r="D177" s="554"/>
      <c r="E177" s="554"/>
      <c r="F177" s="554"/>
      <c r="G177" s="554"/>
      <c r="H177" s="554"/>
      <c r="I177" s="554"/>
      <c r="J177" s="554"/>
      <c r="K177" s="554"/>
      <c r="L177" s="554"/>
      <c r="M177" s="554"/>
      <c r="N177" s="554"/>
      <c r="O177" s="554"/>
      <c r="P177" s="554"/>
      <c r="Q177" s="554"/>
      <c r="R177" s="554"/>
      <c r="S177" s="554">
        <f>S48</f>
        <v>537.327</v>
      </c>
      <c r="T177" s="554"/>
      <c r="U177" s="554"/>
      <c r="V177" s="554"/>
      <c r="W177" s="554"/>
      <c r="X177" s="554"/>
      <c r="Y177" s="554">
        <f>Y48</f>
        <v>602.29899999999998</v>
      </c>
      <c r="Z177" s="554"/>
      <c r="AA177" s="554"/>
      <c r="AB177" s="554"/>
      <c r="AC177" s="554"/>
      <c r="AD177" s="554"/>
      <c r="AE177" s="554">
        <f>AE48</f>
        <v>459.67399999999998</v>
      </c>
      <c r="AF177" s="554"/>
      <c r="AG177" s="554"/>
      <c r="AH177" s="554"/>
      <c r="AI177" s="554"/>
      <c r="AJ177" s="554"/>
      <c r="AK177" s="554">
        <f>AK48</f>
        <v>529.31399999999996</v>
      </c>
      <c r="AL177" s="554"/>
      <c r="AM177" s="554"/>
      <c r="AN177" s="554"/>
      <c r="AO177" s="554"/>
      <c r="AP177" s="554"/>
      <c r="AQ177" s="554">
        <f>AQ48</f>
        <v>569.20800000000008</v>
      </c>
      <c r="AR177" s="554"/>
      <c r="AS177" s="554"/>
      <c r="AT177" s="554"/>
      <c r="AU177" s="554"/>
      <c r="AV177" s="554"/>
      <c r="AW177" s="554">
        <f>AW48</f>
        <v>621.64300000000003</v>
      </c>
      <c r="AX177" s="554"/>
      <c r="AY177" s="554"/>
      <c r="AZ177" s="554"/>
      <c r="BA177" s="554"/>
      <c r="BB177" s="554"/>
      <c r="BC177" s="554">
        <f>BC48</f>
        <v>649.80000000000007</v>
      </c>
      <c r="BD177" s="554"/>
      <c r="BE177" s="554"/>
      <c r="BF177" s="554"/>
      <c r="BG177" s="554"/>
      <c r="BH177" s="554"/>
      <c r="BI177" s="554">
        <f>BI48</f>
        <v>803</v>
      </c>
      <c r="BJ177" s="554"/>
      <c r="BK177" s="554"/>
      <c r="BL177" s="554"/>
      <c r="BM177" s="554"/>
      <c r="BN177" s="554"/>
      <c r="BO177" s="554">
        <f>BO48</f>
        <v>1115</v>
      </c>
      <c r="BP177" s="554"/>
      <c r="BQ177" s="554"/>
      <c r="BR177" s="554"/>
      <c r="BS177" s="554"/>
      <c r="BT177" s="554"/>
      <c r="BU177" s="554">
        <f>BU48</f>
        <v>1230.5</v>
      </c>
      <c r="BV177" s="554"/>
      <c r="BW177" s="554"/>
      <c r="BX177" s="554"/>
      <c r="BY177" s="554"/>
      <c r="BZ177" s="554"/>
      <c r="CA177" s="554">
        <f>CA48</f>
        <v>1310.7</v>
      </c>
      <c r="CB177" s="554"/>
      <c r="CC177" s="554"/>
      <c r="CD177" s="554"/>
      <c r="CE177" s="554"/>
      <c r="CF177" s="554"/>
      <c r="CG177" s="554">
        <f>CG48</f>
        <v>1473.5</v>
      </c>
      <c r="CH177" s="554"/>
      <c r="CI177" s="554"/>
      <c r="CJ177" s="554"/>
      <c r="CK177" s="554"/>
      <c r="CL177" s="554"/>
      <c r="CM177" s="561">
        <f>CM48</f>
        <v>1609.3000000000002</v>
      </c>
      <c r="CN177" s="554"/>
      <c r="CO177" s="554"/>
      <c r="CP177" s="554"/>
      <c r="CQ177" s="554"/>
      <c r="CR177" s="554"/>
      <c r="CS177" s="561">
        <f>CS48</f>
        <v>1882.9</v>
      </c>
      <c r="CT177" s="554"/>
      <c r="CU177" s="554"/>
      <c r="CV177" s="554"/>
      <c r="CW177" s="554"/>
      <c r="CX177" s="554"/>
      <c r="CY177" s="561">
        <f>CY48</f>
        <v>2043.1999999999998</v>
      </c>
      <c r="CZ177" s="554"/>
      <c r="DA177" s="554"/>
      <c r="DB177" s="554"/>
      <c r="DC177" s="554"/>
      <c r="DD177" s="554"/>
      <c r="DE177" s="561">
        <f>DE48</f>
        <v>2261.5</v>
      </c>
      <c r="DF177" s="554"/>
      <c r="DG177" s="554"/>
      <c r="DH177" s="554"/>
      <c r="DI177" s="554"/>
      <c r="DJ177" s="554"/>
      <c r="DK177" s="561">
        <f>DK48</f>
        <v>2219.1999999999998</v>
      </c>
      <c r="DL177" s="554"/>
      <c r="DM177" s="554"/>
      <c r="DN177" s="554"/>
      <c r="DO177" s="554"/>
      <c r="DP177" s="554"/>
      <c r="DQ177" s="561">
        <f>DQ48</f>
        <v>1624.1000000000001</v>
      </c>
      <c r="DR177" s="554"/>
      <c r="DW177">
        <f>DW48</f>
        <v>736.5</v>
      </c>
      <c r="DX177" s="45"/>
      <c r="EA177" s="2280"/>
      <c r="EC177" s="1787">
        <f>EC48</f>
        <v>-256</v>
      </c>
      <c r="ED177" s="45"/>
      <c r="EI177" s="2008">
        <f>EI48</f>
        <v>-777.73337994258395</v>
      </c>
      <c r="EJ177" s="45"/>
      <c r="EO177" s="2117">
        <f>EO48</f>
        <v>-761.14270722396122</v>
      </c>
      <c r="EP177" s="45"/>
      <c r="EU177" s="2291">
        <f>EU48</f>
        <v>-423.15972158717244</v>
      </c>
      <c r="EV177" s="45"/>
      <c r="EW177" s="45"/>
      <c r="EX177" s="45"/>
      <c r="EY177" s="45"/>
      <c r="EZ177" s="45"/>
      <c r="FA177" s="45"/>
      <c r="FB177" s="45"/>
    </row>
    <row r="178" spans="1:158" ht="12" customHeight="1">
      <c r="A178" s="562" t="s">
        <v>751</v>
      </c>
      <c r="B178" s="32"/>
      <c r="C178" s="164"/>
      <c r="D178" s="164"/>
      <c r="E178" s="164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532">
        <f>Model!S105/BS!S177</f>
        <v>0.23259765468699684</v>
      </c>
      <c r="T178" s="164"/>
      <c r="U178" s="164"/>
      <c r="V178" s="164"/>
      <c r="W178" s="164"/>
      <c r="X178" s="164"/>
      <c r="Y178" s="532">
        <f>Model!Y105/BS!Y177</f>
        <v>0.10075992156719515</v>
      </c>
      <c r="Z178" s="164"/>
      <c r="AA178" s="164"/>
      <c r="AB178" s="164"/>
      <c r="AC178" s="164"/>
      <c r="AD178" s="164"/>
      <c r="AE178" s="532">
        <f>Model!AE105/BS!AE177</f>
        <v>0.23800563007696754</v>
      </c>
      <c r="AF178" s="164"/>
      <c r="AG178" s="164"/>
      <c r="AH178" s="164"/>
      <c r="AI178" s="164"/>
      <c r="AJ178" s="164"/>
      <c r="AK178" s="532">
        <f>Model!AK105/BS!AK177</f>
        <v>0.22477395270104344</v>
      </c>
      <c r="AL178" s="164"/>
      <c r="AM178" s="164"/>
      <c r="AN178" s="164"/>
      <c r="AO178" s="164"/>
      <c r="AP178" s="164"/>
      <c r="AQ178" s="532">
        <f>Model!AQ105/BS!AQ177</f>
        <v>8.2389917218310432E-2</v>
      </c>
      <c r="AR178" s="164"/>
      <c r="AS178" s="164"/>
      <c r="AT178" s="164"/>
      <c r="AU178" s="164"/>
      <c r="AV178" s="164"/>
      <c r="AW178" s="532">
        <f>Model!AW105/BS!AW177</f>
        <v>0.1545050776731984</v>
      </c>
      <c r="AX178" s="555"/>
      <c r="AY178" s="164"/>
      <c r="AZ178" s="164"/>
      <c r="BA178" s="164"/>
      <c r="BB178" s="164"/>
      <c r="BC178" s="532">
        <f>Model!BC105/BS!BC177</f>
        <v>0.34105263157894755</v>
      </c>
      <c r="BD178" s="164"/>
      <c r="BE178" s="164"/>
      <c r="BF178" s="164"/>
      <c r="BG178" s="164"/>
      <c r="BH178" s="164"/>
      <c r="BI178" s="532">
        <f>Model!BI105/BS!BI177</f>
        <v>0.40460772104607717</v>
      </c>
      <c r="BJ178" s="164"/>
      <c r="BK178" s="164"/>
      <c r="BL178" s="164"/>
      <c r="BM178" s="164"/>
      <c r="BN178" s="164"/>
      <c r="BO178" s="532">
        <f>Model!BO105/BS!BO177</f>
        <v>0.3360286995515695</v>
      </c>
      <c r="BP178" s="164"/>
      <c r="BQ178" s="164"/>
      <c r="BR178" s="164"/>
      <c r="BS178" s="164"/>
      <c r="BT178" s="164"/>
      <c r="BU178" s="532">
        <f>Model!BU105/BS!BU177</f>
        <v>0.37098740349451448</v>
      </c>
      <c r="BV178" s="164"/>
      <c r="BW178" s="164"/>
      <c r="BX178" s="164"/>
      <c r="BY178" s="164"/>
      <c r="BZ178" s="164"/>
      <c r="CA178" s="532">
        <f>Model!CA105/BS!CA177</f>
        <v>0.34164950026703295</v>
      </c>
      <c r="CB178" s="164"/>
      <c r="CC178" s="164"/>
      <c r="CD178" s="164"/>
      <c r="CE178" s="164"/>
      <c r="CF178" s="164"/>
      <c r="CG178" s="532">
        <f>Model!CG105/BS!CG177</f>
        <v>0.15717678995588721</v>
      </c>
      <c r="CH178" s="164"/>
      <c r="CI178" s="164"/>
      <c r="CJ178" s="164"/>
      <c r="CK178" s="164"/>
      <c r="CL178" s="164"/>
      <c r="CM178" s="563">
        <f>Model!CM105/BS!CM177</f>
        <v>0.19287889144348472</v>
      </c>
      <c r="CN178" s="164"/>
      <c r="CO178" s="164"/>
      <c r="CP178" s="164"/>
      <c r="CQ178" s="164"/>
      <c r="CR178" s="164"/>
      <c r="CS178" s="563">
        <f>Model!CS105/BS!CS177</f>
        <v>0.21530617664241325</v>
      </c>
      <c r="CT178" s="164"/>
      <c r="CU178" s="164"/>
      <c r="CV178" s="164"/>
      <c r="CW178" s="164"/>
      <c r="CX178" s="164"/>
      <c r="CY178" s="563">
        <f>Model!CY105/BS!CY177</f>
        <v>0.22024275646045419</v>
      </c>
      <c r="CZ178" s="164"/>
      <c r="DA178" s="164"/>
      <c r="DB178" s="164"/>
      <c r="DC178" s="164"/>
      <c r="DD178" s="164"/>
      <c r="DE178" s="563">
        <f>Model!DE105/BS!DE177</f>
        <v>0.17050630112757012</v>
      </c>
      <c r="DF178" s="164"/>
      <c r="DG178" s="164"/>
      <c r="DH178" s="164"/>
      <c r="DI178" s="164"/>
      <c r="DJ178" s="164"/>
      <c r="DK178" s="563">
        <f>Model!DK105/BS!DK177</f>
        <v>0.12270187454938714</v>
      </c>
      <c r="DL178" s="164"/>
      <c r="DM178" s="164"/>
      <c r="DN178" s="164"/>
      <c r="DO178" s="164"/>
      <c r="DP178" s="164"/>
      <c r="DQ178" s="563">
        <f>Model!DQ105/BS!DQ177</f>
        <v>0.11951234529893473</v>
      </c>
      <c r="DR178" s="164"/>
      <c r="DS178" s="164"/>
      <c r="DT178" s="164"/>
      <c r="DU178" s="164"/>
      <c r="DV178" s="164"/>
      <c r="DW178" s="563">
        <f>Model!DW105/BS!DW177</f>
        <v>-0.15070685675492182</v>
      </c>
      <c r="DX178" s="147"/>
      <c r="DY178" s="164"/>
      <c r="DZ178" s="164"/>
      <c r="EA178" s="164"/>
      <c r="EB178" s="164"/>
      <c r="EC178" s="563">
        <f>Model!EC105/BS!EC177</f>
        <v>0.41523437500000038</v>
      </c>
      <c r="ED178" s="147"/>
      <c r="EE178" s="164"/>
      <c r="EF178" s="164"/>
      <c r="EG178" s="164"/>
      <c r="EH178" s="164"/>
      <c r="EI178" s="563">
        <f>Model!EI105/BS!EI177</f>
        <v>-0.25989719723407062</v>
      </c>
      <c r="EJ178" s="147"/>
      <c r="EK178" s="164"/>
      <c r="EL178" s="164"/>
      <c r="EM178" s="164"/>
      <c r="EN178" s="164"/>
      <c r="EO178" s="563">
        <f>Model!EO105/BS!EO177</f>
        <v>-0.91100486360573185</v>
      </c>
      <c r="EP178" s="147"/>
      <c r="EQ178" s="164"/>
      <c r="ER178" s="164"/>
      <c r="ES178" s="164"/>
      <c r="ET178" s="164"/>
      <c r="EU178" s="563">
        <f>Model!EU105/BS!EU177</f>
        <v>-2.5506895632958018</v>
      </c>
      <c r="EV178" s="24"/>
      <c r="EW178" s="24"/>
      <c r="EX178" s="24"/>
      <c r="EY178" s="24"/>
      <c r="EZ178" s="24"/>
      <c r="FA178" s="24"/>
      <c r="FB178" s="24"/>
    </row>
    <row r="179" spans="1:158">
      <c r="A179" s="564" t="s">
        <v>2391</v>
      </c>
      <c r="B179" s="32"/>
      <c r="C179" s="565"/>
      <c r="D179" s="565"/>
      <c r="E179" s="565"/>
      <c r="F179" s="565"/>
      <c r="G179" s="565"/>
      <c r="H179" s="565"/>
      <c r="I179" s="565"/>
      <c r="J179" s="565"/>
      <c r="K179" s="565"/>
      <c r="L179" s="565"/>
      <c r="M179" s="565"/>
      <c r="N179" s="565"/>
      <c r="O179" s="566" t="s">
        <v>6442</v>
      </c>
      <c r="P179" s="566" t="s">
        <v>6442</v>
      </c>
      <c r="Q179" s="566" t="s">
        <v>6442</v>
      </c>
      <c r="R179" s="566" t="s">
        <v>6442</v>
      </c>
      <c r="S179" s="566">
        <f>S48+S176</f>
        <v>566.04300000000001</v>
      </c>
      <c r="T179" s="565"/>
      <c r="U179" s="566" t="s">
        <v>6442</v>
      </c>
      <c r="V179" s="566" t="s">
        <v>6442</v>
      </c>
      <c r="W179" s="566" t="s">
        <v>6442</v>
      </c>
      <c r="X179" s="566" t="s">
        <v>6442</v>
      </c>
      <c r="Y179" s="566">
        <f>Y48+Y176</f>
        <v>661.64</v>
      </c>
      <c r="Z179" s="566"/>
      <c r="AA179" s="566" t="s">
        <v>6442</v>
      </c>
      <c r="AB179" s="566" t="s">
        <v>6442</v>
      </c>
      <c r="AC179" s="566" t="s">
        <v>6442</v>
      </c>
      <c r="AD179" s="566" t="s">
        <v>6442</v>
      </c>
      <c r="AE179" s="566">
        <f>AE48+AE176</f>
        <v>545.54399999999998</v>
      </c>
      <c r="AF179" s="566"/>
      <c r="AG179" s="566" t="s">
        <v>6442</v>
      </c>
      <c r="AH179" s="566" t="s">
        <v>6442</v>
      </c>
      <c r="AI179" s="566" t="s">
        <v>6442</v>
      </c>
      <c r="AJ179" s="566" t="s">
        <v>6442</v>
      </c>
      <c r="AK179" s="566">
        <f>AK48+AK176</f>
        <v>636.08699999999999</v>
      </c>
      <c r="AL179" s="566"/>
      <c r="AM179" s="566" t="s">
        <v>6442</v>
      </c>
      <c r="AN179" s="566" t="s">
        <v>6442</v>
      </c>
      <c r="AO179" s="566" t="s">
        <v>6442</v>
      </c>
      <c r="AP179" s="566" t="s">
        <v>6442</v>
      </c>
      <c r="AQ179" s="566">
        <f>AQ48+AQ176</f>
        <v>675.98100000000011</v>
      </c>
      <c r="AR179" s="566"/>
      <c r="AS179" s="566" t="s">
        <v>6442</v>
      </c>
      <c r="AT179" s="566" t="s">
        <v>6442</v>
      </c>
      <c r="AU179" s="566" t="s">
        <v>6442</v>
      </c>
      <c r="AV179" s="566" t="s">
        <v>6442</v>
      </c>
      <c r="AW179" s="566">
        <f>AW48+AW176</f>
        <v>728.41600000000005</v>
      </c>
      <c r="AX179" s="566"/>
      <c r="AY179" s="566" t="s">
        <v>6442</v>
      </c>
      <c r="AZ179" s="566" t="s">
        <v>6442</v>
      </c>
      <c r="BA179" s="566" t="s">
        <v>6442</v>
      </c>
      <c r="BB179" s="566" t="s">
        <v>6442</v>
      </c>
      <c r="BC179" s="566">
        <f>BC48+BC176</f>
        <v>756.57300000000009</v>
      </c>
      <c r="BD179" s="566"/>
      <c r="BE179" s="566" t="s">
        <v>6442</v>
      </c>
      <c r="BF179" s="566" t="s">
        <v>6442</v>
      </c>
      <c r="BG179" s="566" t="s">
        <v>6442</v>
      </c>
      <c r="BH179" s="566" t="s">
        <v>6442</v>
      </c>
      <c r="BI179" s="566">
        <f>BI48+BI176</f>
        <v>910.47299999999996</v>
      </c>
      <c r="BJ179" s="566"/>
      <c r="BK179" s="566" t="s">
        <v>6442</v>
      </c>
      <c r="BL179" s="566" t="s">
        <v>6442</v>
      </c>
      <c r="BM179" s="566" t="s">
        <v>6442</v>
      </c>
      <c r="BN179" s="566" t="s">
        <v>6442</v>
      </c>
      <c r="BO179" s="566">
        <f>BO48+BO176</f>
        <v>1237.373</v>
      </c>
      <c r="BP179" s="566"/>
      <c r="BQ179" s="566" t="s">
        <v>6442</v>
      </c>
      <c r="BR179" s="566" t="s">
        <v>6442</v>
      </c>
      <c r="BS179" s="566" t="s">
        <v>6442</v>
      </c>
      <c r="BT179" s="566" t="s">
        <v>6442</v>
      </c>
      <c r="BU179" s="566">
        <f>BU48+BU176</f>
        <v>1372.973</v>
      </c>
      <c r="BV179" s="566"/>
      <c r="BW179" s="566" t="s">
        <v>6442</v>
      </c>
      <c r="BX179" s="566" t="s">
        <v>6442</v>
      </c>
      <c r="BY179" s="566" t="s">
        <v>6442</v>
      </c>
      <c r="BZ179" s="566" t="s">
        <v>6442</v>
      </c>
      <c r="CA179" s="566">
        <f>CA48+CA176</f>
        <v>1526.673</v>
      </c>
      <c r="CB179" s="566"/>
      <c r="CC179" s="566" t="s">
        <v>6442</v>
      </c>
      <c r="CD179" s="566" t="s">
        <v>6442</v>
      </c>
      <c r="CE179" s="566" t="s">
        <v>6442</v>
      </c>
      <c r="CF179" s="566" t="s">
        <v>6442</v>
      </c>
      <c r="CG179" s="566">
        <f>CG48+CG176</f>
        <v>1747.873</v>
      </c>
      <c r="CH179" s="566"/>
      <c r="CI179" s="566" t="s">
        <v>6442</v>
      </c>
      <c r="CJ179" s="566" t="s">
        <v>6442</v>
      </c>
      <c r="CK179" s="566" t="s">
        <v>6442</v>
      </c>
      <c r="CL179" s="566" t="s">
        <v>6442</v>
      </c>
      <c r="CM179" s="567">
        <f>CM48+CM176</f>
        <v>1939.5730000000003</v>
      </c>
      <c r="CN179" s="566"/>
      <c r="CO179" s="566" t="s">
        <v>6442</v>
      </c>
      <c r="CP179" s="566" t="s">
        <v>6442</v>
      </c>
      <c r="CQ179" s="566" t="s">
        <v>6442</v>
      </c>
      <c r="CR179" s="566" t="s">
        <v>6442</v>
      </c>
      <c r="CS179" s="567">
        <f>CS48+CS176</f>
        <v>2283.473</v>
      </c>
      <c r="CT179" s="566"/>
      <c r="CU179" s="566" t="s">
        <v>6442</v>
      </c>
      <c r="CV179" s="566" t="s">
        <v>6442</v>
      </c>
      <c r="CW179" s="566" t="s">
        <v>6442</v>
      </c>
      <c r="CX179" s="566" t="s">
        <v>6442</v>
      </c>
      <c r="CY179" s="567">
        <f>CY48+CY176</f>
        <v>2525.5729999999999</v>
      </c>
      <c r="CZ179" s="566"/>
      <c r="DA179" s="566" t="s">
        <v>6442</v>
      </c>
      <c r="DB179" s="566" t="s">
        <v>6442</v>
      </c>
      <c r="DC179" s="566" t="s">
        <v>6442</v>
      </c>
      <c r="DD179" s="566" t="s">
        <v>6442</v>
      </c>
      <c r="DE179" s="567">
        <f>DE48+DE176</f>
        <v>2824.5730000000003</v>
      </c>
      <c r="DF179" s="566"/>
      <c r="DG179" s="566" t="s">
        <v>6442</v>
      </c>
      <c r="DH179" s="566" t="s">
        <v>6442</v>
      </c>
      <c r="DI179" s="566" t="s">
        <v>6442</v>
      </c>
      <c r="DJ179" s="566" t="s">
        <v>6442</v>
      </c>
      <c r="DK179" s="567">
        <f>DK48+DK176</f>
        <v>2875.2730000000001</v>
      </c>
      <c r="DL179" s="566"/>
      <c r="DM179" s="566" t="s">
        <v>6442</v>
      </c>
      <c r="DN179" s="566" t="s">
        <v>6442</v>
      </c>
      <c r="DO179" s="566" t="s">
        <v>6442</v>
      </c>
      <c r="DP179" s="566" t="s">
        <v>6442</v>
      </c>
      <c r="DQ179" s="567">
        <f>DQ48+DQ176</f>
        <v>2362.3730000000005</v>
      </c>
      <c r="DR179" s="566"/>
      <c r="DS179" s="566" t="s">
        <v>6442</v>
      </c>
      <c r="DT179" s="566" t="s">
        <v>6442</v>
      </c>
      <c r="DU179" s="566" t="s">
        <v>6442</v>
      </c>
      <c r="DV179" s="566" t="s">
        <v>6442</v>
      </c>
      <c r="DW179" s="567">
        <f>DW48+DW176</f>
        <v>1546.5730000000001</v>
      </c>
      <c r="DX179" s="90"/>
      <c r="DY179" s="566" t="s">
        <v>6442</v>
      </c>
      <c r="DZ179" s="566" t="s">
        <v>6442</v>
      </c>
      <c r="EA179" s="566" t="s">
        <v>6442</v>
      </c>
      <c r="EB179" s="566" t="s">
        <v>6442</v>
      </c>
      <c r="EC179" s="567">
        <f>EC48+EC176</f>
        <v>590.67300000000012</v>
      </c>
      <c r="ED179" s="90"/>
      <c r="EE179" s="566" t="s">
        <v>6442</v>
      </c>
      <c r="EF179" s="566" t="s">
        <v>6442</v>
      </c>
      <c r="EG179" s="566" t="s">
        <v>6442</v>
      </c>
      <c r="EH179" s="566" t="s">
        <v>6442</v>
      </c>
      <c r="EI179" s="567">
        <f>EI48+EI176</f>
        <v>95.939620057416164</v>
      </c>
      <c r="EJ179" s="90"/>
      <c r="EK179" s="566" t="s">
        <v>6442</v>
      </c>
      <c r="EL179" s="566" t="s">
        <v>6442</v>
      </c>
      <c r="EM179" s="566" t="s">
        <v>6442</v>
      </c>
      <c r="EN179" s="566" t="s">
        <v>6442</v>
      </c>
      <c r="EO179" s="567">
        <f>EO48+EO176</f>
        <v>139.53029277603889</v>
      </c>
      <c r="EP179" s="90"/>
      <c r="EQ179" s="566" t="s">
        <v>6442</v>
      </c>
      <c r="ER179" s="566" t="s">
        <v>6442</v>
      </c>
      <c r="ES179" s="566" t="s">
        <v>6442</v>
      </c>
      <c r="ET179" s="566" t="s">
        <v>6442</v>
      </c>
      <c r="EU179" s="567">
        <f>EU48+EU176</f>
        <v>504.51327841282767</v>
      </c>
      <c r="EV179" s="90"/>
      <c r="EW179" s="90"/>
      <c r="EX179" s="90"/>
      <c r="EY179" s="90"/>
      <c r="EZ179" s="90"/>
      <c r="FA179" s="90"/>
      <c r="FB179" s="90"/>
    </row>
    <row r="180" spans="1:158" ht="13.5" thickBot="1">
      <c r="A180" s="568" t="s">
        <v>2392</v>
      </c>
      <c r="B180" s="32"/>
      <c r="C180" s="569"/>
      <c r="D180" s="569"/>
      <c r="E180" s="569"/>
      <c r="F180" s="569"/>
      <c r="G180" s="569"/>
      <c r="H180" s="569"/>
      <c r="I180" s="569"/>
      <c r="J180" s="569"/>
      <c r="K180" s="569"/>
      <c r="L180" s="569"/>
      <c r="M180" s="569"/>
      <c r="N180" s="569"/>
      <c r="O180" s="569"/>
      <c r="P180" s="569"/>
      <c r="Q180" s="569"/>
      <c r="R180" s="569"/>
      <c r="S180" s="570">
        <f>Model!S105/BS!S179</f>
        <v>0.22079771324793337</v>
      </c>
      <c r="T180" s="569"/>
      <c r="U180" s="569"/>
      <c r="V180" s="569"/>
      <c r="W180" s="569"/>
      <c r="X180" s="569"/>
      <c r="Y180" s="570">
        <f>Model!Y105/BS!Y179</f>
        <v>9.1722991354815417E-2</v>
      </c>
      <c r="Z180" s="569"/>
      <c r="AA180" s="569"/>
      <c r="AB180" s="569"/>
      <c r="AC180" s="569"/>
      <c r="AD180" s="569"/>
      <c r="AE180" s="570">
        <f>Model!AE105/BS!AE179</f>
        <v>0.20054294429046965</v>
      </c>
      <c r="AF180" s="569"/>
      <c r="AG180" s="569"/>
      <c r="AH180" s="569"/>
      <c r="AI180" s="569"/>
      <c r="AJ180" s="569"/>
      <c r="AK180" s="570">
        <f>Model!AK105/BS!AK179</f>
        <v>0.18704359623762173</v>
      </c>
      <c r="AL180" s="569"/>
      <c r="AM180" s="569"/>
      <c r="AN180" s="569"/>
      <c r="AO180" s="569"/>
      <c r="AP180" s="569"/>
      <c r="AQ180" s="570">
        <f>Model!AQ105/BS!AQ179</f>
        <v>6.9376210278099593E-2</v>
      </c>
      <c r="AR180" s="569"/>
      <c r="AS180" s="569"/>
      <c r="AT180" s="569"/>
      <c r="AU180" s="569"/>
      <c r="AV180" s="569"/>
      <c r="AW180" s="570">
        <f>Model!AW105/BS!AW179</f>
        <v>0.13185734525326198</v>
      </c>
      <c r="AX180" s="571"/>
      <c r="AY180" s="569"/>
      <c r="AZ180" s="569"/>
      <c r="BA180" s="569"/>
      <c r="BB180" s="569"/>
      <c r="BC180" s="570">
        <f>Model!BC105/BS!BC179</f>
        <v>0.29292084174296484</v>
      </c>
      <c r="BD180" s="569"/>
      <c r="BE180" s="569"/>
      <c r="BF180" s="569"/>
      <c r="BG180" s="569"/>
      <c r="BH180" s="569"/>
      <c r="BI180" s="570">
        <f>Model!BI105/BS!BI179</f>
        <v>0.35684748476890582</v>
      </c>
      <c r="BJ180" s="569"/>
      <c r="BK180" s="569"/>
      <c r="BL180" s="569"/>
      <c r="BM180" s="569"/>
      <c r="BN180" s="569"/>
      <c r="BO180" s="570">
        <f>Model!BO105/BS!BO179</f>
        <v>0.30279632738066853</v>
      </c>
      <c r="BP180" s="569"/>
      <c r="BQ180" s="569"/>
      <c r="BR180" s="569"/>
      <c r="BS180" s="569"/>
      <c r="BT180" s="569"/>
      <c r="BU180" s="570">
        <f>Model!BU105/BS!BU179</f>
        <v>0.33249015093523332</v>
      </c>
      <c r="BV180" s="569"/>
      <c r="BW180" s="569"/>
      <c r="BX180" s="569"/>
      <c r="BY180" s="569"/>
      <c r="BZ180" s="569"/>
      <c r="CA180" s="570">
        <f>Model!CA105/BS!CA179</f>
        <v>0.29331756047300245</v>
      </c>
      <c r="CB180" s="569"/>
      <c r="CC180" s="569"/>
      <c r="CD180" s="569"/>
      <c r="CE180" s="569"/>
      <c r="CF180" s="569"/>
      <c r="CG180" s="570">
        <f>Model!CG105/BS!CG179</f>
        <v>0.13250390617624952</v>
      </c>
      <c r="CH180" s="569"/>
      <c r="CI180" s="569"/>
      <c r="CJ180" s="569"/>
      <c r="CK180" s="569"/>
      <c r="CL180" s="569"/>
      <c r="CM180" s="572">
        <f>Model!CM105/BS!CM179</f>
        <v>0.16003522424781122</v>
      </c>
      <c r="CN180" s="569"/>
      <c r="CO180" s="569"/>
      <c r="CP180" s="569"/>
      <c r="CQ180" s="569"/>
      <c r="CR180" s="569"/>
      <c r="CS180" s="572">
        <f>Model!CS105/BS!CS179</f>
        <v>0.17753658571833339</v>
      </c>
      <c r="CT180" s="569"/>
      <c r="CU180" s="569"/>
      <c r="CV180" s="569"/>
      <c r="CW180" s="569"/>
      <c r="CX180" s="569"/>
      <c r="CY180" s="572">
        <f>Model!CY105/BS!CY179</f>
        <v>0.17817738786406093</v>
      </c>
      <c r="CZ180" s="569"/>
      <c r="DA180" s="569"/>
      <c r="DB180" s="569"/>
      <c r="DC180" s="569"/>
      <c r="DD180" s="569"/>
      <c r="DE180" s="572">
        <f>Model!DE105/BS!DE179</f>
        <v>0.13651620970674144</v>
      </c>
      <c r="DF180" s="569"/>
      <c r="DG180" s="569"/>
      <c r="DH180" s="569"/>
      <c r="DI180" s="569"/>
      <c r="DJ180" s="569"/>
      <c r="DK180" s="572">
        <f>Model!DK105/BS!DK179</f>
        <v>9.4704050711010707E-2</v>
      </c>
      <c r="DL180" s="569"/>
      <c r="DM180" s="569"/>
      <c r="DN180" s="569"/>
      <c r="DO180" s="569"/>
      <c r="DP180" s="569"/>
      <c r="DQ180" s="572">
        <f>Model!DQ105/BS!DQ179</f>
        <v>8.2163146971286863E-2</v>
      </c>
      <c r="DR180" s="569"/>
      <c r="DS180" s="569"/>
      <c r="DT180" s="569"/>
      <c r="DU180" s="569"/>
      <c r="DV180" s="569"/>
      <c r="DW180" s="572">
        <f>Model!DW105/BS!DW179</f>
        <v>-7.1768742891541434E-2</v>
      </c>
      <c r="DX180" s="90"/>
      <c r="DY180" s="569"/>
      <c r="DZ180" s="569"/>
      <c r="EA180" s="569"/>
      <c r="EB180" s="569"/>
      <c r="EC180" s="572">
        <f>Model!EC105/BS!EC179</f>
        <v>-0.17996421031602947</v>
      </c>
      <c r="ED180" s="90"/>
      <c r="EE180" s="569"/>
      <c r="EF180" s="569"/>
      <c r="EG180" s="569"/>
      <c r="EH180" s="569"/>
      <c r="EI180" s="572">
        <f>Model!EI105/BS!EI179</f>
        <v>2.1068535139235558</v>
      </c>
      <c r="EJ180" s="90"/>
      <c r="EK180" s="569"/>
      <c r="EL180" s="569"/>
      <c r="EM180" s="569"/>
      <c r="EN180" s="569"/>
      <c r="EO180" s="572">
        <f>Model!EO105/BS!EO179</f>
        <v>4.9695639160741338</v>
      </c>
      <c r="EP180" s="90"/>
      <c r="EQ180" s="569"/>
      <c r="ER180" s="569"/>
      <c r="ES180" s="569"/>
      <c r="ET180" s="569"/>
      <c r="EU180" s="572">
        <f>Model!EU105/BS!EU179</f>
        <v>2.1393868737313189</v>
      </c>
      <c r="EV180" s="90"/>
      <c r="EW180" s="90"/>
      <c r="EX180" s="90"/>
      <c r="EY180" s="90"/>
      <c r="EZ180" s="90"/>
      <c r="FA180" s="90"/>
      <c r="FB180" s="90"/>
    </row>
    <row r="181" spans="1:158">
      <c r="A181" s="556" t="s">
        <v>2393</v>
      </c>
      <c r="B181" s="32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83"/>
      <c r="P181" s="83"/>
      <c r="Q181" s="83"/>
      <c r="R181" s="83"/>
      <c r="S181" s="83"/>
      <c r="T181" s="104"/>
      <c r="U181" s="83"/>
      <c r="V181" s="83"/>
      <c r="W181" s="83"/>
      <c r="X181" s="83"/>
      <c r="Y181" s="83"/>
      <c r="Z181" s="83"/>
      <c r="AA181" s="83"/>
      <c r="AB181" s="83"/>
      <c r="AC181" s="83"/>
      <c r="AD181" s="83"/>
      <c r="AE181" s="83"/>
      <c r="AF181" s="104"/>
      <c r="AG181" s="83"/>
      <c r="AH181" s="83"/>
      <c r="AI181" s="83"/>
      <c r="AJ181" s="83"/>
      <c r="AK181" s="83"/>
      <c r="AL181" s="104"/>
      <c r="AM181" s="83"/>
      <c r="AN181" s="83"/>
      <c r="AO181" s="83"/>
      <c r="AP181" s="83"/>
      <c r="AQ181" s="83"/>
      <c r="AR181" s="104"/>
      <c r="AS181" s="83"/>
      <c r="AT181" s="83"/>
      <c r="AU181" s="83"/>
      <c r="AV181" s="83"/>
      <c r="AW181" s="83"/>
      <c r="AX181" s="62"/>
      <c r="AY181" s="83"/>
      <c r="AZ181" s="83"/>
      <c r="BA181" s="104"/>
      <c r="BB181" s="83"/>
      <c r="BC181" s="83"/>
      <c r="BD181" s="104"/>
      <c r="BE181" s="83"/>
      <c r="BF181" s="83"/>
      <c r="BG181" s="83"/>
      <c r="BH181" s="83"/>
      <c r="BI181" s="83"/>
      <c r="BJ181" s="104"/>
      <c r="BK181" s="83"/>
      <c r="BL181" s="83"/>
      <c r="BM181" s="83"/>
      <c r="BN181" s="83"/>
      <c r="BO181" s="83"/>
      <c r="BP181" s="104"/>
      <c r="BQ181" s="83"/>
      <c r="BR181" s="83"/>
      <c r="BS181" s="83"/>
      <c r="BT181" s="83"/>
      <c r="BU181" s="83"/>
      <c r="BV181" s="104"/>
      <c r="BW181" s="83"/>
      <c r="BX181" s="83"/>
      <c r="BY181" s="83"/>
      <c r="BZ181" s="83"/>
      <c r="CA181" s="83"/>
      <c r="CB181" s="104"/>
      <c r="CC181" s="83"/>
      <c r="CD181" s="83"/>
      <c r="CE181" s="83"/>
      <c r="CF181" s="83"/>
      <c r="CG181" s="83"/>
      <c r="CH181" s="104"/>
      <c r="CI181" s="83"/>
      <c r="CJ181" s="83"/>
      <c r="CK181" s="83"/>
      <c r="CL181" s="83"/>
      <c r="CM181" s="83"/>
      <c r="CN181" s="104"/>
      <c r="CO181" s="83"/>
      <c r="CP181" s="83"/>
      <c r="CQ181" s="83"/>
      <c r="CR181" s="83"/>
      <c r="CS181" s="83"/>
      <c r="CT181" s="104"/>
      <c r="CU181" s="83"/>
      <c r="CV181" s="83"/>
      <c r="CW181" s="83"/>
      <c r="CX181" s="83"/>
      <c r="CY181" s="83"/>
      <c r="CZ181" s="104"/>
      <c r="DA181" s="83"/>
      <c r="DB181" s="83"/>
      <c r="DC181" s="83"/>
      <c r="DD181" s="83"/>
      <c r="DE181" s="83"/>
      <c r="DF181" s="104"/>
      <c r="DG181" s="83"/>
      <c r="DH181" s="83"/>
      <c r="DI181" s="83"/>
      <c r="DJ181" s="83"/>
      <c r="DK181" s="83"/>
      <c r="DL181" s="104"/>
      <c r="DM181" s="83"/>
      <c r="DN181" s="83"/>
      <c r="DO181" s="83"/>
      <c r="DP181" s="83"/>
      <c r="DQ181" s="83"/>
      <c r="DR181" s="104"/>
      <c r="DS181" s="83"/>
      <c r="DT181" s="83"/>
      <c r="DU181" s="83"/>
      <c r="DV181" s="83"/>
      <c r="DW181" s="83"/>
      <c r="DX181" s="90"/>
      <c r="DY181" s="83"/>
      <c r="DZ181" s="83"/>
      <c r="EA181" s="83"/>
      <c r="EB181" s="83"/>
      <c r="EC181" s="83"/>
      <c r="ED181" s="90"/>
      <c r="EE181" s="83"/>
      <c r="EF181" s="83"/>
      <c r="EG181" s="83"/>
      <c r="EH181" s="83"/>
      <c r="EI181" s="83"/>
      <c r="EJ181" s="90"/>
      <c r="EK181" s="83"/>
      <c r="EL181" s="83"/>
      <c r="EM181" s="83"/>
      <c r="EN181" s="83"/>
      <c r="EO181" s="83"/>
      <c r="EP181" s="90"/>
      <c r="EQ181" s="83"/>
      <c r="ER181" s="83"/>
      <c r="ES181" s="83"/>
      <c r="ET181" s="83"/>
      <c r="EU181" s="83"/>
      <c r="EV181" s="90"/>
      <c r="EW181" s="90"/>
      <c r="EX181" s="90"/>
      <c r="EY181" s="90"/>
      <c r="EZ181" s="90"/>
      <c r="FA181" s="90"/>
      <c r="FB181" s="90"/>
    </row>
    <row r="182" spans="1:158">
      <c r="A182" s="26"/>
      <c r="B182" s="32"/>
      <c r="C182" s="90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26"/>
      <c r="P182" s="26"/>
      <c r="Q182" s="26"/>
      <c r="R182" s="26"/>
      <c r="S182" s="26"/>
      <c r="T182" s="90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90"/>
      <c r="AG182" s="26"/>
      <c r="AH182" s="26"/>
      <c r="AI182" s="26"/>
      <c r="AJ182" s="26"/>
      <c r="AK182" s="26"/>
      <c r="AL182" s="90"/>
      <c r="AM182" s="26"/>
      <c r="AN182" s="26"/>
      <c r="AO182" s="26"/>
      <c r="AP182" s="26"/>
      <c r="AQ182" s="83"/>
      <c r="AR182" s="90"/>
      <c r="AS182" s="26"/>
      <c r="AT182" s="26"/>
      <c r="AU182" s="26"/>
      <c r="AV182" s="26"/>
      <c r="AW182" s="83"/>
      <c r="AX182" s="61"/>
      <c r="AY182" s="26"/>
      <c r="AZ182" s="26"/>
      <c r="BA182" s="90"/>
      <c r="BB182" s="26"/>
      <c r="BC182" s="83"/>
      <c r="BD182" s="90"/>
      <c r="BE182" s="26"/>
      <c r="BF182" s="26"/>
      <c r="BG182" s="26"/>
      <c r="BH182" s="26"/>
      <c r="BI182" s="26"/>
      <c r="BJ182" s="90"/>
      <c r="BK182" s="26"/>
      <c r="BL182" s="26"/>
      <c r="BM182" s="26"/>
      <c r="BN182" s="26"/>
      <c r="BO182" s="26"/>
      <c r="BP182" s="90"/>
      <c r="BQ182" s="26"/>
      <c r="BR182" s="26"/>
      <c r="BS182" s="26"/>
      <c r="BT182" s="26"/>
      <c r="BU182" s="26"/>
      <c r="BV182" s="90"/>
      <c r="BW182" s="26"/>
      <c r="BX182" s="26"/>
      <c r="BY182" s="26"/>
      <c r="BZ182" s="26"/>
      <c r="CA182" s="26"/>
      <c r="CB182" s="90"/>
      <c r="CC182" s="26"/>
      <c r="CD182" s="26"/>
      <c r="CE182" s="26"/>
      <c r="CF182" s="26"/>
      <c r="CG182" s="26"/>
      <c r="CH182" s="90"/>
      <c r="CI182" s="26"/>
      <c r="CJ182" s="26"/>
      <c r="CK182" s="26"/>
      <c r="CL182" s="26"/>
      <c r="CM182" s="26"/>
      <c r="CN182" s="90"/>
      <c r="CO182" s="26"/>
      <c r="CP182" s="26"/>
      <c r="CQ182" s="26"/>
      <c r="CR182" s="26"/>
      <c r="CS182" s="26"/>
      <c r="CT182" s="90"/>
      <c r="CU182" s="26"/>
      <c r="CV182" s="26"/>
      <c r="CW182" s="26"/>
      <c r="CX182" s="26"/>
      <c r="CY182" s="26"/>
      <c r="CZ182" s="90"/>
      <c r="DA182" s="26"/>
      <c r="DB182" s="26"/>
      <c r="DC182" s="26"/>
      <c r="DD182" s="26"/>
      <c r="DE182" s="26"/>
      <c r="DF182" s="90"/>
      <c r="DG182" s="26"/>
      <c r="DH182" s="26"/>
      <c r="DI182" s="26"/>
      <c r="DJ182" s="26"/>
      <c r="DK182" s="26"/>
      <c r="DL182" s="90"/>
      <c r="DM182" s="26"/>
      <c r="DN182" s="26"/>
      <c r="DO182" s="26"/>
      <c r="DP182" s="26"/>
      <c r="DQ182" s="26"/>
      <c r="DR182" s="90"/>
      <c r="DS182" s="26"/>
      <c r="DT182" s="26"/>
      <c r="DU182" s="26"/>
      <c r="DV182" s="26"/>
      <c r="DW182" s="26"/>
      <c r="DX182" s="90"/>
      <c r="DY182" s="26"/>
      <c r="DZ182" s="26"/>
      <c r="EA182" s="26"/>
      <c r="EB182" s="26"/>
      <c r="EC182" s="26"/>
      <c r="ED182" s="90"/>
      <c r="EE182" s="26"/>
      <c r="EF182" s="26"/>
      <c r="EG182" s="26"/>
      <c r="EH182" s="26"/>
      <c r="EI182" s="26"/>
      <c r="EJ182" s="90"/>
      <c r="EK182" s="26"/>
      <c r="EL182" s="26"/>
      <c r="EM182" s="26"/>
      <c r="EN182" s="26"/>
      <c r="EO182" s="26"/>
      <c r="EP182" s="90"/>
      <c r="EQ182" s="26"/>
      <c r="ER182" s="26"/>
      <c r="ES182" s="26"/>
      <c r="ET182" s="26"/>
      <c r="EU182" s="26"/>
      <c r="EV182" s="90"/>
      <c r="EW182" s="90"/>
      <c r="EX182" s="90"/>
      <c r="EY182" s="90"/>
      <c r="EZ182" s="90"/>
      <c r="FA182" s="90"/>
      <c r="FB182" s="90"/>
    </row>
    <row r="183" spans="1:158" ht="20.25" hidden="1">
      <c r="A183" s="178" t="s">
        <v>1597</v>
      </c>
      <c r="B183" s="32"/>
      <c r="C183" s="178"/>
      <c r="D183" s="178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  <c r="R183" s="178"/>
      <c r="S183" s="178"/>
      <c r="T183" s="178"/>
      <c r="U183" s="178"/>
      <c r="V183" s="178"/>
      <c r="W183" s="178"/>
      <c r="X183" s="178"/>
      <c r="Y183" s="178"/>
      <c r="Z183" s="178"/>
      <c r="AA183" s="178"/>
      <c r="AB183" s="178"/>
      <c r="AC183" s="178"/>
      <c r="AD183" s="178"/>
      <c r="AE183" s="178"/>
      <c r="AF183" s="178"/>
      <c r="AG183" s="178"/>
      <c r="AH183" s="178"/>
      <c r="AI183" s="178"/>
      <c r="AJ183" s="178"/>
      <c r="AK183" s="178"/>
      <c r="AL183" s="178"/>
      <c r="AM183" s="178"/>
      <c r="AN183" s="178"/>
      <c r="AO183" s="178"/>
      <c r="AP183" s="178"/>
      <c r="AQ183" s="178"/>
      <c r="AR183" s="178"/>
      <c r="AS183" s="178"/>
      <c r="AT183" s="178"/>
      <c r="AU183" s="178"/>
      <c r="AV183" s="178"/>
      <c r="AW183" s="178"/>
      <c r="AX183" s="178"/>
      <c r="AY183" s="178"/>
      <c r="AZ183" s="178"/>
      <c r="BA183" s="178"/>
      <c r="BB183" s="178"/>
      <c r="BC183" s="178"/>
      <c r="BD183" s="178"/>
      <c r="BE183" s="178"/>
      <c r="BF183" s="178"/>
      <c r="BG183" s="178"/>
      <c r="BH183" s="178"/>
      <c r="BI183" s="178"/>
      <c r="BJ183" s="178"/>
      <c r="BK183" s="178"/>
      <c r="BL183" s="178"/>
      <c r="BM183" s="178"/>
      <c r="BN183" s="178"/>
      <c r="BO183" s="178"/>
      <c r="BP183" s="178"/>
      <c r="BQ183" s="178"/>
      <c r="BR183" s="178"/>
      <c r="BS183" s="178"/>
      <c r="BT183" s="178"/>
      <c r="BU183" s="178"/>
      <c r="BV183" s="178"/>
      <c r="BW183" s="178"/>
      <c r="BX183" s="178"/>
      <c r="BY183" s="178"/>
      <c r="BZ183" s="178"/>
      <c r="CA183" s="178"/>
      <c r="CB183" s="178"/>
      <c r="CC183" s="178"/>
      <c r="CD183" s="178"/>
      <c r="CE183" s="178"/>
      <c r="CF183" s="178"/>
      <c r="CG183" s="178"/>
      <c r="CH183" s="178"/>
      <c r="CI183" s="178"/>
      <c r="CJ183" s="178"/>
      <c r="CK183" s="178"/>
      <c r="CL183" s="178"/>
      <c r="CM183" s="178"/>
      <c r="CN183" s="178"/>
      <c r="CO183" s="178"/>
      <c r="CP183" s="178"/>
      <c r="CQ183" s="178"/>
      <c r="CR183" s="178"/>
      <c r="CS183" s="178"/>
      <c r="CT183" s="178"/>
      <c r="CU183" s="178"/>
      <c r="CV183" s="178"/>
      <c r="CW183" s="178"/>
      <c r="CX183" s="178"/>
      <c r="CY183" s="178"/>
      <c r="CZ183" s="178"/>
      <c r="DA183" s="178"/>
      <c r="DB183" s="178"/>
      <c r="DC183" s="178"/>
      <c r="DD183" s="178"/>
      <c r="DE183" s="178"/>
      <c r="DF183" s="178"/>
      <c r="DG183" s="178"/>
      <c r="DH183" s="178"/>
      <c r="DI183" s="178"/>
      <c r="DJ183" s="178"/>
      <c r="DK183" s="178"/>
      <c r="DL183" s="178"/>
      <c r="DM183" s="178"/>
      <c r="DN183" s="178"/>
      <c r="DO183" s="178"/>
      <c r="DP183" s="178"/>
      <c r="DQ183" s="178"/>
      <c r="DR183" s="178"/>
      <c r="DS183" s="178"/>
      <c r="DT183" s="178"/>
      <c r="DU183" s="178"/>
      <c r="DV183" s="178"/>
      <c r="DW183" s="178"/>
      <c r="DX183" s="90"/>
      <c r="DY183" s="178"/>
      <c r="DZ183" s="178"/>
      <c r="EA183" s="178"/>
      <c r="EB183" s="178"/>
      <c r="EC183" s="178"/>
      <c r="ED183" s="90"/>
      <c r="EE183" s="178"/>
      <c r="EF183" s="178"/>
      <c r="EG183" s="178"/>
      <c r="EH183" s="178"/>
      <c r="EI183" s="178"/>
      <c r="EJ183" s="90"/>
      <c r="EK183" s="178"/>
      <c r="EL183" s="178"/>
      <c r="EM183" s="178"/>
      <c r="EN183" s="178"/>
      <c r="EO183" s="178"/>
      <c r="EP183" s="90"/>
      <c r="EQ183" s="178"/>
      <c r="ER183" s="178"/>
      <c r="ES183" s="178"/>
      <c r="ET183" s="178"/>
      <c r="EU183" s="178"/>
      <c r="EV183" s="90"/>
      <c r="EW183" s="90"/>
      <c r="EX183" s="90"/>
      <c r="EY183" s="90"/>
      <c r="EZ183" s="90"/>
      <c r="FA183" s="90"/>
      <c r="FB183" s="90"/>
    </row>
    <row r="184" spans="1:158" hidden="1">
      <c r="A184" s="90"/>
      <c r="B184" s="32"/>
      <c r="C184" s="90"/>
      <c r="D184" s="90"/>
      <c r="E184" s="90"/>
      <c r="F184" s="90"/>
      <c r="G184" s="61"/>
      <c r="H184" s="90"/>
      <c r="I184" s="90"/>
      <c r="J184" s="90"/>
      <c r="K184" s="90"/>
      <c r="L184" s="90"/>
      <c r="M184" s="90"/>
      <c r="N184" s="90"/>
      <c r="O184" s="26"/>
      <c r="P184" s="26"/>
      <c r="Q184" s="26"/>
      <c r="R184" s="26"/>
      <c r="S184" s="26"/>
      <c r="T184" s="90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90"/>
      <c r="AG184" s="26"/>
      <c r="AH184" s="26"/>
      <c r="AI184" s="26"/>
      <c r="AJ184" s="26"/>
      <c r="AK184" s="26"/>
      <c r="AL184" s="90"/>
      <c r="AM184" s="26"/>
      <c r="AN184" s="26"/>
      <c r="AO184" s="26"/>
      <c r="AP184" s="26"/>
      <c r="AQ184" s="83"/>
      <c r="AR184" s="90"/>
      <c r="AS184" s="26"/>
      <c r="AT184" s="26"/>
      <c r="AU184" s="26"/>
      <c r="AV184" s="26"/>
      <c r="AW184" s="26"/>
      <c r="AX184" s="90"/>
      <c r="AY184" s="26"/>
      <c r="AZ184" s="26"/>
      <c r="BA184" s="90"/>
      <c r="BB184" s="26"/>
      <c r="BC184" s="26"/>
      <c r="BD184" s="90"/>
      <c r="BE184" s="26"/>
      <c r="BF184" s="26"/>
      <c r="BG184" s="26"/>
      <c r="BH184" s="26"/>
      <c r="BI184" s="26"/>
      <c r="BJ184" s="90"/>
      <c r="BK184" s="26"/>
      <c r="BL184" s="26"/>
      <c r="BM184" s="26"/>
      <c r="BN184" s="26"/>
      <c r="BO184" s="26"/>
      <c r="BP184" s="90"/>
      <c r="BQ184" s="26"/>
      <c r="BR184" s="26"/>
      <c r="BS184" s="26"/>
      <c r="BT184" s="26"/>
      <c r="BU184" s="26"/>
      <c r="BV184" s="90"/>
      <c r="BW184" s="26"/>
      <c r="BX184" s="26"/>
      <c r="BY184" s="26"/>
      <c r="BZ184" s="26"/>
      <c r="CA184" s="26"/>
      <c r="CB184" s="90"/>
      <c r="CC184" s="26"/>
      <c r="CD184" s="26"/>
      <c r="CE184" s="26"/>
      <c r="CF184" s="26"/>
      <c r="CG184" s="26"/>
      <c r="CH184" s="90"/>
      <c r="CI184" s="26"/>
      <c r="CJ184" s="26"/>
      <c r="CK184" s="26"/>
      <c r="CL184" s="26"/>
      <c r="CM184" s="26"/>
      <c r="CN184" s="90"/>
      <c r="CO184" s="26"/>
      <c r="CP184" s="26"/>
      <c r="CQ184" s="26"/>
      <c r="CR184" s="26"/>
      <c r="CS184" s="26"/>
      <c r="CT184" s="90"/>
      <c r="CU184" s="26"/>
      <c r="CV184" s="26"/>
      <c r="CW184" s="26"/>
      <c r="CX184" s="26"/>
      <c r="CY184" s="26"/>
      <c r="CZ184" s="90"/>
      <c r="DA184" s="26"/>
      <c r="DB184" s="26"/>
      <c r="DC184" s="26"/>
      <c r="DD184" s="26"/>
      <c r="DE184" s="26"/>
      <c r="DF184" s="90"/>
      <c r="DG184" s="26"/>
      <c r="DH184" s="26"/>
      <c r="DI184" s="26"/>
      <c r="DJ184" s="26"/>
      <c r="DK184" s="26"/>
      <c r="DL184" s="90"/>
      <c r="DM184" s="26"/>
      <c r="DN184" s="26"/>
      <c r="DO184" s="26"/>
      <c r="DP184" s="26"/>
      <c r="DQ184" s="26"/>
      <c r="DR184" s="90"/>
      <c r="DS184" s="26"/>
      <c r="DT184" s="26"/>
      <c r="DU184" s="26"/>
      <c r="DV184" s="26"/>
      <c r="DW184" s="26"/>
      <c r="DX184" s="90"/>
      <c r="DY184" s="26"/>
      <c r="DZ184" s="26"/>
      <c r="EA184" s="26"/>
      <c r="EB184" s="26"/>
      <c r="EC184" s="26"/>
      <c r="ED184" s="90"/>
      <c r="EE184" s="26"/>
      <c r="EF184" s="26"/>
      <c r="EG184" s="26"/>
      <c r="EH184" s="26"/>
      <c r="EI184" s="26"/>
      <c r="EJ184" s="90"/>
      <c r="EK184" s="26"/>
      <c r="EL184" s="26"/>
      <c r="EM184" s="26"/>
      <c r="EN184" s="26"/>
      <c r="EO184" s="26"/>
      <c r="EP184" s="90"/>
      <c r="EQ184" s="26"/>
      <c r="ER184" s="26"/>
      <c r="ES184" s="26"/>
      <c r="ET184" s="26"/>
      <c r="EU184" s="26"/>
      <c r="EV184" s="90"/>
      <c r="EW184" s="90"/>
      <c r="EX184" s="90"/>
      <c r="EY184" s="90"/>
      <c r="EZ184" s="90"/>
      <c r="FA184" s="90"/>
      <c r="FB184" s="90"/>
    </row>
    <row r="185" spans="1:158" hidden="1">
      <c r="A185" s="90" t="s">
        <v>1598</v>
      </c>
      <c r="B185" s="32"/>
      <c r="C185" s="90"/>
      <c r="D185" s="90"/>
      <c r="E185" s="90"/>
      <c r="F185" s="90"/>
      <c r="G185" s="61"/>
      <c r="H185" s="90"/>
      <c r="I185" s="90"/>
      <c r="J185" s="90"/>
      <c r="K185" s="90"/>
      <c r="L185" s="90"/>
      <c r="M185" s="90"/>
      <c r="N185" s="90"/>
      <c r="O185" s="168">
        <f>Model!O105</f>
        <v>33.690000000000026</v>
      </c>
      <c r="P185" s="168">
        <f>Model!P105</f>
        <v>38.388000000000005</v>
      </c>
      <c r="Q185" s="168">
        <f>Model!Q105</f>
        <v>24.005000000000013</v>
      </c>
      <c r="R185" s="168">
        <f>Model!R105</f>
        <v>28.898000000000003</v>
      </c>
      <c r="S185" s="168">
        <f>SUM(O185:R185)</f>
        <v>124.98100000000005</v>
      </c>
      <c r="T185" s="90"/>
      <c r="U185" s="168">
        <f>Model!U105</f>
        <v>9.0520000000000032</v>
      </c>
      <c r="V185" s="168">
        <f>Model!V105</f>
        <v>5.6879999999999882</v>
      </c>
      <c r="W185" s="168">
        <f>Model!W105</f>
        <v>16.679600000000022</v>
      </c>
      <c r="X185" s="168">
        <f>Model!X105</f>
        <v>29.269000000000013</v>
      </c>
      <c r="Y185" s="168">
        <f>SUM(U185:X185)</f>
        <v>60.688600000000022</v>
      </c>
      <c r="Z185" s="90"/>
      <c r="AA185" s="168">
        <f>Model!AA105</f>
        <v>30.160999999999976</v>
      </c>
      <c r="AB185" s="168">
        <f>Model!AB105</f>
        <v>25.328000000000024</v>
      </c>
      <c r="AC185" s="168">
        <f>Model!AC105</f>
        <v>21.857000000000006</v>
      </c>
      <c r="AD185" s="168">
        <f>Model!AD105</f>
        <v>32.058999999999997</v>
      </c>
      <c r="AE185" s="168">
        <f>SUM(AA185:AD185)</f>
        <v>109.405</v>
      </c>
      <c r="AF185" s="168"/>
      <c r="AG185" s="168">
        <f>Model!AG105</f>
        <v>31.566999999999958</v>
      </c>
      <c r="AH185" s="168">
        <f>Model!AH105</f>
        <v>29.635999999999989</v>
      </c>
      <c r="AI185" s="168">
        <f>Model!AI105</f>
        <v>20.750999999999991</v>
      </c>
      <c r="AJ185" s="168">
        <f>Model!AJ105</f>
        <v>37.022000000000027</v>
      </c>
      <c r="AK185" s="168">
        <f>SUM(AG185:AJ185)</f>
        <v>118.97599999999997</v>
      </c>
      <c r="AL185" s="168"/>
      <c r="AM185" s="168">
        <f>Model!AM105</f>
        <v>18.712000000000018</v>
      </c>
      <c r="AN185" s="168">
        <f>Model!AN105</f>
        <v>14.474000000000014</v>
      </c>
      <c r="AO185" s="168">
        <f>Model!AO105</f>
        <v>5.7819999999999734</v>
      </c>
      <c r="AP185" s="168">
        <f>Model!AP105</f>
        <v>7.9290000000000109</v>
      </c>
      <c r="AQ185" s="168">
        <f>SUM(AM185:AP185)</f>
        <v>46.89700000000002</v>
      </c>
      <c r="AR185" s="168"/>
      <c r="AS185" s="168">
        <f>Model!AS105</f>
        <v>7.5079999999999991</v>
      </c>
      <c r="AT185" s="168">
        <f>Model!AT105</f>
        <v>12.927999999999974</v>
      </c>
      <c r="AU185" s="168">
        <f>Model!AU105</f>
        <v>22.605999999999998</v>
      </c>
      <c r="AV185" s="168">
        <f>Model!AV105</f>
        <v>53.005000000000067</v>
      </c>
      <c r="AW185" s="168">
        <f>SUM(AS185:AV185)</f>
        <v>96.04700000000004</v>
      </c>
      <c r="AX185" s="168"/>
      <c r="AY185" s="168">
        <f>Model!AY105</f>
        <v>51.816000000000031</v>
      </c>
      <c r="AZ185" s="168">
        <f>Model!AZ105</f>
        <v>45.600000000000009</v>
      </c>
      <c r="BA185" s="168">
        <f>Model!BA105</f>
        <v>48.29999999999999</v>
      </c>
      <c r="BB185" s="168">
        <f>Model!BB105</f>
        <v>75.899999999999949</v>
      </c>
      <c r="BC185" s="168">
        <f>SUM(AY185:BB185)</f>
        <v>221.61599999999999</v>
      </c>
      <c r="BD185" s="90"/>
      <c r="BE185" s="168">
        <f>Model!BE105</f>
        <v>77.299999999999969</v>
      </c>
      <c r="BF185" s="168">
        <f>Model!BF105</f>
        <v>75.69999999999996</v>
      </c>
      <c r="BG185" s="168">
        <f>Model!BG105</f>
        <v>79.000000000000014</v>
      </c>
      <c r="BH185" s="168">
        <f>Model!BH105</f>
        <v>92.9</v>
      </c>
      <c r="BI185" s="168">
        <f>Model!BI105</f>
        <v>324.89999999999998</v>
      </c>
      <c r="BJ185" s="90"/>
      <c r="BK185" s="242">
        <f>Model!BK105</f>
        <v>79.971999999999994</v>
      </c>
      <c r="BL185" s="242">
        <f>Model!BL105</f>
        <v>95.700000000000017</v>
      </c>
      <c r="BM185" s="242">
        <f>Model!BM105</f>
        <v>86.299999999999983</v>
      </c>
      <c r="BN185" s="242">
        <f>Model!BN105</f>
        <v>112.7</v>
      </c>
      <c r="BO185" s="242">
        <f>Model!BO105</f>
        <v>374.67199999999997</v>
      </c>
      <c r="BP185" s="90"/>
      <c r="BQ185" s="242"/>
      <c r="BR185" s="242"/>
      <c r="BS185" s="242"/>
      <c r="BT185" s="242"/>
      <c r="BU185" s="242"/>
      <c r="BV185" s="90"/>
      <c r="BW185" s="242"/>
      <c r="BX185" s="242"/>
      <c r="BY185" s="242"/>
      <c r="BZ185" s="242"/>
      <c r="CA185" s="242"/>
      <c r="CB185" s="90"/>
      <c r="CC185" s="242"/>
      <c r="CD185" s="242"/>
      <c r="CE185" s="242"/>
      <c r="CF185" s="242"/>
      <c r="CG185" s="242"/>
      <c r="CH185" s="90"/>
      <c r="CI185" s="242"/>
      <c r="CJ185" s="242"/>
      <c r="CK185" s="242"/>
      <c r="CL185" s="242"/>
      <c r="CM185" s="242"/>
      <c r="CN185" s="90"/>
      <c r="CO185" s="242"/>
      <c r="CP185" s="242"/>
      <c r="CQ185" s="242"/>
      <c r="CR185" s="242"/>
      <c r="CS185" s="242"/>
      <c r="CT185" s="90"/>
      <c r="CU185" s="242"/>
      <c r="CV185" s="242"/>
      <c r="CW185" s="242"/>
      <c r="CX185" s="242"/>
      <c r="CY185" s="242"/>
      <c r="CZ185" s="90"/>
      <c r="DA185" s="242"/>
      <c r="DB185" s="242"/>
      <c r="DC185" s="242"/>
      <c r="DD185" s="242"/>
      <c r="DE185" s="242"/>
      <c r="DF185" s="90"/>
      <c r="DG185" s="242"/>
      <c r="DH185" s="242"/>
      <c r="DI185" s="242"/>
      <c r="DJ185" s="242"/>
      <c r="DK185" s="242"/>
      <c r="DL185" s="90"/>
      <c r="DM185" s="242"/>
      <c r="DN185" s="242"/>
      <c r="DO185" s="242"/>
      <c r="DP185" s="242"/>
      <c r="DQ185" s="242"/>
      <c r="DR185" s="90"/>
      <c r="DS185" s="242"/>
      <c r="DT185" s="242"/>
      <c r="DU185" s="242"/>
      <c r="DV185" s="242"/>
      <c r="DW185" s="242"/>
      <c r="DX185" s="90"/>
      <c r="DY185" s="242"/>
      <c r="DZ185" s="242"/>
      <c r="EA185" s="242"/>
      <c r="EB185" s="242"/>
      <c r="EC185" s="242"/>
      <c r="ED185" s="90"/>
      <c r="EE185" s="242"/>
      <c r="EF185" s="242"/>
      <c r="EG185" s="242"/>
      <c r="EH185" s="242"/>
      <c r="EI185" s="242"/>
      <c r="EJ185" s="90"/>
      <c r="EK185" s="242"/>
      <c r="EL185" s="242"/>
      <c r="EM185" s="242"/>
      <c r="EN185" s="242"/>
      <c r="EO185" s="242"/>
      <c r="EP185" s="90"/>
      <c r="EQ185" s="242"/>
      <c r="ER185" s="242"/>
      <c r="ES185" s="242"/>
      <c r="ET185" s="242"/>
      <c r="EU185" s="242"/>
      <c r="EV185" s="90"/>
      <c r="EW185" s="90"/>
      <c r="EX185" s="90"/>
      <c r="EY185" s="90"/>
      <c r="EZ185" s="90"/>
      <c r="FA185" s="90"/>
      <c r="FB185" s="90"/>
    </row>
    <row r="186" spans="1:158" hidden="1">
      <c r="A186" s="90" t="s">
        <v>1599</v>
      </c>
      <c r="B186" s="32"/>
      <c r="C186" s="90"/>
      <c r="D186" s="90"/>
      <c r="E186" s="90"/>
      <c r="F186" s="90"/>
      <c r="G186" s="61"/>
      <c r="H186" s="90"/>
      <c r="I186" s="90"/>
      <c r="J186" s="90"/>
      <c r="K186" s="90"/>
      <c r="L186" s="90"/>
      <c r="M186" s="90"/>
      <c r="N186" s="90"/>
      <c r="O186" s="168">
        <f>Model!O147</f>
        <v>28.733000000000025</v>
      </c>
      <c r="P186" s="168">
        <f>Model!P147</f>
        <v>27.530000000000005</v>
      </c>
      <c r="Q186" s="168">
        <f>Model!Q147</f>
        <v>17.624000000000013</v>
      </c>
      <c r="R186" s="168">
        <f>Model!R147</f>
        <v>23.245000000000008</v>
      </c>
      <c r="S186" s="168">
        <f>SUM(O186:R186)</f>
        <v>97.132000000000048</v>
      </c>
      <c r="T186" s="90"/>
      <c r="U186" s="168">
        <f>Model!U147</f>
        <v>-17.143999999999995</v>
      </c>
      <c r="V186" s="168">
        <f>Model!V147</f>
        <v>0.38899999999998763</v>
      </c>
      <c r="W186" s="168">
        <f>Model!W147</f>
        <v>1.3930000000000229</v>
      </c>
      <c r="X186" s="168">
        <f>Model!X147</f>
        <v>25.172000000000011</v>
      </c>
      <c r="Y186" s="168">
        <f>SUM(U186:X186)</f>
        <v>9.8100000000000271</v>
      </c>
      <c r="Z186" s="90"/>
      <c r="AA186" s="168">
        <f>Model!AA147</f>
        <v>25.605999999999973</v>
      </c>
      <c r="AB186" s="168">
        <f>Model!AB147</f>
        <v>20.753000000000021</v>
      </c>
      <c r="AC186" s="168">
        <f>Model!AC147</f>
        <v>18.51100000000001</v>
      </c>
      <c r="AD186" s="168">
        <f>Model!AD147</f>
        <v>28.362999999999996</v>
      </c>
      <c r="AE186" s="168">
        <f>SUM(AA186:AD186)</f>
        <v>93.233000000000004</v>
      </c>
      <c r="AF186" s="168"/>
      <c r="AG186" s="168">
        <f>Model!AG147</f>
        <v>27.899999999999956</v>
      </c>
      <c r="AH186" s="168">
        <f>Model!AH147</f>
        <v>19.172999999999988</v>
      </c>
      <c r="AI186" s="168">
        <f>Model!AI147</f>
        <v>21.470999999999989</v>
      </c>
      <c r="AJ186" s="168">
        <f>Model!AJ147</f>
        <v>21.76900000000003</v>
      </c>
      <c r="AK186" s="168">
        <f>SUM(AG186:AJ186)</f>
        <v>90.31299999999996</v>
      </c>
      <c r="AL186" s="168"/>
      <c r="AM186" s="168">
        <f>Model!AM147</f>
        <v>17.64100000000002</v>
      </c>
      <c r="AN186" s="168">
        <f>Model!AN147</f>
        <v>11.760000000000016</v>
      </c>
      <c r="AO186" s="168">
        <f>Model!AO147</f>
        <v>-3.9100000000000259</v>
      </c>
      <c r="AP186" s="168">
        <f>Model!AP147</f>
        <v>6.4130000000000118</v>
      </c>
      <c r="AQ186" s="168">
        <f>SUM(AM186:AP186)</f>
        <v>31.904000000000021</v>
      </c>
      <c r="AR186" s="168"/>
      <c r="AS186" s="168">
        <f>Model!AS147</f>
        <v>7.5079999999999991</v>
      </c>
      <c r="AT186" s="168">
        <f>Model!AT147</f>
        <v>32.601999999999975</v>
      </c>
      <c r="AU186" s="168">
        <f>Model!AU147</f>
        <v>22.605999999999998</v>
      </c>
      <c r="AV186" s="168">
        <f>Model!AV147</f>
        <v>57.60000000000008</v>
      </c>
      <c r="AW186" s="168">
        <f>SUM(AS186:AV186)</f>
        <v>120.31600000000005</v>
      </c>
      <c r="AX186" s="168"/>
      <c r="AY186" s="168">
        <f>Model!AY147</f>
        <v>42.116000000000035</v>
      </c>
      <c r="AZ186" s="168">
        <f>Model!AZ147</f>
        <v>39.000000000000007</v>
      </c>
      <c r="BA186" s="168">
        <f>Model!BA147</f>
        <v>74.877999999999986</v>
      </c>
      <c r="BB186" s="168">
        <f>Model!BB147</f>
        <v>65.188999999999936</v>
      </c>
      <c r="BC186" s="168">
        <f>SUM(AY186:BB186)</f>
        <v>221.18299999999996</v>
      </c>
      <c r="BD186" s="90"/>
      <c r="BE186" s="168">
        <f>Model!BE147</f>
        <v>77.799999999999969</v>
      </c>
      <c r="BF186" s="168">
        <f>Model!BF147</f>
        <v>76.69999999999996</v>
      </c>
      <c r="BG186" s="168">
        <f>Model!BG147</f>
        <v>95.700000000000017</v>
      </c>
      <c r="BH186" s="168">
        <f>Model!BH147</f>
        <v>83.4</v>
      </c>
      <c r="BI186" s="168">
        <f>Model!BI147</f>
        <v>333.59999999999997</v>
      </c>
      <c r="BJ186" s="90"/>
      <c r="BK186" s="242">
        <f>Model!BK147</f>
        <v>48.499999999999979</v>
      </c>
      <c r="BL186" s="242">
        <f>Model!BL147</f>
        <v>86.800000000000011</v>
      </c>
      <c r="BM186" s="242">
        <f>Model!BM147</f>
        <v>57.999999999999979</v>
      </c>
      <c r="BN186" s="242">
        <f>Model!BN147</f>
        <v>96.4</v>
      </c>
      <c r="BO186" s="242">
        <f>Model!BO147</f>
        <v>289.69999999999993</v>
      </c>
      <c r="BP186" s="90"/>
      <c r="BQ186" s="242"/>
      <c r="BR186" s="242"/>
      <c r="BS186" s="242"/>
      <c r="BT186" s="242"/>
      <c r="BU186" s="242"/>
      <c r="BV186" s="90"/>
      <c r="BW186" s="242"/>
      <c r="BX186" s="242"/>
      <c r="BY186" s="242"/>
      <c r="BZ186" s="242"/>
      <c r="CA186" s="242"/>
      <c r="CB186" s="90"/>
      <c r="CC186" s="242"/>
      <c r="CD186" s="242"/>
      <c r="CE186" s="242"/>
      <c r="CF186" s="242"/>
      <c r="CG186" s="242"/>
      <c r="CH186" s="90"/>
      <c r="CI186" s="242"/>
      <c r="CJ186" s="242"/>
      <c r="CK186" s="242"/>
      <c r="CL186" s="242"/>
      <c r="CM186" s="242"/>
      <c r="CN186" s="90"/>
      <c r="CO186" s="242"/>
      <c r="CP186" s="242"/>
      <c r="CQ186" s="242"/>
      <c r="CR186" s="242"/>
      <c r="CS186" s="242"/>
      <c r="CT186" s="90"/>
      <c r="CU186" s="242"/>
      <c r="CV186" s="242"/>
      <c r="CW186" s="242"/>
      <c r="CX186" s="242"/>
      <c r="CY186" s="242"/>
      <c r="CZ186" s="90"/>
      <c r="DA186" s="242"/>
      <c r="DB186" s="242"/>
      <c r="DC186" s="242"/>
      <c r="DD186" s="242"/>
      <c r="DE186" s="242"/>
      <c r="DF186" s="90"/>
      <c r="DG186" s="242"/>
      <c r="DH186" s="242"/>
      <c r="DI186" s="242"/>
      <c r="DJ186" s="242"/>
      <c r="DK186" s="242"/>
      <c r="DL186" s="90"/>
      <c r="DM186" s="242"/>
      <c r="DN186" s="242"/>
      <c r="DO186" s="242"/>
      <c r="DP186" s="242"/>
      <c r="DQ186" s="242"/>
      <c r="DR186" s="90"/>
      <c r="DS186" s="242"/>
      <c r="DT186" s="242"/>
      <c r="DU186" s="242"/>
      <c r="DV186" s="242"/>
      <c r="DW186" s="242"/>
      <c r="DX186" s="90"/>
      <c r="DY186" s="242"/>
      <c r="DZ186" s="242"/>
      <c r="EA186" s="242"/>
      <c r="EB186" s="242"/>
      <c r="EC186" s="242"/>
      <c r="ED186" s="90"/>
      <c r="EE186" s="242"/>
      <c r="EF186" s="242"/>
      <c r="EG186" s="242"/>
      <c r="EH186" s="242"/>
      <c r="EI186" s="242"/>
      <c r="EJ186" s="90"/>
      <c r="EK186" s="242"/>
      <c r="EL186" s="242"/>
      <c r="EM186" s="242"/>
      <c r="EN186" s="242"/>
      <c r="EO186" s="242"/>
      <c r="EP186" s="90"/>
      <c r="EQ186" s="242"/>
      <c r="ER186" s="242"/>
      <c r="ES186" s="242"/>
      <c r="ET186" s="242"/>
      <c r="EU186" s="242"/>
      <c r="EV186" s="90"/>
      <c r="EW186" s="90"/>
      <c r="EX186" s="90"/>
      <c r="EY186" s="90"/>
      <c r="EZ186" s="90"/>
      <c r="FA186" s="90"/>
      <c r="FB186" s="90"/>
    </row>
    <row r="187" spans="1:158" hidden="1">
      <c r="A187" s="179" t="s">
        <v>1600</v>
      </c>
      <c r="B187" s="32"/>
      <c r="C187" s="90"/>
      <c r="D187" s="90"/>
      <c r="E187" s="90"/>
      <c r="F187" s="90"/>
      <c r="G187" s="61"/>
      <c r="H187" s="90"/>
      <c r="I187" s="90"/>
      <c r="J187" s="90"/>
      <c r="K187" s="90"/>
      <c r="L187" s="90"/>
      <c r="M187" s="90"/>
      <c r="N187" s="90"/>
      <c r="O187" s="168">
        <f>Model!O163</f>
        <v>0</v>
      </c>
      <c r="P187" s="168">
        <f>Model!P163</f>
        <v>0</v>
      </c>
      <c r="Q187" s="168">
        <f>Model!Q163</f>
        <v>0</v>
      </c>
      <c r="R187" s="168">
        <f>Model!R163</f>
        <v>0</v>
      </c>
      <c r="S187" s="168">
        <f>SUM(O187:R187)</f>
        <v>0</v>
      </c>
      <c r="T187" s="90"/>
      <c r="U187" s="168">
        <f>Model!U163</f>
        <v>0</v>
      </c>
      <c r="V187" s="168">
        <f>Model!V163</f>
        <v>0</v>
      </c>
      <c r="W187" s="168">
        <f>Model!W163</f>
        <v>0</v>
      </c>
      <c r="X187" s="168">
        <f>Model!X163</f>
        <v>0</v>
      </c>
      <c r="Y187" s="168">
        <f>SUM(U187:X187)</f>
        <v>0</v>
      </c>
      <c r="Z187" s="90"/>
      <c r="AA187" s="168">
        <f>Model!AA163</f>
        <v>0</v>
      </c>
      <c r="AB187" s="168">
        <f>Model!AB163</f>
        <v>0</v>
      </c>
      <c r="AC187" s="168">
        <f>Model!AC163</f>
        <v>0</v>
      </c>
      <c r="AD187" s="168">
        <f>Model!AD163</f>
        <v>0</v>
      </c>
      <c r="AE187" s="168">
        <f>SUM(AA187:AD187)</f>
        <v>0</v>
      </c>
      <c r="AF187" s="168"/>
      <c r="AG187" s="168">
        <f>Model!AG163</f>
        <v>0</v>
      </c>
      <c r="AH187" s="168">
        <f>Model!AH163</f>
        <v>0</v>
      </c>
      <c r="AI187" s="168">
        <f>Model!AI163</f>
        <v>0</v>
      </c>
      <c r="AJ187" s="168">
        <f>Model!AJ163</f>
        <v>0</v>
      </c>
      <c r="AK187" s="168">
        <f>SUM(AG187:AJ187)</f>
        <v>0</v>
      </c>
      <c r="AL187" s="168"/>
      <c r="AM187" s="168">
        <f>Model!AM163</f>
        <v>3.7020000000000213</v>
      </c>
      <c r="AN187" s="168">
        <f>Model!AN163</f>
        <v>1.7910000000000146</v>
      </c>
      <c r="AO187" s="168">
        <f>Model!AO163</f>
        <v>-17.183000000000028</v>
      </c>
      <c r="AP187" s="168">
        <f>Model!AP163</f>
        <v>-7.1149999999999851</v>
      </c>
      <c r="AQ187" s="168">
        <f>SUM(AM187:AP187)</f>
        <v>-18.804999999999978</v>
      </c>
      <c r="AR187" s="168"/>
      <c r="AS187" s="168">
        <f>Model!AS163</f>
        <v>-3.9510000000000005</v>
      </c>
      <c r="AT187" s="168">
        <f>Model!AT163</f>
        <v>23.874999999999979</v>
      </c>
      <c r="AU187" s="168">
        <f>Model!AU163</f>
        <v>12.022999999999996</v>
      </c>
      <c r="AV187" s="168">
        <f>Model!AV163</f>
        <v>40.866000000000071</v>
      </c>
      <c r="AW187" s="168">
        <f>SUM(AS187:AV187)</f>
        <v>72.813000000000045</v>
      </c>
      <c r="AX187" s="168"/>
      <c r="AY187" s="168">
        <f>Model!AY163</f>
        <v>29.745000000000033</v>
      </c>
      <c r="AZ187" s="168">
        <f>Model!AZ163</f>
        <v>25.89200000000001</v>
      </c>
      <c r="BA187" s="168">
        <f>Model!BA163</f>
        <v>60.341999999999985</v>
      </c>
      <c r="BB187" s="168">
        <f>Model!BB163</f>
        <v>46.754999999999932</v>
      </c>
      <c r="BC187" s="168">
        <f>SUM(AY187:BB187)</f>
        <v>162.73399999999995</v>
      </c>
      <c r="BD187" s="90"/>
      <c r="BE187" s="168">
        <f>Model!BE163</f>
        <v>58.765999999999977</v>
      </c>
      <c r="BF187" s="168">
        <f>Model!BF163</f>
        <v>58.535999999999959</v>
      </c>
      <c r="BG187" s="168">
        <f>Model!BG163</f>
        <v>79.356000000000009</v>
      </c>
      <c r="BH187" s="168">
        <f>Model!BH163</f>
        <v>65.542000000000002</v>
      </c>
      <c r="BI187" s="168">
        <f>Model!BI163</f>
        <v>262.19999999999993</v>
      </c>
      <c r="BJ187" s="90"/>
      <c r="BK187" s="242">
        <f>Model!BK163</f>
        <v>0</v>
      </c>
      <c r="BL187" s="242">
        <f>Model!BL163</f>
        <v>0</v>
      </c>
      <c r="BM187" s="242">
        <f>Model!BM163</f>
        <v>0</v>
      </c>
      <c r="BN187" s="242">
        <f>Model!BN163</f>
        <v>0</v>
      </c>
      <c r="BO187" s="242">
        <f>Model!BO163</f>
        <v>0</v>
      </c>
      <c r="BP187" s="90"/>
      <c r="BQ187" s="242"/>
      <c r="BR187" s="242"/>
      <c r="BS187" s="242"/>
      <c r="BT187" s="242"/>
      <c r="BU187" s="242"/>
      <c r="BV187" s="90"/>
      <c r="BW187" s="242"/>
      <c r="BX187" s="242"/>
      <c r="BY187" s="242"/>
      <c r="BZ187" s="242"/>
      <c r="CA187" s="242"/>
      <c r="CB187" s="90"/>
      <c r="CC187" s="242"/>
      <c r="CD187" s="242"/>
      <c r="CE187" s="242"/>
      <c r="CF187" s="242"/>
      <c r="CG187" s="242"/>
      <c r="CH187" s="90"/>
      <c r="CI187" s="242"/>
      <c r="CJ187" s="242"/>
      <c r="CK187" s="242"/>
      <c r="CL187" s="242"/>
      <c r="CM187" s="242"/>
      <c r="CN187" s="90"/>
      <c r="CO187" s="242"/>
      <c r="CP187" s="242"/>
      <c r="CQ187" s="242"/>
      <c r="CR187" s="242"/>
      <c r="CS187" s="242"/>
      <c r="CT187" s="90"/>
      <c r="CU187" s="242"/>
      <c r="CV187" s="242"/>
      <c r="CW187" s="242"/>
      <c r="CX187" s="242"/>
      <c r="CY187" s="242"/>
      <c r="CZ187" s="90"/>
      <c r="DA187" s="242"/>
      <c r="DB187" s="242"/>
      <c r="DC187" s="242"/>
      <c r="DD187" s="242"/>
      <c r="DE187" s="242"/>
      <c r="DF187" s="90"/>
      <c r="DG187" s="242"/>
      <c r="DH187" s="242"/>
      <c r="DI187" s="242"/>
      <c r="DJ187" s="242"/>
      <c r="DK187" s="242"/>
      <c r="DL187" s="90"/>
      <c r="DM187" s="242"/>
      <c r="DN187" s="242"/>
      <c r="DO187" s="242"/>
      <c r="DP187" s="242"/>
      <c r="DQ187" s="242"/>
      <c r="DR187" s="90"/>
      <c r="DS187" s="242"/>
      <c r="DT187" s="242"/>
      <c r="DU187" s="242"/>
      <c r="DV187" s="242"/>
      <c r="DW187" s="242"/>
      <c r="DX187" s="90"/>
      <c r="DY187" s="242"/>
      <c r="DZ187" s="242"/>
      <c r="EA187" s="242"/>
      <c r="EB187" s="242"/>
      <c r="EC187" s="242"/>
      <c r="ED187" s="90"/>
      <c r="EE187" s="242"/>
      <c r="EF187" s="242"/>
      <c r="EG187" s="242"/>
      <c r="EH187" s="242"/>
      <c r="EI187" s="242"/>
      <c r="EJ187" s="90"/>
      <c r="EK187" s="242"/>
      <c r="EL187" s="242"/>
      <c r="EM187" s="242"/>
      <c r="EN187" s="242"/>
      <c r="EO187" s="242"/>
      <c r="EP187" s="90"/>
      <c r="EQ187" s="242"/>
      <c r="ER187" s="242"/>
      <c r="ES187" s="242"/>
      <c r="ET187" s="242"/>
      <c r="EU187" s="242"/>
      <c r="EV187" s="90"/>
      <c r="EW187" s="90"/>
      <c r="EX187" s="90"/>
      <c r="EY187" s="90"/>
      <c r="EZ187" s="90"/>
      <c r="FA187" s="90"/>
      <c r="FB187" s="90"/>
    </row>
    <row r="188" spans="1:158" hidden="1">
      <c r="A188" s="179" t="s">
        <v>6304</v>
      </c>
      <c r="B188" s="32"/>
      <c r="C188" s="90"/>
      <c r="D188" s="90"/>
      <c r="E188" s="90"/>
      <c r="F188" s="90"/>
      <c r="G188" s="61"/>
      <c r="H188" s="90"/>
      <c r="I188" s="90"/>
      <c r="J188" s="90"/>
      <c r="K188" s="69"/>
      <c r="L188" s="69"/>
      <c r="M188" s="69"/>
      <c r="N188" s="69"/>
      <c r="O188" s="276">
        <f>O186-O187</f>
        <v>28.733000000000025</v>
      </c>
      <c r="P188" s="276">
        <f>P186-P187</f>
        <v>27.530000000000005</v>
      </c>
      <c r="Q188" s="276">
        <f>Q186-Q187</f>
        <v>17.624000000000013</v>
      </c>
      <c r="R188" s="276">
        <f>R186-R187</f>
        <v>23.245000000000008</v>
      </c>
      <c r="S188" s="168">
        <f>SUM(O188:R188)</f>
        <v>97.132000000000048</v>
      </c>
      <c r="T188" s="69"/>
      <c r="U188" s="276">
        <f>U186-U187</f>
        <v>-17.143999999999995</v>
      </c>
      <c r="V188" s="276">
        <f>V186-V187</f>
        <v>0.38899999999998763</v>
      </c>
      <c r="W188" s="276">
        <f>W186-W187</f>
        <v>1.3930000000000229</v>
      </c>
      <c r="X188" s="276">
        <f>X186-X187</f>
        <v>25.172000000000011</v>
      </c>
      <c r="Y188" s="168">
        <f>SUM(U188:X188)</f>
        <v>9.8100000000000271</v>
      </c>
      <c r="Z188" s="69"/>
      <c r="AA188" s="276">
        <f>AA186-AA187</f>
        <v>25.605999999999973</v>
      </c>
      <c r="AB188" s="276">
        <f>AB186-AB187</f>
        <v>20.753000000000021</v>
      </c>
      <c r="AC188" s="276">
        <f>AC186-AC187</f>
        <v>18.51100000000001</v>
      </c>
      <c r="AD188" s="276">
        <f>AD186-AD187</f>
        <v>28.362999999999996</v>
      </c>
      <c r="AE188" s="168">
        <f>SUM(AA188:AD188)</f>
        <v>93.233000000000004</v>
      </c>
      <c r="AF188" s="276"/>
      <c r="AG188" s="276">
        <f>AG186-AG187</f>
        <v>27.899999999999956</v>
      </c>
      <c r="AH188" s="276">
        <f>AH186-AH187</f>
        <v>19.172999999999988</v>
      </c>
      <c r="AI188" s="276">
        <f>AI186-AI187</f>
        <v>21.470999999999989</v>
      </c>
      <c r="AJ188" s="276">
        <f>AJ186-AJ187</f>
        <v>21.76900000000003</v>
      </c>
      <c r="AK188" s="168">
        <f>SUM(AG188:AJ188)</f>
        <v>90.31299999999996</v>
      </c>
      <c r="AL188" s="276"/>
      <c r="AM188" s="276">
        <f>AM186-AM187</f>
        <v>13.938999999999998</v>
      </c>
      <c r="AN188" s="276">
        <f>AN186-AN187</f>
        <v>9.9690000000000012</v>
      </c>
      <c r="AO188" s="276">
        <f>AO186-AO187</f>
        <v>13.273000000000003</v>
      </c>
      <c r="AP188" s="276">
        <f>AP186-AP187</f>
        <v>13.527999999999997</v>
      </c>
      <c r="AQ188" s="168">
        <f>SUM(AM188:AP188)</f>
        <v>50.709000000000003</v>
      </c>
      <c r="AR188" s="276"/>
      <c r="AS188" s="276">
        <f>AS186-AS187</f>
        <v>11.459</v>
      </c>
      <c r="AT188" s="276">
        <f>AT186-AT187</f>
        <v>8.7269999999999968</v>
      </c>
      <c r="AU188" s="276">
        <f>AU186-AU187</f>
        <v>10.583000000000002</v>
      </c>
      <c r="AV188" s="276">
        <f>AV186-AV187</f>
        <v>16.734000000000009</v>
      </c>
      <c r="AW188" s="168">
        <f>SUM(AS188:AV188)</f>
        <v>47.503000000000007</v>
      </c>
      <c r="AX188" s="276"/>
      <c r="AY188" s="276">
        <f>AY186-AY187</f>
        <v>12.371000000000002</v>
      </c>
      <c r="AZ188" s="276">
        <f>AZ186-AZ187</f>
        <v>13.107999999999997</v>
      </c>
      <c r="BA188" s="276">
        <f>BA186-BA187</f>
        <v>14.536000000000001</v>
      </c>
      <c r="BB188" s="276">
        <f>BB186-BB187</f>
        <v>18.434000000000005</v>
      </c>
      <c r="BC188" s="168">
        <f>SUM(AY188:BB188)</f>
        <v>58.449000000000005</v>
      </c>
      <c r="BD188" s="90"/>
      <c r="BE188" s="276">
        <f>BE186-BE187</f>
        <v>19.033999999999992</v>
      </c>
      <c r="BF188" s="276">
        <f>-Model!BF162</f>
        <v>18.266999999999999</v>
      </c>
      <c r="BG188" s="276">
        <f>-Model!BG162</f>
        <v>16.45</v>
      </c>
      <c r="BH188" s="276">
        <f>-Model!BH162</f>
        <v>17.944000000000003</v>
      </c>
      <c r="BI188" s="276">
        <f>-Model!BI162</f>
        <v>71.8</v>
      </c>
      <c r="BJ188" s="90"/>
      <c r="BK188" s="254">
        <f>Model!BK168</f>
        <v>21.140999999999998</v>
      </c>
      <c r="BL188" s="254">
        <f>Model!BL168</f>
        <v>20.7</v>
      </c>
      <c r="BM188" s="254">
        <f>Model!BM168</f>
        <v>34.200000000000003</v>
      </c>
      <c r="BN188" s="254">
        <f>Model!BN168</f>
        <v>17.7</v>
      </c>
      <c r="BO188" s="254">
        <f>Model!BO168</f>
        <v>93.741</v>
      </c>
      <c r="BP188" s="90"/>
      <c r="BQ188" s="254"/>
      <c r="BR188" s="254"/>
      <c r="BS188" s="254"/>
      <c r="BT188" s="254"/>
      <c r="BU188" s="254"/>
      <c r="BV188" s="90"/>
      <c r="BW188" s="254"/>
      <c r="BX188" s="254"/>
      <c r="BY188" s="254"/>
      <c r="BZ188" s="254"/>
      <c r="CA188" s="254"/>
      <c r="CB188" s="90"/>
      <c r="CC188" s="254"/>
      <c r="CD188" s="254"/>
      <c r="CE188" s="254"/>
      <c r="CF188" s="254"/>
      <c r="CG188" s="254"/>
      <c r="CH188" s="90"/>
      <c r="CI188" s="254"/>
      <c r="CJ188" s="254"/>
      <c r="CK188" s="254"/>
      <c r="CL188" s="254"/>
      <c r="CM188" s="254"/>
      <c r="CN188" s="90"/>
      <c r="CO188" s="254"/>
      <c r="CP188" s="254"/>
      <c r="CQ188" s="254"/>
      <c r="CR188" s="254"/>
      <c r="CS188" s="254"/>
      <c r="CT188" s="90"/>
      <c r="CU188" s="254"/>
      <c r="CV188" s="254"/>
      <c r="CW188" s="254"/>
      <c r="CX188" s="254"/>
      <c r="CY188" s="254"/>
      <c r="CZ188" s="90"/>
      <c r="DA188" s="254"/>
      <c r="DB188" s="254"/>
      <c r="DC188" s="254"/>
      <c r="DD188" s="254"/>
      <c r="DE188" s="254"/>
      <c r="DF188" s="90"/>
      <c r="DG188" s="254"/>
      <c r="DH188" s="254"/>
      <c r="DI188" s="254"/>
      <c r="DJ188" s="254"/>
      <c r="DK188" s="254"/>
      <c r="DL188" s="90"/>
      <c r="DM188" s="254"/>
      <c r="DN188" s="254"/>
      <c r="DO188" s="254"/>
      <c r="DP188" s="254"/>
      <c r="DQ188" s="254"/>
      <c r="DR188" s="90"/>
      <c r="DS188" s="254"/>
      <c r="DT188" s="254"/>
      <c r="DU188" s="254"/>
      <c r="DV188" s="254"/>
      <c r="DW188" s="254"/>
      <c r="DX188" s="90"/>
      <c r="DY188" s="254"/>
      <c r="DZ188" s="254"/>
      <c r="EA188" s="254"/>
      <c r="EB188" s="254"/>
      <c r="EC188" s="254"/>
      <c r="ED188" s="90"/>
      <c r="EE188" s="254"/>
      <c r="EF188" s="254"/>
      <c r="EG188" s="254"/>
      <c r="EH188" s="254"/>
      <c r="EI188" s="254"/>
      <c r="EJ188" s="90"/>
      <c r="EK188" s="254"/>
      <c r="EL188" s="254"/>
      <c r="EM188" s="254"/>
      <c r="EN188" s="254"/>
      <c r="EO188" s="254"/>
      <c r="EP188" s="90"/>
      <c r="EQ188" s="254"/>
      <c r="ER188" s="254"/>
      <c r="ES188" s="254"/>
      <c r="ET188" s="254"/>
      <c r="EU188" s="254"/>
      <c r="EV188" s="90"/>
      <c r="EW188" s="90"/>
      <c r="EX188" s="90"/>
      <c r="EY188" s="90"/>
      <c r="EZ188" s="90"/>
      <c r="FA188" s="90"/>
      <c r="FB188" s="90"/>
    </row>
    <row r="189" spans="1:158" hidden="1">
      <c r="A189" s="90" t="s">
        <v>6305</v>
      </c>
      <c r="B189" s="32"/>
      <c r="C189" s="90"/>
      <c r="D189" s="90"/>
      <c r="E189" s="90"/>
      <c r="F189" s="90"/>
      <c r="G189" s="61"/>
      <c r="H189" s="90"/>
      <c r="I189" s="90"/>
      <c r="J189" s="90"/>
      <c r="K189" s="69"/>
      <c r="L189" s="69"/>
      <c r="M189" s="69"/>
      <c r="N189" s="69"/>
      <c r="O189" s="276">
        <f>O185-O188</f>
        <v>4.9570000000000007</v>
      </c>
      <c r="P189" s="276">
        <f>P185-P188</f>
        <v>10.858000000000001</v>
      </c>
      <c r="Q189" s="276">
        <f>Q185-Q188</f>
        <v>6.3810000000000002</v>
      </c>
      <c r="R189" s="276">
        <f>R185-R188</f>
        <v>5.6529999999999951</v>
      </c>
      <c r="S189" s="276">
        <f>S185-S188</f>
        <v>27.849000000000004</v>
      </c>
      <c r="T189" s="69"/>
      <c r="U189" s="276">
        <f>U185-U188</f>
        <v>26.195999999999998</v>
      </c>
      <c r="V189" s="276">
        <f>V185-V188</f>
        <v>5.2990000000000004</v>
      </c>
      <c r="W189" s="276">
        <f>W185-W188</f>
        <v>15.2866</v>
      </c>
      <c r="X189" s="276">
        <f>X185-X188</f>
        <v>4.0970000000000013</v>
      </c>
      <c r="Y189" s="276">
        <f>Y185-Y188</f>
        <v>50.878599999999992</v>
      </c>
      <c r="Z189" s="69"/>
      <c r="AA189" s="276">
        <f>AA185-AA188</f>
        <v>4.5550000000000033</v>
      </c>
      <c r="AB189" s="276">
        <f>AB185-AB188</f>
        <v>4.5750000000000028</v>
      </c>
      <c r="AC189" s="276">
        <f>AC185-AC188</f>
        <v>3.3459999999999965</v>
      </c>
      <c r="AD189" s="276">
        <f>AD185-AD188</f>
        <v>3.6960000000000015</v>
      </c>
      <c r="AE189" s="276">
        <f>AE185-AE188</f>
        <v>16.171999999999997</v>
      </c>
      <c r="AF189" s="276"/>
      <c r="AG189" s="276">
        <f>AG185-AG188</f>
        <v>3.6670000000000016</v>
      </c>
      <c r="AH189" s="276">
        <f>AH185-AH188</f>
        <v>10.463000000000001</v>
      </c>
      <c r="AI189" s="276">
        <f>AI185-AI188</f>
        <v>-0.71999999999999886</v>
      </c>
      <c r="AJ189" s="276">
        <f>AJ185-AJ188</f>
        <v>15.252999999999997</v>
      </c>
      <c r="AK189" s="276">
        <f>AK185-AK188</f>
        <v>28.663000000000011</v>
      </c>
      <c r="AL189" s="276"/>
      <c r="AM189" s="276">
        <f>AM185-AM188</f>
        <v>4.7730000000000192</v>
      </c>
      <c r="AN189" s="276">
        <f>AN185-AN188</f>
        <v>4.5050000000000132</v>
      </c>
      <c r="AO189" s="276">
        <f>AO185-AO188</f>
        <v>-7.4910000000000299</v>
      </c>
      <c r="AP189" s="276">
        <f>AP185-AP188</f>
        <v>-5.598999999999986</v>
      </c>
      <c r="AQ189" s="276">
        <f>AQ185-AQ188</f>
        <v>-3.8119999999999834</v>
      </c>
      <c r="AR189" s="276"/>
      <c r="AS189" s="276">
        <f>AS185-AS188</f>
        <v>-3.9510000000000005</v>
      </c>
      <c r="AT189" s="276">
        <f>AT185-AT188</f>
        <v>4.2009999999999774</v>
      </c>
      <c r="AU189" s="276">
        <f>AU185-AU188</f>
        <v>12.022999999999996</v>
      </c>
      <c r="AV189" s="276">
        <f>AV185-AV188</f>
        <v>36.271000000000058</v>
      </c>
      <c r="AW189" s="276">
        <f>AW185-AW188</f>
        <v>48.544000000000032</v>
      </c>
      <c r="AX189" s="276"/>
      <c r="AY189" s="276">
        <f>AY185-AY188</f>
        <v>39.445000000000029</v>
      </c>
      <c r="AZ189" s="276">
        <f>AZ185-AZ188</f>
        <v>32.492000000000012</v>
      </c>
      <c r="BA189" s="276">
        <f>BA185-BA188</f>
        <v>33.763999999999989</v>
      </c>
      <c r="BB189" s="276">
        <f>BB185-BB188</f>
        <v>57.465999999999944</v>
      </c>
      <c r="BC189" s="276">
        <f>BC185-BC188</f>
        <v>163.16699999999997</v>
      </c>
      <c r="BD189" s="90"/>
      <c r="BE189" s="276">
        <f>BE185-BE188</f>
        <v>58.265999999999977</v>
      </c>
      <c r="BF189" s="276">
        <f>BF185-BF188</f>
        <v>57.432999999999964</v>
      </c>
      <c r="BG189" s="276">
        <f>BG185-BG188</f>
        <v>62.550000000000011</v>
      </c>
      <c r="BH189" s="276">
        <f>BH185-BH188</f>
        <v>74.956000000000003</v>
      </c>
      <c r="BI189" s="276">
        <f>BI185-BI188</f>
        <v>253.09999999999997</v>
      </c>
      <c r="BJ189" s="90"/>
      <c r="BK189" s="254">
        <f>BK185-BK188</f>
        <v>58.830999999999996</v>
      </c>
      <c r="BL189" s="254">
        <f>BL185-BL188</f>
        <v>75.000000000000014</v>
      </c>
      <c r="BM189" s="254">
        <f>BM185-BM188</f>
        <v>52.09999999999998</v>
      </c>
      <c r="BN189" s="254">
        <f>BN185-BN188</f>
        <v>95</v>
      </c>
      <c r="BO189" s="254">
        <f>BO185-BO188</f>
        <v>280.93099999999998</v>
      </c>
      <c r="BP189" s="90"/>
      <c r="BQ189" s="254"/>
      <c r="BR189" s="254"/>
      <c r="BS189" s="254"/>
      <c r="BT189" s="254"/>
      <c r="BU189" s="254"/>
      <c r="BV189" s="90"/>
      <c r="BW189" s="254"/>
      <c r="BX189" s="254"/>
      <c r="BY189" s="254"/>
      <c r="BZ189" s="254"/>
      <c r="CA189" s="254"/>
      <c r="CB189" s="90"/>
      <c r="CC189" s="254"/>
      <c r="CD189" s="254"/>
      <c r="CE189" s="254"/>
      <c r="CF189" s="254"/>
      <c r="CG189" s="254"/>
      <c r="CH189" s="90"/>
      <c r="CI189" s="254"/>
      <c r="CJ189" s="254"/>
      <c r="CK189" s="254"/>
      <c r="CL189" s="254"/>
      <c r="CM189" s="254"/>
      <c r="CN189" s="90"/>
      <c r="CO189" s="254"/>
      <c r="CP189" s="254"/>
      <c r="CQ189" s="254"/>
      <c r="CR189" s="254"/>
      <c r="CS189" s="254"/>
      <c r="CT189" s="90"/>
      <c r="CU189" s="254"/>
      <c r="CV189" s="254"/>
      <c r="CW189" s="254"/>
      <c r="CX189" s="254"/>
      <c r="CY189" s="254"/>
      <c r="CZ189" s="90"/>
      <c r="DA189" s="254"/>
      <c r="DB189" s="254"/>
      <c r="DC189" s="254"/>
      <c r="DD189" s="254"/>
      <c r="DE189" s="254"/>
      <c r="DF189" s="90"/>
      <c r="DG189" s="254"/>
      <c r="DH189" s="254"/>
      <c r="DI189" s="254"/>
      <c r="DJ189" s="254"/>
      <c r="DK189" s="254"/>
      <c r="DL189" s="90"/>
      <c r="DM189" s="254"/>
      <c r="DN189" s="254"/>
      <c r="DO189" s="254"/>
      <c r="DP189" s="254"/>
      <c r="DQ189" s="254"/>
      <c r="DR189" s="90"/>
      <c r="DS189" s="254"/>
      <c r="DT189" s="254"/>
      <c r="DU189" s="254"/>
      <c r="DV189" s="254"/>
      <c r="DW189" s="254"/>
      <c r="DX189" s="90"/>
      <c r="DY189" s="254"/>
      <c r="DZ189" s="254"/>
      <c r="EA189" s="254"/>
      <c r="EB189" s="254"/>
      <c r="EC189" s="254"/>
      <c r="ED189" s="90"/>
      <c r="EE189" s="254"/>
      <c r="EF189" s="254"/>
      <c r="EG189" s="254"/>
      <c r="EH189" s="254"/>
      <c r="EI189" s="254"/>
      <c r="EJ189" s="90"/>
      <c r="EK189" s="254"/>
      <c r="EL189" s="254"/>
      <c r="EM189" s="254"/>
      <c r="EN189" s="254"/>
      <c r="EO189" s="254"/>
      <c r="EP189" s="90"/>
      <c r="EQ189" s="254"/>
      <c r="ER189" s="254"/>
      <c r="ES189" s="254"/>
      <c r="ET189" s="254"/>
      <c r="EU189" s="254"/>
      <c r="EV189" s="90"/>
      <c r="EW189" s="90"/>
      <c r="EX189" s="90"/>
      <c r="EY189" s="90"/>
      <c r="EZ189" s="90"/>
      <c r="FA189" s="90"/>
      <c r="FB189" s="90"/>
    </row>
    <row r="190" spans="1:158" hidden="1">
      <c r="A190" s="180" t="s">
        <v>6029</v>
      </c>
      <c r="B190" s="32"/>
      <c r="C190" s="90"/>
      <c r="D190" s="90"/>
      <c r="E190" s="90"/>
      <c r="F190" s="90"/>
      <c r="G190" s="61"/>
      <c r="H190" s="90"/>
      <c r="I190" s="90"/>
      <c r="J190" s="90"/>
      <c r="K190" s="69"/>
      <c r="L190" s="69"/>
      <c r="M190" s="69"/>
      <c r="N190" s="69"/>
      <c r="O190" s="116">
        <f>O188/O185</f>
        <v>0.85286435143959638</v>
      </c>
      <c r="P190" s="116">
        <f>P188/P185</f>
        <v>0.71715119308117126</v>
      </c>
      <c r="Q190" s="116">
        <f>Q188/Q185</f>
        <v>0.73418037908769018</v>
      </c>
      <c r="R190" s="116">
        <f>R188/R185</f>
        <v>0.80438092601564137</v>
      </c>
      <c r="S190" s="116">
        <f>S188/S185</f>
        <v>0.77717413046783113</v>
      </c>
      <c r="T190" s="69"/>
      <c r="U190" s="116">
        <f>U188/U185</f>
        <v>-1.8939460892620403</v>
      </c>
      <c r="V190" s="116">
        <f>V188/V185</f>
        <v>6.8389592123767301E-2</v>
      </c>
      <c r="W190" s="116">
        <f>W188/W185</f>
        <v>8.3515192210845648E-2</v>
      </c>
      <c r="X190" s="116">
        <f>X188/X185</f>
        <v>0.86002254945505485</v>
      </c>
      <c r="Y190" s="116">
        <f>Y188/Y185</f>
        <v>0.16164485587078997</v>
      </c>
      <c r="Z190" s="69"/>
      <c r="AA190" s="116">
        <f>AA188/AA185</f>
        <v>0.84897715592984291</v>
      </c>
      <c r="AB190" s="116">
        <f>AB188/AB185</f>
        <v>0.81936986734049277</v>
      </c>
      <c r="AC190" s="116">
        <f>AC188/AC185</f>
        <v>0.84691403211785721</v>
      </c>
      <c r="AD190" s="116">
        <f>AD188/AD185</f>
        <v>0.88471256121525932</v>
      </c>
      <c r="AE190" s="116">
        <f>AE188/AE185</f>
        <v>0.85218225858050367</v>
      </c>
      <c r="AF190" s="116"/>
      <c r="AG190" s="116">
        <f>AG188/AG185</f>
        <v>0.88383438400861636</v>
      </c>
      <c r="AH190" s="116">
        <f>AH188/AH185</f>
        <v>0.64694965582399766</v>
      </c>
      <c r="AI190" s="116">
        <f>AI188/AI185</f>
        <v>1.0346971230302153</v>
      </c>
      <c r="AJ190" s="116">
        <f>AJ188/AJ185</f>
        <v>0.5880017287018533</v>
      </c>
      <c r="AK190" s="116">
        <f>AK188/AK185</f>
        <v>0.75908586605701978</v>
      </c>
      <c r="AL190" s="116"/>
      <c r="AM190" s="116">
        <f>AM188/AM185</f>
        <v>0.74492304403591203</v>
      </c>
      <c r="AN190" s="116">
        <f>AN188/AN185</f>
        <v>0.68875224540555413</v>
      </c>
      <c r="AO190" s="116">
        <f>AO188/AO185</f>
        <v>2.2955724662746566</v>
      </c>
      <c r="AP190" s="116">
        <f>AP188/AP185</f>
        <v>1.7061420103417806</v>
      </c>
      <c r="AQ190" s="116">
        <f>AQ188/AQ185</f>
        <v>1.0812845171332917</v>
      </c>
      <c r="AR190" s="116"/>
      <c r="AS190" s="116">
        <f>AS188/AS185</f>
        <v>1.5262386787426747</v>
      </c>
      <c r="AT190" s="116">
        <f>AT188/AT185</f>
        <v>0.67504641089109019</v>
      </c>
      <c r="AU190" s="116">
        <f>AU188/AU185</f>
        <v>0.46815004865964799</v>
      </c>
      <c r="AV190" s="116">
        <f>AV188/AV185</f>
        <v>0.31570606546552188</v>
      </c>
      <c r="AW190" s="116">
        <f>AW188/AW185</f>
        <v>0.49458077816069201</v>
      </c>
      <c r="AX190" s="116"/>
      <c r="AY190" s="116">
        <f>AY188/AY185</f>
        <v>0.23874864906592549</v>
      </c>
      <c r="AZ190" s="116">
        <f>AZ188/AZ185</f>
        <v>0.28745614035087708</v>
      </c>
      <c r="BA190" s="116">
        <f>BA188/BA185</f>
        <v>0.30095238095238103</v>
      </c>
      <c r="BB190" s="116">
        <f>BB188/BB185</f>
        <v>0.24287220026350484</v>
      </c>
      <c r="BC190" s="116">
        <f>BC188/BC185</f>
        <v>0.26373998267273124</v>
      </c>
      <c r="BD190" s="90"/>
      <c r="BE190" s="116">
        <f>BE188/BE185</f>
        <v>0.24623544631306596</v>
      </c>
      <c r="BF190" s="116">
        <f>BF188/BF185</f>
        <v>0.24130779392338189</v>
      </c>
      <c r="BG190" s="116">
        <f>BG188/BG185</f>
        <v>0.20822784810126577</v>
      </c>
      <c r="BH190" s="116">
        <f>BH188/BH185</f>
        <v>0.19315392895586653</v>
      </c>
      <c r="BI190" s="116">
        <f>BI188/BI185</f>
        <v>0.22099107417666974</v>
      </c>
      <c r="BJ190" s="90"/>
      <c r="BK190" s="243">
        <f>BK188/BK185</f>
        <v>0.26435502425849045</v>
      </c>
      <c r="BL190" s="243">
        <f>BL188/BL185</f>
        <v>0.21630094043887144</v>
      </c>
      <c r="BM190" s="243">
        <f>BM188/BM185</f>
        <v>0.39629200463499431</v>
      </c>
      <c r="BN190" s="243">
        <f>BN188/BN185</f>
        <v>0.15705412599822538</v>
      </c>
      <c r="BO190" s="243">
        <f>BO188/BO185</f>
        <v>0.25019483708416962</v>
      </c>
      <c r="BP190" s="90"/>
      <c r="BQ190" s="243"/>
      <c r="BR190" s="243"/>
      <c r="BS190" s="243"/>
      <c r="BT190" s="243"/>
      <c r="BU190" s="243"/>
      <c r="BV190" s="90"/>
      <c r="BW190" s="243"/>
      <c r="BX190" s="243"/>
      <c r="BY190" s="243"/>
      <c r="BZ190" s="243"/>
      <c r="CA190" s="243"/>
      <c r="CB190" s="90"/>
      <c r="CC190" s="243"/>
      <c r="CD190" s="243"/>
      <c r="CE190" s="243"/>
      <c r="CF190" s="243"/>
      <c r="CG190" s="243"/>
      <c r="CH190" s="90"/>
      <c r="CI190" s="243"/>
      <c r="CJ190" s="243"/>
      <c r="CK190" s="243"/>
      <c r="CL190" s="243"/>
      <c r="CM190" s="243"/>
      <c r="CN190" s="90"/>
      <c r="CO190" s="243"/>
      <c r="CP190" s="243"/>
      <c r="CQ190" s="243"/>
      <c r="CR190" s="243"/>
      <c r="CS190" s="243"/>
      <c r="CT190" s="90"/>
      <c r="CU190" s="243"/>
      <c r="CV190" s="243"/>
      <c r="CW190" s="243"/>
      <c r="CX190" s="243"/>
      <c r="CY190" s="243"/>
      <c r="CZ190" s="90"/>
      <c r="DA190" s="243"/>
      <c r="DB190" s="243"/>
      <c r="DC190" s="243"/>
      <c r="DD190" s="243"/>
      <c r="DE190" s="243"/>
      <c r="DF190" s="90"/>
      <c r="DG190" s="243"/>
      <c r="DH190" s="243"/>
      <c r="DI190" s="243"/>
      <c r="DJ190" s="243"/>
      <c r="DK190" s="243"/>
      <c r="DL190" s="90"/>
      <c r="DM190" s="243"/>
      <c r="DN190" s="243"/>
      <c r="DO190" s="243"/>
      <c r="DP190" s="243"/>
      <c r="DQ190" s="243"/>
      <c r="DR190" s="90"/>
      <c r="DS190" s="243"/>
      <c r="DT190" s="243"/>
      <c r="DU190" s="243"/>
      <c r="DV190" s="243"/>
      <c r="DW190" s="243"/>
      <c r="DX190" s="90"/>
      <c r="DY190" s="243"/>
      <c r="DZ190" s="243"/>
      <c r="EA190" s="243"/>
      <c r="EB190" s="243"/>
      <c r="EC190" s="243"/>
      <c r="ED190" s="90"/>
      <c r="EE190" s="243"/>
      <c r="EF190" s="243"/>
      <c r="EG190" s="243"/>
      <c r="EH190" s="243"/>
      <c r="EI190" s="243"/>
      <c r="EJ190" s="90"/>
      <c r="EK190" s="243"/>
      <c r="EL190" s="243"/>
      <c r="EM190" s="243"/>
      <c r="EN190" s="243"/>
      <c r="EO190" s="243"/>
      <c r="EP190" s="90"/>
      <c r="EQ190" s="243"/>
      <c r="ER190" s="243"/>
      <c r="ES190" s="243"/>
      <c r="ET190" s="243"/>
      <c r="EU190" s="243"/>
      <c r="EV190" s="90"/>
      <c r="EW190" s="90"/>
      <c r="EX190" s="90"/>
      <c r="EY190" s="90"/>
      <c r="EZ190" s="90"/>
      <c r="FA190" s="90"/>
      <c r="FB190" s="90"/>
    </row>
    <row r="191" spans="1:158" hidden="1">
      <c r="A191" s="180"/>
      <c r="B191" s="32"/>
      <c r="C191" s="90"/>
      <c r="D191" s="90"/>
      <c r="E191" s="90"/>
      <c r="F191" s="90"/>
      <c r="G191" s="61"/>
      <c r="H191" s="90"/>
      <c r="I191" s="90"/>
      <c r="J191" s="90"/>
      <c r="K191" s="69"/>
      <c r="L191" s="69"/>
      <c r="M191" s="69"/>
      <c r="N191" s="69"/>
      <c r="O191" s="69"/>
      <c r="P191" s="69"/>
      <c r="Q191" s="69"/>
      <c r="R191" s="69"/>
      <c r="S191" s="69"/>
      <c r="T191" s="69"/>
      <c r="U191" s="69"/>
      <c r="V191" s="69"/>
      <c r="W191" s="69"/>
      <c r="X191" s="69"/>
      <c r="Y191" s="69"/>
      <c r="Z191" s="69"/>
      <c r="AA191" s="116"/>
      <c r="AB191" s="116"/>
      <c r="AC191" s="116"/>
      <c r="AD191" s="116"/>
      <c r="AE191" s="116"/>
      <c r="AF191" s="69"/>
      <c r="AG191" s="116"/>
      <c r="AH191" s="116"/>
      <c r="AI191" s="116"/>
      <c r="AJ191" s="116"/>
      <c r="AK191" s="116"/>
      <c r="AL191" s="69"/>
      <c r="AM191" s="116"/>
      <c r="AN191" s="116"/>
      <c r="AO191" s="116"/>
      <c r="AP191" s="116"/>
      <c r="AQ191" s="116"/>
      <c r="AR191" s="69"/>
      <c r="AS191" s="116"/>
      <c r="AT191" s="116"/>
      <c r="AU191" s="116"/>
      <c r="AV191" s="116"/>
      <c r="AW191" s="116"/>
      <c r="AX191" s="69"/>
      <c r="AY191" s="116"/>
      <c r="AZ191" s="116"/>
      <c r="BA191" s="116"/>
      <c r="BB191" s="116"/>
      <c r="BC191" s="116"/>
      <c r="BD191" s="90"/>
      <c r="BE191" s="116"/>
      <c r="BF191" s="116"/>
      <c r="BG191" s="116"/>
      <c r="BH191" s="116"/>
      <c r="BI191" s="116"/>
      <c r="BJ191" s="90"/>
      <c r="BK191" s="84"/>
      <c r="BL191" s="84"/>
      <c r="BM191" s="84"/>
      <c r="BN191" s="84"/>
      <c r="BO191" s="84"/>
      <c r="BP191" s="90"/>
      <c r="BQ191" s="84"/>
      <c r="BR191" s="84"/>
      <c r="BS191" s="84"/>
      <c r="BT191" s="84"/>
      <c r="BU191" s="84"/>
      <c r="BV191" s="90"/>
      <c r="BW191" s="84"/>
      <c r="BX191" s="84"/>
      <c r="BY191" s="84"/>
      <c r="BZ191" s="84"/>
      <c r="CA191" s="84"/>
      <c r="CB191" s="90"/>
      <c r="CC191" s="84"/>
      <c r="CD191" s="84"/>
      <c r="CE191" s="84"/>
      <c r="CF191" s="84"/>
      <c r="CG191" s="84"/>
      <c r="CH191" s="90"/>
      <c r="CI191" s="84"/>
      <c r="CJ191" s="84"/>
      <c r="CK191" s="84"/>
      <c r="CL191" s="84"/>
      <c r="CM191" s="84"/>
      <c r="CN191" s="90"/>
      <c r="CO191" s="84"/>
      <c r="CP191" s="84"/>
      <c r="CQ191" s="84"/>
      <c r="CR191" s="84"/>
      <c r="CS191" s="84"/>
      <c r="CT191" s="90"/>
      <c r="CU191" s="84"/>
      <c r="CV191" s="84"/>
      <c r="CW191" s="84"/>
      <c r="CX191" s="84"/>
      <c r="CY191" s="84"/>
      <c r="CZ191" s="90"/>
      <c r="DA191" s="84"/>
      <c r="DB191" s="84"/>
      <c r="DC191" s="84"/>
      <c r="DD191" s="84"/>
      <c r="DE191" s="84"/>
      <c r="DF191" s="90"/>
      <c r="DG191" s="84"/>
      <c r="DH191" s="84"/>
      <c r="DI191" s="84"/>
      <c r="DJ191" s="84"/>
      <c r="DK191" s="84"/>
      <c r="DL191" s="90"/>
      <c r="DM191" s="84"/>
      <c r="DN191" s="84"/>
      <c r="DO191" s="84"/>
      <c r="DP191" s="84"/>
      <c r="DQ191" s="84"/>
      <c r="DR191" s="90"/>
      <c r="DS191" s="84"/>
      <c r="DT191" s="84"/>
      <c r="DU191" s="84"/>
      <c r="DV191" s="84"/>
      <c r="DW191" s="84"/>
      <c r="DX191" s="90"/>
      <c r="DY191" s="84"/>
      <c r="DZ191" s="84"/>
      <c r="EA191" s="84"/>
      <c r="EB191" s="84"/>
      <c r="EC191" s="84"/>
      <c r="ED191" s="90"/>
      <c r="EE191" s="84"/>
      <c r="EF191" s="84"/>
      <c r="EG191" s="84"/>
      <c r="EH191" s="84"/>
      <c r="EI191" s="84"/>
      <c r="EJ191" s="90"/>
      <c r="EK191" s="84"/>
      <c r="EL191" s="84"/>
      <c r="EM191" s="84"/>
      <c r="EN191" s="84"/>
      <c r="EO191" s="84"/>
      <c r="EP191" s="90"/>
      <c r="EQ191" s="84"/>
      <c r="ER191" s="84"/>
      <c r="ES191" s="84"/>
      <c r="ET191" s="84"/>
      <c r="EU191" s="84"/>
      <c r="EV191" s="90"/>
      <c r="EW191" s="90"/>
      <c r="EX191" s="90"/>
      <c r="EY191" s="90"/>
      <c r="EZ191" s="90"/>
      <c r="FA191" s="90"/>
      <c r="FB191" s="90"/>
    </row>
    <row r="192" spans="1:158" hidden="1">
      <c r="A192" s="69" t="s">
        <v>6030</v>
      </c>
      <c r="B192" s="32"/>
      <c r="C192" s="90"/>
      <c r="D192" s="90"/>
      <c r="E192" s="90"/>
      <c r="F192" s="90"/>
      <c r="G192" s="61"/>
      <c r="H192" s="90"/>
      <c r="I192" s="90"/>
      <c r="J192" s="90"/>
      <c r="K192" s="69"/>
      <c r="L192" s="69"/>
      <c r="M192" s="69"/>
      <c r="N192" s="69"/>
      <c r="O192" s="255"/>
      <c r="P192" s="255">
        <f>P188/O188-1</f>
        <v>-4.186823513033866E-2</v>
      </c>
      <c r="Q192" s="255">
        <f>Q188/P188-1</f>
        <v>-0.35982564475118017</v>
      </c>
      <c r="R192" s="255">
        <f>R188/Q188-1</f>
        <v>0.31894008170676291</v>
      </c>
      <c r="S192" s="116" t="s">
        <v>6442</v>
      </c>
      <c r="T192" s="69"/>
      <c r="U192" s="255">
        <f>U188/R188-1</f>
        <v>-1.737534953753495</v>
      </c>
      <c r="V192" s="255">
        <f>V188/U188-1</f>
        <v>-1.0226901539897333</v>
      </c>
      <c r="W192" s="255">
        <f>W188/V188-1</f>
        <v>2.5809768637533859</v>
      </c>
      <c r="X192" s="255">
        <f>X188/W188-1</f>
        <v>17.070351758793681</v>
      </c>
      <c r="Y192" s="116" t="s">
        <v>6442</v>
      </c>
      <c r="Z192" s="69"/>
      <c r="AA192" s="255">
        <f>AA188/X188-1</f>
        <v>1.7241379310343419E-2</v>
      </c>
      <c r="AB192" s="255">
        <f>AB188/AA188-1</f>
        <v>-0.18952589236897432</v>
      </c>
      <c r="AC192" s="255">
        <f>AC188/AB188-1</f>
        <v>-0.10803257360381679</v>
      </c>
      <c r="AD192" s="255">
        <f>AD188/AC188-1</f>
        <v>0.53222408297768786</v>
      </c>
      <c r="AE192" s="116" t="s">
        <v>6442</v>
      </c>
      <c r="AF192" s="69"/>
      <c r="AG192" s="255">
        <f>AG188/AD188-1</f>
        <v>-1.6324084194198063E-2</v>
      </c>
      <c r="AH192" s="255">
        <f>AH188/AG188-1</f>
        <v>-0.31279569892473058</v>
      </c>
      <c r="AI192" s="255">
        <f>AI188/AH188-1</f>
        <v>0.11985604756689106</v>
      </c>
      <c r="AJ192" s="255">
        <f>AJ188/AI188-1</f>
        <v>1.3879185878628908E-2</v>
      </c>
      <c r="AK192" s="116" t="s">
        <v>6442</v>
      </c>
      <c r="AL192" s="69"/>
      <c r="AM192" s="255">
        <f>AM188/AJ188-1</f>
        <v>-0.35968579172217474</v>
      </c>
      <c r="AN192" s="255">
        <f>AN188/AM188-1</f>
        <v>-0.28481239687208537</v>
      </c>
      <c r="AO192" s="255">
        <f>AO188/AN188-1</f>
        <v>0.33142742501755462</v>
      </c>
      <c r="AP192" s="255">
        <f>AP188/AO188-1</f>
        <v>1.9211934001355679E-2</v>
      </c>
      <c r="AQ192" s="116" t="s">
        <v>6442</v>
      </c>
      <c r="AR192" s="69"/>
      <c r="AS192" s="255">
        <f>AS188/AP188-1</f>
        <v>-0.15294204612655216</v>
      </c>
      <c r="AT192" s="255">
        <f>AT188/AS188-1</f>
        <v>-0.23841521947813971</v>
      </c>
      <c r="AU192" s="255">
        <f>AU188/AT188-1</f>
        <v>0.21267331270768941</v>
      </c>
      <c r="AV192" s="255">
        <f>AV188/AU188-1</f>
        <v>0.58121515638287868</v>
      </c>
      <c r="AW192" s="116" t="s">
        <v>6442</v>
      </c>
      <c r="AX192" s="69"/>
      <c r="AY192" s="255">
        <f>AY188/AV188-1</f>
        <v>-0.26072666427632396</v>
      </c>
      <c r="AZ192" s="255">
        <f>AZ188/AY188-1</f>
        <v>5.9574812060463556E-2</v>
      </c>
      <c r="BA192" s="255">
        <f>BA188/AZ188-1</f>
        <v>0.10894110466890483</v>
      </c>
      <c r="BB192" s="255">
        <f>BB188/BA188-1</f>
        <v>0.26816180517336297</v>
      </c>
      <c r="BC192" s="116" t="s">
        <v>6442</v>
      </c>
      <c r="BD192" s="90"/>
      <c r="BE192" s="255">
        <f>BE188/BB188-1</f>
        <v>3.2548551589453467E-2</v>
      </c>
      <c r="BF192" s="255">
        <f>BF188/BE188-1</f>
        <v>-4.029631186298166E-2</v>
      </c>
      <c r="BG192" s="255">
        <f>BG188/BF188-1</f>
        <v>-9.9468987792193597E-2</v>
      </c>
      <c r="BH192" s="255" t="s">
        <v>6442</v>
      </c>
      <c r="BI192" s="255" t="s">
        <v>6442</v>
      </c>
      <c r="BJ192" s="90"/>
      <c r="BK192" s="257">
        <f>IF(ISERROR(BK188/BH188-1),"-",BK188/BH188-1)</f>
        <v>0.17816540347748533</v>
      </c>
      <c r="BL192" s="257">
        <f>IF(ISERROR(BL188/BI188-1),"-",BL188/BI188-1)</f>
        <v>-0.71169916434540392</v>
      </c>
      <c r="BM192" s="257" t="str">
        <f>IF(ISERROR(BM188/BJ188-1),"-",BM188/BJ188-1)</f>
        <v>-</v>
      </c>
      <c r="BN192" s="257">
        <f>IF(ISERROR(BN188/BK188-1),"-",BN188/BK188-1)</f>
        <v>-0.16276429686391369</v>
      </c>
      <c r="BO192" s="257" t="s">
        <v>6442</v>
      </c>
      <c r="BP192" s="90"/>
      <c r="BQ192" s="257"/>
      <c r="BR192" s="257"/>
      <c r="BS192" s="257"/>
      <c r="BT192" s="257"/>
      <c r="BU192" s="257"/>
      <c r="BV192" s="90"/>
      <c r="BW192" s="257"/>
      <c r="BX192" s="257"/>
      <c r="BY192" s="257"/>
      <c r="BZ192" s="257"/>
      <c r="CA192" s="257"/>
      <c r="CB192" s="90"/>
      <c r="CC192" s="257"/>
      <c r="CD192" s="257"/>
      <c r="CE192" s="257"/>
      <c r="CF192" s="257"/>
      <c r="CG192" s="257"/>
      <c r="CH192" s="90"/>
      <c r="CI192" s="257"/>
      <c r="CJ192" s="257"/>
      <c r="CK192" s="257"/>
      <c r="CL192" s="257"/>
      <c r="CM192" s="257"/>
      <c r="CN192" s="90"/>
      <c r="CO192" s="257"/>
      <c r="CP192" s="257"/>
      <c r="CQ192" s="257"/>
      <c r="CR192" s="257"/>
      <c r="CS192" s="257"/>
      <c r="CT192" s="90"/>
      <c r="CU192" s="257"/>
      <c r="CV192" s="257"/>
      <c r="CW192" s="257"/>
      <c r="CX192" s="257"/>
      <c r="CY192" s="257"/>
      <c r="CZ192" s="90"/>
      <c r="DA192" s="257"/>
      <c r="DB192" s="257"/>
      <c r="DC192" s="257"/>
      <c r="DD192" s="257"/>
      <c r="DE192" s="257"/>
      <c r="DF192" s="90"/>
      <c r="DG192" s="257"/>
      <c r="DH192" s="257"/>
      <c r="DI192" s="257"/>
      <c r="DJ192" s="257"/>
      <c r="DK192" s="257"/>
      <c r="DL192" s="90"/>
      <c r="DM192" s="257"/>
      <c r="DN192" s="257"/>
      <c r="DO192" s="257"/>
      <c r="DP192" s="257"/>
      <c r="DQ192" s="257"/>
      <c r="DR192" s="90"/>
      <c r="DS192" s="257"/>
      <c r="DT192" s="257"/>
      <c r="DU192" s="257"/>
      <c r="DV192" s="257"/>
      <c r="DW192" s="257"/>
      <c r="DX192" s="90"/>
      <c r="DY192" s="257"/>
      <c r="DZ192" s="257"/>
      <c r="EA192" s="257"/>
      <c r="EB192" s="257"/>
      <c r="EC192" s="257"/>
      <c r="ED192" s="90"/>
      <c r="EE192" s="257"/>
      <c r="EF192" s="257"/>
      <c r="EG192" s="257"/>
      <c r="EH192" s="257"/>
      <c r="EI192" s="257"/>
      <c r="EJ192" s="90"/>
      <c r="EK192" s="257"/>
      <c r="EL192" s="257"/>
      <c r="EM192" s="257"/>
      <c r="EN192" s="257"/>
      <c r="EO192" s="257"/>
      <c r="EP192" s="90"/>
      <c r="EQ192" s="257"/>
      <c r="ER192" s="257"/>
      <c r="ES192" s="257"/>
      <c r="ET192" s="257"/>
      <c r="EU192" s="257"/>
      <c r="EV192" s="90"/>
      <c r="EW192" s="90"/>
      <c r="EX192" s="90"/>
      <c r="EY192" s="90"/>
      <c r="EZ192" s="90"/>
      <c r="FA192" s="90"/>
      <c r="FB192" s="90"/>
    </row>
    <row r="193" spans="1:158" hidden="1">
      <c r="A193" s="69"/>
      <c r="B193" s="32"/>
      <c r="C193" s="90"/>
      <c r="D193" s="90"/>
      <c r="E193" s="90"/>
      <c r="F193" s="90"/>
      <c r="G193" s="61"/>
      <c r="H193" s="90"/>
      <c r="I193" s="90"/>
      <c r="J193" s="90"/>
      <c r="K193" s="69"/>
      <c r="L193" s="69"/>
      <c r="M193" s="69"/>
      <c r="N193" s="69"/>
      <c r="O193" s="69"/>
      <c r="P193" s="69"/>
      <c r="Q193" s="69"/>
      <c r="R193" s="69"/>
      <c r="S193" s="69"/>
      <c r="T193" s="69"/>
      <c r="U193" s="255"/>
      <c r="V193" s="255"/>
      <c r="W193" s="255"/>
      <c r="X193" s="255"/>
      <c r="Y193" s="255"/>
      <c r="Z193" s="69"/>
      <c r="AA193" s="255"/>
      <c r="AB193" s="255"/>
      <c r="AC193" s="255"/>
      <c r="AD193" s="255"/>
      <c r="AE193" s="255"/>
      <c r="AF193" s="69"/>
      <c r="AG193" s="255"/>
      <c r="AH193" s="255"/>
      <c r="AI193" s="255"/>
      <c r="AJ193" s="255"/>
      <c r="AK193" s="255"/>
      <c r="AL193" s="69"/>
      <c r="AM193" s="255"/>
      <c r="AN193" s="255"/>
      <c r="AO193" s="255"/>
      <c r="AP193" s="255"/>
      <c r="AQ193" s="255"/>
      <c r="AR193" s="69"/>
      <c r="AS193" s="255"/>
      <c r="AT193" s="255"/>
      <c r="AU193" s="255"/>
      <c r="AV193" s="255"/>
      <c r="AW193" s="255"/>
      <c r="AX193" s="69"/>
      <c r="AY193" s="255"/>
      <c r="AZ193" s="255"/>
      <c r="BA193" s="255"/>
      <c r="BB193" s="255"/>
      <c r="BC193" s="255"/>
      <c r="BD193" s="90"/>
      <c r="BE193" s="255"/>
      <c r="BF193" s="255"/>
      <c r="BG193" s="255"/>
      <c r="BH193" s="255"/>
      <c r="BI193" s="255"/>
      <c r="BJ193" s="90"/>
      <c r="BK193" s="181"/>
      <c r="BL193" s="181"/>
      <c r="BM193" s="181"/>
      <c r="BN193" s="181"/>
      <c r="BO193" s="181"/>
      <c r="BP193" s="90"/>
      <c r="BQ193" s="181"/>
      <c r="BR193" s="181"/>
      <c r="BS193" s="181"/>
      <c r="BT193" s="181"/>
      <c r="BU193" s="181"/>
      <c r="BV193" s="90"/>
      <c r="BW193" s="181"/>
      <c r="BX193" s="181"/>
      <c r="BY193" s="181"/>
      <c r="BZ193" s="181"/>
      <c r="CA193" s="181"/>
      <c r="CB193" s="90"/>
      <c r="CC193" s="181"/>
      <c r="CD193" s="181"/>
      <c r="CE193" s="181"/>
      <c r="CF193" s="181"/>
      <c r="CG193" s="181"/>
      <c r="CH193" s="90"/>
      <c r="CI193" s="181"/>
      <c r="CJ193" s="181"/>
      <c r="CK193" s="181"/>
      <c r="CL193" s="181"/>
      <c r="CM193" s="181"/>
      <c r="CN193" s="90"/>
      <c r="CO193" s="181"/>
      <c r="CP193" s="181"/>
      <c r="CQ193" s="181"/>
      <c r="CR193" s="181"/>
      <c r="CS193" s="181"/>
      <c r="CT193" s="90"/>
      <c r="CU193" s="181"/>
      <c r="CV193" s="181"/>
      <c r="CW193" s="181"/>
      <c r="CX193" s="181"/>
      <c r="CY193" s="181"/>
      <c r="CZ193" s="90"/>
      <c r="DA193" s="181"/>
      <c r="DB193" s="181"/>
      <c r="DC193" s="181"/>
      <c r="DD193" s="181"/>
      <c r="DE193" s="181"/>
      <c r="DF193" s="90"/>
      <c r="DG193" s="181"/>
      <c r="DH193" s="181"/>
      <c r="DI193" s="181"/>
      <c r="DJ193" s="181"/>
      <c r="DK193" s="181"/>
      <c r="DL193" s="90"/>
      <c r="DM193" s="181"/>
      <c r="DN193" s="181"/>
      <c r="DO193" s="181"/>
      <c r="DP193" s="181"/>
      <c r="DQ193" s="181"/>
      <c r="DR193" s="90"/>
      <c r="DS193" s="181"/>
      <c r="DT193" s="181"/>
      <c r="DU193" s="181"/>
      <c r="DV193" s="181"/>
      <c r="DW193" s="181"/>
      <c r="DX193" s="90"/>
      <c r="DY193" s="181"/>
      <c r="DZ193" s="181"/>
      <c r="EA193" s="181"/>
      <c r="EB193" s="181"/>
      <c r="EC193" s="181"/>
      <c r="ED193" s="90"/>
      <c r="EE193" s="181"/>
      <c r="EF193" s="181"/>
      <c r="EG193" s="181"/>
      <c r="EH193" s="181"/>
      <c r="EI193" s="181"/>
      <c r="EJ193" s="90"/>
      <c r="EK193" s="181"/>
      <c r="EL193" s="181"/>
      <c r="EM193" s="181"/>
      <c r="EN193" s="181"/>
      <c r="EO193" s="181"/>
      <c r="EP193" s="90"/>
      <c r="EQ193" s="181"/>
      <c r="ER193" s="181"/>
      <c r="ES193" s="181"/>
      <c r="ET193" s="181"/>
      <c r="EU193" s="181"/>
      <c r="EV193" s="90"/>
      <c r="EW193" s="90"/>
      <c r="EX193" s="90"/>
      <c r="EY193" s="90"/>
      <c r="EZ193" s="90"/>
      <c r="FA193" s="90"/>
      <c r="FB193" s="90"/>
    </row>
    <row r="194" spans="1:158" hidden="1">
      <c r="A194" s="52" t="s">
        <v>6031</v>
      </c>
      <c r="B194" s="32"/>
      <c r="C194" s="90"/>
      <c r="D194" s="90"/>
      <c r="E194" s="90"/>
      <c r="F194" s="90"/>
      <c r="G194" s="61"/>
      <c r="H194" s="90"/>
      <c r="I194" s="90"/>
      <c r="J194" s="90"/>
      <c r="K194" s="69"/>
      <c r="L194" s="69"/>
      <c r="M194" s="69"/>
      <c r="N194" s="69"/>
      <c r="O194" s="69"/>
      <c r="P194" s="69"/>
      <c r="Q194" s="69"/>
      <c r="R194" s="69"/>
      <c r="S194" s="69"/>
      <c r="T194" s="69"/>
      <c r="U194" s="255"/>
      <c r="V194" s="255"/>
      <c r="W194" s="255"/>
      <c r="X194" s="255"/>
      <c r="Y194" s="255"/>
      <c r="Z194" s="69"/>
      <c r="AA194" s="255"/>
      <c r="AB194" s="255"/>
      <c r="AC194" s="255"/>
      <c r="AD194" s="255"/>
      <c r="AE194" s="255"/>
      <c r="AF194" s="69"/>
      <c r="AG194" s="255"/>
      <c r="AH194" s="255"/>
      <c r="AI194" s="255"/>
      <c r="AJ194" s="255"/>
      <c r="AK194" s="255"/>
      <c r="AL194" s="69"/>
      <c r="AM194" s="255"/>
      <c r="AN194" s="255"/>
      <c r="AO194" s="255"/>
      <c r="AP194" s="255"/>
      <c r="AQ194" s="255"/>
      <c r="AR194" s="69"/>
      <c r="AS194" s="255"/>
      <c r="AT194" s="255"/>
      <c r="AU194" s="255"/>
      <c r="AV194" s="255"/>
      <c r="AW194" s="255"/>
      <c r="AX194" s="69"/>
      <c r="AY194" s="255"/>
      <c r="AZ194" s="255"/>
      <c r="BA194" s="255"/>
      <c r="BB194" s="255"/>
      <c r="BC194" s="255"/>
      <c r="BD194" s="90"/>
      <c r="BE194" s="255"/>
      <c r="BF194" s="255"/>
      <c r="BG194" s="255"/>
      <c r="BH194" s="255"/>
      <c r="BI194" s="255"/>
      <c r="BJ194" s="90"/>
      <c r="BK194" s="181"/>
      <c r="BL194" s="181"/>
      <c r="BM194" s="181"/>
      <c r="BN194" s="181"/>
      <c r="BO194" s="181"/>
      <c r="BP194" s="90"/>
      <c r="BQ194" s="181"/>
      <c r="BR194" s="181"/>
      <c r="BS194" s="181"/>
      <c r="BT194" s="181"/>
      <c r="BU194" s="181"/>
      <c r="BV194" s="90"/>
      <c r="BW194" s="181"/>
      <c r="BX194" s="181"/>
      <c r="BY194" s="181"/>
      <c r="BZ194" s="181"/>
      <c r="CA194" s="181"/>
      <c r="CB194" s="90"/>
      <c r="CC194" s="181"/>
      <c r="CD194" s="181"/>
      <c r="CE194" s="181"/>
      <c r="CF194" s="181"/>
      <c r="CG194" s="181"/>
      <c r="CH194" s="90"/>
      <c r="CI194" s="181"/>
      <c r="CJ194" s="181"/>
      <c r="CK194" s="181"/>
      <c r="CL194" s="181"/>
      <c r="CM194" s="181"/>
      <c r="CN194" s="90"/>
      <c r="CO194" s="181"/>
      <c r="CP194" s="181"/>
      <c r="CQ194" s="181"/>
      <c r="CR194" s="181"/>
      <c r="CS194" s="181"/>
      <c r="CT194" s="90"/>
      <c r="CU194" s="181"/>
      <c r="CV194" s="181"/>
      <c r="CW194" s="181"/>
      <c r="CX194" s="181"/>
      <c r="CY194" s="181"/>
      <c r="CZ194" s="90"/>
      <c r="DA194" s="181"/>
      <c r="DB194" s="181"/>
      <c r="DC194" s="181"/>
      <c r="DD194" s="181"/>
      <c r="DE194" s="181"/>
      <c r="DF194" s="90"/>
      <c r="DG194" s="181"/>
      <c r="DH194" s="181"/>
      <c r="DI194" s="181"/>
      <c r="DJ194" s="181"/>
      <c r="DK194" s="181"/>
      <c r="DL194" s="90"/>
      <c r="DM194" s="181"/>
      <c r="DN194" s="181"/>
      <c r="DO194" s="181"/>
      <c r="DP194" s="181"/>
      <c r="DQ194" s="181"/>
      <c r="DR194" s="90"/>
      <c r="DS194" s="181"/>
      <c r="DT194" s="181"/>
      <c r="DU194" s="181"/>
      <c r="DV194" s="181"/>
      <c r="DW194" s="181"/>
      <c r="DX194" s="90"/>
      <c r="DY194" s="181"/>
      <c r="DZ194" s="181"/>
      <c r="EA194" s="181"/>
      <c r="EB194" s="181"/>
      <c r="EC194" s="181"/>
      <c r="ED194" s="90"/>
      <c r="EE194" s="181"/>
      <c r="EF194" s="181"/>
      <c r="EG194" s="181"/>
      <c r="EH194" s="181"/>
      <c r="EI194" s="181"/>
      <c r="EJ194" s="90"/>
      <c r="EK194" s="181"/>
      <c r="EL194" s="181"/>
      <c r="EM194" s="181"/>
      <c r="EN194" s="181"/>
      <c r="EO194" s="181"/>
      <c r="EP194" s="90"/>
      <c r="EQ194" s="181"/>
      <c r="ER194" s="181"/>
      <c r="ES194" s="181"/>
      <c r="ET194" s="181"/>
      <c r="EU194" s="181"/>
      <c r="EV194" s="90"/>
      <c r="EW194" s="90"/>
      <c r="EX194" s="90"/>
      <c r="EY194" s="90"/>
      <c r="EZ194" s="90"/>
      <c r="FA194" s="90"/>
      <c r="FB194" s="90"/>
    </row>
    <row r="195" spans="1:158" hidden="1">
      <c r="A195" s="90" t="s">
        <v>6032</v>
      </c>
      <c r="B195" s="32"/>
      <c r="C195" s="90"/>
      <c r="D195" s="90"/>
      <c r="E195" s="90"/>
      <c r="F195" s="90"/>
      <c r="G195" s="61"/>
      <c r="H195" s="90"/>
      <c r="I195" s="90"/>
      <c r="J195" s="90"/>
      <c r="K195" s="69"/>
      <c r="L195" s="69"/>
      <c r="M195" s="69"/>
      <c r="N195" s="69"/>
      <c r="O195" s="277">
        <f>Model!O107</f>
        <v>0.13938999999999999</v>
      </c>
      <c r="P195" s="277">
        <f>Model!P107</f>
        <v>0.16088</v>
      </c>
      <c r="Q195" s="277">
        <f>Model!Q107</f>
        <v>0.10431</v>
      </c>
      <c r="R195" s="277">
        <f>Model!R107</f>
        <v>0.12010999999999999</v>
      </c>
      <c r="S195" s="277">
        <f>Model!S107</f>
        <v>0.52832000000000001</v>
      </c>
      <c r="T195" s="69"/>
      <c r="U195" s="277">
        <f>Model!U107</f>
        <v>3.8399999999999997E-2</v>
      </c>
      <c r="V195" s="277">
        <f>Model!V107</f>
        <v>2.3109999999999999E-2</v>
      </c>
      <c r="W195" s="277">
        <f>Model!W107</f>
        <v>6.7820000000000005E-2</v>
      </c>
      <c r="X195" s="277">
        <f>Model!X107</f>
        <v>0.11876</v>
      </c>
      <c r="Y195" s="277">
        <f>Model!Y107</f>
        <v>0.24707999999999999</v>
      </c>
      <c r="Z195" s="69"/>
      <c r="AA195" s="277">
        <f>Model!AA107</f>
        <v>0.12048</v>
      </c>
      <c r="AB195" s="277">
        <f>Model!AB107</f>
        <v>0.10718999999999999</v>
      </c>
      <c r="AC195" s="277">
        <f>Model!AC107</f>
        <v>9.5740000000000006E-2</v>
      </c>
      <c r="AD195" s="277">
        <f>Model!AD107</f>
        <v>0.14274999999999999</v>
      </c>
      <c r="AE195" s="277">
        <f>Model!AE107</f>
        <v>0.46743000000000001</v>
      </c>
      <c r="AF195" s="69"/>
      <c r="AG195" s="277">
        <f>Model!AG107</f>
        <v>0.14172000000000001</v>
      </c>
      <c r="AH195" s="277">
        <f>Model!AH107</f>
        <v>0.13299</v>
      </c>
      <c r="AI195" s="277">
        <f>Model!AI107</f>
        <v>9.2619999999999994E-2</v>
      </c>
      <c r="AJ195" s="277">
        <f>Model!AJ107</f>
        <v>0.16177</v>
      </c>
      <c r="AK195" s="277">
        <f>Model!AK107</f>
        <v>0.52968000000000004</v>
      </c>
      <c r="AL195" s="277"/>
      <c r="AM195" s="277">
        <f>Model!AM107</f>
        <v>7.9020000000000007E-2</v>
      </c>
      <c r="AN195" s="277">
        <f>Model!AN107</f>
        <v>6.3329999999999997E-2</v>
      </c>
      <c r="AO195" s="277">
        <f>Model!AO107</f>
        <v>2.546E-2</v>
      </c>
      <c r="AP195" s="277">
        <f>Model!AP107</f>
        <v>3.4729999999999997E-2</v>
      </c>
      <c r="AQ195" s="277">
        <f>Model!AQ107</f>
        <v>0.20372000000000001</v>
      </c>
      <c r="AR195" s="277"/>
      <c r="AS195" s="277">
        <f>Model!AS107</f>
        <v>3.3090000000000001E-2</v>
      </c>
      <c r="AT195" s="277">
        <f>Model!AT107</f>
        <v>5.697E-2</v>
      </c>
      <c r="AU195" s="277">
        <f>Model!AU107</f>
        <v>9.9000000000000005E-2</v>
      </c>
      <c r="AV195" s="277">
        <f>Model!AV107</f>
        <v>0.22115000000000001</v>
      </c>
      <c r="AW195" s="277">
        <f>Model!AW107</f>
        <v>0.41524</v>
      </c>
      <c r="AX195" s="277"/>
      <c r="AY195" s="277">
        <f>Model!AY107</f>
        <v>0.21717</v>
      </c>
      <c r="AZ195" s="277">
        <f>Model!AZ107</f>
        <v>0.18196000000000001</v>
      </c>
      <c r="BA195" s="277">
        <f>Model!BA107</f>
        <v>0.19472</v>
      </c>
      <c r="BB195" s="277">
        <f>Model!BB107</f>
        <v>0.30036000000000002</v>
      </c>
      <c r="BC195" s="277">
        <f>Model!BC107</f>
        <v>0.89731000000000005</v>
      </c>
      <c r="BD195" s="104"/>
      <c r="BE195" s="277">
        <f>Model!BE107</f>
        <v>0.31007000000000001</v>
      </c>
      <c r="BF195" s="277">
        <f>Model!BF107</f>
        <v>0.30243999999999999</v>
      </c>
      <c r="BG195" s="277">
        <f>Model!BG107</f>
        <v>0.31663000000000002</v>
      </c>
      <c r="BH195" s="277">
        <f>Model!BH107</f>
        <v>0.37324000000000002</v>
      </c>
      <c r="BI195" s="277">
        <f>Model!BI107</f>
        <v>1.3022</v>
      </c>
      <c r="BJ195" s="104"/>
      <c r="BK195" s="256">
        <f>Model!BK107</f>
        <v>0.32390000000000002</v>
      </c>
      <c r="BL195" s="256">
        <f>Model!BL107</f>
        <v>0.39124999999999999</v>
      </c>
      <c r="BM195" s="256">
        <f>Model!BM107</f>
        <v>0.35471000000000003</v>
      </c>
      <c r="BN195" s="256">
        <f>Model!BN107</f>
        <v>0.45924999999999999</v>
      </c>
      <c r="BO195" s="256">
        <f>Model!BO107</f>
        <v>1.54077</v>
      </c>
      <c r="BP195" s="104"/>
      <c r="BQ195" s="256"/>
      <c r="BR195" s="256"/>
      <c r="BS195" s="256"/>
      <c r="BT195" s="256"/>
      <c r="BU195" s="256"/>
      <c r="BV195" s="104"/>
      <c r="BW195" s="256"/>
      <c r="BX195" s="256"/>
      <c r="BY195" s="256"/>
      <c r="BZ195" s="256"/>
      <c r="CA195" s="256"/>
      <c r="CB195" s="104"/>
      <c r="CC195" s="256"/>
      <c r="CD195" s="256"/>
      <c r="CE195" s="256"/>
      <c r="CF195" s="256"/>
      <c r="CG195" s="256"/>
      <c r="CH195" s="104"/>
      <c r="CI195" s="256"/>
      <c r="CJ195" s="256"/>
      <c r="CK195" s="256"/>
      <c r="CL195" s="256"/>
      <c r="CM195" s="256"/>
      <c r="CN195" s="104"/>
      <c r="CO195" s="256"/>
      <c r="CP195" s="256"/>
      <c r="CQ195" s="256"/>
      <c r="CR195" s="256"/>
      <c r="CS195" s="256"/>
      <c r="CT195" s="104"/>
      <c r="CU195" s="256"/>
      <c r="CV195" s="256"/>
      <c r="CW195" s="256"/>
      <c r="CX195" s="256"/>
      <c r="CY195" s="256"/>
      <c r="CZ195" s="104"/>
      <c r="DA195" s="256"/>
      <c r="DB195" s="256"/>
      <c r="DC195" s="256"/>
      <c r="DD195" s="256"/>
      <c r="DE195" s="256"/>
      <c r="DF195" s="104"/>
      <c r="DG195" s="256"/>
      <c r="DH195" s="256"/>
      <c r="DI195" s="256"/>
      <c r="DJ195" s="256"/>
      <c r="DK195" s="256"/>
      <c r="DL195" s="104"/>
      <c r="DM195" s="256"/>
      <c r="DN195" s="256"/>
      <c r="DO195" s="256"/>
      <c r="DP195" s="256"/>
      <c r="DQ195" s="256"/>
      <c r="DR195" s="104"/>
      <c r="DS195" s="256"/>
      <c r="DT195" s="256"/>
      <c r="DU195" s="256"/>
      <c r="DV195" s="256"/>
      <c r="DW195" s="256"/>
      <c r="DX195" s="90"/>
      <c r="DY195" s="256"/>
      <c r="DZ195" s="256"/>
      <c r="EA195" s="256"/>
      <c r="EB195" s="256"/>
      <c r="EC195" s="256"/>
      <c r="ED195" s="90"/>
      <c r="EE195" s="256"/>
      <c r="EF195" s="256"/>
      <c r="EG195" s="256"/>
      <c r="EH195" s="256"/>
      <c r="EI195" s="256"/>
      <c r="EJ195" s="90"/>
      <c r="EK195" s="256"/>
      <c r="EL195" s="256"/>
      <c r="EM195" s="256"/>
      <c r="EN195" s="256"/>
      <c r="EO195" s="256"/>
      <c r="EP195" s="90"/>
      <c r="EQ195" s="256"/>
      <c r="ER195" s="256"/>
      <c r="ES195" s="256"/>
      <c r="ET195" s="256"/>
      <c r="EU195" s="256"/>
      <c r="EV195" s="90"/>
      <c r="EW195" s="90"/>
      <c r="EX195" s="90"/>
      <c r="EY195" s="90"/>
      <c r="EZ195" s="90"/>
      <c r="FA195" s="90"/>
      <c r="FB195" s="90"/>
    </row>
    <row r="196" spans="1:158" hidden="1">
      <c r="A196" s="90" t="s">
        <v>2394</v>
      </c>
      <c r="B196" s="32"/>
      <c r="C196" s="90"/>
      <c r="D196" s="90"/>
      <c r="E196" s="90"/>
      <c r="F196" s="90"/>
      <c r="G196" s="61"/>
      <c r="H196" s="90"/>
      <c r="I196" s="90"/>
      <c r="J196" s="90"/>
      <c r="K196" s="90"/>
      <c r="L196" s="90"/>
      <c r="M196" s="90"/>
      <c r="N196" s="90"/>
      <c r="O196" s="278">
        <f>Model!O150</f>
        <v>0.12</v>
      </c>
      <c r="P196" s="278">
        <f>Model!P150</f>
        <v>0.12</v>
      </c>
      <c r="Q196" s="278">
        <f>Model!Q150</f>
        <v>0.08</v>
      </c>
      <c r="R196" s="278">
        <f>Model!R150</f>
        <v>0.1</v>
      </c>
      <c r="S196" s="278">
        <f>Model!S150</f>
        <v>0.41059501868416137</v>
      </c>
      <c r="T196" s="90"/>
      <c r="U196" s="278">
        <f>Model!U150</f>
        <v>-7.0000000000000007E-2</v>
      </c>
      <c r="V196" s="278">
        <f>Model!V150</f>
        <v>0</v>
      </c>
      <c r="W196" s="278">
        <f>Model!W150</f>
        <v>0.01</v>
      </c>
      <c r="X196" s="278">
        <f>Model!X150</f>
        <v>0.1</v>
      </c>
      <c r="Y196" s="278">
        <f>Model!Y150</f>
        <v>3.9935022636224803E-2</v>
      </c>
      <c r="Z196" s="90"/>
      <c r="AA196" s="278">
        <f>Model!AA150</f>
        <v>0.1</v>
      </c>
      <c r="AB196" s="278">
        <f>Model!AB150</f>
        <v>0.09</v>
      </c>
      <c r="AC196" s="278">
        <f>Model!AC150</f>
        <v>0.08</v>
      </c>
      <c r="AD196" s="278">
        <f>Model!AD150</f>
        <v>0.13</v>
      </c>
      <c r="AE196" s="278">
        <f>Model!AE150</f>
        <v>0.3983362955873806</v>
      </c>
      <c r="AF196" s="90"/>
      <c r="AG196" s="278">
        <f>Model!AG150</f>
        <v>0.13</v>
      </c>
      <c r="AH196" s="278">
        <f>Model!AH150</f>
        <v>0.09</v>
      </c>
      <c r="AI196" s="278">
        <f>Model!AI150</f>
        <v>0.1</v>
      </c>
      <c r="AJ196" s="278">
        <f>Model!AJ150</f>
        <v>0.1</v>
      </c>
      <c r="AK196" s="278">
        <f>Model!AK150</f>
        <v>0.40207016294185777</v>
      </c>
      <c r="AL196" s="278"/>
      <c r="AM196" s="278">
        <f>Model!AM150</f>
        <v>7.4496207834327199E-2</v>
      </c>
      <c r="AN196" s="278">
        <f>Model!AN150</f>
        <v>5.1455049026685809E-2</v>
      </c>
      <c r="AO196" s="278">
        <f>Model!AO150</f>
        <v>-1.7215872065376395E-2</v>
      </c>
      <c r="AP196" s="278">
        <f>Model!AP150</f>
        <v>2.8087402495587444E-2</v>
      </c>
      <c r="AQ196" s="278">
        <f>Model!AQ150</f>
        <v>0.1385937323521492</v>
      </c>
      <c r="AR196" s="278"/>
      <c r="AS196" s="278">
        <f>Model!AS150</f>
        <v>3.3090633429120463E-2</v>
      </c>
      <c r="AT196" s="278">
        <f>Model!AT150</f>
        <v>0.14367177860038771</v>
      </c>
      <c r="AU196" s="278">
        <f>Model!AU150</f>
        <v>9.9004957693183598E-2</v>
      </c>
      <c r="AV196" s="278">
        <f>Model!AV150</f>
        <v>0.24032644341897777</v>
      </c>
      <c r="AW196" s="278">
        <f>Model!AW150</f>
        <v>0.52016394009615086</v>
      </c>
      <c r="AX196" s="278"/>
      <c r="AY196" s="278">
        <f>Model!AY150</f>
        <v>0.17651299245599344</v>
      </c>
      <c r="AZ196" s="278">
        <f>Model!AZ150</f>
        <v>0.15562214942120534</v>
      </c>
      <c r="BA196" s="278">
        <f>Model!BA150</f>
        <v>0.30187386108916153</v>
      </c>
      <c r="BB196" s="278">
        <f>Model!BB150</f>
        <v>0.25796992481202985</v>
      </c>
      <c r="BC196" s="278">
        <f>Model!BC150</f>
        <v>0.89556112512501163</v>
      </c>
      <c r="BD196" s="104"/>
      <c r="BE196" s="278">
        <f>Model!BE150</f>
        <v>0.31207380665864404</v>
      </c>
      <c r="BF196" s="248">
        <f>Model!BF150</f>
        <v>0.30643228126248484</v>
      </c>
      <c r="BG196" s="248">
        <f>Model!BG150</f>
        <v>0.38356713426853717</v>
      </c>
      <c r="BH196" s="248">
        <f>Model!BH150</f>
        <v>0.3350743270389715</v>
      </c>
      <c r="BI196" s="248">
        <f>Model!BI150</f>
        <v>1.3370741482965931</v>
      </c>
      <c r="BJ196" s="104"/>
      <c r="BK196" s="258">
        <f>Model!BK150</f>
        <v>0.19643580396921823</v>
      </c>
      <c r="BL196" s="258">
        <f>Model!BL150</f>
        <v>0.35486508585445631</v>
      </c>
      <c r="BM196" s="258">
        <f>Model!BM150</f>
        <v>0.2383888203863542</v>
      </c>
      <c r="BN196" s="258">
        <f>Model!BN150</f>
        <v>0.39282803585982073</v>
      </c>
      <c r="BO196" s="258">
        <f>Model!BO150</f>
        <v>1.1913378184988401</v>
      </c>
      <c r="BP196" s="104"/>
      <c r="BQ196" s="258"/>
      <c r="BR196" s="258"/>
      <c r="BS196" s="258"/>
      <c r="BT196" s="258"/>
      <c r="BU196" s="258"/>
      <c r="BV196" s="104"/>
      <c r="BW196" s="258"/>
      <c r="BX196" s="258"/>
      <c r="BY196" s="258"/>
      <c r="BZ196" s="258"/>
      <c r="CA196" s="258"/>
      <c r="CB196" s="104"/>
      <c r="CC196" s="258"/>
      <c r="CD196" s="258"/>
      <c r="CE196" s="258"/>
      <c r="CF196" s="258"/>
      <c r="CG196" s="258"/>
      <c r="CH196" s="104"/>
      <c r="CI196" s="258"/>
      <c r="CJ196" s="258"/>
      <c r="CK196" s="258"/>
      <c r="CL196" s="258"/>
      <c r="CM196" s="258"/>
      <c r="CN196" s="104"/>
      <c r="CO196" s="258"/>
      <c r="CP196" s="258"/>
      <c r="CQ196" s="258"/>
      <c r="CR196" s="258"/>
      <c r="CS196" s="258"/>
      <c r="CT196" s="104"/>
      <c r="CU196" s="258"/>
      <c r="CV196" s="258"/>
      <c r="CW196" s="258"/>
      <c r="CX196" s="258"/>
      <c r="CY196" s="258"/>
      <c r="CZ196" s="104"/>
      <c r="DA196" s="258"/>
      <c r="DB196" s="258"/>
      <c r="DC196" s="258"/>
      <c r="DD196" s="258"/>
      <c r="DE196" s="258"/>
      <c r="DF196" s="104"/>
      <c r="DG196" s="258"/>
      <c r="DH196" s="258"/>
      <c r="DI196" s="258"/>
      <c r="DJ196" s="258"/>
      <c r="DK196" s="258"/>
      <c r="DL196" s="104"/>
      <c r="DM196" s="258"/>
      <c r="DN196" s="258"/>
      <c r="DO196" s="258"/>
      <c r="DP196" s="258"/>
      <c r="DQ196" s="258"/>
      <c r="DR196" s="104"/>
      <c r="DS196" s="258"/>
      <c r="DT196" s="258"/>
      <c r="DU196" s="258"/>
      <c r="DV196" s="258"/>
      <c r="DW196" s="258"/>
      <c r="DX196" s="90"/>
      <c r="DY196" s="258"/>
      <c r="DZ196" s="258"/>
      <c r="EA196" s="258"/>
      <c r="EB196" s="258"/>
      <c r="EC196" s="258"/>
      <c r="ED196" s="90"/>
      <c r="EE196" s="258"/>
      <c r="EF196" s="258"/>
      <c r="EG196" s="258"/>
      <c r="EH196" s="258"/>
      <c r="EI196" s="258"/>
      <c r="EJ196" s="90"/>
      <c r="EK196" s="258"/>
      <c r="EL196" s="258"/>
      <c r="EM196" s="258"/>
      <c r="EN196" s="258"/>
      <c r="EO196" s="258"/>
      <c r="EP196" s="90"/>
      <c r="EQ196" s="258"/>
      <c r="ER196" s="258"/>
      <c r="ES196" s="258"/>
      <c r="ET196" s="258"/>
      <c r="EU196" s="258"/>
      <c r="EV196" s="90"/>
      <c r="EW196" s="90"/>
      <c r="EX196" s="90"/>
      <c r="EY196" s="90"/>
      <c r="EZ196" s="90"/>
      <c r="FA196" s="90"/>
      <c r="FB196" s="90"/>
    </row>
    <row r="197" spans="1:158" hidden="1">
      <c r="A197" s="179" t="s">
        <v>2395</v>
      </c>
      <c r="B197" s="32"/>
      <c r="C197" s="90"/>
      <c r="D197" s="90"/>
      <c r="E197" s="90"/>
      <c r="F197" s="90"/>
      <c r="G197" s="61"/>
      <c r="H197" s="90"/>
      <c r="I197" s="90"/>
      <c r="J197" s="90"/>
      <c r="K197" s="90"/>
      <c r="L197" s="90"/>
      <c r="M197" s="90"/>
      <c r="N197" s="90"/>
      <c r="O197" s="278">
        <f>Model!O165</f>
        <v>0</v>
      </c>
      <c r="P197" s="278">
        <f>Model!P165</f>
        <v>0</v>
      </c>
      <c r="Q197" s="278">
        <f>Model!Q165</f>
        <v>0</v>
      </c>
      <c r="R197" s="278">
        <f>Model!R165</f>
        <v>0</v>
      </c>
      <c r="S197" s="278">
        <f>Model!S165</f>
        <v>0.2206591028220693</v>
      </c>
      <c r="T197" s="90"/>
      <c r="U197" s="278">
        <f>Model!U165</f>
        <v>0</v>
      </c>
      <c r="V197" s="278">
        <f>Model!V165</f>
        <v>0</v>
      </c>
      <c r="W197" s="278">
        <f>Model!W165</f>
        <v>0</v>
      </c>
      <c r="X197" s="278">
        <f>Model!X165</f>
        <v>0</v>
      </c>
      <c r="Y197" s="278">
        <f>Model!Y165</f>
        <v>-0.18523736904919771</v>
      </c>
      <c r="Z197" s="90"/>
      <c r="AA197" s="278">
        <f>Model!AA165</f>
        <v>0</v>
      </c>
      <c r="AB197" s="278">
        <f>Model!AB165</f>
        <v>0</v>
      </c>
      <c r="AC197" s="278">
        <f>Model!AC165</f>
        <v>0</v>
      </c>
      <c r="AD197" s="278">
        <f>Model!AD165</f>
        <v>0</v>
      </c>
      <c r="AE197" s="278">
        <f>Model!AE165</f>
        <v>0.16705403834979662</v>
      </c>
      <c r="AF197" s="90"/>
      <c r="AG197" s="278">
        <f>Model!AG165</f>
        <v>0</v>
      </c>
      <c r="AH197" s="278">
        <f>Model!AH165</f>
        <v>0</v>
      </c>
      <c r="AI197" s="278">
        <f>Model!AI165</f>
        <v>0</v>
      </c>
      <c r="AJ197" s="278">
        <f>Model!AJ165</f>
        <v>0</v>
      </c>
      <c r="AK197" s="278">
        <f>Model!AK165</f>
        <v>0.12242899118511263</v>
      </c>
      <c r="AL197" s="278"/>
      <c r="AM197" s="278">
        <f>Model!AM165</f>
        <v>1.5633181871927929E-2</v>
      </c>
      <c r="AN197" s="278">
        <f>Model!AN165</f>
        <v>7.8363939461560308E-3</v>
      </c>
      <c r="AO197" s="278">
        <f>Model!AO165</f>
        <v>-7.6159366010841417E-2</v>
      </c>
      <c r="AP197" s="278">
        <f>Model!AP165</f>
        <v>-3.1588948529770795E-2</v>
      </c>
      <c r="AQ197" s="278">
        <f>Model!AQ165</f>
        <v>-8.320179809682228E-2</v>
      </c>
      <c r="AR197" s="278"/>
      <c r="AS197" s="278">
        <f>Model!AS165</f>
        <v>-1.7673977517233361E-2</v>
      </c>
      <c r="AT197" s="278">
        <f>Model!AT165</f>
        <v>0.10521329102767486</v>
      </c>
      <c r="AU197" s="278">
        <f>Model!AU165</f>
        <v>5.265578193157331E-2</v>
      </c>
      <c r="AV197" s="278">
        <f>Model!AV165</f>
        <v>0.17050660480486021</v>
      </c>
      <c r="AW197" s="278">
        <f>Model!AW165</f>
        <v>0.31479351848649428</v>
      </c>
      <c r="AX197" s="278"/>
      <c r="AY197" s="278">
        <f>Model!AY165</f>
        <v>0.12466471081307642</v>
      </c>
      <c r="AZ197" s="278">
        <f>Model!AZ165</f>
        <v>0.10331714596958588</v>
      </c>
      <c r="BA197" s="278">
        <f>Model!BA165</f>
        <v>0.24327135508216277</v>
      </c>
      <c r="BB197" s="278">
        <f>Model!BB165</f>
        <v>0.18502176493866218</v>
      </c>
      <c r="BC197" s="278">
        <f>Model!BC165</f>
        <v>0.65890346064613303</v>
      </c>
      <c r="BD197" s="104"/>
      <c r="BE197" s="278">
        <f>Model!BE165</f>
        <v>0.23572402727637373</v>
      </c>
      <c r="BF197" s="248">
        <f>Model!BF165</f>
        <v>0.23386336396324392</v>
      </c>
      <c r="BG197" s="248">
        <f>Model!BG165</f>
        <v>0.31806012024048097</v>
      </c>
      <c r="BH197" s="248">
        <f>Model!BH165</f>
        <v>0.26332663720369626</v>
      </c>
      <c r="BI197" s="248">
        <f>Model!BI165</f>
        <v>1.0509018036072142</v>
      </c>
      <c r="BJ197" s="104"/>
      <c r="BK197" s="258">
        <f>Model!BK165</f>
        <v>0</v>
      </c>
      <c r="BL197" s="258">
        <f>Model!BL165</f>
        <v>0</v>
      </c>
      <c r="BM197" s="258">
        <f>Model!BM165</f>
        <v>0</v>
      </c>
      <c r="BN197" s="258">
        <f>Model!BN165</f>
        <v>0</v>
      </c>
      <c r="BO197" s="258">
        <f>Model!BO165</f>
        <v>0</v>
      </c>
      <c r="BP197" s="104"/>
      <c r="BQ197" s="258"/>
      <c r="BR197" s="258"/>
      <c r="BS197" s="258"/>
      <c r="BT197" s="258"/>
      <c r="BU197" s="258"/>
      <c r="BV197" s="104"/>
      <c r="BW197" s="258"/>
      <c r="BX197" s="258"/>
      <c r="BY197" s="258"/>
      <c r="BZ197" s="258"/>
      <c r="CA197" s="258"/>
      <c r="CB197" s="104"/>
      <c r="CC197" s="258"/>
      <c r="CD197" s="258"/>
      <c r="CE197" s="258"/>
      <c r="CF197" s="258"/>
      <c r="CG197" s="258"/>
      <c r="CH197" s="104"/>
      <c r="CI197" s="258"/>
      <c r="CJ197" s="258"/>
      <c r="CK197" s="258"/>
      <c r="CL197" s="258"/>
      <c r="CM197" s="258"/>
      <c r="CN197" s="104"/>
      <c r="CO197" s="258"/>
      <c r="CP197" s="258"/>
      <c r="CQ197" s="258"/>
      <c r="CR197" s="258"/>
      <c r="CS197" s="258"/>
      <c r="CT197" s="104"/>
      <c r="CU197" s="258"/>
      <c r="CV197" s="258"/>
      <c r="CW197" s="258"/>
      <c r="CX197" s="258"/>
      <c r="CY197" s="258"/>
      <c r="CZ197" s="104"/>
      <c r="DA197" s="258"/>
      <c r="DB197" s="258"/>
      <c r="DC197" s="258"/>
      <c r="DD197" s="258"/>
      <c r="DE197" s="258"/>
      <c r="DF197" s="104"/>
      <c r="DG197" s="258"/>
      <c r="DH197" s="258"/>
      <c r="DI197" s="258"/>
      <c r="DJ197" s="258"/>
      <c r="DK197" s="258"/>
      <c r="DL197" s="104"/>
      <c r="DM197" s="258"/>
      <c r="DN197" s="258"/>
      <c r="DO197" s="258"/>
      <c r="DP197" s="258"/>
      <c r="DQ197" s="258"/>
      <c r="DR197" s="104"/>
      <c r="DS197" s="258"/>
      <c r="DT197" s="258"/>
      <c r="DU197" s="258"/>
      <c r="DV197" s="258"/>
      <c r="DW197" s="258"/>
      <c r="DX197" s="90"/>
      <c r="DY197" s="258"/>
      <c r="DZ197" s="258"/>
      <c r="EA197" s="258"/>
      <c r="EB197" s="258"/>
      <c r="EC197" s="258"/>
      <c r="ED197" s="90"/>
      <c r="EE197" s="258"/>
      <c r="EF197" s="258"/>
      <c r="EG197" s="258"/>
      <c r="EH197" s="258"/>
      <c r="EI197" s="258"/>
      <c r="EJ197" s="90"/>
      <c r="EK197" s="258"/>
      <c r="EL197" s="258"/>
      <c r="EM197" s="258"/>
      <c r="EN197" s="258"/>
      <c r="EO197" s="258"/>
      <c r="EP197" s="90"/>
      <c r="EQ197" s="258"/>
      <c r="ER197" s="258"/>
      <c r="ES197" s="258"/>
      <c r="ET197" s="258"/>
      <c r="EU197" s="258"/>
      <c r="EV197" s="90"/>
      <c r="EW197" s="90"/>
      <c r="EX197" s="90"/>
      <c r="EY197" s="90"/>
      <c r="EZ197" s="90"/>
      <c r="FA197" s="90"/>
      <c r="FB197" s="90"/>
    </row>
    <row r="198" spans="1:158" hidden="1">
      <c r="A198" s="90" t="s">
        <v>2396</v>
      </c>
      <c r="B198" s="32"/>
      <c r="C198" s="90"/>
      <c r="D198" s="90"/>
      <c r="E198" s="90"/>
      <c r="F198" s="90"/>
      <c r="G198" s="61"/>
      <c r="H198" s="90"/>
      <c r="I198" s="90"/>
      <c r="J198" s="90"/>
      <c r="K198" s="90"/>
      <c r="L198" s="90"/>
      <c r="M198" s="90"/>
      <c r="N198" s="90"/>
      <c r="O198" s="278">
        <f>O189/Model!O153</f>
        <v>2.0508555919637246E-2</v>
      </c>
      <c r="P198" s="278">
        <f>P189/Model!P153</f>
        <v>4.550559914168846E-2</v>
      </c>
      <c r="Q198" s="278">
        <f>Q189/Model!Q153</f>
        <v>2.7727565049623693E-2</v>
      </c>
      <c r="R198" s="278">
        <f>R189/Model!R153</f>
        <v>2.3495037488986029E-2</v>
      </c>
      <c r="S198" s="278">
        <f>S189/Model!S153</f>
        <v>0.11772289951133733</v>
      </c>
      <c r="T198" s="90"/>
      <c r="U198" s="278">
        <f>U189/Model!U153</f>
        <v>0.1111318513490582</v>
      </c>
      <c r="V198" s="278">
        <f>V189/Model!V153</f>
        <v>2.1528398472414077E-2</v>
      </c>
      <c r="W198" s="278">
        <f>W189/Model!W153</f>
        <v>6.2158843238671484E-2</v>
      </c>
      <c r="X198" s="278">
        <f>X189/Model!X153</f>
        <v>1.6624196585080832E-2</v>
      </c>
      <c r="Y198" s="278">
        <f>Y189/Model!Y153</f>
        <v>0.20714018174119789</v>
      </c>
      <c r="Z198" s="90"/>
      <c r="AA198" s="278">
        <f>AA189/Model!AA153</f>
        <v>1.8195835929885128E-2</v>
      </c>
      <c r="AB198" s="278">
        <f>AB189/Model!AB153</f>
        <v>1.9361637296226714E-2</v>
      </c>
      <c r="AC198" s="278">
        <f>AC189/Model!AC153</f>
        <v>1.4656667776356581E-2</v>
      </c>
      <c r="AD198" s="278">
        <f>AD189/Model!AD153</f>
        <v>1.6457680250783705E-2</v>
      </c>
      <c r="AE198" s="278">
        <f>AE189/Model!AE153</f>
        <v>6.9094575657107679E-2</v>
      </c>
      <c r="AF198" s="90"/>
      <c r="AG198" s="278">
        <f>AG189/Model!AG153</f>
        <v>1.6462623514570347E-2</v>
      </c>
      <c r="AH198" s="278">
        <f>AH189/Model!AH153</f>
        <v>4.6952970741339084E-2</v>
      </c>
      <c r="AI198" s="278">
        <f>AI189/Model!AI153</f>
        <v>-3.2137261816023053E-3</v>
      </c>
      <c r="AJ198" s="278">
        <f>AJ189/Model!AJ153</f>
        <v>6.6649479580868129E-2</v>
      </c>
      <c r="AK198" s="278">
        <f>AK189/Model!AK153</f>
        <v>0.127606624521414</v>
      </c>
      <c r="AL198" s="278"/>
      <c r="AM198" s="278">
        <f>AM189/Model!AM153</f>
        <v>2.0155909528555341E-2</v>
      </c>
      <c r="AN198" s="278">
        <f>AN189/Model!AN153</f>
        <v>1.9711309172212581E-2</v>
      </c>
      <c r="AO198" s="278">
        <f>AO189/Model!AO153</f>
        <v>-3.2983145176914128E-2</v>
      </c>
      <c r="AP198" s="278">
        <f>AP189/Model!AP153</f>
        <v>-2.4522277650521347E-2</v>
      </c>
      <c r="AQ198" s="278">
        <f>AQ189/Model!AQ153</f>
        <v>-1.6559657338465074E-2</v>
      </c>
      <c r="AR198" s="278"/>
      <c r="AS198" s="278">
        <f>AS189/Model!AS153</f>
        <v>-1.7413571214498529E-2</v>
      </c>
      <c r="AT198" s="278">
        <f>AT189/Model!AT153</f>
        <v>1.8513132381455921E-2</v>
      </c>
      <c r="AU198" s="278">
        <f>AU189/Model!AU153</f>
        <v>5.265578193157331E-2</v>
      </c>
      <c r="AV198" s="278">
        <f>AV189/Model!AV153</f>
        <v>0.15133472967447473</v>
      </c>
      <c r="AW198" s="278">
        <f>AW189/Model!AW153</f>
        <v>0.2098709922872066</v>
      </c>
      <c r="AX198" s="278"/>
      <c r="AY198" s="278">
        <f>AY189/Model!AY153</f>
        <v>0.16531852472757766</v>
      </c>
      <c r="AZ198" s="278">
        <f>AZ189/Model!AZ153</f>
        <v>0.12965320202548217</v>
      </c>
      <c r="BA198" s="278">
        <f>BA189/Model!BA153</f>
        <v>0.13612101078840846</v>
      </c>
      <c r="BB198" s="278">
        <f>BB189/Model!BB153</f>
        <v>0.22740799366838127</v>
      </c>
      <c r="BC198" s="278">
        <f>BC189/Model!BC153</f>
        <v>0.66065666033679238</v>
      </c>
      <c r="BD198" s="104"/>
      <c r="BE198" s="278">
        <f>BE189/Model!BE153</f>
        <v>0.23371841155234646</v>
      </c>
      <c r="BF198" s="248">
        <f>BF189/Model!BF153</f>
        <v>0.22945665201757875</v>
      </c>
      <c r="BG198" s="248">
        <f>BG189/Model!BG153</f>
        <v>0.25070140280561126</v>
      </c>
      <c r="BH198" s="248">
        <f>BH189/Model!BH153</f>
        <v>0.30114905584572116</v>
      </c>
      <c r="BI198" s="248">
        <f>BI189/Model!BI153</f>
        <v>1.0144288577154308</v>
      </c>
      <c r="BJ198" s="104"/>
      <c r="BK198" s="258">
        <f>BK189/Model!BK153</f>
        <v>0.23827865532604292</v>
      </c>
      <c r="BL198" s="258">
        <f>BL189/Model!BL153</f>
        <v>0.30662305805396572</v>
      </c>
      <c r="BM198" s="258">
        <f>BM189/Model!BM153</f>
        <v>0.21413892314015609</v>
      </c>
      <c r="BN198" s="258">
        <f>BN189/Model!BN153</f>
        <v>0.38712306438467808</v>
      </c>
      <c r="BO198" s="258">
        <f>BO189/Model!BO153</f>
        <v>1.1552769233299887</v>
      </c>
      <c r="BP198" s="104"/>
      <c r="BQ198" s="258"/>
      <c r="BR198" s="258"/>
      <c r="BS198" s="258"/>
      <c r="BT198" s="258"/>
      <c r="BU198" s="258"/>
      <c r="BV198" s="104"/>
      <c r="BW198" s="258"/>
      <c r="BX198" s="258"/>
      <c r="BY198" s="258"/>
      <c r="BZ198" s="258"/>
      <c r="CA198" s="258"/>
      <c r="CB198" s="104"/>
      <c r="CC198" s="258"/>
      <c r="CD198" s="258"/>
      <c r="CE198" s="258"/>
      <c r="CF198" s="258"/>
      <c r="CG198" s="258"/>
      <c r="CH198" s="104"/>
      <c r="CI198" s="258"/>
      <c r="CJ198" s="258"/>
      <c r="CK198" s="258"/>
      <c r="CL198" s="258"/>
      <c r="CM198" s="258"/>
      <c r="CN198" s="104"/>
      <c r="CO198" s="258"/>
      <c r="CP198" s="258"/>
      <c r="CQ198" s="258"/>
      <c r="CR198" s="258"/>
      <c r="CS198" s="258"/>
      <c r="CT198" s="104"/>
      <c r="CU198" s="258"/>
      <c r="CV198" s="258"/>
      <c r="CW198" s="258"/>
      <c r="CX198" s="258"/>
      <c r="CY198" s="258"/>
      <c r="CZ198" s="104"/>
      <c r="DA198" s="258"/>
      <c r="DB198" s="258"/>
      <c r="DC198" s="258"/>
      <c r="DD198" s="258"/>
      <c r="DE198" s="258"/>
      <c r="DF198" s="104"/>
      <c r="DG198" s="258"/>
      <c r="DH198" s="258"/>
      <c r="DI198" s="258"/>
      <c r="DJ198" s="258"/>
      <c r="DK198" s="258"/>
      <c r="DL198" s="104"/>
      <c r="DM198" s="258"/>
      <c r="DN198" s="258"/>
      <c r="DO198" s="258"/>
      <c r="DP198" s="258"/>
      <c r="DQ198" s="258"/>
      <c r="DR198" s="104"/>
      <c r="DS198" s="258"/>
      <c r="DT198" s="258"/>
      <c r="DU198" s="258"/>
      <c r="DV198" s="258"/>
      <c r="DW198" s="258"/>
      <c r="DX198" s="90"/>
      <c r="DY198" s="258"/>
      <c r="DZ198" s="258"/>
      <c r="EA198" s="258"/>
      <c r="EB198" s="258"/>
      <c r="EC198" s="258"/>
      <c r="ED198" s="90"/>
      <c r="EE198" s="258"/>
      <c r="EF198" s="258"/>
      <c r="EG198" s="258"/>
      <c r="EH198" s="258"/>
      <c r="EI198" s="258"/>
      <c r="EJ198" s="90"/>
      <c r="EK198" s="258"/>
      <c r="EL198" s="258"/>
      <c r="EM198" s="258"/>
      <c r="EN198" s="258"/>
      <c r="EO198" s="258"/>
      <c r="EP198" s="90"/>
      <c r="EQ198" s="258"/>
      <c r="ER198" s="258"/>
      <c r="ES198" s="258"/>
      <c r="ET198" s="258"/>
      <c r="EU198" s="258"/>
      <c r="EV198" s="90"/>
      <c r="EW198" s="90"/>
      <c r="EX198" s="90"/>
      <c r="EY198" s="90"/>
      <c r="EZ198" s="90"/>
      <c r="FA198" s="90"/>
      <c r="FB198" s="90"/>
    </row>
    <row r="199" spans="1:158" hidden="1">
      <c r="A199" s="90"/>
      <c r="B199" s="32"/>
      <c r="C199" s="90"/>
      <c r="D199" s="90"/>
      <c r="E199" s="90"/>
      <c r="F199" s="90"/>
      <c r="G199" s="61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>
        <f>13.992*4</f>
        <v>55.968000000000004</v>
      </c>
      <c r="T199" s="90"/>
      <c r="U199" s="260"/>
      <c r="V199" s="90"/>
      <c r="W199" s="90"/>
      <c r="X199" s="90"/>
      <c r="Y199" s="492">
        <f>15.917*4</f>
        <v>63.667999999999999</v>
      </c>
      <c r="Z199" s="90"/>
      <c r="AA199" s="90"/>
      <c r="AB199" s="90"/>
      <c r="AC199" s="90"/>
      <c r="AD199" s="90"/>
      <c r="AE199" s="492">
        <f>13.499*4</f>
        <v>53.996000000000002</v>
      </c>
      <c r="AF199" s="90"/>
      <c r="AG199" s="90"/>
      <c r="AH199" s="90"/>
      <c r="AI199" s="90"/>
      <c r="AJ199" s="90"/>
      <c r="AK199" s="492"/>
      <c r="AL199" s="90"/>
      <c r="AM199" s="90"/>
      <c r="AN199" s="90"/>
      <c r="AO199" s="90"/>
      <c r="AP199" s="90"/>
      <c r="AQ199" s="493"/>
      <c r="AR199" s="90"/>
      <c r="AS199" s="90"/>
      <c r="AT199" s="90"/>
      <c r="AU199" s="90"/>
      <c r="AV199" s="90"/>
      <c r="AW199" s="493"/>
      <c r="AX199" s="356"/>
      <c r="AY199" s="356"/>
      <c r="AZ199" s="356"/>
      <c r="BA199" s="356"/>
      <c r="BB199" s="356"/>
      <c r="BC199" s="493"/>
      <c r="BD199" s="90"/>
      <c r="BE199" s="108"/>
      <c r="BF199" s="108"/>
      <c r="BG199" s="108"/>
      <c r="BH199" s="108"/>
      <c r="BI199" s="108"/>
      <c r="BJ199" s="90"/>
      <c r="BK199" s="26"/>
      <c r="BL199" s="26"/>
      <c r="BM199" s="26"/>
      <c r="BN199" s="26"/>
      <c r="BO199" s="26"/>
      <c r="BP199" s="90"/>
      <c r="BQ199" s="26"/>
      <c r="BR199" s="26"/>
      <c r="BS199" s="26"/>
      <c r="BT199" s="26"/>
      <c r="BU199" s="26"/>
      <c r="BV199" s="90"/>
      <c r="BW199" s="26"/>
      <c r="BX199" s="26" t="s">
        <v>3808</v>
      </c>
      <c r="BY199" s="26"/>
      <c r="BZ199" s="26"/>
      <c r="CA199" s="26"/>
      <c r="CB199" s="90"/>
      <c r="CC199" s="26"/>
      <c r="CD199" s="26"/>
      <c r="CE199" s="26"/>
      <c r="CF199" s="26"/>
      <c r="CG199" s="26"/>
      <c r="CH199" s="90"/>
      <c r="CI199" s="26"/>
      <c r="CJ199" s="26"/>
      <c r="CK199" s="26"/>
      <c r="CL199" s="26"/>
      <c r="CM199" s="26"/>
      <c r="CN199" s="90"/>
      <c r="CO199" s="26"/>
      <c r="CP199" s="26"/>
      <c r="CQ199" s="26"/>
      <c r="CR199" s="26"/>
      <c r="CS199" s="26"/>
      <c r="CT199" s="90"/>
      <c r="CU199" s="26"/>
      <c r="CV199" s="26"/>
      <c r="CW199" s="26"/>
      <c r="CX199" s="26"/>
      <c r="CY199" s="26"/>
      <c r="CZ199" s="90"/>
      <c r="DA199" s="26"/>
      <c r="DB199" s="26"/>
      <c r="DC199" s="26"/>
      <c r="DD199" s="26"/>
      <c r="DE199" s="26"/>
      <c r="DF199" s="90"/>
      <c r="DG199" s="26"/>
      <c r="DH199" s="26"/>
      <c r="DI199" s="26"/>
      <c r="DJ199" s="26"/>
      <c r="DK199" s="26"/>
      <c r="DL199" s="90"/>
      <c r="DM199" s="26"/>
      <c r="DN199" s="26"/>
      <c r="DO199" s="26"/>
      <c r="DP199" s="26"/>
      <c r="DQ199" s="26"/>
      <c r="DR199" s="90"/>
      <c r="DS199" s="26"/>
      <c r="DT199" s="26"/>
      <c r="DU199" s="26"/>
      <c r="DV199" s="26"/>
      <c r="DW199" s="26"/>
      <c r="DX199" s="90"/>
      <c r="DY199" s="26"/>
      <c r="DZ199" s="26"/>
      <c r="EA199" s="26"/>
      <c r="EB199" s="26"/>
      <c r="EC199" s="26"/>
      <c r="ED199" s="90"/>
      <c r="EE199" s="26"/>
      <c r="EF199" s="26"/>
      <c r="EG199" s="26"/>
      <c r="EH199" s="26"/>
      <c r="EI199" s="26"/>
      <c r="EJ199" s="90"/>
      <c r="EK199" s="26"/>
      <c r="EL199" s="26"/>
      <c r="EM199" s="26"/>
      <c r="EN199" s="26"/>
      <c r="EO199" s="26"/>
      <c r="EP199" s="90"/>
      <c r="EQ199" s="26"/>
      <c r="ER199" s="26"/>
      <c r="ES199" s="26"/>
      <c r="ET199" s="26"/>
      <c r="EU199" s="26"/>
      <c r="EV199" s="90"/>
      <c r="EW199" s="90"/>
      <c r="EX199" s="90"/>
      <c r="EY199" s="90"/>
      <c r="EZ199" s="90"/>
      <c r="FA199" s="90"/>
      <c r="FB199" s="90"/>
    </row>
    <row r="200" spans="1:158" hidden="1">
      <c r="A200" s="90" t="s">
        <v>4238</v>
      </c>
      <c r="B200" s="32"/>
      <c r="C200" s="90"/>
      <c r="D200" s="90"/>
      <c r="E200" s="90"/>
      <c r="F200" s="90"/>
      <c r="G200" s="61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168">
        <f>Model!S155</f>
        <v>225.57599999999999</v>
      </c>
      <c r="T200" s="90"/>
      <c r="U200" s="90"/>
      <c r="V200" s="90"/>
      <c r="W200" s="90"/>
      <c r="X200" s="168"/>
      <c r="Y200" s="168">
        <f>Model!Y155</f>
        <v>241.31200000000001</v>
      </c>
      <c r="Z200" s="90"/>
      <c r="AA200" s="90"/>
      <c r="AB200" s="90"/>
      <c r="AC200" s="90"/>
      <c r="AD200" s="90"/>
      <c r="AE200" s="168">
        <f>Model!AE157</f>
        <v>218.85599999999999</v>
      </c>
      <c r="AF200" s="90"/>
      <c r="AG200" s="90"/>
      <c r="AH200" s="90"/>
      <c r="AI200" s="90"/>
      <c r="AJ200" s="90"/>
      <c r="AK200" s="168">
        <f>Model!AK157</f>
        <v>222.57400000000001</v>
      </c>
      <c r="AL200" s="90"/>
      <c r="AM200" s="90"/>
      <c r="AN200" s="90"/>
      <c r="AO200" s="90"/>
      <c r="AP200" s="90"/>
      <c r="AQ200" s="168">
        <f>Model!AQ157</f>
        <v>224.52799999999999</v>
      </c>
      <c r="AR200" s="90"/>
      <c r="AS200" s="168">
        <f>Model!AS157</f>
        <v>223.6</v>
      </c>
      <c r="AT200" s="168">
        <f>Model!AT157</f>
        <v>221.2</v>
      </c>
      <c r="AU200" s="168">
        <f>Model!AU157</f>
        <v>225.6</v>
      </c>
      <c r="AV200" s="168">
        <f>Model!AV157</f>
        <v>223.44</v>
      </c>
      <c r="AW200" s="168">
        <f>AV200</f>
        <v>223.44</v>
      </c>
      <c r="AX200" s="90"/>
      <c r="AY200" s="168">
        <f>Model!AY157</f>
        <v>227</v>
      </c>
      <c r="AZ200" s="168">
        <f>Model!AZ157</f>
        <v>231.2</v>
      </c>
      <c r="BA200" s="168">
        <f>Model!BA157</f>
        <v>229.5</v>
      </c>
      <c r="BB200" s="168">
        <f>Model!BB157</f>
        <v>227.61099999999999</v>
      </c>
      <c r="BC200" s="168">
        <f>Model!BC157</f>
        <v>227.61099999999999</v>
      </c>
      <c r="BD200" s="90"/>
      <c r="BE200" s="168">
        <f>Model!BE157</f>
        <v>228.6</v>
      </c>
      <c r="BF200" s="168">
        <f>Model!BF157</f>
        <v>228.4</v>
      </c>
      <c r="BG200" s="168">
        <f>Model!BG157</f>
        <v>230.8</v>
      </c>
      <c r="BH200" s="168">
        <f>Model!BH157</f>
        <v>229.6</v>
      </c>
      <c r="BI200" s="168">
        <f>Model!BI155</f>
        <v>228.92500000000001</v>
      </c>
      <c r="BJ200" s="90"/>
      <c r="BK200" s="168">
        <f>Model!BK157</f>
        <v>231.7</v>
      </c>
      <c r="BL200" s="1400">
        <f>Model!BL157</f>
        <v>231</v>
      </c>
      <c r="BM200" s="1400">
        <f>Model!BM157</f>
        <v>231</v>
      </c>
      <c r="BN200" s="1400">
        <f>Model!BN157</f>
        <v>231</v>
      </c>
      <c r="BO200" s="1400">
        <f>Model!BO155</f>
        <v>230.74100000000001</v>
      </c>
      <c r="BP200" s="902"/>
      <c r="BQ200" s="1400"/>
      <c r="BR200" s="1400"/>
      <c r="BS200" s="1400"/>
      <c r="BT200" s="1400"/>
      <c r="BU200" s="1400">
        <f>Model!BU155</f>
        <v>230.48224999999999</v>
      </c>
      <c r="BV200" s="902"/>
      <c r="BW200" s="1400"/>
      <c r="BX200" s="168">
        <f>Model!BX157</f>
        <v>224.52799999999999</v>
      </c>
      <c r="BY200" s="168">
        <f>Model!BY157</f>
        <v>226.24799999999999</v>
      </c>
      <c r="BZ200" s="168">
        <f>Model!BZ157</f>
        <v>226.35400000000001</v>
      </c>
      <c r="CA200" s="168">
        <f>Model!CA155</f>
        <v>225.5</v>
      </c>
      <c r="CB200" s="90"/>
      <c r="CC200" s="168">
        <f>Model!CC157</f>
        <v>228.21899999999999</v>
      </c>
      <c r="CD200" s="168">
        <f>Model!CD157</f>
        <v>229.4</v>
      </c>
      <c r="CE200" s="168">
        <f>Model!CE157</f>
        <v>229.6</v>
      </c>
      <c r="CF200" s="168">
        <f>Model!CF157</f>
        <v>229</v>
      </c>
      <c r="CG200" s="168">
        <f>Model!CG155</f>
        <v>228.65</v>
      </c>
      <c r="CH200" s="90"/>
      <c r="CI200" s="168">
        <f>Model!CI157</f>
        <v>229</v>
      </c>
      <c r="CJ200" s="168">
        <f>Model!CJ157</f>
        <v>227.283469</v>
      </c>
      <c r="CK200" s="168">
        <f>Model!CK157</f>
        <v>226.01180695909221</v>
      </c>
      <c r="CL200" s="168">
        <f>Model!CL157</f>
        <v>225.24014491818443</v>
      </c>
      <c r="CM200" s="168">
        <f>Model!CM155</f>
        <v>227.625</v>
      </c>
      <c r="CN200" s="90"/>
      <c r="CO200" s="168">
        <f>Model!CO157</f>
        <v>229</v>
      </c>
      <c r="CP200" s="168">
        <f>Model!CP157</f>
        <v>229.5</v>
      </c>
      <c r="CQ200" s="168">
        <f>Model!CQ157</f>
        <v>227.27500000000001</v>
      </c>
      <c r="CR200" s="168">
        <f>Model!CR157</f>
        <v>226.55</v>
      </c>
      <c r="CS200" s="168">
        <f>Model!CS155</f>
        <v>227.70000000000002</v>
      </c>
      <c r="CT200" s="90"/>
      <c r="CU200" s="168">
        <f>Model!CU157</f>
        <v>228</v>
      </c>
      <c r="CV200" s="168">
        <f>Model!CV157</f>
        <v>227</v>
      </c>
      <c r="CW200" s="168">
        <f>Model!CW157</f>
        <v>225.55</v>
      </c>
      <c r="CX200" s="168">
        <f>Model!CX157</f>
        <v>223.6</v>
      </c>
      <c r="CY200" s="168">
        <f>Model!CY155</f>
        <v>226.375</v>
      </c>
      <c r="CZ200" s="90"/>
      <c r="DA200" s="168">
        <f>Model!DA157</f>
        <v>224.8</v>
      </c>
      <c r="DB200" s="168">
        <f>Model!DB157</f>
        <v>223</v>
      </c>
      <c r="DC200" s="168">
        <f>Model!DC157</f>
        <v>225.6</v>
      </c>
      <c r="DD200" s="168">
        <f>Model!DD157</f>
        <v>226.7</v>
      </c>
      <c r="DE200" s="168">
        <f>Model!DE155</f>
        <v>223.72499999999999</v>
      </c>
      <c r="DF200" s="90"/>
      <c r="DG200" s="168">
        <f>Model!DG157</f>
        <v>227.86688000000001</v>
      </c>
      <c r="DH200" s="168">
        <f>Model!DH157</f>
        <v>227.23645300000001</v>
      </c>
      <c r="DI200" s="168">
        <f>Model!DI157</f>
        <v>227.52050399999999</v>
      </c>
      <c r="DJ200" s="168">
        <f>Model!DJ157</f>
        <v>227</v>
      </c>
      <c r="DK200" s="168">
        <f>Model!DK155</f>
        <v>227.17500000000001</v>
      </c>
      <c r="DL200" s="90"/>
      <c r="DM200" s="168">
        <f>Model!DM157</f>
        <v>226.9</v>
      </c>
      <c r="DN200" s="168">
        <f>Model!DN157</f>
        <v>226.8</v>
      </c>
      <c r="DO200" s="168">
        <f>Model!DO157</f>
        <v>226.70000000000002</v>
      </c>
      <c r="DP200" s="168">
        <f>Model!DP157</f>
        <v>226.60000000000002</v>
      </c>
      <c r="DQ200" s="168">
        <f>Model!DQ155</f>
        <v>226.05</v>
      </c>
      <c r="DR200" s="90"/>
      <c r="DS200" s="168">
        <f>Model!DS157</f>
        <v>225.85000000000002</v>
      </c>
      <c r="DT200" s="168">
        <f>Model!DT157</f>
        <v>223.85000000000002</v>
      </c>
      <c r="DU200" s="168">
        <f>Model!DU157</f>
        <v>221.85000000000002</v>
      </c>
      <c r="DV200" s="168">
        <f>Model!DV157</f>
        <v>219.85000000000002</v>
      </c>
      <c r="DW200" s="168">
        <f>Model!DW155</f>
        <v>222.75000000000003</v>
      </c>
      <c r="DX200" s="90"/>
      <c r="DY200" s="168">
        <f>Model!DY157</f>
        <v>219.10000000000002</v>
      </c>
      <c r="DZ200" s="168">
        <f>Model!DZ157</f>
        <v>219.19224800000001</v>
      </c>
      <c r="EA200" s="168">
        <f>Model!EA157</f>
        <v>218.94224800000001</v>
      </c>
      <c r="EB200" s="168">
        <f>Model!EB157</f>
        <v>216.94224800000001</v>
      </c>
      <c r="EC200" s="168">
        <f>Model!EC155</f>
        <v>219.52500000000001</v>
      </c>
      <c r="ED200" s="90"/>
      <c r="EE200" s="168">
        <f>Model!EE157</f>
        <v>216.44224800000001</v>
      </c>
      <c r="EF200" s="168">
        <f>Model!EF157</f>
        <v>215.94224800000001</v>
      </c>
      <c r="EG200" s="168">
        <f>Model!EG157</f>
        <v>215.44224800000001</v>
      </c>
      <c r="EH200" s="168">
        <f>Model!EH157</f>
        <v>214.94224800000001</v>
      </c>
      <c r="EI200" s="168">
        <f>Model!EI155</f>
        <v>215.94224800000001</v>
      </c>
      <c r="EJ200" s="90"/>
      <c r="EK200" s="168">
        <f>Model!EK157</f>
        <v>212.94224800000001</v>
      </c>
      <c r="EL200" s="168">
        <f>Model!EL157</f>
        <v>211.94224800000001</v>
      </c>
      <c r="EM200" s="168">
        <f>Model!EM157</f>
        <v>210.94224800000001</v>
      </c>
      <c r="EN200" s="168">
        <f>Model!EN157</f>
        <v>209.94224800000001</v>
      </c>
      <c r="EO200" s="168">
        <f>Model!EO155</f>
        <v>212.06724800000001</v>
      </c>
      <c r="EP200" s="90"/>
      <c r="EQ200" s="168">
        <f>Model!EQ157</f>
        <v>209.44224800000001</v>
      </c>
      <c r="ER200" s="168">
        <f>Model!ER157</f>
        <v>208.94224800000001</v>
      </c>
      <c r="ES200" s="168">
        <f>Model!ES157</f>
        <v>208.44224800000001</v>
      </c>
      <c r="ET200" s="168">
        <f>Model!ET157</f>
        <v>207.94224800000001</v>
      </c>
      <c r="EU200" s="168">
        <f>Model!EU155</f>
        <v>208.94224800000001</v>
      </c>
      <c r="EV200" s="90"/>
      <c r="EW200" s="90"/>
      <c r="EX200" s="90"/>
      <c r="EY200" s="90"/>
      <c r="EZ200" s="90"/>
      <c r="FA200" s="90"/>
      <c r="FB200" s="90"/>
    </row>
    <row r="201" spans="1:158" hidden="1">
      <c r="A201" s="90" t="s">
        <v>3499</v>
      </c>
      <c r="B201" s="32"/>
      <c r="C201" s="90"/>
      <c r="D201" s="90"/>
      <c r="E201" s="90"/>
      <c r="F201" s="90"/>
      <c r="G201" s="61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260">
        <f>3.32*4</f>
        <v>13.28</v>
      </c>
      <c r="T201" s="90"/>
      <c r="U201" s="90"/>
      <c r="V201" s="90"/>
      <c r="W201" s="90"/>
      <c r="X201" s="112"/>
      <c r="Y201" s="208">
        <f>5.984*4</f>
        <v>23.936</v>
      </c>
      <c r="Z201" s="112"/>
      <c r="AA201" s="112"/>
      <c r="AB201" s="112"/>
      <c r="AC201" s="112"/>
      <c r="AD201" s="112"/>
      <c r="AE201" s="208">
        <f>4*4.455</f>
        <v>17.82</v>
      </c>
      <c r="AF201" s="112"/>
      <c r="AG201" s="112"/>
      <c r="AH201" s="112"/>
      <c r="AI201" s="112"/>
      <c r="AJ201" s="112"/>
      <c r="AK201" s="208">
        <f>2*8.724</f>
        <v>17.448</v>
      </c>
      <c r="AL201" s="112"/>
      <c r="AM201" s="112"/>
      <c r="AN201" s="112"/>
      <c r="AO201" s="112"/>
      <c r="AP201" s="112"/>
      <c r="AQ201" s="208">
        <f>(7.356+0.255)*2</f>
        <v>15.222</v>
      </c>
      <c r="AR201" s="90"/>
      <c r="AS201" s="90">
        <f>0.909*2</f>
        <v>1.8180000000000001</v>
      </c>
      <c r="AT201" s="90">
        <f>2.283*2-AS201</f>
        <v>2.7479999999999998</v>
      </c>
      <c r="AU201" s="90">
        <f>4.222*2-SUM(AS201:AT201)</f>
        <v>3.878000000000001</v>
      </c>
      <c r="AV201" s="488">
        <f>AW201-SUM(AS201:AU201)</f>
        <v>4.4759999999999991</v>
      </c>
      <c r="AW201" s="208">
        <f>2*6.46</f>
        <v>12.92</v>
      </c>
      <c r="AX201" s="112"/>
      <c r="AY201" s="112">
        <f>2.753*2</f>
        <v>5.5060000000000002</v>
      </c>
      <c r="AZ201" s="112">
        <f>4.458*2-AY201</f>
        <v>3.41</v>
      </c>
      <c r="BA201" s="112">
        <f>10.53-(SUM(AY201:AZ201))</f>
        <v>1.613999999999999</v>
      </c>
      <c r="BB201" s="497">
        <f>BC201-SUM(AY201:BA201)</f>
        <v>1.0200000000000014</v>
      </c>
      <c r="BC201" s="208">
        <v>11.55</v>
      </c>
      <c r="BD201" s="90"/>
      <c r="BE201" s="208">
        <v>5.032</v>
      </c>
      <c r="BF201" s="208">
        <f>5.719-BE201</f>
        <v>0.68700000000000028</v>
      </c>
      <c r="BG201" s="208">
        <f>6.229-BF201-BE201</f>
        <v>0.50999999999999979</v>
      </c>
      <c r="BH201" s="497">
        <f>BI201-SUM(BE201:BG201)</f>
        <v>0.79300000000000015</v>
      </c>
      <c r="BI201" s="208">
        <f>6.824+0.198</f>
        <v>7.0220000000000002</v>
      </c>
      <c r="BJ201" s="90"/>
      <c r="BK201" s="208">
        <f>3.853+0.012</f>
        <v>3.8650000000000002</v>
      </c>
      <c r="BL201" s="1401">
        <f>BL214*Metrics!BL419/1000000</f>
        <v>2.1851210843226321</v>
      </c>
      <c r="BM201" s="1401">
        <f>BM214*Metrics!BM419/1000000</f>
        <v>2.224086377150666</v>
      </c>
      <c r="BN201" s="1401">
        <f>BN214*Metrics!BN419/1000000</f>
        <v>2.2630516699786991</v>
      </c>
      <c r="BO201" s="1401">
        <f>SUM(BK201:BN201)</f>
        <v>10.537259131451998</v>
      </c>
      <c r="BP201" s="902"/>
      <c r="BQ201" s="1401"/>
      <c r="BR201" s="1401"/>
      <c r="BS201" s="1401"/>
      <c r="BT201" s="1401"/>
      <c r="BU201" s="1401"/>
      <c r="BV201" s="902"/>
      <c r="BW201" s="1401"/>
      <c r="BX201" s="208">
        <v>5.3170000000000002</v>
      </c>
      <c r="BY201" s="208">
        <f>BY214*Metrics!BY419/1000000</f>
        <v>3.0819795377858488</v>
      </c>
      <c r="BZ201" s="208">
        <f>BZ214*Metrics!BZ419/1000000</f>
        <v>3.0819795377858488</v>
      </c>
      <c r="CA201" s="208">
        <f>SUM(BW201:BZ201)</f>
        <v>11.480959075571697</v>
      </c>
      <c r="CB201" s="90"/>
      <c r="CC201" s="208">
        <f>CC214*Metrics!CC419/1000000</f>
        <v>2.8400441440696591</v>
      </c>
      <c r="CD201" s="208">
        <f>CD214*Metrics!CD419/1000000</f>
        <v>2.7548428197475694</v>
      </c>
      <c r="CE201" s="208">
        <f>CE214*Metrics!CE419/1000000</f>
        <v>2.6721975351551421</v>
      </c>
      <c r="CF201" s="208">
        <v>6.766</v>
      </c>
      <c r="CG201" s="208">
        <f>SUM(CC201:CF201)</f>
        <v>15.03308449897237</v>
      </c>
      <c r="CH201" s="90"/>
      <c r="CI201" s="208">
        <f>CI214*Metrics!CI419/1000000</f>
        <v>2.4248856953066347</v>
      </c>
      <c r="CJ201" s="208">
        <f>CJ214*Metrics!CJ419/1000000</f>
        <v>2.4248856953066347</v>
      </c>
      <c r="CK201" s="208">
        <f>CK214*Metrics!CK419/1000000</f>
        <v>2.4248856953066347</v>
      </c>
      <c r="CL201" s="208">
        <f>CL214*Metrics!CL419/1000000</f>
        <v>2.4248856953066347</v>
      </c>
      <c r="CM201" s="208">
        <f>SUM(CI201:CL201)</f>
        <v>9.6995427812265387</v>
      </c>
      <c r="CN201" s="90"/>
      <c r="CO201" s="208">
        <f>CO214*Metrics!CO419/1000000</f>
        <v>2.3266778246467155</v>
      </c>
      <c r="CP201" s="208">
        <f>CP214*Metrics!CP419/1000000</f>
        <v>2.3499446028931832</v>
      </c>
      <c r="CQ201" s="208">
        <f>CQ214*Metrics!CQ419/1000000</f>
        <v>2.3734440489221145</v>
      </c>
      <c r="CR201" s="208">
        <f>CR214*Metrics!CR419/1000000</f>
        <v>2.3971784894113357</v>
      </c>
      <c r="CS201" s="208">
        <f>SUM(CO201:CR201)</f>
        <v>9.4472449658733488</v>
      </c>
      <c r="CT201" s="90"/>
      <c r="CU201" s="208">
        <f>CU214*Metrics!CU419/1000000</f>
        <v>2.3000927605901764</v>
      </c>
      <c r="CV201" s="208">
        <f>CV214*Metrics!CV419/1000000</f>
        <v>2.3230936881960784</v>
      </c>
      <c r="CW201" s="208">
        <f>CW214*Metrics!CW419/1000000</f>
        <v>2.3463246250780392</v>
      </c>
      <c r="CX201" s="208">
        <f>CX214*Metrics!CX419/1000000</f>
        <v>2.3697878713288194</v>
      </c>
      <c r="CY201" s="208">
        <f>SUM(CU201:CX201)</f>
        <v>9.3392989451931143</v>
      </c>
      <c r="CZ201" s="90"/>
      <c r="DA201" s="208">
        <f>DA214*Metrics!DA419/1000000</f>
        <v>2.2738114625400025</v>
      </c>
      <c r="DB201" s="208">
        <f>DB214*Metrics!DB419/1000000</f>
        <v>2.2965495771654023</v>
      </c>
      <c r="DC201" s="208">
        <f>DC214*Metrics!DC419/1000000</f>
        <v>2.3195150729370568</v>
      </c>
      <c r="DD201" s="208">
        <f>DD214*Metrics!DD419/1000000</f>
        <v>2.3427102236664274</v>
      </c>
      <c r="DE201" s="208">
        <f>SUM(DA201:DD201)</f>
        <v>9.2325863363088896</v>
      </c>
      <c r="DF201" s="90"/>
      <c r="DG201" s="208">
        <f>DG214*Metrics!DG419/1000000</f>
        <v>2.2478304596079375</v>
      </c>
      <c r="DH201" s="208">
        <f>DH214*Metrics!DH419/1000000</f>
        <v>2.2703087642040165</v>
      </c>
      <c r="DI201" s="208">
        <f>DI214*Metrics!DI419/1000000</f>
        <v>2.2930118518460572</v>
      </c>
      <c r="DJ201" s="208">
        <f>DJ214*Metrics!DJ419/1000000</f>
        <v>2.3159419703645172</v>
      </c>
      <c r="DK201" s="208">
        <f>SUM(DG201:DJ201)</f>
        <v>9.1270930460225266</v>
      </c>
      <c r="DL201" s="90"/>
      <c r="DM201" s="208">
        <f>DM214*Metrics!DM419/1000000</f>
        <v>2.2221463205647538</v>
      </c>
      <c r="DN201" s="208">
        <f>DN214*Metrics!DN419/1000000</f>
        <v>2.2443677837704015</v>
      </c>
      <c r="DO201" s="208">
        <f>DO214*Metrics!DO419/1000000</f>
        <v>2.2668114616081056</v>
      </c>
      <c r="DP201" s="208">
        <f>DP214*Metrics!DP419/1000000</f>
        <v>2.2894795762241866</v>
      </c>
      <c r="DQ201" s="208">
        <f>SUM(DM201:DP201)</f>
        <v>9.0228051421674476</v>
      </c>
      <c r="DR201" s="90"/>
      <c r="DS201" s="208">
        <f>DS214*Metrics!DS419/1000000</f>
        <v>2.1967556533871071</v>
      </c>
      <c r="DT201" s="208">
        <f>DT214*Metrics!DT419/1000000</f>
        <v>2.2187232099209782</v>
      </c>
      <c r="DU201" s="208">
        <f>DU214*Metrics!DU419/1000000</f>
        <v>2.240910442020188</v>
      </c>
      <c r="DV201" s="208">
        <f>DV214*Metrics!DV419/1000000</f>
        <v>2.2633195464403904</v>
      </c>
      <c r="DW201" s="208">
        <f>SUM(DS201:DV201)</f>
        <v>8.9197088517686627</v>
      </c>
      <c r="DX201" s="90"/>
      <c r="DY201" s="208">
        <f>DY214*Metrics!DY419/1000000</f>
        <v>2.1716551048095543</v>
      </c>
      <c r="DZ201" s="208">
        <f>DZ214*Metrics!DZ419/1000000</f>
        <v>2.1933716558576495</v>
      </c>
      <c r="EA201" s="208">
        <f>EA214*Metrics!EA419/1000000</f>
        <v>2.2153053724162262</v>
      </c>
      <c r="EB201" s="208">
        <f>EB214*Metrics!EB419/1000000</f>
        <v>2.2374584261403885</v>
      </c>
      <c r="EC201" s="208">
        <f>SUM(DY201:EB201)</f>
        <v>8.8177905592238197</v>
      </c>
      <c r="ED201" s="90"/>
      <c r="EE201" s="208">
        <f>EE214*Metrics!EE419/1000000</f>
        <v>2.1468413598817029</v>
      </c>
      <c r="EF201" s="208">
        <f>EF214*Metrics!EF419/1000000</f>
        <v>2.1683097734805199</v>
      </c>
      <c r="EG201" s="208">
        <f>EG214*Metrics!EG419/1000000</f>
        <v>2.1899928712153254</v>
      </c>
      <c r="EH201" s="208">
        <f>EH214*Metrics!EH419/1000000</f>
        <v>2.2118927999274782</v>
      </c>
      <c r="EI201" s="208">
        <f>SUM(EE201:EH201)</f>
        <v>8.7170368045050264</v>
      </c>
      <c r="EJ201" s="90"/>
      <c r="EK201" s="208">
        <f>EK214*Metrics!EK419/1000000</f>
        <v>2.1223111415304157</v>
      </c>
      <c r="EL201" s="208">
        <f>EL214*Metrics!EL419/1000000</f>
        <v>2.1435342529457198</v>
      </c>
      <c r="EM201" s="208">
        <f>EM214*Metrics!EM419/1000000</f>
        <v>2.1649695954751773</v>
      </c>
      <c r="EN201" s="208">
        <f>EN214*Metrics!EN419/1000000</f>
        <v>2.1866192914299289</v>
      </c>
      <c r="EO201" s="208">
        <f>SUM(EK201:EN201)</f>
        <v>8.617434281381243</v>
      </c>
      <c r="EP201" s="90"/>
      <c r="EQ201" s="208">
        <f>EQ214*Metrics!EQ419/1000000</f>
        <v>2.0980612101270171</v>
      </c>
      <c r="ER201" s="208">
        <f>ER214*Metrics!ER419/1000000</f>
        <v>2.1190418222282874</v>
      </c>
      <c r="ES201" s="208">
        <f>ES214*Metrics!ES419/1000000</f>
        <v>2.1402322404505703</v>
      </c>
      <c r="ET201" s="208">
        <f>ET214*Metrics!ET419/1000000</f>
        <v>2.1616345628550762</v>
      </c>
      <c r="EU201" s="208">
        <f>SUM(EQ201:ET201)</f>
        <v>8.5189698356609505</v>
      </c>
      <c r="EV201" s="90"/>
      <c r="EW201" s="90"/>
      <c r="EX201" s="90"/>
      <c r="EY201" s="90"/>
      <c r="EZ201" s="90"/>
      <c r="FA201" s="90"/>
      <c r="FB201" s="90"/>
    </row>
    <row r="202" spans="1:158" hidden="1">
      <c r="A202" s="183" t="s">
        <v>4570</v>
      </c>
      <c r="B202" s="32"/>
      <c r="C202" s="90"/>
      <c r="D202" s="90"/>
      <c r="E202" s="90"/>
      <c r="F202" s="90"/>
      <c r="G202" s="61"/>
      <c r="H202" s="90"/>
      <c r="I202" s="90"/>
      <c r="J202" s="90"/>
      <c r="K202" s="113"/>
      <c r="L202" s="113"/>
      <c r="M202" s="113"/>
      <c r="N202" s="113"/>
      <c r="O202" s="113"/>
      <c r="P202" s="113"/>
      <c r="Q202" s="113"/>
      <c r="R202" s="113"/>
      <c r="S202" s="279">
        <f>S201-(4*1.02)</f>
        <v>9.1999999999999993</v>
      </c>
      <c r="T202" s="113"/>
      <c r="U202" s="113"/>
      <c r="V202" s="113"/>
      <c r="W202" s="113"/>
      <c r="X202" s="259"/>
      <c r="Y202" s="494">
        <f>Y201-(2.902*4)</f>
        <v>12.327999999999999</v>
      </c>
      <c r="Z202" s="259"/>
      <c r="AA202" s="259"/>
      <c r="AB202" s="259"/>
      <c r="AC202" s="259"/>
      <c r="AD202" s="259"/>
      <c r="AE202" s="494">
        <f>AE201-(4*3.177)</f>
        <v>5.1120000000000001</v>
      </c>
      <c r="AF202" s="259"/>
      <c r="AG202" s="259"/>
      <c r="AH202" s="259"/>
      <c r="AI202" s="259"/>
      <c r="AJ202" s="259"/>
      <c r="AK202" s="494">
        <f>AK201-(2*1.541)</f>
        <v>14.366</v>
      </c>
      <c r="AL202" s="259"/>
      <c r="AM202" s="259"/>
      <c r="AN202" s="259"/>
      <c r="AO202" s="259"/>
      <c r="AP202" s="259"/>
      <c r="AQ202" s="494">
        <f>AQ201-(2*3.902)</f>
        <v>7.4179999999999993</v>
      </c>
      <c r="AR202" s="113"/>
      <c r="AS202" s="113">
        <f>AS201-(0.752*2)</f>
        <v>0.31400000000000006</v>
      </c>
      <c r="AT202" s="113">
        <f>AT201-(((1.683+0.208)-0.752)*2)</f>
        <v>0.46999999999999975</v>
      </c>
      <c r="AU202" s="113">
        <f>AU201-(((2.271+0.219)-(1.683+0.208))*2)</f>
        <v>2.6800000000000015</v>
      </c>
      <c r="AV202" s="495">
        <f>AW202-SUM(AS202:AU202)</f>
        <v>3.4319999999999986</v>
      </c>
      <c r="AW202" s="494">
        <f>AW201-(2*3.012)</f>
        <v>6.8959999999999999</v>
      </c>
      <c r="AX202" s="259"/>
      <c r="AY202" s="259">
        <f>AY201-(0.33*2)</f>
        <v>4.8460000000000001</v>
      </c>
      <c r="AZ202" s="259">
        <f>AZ201-((0.669-0.33)*2)</f>
        <v>2.7320000000000002</v>
      </c>
      <c r="BA202" s="259">
        <f>BA201-(2.251-(0.669*2))</f>
        <v>0.70099999999999918</v>
      </c>
      <c r="BB202" s="496">
        <f>BC202-(SUM(AY202:BA202))</f>
        <v>0.63600000000000101</v>
      </c>
      <c r="BC202" s="494">
        <f>BC201-2.635</f>
        <v>8.9150000000000009</v>
      </c>
      <c r="BD202" s="90"/>
      <c r="BE202" s="494">
        <f>BE201-0.409</f>
        <v>4.6230000000000002</v>
      </c>
      <c r="BF202" s="494">
        <f>BF201-0.461+0.409</f>
        <v>0.63500000000000023</v>
      </c>
      <c r="BG202" s="494">
        <f>BG201-1.32+0.461</f>
        <v>-0.34900000000000025</v>
      </c>
      <c r="BH202" s="496">
        <f>BI202-(SUM(BE202:BG202))</f>
        <v>0.60199999999999942</v>
      </c>
      <c r="BI202" s="494">
        <f>BI201-1.511</f>
        <v>5.5110000000000001</v>
      </c>
      <c r="BJ202" s="90"/>
      <c r="BK202" s="494">
        <f>BK201-0.5</f>
        <v>3.3650000000000002</v>
      </c>
      <c r="BL202" s="1402">
        <f>BL201-(BK204*BL216)</f>
        <v>2.1851210843226321</v>
      </c>
      <c r="BM202" s="1402">
        <f>BM201-(BL204*BM216)</f>
        <v>2.224086377150666</v>
      </c>
      <c r="BN202" s="1402">
        <f>BN201-(BM204*BN216)</f>
        <v>2.2630516699786991</v>
      </c>
      <c r="BO202" s="1401">
        <f>SUM(BK202:BN202)</f>
        <v>10.037259131451997</v>
      </c>
      <c r="BP202" s="902"/>
      <c r="BQ202" s="1402"/>
      <c r="BR202" s="1402"/>
      <c r="BS202" s="1402"/>
      <c r="BT202" s="1402"/>
      <c r="BU202" s="1401"/>
      <c r="BV202" s="902"/>
      <c r="BW202" s="1402"/>
      <c r="BX202" s="494">
        <f>BX201-0.516-0.047</f>
        <v>4.7540000000000004</v>
      </c>
      <c r="BY202" s="494">
        <f>BY201-(BX204*BY216)</f>
        <v>3.0819795377858488</v>
      </c>
      <c r="BZ202" s="494">
        <f>BZ201-(BY204*BZ216)</f>
        <v>3.0819795377858488</v>
      </c>
      <c r="CA202" s="208">
        <f>SUM(BW202:BZ202)</f>
        <v>10.917959075571698</v>
      </c>
      <c r="CB202" s="90"/>
      <c r="CC202" s="494">
        <f>CC201-(CA204*CC216)</f>
        <v>2.8400441440696591</v>
      </c>
      <c r="CD202" s="494">
        <f>CD201-(CC204*CD216)</f>
        <v>2.7548428197475694</v>
      </c>
      <c r="CE202" s="494">
        <f>CE201-(CD204*CE216)</f>
        <v>2.6721975351551421</v>
      </c>
      <c r="CF202" s="494">
        <f>CF201-2.465</f>
        <v>4.3010000000000002</v>
      </c>
      <c r="CG202" s="208">
        <f>SUM(CC202:CF202)</f>
        <v>12.56808449897237</v>
      </c>
      <c r="CH202" s="90"/>
      <c r="CI202" s="494">
        <f>CI201-(CG204*CI216)</f>
        <v>2.4248856953066347</v>
      </c>
      <c r="CJ202" s="494">
        <f>CJ201-(CI204*CJ216)</f>
        <v>2.4248856953066347</v>
      </c>
      <c r="CK202" s="494">
        <f>CK201-(CJ204*CK216)</f>
        <v>2.4248856953066347</v>
      </c>
      <c r="CL202" s="494">
        <f>CL201-(CK204*CL216)</f>
        <v>2.4248856953066347</v>
      </c>
      <c r="CM202" s="208">
        <f>SUM(CI202:CL202)</f>
        <v>9.6995427812265387</v>
      </c>
      <c r="CN202" s="90"/>
      <c r="CO202" s="494">
        <f>CO201-(CM204*CO216)</f>
        <v>2.3266778246467155</v>
      </c>
      <c r="CP202" s="494">
        <f>CP201-(CO204*CP216)</f>
        <v>2.3499446028931832</v>
      </c>
      <c r="CQ202" s="494">
        <f>CQ201-(CP204*CQ216)</f>
        <v>2.3734440489221145</v>
      </c>
      <c r="CR202" s="494">
        <f>CR201-(CQ204*CR216)</f>
        <v>2.3971784894113357</v>
      </c>
      <c r="CS202" s="208">
        <f>SUM(CO202:CR202)</f>
        <v>9.4472449658733488</v>
      </c>
      <c r="CT202" s="90"/>
      <c r="CU202" s="494">
        <f>CU201-(CS204*CU216)</f>
        <v>2.3000927605901764</v>
      </c>
      <c r="CV202" s="494">
        <f>CV201-(CU204*CV216)</f>
        <v>2.3230936881960784</v>
      </c>
      <c r="CW202" s="494">
        <f>CW201-(CV204*CW216)</f>
        <v>2.3463246250780392</v>
      </c>
      <c r="CX202" s="494">
        <f>CX201-(CW204*CX216)</f>
        <v>2.3697878713288194</v>
      </c>
      <c r="CY202" s="208">
        <f>SUM(CU202:CX202)</f>
        <v>9.3392989451931143</v>
      </c>
      <c r="CZ202" s="90"/>
      <c r="DA202" s="494">
        <f>DA201-(CY204*DA216)</f>
        <v>2.2738114625400025</v>
      </c>
      <c r="DB202" s="494">
        <f>DB201-(DA204*DB216)</f>
        <v>2.2965495771654023</v>
      </c>
      <c r="DC202" s="494">
        <f>DC201-(DB204*DC216)</f>
        <v>2.3195150729370568</v>
      </c>
      <c r="DD202" s="494">
        <f>DD201-(DC204*DD216)</f>
        <v>2.3427102236664274</v>
      </c>
      <c r="DE202" s="208">
        <f>SUM(DA202:DD202)</f>
        <v>9.2325863363088896</v>
      </c>
      <c r="DF202" s="90"/>
      <c r="DG202" s="494">
        <f>DG201-(DE204*DG216)</f>
        <v>2.2478304596079375</v>
      </c>
      <c r="DH202" s="494">
        <f>DH201-(DG204*DH216)</f>
        <v>2.2703087642040165</v>
      </c>
      <c r="DI202" s="494">
        <f>DI201-(DH204*DI216)</f>
        <v>2.2930118518460572</v>
      </c>
      <c r="DJ202" s="494">
        <f>DJ201-(DI204*DJ216)</f>
        <v>2.3159419703645172</v>
      </c>
      <c r="DK202" s="208">
        <f>SUM(DG202:DJ202)</f>
        <v>9.1270930460225266</v>
      </c>
      <c r="DL202" s="90"/>
      <c r="DM202" s="494">
        <f>DM201-(DK204*DM216)</f>
        <v>2.2221463205647538</v>
      </c>
      <c r="DN202" s="494">
        <f>DN201-(DM204*DN216)</f>
        <v>2.2443677837704015</v>
      </c>
      <c r="DO202" s="494">
        <f>DO201-(DN204*DO216)</f>
        <v>2.2668114616081056</v>
      </c>
      <c r="DP202" s="494">
        <f>DP201-(DO204*DP216)</f>
        <v>2.2894795762241866</v>
      </c>
      <c r="DQ202" s="208">
        <f>SUM(DM202:DP202)</f>
        <v>9.0228051421674476</v>
      </c>
      <c r="DR202" s="90"/>
      <c r="DS202" s="494">
        <f>DS201-(DQ204*DS216)</f>
        <v>2.1967556533871071</v>
      </c>
      <c r="DT202" s="494">
        <f>DT201-(DS204*DT216)</f>
        <v>2.2187232099209782</v>
      </c>
      <c r="DU202" s="494">
        <f>DU201-(DT204*DU216)</f>
        <v>2.240910442020188</v>
      </c>
      <c r="DV202" s="494">
        <f>DV201-(DU204*DV216)</f>
        <v>2.2633195464403904</v>
      </c>
      <c r="DW202" s="208">
        <f>SUM(DS202:DV202)</f>
        <v>8.9197088517686627</v>
      </c>
      <c r="DX202" s="90"/>
      <c r="DY202" s="494">
        <f>DY201-(DW204*DY216)</f>
        <v>2.1716551048095543</v>
      </c>
      <c r="DZ202" s="494">
        <f>DZ201-(DY204*DZ216)</f>
        <v>2.1933716558576495</v>
      </c>
      <c r="EA202" s="494">
        <f>EA201-(DZ204*EA216)</f>
        <v>2.2153053724162262</v>
      </c>
      <c r="EB202" s="494">
        <f>EB201-(EA204*EB216)</f>
        <v>2.2374584261403885</v>
      </c>
      <c r="EC202" s="208">
        <f>SUM(DY202:EB202)</f>
        <v>8.8177905592238197</v>
      </c>
      <c r="ED202" s="90"/>
      <c r="EE202" s="494">
        <f>EE201-(EC204*EE216)</f>
        <v>2.1468413598817029</v>
      </c>
      <c r="EF202" s="494">
        <f>EF201-(EE204*EF216)</f>
        <v>2.1683097734805199</v>
      </c>
      <c r="EG202" s="494">
        <f>EG201-(EF204*EG216)</f>
        <v>2.1899928712153254</v>
      </c>
      <c r="EH202" s="494">
        <f>EH201-(EG204*EH216)</f>
        <v>2.2118927999274782</v>
      </c>
      <c r="EI202" s="208">
        <f>SUM(EE202:EH202)</f>
        <v>8.7170368045050264</v>
      </c>
      <c r="EJ202" s="90"/>
      <c r="EK202" s="494">
        <f>EK201-(EI204*EK216)</f>
        <v>2.1223111415304157</v>
      </c>
      <c r="EL202" s="494">
        <f>EL201-(EK204*EL216)</f>
        <v>2.1435342529457198</v>
      </c>
      <c r="EM202" s="494">
        <f>EM201-(EL204*EM216)</f>
        <v>2.1649695954751773</v>
      </c>
      <c r="EN202" s="494">
        <f>EN201-(EM204*EN216)</f>
        <v>2.1866192914299289</v>
      </c>
      <c r="EO202" s="208">
        <f>SUM(EK202:EN202)</f>
        <v>8.617434281381243</v>
      </c>
      <c r="EP202" s="90"/>
      <c r="EQ202" s="494">
        <f>EQ201-(EO204*EQ216)</f>
        <v>2.0980612101270171</v>
      </c>
      <c r="ER202" s="494">
        <f>ER201-(EQ204*ER216)</f>
        <v>2.1190418222282874</v>
      </c>
      <c r="ES202" s="494">
        <f>ES201-(ER204*ES216)</f>
        <v>2.1402322404505703</v>
      </c>
      <c r="ET202" s="494">
        <f>ET201-(ES204*ET216)</f>
        <v>2.1616345628550762</v>
      </c>
      <c r="EU202" s="208">
        <f>SUM(EQ202:ET202)</f>
        <v>8.5189698356609505</v>
      </c>
      <c r="EV202" s="90"/>
      <c r="EW202" s="90"/>
      <c r="EX202" s="90"/>
      <c r="EY202" s="90"/>
      <c r="EZ202" s="90"/>
      <c r="FA202" s="90"/>
      <c r="FB202" s="90"/>
    </row>
    <row r="203" spans="1:158" hidden="1">
      <c r="A203" s="90" t="s">
        <v>3500</v>
      </c>
      <c r="B203" s="32"/>
      <c r="C203" s="90"/>
      <c r="D203" s="90"/>
      <c r="E203" s="90"/>
      <c r="F203" s="90"/>
      <c r="G203" s="61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260">
        <f>-2.595*4</f>
        <v>-10.38</v>
      </c>
      <c r="T203" s="90"/>
      <c r="U203" s="90"/>
      <c r="V203" s="90"/>
      <c r="W203" s="90"/>
      <c r="X203" s="112"/>
      <c r="Y203" s="208">
        <f>-1.087*4</f>
        <v>-4.3479999999999999</v>
      </c>
      <c r="Z203" s="112"/>
      <c r="AA203" s="112"/>
      <c r="AB203" s="112"/>
      <c r="AC203" s="112"/>
      <c r="AD203" s="112"/>
      <c r="AE203" s="208">
        <f>4*-3.696</f>
        <v>-14.784000000000001</v>
      </c>
      <c r="AF203" s="112"/>
      <c r="AG203" s="112"/>
      <c r="AH203" s="112"/>
      <c r="AI203" s="112"/>
      <c r="AJ203" s="112"/>
      <c r="AK203" s="208">
        <f>2*-5.017</f>
        <v>-10.034000000000001</v>
      </c>
      <c r="AL203" s="112"/>
      <c r="AM203" s="112"/>
      <c r="AN203" s="112"/>
      <c r="AO203" s="112"/>
      <c r="AP203" s="112"/>
      <c r="AQ203" s="208">
        <f>2*-3.428</f>
        <v>-6.8559999999999999</v>
      </c>
      <c r="AR203" s="90"/>
      <c r="AS203" s="90">
        <f>-0.324*2</f>
        <v>-0.64800000000000002</v>
      </c>
      <c r="AT203" s="90">
        <f>-0.853*2-AS203</f>
        <v>-1.0579999999999998</v>
      </c>
      <c r="AU203" s="90">
        <f>-2.23*2-SUM(AS203:AT203)</f>
        <v>-2.754</v>
      </c>
      <c r="AV203" s="488">
        <f>AW203-SUM(AS203:AU203)</f>
        <v>-8.39</v>
      </c>
      <c r="AW203" s="208">
        <f>2*-6.425</f>
        <v>-12.85</v>
      </c>
      <c r="AX203" s="112"/>
      <c r="AY203" s="112">
        <f>2*-5.311</f>
        <v>-10.622</v>
      </c>
      <c r="AZ203" s="112">
        <f>-8.463*2-AY203</f>
        <v>-6.3039999999999985</v>
      </c>
      <c r="BA203" s="112">
        <f>-21.735-(SUM(AY203:AZ203))</f>
        <v>-4.8090000000000011</v>
      </c>
      <c r="BB203" s="497">
        <f>BC203-SUM(AY203:BA203)</f>
        <v>-3.7100000000000009</v>
      </c>
      <c r="BC203" s="208">
        <v>-25.445</v>
      </c>
      <c r="BD203" s="90"/>
      <c r="BE203" s="208">
        <v>-2.5</v>
      </c>
      <c r="BF203" s="208">
        <f>-5.804-BE203</f>
        <v>-3.3040000000000003</v>
      </c>
      <c r="BG203" s="208">
        <f>-9.94-BF203-BE203</f>
        <v>-4.1359999999999992</v>
      </c>
      <c r="BH203" s="497">
        <f>BI203-SUM(BE203:BG203)</f>
        <v>-1.9350000000000005</v>
      </c>
      <c r="BI203" s="208">
        <v>-11.875</v>
      </c>
      <c r="BJ203" s="90"/>
      <c r="BK203" s="208">
        <v>-2.5390000000000001</v>
      </c>
      <c r="BL203" s="1401">
        <f>-BL133</f>
        <v>-1.7980000000000116</v>
      </c>
      <c r="BM203" s="1401">
        <f>-BM133</f>
        <v>0</v>
      </c>
      <c r="BN203" s="1401">
        <f>-BN133</f>
        <v>0</v>
      </c>
      <c r="BO203" s="1401">
        <f>SUM(BK203:BN203)</f>
        <v>-4.3370000000000122</v>
      </c>
      <c r="BP203" s="902"/>
      <c r="BQ203" s="1401"/>
      <c r="BR203" s="1401"/>
      <c r="BS203" s="1401"/>
      <c r="BT203" s="1401"/>
      <c r="BU203" s="1403"/>
      <c r="BV203" s="902"/>
      <c r="BW203" s="1401"/>
      <c r="BX203" s="208">
        <v>-1.4239999999999999</v>
      </c>
      <c r="BY203" s="208">
        <f>-BY133</f>
        <v>-1.7199999999999989</v>
      </c>
      <c r="BZ203" s="208">
        <f>-BZ133</f>
        <v>-0.10600000000002296</v>
      </c>
      <c r="CA203" s="35"/>
      <c r="CB203" s="90"/>
      <c r="CC203" s="208">
        <f>-CC133</f>
        <v>-2.3649999999999807</v>
      </c>
      <c r="CD203" s="208">
        <f>-CD133</f>
        <v>-1.6810000000000116</v>
      </c>
      <c r="CE203" s="208">
        <f>-CE133</f>
        <v>-0.19999999999998863</v>
      </c>
      <c r="CF203" s="208">
        <v>-2.036</v>
      </c>
      <c r="CG203" s="35"/>
      <c r="CH203" s="90"/>
      <c r="CI203" s="208">
        <f>-CI133</f>
        <v>-2.0030000000000001</v>
      </c>
      <c r="CJ203" s="208">
        <f>-CJ133</f>
        <v>-0.78346899999999664</v>
      </c>
      <c r="CK203" s="208">
        <f>-CK133</f>
        <v>-1.2283379590922152</v>
      </c>
      <c r="CL203" s="208">
        <f>-CL133</f>
        <v>-1.2283379590922152</v>
      </c>
      <c r="CM203" s="35"/>
      <c r="CN203" s="90"/>
      <c r="CO203" s="208">
        <f>-CO133</f>
        <v>-5.4598550818155731</v>
      </c>
      <c r="CP203" s="208">
        <f>-CP133</f>
        <v>-3</v>
      </c>
      <c r="CQ203" s="208">
        <f>-CQ133</f>
        <v>-1.2749999999999999</v>
      </c>
      <c r="CR203" s="208">
        <f>-CR133</f>
        <v>-1.2750000000000057</v>
      </c>
      <c r="CS203" s="35"/>
      <c r="CT203" s="90"/>
      <c r="CU203" s="208">
        <f>-CU133</f>
        <v>-3.9499999999999886</v>
      </c>
      <c r="CV203" s="208">
        <f>-CV133</f>
        <v>-2.4</v>
      </c>
      <c r="CW203" s="208">
        <f>-CW133</f>
        <v>-2.5499999999999998</v>
      </c>
      <c r="CX203" s="208">
        <f>-CX133</f>
        <v>-2.5499999999999998</v>
      </c>
      <c r="CY203" s="35"/>
      <c r="CZ203" s="90"/>
      <c r="DA203" s="208">
        <f>-DA133</f>
        <v>-2.5499999999999998</v>
      </c>
      <c r="DB203" s="208">
        <f>-DB133</f>
        <v>-1.2999999999999887</v>
      </c>
      <c r="DC203" s="208">
        <f>-DC133</f>
        <v>-2.5499999999999998</v>
      </c>
      <c r="DD203" s="208">
        <f>-DD133</f>
        <v>-4.76</v>
      </c>
      <c r="DE203" s="35"/>
      <c r="DF203" s="90"/>
      <c r="DG203" s="208">
        <f>-DG133</f>
        <v>-4.76</v>
      </c>
      <c r="DH203" s="208">
        <f>-DH133</f>
        <v>-4.76</v>
      </c>
      <c r="DI203" s="208">
        <f>-DI133</f>
        <v>-4.76</v>
      </c>
      <c r="DJ203" s="208">
        <f>-DJ133</f>
        <v>-4.76</v>
      </c>
      <c r="DK203" s="35"/>
      <c r="DL203" s="90"/>
      <c r="DM203" s="208">
        <f>-DM133</f>
        <v>-4.76</v>
      </c>
      <c r="DN203" s="208">
        <f>-DN133</f>
        <v>-4.76</v>
      </c>
      <c r="DO203" s="208">
        <f>-DO133</f>
        <v>-4.76</v>
      </c>
      <c r="DP203" s="208">
        <f>-DP133</f>
        <v>-4.76</v>
      </c>
      <c r="DQ203" s="35"/>
      <c r="DR203" s="90"/>
      <c r="DS203" s="208">
        <f>-DS133</f>
        <v>-4.76</v>
      </c>
      <c r="DT203" s="208">
        <f>-DT133</f>
        <v>-4.76</v>
      </c>
      <c r="DU203" s="208">
        <f>-DU133</f>
        <v>-4.76</v>
      </c>
      <c r="DV203" s="208">
        <f>-DV133</f>
        <v>-4.76</v>
      </c>
      <c r="DW203" s="35"/>
      <c r="DX203" s="90"/>
      <c r="DY203" s="208">
        <f>-DY133</f>
        <v>-4.76</v>
      </c>
      <c r="DZ203" s="208">
        <f>-DZ133</f>
        <v>-4.76</v>
      </c>
      <c r="EA203" s="208">
        <f>-EA133</f>
        <v>-4.76</v>
      </c>
      <c r="EB203" s="208">
        <f>-EB133</f>
        <v>-4.76</v>
      </c>
      <c r="EC203" s="35"/>
      <c r="ED203" s="90"/>
      <c r="EE203" s="208">
        <f>-EE133</f>
        <v>-4.76</v>
      </c>
      <c r="EF203" s="208">
        <f>-EF133</f>
        <v>-4.76</v>
      </c>
      <c r="EG203" s="208">
        <f>-EG133</f>
        <v>-4.76</v>
      </c>
      <c r="EH203" s="208">
        <f>-EH133</f>
        <v>-4.76</v>
      </c>
      <c r="EI203" s="35"/>
      <c r="EJ203" s="90"/>
      <c r="EK203" s="208">
        <f>-EK133</f>
        <v>-4.76</v>
      </c>
      <c r="EL203" s="208">
        <f>-EL133</f>
        <v>-4.76</v>
      </c>
      <c r="EM203" s="208">
        <f>-EM133</f>
        <v>-4.76</v>
      </c>
      <c r="EN203" s="208">
        <f>-EN133</f>
        <v>-4.76</v>
      </c>
      <c r="EO203" s="35"/>
      <c r="EP203" s="90"/>
      <c r="EQ203" s="208">
        <f>-EQ133</f>
        <v>-4.76</v>
      </c>
      <c r="ER203" s="208">
        <f>-ER133</f>
        <v>-4.76</v>
      </c>
      <c r="ES203" s="208">
        <f>-ES133</f>
        <v>-4.76</v>
      </c>
      <c r="ET203" s="208">
        <f>-ET133</f>
        <v>-4.76</v>
      </c>
      <c r="EU203" s="35"/>
      <c r="EV203" s="90"/>
      <c r="EW203" s="90"/>
      <c r="EX203" s="90"/>
      <c r="EY203" s="90"/>
      <c r="EZ203" s="90"/>
      <c r="FA203" s="90"/>
      <c r="FB203" s="90"/>
    </row>
    <row r="204" spans="1:158" hidden="1">
      <c r="A204" s="90" t="s">
        <v>3501</v>
      </c>
      <c r="B204" s="32"/>
      <c r="C204" s="90"/>
      <c r="D204" s="90"/>
      <c r="E204" s="90"/>
      <c r="F204" s="90"/>
      <c r="G204" s="61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260">
        <f>57.148+S202+S203-0.15</f>
        <v>55.817999999999998</v>
      </c>
      <c r="T204" s="90"/>
      <c r="U204" s="90"/>
      <c r="V204" s="90"/>
      <c r="W204" s="90"/>
      <c r="X204" s="112"/>
      <c r="Y204" s="208">
        <f>S204+Y202+Y203</f>
        <v>63.798000000000002</v>
      </c>
      <c r="Z204" s="112"/>
      <c r="AA204" s="112"/>
      <c r="AB204" s="112"/>
      <c r="AC204" s="112"/>
      <c r="AD204" s="112"/>
      <c r="AE204" s="208">
        <f>Y204+AE202+AE203</f>
        <v>54.125999999999998</v>
      </c>
      <c r="AF204" s="112"/>
      <c r="AG204" s="112"/>
      <c r="AH204" s="112"/>
      <c r="AI204" s="112"/>
      <c r="AJ204" s="112"/>
      <c r="AK204" s="208">
        <f>AE204+AK202+AK203</f>
        <v>58.457999999999991</v>
      </c>
      <c r="AL204" s="112"/>
      <c r="AM204" s="112"/>
      <c r="AN204" s="112"/>
      <c r="AO204" s="112"/>
      <c r="AP204" s="112"/>
      <c r="AQ204" s="498">
        <f>AK204+AQ202+AQ203</f>
        <v>59.019999999999989</v>
      </c>
      <c r="AR204" s="90"/>
      <c r="AS204" s="498">
        <f>AQ204+AS202+AS203</f>
        <v>58.685999999999986</v>
      </c>
      <c r="AT204" s="498">
        <f>AS204+AT202+AT203</f>
        <v>58.097999999999985</v>
      </c>
      <c r="AU204" s="498">
        <f>AT204+AU202+AU203</f>
        <v>58.023999999999987</v>
      </c>
      <c r="AV204" s="499">
        <f>AU204+AV202+AV203</f>
        <v>53.065999999999988</v>
      </c>
      <c r="AW204" s="794">
        <v>52.936</v>
      </c>
      <c r="AX204" s="112"/>
      <c r="AY204" s="208">
        <f>AW204+AY202+AY203</f>
        <v>47.16</v>
      </c>
      <c r="AZ204" s="208">
        <f>AY204+AZ202+AZ203</f>
        <v>43.587999999999994</v>
      </c>
      <c r="BA204" s="208">
        <f>AZ204+BA202+BA203</f>
        <v>39.47999999999999</v>
      </c>
      <c r="BB204" s="488">
        <f>BA204+BB202+BB203</f>
        <v>36.405999999999992</v>
      </c>
      <c r="BC204" s="208">
        <f>AW204+BC202+BC203</f>
        <v>36.405999999999999</v>
      </c>
      <c r="BD204" s="90"/>
      <c r="BE204" s="208">
        <f>BC204+BE202+BE203</f>
        <v>38.528999999999996</v>
      </c>
      <c r="BF204" s="208">
        <f>BE204+BF202+BF203</f>
        <v>35.859999999999992</v>
      </c>
      <c r="BG204" s="208">
        <f>BF204+BG202+BG203</f>
        <v>31.374999999999989</v>
      </c>
      <c r="BH204" s="488">
        <f>BG204+BH202+BH203</f>
        <v>30.041999999999987</v>
      </c>
      <c r="BI204" s="208">
        <f>BC204+BI202+BI203</f>
        <v>30.042000000000002</v>
      </c>
      <c r="BJ204" s="90"/>
      <c r="BK204" s="208">
        <v>30.867999999999999</v>
      </c>
      <c r="BL204" s="1401">
        <f>BK204+BL202+BL203</f>
        <v>31.255121084322621</v>
      </c>
      <c r="BM204" s="1401">
        <f>BL204+BM202+BM203</f>
        <v>33.479207461473287</v>
      </c>
      <c r="BN204" s="1401">
        <f>BM204+BN202+BN203</f>
        <v>35.742259131451988</v>
      </c>
      <c r="BO204" s="1401">
        <f>BI204+BO202+BO203</f>
        <v>35.742259131451988</v>
      </c>
      <c r="BP204" s="902"/>
      <c r="BQ204" s="1401"/>
      <c r="BR204" s="1401"/>
      <c r="BS204" s="1401"/>
      <c r="BT204" s="1401">
        <v>24.506</v>
      </c>
      <c r="BU204" s="1403">
        <f>BT204</f>
        <v>24.506</v>
      </c>
      <c r="BV204" s="902"/>
      <c r="BW204" s="1401"/>
      <c r="BX204" s="208">
        <f>BT204+BX202+BX203</f>
        <v>27.836000000000002</v>
      </c>
      <c r="BY204" s="208">
        <f>BX204+BY202+BY203</f>
        <v>29.197979537785852</v>
      </c>
      <c r="BZ204" s="208">
        <v>26.818000000000001</v>
      </c>
      <c r="CA204" s="35">
        <f>BU204+CA202+CA203</f>
        <v>35.423959075571702</v>
      </c>
      <c r="CB204" s="90"/>
      <c r="CC204" s="208">
        <f>CA204+CC202+CC203</f>
        <v>35.899003219641379</v>
      </c>
      <c r="CD204" s="208">
        <f>CC204+CD202+CD203</f>
        <v>36.972846039388941</v>
      </c>
      <c r="CE204" s="208">
        <f>CD204+CE202+CE203</f>
        <v>39.445043574544094</v>
      </c>
      <c r="CF204" s="208">
        <f>BZ204+CF202+CF203</f>
        <v>29.082999999999998</v>
      </c>
      <c r="CG204" s="35">
        <f>CA204+CG202+CG203</f>
        <v>47.99204357454407</v>
      </c>
      <c r="CH204" s="90"/>
      <c r="CI204" s="208">
        <f>CG204+CI202+CI203</f>
        <v>48.413929269850705</v>
      </c>
      <c r="CJ204" s="208">
        <f>CI204+CJ202+CJ203</f>
        <v>50.055345965157343</v>
      </c>
      <c r="CK204" s="208">
        <f>CJ204+CK202+CK203</f>
        <v>51.251893701371763</v>
      </c>
      <c r="CL204" s="208">
        <f>CK204+CL202+CL203</f>
        <v>52.448441437586183</v>
      </c>
      <c r="CM204" s="35">
        <f>CG204+CM202+CM203</f>
        <v>57.69158635577061</v>
      </c>
      <c r="CN204" s="90"/>
      <c r="CO204" s="208">
        <f>CM204+CO202+CO203</f>
        <v>54.55840909860175</v>
      </c>
      <c r="CP204" s="208">
        <f>CO204+CP202+CP203</f>
        <v>53.908353701494931</v>
      </c>
      <c r="CQ204" s="208">
        <f>CP204+CQ202+CQ203</f>
        <v>55.00679775041705</v>
      </c>
      <c r="CR204" s="208">
        <f>CQ204+CR202+CR203</f>
        <v>56.128976239828383</v>
      </c>
      <c r="CS204" s="35">
        <f>CM204+CS202+CS203</f>
        <v>67.138831321643963</v>
      </c>
      <c r="CT204" s="90"/>
      <c r="CU204" s="208">
        <f>CS204+CU202+CU203</f>
        <v>65.488924082234149</v>
      </c>
      <c r="CV204" s="208">
        <f>CU204+CV202+CV203</f>
        <v>65.412017770430225</v>
      </c>
      <c r="CW204" s="208">
        <f>CV204+CW202+CW203</f>
        <v>65.208342395508268</v>
      </c>
      <c r="CX204" s="208">
        <f>CW204+CX202+CX203</f>
        <v>65.028130266837096</v>
      </c>
      <c r="CY204" s="35">
        <f>CS204+CY202+CY203</f>
        <v>76.47813026683707</v>
      </c>
      <c r="CZ204" s="90"/>
      <c r="DA204" s="208">
        <f>CY204+DA202+DA203</f>
        <v>76.201941729377069</v>
      </c>
      <c r="DB204" s="208">
        <f>DA204+DB202+DB203</f>
        <v>77.198491306542493</v>
      </c>
      <c r="DC204" s="208">
        <f>DB204+DC202+DC203</f>
        <v>76.968006379479547</v>
      </c>
      <c r="DD204" s="208">
        <f>DC204+DD202+DD203</f>
        <v>74.550716603145972</v>
      </c>
      <c r="DE204" s="35">
        <f>CY204+DE202+DE203</f>
        <v>85.710716603145954</v>
      </c>
      <c r="DF204" s="90"/>
      <c r="DG204" s="208">
        <f>DE204+DG202+DG203</f>
        <v>83.198547062753889</v>
      </c>
      <c r="DH204" s="208">
        <f>DG204+DH202+DH203</f>
        <v>80.708855826957901</v>
      </c>
      <c r="DI204" s="208">
        <f>DH204+DI202+DI203</f>
        <v>78.241867678803956</v>
      </c>
      <c r="DJ204" s="208">
        <f>DI204+DJ202+DJ203</f>
        <v>75.797809649168471</v>
      </c>
      <c r="DK204" s="35">
        <f>DE204+DK202+DK203</f>
        <v>94.837809649168477</v>
      </c>
      <c r="DL204" s="90"/>
      <c r="DM204" s="208">
        <f>DK204+DM202+DM203</f>
        <v>92.299955969733233</v>
      </c>
      <c r="DN204" s="208">
        <f>DM204+DN202+DN203</f>
        <v>89.784323753503628</v>
      </c>
      <c r="DO204" s="208">
        <f>DN204+DO202+DO203</f>
        <v>87.291135215111723</v>
      </c>
      <c r="DP204" s="208">
        <f>DO204+DP202+DP203</f>
        <v>84.820614791335899</v>
      </c>
      <c r="DQ204" s="35">
        <f>DK204+DQ202+DQ203</f>
        <v>103.86061479133592</v>
      </c>
      <c r="DR204" s="90"/>
      <c r="DS204" s="208">
        <f>DQ204+DS202+DS203</f>
        <v>101.29737044472301</v>
      </c>
      <c r="DT204" s="208">
        <f>DS204+DT202+DT203</f>
        <v>98.75609365464399</v>
      </c>
      <c r="DU204" s="208">
        <f>DT204+DU202+DU203</f>
        <v>96.23700409666418</v>
      </c>
      <c r="DV204" s="208">
        <f>DU204+DV202+DV203</f>
        <v>93.74032364310456</v>
      </c>
      <c r="DW204" s="35">
        <f>DQ204+DW202+DW203</f>
        <v>112.78032364310458</v>
      </c>
      <c r="DX204" s="90"/>
      <c r="DY204" s="208">
        <f>DW204+DY202+DY203</f>
        <v>110.19197874791413</v>
      </c>
      <c r="DZ204" s="208">
        <f>DY204+DZ202+DZ203</f>
        <v>107.62535040377178</v>
      </c>
      <c r="EA204" s="208">
        <f>DZ204+EA202+EA203</f>
        <v>105.080655776188</v>
      </c>
      <c r="EB204" s="208">
        <f>EA204+EB202+EB203</f>
        <v>102.55811420232838</v>
      </c>
      <c r="EC204" s="35">
        <f>DW204+EC202+EC203</f>
        <v>121.5981142023284</v>
      </c>
      <c r="ED204" s="90"/>
      <c r="EE204" s="208">
        <f>EC204+EE202+EE203</f>
        <v>118.9849555622101</v>
      </c>
      <c r="EF204" s="208">
        <f>EE204+EF202+EF203</f>
        <v>116.39326533569061</v>
      </c>
      <c r="EG204" s="208">
        <f>EF204+EG202+EG203</f>
        <v>113.82325820690593</v>
      </c>
      <c r="EH204" s="208">
        <f>EG204+EH202+EH203</f>
        <v>111.27515100683341</v>
      </c>
      <c r="EI204" s="35">
        <f>EC204+EI202+EI203</f>
        <v>130.31515100683342</v>
      </c>
      <c r="EJ204" s="90"/>
      <c r="EK204" s="208">
        <f>EI204+EK202+EK203</f>
        <v>127.67746214836383</v>
      </c>
      <c r="EL204" s="208">
        <f>EK204+EL202+EL203</f>
        <v>125.06099640130954</v>
      </c>
      <c r="EM204" s="208">
        <f>EL204+EM202+EM203</f>
        <v>122.4659659967847</v>
      </c>
      <c r="EN204" s="208">
        <f>EM204+EN202+EN203</f>
        <v>119.89258528821463</v>
      </c>
      <c r="EO204" s="35">
        <f>EI204+EO202+EO203</f>
        <v>138.93258528821465</v>
      </c>
      <c r="EP204" s="90"/>
      <c r="EQ204" s="208">
        <f>EO204+EQ202+EQ203</f>
        <v>136.27064649834168</v>
      </c>
      <c r="ER204" s="208">
        <f>EQ204+ER202+ER203</f>
        <v>133.62968832056998</v>
      </c>
      <c r="ES204" s="208">
        <f>ER204+ES202+ES203</f>
        <v>131.00992056102055</v>
      </c>
      <c r="ET204" s="208">
        <f>ES204+ET202+ET203</f>
        <v>128.41155512387564</v>
      </c>
      <c r="EU204" s="35">
        <f>EO204+EU202+EU203</f>
        <v>147.45155512387561</v>
      </c>
      <c r="EV204" s="90"/>
      <c r="EW204" s="90"/>
      <c r="EX204" s="90"/>
      <c r="EY204" s="90"/>
      <c r="EZ204" s="90"/>
      <c r="FA204" s="90"/>
      <c r="FB204" s="90"/>
    </row>
    <row r="205" spans="1:158" hidden="1">
      <c r="A205" s="90" t="s">
        <v>531</v>
      </c>
      <c r="B205" s="32"/>
      <c r="C205" s="90"/>
      <c r="D205" s="90"/>
      <c r="E205" s="90"/>
      <c r="F205" s="90"/>
      <c r="G205" s="61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112">
        <f>S295</f>
        <v>25.992000000000001</v>
      </c>
      <c r="T205" s="90"/>
      <c r="U205" s="90"/>
      <c r="V205" s="90"/>
      <c r="W205" s="90"/>
      <c r="X205" s="112"/>
      <c r="Y205" s="168">
        <f>Y295</f>
        <v>30.648</v>
      </c>
      <c r="Z205" s="90"/>
      <c r="AA205" s="90"/>
      <c r="AB205" s="90"/>
      <c r="AC205" s="90"/>
      <c r="AD205" s="90"/>
      <c r="AE205" s="168">
        <f>AE295</f>
        <v>22.312799999999999</v>
      </c>
      <c r="AF205" s="90"/>
      <c r="AG205" s="90"/>
      <c r="AH205" s="90"/>
      <c r="AI205" s="90"/>
      <c r="AJ205" s="90"/>
      <c r="AK205" s="168">
        <f>AK295</f>
        <v>25.193999999999999</v>
      </c>
      <c r="AL205" s="90"/>
      <c r="AM205" s="90"/>
      <c r="AN205" s="90"/>
      <c r="AO205" s="90"/>
      <c r="AP205" s="90"/>
      <c r="AQ205" s="168">
        <f>AQ295</f>
        <v>28.34</v>
      </c>
      <c r="AR205" s="90"/>
      <c r="AS205" s="168">
        <f>AS295</f>
        <v>31.173999999999999</v>
      </c>
      <c r="AT205" s="168">
        <f>AT295</f>
        <v>31.225999999999999</v>
      </c>
      <c r="AU205" s="168">
        <f>AU295</f>
        <v>33.054000000000002</v>
      </c>
      <c r="AV205" s="168">
        <f>AV295</f>
        <v>26.506</v>
      </c>
      <c r="AW205" s="168">
        <f>AW295</f>
        <v>26.506</v>
      </c>
      <c r="AX205" s="90"/>
      <c r="AY205" s="168">
        <f>AY295</f>
        <v>17.96</v>
      </c>
      <c r="AZ205" s="168">
        <f>AZ295</f>
        <v>14.38</v>
      </c>
      <c r="BA205" s="168">
        <f>BA295</f>
        <v>14.249000000000001</v>
      </c>
      <c r="BB205" s="168">
        <f>BB295</f>
        <v>12.637</v>
      </c>
      <c r="BC205" s="168">
        <f>BC295</f>
        <v>12.637</v>
      </c>
      <c r="BD205" s="90"/>
      <c r="BE205" s="168">
        <f>BE295</f>
        <v>13.319000000000001</v>
      </c>
      <c r="BF205" s="168">
        <f>BF295</f>
        <v>13.871</v>
      </c>
      <c r="BG205" s="168">
        <v>12.871</v>
      </c>
      <c r="BH205" s="168">
        <f>BH295</f>
        <v>12.513999999999999</v>
      </c>
      <c r="BI205" s="168">
        <f>BI295</f>
        <v>12.513999999999999</v>
      </c>
      <c r="BJ205" s="90"/>
      <c r="BK205" s="26">
        <v>13.563000000000001</v>
      </c>
      <c r="BL205" s="26"/>
      <c r="BM205" s="26"/>
      <c r="BN205" s="26"/>
      <c r="BO205" s="35">
        <f>BO295</f>
        <v>0</v>
      </c>
      <c r="BP205" s="90"/>
      <c r="BQ205" s="26"/>
      <c r="BR205" s="26"/>
      <c r="BS205" s="26"/>
      <c r="BT205" s="26"/>
      <c r="BU205" s="35">
        <f>BU295</f>
        <v>0</v>
      </c>
      <c r="BV205" s="90"/>
      <c r="BW205" s="26"/>
      <c r="BX205" s="26"/>
      <c r="BY205" s="26"/>
      <c r="BZ205" s="26"/>
      <c r="CA205" s="35">
        <f>CA295</f>
        <v>0</v>
      </c>
      <c r="CB205" s="90"/>
      <c r="CC205" s="26"/>
      <c r="CD205" s="26"/>
      <c r="CE205" s="26"/>
      <c r="CF205" s="26"/>
      <c r="CG205" s="35">
        <f>CG295</f>
        <v>0</v>
      </c>
      <c r="CH205" s="90"/>
      <c r="CI205" s="26"/>
      <c r="CJ205" s="26"/>
      <c r="CK205" s="26"/>
      <c r="CL205" s="26"/>
      <c r="CM205" s="35">
        <f>CM295</f>
        <v>0</v>
      </c>
      <c r="CN205" s="90"/>
      <c r="CO205" s="26"/>
      <c r="CP205" s="26"/>
      <c r="CQ205" s="26"/>
      <c r="CR205" s="26"/>
      <c r="CS205" s="35">
        <f>CS295</f>
        <v>0</v>
      </c>
      <c r="CT205" s="90"/>
      <c r="CU205" s="26"/>
      <c r="CV205" s="26"/>
      <c r="CW205" s="26"/>
      <c r="CX205" s="26"/>
      <c r="CY205" s="35">
        <f>CY295</f>
        <v>0</v>
      </c>
      <c r="CZ205" s="90"/>
      <c r="DA205" s="26"/>
      <c r="DB205" s="26"/>
      <c r="DC205" s="26"/>
      <c r="DD205" s="26"/>
      <c r="DE205" s="35">
        <f>DE295</f>
        <v>0</v>
      </c>
      <c r="DF205" s="90"/>
      <c r="DG205" s="26"/>
      <c r="DH205" s="26"/>
      <c r="DI205" s="26"/>
      <c r="DJ205" s="26"/>
      <c r="DK205" s="35">
        <f>DK295</f>
        <v>0</v>
      </c>
      <c r="DL205" s="90"/>
      <c r="DM205" s="26"/>
      <c r="DN205" s="26"/>
      <c r="DO205" s="26"/>
      <c r="DP205" s="26"/>
      <c r="DQ205" s="35">
        <f>DQ295</f>
        <v>0</v>
      </c>
      <c r="DR205" s="90"/>
      <c r="DS205" s="26"/>
      <c r="DT205" s="26"/>
      <c r="DU205" s="26"/>
      <c r="DV205" s="26"/>
      <c r="DW205" s="35">
        <f>DW295</f>
        <v>0</v>
      </c>
      <c r="DX205" s="90"/>
      <c r="DY205" s="26"/>
      <c r="DZ205" s="26"/>
      <c r="EA205" s="26"/>
      <c r="EB205" s="26"/>
      <c r="EC205" s="35">
        <f>EC295</f>
        <v>0</v>
      </c>
      <c r="ED205" s="90"/>
      <c r="EE205" s="26"/>
      <c r="EF205" s="26"/>
      <c r="EG205" s="26"/>
      <c r="EH205" s="26"/>
      <c r="EI205" s="35">
        <f>EI295</f>
        <v>0</v>
      </c>
      <c r="EJ205" s="90"/>
      <c r="EK205" s="26"/>
      <c r="EL205" s="26"/>
      <c r="EM205" s="26"/>
      <c r="EN205" s="26"/>
      <c r="EO205" s="35">
        <f>EO295</f>
        <v>0</v>
      </c>
      <c r="EP205" s="90"/>
      <c r="EQ205" s="26"/>
      <c r="ER205" s="26"/>
      <c r="ES205" s="26"/>
      <c r="ET205" s="26"/>
      <c r="EU205" s="35">
        <f>EU295</f>
        <v>0</v>
      </c>
      <c r="EV205" s="90"/>
      <c r="EW205" s="90"/>
      <c r="EX205" s="90"/>
      <c r="EY205" s="90"/>
      <c r="EZ205" s="90"/>
      <c r="FA205" s="90"/>
      <c r="FB205" s="90"/>
    </row>
    <row r="206" spans="1:158" hidden="1">
      <c r="A206" s="69" t="s">
        <v>5647</v>
      </c>
      <c r="B206" s="32"/>
      <c r="C206" s="90"/>
      <c r="D206" s="90"/>
      <c r="E206" s="90"/>
      <c r="F206" s="90"/>
      <c r="G206" s="61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208"/>
      <c r="T206" s="90"/>
      <c r="U206" s="90"/>
      <c r="V206" s="90"/>
      <c r="W206" s="90"/>
      <c r="X206" s="168"/>
      <c r="Y206" s="208">
        <f>Y201/Model!Y291*1000</f>
        <v>7.9153439153439153</v>
      </c>
      <c r="Z206" s="90"/>
      <c r="AA206" s="90"/>
      <c r="AB206" s="90"/>
      <c r="AC206" s="90"/>
      <c r="AD206" s="90"/>
      <c r="AE206" s="208">
        <f>AE201/Model!AE291*1000</f>
        <v>5.1148105625717566</v>
      </c>
      <c r="AF206" s="90"/>
      <c r="AG206" s="90"/>
      <c r="AH206" s="90"/>
      <c r="AI206" s="90"/>
      <c r="AJ206" s="90"/>
      <c r="AK206" s="208">
        <f>AK201/Model!AK291*1000</f>
        <v>4.7855183763027975</v>
      </c>
      <c r="AL206" s="90"/>
      <c r="AM206" s="90"/>
      <c r="AN206" s="90"/>
      <c r="AO206" s="90"/>
      <c r="AP206" s="90"/>
      <c r="AQ206" s="208">
        <f>AQ201/Model!AQ291*1000</f>
        <v>4.3516295025728979</v>
      </c>
      <c r="AR206" s="90"/>
      <c r="AS206" s="208">
        <f>AS201/Model!AS291*1000</f>
        <v>0.51196845958884818</v>
      </c>
      <c r="AT206" s="208">
        <f>AT201/Model!AT291*1000</f>
        <v>0.77104377104377098</v>
      </c>
      <c r="AU206" s="208">
        <f>AU201/Model!AU291*1000</f>
        <v>1.0964093864857225</v>
      </c>
      <c r="AV206" s="208">
        <f>AV201/Model!AV291*1000</f>
        <v>1.2814199828227881</v>
      </c>
      <c r="AW206" s="208">
        <f t="shared" ref="AW206:AW212" si="182">AV206</f>
        <v>1.2814199828227881</v>
      </c>
      <c r="AX206" s="90"/>
      <c r="AY206" s="208">
        <f>AY201/Model!AY291*1000</f>
        <v>1.6151364036374305</v>
      </c>
      <c r="AZ206" s="208">
        <f>AZ201/Model!AZ291*1000</f>
        <v>0.99041533546325888</v>
      </c>
      <c r="BA206" s="208">
        <f>BA201/Model!BA291*1000</f>
        <v>0.4695955775385508</v>
      </c>
      <c r="BB206" s="208">
        <f>BB201/Model!BB291*1000</f>
        <v>0.29335634167385716</v>
      </c>
      <c r="BC206" s="208">
        <f>BC201/Model!BC291*1000</f>
        <v>3.3218291630716137</v>
      </c>
      <c r="BD206" s="90"/>
      <c r="BE206" s="208">
        <f>BE201/Model!BE291*1000</f>
        <v>1.3744878448511335</v>
      </c>
      <c r="BF206" s="208">
        <f>BF201/Model!BF291*1000</f>
        <v>0.18017309205350124</v>
      </c>
      <c r="BG206" s="208">
        <f>BG201/Model!BG291*1000</f>
        <v>0.12399708242159002</v>
      </c>
      <c r="BH206" s="208">
        <f>BH201/Model!BH291*1000</f>
        <v>0.16476210263868693</v>
      </c>
      <c r="BI206" s="208">
        <f>BI201/Model!BI291*1000</f>
        <v>1.4589653023062541</v>
      </c>
      <c r="BJ206" s="90"/>
      <c r="BK206" s="208">
        <f>BK201/Model!BK291*1000</f>
        <v>0.78845369237046103</v>
      </c>
      <c r="BL206" s="26"/>
      <c r="BM206" s="26"/>
      <c r="BN206" s="26"/>
      <c r="BO206" s="128"/>
      <c r="BP206" s="90"/>
      <c r="BQ206" s="26"/>
      <c r="BR206" s="26"/>
      <c r="BS206" s="26"/>
      <c r="BT206" s="26"/>
      <c r="BU206" s="128"/>
      <c r="BV206" s="90"/>
      <c r="BW206" s="26"/>
      <c r="BX206" s="26"/>
      <c r="BY206" s="26"/>
      <c r="BZ206" s="26"/>
      <c r="CA206" s="128"/>
      <c r="CB206" s="90"/>
      <c r="CC206" s="26"/>
      <c r="CD206" s="26"/>
      <c r="CE206" s="26"/>
      <c r="CF206" s="26"/>
      <c r="CG206" s="128"/>
      <c r="CH206" s="90"/>
      <c r="CI206" s="26"/>
      <c r="CJ206" s="26"/>
      <c r="CK206" s="26"/>
      <c r="CL206" s="26"/>
      <c r="CM206" s="128"/>
      <c r="CN206" s="90"/>
      <c r="CO206" s="26"/>
      <c r="CP206" s="26"/>
      <c r="CQ206" s="26"/>
      <c r="CR206" s="26"/>
      <c r="CS206" s="128"/>
      <c r="CT206" s="90"/>
      <c r="CU206" s="26"/>
      <c r="CV206" s="26"/>
      <c r="CW206" s="26"/>
      <c r="CX206" s="26"/>
      <c r="CY206" s="128"/>
      <c r="CZ206" s="90"/>
      <c r="DA206" s="26"/>
      <c r="DB206" s="26"/>
      <c r="DC206" s="26"/>
      <c r="DD206" s="26"/>
      <c r="DE206" s="128"/>
      <c r="DF206" s="90"/>
      <c r="DG206" s="26"/>
      <c r="DH206" s="26"/>
      <c r="DI206" s="26"/>
      <c r="DJ206" s="26"/>
      <c r="DK206" s="128"/>
      <c r="DL206" s="90"/>
      <c r="DM206" s="26"/>
      <c r="DN206" s="26"/>
      <c r="DO206" s="26"/>
      <c r="DP206" s="26"/>
      <c r="DQ206" s="128"/>
      <c r="DR206" s="90"/>
      <c r="DS206" s="26"/>
      <c r="DT206" s="26"/>
      <c r="DU206" s="26"/>
      <c r="DV206" s="26"/>
      <c r="DW206" s="128"/>
      <c r="DX206" s="90"/>
      <c r="DY206" s="26"/>
      <c r="DZ206" s="26"/>
      <c r="EA206" s="26"/>
      <c r="EB206" s="26"/>
      <c r="EC206" s="128"/>
      <c r="ED206" s="90"/>
      <c r="EE206" s="26"/>
      <c r="EF206" s="26"/>
      <c r="EG206" s="26"/>
      <c r="EH206" s="26"/>
      <c r="EI206" s="128"/>
      <c r="EJ206" s="90"/>
      <c r="EK206" s="26"/>
      <c r="EL206" s="26"/>
      <c r="EM206" s="26"/>
      <c r="EN206" s="26"/>
      <c r="EO206" s="128"/>
      <c r="EP206" s="90"/>
      <c r="EQ206" s="26"/>
      <c r="ER206" s="26"/>
      <c r="ES206" s="26"/>
      <c r="ET206" s="26"/>
      <c r="EU206" s="128"/>
      <c r="EV206" s="90"/>
      <c r="EW206" s="90"/>
      <c r="EX206" s="90"/>
      <c r="EY206" s="90"/>
      <c r="EZ206" s="90"/>
      <c r="FA206" s="90"/>
      <c r="FB206" s="90"/>
    </row>
    <row r="207" spans="1:158" hidden="1">
      <c r="A207" s="52" t="s">
        <v>532</v>
      </c>
      <c r="B207" s="32"/>
      <c r="C207" s="90"/>
      <c r="D207" s="90"/>
      <c r="E207" s="90"/>
      <c r="F207" s="90"/>
      <c r="G207" s="61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104"/>
      <c r="Z207" s="90"/>
      <c r="AA207" s="90"/>
      <c r="AB207" s="90"/>
      <c r="AC207" s="90"/>
      <c r="AD207" s="90"/>
      <c r="AE207" s="104"/>
      <c r="AF207" s="90"/>
      <c r="AG207" s="90"/>
      <c r="AH207" s="90"/>
      <c r="AI207" s="90"/>
      <c r="AJ207" s="90"/>
      <c r="AK207" s="104"/>
      <c r="AL207" s="90"/>
      <c r="AM207" s="90"/>
      <c r="AN207" s="90"/>
      <c r="AO207" s="90"/>
      <c r="AP207" s="90"/>
      <c r="AQ207" s="104"/>
      <c r="AR207" s="90"/>
      <c r="AS207" s="90"/>
      <c r="AT207" s="90"/>
      <c r="AU207" s="90"/>
      <c r="AV207" s="104"/>
      <c r="AW207" s="104"/>
      <c r="AX207" s="90"/>
      <c r="AY207" s="90"/>
      <c r="AZ207" s="90"/>
      <c r="BA207" s="90"/>
      <c r="BB207" s="90"/>
      <c r="BC207" s="104"/>
      <c r="BD207" s="90"/>
      <c r="BE207" s="104"/>
      <c r="BF207" s="104"/>
      <c r="BG207" s="104"/>
      <c r="BH207" s="104"/>
      <c r="BI207" s="104"/>
      <c r="BJ207" s="90"/>
      <c r="BK207" s="26"/>
      <c r="BL207" s="26"/>
      <c r="BM207" s="26"/>
      <c r="BN207" s="26"/>
      <c r="BO207" s="26"/>
      <c r="BP207" s="90"/>
      <c r="BQ207" s="26"/>
      <c r="BR207" s="26"/>
      <c r="BS207" s="26"/>
      <c r="BT207" s="26"/>
      <c r="BU207" s="26"/>
      <c r="BV207" s="90"/>
      <c r="BW207" s="26"/>
      <c r="BX207" s="26"/>
      <c r="BY207" s="26"/>
      <c r="BZ207" s="26"/>
      <c r="CA207" s="26"/>
      <c r="CB207" s="90"/>
      <c r="CC207" s="26"/>
      <c r="CD207" s="26"/>
      <c r="CE207" s="26"/>
      <c r="CF207" s="26"/>
      <c r="CG207" s="26"/>
      <c r="CH207" s="90"/>
      <c r="CI207" s="26"/>
      <c r="CJ207" s="26"/>
      <c r="CK207" s="26"/>
      <c r="CL207" s="26"/>
      <c r="CM207" s="26"/>
      <c r="CN207" s="90"/>
      <c r="CO207" s="26"/>
      <c r="CP207" s="26"/>
      <c r="CQ207" s="26"/>
      <c r="CR207" s="26"/>
      <c r="CS207" s="26"/>
      <c r="CT207" s="90"/>
      <c r="CU207" s="26"/>
      <c r="CV207" s="26"/>
      <c r="CW207" s="26"/>
      <c r="CX207" s="26"/>
      <c r="CY207" s="26"/>
      <c r="CZ207" s="90"/>
      <c r="DA207" s="26"/>
      <c r="DB207" s="26"/>
      <c r="DC207" s="26"/>
      <c r="DD207" s="26"/>
      <c r="DE207" s="26"/>
      <c r="DF207" s="90"/>
      <c r="DG207" s="26"/>
      <c r="DH207" s="26"/>
      <c r="DI207" s="26"/>
      <c r="DJ207" s="26"/>
      <c r="DK207" s="26"/>
      <c r="DL207" s="90"/>
      <c r="DM207" s="26"/>
      <c r="DN207" s="26"/>
      <c r="DO207" s="26"/>
      <c r="DP207" s="26"/>
      <c r="DQ207" s="26"/>
      <c r="DR207" s="90"/>
      <c r="DS207" s="26"/>
      <c r="DT207" s="26"/>
      <c r="DU207" s="26"/>
      <c r="DV207" s="26"/>
      <c r="DW207" s="26"/>
      <c r="DX207" s="90"/>
      <c r="DY207" s="26"/>
      <c r="DZ207" s="26"/>
      <c r="EA207" s="26"/>
      <c r="EB207" s="26"/>
      <c r="EC207" s="26"/>
      <c r="ED207" s="90"/>
      <c r="EE207" s="26"/>
      <c r="EF207" s="26"/>
      <c r="EG207" s="26"/>
      <c r="EH207" s="26"/>
      <c r="EI207" s="26"/>
      <c r="EJ207" s="90"/>
      <c r="EK207" s="26"/>
      <c r="EL207" s="26"/>
      <c r="EM207" s="26"/>
      <c r="EN207" s="26"/>
      <c r="EO207" s="26"/>
      <c r="EP207" s="90"/>
      <c r="EQ207" s="26"/>
      <c r="ER207" s="26"/>
      <c r="ES207" s="26"/>
      <c r="ET207" s="26"/>
      <c r="EU207" s="26"/>
      <c r="EV207" s="90"/>
      <c r="EW207" s="90"/>
      <c r="EX207" s="90"/>
      <c r="EY207" s="90"/>
      <c r="EZ207" s="90"/>
      <c r="FA207" s="90"/>
      <c r="FB207" s="90"/>
    </row>
    <row r="208" spans="1:158" hidden="1">
      <c r="A208" s="90" t="s">
        <v>3499</v>
      </c>
      <c r="B208" s="32"/>
      <c r="C208" s="90"/>
      <c r="D208" s="90"/>
      <c r="E208" s="90"/>
      <c r="F208" s="90"/>
      <c r="G208" s="61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245">
        <f>(S201)/S$200</f>
        <v>5.8871511153668829E-2</v>
      </c>
      <c r="T208" s="90"/>
      <c r="U208" s="90"/>
      <c r="V208" s="90"/>
      <c r="W208" s="90"/>
      <c r="X208" s="245"/>
      <c r="Y208" s="245">
        <f>(Y201)/Y$200</f>
        <v>9.9191088715024522E-2</v>
      </c>
      <c r="Z208" s="90"/>
      <c r="AA208" s="90"/>
      <c r="AB208" s="90"/>
      <c r="AC208" s="90"/>
      <c r="AD208" s="90"/>
      <c r="AE208" s="245">
        <f>(AE201)/AE$200</f>
        <v>8.1423401688781663E-2</v>
      </c>
      <c r="AF208" s="90"/>
      <c r="AG208" s="90"/>
      <c r="AH208" s="90"/>
      <c r="AI208" s="90"/>
      <c r="AJ208" s="90"/>
      <c r="AK208" s="245">
        <f>(AK201)/AK$200</f>
        <v>7.8391905613413956E-2</v>
      </c>
      <c r="AL208" s="90"/>
      <c r="AM208" s="90"/>
      <c r="AN208" s="90"/>
      <c r="AO208" s="90"/>
      <c r="AP208" s="90"/>
      <c r="AQ208" s="245">
        <f>(AQ201)/AQ$200</f>
        <v>6.7795553338559106E-2</v>
      </c>
      <c r="AR208" s="90"/>
      <c r="AS208" s="245">
        <f t="shared" ref="AS208:AV211" si="183">(AS201)/AS$200</f>
        <v>8.1305903398926661E-3</v>
      </c>
      <c r="AT208" s="245">
        <f t="shared" si="183"/>
        <v>1.2423146473779385E-2</v>
      </c>
      <c r="AU208" s="245">
        <f t="shared" si="183"/>
        <v>1.7189716312056742E-2</v>
      </c>
      <c r="AV208" s="245">
        <f t="shared" si="183"/>
        <v>2.003222341568206E-2</v>
      </c>
      <c r="AW208" s="245">
        <f t="shared" si="182"/>
        <v>2.003222341568206E-2</v>
      </c>
      <c r="AX208" s="90"/>
      <c r="AY208" s="245">
        <f t="shared" ref="AY208:BC212" si="184">(AY201)/AY$200</f>
        <v>2.4255506607929515E-2</v>
      </c>
      <c r="AZ208" s="245">
        <f t="shared" si="184"/>
        <v>1.4749134948096888E-2</v>
      </c>
      <c r="BA208" s="245">
        <f t="shared" si="184"/>
        <v>7.0326797385620874E-3</v>
      </c>
      <c r="BB208" s="245">
        <f t="shared" si="184"/>
        <v>4.4813299884452042E-3</v>
      </c>
      <c r="BC208" s="245">
        <f t="shared" si="184"/>
        <v>5.0744471927982399E-2</v>
      </c>
      <c r="BD208" s="90"/>
      <c r="BE208" s="245">
        <f t="shared" ref="BE208:BF212" si="185">(BE201)/BE$200</f>
        <v>2.2012248468941384E-2</v>
      </c>
      <c r="BF208" s="245">
        <f t="shared" si="185"/>
        <v>3.0078809106830135E-3</v>
      </c>
      <c r="BG208" s="245">
        <f t="shared" ref="BG208:BI212" si="186">(BG201)/BG$200</f>
        <v>2.2097053726169835E-3</v>
      </c>
      <c r="BH208" s="245">
        <f t="shared" si="186"/>
        <v>3.4538327526132413E-3</v>
      </c>
      <c r="BI208" s="245">
        <f t="shared" si="186"/>
        <v>3.0673801463361364E-2</v>
      </c>
      <c r="BJ208" s="90"/>
      <c r="BK208" s="245">
        <f>(BK201)/BK$200</f>
        <v>1.6681053085886924E-2</v>
      </c>
      <c r="BL208" s="26"/>
      <c r="BM208" s="26"/>
      <c r="BN208" s="26"/>
      <c r="BO208" s="245">
        <f>(BO201)/BO$200</f>
        <v>4.5667042837865823E-2</v>
      </c>
      <c r="BP208" s="90"/>
      <c r="BQ208" s="26"/>
      <c r="BR208" s="26"/>
      <c r="BS208" s="26"/>
      <c r="BT208" s="26"/>
      <c r="BU208" s="245">
        <f>(BU201)/BU$200</f>
        <v>0</v>
      </c>
      <c r="BV208" s="90"/>
      <c r="BW208" s="26"/>
      <c r="BX208" s="26"/>
      <c r="BY208" s="26"/>
      <c r="BZ208" s="26"/>
      <c r="CA208" s="245">
        <f>(CA201)/CA$200</f>
        <v>5.091334401583901E-2</v>
      </c>
      <c r="CB208" s="90"/>
      <c r="CC208" s="26"/>
      <c r="CD208" s="26"/>
      <c r="CE208" s="26"/>
      <c r="CF208" s="26"/>
      <c r="CG208" s="245">
        <f>(CG201)/CG$200</f>
        <v>6.5747144102218977E-2</v>
      </c>
      <c r="CH208" s="90"/>
      <c r="CI208" s="26"/>
      <c r="CJ208" s="26"/>
      <c r="CK208" s="26"/>
      <c r="CL208" s="26"/>
      <c r="CM208" s="245">
        <f>(CM201)/CM$200</f>
        <v>4.2611939730814008E-2</v>
      </c>
      <c r="CN208" s="90"/>
      <c r="CO208" s="26"/>
      <c r="CP208" s="26"/>
      <c r="CQ208" s="26"/>
      <c r="CR208" s="26"/>
      <c r="CS208" s="245">
        <f>(CS201)/CS$200</f>
        <v>4.1489876881305877E-2</v>
      </c>
      <c r="CT208" s="90"/>
      <c r="CU208" s="26"/>
      <c r="CV208" s="26"/>
      <c r="CW208" s="26"/>
      <c r="CX208" s="26"/>
      <c r="CY208" s="245">
        <f>(CY201)/CY$200</f>
        <v>4.125587606932353E-2</v>
      </c>
      <c r="CZ208" s="90"/>
      <c r="DA208" s="26"/>
      <c r="DB208" s="26"/>
      <c r="DC208" s="26"/>
      <c r="DD208" s="26"/>
      <c r="DE208" s="245">
        <f>(DE201)/DE$200</f>
        <v>4.1267566594296076E-2</v>
      </c>
      <c r="DF208" s="90"/>
      <c r="DG208" s="26"/>
      <c r="DH208" s="26"/>
      <c r="DI208" s="26"/>
      <c r="DJ208" s="26"/>
      <c r="DK208" s="245">
        <f>(DK201)/DK$200</f>
        <v>4.0176485291174319E-2</v>
      </c>
      <c r="DL208" s="90"/>
      <c r="DM208" s="26"/>
      <c r="DN208" s="26"/>
      <c r="DO208" s="26"/>
      <c r="DP208" s="26"/>
      <c r="DQ208" s="245">
        <f>(DQ201)/DQ$200</f>
        <v>3.991508578707121E-2</v>
      </c>
      <c r="DR208" s="90"/>
      <c r="DS208" s="26"/>
      <c r="DT208" s="26"/>
      <c r="DU208" s="26"/>
      <c r="DV208" s="26"/>
      <c r="DW208" s="245">
        <f>(DW201)/DW$200</f>
        <v>4.0043586315459762E-2</v>
      </c>
      <c r="DX208" s="90"/>
      <c r="DY208" s="26"/>
      <c r="DZ208" s="26"/>
      <c r="EA208" s="26"/>
      <c r="EB208" s="26"/>
      <c r="EC208" s="245">
        <f>(EC201)/EC$200</f>
        <v>4.0167591660283886E-2</v>
      </c>
      <c r="ED208" s="90"/>
      <c r="EE208" s="26"/>
      <c r="EF208" s="26"/>
      <c r="EG208" s="26"/>
      <c r="EH208" s="26"/>
      <c r="EI208" s="245">
        <f>(EI201)/EI$200</f>
        <v>4.0367444931410673E-2</v>
      </c>
      <c r="EJ208" s="90"/>
      <c r="EK208" s="26"/>
      <c r="EL208" s="26"/>
      <c r="EM208" s="26"/>
      <c r="EN208" s="26"/>
      <c r="EO208" s="245">
        <f>(EO201)/EO$200</f>
        <v>4.0635385061352058E-2</v>
      </c>
      <c r="EP208" s="90"/>
      <c r="EQ208" s="26"/>
      <c r="ER208" s="26"/>
      <c r="ES208" s="26"/>
      <c r="ET208" s="26"/>
      <c r="EU208" s="245">
        <f>(EU201)/EU$200</f>
        <v>4.0771887529710844E-2</v>
      </c>
      <c r="EV208" s="90"/>
      <c r="EW208" s="90"/>
      <c r="EX208" s="90"/>
      <c r="EY208" s="90"/>
      <c r="EZ208" s="90"/>
      <c r="FA208" s="90"/>
      <c r="FB208" s="90"/>
    </row>
    <row r="209" spans="1:158" hidden="1">
      <c r="A209" s="183" t="s">
        <v>4570</v>
      </c>
      <c r="B209" s="32"/>
      <c r="C209" s="90"/>
      <c r="D209" s="90"/>
      <c r="E209" s="90"/>
      <c r="F209" s="90"/>
      <c r="G209" s="61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245">
        <f>(S202)/S$200</f>
        <v>4.0784480618505516E-2</v>
      </c>
      <c r="T209" s="90"/>
      <c r="U209" s="90"/>
      <c r="V209" s="90"/>
      <c r="W209" s="90"/>
      <c r="X209" s="245"/>
      <c r="Y209" s="245">
        <f>(Y202)/Y$200</f>
        <v>5.1087388940458819E-2</v>
      </c>
      <c r="Z209" s="90"/>
      <c r="AA209" s="90"/>
      <c r="AB209" s="90"/>
      <c r="AC209" s="90"/>
      <c r="AD209" s="90"/>
      <c r="AE209" s="245">
        <f>(AE202)/AE$200</f>
        <v>2.3357824322842419E-2</v>
      </c>
      <c r="AF209" s="90"/>
      <c r="AG209" s="90"/>
      <c r="AH209" s="90"/>
      <c r="AI209" s="90"/>
      <c r="AJ209" s="90"/>
      <c r="AK209" s="245">
        <f>(AK202)/AK$200</f>
        <v>6.4544825541168319E-2</v>
      </c>
      <c r="AL209" s="90"/>
      <c r="AM209" s="90"/>
      <c r="AN209" s="90"/>
      <c r="AO209" s="90"/>
      <c r="AP209" s="90"/>
      <c r="AQ209" s="245">
        <f>(AQ202)/AQ$200</f>
        <v>3.3038195681607638E-2</v>
      </c>
      <c r="AR209" s="90"/>
      <c r="AS209" s="245">
        <f t="shared" si="183"/>
        <v>1.4042933810375674E-3</v>
      </c>
      <c r="AT209" s="245">
        <f t="shared" si="183"/>
        <v>2.124773960216997E-3</v>
      </c>
      <c r="AU209" s="245">
        <f t="shared" si="183"/>
        <v>1.1879432624113482E-2</v>
      </c>
      <c r="AV209" s="245">
        <f t="shared" si="183"/>
        <v>1.5359828141783024E-2</v>
      </c>
      <c r="AW209" s="245">
        <f t="shared" si="182"/>
        <v>1.5359828141783024E-2</v>
      </c>
      <c r="AX209" s="90"/>
      <c r="AY209" s="245">
        <f t="shared" si="184"/>
        <v>2.1348017621145375E-2</v>
      </c>
      <c r="AZ209" s="245">
        <f t="shared" si="184"/>
        <v>1.1816608996539794E-2</v>
      </c>
      <c r="BA209" s="245">
        <f t="shared" si="184"/>
        <v>3.0544662309368157E-3</v>
      </c>
      <c r="BB209" s="245">
        <f t="shared" si="184"/>
        <v>2.7942410516187751E-3</v>
      </c>
      <c r="BC209" s="245">
        <f t="shared" si="184"/>
        <v>3.9167702791165632E-2</v>
      </c>
      <c r="BD209" s="90"/>
      <c r="BE209" s="245">
        <f t="shared" si="185"/>
        <v>2.0223097112860893E-2</v>
      </c>
      <c r="BF209" s="245">
        <f t="shared" si="185"/>
        <v>2.7802101576182145E-3</v>
      </c>
      <c r="BG209" s="245">
        <f t="shared" si="186"/>
        <v>-1.5121317157712315E-3</v>
      </c>
      <c r="BH209" s="245">
        <f t="shared" si="186"/>
        <v>2.6219512195121927E-3</v>
      </c>
      <c r="BI209" s="245">
        <f t="shared" si="186"/>
        <v>2.4073386480288304E-2</v>
      </c>
      <c r="BJ209" s="90"/>
      <c r="BK209" s="245">
        <f>(BK202)/BK$200</f>
        <v>1.4523090202848513E-2</v>
      </c>
      <c r="BL209" s="26"/>
      <c r="BM209" s="26"/>
      <c r="BN209" s="26"/>
      <c r="BO209" s="245">
        <f>(BO202)/BO$200</f>
        <v>4.3500111083214499E-2</v>
      </c>
      <c r="BP209" s="90"/>
      <c r="BQ209" s="26"/>
      <c r="BR209" s="26"/>
      <c r="BS209" s="26"/>
      <c r="BT209" s="26"/>
      <c r="BU209" s="245">
        <f>(BU202)/BU$200</f>
        <v>0</v>
      </c>
      <c r="BV209" s="90"/>
      <c r="BW209" s="26"/>
      <c r="BX209" s="26"/>
      <c r="BY209" s="26"/>
      <c r="BZ209" s="26"/>
      <c r="CA209" s="245">
        <f>(CA202)/CA$200</f>
        <v>4.841666995818935E-2</v>
      </c>
      <c r="CB209" s="90"/>
      <c r="CC209" s="26"/>
      <c r="CD209" s="26"/>
      <c r="CE209" s="26"/>
      <c r="CF209" s="26"/>
      <c r="CG209" s="245">
        <f>(CG202)/CG$200</f>
        <v>5.4966474957237568E-2</v>
      </c>
      <c r="CH209" s="90"/>
      <c r="CI209" s="26"/>
      <c r="CJ209" s="26"/>
      <c r="CK209" s="26"/>
      <c r="CL209" s="26"/>
      <c r="CM209" s="245">
        <f>(CM202)/CM$200</f>
        <v>4.2611939730814008E-2</v>
      </c>
      <c r="CN209" s="90"/>
      <c r="CO209" s="26"/>
      <c r="CP209" s="26"/>
      <c r="CQ209" s="26"/>
      <c r="CR209" s="26"/>
      <c r="CS209" s="245">
        <f>(CS202)/CS$200</f>
        <v>4.1489876881305877E-2</v>
      </c>
      <c r="CT209" s="90"/>
      <c r="CU209" s="26"/>
      <c r="CV209" s="26"/>
      <c r="CW209" s="26"/>
      <c r="CX209" s="26"/>
      <c r="CY209" s="245">
        <f>(CY202)/CY$200</f>
        <v>4.125587606932353E-2</v>
      </c>
      <c r="CZ209" s="90"/>
      <c r="DA209" s="26"/>
      <c r="DB209" s="26"/>
      <c r="DC209" s="26"/>
      <c r="DD209" s="26"/>
      <c r="DE209" s="245">
        <f>(DE202)/DE$200</f>
        <v>4.1267566594296076E-2</v>
      </c>
      <c r="DF209" s="90"/>
      <c r="DG209" s="26"/>
      <c r="DH209" s="26"/>
      <c r="DI209" s="26"/>
      <c r="DJ209" s="26"/>
      <c r="DK209" s="245">
        <f>(DK202)/DK$200</f>
        <v>4.0176485291174319E-2</v>
      </c>
      <c r="DL209" s="90"/>
      <c r="DM209" s="26"/>
      <c r="DN209" s="26"/>
      <c r="DO209" s="26"/>
      <c r="DP209" s="26"/>
      <c r="DQ209" s="245">
        <f>(DQ202)/DQ$200</f>
        <v>3.991508578707121E-2</v>
      </c>
      <c r="DR209" s="90"/>
      <c r="DS209" s="26"/>
      <c r="DT209" s="26"/>
      <c r="DU209" s="26"/>
      <c r="DV209" s="26"/>
      <c r="DW209" s="245">
        <f>(DW202)/DW$200</f>
        <v>4.0043586315459762E-2</v>
      </c>
      <c r="DX209" s="90"/>
      <c r="DY209" s="26"/>
      <c r="DZ209" s="26"/>
      <c r="EA209" s="26"/>
      <c r="EB209" s="26"/>
      <c r="EC209" s="245">
        <f>(EC202)/EC$200</f>
        <v>4.0167591660283886E-2</v>
      </c>
      <c r="ED209" s="90"/>
      <c r="EE209" s="26"/>
      <c r="EF209" s="26"/>
      <c r="EG209" s="26"/>
      <c r="EH209" s="26"/>
      <c r="EI209" s="245">
        <f>(EI202)/EI$200</f>
        <v>4.0367444931410673E-2</v>
      </c>
      <c r="EJ209" s="90"/>
      <c r="EK209" s="26"/>
      <c r="EL209" s="26"/>
      <c r="EM209" s="26"/>
      <c r="EN209" s="26"/>
      <c r="EO209" s="245">
        <f>(EO202)/EO$200</f>
        <v>4.0635385061352058E-2</v>
      </c>
      <c r="EP209" s="90"/>
      <c r="EQ209" s="26"/>
      <c r="ER209" s="26"/>
      <c r="ES209" s="26"/>
      <c r="ET209" s="26"/>
      <c r="EU209" s="245">
        <f>(EU202)/EU$200</f>
        <v>4.0771887529710844E-2</v>
      </c>
      <c r="EV209" s="90"/>
      <c r="EW209" s="90"/>
      <c r="EX209" s="90"/>
      <c r="EY209" s="90"/>
      <c r="EZ209" s="90"/>
      <c r="FA209" s="90"/>
      <c r="FB209" s="90"/>
    </row>
    <row r="210" spans="1:158" hidden="1">
      <c r="A210" s="90" t="s">
        <v>3500</v>
      </c>
      <c r="B210" s="32"/>
      <c r="C210" s="90"/>
      <c r="D210" s="90"/>
      <c r="E210" s="90"/>
      <c r="F210" s="90"/>
      <c r="G210" s="61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245">
        <f>(S203)/S$200</f>
        <v>-4.601553356740079E-2</v>
      </c>
      <c r="T210" s="90"/>
      <c r="U210" s="90"/>
      <c r="V210" s="90"/>
      <c r="W210" s="90"/>
      <c r="X210" s="245"/>
      <c r="Y210" s="245">
        <f>(Y203)/Y$200</f>
        <v>-1.8018167351810103E-2</v>
      </c>
      <c r="Z210" s="90"/>
      <c r="AA210" s="90"/>
      <c r="AB210" s="90"/>
      <c r="AC210" s="90"/>
      <c r="AD210" s="90"/>
      <c r="AE210" s="245">
        <f>(AE203)/AE$200</f>
        <v>-6.7551266586248493E-2</v>
      </c>
      <c r="AF210" s="90"/>
      <c r="AG210" s="90"/>
      <c r="AH210" s="90"/>
      <c r="AI210" s="90"/>
      <c r="AJ210" s="90"/>
      <c r="AK210" s="245">
        <f>(AK203)/AK$200</f>
        <v>-4.5081635770575182E-2</v>
      </c>
      <c r="AL210" s="90"/>
      <c r="AM210" s="90"/>
      <c r="AN210" s="90"/>
      <c r="AO210" s="90"/>
      <c r="AP210" s="90"/>
      <c r="AQ210" s="245">
        <f>(AQ203)/AQ$200</f>
        <v>-3.0535167106107035E-2</v>
      </c>
      <c r="AR210" s="90"/>
      <c r="AS210" s="245">
        <f t="shared" si="183"/>
        <v>-2.8980322003577821E-3</v>
      </c>
      <c r="AT210" s="245">
        <f t="shared" si="183"/>
        <v>-4.7830018083182633E-3</v>
      </c>
      <c r="AU210" s="245">
        <f t="shared" si="183"/>
        <v>-1.2207446808510639E-2</v>
      </c>
      <c r="AV210" s="245">
        <f t="shared" si="183"/>
        <v>-3.7549230218403153E-2</v>
      </c>
      <c r="AW210" s="245">
        <f t="shared" si="182"/>
        <v>-3.7549230218403153E-2</v>
      </c>
      <c r="AX210" s="90"/>
      <c r="AY210" s="245">
        <f t="shared" si="184"/>
        <v>-4.6792951541850217E-2</v>
      </c>
      <c r="AZ210" s="245">
        <f t="shared" si="184"/>
        <v>-2.7266435986159163E-2</v>
      </c>
      <c r="BA210" s="245">
        <f t="shared" si="184"/>
        <v>-2.0954248366013076E-2</v>
      </c>
      <c r="BB210" s="245">
        <f t="shared" si="184"/>
        <v>-1.6299739467776166E-2</v>
      </c>
      <c r="BC210" s="245">
        <f t="shared" si="184"/>
        <v>-0.11179160936861576</v>
      </c>
      <c r="BD210" s="90"/>
      <c r="BE210" s="245">
        <f t="shared" si="185"/>
        <v>-1.0936132983377079E-2</v>
      </c>
      <c r="BF210" s="245">
        <f t="shared" si="185"/>
        <v>-1.4465849387040281E-2</v>
      </c>
      <c r="BG210" s="245">
        <f t="shared" si="186"/>
        <v>-1.792027729636048E-2</v>
      </c>
      <c r="BH210" s="245">
        <f t="shared" si="186"/>
        <v>-8.4277003484320573E-3</v>
      </c>
      <c r="BI210" s="245">
        <f t="shared" si="186"/>
        <v>-5.1872884132357758E-2</v>
      </c>
      <c r="BJ210" s="90"/>
      <c r="BK210" s="245">
        <f>(BK203)/BK$200</f>
        <v>-1.0958135520069056E-2</v>
      </c>
      <c r="BL210" s="26"/>
      <c r="BM210" s="26"/>
      <c r="BN210" s="26"/>
      <c r="BO210" s="245">
        <f>(BO203)/BO$200</f>
        <v>-1.8795966039845593E-2</v>
      </c>
      <c r="BP210" s="90"/>
      <c r="BQ210" s="26"/>
      <c r="BR210" s="26"/>
      <c r="BS210" s="26"/>
      <c r="BT210" s="26"/>
      <c r="BU210" s="245">
        <f>(BU203)/BU$200</f>
        <v>0</v>
      </c>
      <c r="BV210" s="90"/>
      <c r="BW210" s="26"/>
      <c r="BX210" s="26"/>
      <c r="BY210" s="26"/>
      <c r="BZ210" s="26"/>
      <c r="CA210" s="245">
        <f>(CA203)/CA$200</f>
        <v>0</v>
      </c>
      <c r="CB210" s="90"/>
      <c r="CC210" s="26"/>
      <c r="CD210" s="26"/>
      <c r="CE210" s="26"/>
      <c r="CF210" s="26"/>
      <c r="CG210" s="245">
        <f>(CG203)/CG$200</f>
        <v>0</v>
      </c>
      <c r="CH210" s="90"/>
      <c r="CI210" s="26"/>
      <c r="CJ210" s="26"/>
      <c r="CK210" s="26"/>
      <c r="CL210" s="26"/>
      <c r="CM210" s="245">
        <f>(CM203)/CM$200</f>
        <v>0</v>
      </c>
      <c r="CN210" s="90"/>
      <c r="CO210" s="26"/>
      <c r="CP210" s="26"/>
      <c r="CQ210" s="26"/>
      <c r="CR210" s="26"/>
      <c r="CS210" s="245">
        <f>(CS203)/CS$200</f>
        <v>0</v>
      </c>
      <c r="CT210" s="90"/>
      <c r="CU210" s="26"/>
      <c r="CV210" s="26"/>
      <c r="CW210" s="26"/>
      <c r="CX210" s="26"/>
      <c r="CY210" s="245">
        <f>(CY203)/CY$200</f>
        <v>0</v>
      </c>
      <c r="CZ210" s="90"/>
      <c r="DA210" s="26"/>
      <c r="DB210" s="26"/>
      <c r="DC210" s="26"/>
      <c r="DD210" s="26"/>
      <c r="DE210" s="245">
        <f>(DE203)/DE$200</f>
        <v>0</v>
      </c>
      <c r="DF210" s="90"/>
      <c r="DG210" s="26"/>
      <c r="DH210" s="26"/>
      <c r="DI210" s="26"/>
      <c r="DJ210" s="26"/>
      <c r="DK210" s="245">
        <f>(DK203)/DK$200</f>
        <v>0</v>
      </c>
      <c r="DL210" s="90"/>
      <c r="DM210" s="26"/>
      <c r="DN210" s="26"/>
      <c r="DO210" s="26"/>
      <c r="DP210" s="26"/>
      <c r="DQ210" s="245">
        <f>(DQ203)/DQ$200</f>
        <v>0</v>
      </c>
      <c r="DR210" s="90"/>
      <c r="DS210" s="26"/>
      <c r="DT210" s="26"/>
      <c r="DU210" s="26"/>
      <c r="DV210" s="26"/>
      <c r="DW210" s="245">
        <f>(DW203)/DW$200</f>
        <v>0</v>
      </c>
      <c r="DX210" s="90"/>
      <c r="DY210" s="26"/>
      <c r="DZ210" s="26"/>
      <c r="EA210" s="26"/>
      <c r="EB210" s="26"/>
      <c r="EC210" s="245">
        <f>(EC203)/EC$200</f>
        <v>0</v>
      </c>
      <c r="ED210" s="90"/>
      <c r="EE210" s="26"/>
      <c r="EF210" s="26"/>
      <c r="EG210" s="26"/>
      <c r="EH210" s="26"/>
      <c r="EI210" s="245">
        <f>(EI203)/EI$200</f>
        <v>0</v>
      </c>
      <c r="EJ210" s="90"/>
      <c r="EK210" s="26"/>
      <c r="EL210" s="26"/>
      <c r="EM210" s="26"/>
      <c r="EN210" s="26"/>
      <c r="EO210" s="245">
        <f>(EO203)/EO$200</f>
        <v>0</v>
      </c>
      <c r="EP210" s="90"/>
      <c r="EQ210" s="26"/>
      <c r="ER210" s="26"/>
      <c r="ES210" s="26"/>
      <c r="ET210" s="26"/>
      <c r="EU210" s="245">
        <f>(EU203)/EU$200</f>
        <v>0</v>
      </c>
      <c r="EV210" s="90"/>
      <c r="EW210" s="90"/>
      <c r="EX210" s="90"/>
      <c r="EY210" s="90"/>
      <c r="EZ210" s="90"/>
      <c r="FA210" s="90"/>
      <c r="FB210" s="90"/>
    </row>
    <row r="211" spans="1:158" hidden="1">
      <c r="A211" s="90" t="s">
        <v>3501</v>
      </c>
      <c r="B211" s="32"/>
      <c r="C211" s="90"/>
      <c r="D211" s="90"/>
      <c r="E211" s="90"/>
      <c r="F211" s="90"/>
      <c r="G211" s="61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245">
        <f>(S204)/S$200</f>
        <v>0.24744653686562401</v>
      </c>
      <c r="T211" s="90"/>
      <c r="U211" s="90"/>
      <c r="V211" s="90"/>
      <c r="W211" s="90"/>
      <c r="X211" s="245"/>
      <c r="Y211" s="245">
        <f>(Y204)/Y$200</f>
        <v>0.26437972417451266</v>
      </c>
      <c r="Z211" s="90"/>
      <c r="AA211" s="90"/>
      <c r="AB211" s="90"/>
      <c r="AC211" s="90"/>
      <c r="AD211" s="90"/>
      <c r="AE211" s="245">
        <f>(AE204)/AE$200</f>
        <v>0.24731330189713785</v>
      </c>
      <c r="AF211" s="90"/>
      <c r="AG211" s="90"/>
      <c r="AH211" s="90"/>
      <c r="AI211" s="90"/>
      <c r="AJ211" s="90"/>
      <c r="AK211" s="245">
        <f>(AK204)/AK$200</f>
        <v>0.26264523259679923</v>
      </c>
      <c r="AL211" s="90"/>
      <c r="AM211" s="90"/>
      <c r="AN211" s="90"/>
      <c r="AO211" s="90"/>
      <c r="AP211" s="90"/>
      <c r="AQ211" s="245">
        <f>(AQ204)/AQ$200</f>
        <v>0.26286253830257245</v>
      </c>
      <c r="AR211" s="90"/>
      <c r="AS211" s="245">
        <f t="shared" si="183"/>
        <v>0.26245974955277274</v>
      </c>
      <c r="AT211" s="245">
        <f t="shared" si="183"/>
        <v>0.26264918625678113</v>
      </c>
      <c r="AU211" s="245">
        <f t="shared" si="183"/>
        <v>0.25719858156028363</v>
      </c>
      <c r="AV211" s="245">
        <f t="shared" si="183"/>
        <v>0.23749552452559966</v>
      </c>
      <c r="AW211" s="245">
        <f t="shared" si="182"/>
        <v>0.23749552452559966</v>
      </c>
      <c r="AX211" s="90"/>
      <c r="AY211" s="245">
        <f t="shared" si="184"/>
        <v>0.20775330396475769</v>
      </c>
      <c r="AZ211" s="245">
        <f t="shared" si="184"/>
        <v>0.18852941176470586</v>
      </c>
      <c r="BA211" s="245">
        <f t="shared" si="184"/>
        <v>0.17202614379084963</v>
      </c>
      <c r="BB211" s="245">
        <f t="shared" si="184"/>
        <v>0.15994833290130966</v>
      </c>
      <c r="BC211" s="245">
        <f t="shared" si="184"/>
        <v>0.15994833290130969</v>
      </c>
      <c r="BD211" s="90"/>
      <c r="BE211" s="245">
        <f t="shared" si="185"/>
        <v>0.16854330708661416</v>
      </c>
      <c r="BF211" s="245">
        <f t="shared" si="185"/>
        <v>0.15700525394045531</v>
      </c>
      <c r="BG211" s="245">
        <f t="shared" si="186"/>
        <v>0.1359402079722703</v>
      </c>
      <c r="BH211" s="245">
        <f t="shared" si="186"/>
        <v>0.13084494773519159</v>
      </c>
      <c r="BI211" s="245">
        <f t="shared" si="186"/>
        <v>0.13123075242983509</v>
      </c>
      <c r="BJ211" s="90"/>
      <c r="BK211" s="245">
        <f>(BK204)/BK$200</f>
        <v>0.13322399654725939</v>
      </c>
      <c r="BL211" s="26"/>
      <c r="BM211" s="26"/>
      <c r="BN211" s="26"/>
      <c r="BO211" s="245">
        <f>(BO204)/BO$200</f>
        <v>0.15490207258983876</v>
      </c>
      <c r="BP211" s="90"/>
      <c r="BQ211" s="26"/>
      <c r="BR211" s="26"/>
      <c r="BS211" s="26"/>
      <c r="BT211" s="26"/>
      <c r="BU211" s="245">
        <f>(BU204)/BU$200</f>
        <v>0.10632489052844633</v>
      </c>
      <c r="BV211" s="90"/>
      <c r="BW211" s="26"/>
      <c r="BX211" s="26"/>
      <c r="BY211" s="26"/>
      <c r="BZ211" s="26"/>
      <c r="CA211" s="245">
        <f>(CA204)/CA$200</f>
        <v>0.15709072760785678</v>
      </c>
      <c r="CB211" s="90"/>
      <c r="CC211" s="26"/>
      <c r="CD211" s="26"/>
      <c r="CE211" s="26"/>
      <c r="CF211" s="26"/>
      <c r="CG211" s="245">
        <f>(CG204)/CG$200</f>
        <v>0.20989303990616257</v>
      </c>
      <c r="CH211" s="90"/>
      <c r="CI211" s="26"/>
      <c r="CJ211" s="26"/>
      <c r="CK211" s="26"/>
      <c r="CL211" s="26"/>
      <c r="CM211" s="245">
        <f>(CM204)/CM$200</f>
        <v>0.2534501322603871</v>
      </c>
      <c r="CN211" s="90"/>
      <c r="CO211" s="26"/>
      <c r="CP211" s="26"/>
      <c r="CQ211" s="26"/>
      <c r="CR211" s="26"/>
      <c r="CS211" s="245">
        <f>(CS204)/CS$200</f>
        <v>0.29485652754345171</v>
      </c>
      <c r="CT211" s="90"/>
      <c r="CU211" s="26"/>
      <c r="CV211" s="26"/>
      <c r="CW211" s="26"/>
      <c r="CX211" s="26"/>
      <c r="CY211" s="245">
        <f>(CY204)/CY$200</f>
        <v>0.33783823419916981</v>
      </c>
      <c r="CZ211" s="90"/>
      <c r="DA211" s="26"/>
      <c r="DB211" s="26"/>
      <c r="DC211" s="26"/>
      <c r="DD211" s="26"/>
      <c r="DE211" s="245">
        <f>(DE204)/DE$200</f>
        <v>0.38310746051244143</v>
      </c>
      <c r="DF211" s="90"/>
      <c r="DG211" s="26"/>
      <c r="DH211" s="26"/>
      <c r="DI211" s="26"/>
      <c r="DJ211" s="26"/>
      <c r="DK211" s="245">
        <f>(DK204)/DK$200</f>
        <v>0.41746587278163738</v>
      </c>
      <c r="DL211" s="90"/>
      <c r="DM211" s="26"/>
      <c r="DN211" s="26"/>
      <c r="DO211" s="26"/>
      <c r="DP211" s="26"/>
      <c r="DQ211" s="245">
        <f>(DQ204)/DQ$200</f>
        <v>0.45945859230849773</v>
      </c>
      <c r="DR211" s="90"/>
      <c r="DS211" s="26"/>
      <c r="DT211" s="26"/>
      <c r="DU211" s="26"/>
      <c r="DV211" s="26"/>
      <c r="DW211" s="245">
        <f>(DW204)/DW$200</f>
        <v>0.50630897258408336</v>
      </c>
      <c r="DX211" s="90"/>
      <c r="DY211" s="26"/>
      <c r="DZ211" s="26"/>
      <c r="EA211" s="26"/>
      <c r="EB211" s="26"/>
      <c r="EC211" s="245">
        <f>(EC204)/EC$200</f>
        <v>0.55391465301140375</v>
      </c>
      <c r="ED211" s="90"/>
      <c r="EE211" s="26"/>
      <c r="EF211" s="26"/>
      <c r="EG211" s="26"/>
      <c r="EH211" s="26"/>
      <c r="EI211" s="245">
        <f>(EI204)/EI$200</f>
        <v>0.60347223488584512</v>
      </c>
      <c r="EJ211" s="90"/>
      <c r="EK211" s="26"/>
      <c r="EL211" s="26"/>
      <c r="EM211" s="26"/>
      <c r="EN211" s="26"/>
      <c r="EO211" s="245">
        <f>(EO204)/EO$200</f>
        <v>0.65513456980502072</v>
      </c>
      <c r="EP211" s="90"/>
      <c r="EQ211" s="26"/>
      <c r="ER211" s="26"/>
      <c r="ES211" s="26"/>
      <c r="ET211" s="26"/>
      <c r="EU211" s="245">
        <f>(EU204)/EU$200</f>
        <v>0.70570483727099365</v>
      </c>
      <c r="EV211" s="90"/>
      <c r="EW211" s="90"/>
      <c r="EX211" s="90"/>
      <c r="EY211" s="90"/>
      <c r="EZ211" s="90"/>
      <c r="FA211" s="90"/>
      <c r="FB211" s="90"/>
    </row>
    <row r="212" spans="1:158" hidden="1">
      <c r="A212" s="90" t="s">
        <v>531</v>
      </c>
      <c r="B212" s="32"/>
      <c r="C212" s="90"/>
      <c r="D212" s="90"/>
      <c r="E212" s="90"/>
      <c r="F212" s="90"/>
      <c r="G212" s="61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245">
        <f>(S205)/S$200</f>
        <v>0.11522502393871689</v>
      </c>
      <c r="T212" s="90"/>
      <c r="U212" s="90"/>
      <c r="V212" s="90"/>
      <c r="W212" s="90"/>
      <c r="X212" s="245"/>
      <c r="Y212" s="245">
        <f>(Y205)/Y$200</f>
        <v>0.12700570216151702</v>
      </c>
      <c r="Z212" s="90"/>
      <c r="AA212" s="90"/>
      <c r="AB212" s="90"/>
      <c r="AC212" s="90"/>
      <c r="AD212" s="90"/>
      <c r="AE212" s="245">
        <f>(AE205)/AE$200</f>
        <v>0.10195196841758965</v>
      </c>
      <c r="AF212" s="90"/>
      <c r="AG212" s="90"/>
      <c r="AH212" s="90"/>
      <c r="AI212" s="90"/>
      <c r="AJ212" s="90"/>
      <c r="AK212" s="245">
        <f>(AK205)/AK$200</f>
        <v>0.11319381419213384</v>
      </c>
      <c r="AL212" s="90"/>
      <c r="AM212" s="90"/>
      <c r="AN212" s="90"/>
      <c r="AO212" s="90"/>
      <c r="AP212" s="90"/>
      <c r="AQ212" s="245">
        <f>(AQ205)/AQ$200</f>
        <v>0.12622033777524408</v>
      </c>
      <c r="AR212" s="90"/>
      <c r="AS212" s="245">
        <f>(AS205)/AS$200</f>
        <v>0.13941860465116279</v>
      </c>
      <c r="AT212" s="245">
        <f>(AT205)/AT$200</f>
        <v>0.14116636528028934</v>
      </c>
      <c r="AU212" s="245">
        <f>(AU205)/AU$200</f>
        <v>0.14651595744680854</v>
      </c>
      <c r="AV212" s="245">
        <f>(AW205)/AV$200</f>
        <v>0.11862692445399213</v>
      </c>
      <c r="AW212" s="245">
        <f t="shared" si="182"/>
        <v>0.11862692445399213</v>
      </c>
      <c r="AX212" s="90"/>
      <c r="AY212" s="245">
        <f t="shared" si="184"/>
        <v>7.9118942731277536E-2</v>
      </c>
      <c r="AZ212" s="245">
        <f t="shared" si="184"/>
        <v>6.2197231833910044E-2</v>
      </c>
      <c r="BA212" s="245">
        <f t="shared" si="184"/>
        <v>6.2087145969498915E-2</v>
      </c>
      <c r="BB212" s="245">
        <f t="shared" si="184"/>
        <v>5.552016378821762E-2</v>
      </c>
      <c r="BC212" s="245">
        <f t="shared" si="184"/>
        <v>5.552016378821762E-2</v>
      </c>
      <c r="BD212" s="90"/>
      <c r="BE212" s="245">
        <f t="shared" si="185"/>
        <v>5.8263342082239725E-2</v>
      </c>
      <c r="BF212" s="245">
        <f t="shared" si="185"/>
        <v>6.0731173380035024E-2</v>
      </c>
      <c r="BG212" s="245">
        <f t="shared" si="186"/>
        <v>5.5766897746967067E-2</v>
      </c>
      <c r="BH212" s="245">
        <f t="shared" si="186"/>
        <v>5.4503484320557488E-2</v>
      </c>
      <c r="BI212" s="245">
        <f t="shared" si="186"/>
        <v>5.4664191329037888E-2</v>
      </c>
      <c r="BJ212" s="90"/>
      <c r="BK212" s="245">
        <f>(BK205)/BK$200</f>
        <v>5.8536901165299964E-2</v>
      </c>
      <c r="BL212" s="26"/>
      <c r="BM212" s="26"/>
      <c r="BN212" s="26"/>
      <c r="BO212" s="245">
        <f>(BO205)/BO$200</f>
        <v>0</v>
      </c>
      <c r="BP212" s="90"/>
      <c r="BQ212" s="26"/>
      <c r="BR212" s="26"/>
      <c r="BS212" s="26"/>
      <c r="BT212" s="26"/>
      <c r="BU212" s="245">
        <f>(BU205)/BU$200</f>
        <v>0</v>
      </c>
      <c r="BV212" s="90"/>
      <c r="BW212" s="26"/>
      <c r="BX212" s="26"/>
      <c r="BY212" s="26"/>
      <c r="BZ212" s="26"/>
      <c r="CA212" s="245">
        <f>(CA205)/CA$200</f>
        <v>0</v>
      </c>
      <c r="CB212" s="90"/>
      <c r="CC212" s="26"/>
      <c r="CD212" s="26"/>
      <c r="CE212" s="26"/>
      <c r="CF212" s="26"/>
      <c r="CG212" s="245">
        <f>(CG205)/CG$200</f>
        <v>0</v>
      </c>
      <c r="CH212" s="90"/>
      <c r="CI212" s="26"/>
      <c r="CJ212" s="26"/>
      <c r="CK212" s="26"/>
      <c r="CL212" s="26"/>
      <c r="CM212" s="245">
        <f>(CM205)/CM$200</f>
        <v>0</v>
      </c>
      <c r="CN212" s="90"/>
      <c r="CO212" s="26"/>
      <c r="CP212" s="26"/>
      <c r="CQ212" s="26"/>
      <c r="CR212" s="26"/>
      <c r="CS212" s="245">
        <f>(CS205)/CS$200</f>
        <v>0</v>
      </c>
      <c r="CT212" s="90"/>
      <c r="CU212" s="26"/>
      <c r="CV212" s="26"/>
      <c r="CW212" s="26"/>
      <c r="CX212" s="26"/>
      <c r="CY212" s="245">
        <f>(CY205)/CY$200</f>
        <v>0</v>
      </c>
      <c r="CZ212" s="90"/>
      <c r="DA212" s="26"/>
      <c r="DB212" s="26"/>
      <c r="DC212" s="26"/>
      <c r="DD212" s="26"/>
      <c r="DE212" s="245">
        <f>(DE205)/DE$200</f>
        <v>0</v>
      </c>
      <c r="DF212" s="90"/>
      <c r="DG212" s="26"/>
      <c r="DH212" s="26"/>
      <c r="DI212" s="26"/>
      <c r="DJ212" s="26"/>
      <c r="DK212" s="245">
        <f>(DK205)/DK$200</f>
        <v>0</v>
      </c>
      <c r="DL212" s="90"/>
      <c r="DM212" s="26"/>
      <c r="DN212" s="26"/>
      <c r="DO212" s="26"/>
      <c r="DP212" s="26"/>
      <c r="DQ212" s="245">
        <f>(DQ205)/DQ$200</f>
        <v>0</v>
      </c>
      <c r="DR212" s="90"/>
      <c r="DS212" s="26"/>
      <c r="DT212" s="26"/>
      <c r="DU212" s="26"/>
      <c r="DV212" s="26"/>
      <c r="DW212" s="245">
        <f>(DW205)/DW$200</f>
        <v>0</v>
      </c>
      <c r="DX212" s="90"/>
      <c r="DY212" s="26"/>
      <c r="DZ212" s="26"/>
      <c r="EA212" s="26"/>
      <c r="EB212" s="26"/>
      <c r="EC212" s="245">
        <f>(EC205)/EC$200</f>
        <v>0</v>
      </c>
      <c r="ED212" s="90"/>
      <c r="EE212" s="26"/>
      <c r="EF212" s="26"/>
      <c r="EG212" s="26"/>
      <c r="EH212" s="26"/>
      <c r="EI212" s="245">
        <f>(EI205)/EI$200</f>
        <v>0</v>
      </c>
      <c r="EJ212" s="90"/>
      <c r="EK212" s="26"/>
      <c r="EL212" s="26"/>
      <c r="EM212" s="26"/>
      <c r="EN212" s="26"/>
      <c r="EO212" s="245">
        <f>(EO205)/EO$200</f>
        <v>0</v>
      </c>
      <c r="EP212" s="90"/>
      <c r="EQ212" s="26"/>
      <c r="ER212" s="26"/>
      <c r="ES212" s="26"/>
      <c r="ET212" s="26"/>
      <c r="EU212" s="245">
        <f>(EU205)/EU$200</f>
        <v>0</v>
      </c>
      <c r="EV212" s="90"/>
      <c r="EW212" s="90"/>
      <c r="EX212" s="90"/>
      <c r="EY212" s="90"/>
      <c r="EZ212" s="90"/>
      <c r="FA212" s="90"/>
      <c r="FB212" s="90"/>
    </row>
    <row r="213" spans="1:158" hidden="1">
      <c r="A213" s="26"/>
      <c r="B213" s="32"/>
      <c r="C213" s="90"/>
      <c r="D213" s="90"/>
      <c r="E213" s="90"/>
      <c r="F213" s="90"/>
      <c r="G213" s="61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104"/>
      <c r="Z213" s="90"/>
      <c r="AA213" s="90"/>
      <c r="AB213" s="90"/>
      <c r="AC213" s="90"/>
      <c r="AD213" s="90"/>
      <c r="AE213" s="104"/>
      <c r="AF213" s="90"/>
      <c r="AG213" s="90"/>
      <c r="AH213" s="90"/>
      <c r="AI213" s="90"/>
      <c r="AJ213" s="90"/>
      <c r="AK213" s="104"/>
      <c r="AL213" s="90"/>
      <c r="AM213" s="90"/>
      <c r="AN213" s="90"/>
      <c r="AO213" s="90"/>
      <c r="AP213" s="90"/>
      <c r="AQ213" s="104"/>
      <c r="AR213" s="90"/>
      <c r="AS213" s="90"/>
      <c r="AT213" s="90"/>
      <c r="AU213" s="90"/>
      <c r="AV213" s="90"/>
      <c r="AW213" s="104"/>
      <c r="AX213" s="90"/>
      <c r="AY213" s="90"/>
      <c r="AZ213" s="90"/>
      <c r="BA213" s="90"/>
      <c r="BB213" s="90"/>
      <c r="BC213" s="104"/>
      <c r="BD213" s="90"/>
      <c r="BE213" s="104"/>
      <c r="BF213" s="104"/>
      <c r="BG213" s="104"/>
      <c r="BH213" s="104"/>
      <c r="BI213" s="104"/>
      <c r="BJ213" s="90"/>
      <c r="BK213" s="26"/>
      <c r="BL213" s="26"/>
      <c r="BM213" s="26"/>
      <c r="BN213" s="26"/>
      <c r="BO213" s="26"/>
      <c r="BP213" s="90"/>
      <c r="BQ213" s="26"/>
      <c r="BR213" s="26"/>
      <c r="BS213" s="26"/>
      <c r="BT213" s="26"/>
      <c r="BU213" s="26"/>
      <c r="BV213" s="90"/>
      <c r="BW213" s="26"/>
      <c r="BX213" s="26"/>
      <c r="BY213" s="26"/>
      <c r="BZ213" s="26"/>
      <c r="CA213" s="26"/>
      <c r="CB213" s="90"/>
      <c r="CC213" s="26"/>
      <c r="CD213" s="26"/>
      <c r="CE213" s="26"/>
      <c r="CF213" s="26"/>
      <c r="CG213" s="26"/>
      <c r="CH213" s="90"/>
      <c r="CI213" s="26"/>
      <c r="CJ213" s="26"/>
      <c r="CK213" s="26"/>
      <c r="CL213" s="26"/>
      <c r="CM213" s="26"/>
      <c r="CN213" s="90"/>
      <c r="CO213" s="26"/>
      <c r="CP213" s="26"/>
      <c r="CQ213" s="26"/>
      <c r="CR213" s="26"/>
      <c r="CS213" s="26"/>
      <c r="CT213" s="90"/>
      <c r="CU213" s="26"/>
      <c r="CV213" s="26"/>
      <c r="CW213" s="26"/>
      <c r="CX213" s="26"/>
      <c r="CY213" s="26"/>
      <c r="CZ213" s="90"/>
      <c r="DA213" s="26"/>
      <c r="DB213" s="26"/>
      <c r="DC213" s="26"/>
      <c r="DD213" s="26"/>
      <c r="DE213" s="26"/>
      <c r="DF213" s="90"/>
      <c r="DG213" s="26"/>
      <c r="DH213" s="26"/>
      <c r="DI213" s="26"/>
      <c r="DJ213" s="26"/>
      <c r="DK213" s="26"/>
      <c r="DL213" s="90"/>
      <c r="DM213" s="26"/>
      <c r="DN213" s="26"/>
      <c r="DO213" s="26"/>
      <c r="DP213" s="26"/>
      <c r="DQ213" s="26"/>
      <c r="DR213" s="90"/>
      <c r="DS213" s="26"/>
      <c r="DT213" s="26"/>
      <c r="DU213" s="26"/>
      <c r="DV213" s="26"/>
      <c r="DW213" s="26"/>
      <c r="DX213" s="90"/>
      <c r="DY213" s="26"/>
      <c r="DZ213" s="26"/>
      <c r="EA213" s="26"/>
      <c r="EB213" s="26"/>
      <c r="EC213" s="26"/>
      <c r="ED213" s="90"/>
      <c r="EE213" s="26"/>
      <c r="EF213" s="26"/>
      <c r="EG213" s="26"/>
      <c r="EH213" s="26"/>
      <c r="EI213" s="26"/>
      <c r="EJ213" s="90"/>
      <c r="EK213" s="26"/>
      <c r="EL213" s="26"/>
      <c r="EM213" s="26"/>
      <c r="EN213" s="26"/>
      <c r="EO213" s="26"/>
      <c r="EP213" s="90"/>
      <c r="EQ213" s="26"/>
      <c r="ER213" s="26"/>
      <c r="ES213" s="26"/>
      <c r="ET213" s="26"/>
      <c r="EU213" s="26"/>
      <c r="EV213" s="90"/>
      <c r="EW213" s="90"/>
      <c r="EX213" s="90"/>
      <c r="EY213" s="90"/>
      <c r="EZ213" s="90"/>
      <c r="FA213" s="90"/>
      <c r="FB213" s="90"/>
    </row>
    <row r="214" spans="1:158" hidden="1">
      <c r="A214" s="97" t="s">
        <v>3355</v>
      </c>
      <c r="B214" s="97"/>
      <c r="C214" s="97"/>
      <c r="D214" s="97"/>
      <c r="E214" s="97"/>
      <c r="F214" s="97"/>
      <c r="G214" s="93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666">
        <f>S201/Metrics!S419*1000000</f>
        <v>5103.7663335895468</v>
      </c>
      <c r="T214" s="97"/>
      <c r="U214" s="97"/>
      <c r="V214" s="97"/>
      <c r="W214" s="97"/>
      <c r="X214" s="97"/>
      <c r="Y214" s="666">
        <f>Y201/Metrics!Y419*1000000</f>
        <v>7915.3439153439149</v>
      </c>
      <c r="Z214" s="97"/>
      <c r="AA214" s="97"/>
      <c r="AB214" s="97"/>
      <c r="AC214" s="97"/>
      <c r="AD214" s="97"/>
      <c r="AE214" s="666">
        <f>AE201/Metrics!AE419*1000000</f>
        <v>5114.8105625717562</v>
      </c>
      <c r="AF214" s="97"/>
      <c r="AG214" s="97"/>
      <c r="AH214" s="97"/>
      <c r="AI214" s="97"/>
      <c r="AJ214" s="97"/>
      <c r="AK214" s="666">
        <f>AK201/Metrics!AK419*1000000</f>
        <v>4785.5183763027981</v>
      </c>
      <c r="AL214" s="97"/>
      <c r="AM214" s="97"/>
      <c r="AN214" s="97"/>
      <c r="AO214" s="97"/>
      <c r="AP214" s="97"/>
      <c r="AQ214" s="666">
        <f>AQ201/Metrics!AQ419*1000000</f>
        <v>4351.6295025728987</v>
      </c>
      <c r="AR214" s="97"/>
      <c r="AS214" s="666">
        <f>AS201/Metrics!AS419*1000000</f>
        <v>511.96845958884825</v>
      </c>
      <c r="AT214" s="666">
        <f>AT201/Metrics!AT419*1000000</f>
        <v>771.0437710437709</v>
      </c>
      <c r="AU214" s="666">
        <f>AU201/Metrics!AU419*1000000</f>
        <v>1096.4093864857225</v>
      </c>
      <c r="AV214" s="666">
        <f>AV201/Metrics!AV419*1000000</f>
        <v>1281.4199828227881</v>
      </c>
      <c r="AW214" s="667">
        <f>SUM(AS214:AV214)</f>
        <v>3660.84159994113</v>
      </c>
      <c r="AX214" s="97"/>
      <c r="AY214" s="666">
        <f>AY201/Metrics!AY419*1000000</f>
        <v>1615.1364036374305</v>
      </c>
      <c r="AZ214" s="666">
        <f>AZ201/Metrics!AZ419*1000000</f>
        <v>990.41533546325888</v>
      </c>
      <c r="BA214" s="666">
        <f>BA201/Metrics!BA419*1000000</f>
        <v>469.5955775385508</v>
      </c>
      <c r="BB214" s="666">
        <f>BB201/Metrics!BB419*1000000</f>
        <v>293.35634167385717</v>
      </c>
      <c r="BC214" s="667">
        <f>SUM(AY214:BB214)</f>
        <v>3368.5036583130973</v>
      </c>
      <c r="BD214" s="97"/>
      <c r="BE214" s="666">
        <f>BE201/Metrics!BE419*1000000</f>
        <v>1374.4878448511336</v>
      </c>
      <c r="BF214" s="94">
        <f>BF201/Metrics!BF419*1000000</f>
        <v>180.17309205350125</v>
      </c>
      <c r="BG214" s="94">
        <f>BG201/Metrics!BG419*1000000</f>
        <v>123.99708242159002</v>
      </c>
      <c r="BH214" s="94">
        <f>BH201/Metrics!BH419*1000000</f>
        <v>164.76210263868694</v>
      </c>
      <c r="BI214" s="667">
        <f>SUM(BE214:BH214)</f>
        <v>1843.4201219649117</v>
      </c>
      <c r="BJ214" s="97"/>
      <c r="BK214" s="94">
        <f>BO214/4</f>
        <v>437.8122789666665</v>
      </c>
      <c r="BL214" s="94">
        <f>BO214/4</f>
        <v>437.8122789666665</v>
      </c>
      <c r="BM214" s="94">
        <f>BO214/4</f>
        <v>437.8122789666665</v>
      </c>
      <c r="BN214" s="93">
        <f>BO214/4</f>
        <v>437.8122789666665</v>
      </c>
      <c r="BO214" s="94">
        <f>BI214*(1+BO215)</f>
        <v>1751.249115866666</v>
      </c>
      <c r="BP214" s="97"/>
      <c r="BQ214" s="94">
        <f>BU214/4</f>
        <v>415.92166501833316</v>
      </c>
      <c r="BR214" s="94">
        <f>BU214/4</f>
        <v>415.92166501833316</v>
      </c>
      <c r="BS214" s="93">
        <f>BU214/4</f>
        <v>415.92166501833316</v>
      </c>
      <c r="BT214" s="93">
        <f>BU214/4</f>
        <v>415.92166501833316</v>
      </c>
      <c r="BU214" s="94">
        <f>BO214*(1+BU215)</f>
        <v>1663.6866600733326</v>
      </c>
      <c r="BV214" s="97"/>
      <c r="BW214" s="94">
        <f>CA214/4</f>
        <v>395.12558176741646</v>
      </c>
      <c r="BX214" s="94">
        <f>CA214/4</f>
        <v>395.12558176741646</v>
      </c>
      <c r="BY214" s="94">
        <f>CA214/4</f>
        <v>395.12558176741646</v>
      </c>
      <c r="BZ214" s="93">
        <f>CA214/4</f>
        <v>395.12558176741646</v>
      </c>
      <c r="CA214" s="94">
        <f>BU214*(1+CA215)</f>
        <v>1580.5023270696659</v>
      </c>
      <c r="CB214" s="97"/>
      <c r="CC214" s="94">
        <f>CG214/4</f>
        <v>375.36930267904563</v>
      </c>
      <c r="CD214" s="94">
        <f>CG214/4</f>
        <v>375.36930267904563</v>
      </c>
      <c r="CE214" s="94">
        <f>CG214/4</f>
        <v>375.36930267904563</v>
      </c>
      <c r="CF214" s="94">
        <f>CH214/4</f>
        <v>0</v>
      </c>
      <c r="CG214" s="94">
        <f>CA214*(1+CG215)</f>
        <v>1501.4772107161825</v>
      </c>
      <c r="CH214" s="97"/>
      <c r="CI214" s="94">
        <f>CM214/4</f>
        <v>356.60083754509333</v>
      </c>
      <c r="CJ214" s="94">
        <f>CM214/4</f>
        <v>356.60083754509333</v>
      </c>
      <c r="CK214" s="94">
        <f>CM214/4</f>
        <v>356.60083754509333</v>
      </c>
      <c r="CL214" s="93">
        <f>CM214/4</f>
        <v>356.60083754509333</v>
      </c>
      <c r="CM214" s="94">
        <f>CG214*(1+CM215)</f>
        <v>1426.4033501803733</v>
      </c>
      <c r="CN214" s="97"/>
      <c r="CO214" s="94">
        <f>CS214/4</f>
        <v>338.77079566783863</v>
      </c>
      <c r="CP214" s="94">
        <f>CS214/4</f>
        <v>338.77079566783863</v>
      </c>
      <c r="CQ214" s="94">
        <f>CS214/4</f>
        <v>338.77079566783863</v>
      </c>
      <c r="CR214" s="93">
        <f>CS214/4</f>
        <v>338.77079566783863</v>
      </c>
      <c r="CS214" s="94">
        <f>CM214*(1+CS215)</f>
        <v>1355.0831826713545</v>
      </c>
      <c r="CT214" s="97"/>
      <c r="CU214" s="94">
        <f>CY214/4</f>
        <v>321.83225588444668</v>
      </c>
      <c r="CV214" s="94">
        <f>CY214/4</f>
        <v>321.83225588444668</v>
      </c>
      <c r="CW214" s="94">
        <f>CY214/4</f>
        <v>321.83225588444668</v>
      </c>
      <c r="CX214" s="93">
        <f>CY214/4</f>
        <v>321.83225588444668</v>
      </c>
      <c r="CY214" s="94">
        <f>CS214*(1+CY215)</f>
        <v>1287.3290235377867</v>
      </c>
      <c r="CZ214" s="97"/>
      <c r="DA214" s="94">
        <f>DE214/4</f>
        <v>305.74064309022435</v>
      </c>
      <c r="DB214" s="94">
        <f>DE214/4</f>
        <v>305.74064309022435</v>
      </c>
      <c r="DC214" s="94">
        <f>DE214/4</f>
        <v>305.74064309022435</v>
      </c>
      <c r="DD214" s="93">
        <f>DE214/4</f>
        <v>305.74064309022435</v>
      </c>
      <c r="DE214" s="94">
        <f>CY214*(1+DE215)</f>
        <v>1222.9625723608974</v>
      </c>
      <c r="DF214" s="97"/>
      <c r="DG214" s="94">
        <f>DK214/4</f>
        <v>290.45361093571313</v>
      </c>
      <c r="DH214" s="94">
        <f>DK214/4</f>
        <v>290.45361093571313</v>
      </c>
      <c r="DI214" s="94">
        <f>DK214/4</f>
        <v>290.45361093571313</v>
      </c>
      <c r="DJ214" s="93">
        <f>DK214/4</f>
        <v>290.45361093571313</v>
      </c>
      <c r="DK214" s="94">
        <f>DE214*(1+DK215)</f>
        <v>1161.8144437428525</v>
      </c>
      <c r="DL214" s="97"/>
      <c r="DM214" s="94">
        <f>DQ214/4</f>
        <v>275.93093038892744</v>
      </c>
      <c r="DN214" s="94">
        <f>DQ214/4</f>
        <v>275.93093038892744</v>
      </c>
      <c r="DO214" s="94">
        <f>DQ214/4</f>
        <v>275.93093038892744</v>
      </c>
      <c r="DP214" s="93">
        <f>DQ214/4</f>
        <v>275.93093038892744</v>
      </c>
      <c r="DQ214" s="94">
        <f>DK214*(1+DQ215)</f>
        <v>1103.7237215557097</v>
      </c>
      <c r="DR214" s="97"/>
      <c r="DS214" s="94">
        <f>DW214/4</f>
        <v>262.13438386948104</v>
      </c>
      <c r="DT214" s="94">
        <f>DW214/4</f>
        <v>262.13438386948104</v>
      </c>
      <c r="DU214" s="94">
        <f>DW214/4</f>
        <v>262.13438386948104</v>
      </c>
      <c r="DV214" s="93">
        <f>DW214/4</f>
        <v>262.13438386948104</v>
      </c>
      <c r="DW214" s="94">
        <f>DQ214*(1+DW215)</f>
        <v>1048.5375354779242</v>
      </c>
      <c r="DX214" s="90"/>
      <c r="DY214" s="94">
        <f>EC214/4</f>
        <v>249.02766467600696</v>
      </c>
      <c r="DZ214" s="94">
        <f>EC214/4</f>
        <v>249.02766467600696</v>
      </c>
      <c r="EA214" s="94">
        <f>EC214/4</f>
        <v>249.02766467600696</v>
      </c>
      <c r="EB214" s="93">
        <f>EC214/4</f>
        <v>249.02766467600696</v>
      </c>
      <c r="EC214" s="94">
        <f>DW214*(1+EC215)</f>
        <v>996.11065870402786</v>
      </c>
      <c r="ED214" s="90"/>
      <c r="EE214" s="94">
        <f>EI214/4</f>
        <v>236.57628144220661</v>
      </c>
      <c r="EF214" s="94">
        <f>EI214/4</f>
        <v>236.57628144220661</v>
      </c>
      <c r="EG214" s="94">
        <f>EI214/4</f>
        <v>236.57628144220661</v>
      </c>
      <c r="EH214" s="93">
        <f>EI214/4</f>
        <v>236.57628144220661</v>
      </c>
      <c r="EI214" s="94">
        <f>EC214*(1+EI215)</f>
        <v>946.30512576882643</v>
      </c>
      <c r="EJ214" s="90"/>
      <c r="EK214" s="94">
        <f>EO214/4</f>
        <v>224.74746737009627</v>
      </c>
      <c r="EL214" s="94">
        <f>EO214/4</f>
        <v>224.74746737009627</v>
      </c>
      <c r="EM214" s="94">
        <f>EO214/4</f>
        <v>224.74746737009627</v>
      </c>
      <c r="EN214" s="93">
        <f>EO214/4</f>
        <v>224.74746737009627</v>
      </c>
      <c r="EO214" s="94">
        <f>EI214*(1+EO215)</f>
        <v>898.9898694803851</v>
      </c>
      <c r="EP214" s="90"/>
      <c r="EQ214" s="94">
        <f>EU214/4</f>
        <v>213.51009400159145</v>
      </c>
      <c r="ER214" s="94">
        <f>EU214/4</f>
        <v>213.51009400159145</v>
      </c>
      <c r="ES214" s="94">
        <f>EU214/4</f>
        <v>213.51009400159145</v>
      </c>
      <c r="ET214" s="93">
        <f>EU214/4</f>
        <v>213.51009400159145</v>
      </c>
      <c r="EU214" s="94">
        <f>EO214*(1+EU215)</f>
        <v>854.04037600636582</v>
      </c>
      <c r="EV214" s="90"/>
      <c r="EW214" s="90"/>
      <c r="EX214" s="90"/>
      <c r="EY214" s="90"/>
      <c r="EZ214" s="90"/>
      <c r="FA214" s="90"/>
      <c r="FB214" s="90"/>
    </row>
    <row r="215" spans="1:158" hidden="1">
      <c r="A215" s="97" t="s">
        <v>3356</v>
      </c>
      <c r="B215" s="97"/>
      <c r="C215" s="97"/>
      <c r="D215" s="97"/>
      <c r="E215" s="97"/>
      <c r="F215" s="97"/>
      <c r="G215" s="93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106">
        <f>Y214/S214-1</f>
        <v>0.55088289666602908</v>
      </c>
      <c r="Z215" s="97"/>
      <c r="AA215" s="97"/>
      <c r="AB215" s="97"/>
      <c r="AC215" s="97"/>
      <c r="AD215" s="97"/>
      <c r="AE215" s="106">
        <f>AE214/Y214-1</f>
        <v>-0.35381069764300666</v>
      </c>
      <c r="AF215" s="97"/>
      <c r="AG215" s="97"/>
      <c r="AH215" s="97"/>
      <c r="AI215" s="97"/>
      <c r="AJ215" s="97"/>
      <c r="AK215" s="106">
        <f>AK214/AE214-1</f>
        <v>-6.4380133387264338E-2</v>
      </c>
      <c r="AL215" s="97"/>
      <c r="AM215" s="97"/>
      <c r="AN215" s="97"/>
      <c r="AO215" s="97"/>
      <c r="AP215" s="97"/>
      <c r="AQ215" s="106">
        <f>AQ214/AK214-1</f>
        <v>-9.0667058322971839E-2</v>
      </c>
      <c r="AR215" s="97"/>
      <c r="AS215" s="97"/>
      <c r="AT215" s="97"/>
      <c r="AU215" s="97"/>
      <c r="AV215" s="97"/>
      <c r="AW215" s="106">
        <f>AW214/AQ214-1</f>
        <v>-0.15874235208290155</v>
      </c>
      <c r="AX215" s="97"/>
      <c r="AY215" s="97"/>
      <c r="AZ215" s="97"/>
      <c r="BA215" s="97"/>
      <c r="BB215" s="97"/>
      <c r="BC215" s="106">
        <f>BC214/AW214-1</f>
        <v>-7.9855392167946793E-2</v>
      </c>
      <c r="BD215" s="97"/>
      <c r="BE215" s="103"/>
      <c r="BF215" s="103"/>
      <c r="BG215" s="103"/>
      <c r="BH215" s="103"/>
      <c r="BI215" s="106">
        <f>BI214/BC214-1</f>
        <v>-0.45274807185809252</v>
      </c>
      <c r="BJ215" s="97"/>
      <c r="BK215" s="97"/>
      <c r="BL215" s="97"/>
      <c r="BM215" s="97"/>
      <c r="BN215" s="97"/>
      <c r="BO215" s="668">
        <v>-0.05</v>
      </c>
      <c r="BP215" s="97"/>
      <c r="BQ215" s="97"/>
      <c r="BR215" s="97"/>
      <c r="BS215" s="97"/>
      <c r="BT215" s="97"/>
      <c r="BU215" s="735">
        <v>-0.05</v>
      </c>
      <c r="BV215" s="97"/>
      <c r="BW215" s="97"/>
      <c r="BX215" s="97"/>
      <c r="BY215" s="97"/>
      <c r="BZ215" s="97"/>
      <c r="CA215" s="735">
        <v>-0.05</v>
      </c>
      <c r="CB215" s="97"/>
      <c r="CC215" s="97"/>
      <c r="CD215" s="97"/>
      <c r="CE215" s="97"/>
      <c r="CF215" s="97"/>
      <c r="CG215" s="735">
        <v>-0.05</v>
      </c>
      <c r="CH215" s="97"/>
      <c r="CI215" s="97"/>
      <c r="CJ215" s="97"/>
      <c r="CK215" s="97"/>
      <c r="CL215" s="97"/>
      <c r="CM215" s="735">
        <v>-0.05</v>
      </c>
      <c r="CN215" s="97"/>
      <c r="CO215" s="97"/>
      <c r="CP215" s="97"/>
      <c r="CQ215" s="97"/>
      <c r="CR215" s="97"/>
      <c r="CS215" s="735">
        <v>-0.05</v>
      </c>
      <c r="CT215" s="97"/>
      <c r="CU215" s="97"/>
      <c r="CV215" s="97"/>
      <c r="CW215" s="97"/>
      <c r="CX215" s="97"/>
      <c r="CY215" s="735">
        <v>-0.05</v>
      </c>
      <c r="CZ215" s="97"/>
      <c r="DA215" s="97"/>
      <c r="DB215" s="97"/>
      <c r="DC215" s="97"/>
      <c r="DD215" s="97"/>
      <c r="DE215" s="735">
        <v>-0.05</v>
      </c>
      <c r="DF215" s="97"/>
      <c r="DG215" s="97"/>
      <c r="DH215" s="97"/>
      <c r="DI215" s="97"/>
      <c r="DJ215" s="97"/>
      <c r="DK215" s="735">
        <v>-0.05</v>
      </c>
      <c r="DL215" s="97"/>
      <c r="DM215" s="97"/>
      <c r="DN215" s="97"/>
      <c r="DO215" s="97"/>
      <c r="DP215" s="97"/>
      <c r="DQ215" s="735">
        <v>-0.05</v>
      </c>
      <c r="DR215" s="97"/>
      <c r="DS215" s="97"/>
      <c r="DT215" s="97"/>
      <c r="DU215" s="97"/>
      <c r="DV215" s="97"/>
      <c r="DW215" s="735">
        <v>-0.05</v>
      </c>
      <c r="DX215" s="90"/>
      <c r="DY215" s="97"/>
      <c r="DZ215" s="97"/>
      <c r="EA215" s="97"/>
      <c r="EB215" s="97"/>
      <c r="EC215" s="735">
        <v>-0.05</v>
      </c>
      <c r="ED215" s="90"/>
      <c r="EE215" s="97"/>
      <c r="EF215" s="97"/>
      <c r="EG215" s="97"/>
      <c r="EH215" s="97"/>
      <c r="EI215" s="735">
        <v>-0.05</v>
      </c>
      <c r="EJ215" s="90"/>
      <c r="EK215" s="97"/>
      <c r="EL215" s="97"/>
      <c r="EM215" s="97"/>
      <c r="EN215" s="97"/>
      <c r="EO215" s="735">
        <v>-0.05</v>
      </c>
      <c r="EP215" s="90"/>
      <c r="EQ215" s="97"/>
      <c r="ER215" s="97"/>
      <c r="ES215" s="97"/>
      <c r="ET215" s="97"/>
      <c r="EU215" s="735">
        <v>-0.05</v>
      </c>
      <c r="EV215" s="90"/>
      <c r="EW215" s="90"/>
      <c r="EX215" s="90"/>
      <c r="EY215" s="90"/>
      <c r="EZ215" s="90"/>
      <c r="FA215" s="90"/>
      <c r="FB215" s="90"/>
    </row>
    <row r="216" spans="1:158" hidden="1">
      <c r="A216" s="97" t="s">
        <v>922</v>
      </c>
      <c r="B216" s="97"/>
      <c r="C216" s="97"/>
      <c r="D216" s="97"/>
      <c r="E216" s="97"/>
      <c r="F216" s="97"/>
      <c r="G216" s="93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106"/>
      <c r="T216" s="97"/>
      <c r="U216" s="97"/>
      <c r="V216" s="97"/>
      <c r="W216" s="97"/>
      <c r="X216" s="97"/>
      <c r="Y216" s="106">
        <f>(Y201-Y202)/S204</f>
        <v>0.20796158945143145</v>
      </c>
      <c r="Z216" s="97"/>
      <c r="AA216" s="97"/>
      <c r="AB216" s="97"/>
      <c r="AC216" s="97"/>
      <c r="AD216" s="97"/>
      <c r="AE216" s="106">
        <f>(AE201-AE202)/Y204</f>
        <v>0.19919119721621367</v>
      </c>
      <c r="AF216" s="97"/>
      <c r="AG216" s="97"/>
      <c r="AH216" s="97"/>
      <c r="AI216" s="97"/>
      <c r="AJ216" s="97"/>
      <c r="AK216" s="106">
        <f>(AK201-AK202)/AE204</f>
        <v>5.6941211247829158E-2</v>
      </c>
      <c r="AL216" s="97"/>
      <c r="AM216" s="97"/>
      <c r="AN216" s="97"/>
      <c r="AO216" s="97"/>
      <c r="AP216" s="97"/>
      <c r="AQ216" s="106">
        <f>(AQ201-AQ202)/AK204</f>
        <v>0.13349755379930894</v>
      </c>
      <c r="AR216" s="97"/>
      <c r="AS216" s="106"/>
      <c r="AT216" s="106">
        <f>(AT201-AT202)/AS204</f>
        <v>3.8816753569846311E-2</v>
      </c>
      <c r="AU216" s="106">
        <f>(AU201-AU202)/AT204</f>
        <v>2.0620331164583977E-2</v>
      </c>
      <c r="AV216" s="106">
        <f>(AV201-AV202)/AU204</f>
        <v>1.7992554804908325E-2</v>
      </c>
      <c r="AW216" s="106">
        <f>(AW201-AW202)/AQ204</f>
        <v>0.10206709589969504</v>
      </c>
      <c r="AX216" s="97"/>
      <c r="AY216" s="669">
        <f>(AY201-AY202)/AV204</f>
        <v>1.2437342177665555E-2</v>
      </c>
      <c r="AZ216" s="669">
        <f>(AZ201-AZ202)/AY204</f>
        <v>1.4376590330788804E-2</v>
      </c>
      <c r="BA216" s="669">
        <f>(BA201-BA202)/AZ204</f>
        <v>2.0946131962925576E-2</v>
      </c>
      <c r="BB216" s="669">
        <f>(BB201-BB202)/BA204</f>
        <v>9.7264437689969716E-3</v>
      </c>
      <c r="BC216" s="106">
        <f>(BC201-BC202)/AW204</f>
        <v>4.9777089315399724E-2</v>
      </c>
      <c r="BD216" s="97"/>
      <c r="BE216" s="669">
        <f>(BE201-BE202)/BB204</f>
        <v>1.1234411910124703E-2</v>
      </c>
      <c r="BF216" s="669">
        <f>(BF201-BF202)/BE204</f>
        <v>1.3496327441667329E-3</v>
      </c>
      <c r="BG216" s="669">
        <f>(BG201-BG202)/BF204</f>
        <v>2.3954266592303406E-2</v>
      </c>
      <c r="BH216" s="669">
        <f>(BH201-BH202)/BG204</f>
        <v>6.0876494023904635E-3</v>
      </c>
      <c r="BI216" s="106">
        <f>(BI201-BI202)/BC204</f>
        <v>4.1504147667966826E-2</v>
      </c>
      <c r="BJ216" s="97"/>
      <c r="BK216" s="669">
        <f>(BK201-BK202)/BH204</f>
        <v>1.6643365954330611E-2</v>
      </c>
      <c r="BL216" s="97"/>
      <c r="BM216" s="97"/>
      <c r="BN216" s="97"/>
      <c r="BO216" s="664">
        <v>0.05</v>
      </c>
      <c r="BP216" s="97"/>
      <c r="BQ216" s="97"/>
      <c r="BR216" s="97"/>
      <c r="BS216" s="97"/>
      <c r="BT216" s="97"/>
      <c r="BU216" s="736">
        <v>0.05</v>
      </c>
      <c r="BV216" s="97"/>
      <c r="BW216" s="97"/>
      <c r="BX216" s="97"/>
      <c r="BY216" s="97"/>
      <c r="BZ216" s="97"/>
      <c r="CA216" s="736">
        <v>0.05</v>
      </c>
      <c r="CB216" s="97"/>
      <c r="CC216" s="97"/>
      <c r="CD216" s="97"/>
      <c r="CE216" s="97"/>
      <c r="CF216" s="97"/>
      <c r="CG216" s="736">
        <v>0.05</v>
      </c>
      <c r="CH216" s="97"/>
      <c r="CI216" s="97"/>
      <c r="CJ216" s="97"/>
      <c r="CK216" s="97"/>
      <c r="CL216" s="97"/>
      <c r="CM216" s="736">
        <v>0.05</v>
      </c>
      <c r="CN216" s="97"/>
      <c r="CO216" s="97"/>
      <c r="CP216" s="97"/>
      <c r="CQ216" s="97"/>
      <c r="CR216" s="97"/>
      <c r="CS216" s="736">
        <v>0.05</v>
      </c>
      <c r="CT216" s="97"/>
      <c r="CU216" s="97"/>
      <c r="CV216" s="97"/>
      <c r="CW216" s="97"/>
      <c r="CX216" s="97"/>
      <c r="CY216" s="736">
        <v>0.05</v>
      </c>
      <c r="CZ216" s="97"/>
      <c r="DA216" s="97"/>
      <c r="DB216" s="97"/>
      <c r="DC216" s="97"/>
      <c r="DD216" s="97"/>
      <c r="DE216" s="736">
        <v>0.05</v>
      </c>
      <c r="DF216" s="97"/>
      <c r="DG216" s="97"/>
      <c r="DH216" s="97"/>
      <c r="DI216" s="97"/>
      <c r="DJ216" s="97"/>
      <c r="DK216" s="736">
        <v>0.05</v>
      </c>
      <c r="DL216" s="97"/>
      <c r="DM216" s="97"/>
      <c r="DN216" s="97"/>
      <c r="DO216" s="97"/>
      <c r="DP216" s="97"/>
      <c r="DQ216" s="736">
        <v>0.05</v>
      </c>
      <c r="DR216" s="97"/>
      <c r="DS216" s="97"/>
      <c r="DT216" s="97"/>
      <c r="DU216" s="97"/>
      <c r="DV216" s="97"/>
      <c r="DW216" s="736">
        <v>0.05</v>
      </c>
      <c r="DX216" s="90"/>
      <c r="DY216" s="97"/>
      <c r="DZ216" s="97"/>
      <c r="EA216" s="97"/>
      <c r="EB216" s="97"/>
      <c r="EC216" s="736">
        <v>0.05</v>
      </c>
      <c r="ED216" s="90"/>
      <c r="EE216" s="97"/>
      <c r="EF216" s="97"/>
      <c r="EG216" s="97"/>
      <c r="EH216" s="97"/>
      <c r="EI216" s="736">
        <v>0.05</v>
      </c>
      <c r="EJ216" s="90"/>
      <c r="EK216" s="97"/>
      <c r="EL216" s="97"/>
      <c r="EM216" s="97"/>
      <c r="EN216" s="97"/>
      <c r="EO216" s="736">
        <v>0.05</v>
      </c>
      <c r="EP216" s="90"/>
      <c r="EQ216" s="97"/>
      <c r="ER216" s="97"/>
      <c r="ES216" s="97"/>
      <c r="ET216" s="97"/>
      <c r="EU216" s="736">
        <v>0.05</v>
      </c>
      <c r="EV216" s="90"/>
      <c r="EW216" s="90"/>
      <c r="EX216" s="90"/>
      <c r="EY216" s="90"/>
      <c r="EZ216" s="90"/>
      <c r="FA216" s="90"/>
      <c r="FB216" s="90"/>
    </row>
    <row r="217" spans="1:158" hidden="1">
      <c r="A217" s="97"/>
      <c r="B217" s="97"/>
      <c r="C217" s="97"/>
      <c r="D217" s="97"/>
      <c r="E217" s="97"/>
      <c r="F217" s="97"/>
      <c r="G217" s="93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106"/>
      <c r="Z217" s="97"/>
      <c r="AA217" s="97"/>
      <c r="AB217" s="97"/>
      <c r="AC217" s="97"/>
      <c r="AD217" s="97"/>
      <c r="AE217" s="106"/>
      <c r="AF217" s="97"/>
      <c r="AG217" s="97"/>
      <c r="AH217" s="97"/>
      <c r="AI217" s="97"/>
      <c r="AJ217" s="97"/>
      <c r="AK217" s="106"/>
      <c r="AL217" s="97"/>
      <c r="AM217" s="97"/>
      <c r="AN217" s="97"/>
      <c r="AO217" s="97"/>
      <c r="AP217" s="97"/>
      <c r="AQ217" s="106"/>
      <c r="AR217" s="97"/>
      <c r="AS217" s="97"/>
      <c r="AT217" s="97"/>
      <c r="AU217" s="97"/>
      <c r="AV217" s="97"/>
      <c r="AW217" s="106"/>
      <c r="AX217" s="97"/>
      <c r="AY217" s="97"/>
      <c r="AZ217" s="97"/>
      <c r="BA217" s="97"/>
      <c r="BB217" s="97"/>
      <c r="BC217" s="106"/>
      <c r="BD217" s="97"/>
      <c r="BE217" s="103"/>
      <c r="BF217" s="103"/>
      <c r="BG217" s="103"/>
      <c r="BH217" s="103"/>
      <c r="BI217" s="668"/>
      <c r="BJ217" s="97"/>
      <c r="BK217" s="97"/>
      <c r="BL217" s="97"/>
      <c r="BM217" s="97"/>
      <c r="BN217" s="97"/>
      <c r="BO217" s="97"/>
      <c r="BP217" s="97"/>
      <c r="BQ217" s="97"/>
      <c r="BR217" s="97"/>
      <c r="BS217" s="97"/>
      <c r="BT217" s="97"/>
      <c r="BU217" s="97"/>
      <c r="BV217" s="97"/>
      <c r="BW217" s="97"/>
      <c r="BX217" s="97"/>
      <c r="BY217" s="97"/>
      <c r="BZ217" s="97"/>
      <c r="CA217" s="97"/>
      <c r="CB217" s="97"/>
      <c r="CC217" s="97"/>
      <c r="CD217" s="97"/>
      <c r="CE217" s="97"/>
      <c r="CF217" s="97"/>
      <c r="CG217" s="97"/>
      <c r="CH217" s="97"/>
      <c r="CI217" s="97"/>
      <c r="CJ217" s="97"/>
      <c r="CK217" s="97"/>
      <c r="CL217" s="97"/>
      <c r="CM217" s="97"/>
      <c r="CN217" s="97"/>
      <c r="CO217" s="97"/>
      <c r="CP217" s="97"/>
      <c r="CQ217" s="97"/>
      <c r="CR217" s="97"/>
      <c r="CS217" s="97"/>
      <c r="CT217" s="97"/>
      <c r="CU217" s="97"/>
      <c r="CV217" s="97"/>
      <c r="CW217" s="97"/>
      <c r="CX217" s="97"/>
      <c r="CY217" s="97"/>
      <c r="CZ217" s="97"/>
      <c r="DA217" s="97"/>
      <c r="DB217" s="97"/>
      <c r="DC217" s="97"/>
      <c r="DD217" s="97"/>
      <c r="DE217" s="97"/>
      <c r="DF217" s="97"/>
      <c r="DG217" s="97"/>
      <c r="DH217" s="97"/>
      <c r="DI217" s="97"/>
      <c r="DJ217" s="97"/>
      <c r="DK217" s="97"/>
      <c r="DL217" s="97"/>
      <c r="DM217" s="97"/>
      <c r="DN217" s="97"/>
      <c r="DO217" s="97"/>
      <c r="DP217" s="97"/>
      <c r="DQ217" s="97"/>
      <c r="DR217" s="97"/>
      <c r="DS217" s="97"/>
      <c r="DT217" s="97"/>
      <c r="DU217" s="97"/>
      <c r="DV217" s="97"/>
      <c r="DW217" s="97"/>
      <c r="DX217" s="90"/>
      <c r="DY217" s="97"/>
      <c r="DZ217" s="97"/>
      <c r="EA217" s="97"/>
      <c r="EB217" s="97"/>
      <c r="EC217" s="97"/>
      <c r="ED217" s="90"/>
      <c r="EE217" s="97"/>
      <c r="EF217" s="97"/>
      <c r="EG217" s="97"/>
      <c r="EH217" s="97"/>
      <c r="EI217" s="97"/>
      <c r="EJ217" s="90"/>
      <c r="EK217" s="97"/>
      <c r="EL217" s="97"/>
      <c r="EM217" s="97"/>
      <c r="EN217" s="97"/>
      <c r="EO217" s="97"/>
      <c r="EP217" s="90"/>
      <c r="EQ217" s="97"/>
      <c r="ER217" s="97"/>
      <c r="ES217" s="97"/>
      <c r="ET217" s="97"/>
      <c r="EU217" s="97"/>
      <c r="EV217" s="90"/>
      <c r="EW217" s="90"/>
      <c r="EX217" s="90"/>
      <c r="EY217" s="90"/>
      <c r="EZ217" s="90"/>
      <c r="FA217" s="90"/>
      <c r="FB217" s="90"/>
    </row>
    <row r="218" spans="1:158" hidden="1">
      <c r="A218" s="97"/>
      <c r="B218" s="97"/>
      <c r="C218" s="97"/>
      <c r="D218" s="97"/>
      <c r="E218" s="97"/>
      <c r="F218" s="97"/>
      <c r="G218" s="93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103"/>
      <c r="Z218" s="97"/>
      <c r="AA218" s="97"/>
      <c r="AB218" s="97"/>
      <c r="AC218" s="97"/>
      <c r="AD218" s="97"/>
      <c r="AE218" s="103"/>
      <c r="AF218" s="97"/>
      <c r="AG218" s="97"/>
      <c r="AH218" s="97"/>
      <c r="AI218" s="97"/>
      <c r="AJ218" s="97"/>
      <c r="AK218" s="103"/>
      <c r="AL218" s="97"/>
      <c r="AM218" s="97"/>
      <c r="AN218" s="97"/>
      <c r="AO218" s="97"/>
      <c r="AP218" s="97"/>
      <c r="AQ218" s="103"/>
      <c r="AR218" s="97"/>
      <c r="AS218" s="97"/>
      <c r="AT218" s="97"/>
      <c r="AU218" s="97"/>
      <c r="AV218" s="97"/>
      <c r="AW218" s="103"/>
      <c r="AX218" s="97"/>
      <c r="AY218" s="97"/>
      <c r="AZ218" s="97"/>
      <c r="BA218" s="97"/>
      <c r="BB218" s="97"/>
      <c r="BC218" s="103"/>
      <c r="BD218" s="97"/>
      <c r="BE218" s="103"/>
      <c r="BF218" s="103"/>
      <c r="BG218" s="103"/>
      <c r="BH218" s="103"/>
      <c r="BI218" s="103"/>
      <c r="BJ218" s="97"/>
      <c r="BK218" s="97"/>
      <c r="BL218" s="97"/>
      <c r="BM218" s="97"/>
      <c r="BN218" s="97"/>
      <c r="BO218" s="97"/>
      <c r="BP218" s="97"/>
      <c r="BQ218" s="97"/>
      <c r="BR218" s="97"/>
      <c r="BS218" s="97"/>
      <c r="BT218" s="97"/>
      <c r="BU218" s="97"/>
      <c r="BV218" s="97"/>
      <c r="BW218" s="97"/>
      <c r="BX218" s="97"/>
      <c r="BY218" s="97"/>
      <c r="BZ218" s="97"/>
      <c r="CA218" s="97"/>
      <c r="CB218" s="97"/>
      <c r="CC218" s="97"/>
      <c r="CD218" s="97"/>
      <c r="CE218" s="97"/>
      <c r="CF218" s="97"/>
      <c r="CG218" s="97"/>
      <c r="CH218" s="97"/>
      <c r="CI218" s="97"/>
      <c r="CJ218" s="97"/>
      <c r="CK218" s="97"/>
      <c r="CL218" s="97"/>
      <c r="CM218" s="97"/>
      <c r="CN218" s="97"/>
      <c r="CO218" s="97"/>
      <c r="CP218" s="97"/>
      <c r="CQ218" s="97"/>
      <c r="CR218" s="97"/>
      <c r="CS218" s="97"/>
      <c r="CT218" s="97"/>
      <c r="CU218" s="97"/>
      <c r="CV218" s="97"/>
      <c r="CW218" s="97"/>
      <c r="CX218" s="97"/>
      <c r="CY218" s="97"/>
      <c r="CZ218" s="97"/>
      <c r="DA218" s="97"/>
      <c r="DB218" s="97"/>
      <c r="DC218" s="97"/>
      <c r="DD218" s="97"/>
      <c r="DE218" s="97"/>
      <c r="DF218" s="97"/>
      <c r="DG218" s="97"/>
      <c r="DH218" s="97"/>
      <c r="DI218" s="97"/>
      <c r="DJ218" s="97"/>
      <c r="DK218" s="97"/>
      <c r="DL218" s="97"/>
      <c r="DM218" s="97"/>
      <c r="DN218" s="97"/>
      <c r="DO218" s="97"/>
      <c r="DP218" s="97"/>
      <c r="DQ218" s="97"/>
      <c r="DR218" s="97"/>
      <c r="DS218" s="97"/>
      <c r="DT218" s="97"/>
      <c r="DU218" s="97"/>
      <c r="DV218" s="97"/>
      <c r="DW218" s="97"/>
      <c r="DX218" s="90"/>
      <c r="DY218" s="97"/>
      <c r="DZ218" s="97"/>
      <c r="EA218" s="97"/>
      <c r="EB218" s="97"/>
      <c r="EC218" s="97"/>
      <c r="ED218" s="90"/>
      <c r="EE218" s="97"/>
      <c r="EF218" s="97"/>
      <c r="EG218" s="97"/>
      <c r="EH218" s="97"/>
      <c r="EI218" s="97"/>
      <c r="EJ218" s="90"/>
      <c r="EK218" s="97"/>
      <c r="EL218" s="97"/>
      <c r="EM218" s="97"/>
      <c r="EN218" s="97"/>
      <c r="EO218" s="97"/>
      <c r="EP218" s="90"/>
      <c r="EQ218" s="97"/>
      <c r="ER218" s="97"/>
      <c r="ES218" s="97"/>
      <c r="ET218" s="97"/>
      <c r="EU218" s="97"/>
      <c r="EV218" s="90"/>
      <c r="EW218" s="90"/>
      <c r="EX218" s="90"/>
      <c r="EY218" s="90"/>
      <c r="EZ218" s="90"/>
      <c r="FA218" s="90"/>
      <c r="FB218" s="90"/>
    </row>
    <row r="219" spans="1:158" hidden="1">
      <c r="A219" s="26"/>
      <c r="B219" s="32"/>
      <c r="C219" s="90"/>
      <c r="D219" s="90"/>
      <c r="E219" s="90"/>
      <c r="F219" s="90"/>
      <c r="G219" s="61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104"/>
      <c r="Z219" s="90"/>
      <c r="AA219" s="90"/>
      <c r="AB219" s="90"/>
      <c r="AC219" s="90"/>
      <c r="AD219" s="90"/>
      <c r="AE219" s="104"/>
      <c r="AF219" s="90"/>
      <c r="AG219" s="90"/>
      <c r="AH219" s="90"/>
      <c r="AI219" s="90"/>
      <c r="AJ219" s="90"/>
      <c r="AK219" s="104"/>
      <c r="AL219" s="90"/>
      <c r="AM219" s="90"/>
      <c r="AN219" s="90"/>
      <c r="AO219" s="90"/>
      <c r="AP219" s="90"/>
      <c r="AQ219" s="104"/>
      <c r="AR219" s="90"/>
      <c r="AS219" s="90"/>
      <c r="AT219" s="90"/>
      <c r="AU219" s="90"/>
      <c r="AV219" s="90"/>
      <c r="AW219" s="104"/>
      <c r="AX219" s="90"/>
      <c r="AY219" s="90"/>
      <c r="AZ219" s="90"/>
      <c r="BA219" s="90"/>
      <c r="BB219" s="90"/>
      <c r="BC219" s="104"/>
      <c r="BD219" s="90"/>
      <c r="BE219" s="104"/>
      <c r="BF219" s="104"/>
      <c r="BG219" s="104"/>
      <c r="BH219" s="104"/>
      <c r="BI219" s="104"/>
      <c r="BJ219" s="90"/>
      <c r="BK219" s="26"/>
      <c r="BL219" s="26"/>
      <c r="BM219" s="26"/>
      <c r="BN219" s="26"/>
      <c r="BO219" s="26"/>
      <c r="BP219" s="90"/>
      <c r="BQ219" s="26"/>
      <c r="BR219" s="26"/>
      <c r="BS219" s="26"/>
      <c r="BT219" s="26"/>
      <c r="BU219" s="26"/>
      <c r="BV219" s="90"/>
      <c r="BW219" s="26"/>
      <c r="BX219" s="26"/>
      <c r="BY219" s="26"/>
      <c r="BZ219" s="26"/>
      <c r="CA219" s="26"/>
      <c r="CB219" s="90"/>
      <c r="CC219" s="26"/>
      <c r="CD219" s="26"/>
      <c r="CE219" s="26"/>
      <c r="CF219" s="26"/>
      <c r="CG219" s="26"/>
      <c r="CH219" s="90"/>
      <c r="CI219" s="26"/>
      <c r="CJ219" s="26"/>
      <c r="CK219" s="26"/>
      <c r="CL219" s="26"/>
      <c r="CM219" s="26"/>
      <c r="CN219" s="90"/>
      <c r="CO219" s="26"/>
      <c r="CP219" s="26"/>
      <c r="CQ219" s="26"/>
      <c r="CR219" s="26"/>
      <c r="CS219" s="26"/>
      <c r="CT219" s="90"/>
      <c r="CU219" s="26"/>
      <c r="CV219" s="26"/>
      <c r="CW219" s="26"/>
      <c r="CX219" s="26"/>
      <c r="CY219" s="26"/>
      <c r="CZ219" s="90"/>
      <c r="DA219" s="26"/>
      <c r="DB219" s="26"/>
      <c r="DC219" s="26"/>
      <c r="DD219" s="26"/>
      <c r="DE219" s="26"/>
      <c r="DF219" s="90"/>
      <c r="DG219" s="26"/>
      <c r="DH219" s="26"/>
      <c r="DI219" s="26"/>
      <c r="DJ219" s="26"/>
      <c r="DK219" s="26"/>
      <c r="DL219" s="90"/>
      <c r="DM219" s="26"/>
      <c r="DN219" s="26"/>
      <c r="DO219" s="26"/>
      <c r="DP219" s="26"/>
      <c r="DQ219" s="26"/>
      <c r="DR219" s="90"/>
      <c r="DS219" s="26"/>
      <c r="DT219" s="26"/>
      <c r="DU219" s="26"/>
      <c r="DV219" s="26"/>
      <c r="DW219" s="26"/>
      <c r="DX219" s="90"/>
      <c r="DY219" s="26"/>
      <c r="DZ219" s="26"/>
      <c r="EA219" s="26"/>
      <c r="EB219" s="26"/>
      <c r="EC219" s="26"/>
      <c r="ED219" s="90"/>
      <c r="EE219" s="26"/>
      <c r="EF219" s="26"/>
      <c r="EG219" s="26"/>
      <c r="EH219" s="26"/>
      <c r="EI219" s="26"/>
      <c r="EJ219" s="90"/>
      <c r="EK219" s="26"/>
      <c r="EL219" s="26"/>
      <c r="EM219" s="26"/>
      <c r="EN219" s="26"/>
      <c r="EO219" s="26"/>
      <c r="EP219" s="90"/>
      <c r="EQ219" s="26"/>
      <c r="ER219" s="26"/>
      <c r="ES219" s="26"/>
      <c r="ET219" s="26"/>
      <c r="EU219" s="26"/>
      <c r="EV219" s="90"/>
      <c r="EW219" s="90"/>
      <c r="EX219" s="90"/>
      <c r="EY219" s="90"/>
      <c r="EZ219" s="90"/>
      <c r="FA219" s="90"/>
      <c r="FB219" s="90"/>
    </row>
    <row r="220" spans="1:158" hidden="1">
      <c r="A220" s="184" t="s">
        <v>1938</v>
      </c>
      <c r="B220" s="32"/>
      <c r="C220" s="90"/>
      <c r="D220" s="90"/>
      <c r="E220" s="90"/>
      <c r="F220" s="90"/>
      <c r="G220" s="61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104"/>
      <c r="T220" s="90"/>
      <c r="U220" s="90"/>
      <c r="V220" s="90"/>
      <c r="W220" s="90"/>
      <c r="X220" s="90"/>
      <c r="Y220" s="104"/>
      <c r="Z220" s="90"/>
      <c r="AA220" s="90"/>
      <c r="AB220" s="90"/>
      <c r="AC220" s="90"/>
      <c r="AD220" s="90"/>
      <c r="AE220" s="104"/>
      <c r="AF220" s="90"/>
      <c r="AG220" s="90"/>
      <c r="AH220" s="90"/>
      <c r="AI220" s="90"/>
      <c r="AJ220" s="90"/>
      <c r="AK220" s="104"/>
      <c r="AL220" s="90"/>
      <c r="AM220" s="90"/>
      <c r="AN220" s="90"/>
      <c r="AO220" s="90"/>
      <c r="AP220" s="90"/>
      <c r="AQ220" s="104"/>
      <c r="AR220" s="90"/>
      <c r="AS220" s="90"/>
      <c r="AT220" s="90"/>
      <c r="AU220" s="90"/>
      <c r="AV220" s="90"/>
      <c r="AW220" s="104"/>
      <c r="AX220" s="90"/>
      <c r="AY220" s="90"/>
      <c r="AZ220" s="90"/>
      <c r="BA220" s="90"/>
      <c r="BB220" s="90"/>
      <c r="BC220" s="104"/>
      <c r="BD220" s="90"/>
      <c r="BE220" s="104"/>
      <c r="BF220" s="104"/>
      <c r="BG220" s="104"/>
      <c r="BH220" s="104"/>
      <c r="BI220" s="104"/>
      <c r="BJ220" s="90"/>
      <c r="BK220" s="26"/>
      <c r="BL220" s="26"/>
      <c r="BM220" s="26"/>
      <c r="BN220" s="26"/>
      <c r="BO220" s="26"/>
      <c r="BP220" s="90"/>
      <c r="BQ220" s="26"/>
      <c r="BR220" s="26"/>
      <c r="BS220" s="26"/>
      <c r="BT220" s="26"/>
      <c r="BU220" s="26"/>
      <c r="BV220" s="90"/>
      <c r="BW220" s="26"/>
      <c r="BX220" s="26"/>
      <c r="BY220" s="26"/>
      <c r="BZ220" s="26"/>
      <c r="CA220" s="26"/>
      <c r="CB220" s="90"/>
      <c r="CC220" s="26"/>
      <c r="CD220" s="26"/>
      <c r="CE220" s="26"/>
      <c r="CF220" s="26"/>
      <c r="CG220" s="26"/>
      <c r="CH220" s="90"/>
      <c r="CI220" s="26"/>
      <c r="CJ220" s="26"/>
      <c r="CK220" s="26"/>
      <c r="CL220" s="26"/>
      <c r="CM220" s="26"/>
      <c r="CN220" s="90"/>
      <c r="CO220" s="26"/>
      <c r="CP220" s="26"/>
      <c r="CQ220" s="26"/>
      <c r="CR220" s="26"/>
      <c r="CS220" s="26"/>
      <c r="CT220" s="90"/>
      <c r="CU220" s="26"/>
      <c r="CV220" s="26"/>
      <c r="CW220" s="26"/>
      <c r="CX220" s="26"/>
      <c r="CY220" s="26"/>
      <c r="CZ220" s="90"/>
      <c r="DA220" s="26"/>
      <c r="DB220" s="26"/>
      <c r="DC220" s="26"/>
      <c r="DD220" s="26"/>
      <c r="DE220" s="26"/>
      <c r="DF220" s="90"/>
      <c r="DG220" s="26"/>
      <c r="DH220" s="26"/>
      <c r="DI220" s="26"/>
      <c r="DJ220" s="26"/>
      <c r="DK220" s="26"/>
      <c r="DL220" s="90"/>
      <c r="DM220" s="26"/>
      <c r="DN220" s="26"/>
      <c r="DO220" s="26"/>
      <c r="DP220" s="26"/>
      <c r="DQ220" s="26"/>
      <c r="DR220" s="90"/>
      <c r="DS220" s="26"/>
      <c r="DT220" s="26"/>
      <c r="DU220" s="26"/>
      <c r="DV220" s="26"/>
      <c r="DW220" s="26"/>
      <c r="DX220" s="90"/>
      <c r="DY220" s="26"/>
      <c r="DZ220" s="26"/>
      <c r="EA220" s="26"/>
      <c r="EB220" s="26"/>
      <c r="EC220" s="26"/>
      <c r="ED220" s="90"/>
      <c r="EE220" s="26"/>
      <c r="EF220" s="26"/>
      <c r="EG220" s="26"/>
      <c r="EH220" s="26"/>
      <c r="EI220" s="26"/>
      <c r="EJ220" s="90"/>
      <c r="EK220" s="26"/>
      <c r="EL220" s="26"/>
      <c r="EM220" s="26"/>
      <c r="EN220" s="26"/>
      <c r="EO220" s="26"/>
      <c r="EP220" s="90"/>
      <c r="EQ220" s="26"/>
      <c r="ER220" s="26"/>
      <c r="ES220" s="26"/>
      <c r="ET220" s="26"/>
      <c r="EU220" s="26"/>
      <c r="EV220" s="90"/>
      <c r="EW220" s="90"/>
      <c r="EX220" s="90"/>
      <c r="EY220" s="90"/>
      <c r="EZ220" s="90"/>
      <c r="FA220" s="90"/>
      <c r="FB220" s="90"/>
    </row>
    <row r="221" spans="1:158" hidden="1">
      <c r="A221" s="185" t="s">
        <v>1939</v>
      </c>
      <c r="B221" s="32"/>
      <c r="C221" s="90"/>
      <c r="D221" s="90"/>
      <c r="E221" s="90"/>
      <c r="F221" s="90"/>
      <c r="G221" s="61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104">
        <v>5</v>
      </c>
      <c r="T221" s="90"/>
      <c r="U221" s="90"/>
      <c r="V221" s="90"/>
      <c r="W221" s="90"/>
      <c r="X221" s="104"/>
      <c r="Y221" s="104">
        <v>5</v>
      </c>
      <c r="Z221" s="90"/>
      <c r="AA221" s="90"/>
      <c r="AB221" s="90"/>
      <c r="AC221" s="90"/>
      <c r="AD221" s="90"/>
      <c r="AE221" s="104">
        <v>5</v>
      </c>
      <c r="AF221" s="90"/>
      <c r="AG221" s="90"/>
      <c r="AH221" s="90"/>
      <c r="AI221" s="90"/>
      <c r="AJ221" s="90"/>
      <c r="AK221" s="104">
        <v>5</v>
      </c>
      <c r="AL221" s="90"/>
      <c r="AM221" s="90"/>
      <c r="AN221" s="90"/>
      <c r="AO221" s="90"/>
      <c r="AP221" s="90"/>
      <c r="AQ221" s="104">
        <v>5</v>
      </c>
      <c r="AR221" s="90"/>
      <c r="AS221" s="90"/>
      <c r="AT221" s="90"/>
      <c r="AU221" s="90"/>
      <c r="AV221" s="90"/>
      <c r="AW221" s="104">
        <v>5</v>
      </c>
      <c r="AX221" s="90"/>
      <c r="AY221" s="90"/>
      <c r="AZ221" s="90"/>
      <c r="BA221" s="90"/>
      <c r="BB221" s="90"/>
      <c r="BC221" s="104">
        <v>4.3</v>
      </c>
      <c r="BD221" s="90"/>
      <c r="BE221" s="670"/>
      <c r="BF221" s="670"/>
      <c r="BG221" s="670"/>
      <c r="BH221" s="670"/>
      <c r="BI221" s="104">
        <v>4.2</v>
      </c>
      <c r="BJ221" s="90"/>
      <c r="BK221" s="104">
        <v>3.8</v>
      </c>
      <c r="BL221" s="670">
        <f>BK221</f>
        <v>3.8</v>
      </c>
      <c r="BM221" s="670">
        <f>BL221</f>
        <v>3.8</v>
      </c>
      <c r="BN221" s="670">
        <f t="shared" ref="BM221:BN223" si="187">BM221</f>
        <v>3.8</v>
      </c>
      <c r="BO221" s="208">
        <f>AVERAGE(2.5,4.4)</f>
        <v>3.45</v>
      </c>
      <c r="BP221" s="90"/>
      <c r="BQ221" s="670">
        <f t="shared" ref="BQ221:BR223" si="188">BM221</f>
        <v>3.8</v>
      </c>
      <c r="BR221" s="670">
        <f t="shared" si="188"/>
        <v>3.8</v>
      </c>
      <c r="BS221" s="670">
        <f t="shared" ref="BS221:BU223" si="189">BR221</f>
        <v>3.8</v>
      </c>
      <c r="BT221" s="670">
        <f t="shared" si="189"/>
        <v>3.8</v>
      </c>
      <c r="BU221" s="670">
        <f t="shared" si="189"/>
        <v>3.8</v>
      </c>
      <c r="BV221" s="90"/>
      <c r="BW221" s="670">
        <f t="shared" ref="BW221:BX223" si="190">BS221</f>
        <v>3.8</v>
      </c>
      <c r="BX221" s="670">
        <f t="shared" si="190"/>
        <v>3.8</v>
      </c>
      <c r="BY221" s="670">
        <f t="shared" ref="BY221:CA223" si="191">BX221</f>
        <v>3.8</v>
      </c>
      <c r="BZ221" s="670">
        <f t="shared" si="191"/>
        <v>3.8</v>
      </c>
      <c r="CA221" s="670">
        <f t="shared" si="191"/>
        <v>3.8</v>
      </c>
      <c r="CB221" s="90"/>
      <c r="CC221" s="670">
        <v>1.9</v>
      </c>
      <c r="CD221" s="670">
        <v>1.9</v>
      </c>
      <c r="CE221" s="670">
        <f t="shared" ref="CE221:CG223" si="192">CD221</f>
        <v>1.9</v>
      </c>
      <c r="CF221" s="670">
        <v>1.9</v>
      </c>
      <c r="CG221" s="670">
        <f t="shared" si="192"/>
        <v>1.9</v>
      </c>
      <c r="CH221" s="90"/>
      <c r="CI221" s="670">
        <f>CE221</f>
        <v>1.9</v>
      </c>
      <c r="CJ221" s="670">
        <f t="shared" ref="CI221:CJ223" si="193">CF221</f>
        <v>1.9</v>
      </c>
      <c r="CK221" s="670">
        <f t="shared" ref="CK221:CM223" si="194">CJ221</f>
        <v>1.9</v>
      </c>
      <c r="CL221" s="670">
        <f t="shared" si="194"/>
        <v>1.9</v>
      </c>
      <c r="CM221" s="670">
        <f t="shared" si="194"/>
        <v>1.9</v>
      </c>
      <c r="CN221" s="90"/>
      <c r="CO221" s="670">
        <f t="shared" ref="CO221:CP223" si="195">CK221</f>
        <v>1.9</v>
      </c>
      <c r="CP221" s="670">
        <f t="shared" si="195"/>
        <v>1.9</v>
      </c>
      <c r="CQ221" s="670">
        <f t="shared" ref="CQ221:CS223" si="196">CP221</f>
        <v>1.9</v>
      </c>
      <c r="CR221" s="670">
        <f t="shared" si="196"/>
        <v>1.9</v>
      </c>
      <c r="CS221" s="670">
        <f t="shared" si="196"/>
        <v>1.9</v>
      </c>
      <c r="CT221" s="90"/>
      <c r="CU221" s="670">
        <f t="shared" ref="CU221:CV223" si="197">CQ221</f>
        <v>1.9</v>
      </c>
      <c r="CV221" s="670">
        <f t="shared" si="197"/>
        <v>1.9</v>
      </c>
      <c r="CW221" s="670">
        <f t="shared" ref="CW221:CY223" si="198">CV221</f>
        <v>1.9</v>
      </c>
      <c r="CX221" s="670">
        <f t="shared" si="198"/>
        <v>1.9</v>
      </c>
      <c r="CY221" s="670">
        <f t="shared" si="198"/>
        <v>1.9</v>
      </c>
      <c r="CZ221" s="90"/>
      <c r="DA221" s="670">
        <f t="shared" ref="DA221:DB223" si="199">CW221</f>
        <v>1.9</v>
      </c>
      <c r="DB221" s="670">
        <f t="shared" si="199"/>
        <v>1.9</v>
      </c>
      <c r="DC221" s="670">
        <f t="shared" ref="DC221:DE223" si="200">DB221</f>
        <v>1.9</v>
      </c>
      <c r="DD221" s="670">
        <f t="shared" si="200"/>
        <v>1.9</v>
      </c>
      <c r="DE221" s="670">
        <f t="shared" si="200"/>
        <v>1.9</v>
      </c>
      <c r="DF221" s="90"/>
      <c r="DG221" s="670">
        <f t="shared" ref="DG221:DH223" si="201">DC221</f>
        <v>1.9</v>
      </c>
      <c r="DH221" s="670">
        <f t="shared" si="201"/>
        <v>1.9</v>
      </c>
      <c r="DI221" s="670">
        <f t="shared" ref="DI221:DK223" si="202">DH221</f>
        <v>1.9</v>
      </c>
      <c r="DJ221" s="670">
        <f t="shared" si="202"/>
        <v>1.9</v>
      </c>
      <c r="DK221" s="670">
        <f t="shared" si="202"/>
        <v>1.9</v>
      </c>
      <c r="DL221" s="90"/>
      <c r="DM221" s="670">
        <f t="shared" ref="DM221:DN223" si="203">DI221</f>
        <v>1.9</v>
      </c>
      <c r="DN221" s="670">
        <f t="shared" si="203"/>
        <v>1.9</v>
      </c>
      <c r="DO221" s="670">
        <f t="shared" ref="DO221:DQ223" si="204">DN221</f>
        <v>1.9</v>
      </c>
      <c r="DP221" s="670">
        <f t="shared" si="204"/>
        <v>1.9</v>
      </c>
      <c r="DQ221" s="670">
        <f t="shared" si="204"/>
        <v>1.9</v>
      </c>
      <c r="DR221" s="90"/>
      <c r="DS221" s="670">
        <f t="shared" ref="DS221:DT223" si="205">DO221</f>
        <v>1.9</v>
      </c>
      <c r="DT221" s="670">
        <f t="shared" si="205"/>
        <v>1.9</v>
      </c>
      <c r="DU221" s="670">
        <f t="shared" ref="DU221:DW223" si="206">DT221</f>
        <v>1.9</v>
      </c>
      <c r="DV221" s="670">
        <f t="shared" si="206"/>
        <v>1.9</v>
      </c>
      <c r="DW221" s="670">
        <f t="shared" si="206"/>
        <v>1.9</v>
      </c>
      <c r="DX221" s="90"/>
      <c r="DY221" s="670">
        <f t="shared" ref="DY221:DZ223" si="207">DU221</f>
        <v>1.9</v>
      </c>
      <c r="DZ221" s="670">
        <f t="shared" si="207"/>
        <v>1.9</v>
      </c>
      <c r="EA221" s="670">
        <f t="shared" ref="EA221:EC223" si="208">DZ221</f>
        <v>1.9</v>
      </c>
      <c r="EB221" s="670">
        <f t="shared" si="208"/>
        <v>1.9</v>
      </c>
      <c r="EC221" s="670">
        <f t="shared" si="208"/>
        <v>1.9</v>
      </c>
      <c r="ED221" s="90"/>
      <c r="EE221" s="670">
        <f t="shared" ref="EE221:EE223" si="209">EA221</f>
        <v>1.9</v>
      </c>
      <c r="EF221" s="670">
        <f t="shared" ref="EF221:EF223" si="210">EB221</f>
        <v>1.9</v>
      </c>
      <c r="EG221" s="670">
        <f t="shared" ref="EG221:EG223" si="211">EF221</f>
        <v>1.9</v>
      </c>
      <c r="EH221" s="670">
        <f t="shared" ref="EH221:EH223" si="212">EG221</f>
        <v>1.9</v>
      </c>
      <c r="EI221" s="670">
        <f t="shared" ref="EI221:EI223" si="213">EH221</f>
        <v>1.9</v>
      </c>
      <c r="EJ221" s="90"/>
      <c r="EK221" s="670">
        <f t="shared" ref="EK221:EK223" si="214">EG221</f>
        <v>1.9</v>
      </c>
      <c r="EL221" s="670">
        <f t="shared" ref="EL221:EL223" si="215">EH221</f>
        <v>1.9</v>
      </c>
      <c r="EM221" s="670">
        <f t="shared" ref="EM221:EM223" si="216">EL221</f>
        <v>1.9</v>
      </c>
      <c r="EN221" s="670">
        <f t="shared" ref="EN221:EN223" si="217">EM221</f>
        <v>1.9</v>
      </c>
      <c r="EO221" s="670">
        <f t="shared" ref="EO221:EO223" si="218">EN221</f>
        <v>1.9</v>
      </c>
      <c r="EP221" s="90"/>
      <c r="EQ221" s="670">
        <f t="shared" ref="EQ221:EQ223" si="219">EM221</f>
        <v>1.9</v>
      </c>
      <c r="ER221" s="670">
        <f t="shared" ref="ER221:ER223" si="220">EN221</f>
        <v>1.9</v>
      </c>
      <c r="ES221" s="670">
        <f t="shared" ref="ES221:ES223" si="221">ER221</f>
        <v>1.9</v>
      </c>
      <c r="ET221" s="670">
        <f t="shared" ref="ET221:ET223" si="222">ES221</f>
        <v>1.9</v>
      </c>
      <c r="EU221" s="670">
        <f t="shared" ref="EU221:EU223" si="223">ET221</f>
        <v>1.9</v>
      </c>
      <c r="EV221" s="90"/>
      <c r="EW221" s="90"/>
      <c r="EX221" s="90"/>
      <c r="EY221" s="90"/>
      <c r="EZ221" s="90"/>
      <c r="FA221" s="90"/>
      <c r="FB221" s="90"/>
    </row>
    <row r="222" spans="1:158" hidden="1">
      <c r="A222" s="186" t="s">
        <v>6283</v>
      </c>
      <c r="B222" s="32"/>
      <c r="C222" s="90"/>
      <c r="D222" s="90"/>
      <c r="E222" s="90"/>
      <c r="F222" s="90"/>
      <c r="G222" s="61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287">
        <v>5.6000000000000001E-2</v>
      </c>
      <c r="T222" s="90"/>
      <c r="U222" s="90"/>
      <c r="V222" s="90"/>
      <c r="W222" s="90"/>
      <c r="X222" s="287"/>
      <c r="Y222" s="287">
        <v>5.8000000000000003E-2</v>
      </c>
      <c r="Z222" s="90"/>
      <c r="AA222" s="90"/>
      <c r="AB222" s="90"/>
      <c r="AC222" s="90"/>
      <c r="AD222" s="90"/>
      <c r="AE222" s="287">
        <v>5.7000000000000002E-2</v>
      </c>
      <c r="AF222" s="90"/>
      <c r="AG222" s="90"/>
      <c r="AH222" s="90"/>
      <c r="AI222" s="90"/>
      <c r="AJ222" s="90"/>
      <c r="AK222" s="287">
        <v>4.8000000000000001E-2</v>
      </c>
      <c r="AL222" s="90"/>
      <c r="AM222" s="90"/>
      <c r="AN222" s="90"/>
      <c r="AO222" s="90"/>
      <c r="AP222" s="90"/>
      <c r="AQ222" s="287">
        <v>0.03</v>
      </c>
      <c r="AR222" s="90"/>
      <c r="AS222" s="261"/>
      <c r="AT222" s="261"/>
      <c r="AU222" s="261"/>
      <c r="AV222" s="261"/>
      <c r="AW222" s="287">
        <v>3.2000000000000001E-2</v>
      </c>
      <c r="AX222" s="90"/>
      <c r="AY222" s="261"/>
      <c r="AZ222" s="261"/>
      <c r="BA222" s="261"/>
      <c r="BB222" s="90"/>
      <c r="BC222" s="287">
        <v>3.5999999999999997E-2</v>
      </c>
      <c r="BD222" s="90"/>
      <c r="BE222" s="672"/>
      <c r="BF222" s="672"/>
      <c r="BG222" s="672"/>
      <c r="BH222" s="672"/>
      <c r="BI222" s="287">
        <v>4.2000000000000003E-2</v>
      </c>
      <c r="BJ222" s="90"/>
      <c r="BK222" s="287">
        <v>4.7899999999999998E-2</v>
      </c>
      <c r="BL222" s="672">
        <f>Model!BL308+0.01</f>
        <v>5.79E-2</v>
      </c>
      <c r="BM222" s="672">
        <f>Model!BM308+0.01</f>
        <v>5.79E-2</v>
      </c>
      <c r="BN222" s="672">
        <f>Model!BN308+0.01</f>
        <v>5.79E-2</v>
      </c>
      <c r="BO222" s="287">
        <f>AVERAGE(0.0458,0.0513)</f>
        <v>4.8549999999999996E-2</v>
      </c>
      <c r="BP222" s="90"/>
      <c r="BQ222" s="672">
        <f t="shared" si="188"/>
        <v>5.79E-2</v>
      </c>
      <c r="BR222" s="672">
        <f t="shared" si="188"/>
        <v>5.79E-2</v>
      </c>
      <c r="BS222" s="672">
        <f t="shared" si="189"/>
        <v>5.79E-2</v>
      </c>
      <c r="BT222" s="672">
        <f t="shared" si="189"/>
        <v>5.79E-2</v>
      </c>
      <c r="BU222" s="672">
        <f t="shared" si="189"/>
        <v>5.79E-2</v>
      </c>
      <c r="BV222" s="90"/>
      <c r="BW222" s="672">
        <f t="shared" si="190"/>
        <v>5.79E-2</v>
      </c>
      <c r="BX222" s="672">
        <f t="shared" si="190"/>
        <v>5.79E-2</v>
      </c>
      <c r="BY222" s="672">
        <f t="shared" si="191"/>
        <v>5.79E-2</v>
      </c>
      <c r="BZ222" s="672">
        <f t="shared" si="191"/>
        <v>5.79E-2</v>
      </c>
      <c r="CA222" s="672">
        <f t="shared" si="191"/>
        <v>5.79E-2</v>
      </c>
      <c r="CB222" s="90"/>
      <c r="CC222" s="672">
        <f>BY222</f>
        <v>5.79E-2</v>
      </c>
      <c r="CD222" s="672">
        <f>BZ222</f>
        <v>5.79E-2</v>
      </c>
      <c r="CE222" s="672">
        <f t="shared" si="192"/>
        <v>5.79E-2</v>
      </c>
      <c r="CF222" s="672">
        <f>CE222</f>
        <v>5.79E-2</v>
      </c>
      <c r="CG222" s="672">
        <f t="shared" si="192"/>
        <v>5.79E-2</v>
      </c>
      <c r="CH222" s="90"/>
      <c r="CI222" s="672">
        <f t="shared" si="193"/>
        <v>5.79E-2</v>
      </c>
      <c r="CJ222" s="672">
        <f t="shared" si="193"/>
        <v>5.79E-2</v>
      </c>
      <c r="CK222" s="672">
        <f t="shared" si="194"/>
        <v>5.79E-2</v>
      </c>
      <c r="CL222" s="672">
        <f t="shared" si="194"/>
        <v>5.79E-2</v>
      </c>
      <c r="CM222" s="672">
        <f t="shared" si="194"/>
        <v>5.79E-2</v>
      </c>
      <c r="CN222" s="90"/>
      <c r="CO222" s="672">
        <f t="shared" si="195"/>
        <v>5.79E-2</v>
      </c>
      <c r="CP222" s="672">
        <f t="shared" si="195"/>
        <v>5.79E-2</v>
      </c>
      <c r="CQ222" s="672">
        <f t="shared" si="196"/>
        <v>5.79E-2</v>
      </c>
      <c r="CR222" s="672">
        <f t="shared" si="196"/>
        <v>5.79E-2</v>
      </c>
      <c r="CS222" s="672">
        <f t="shared" si="196"/>
        <v>5.79E-2</v>
      </c>
      <c r="CT222" s="90"/>
      <c r="CU222" s="672">
        <f t="shared" si="197"/>
        <v>5.79E-2</v>
      </c>
      <c r="CV222" s="672">
        <f t="shared" si="197"/>
        <v>5.79E-2</v>
      </c>
      <c r="CW222" s="672">
        <f t="shared" si="198"/>
        <v>5.79E-2</v>
      </c>
      <c r="CX222" s="672">
        <f t="shared" si="198"/>
        <v>5.79E-2</v>
      </c>
      <c r="CY222" s="672">
        <f t="shared" si="198"/>
        <v>5.79E-2</v>
      </c>
      <c r="CZ222" s="90"/>
      <c r="DA222" s="672">
        <f t="shared" si="199"/>
        <v>5.79E-2</v>
      </c>
      <c r="DB222" s="672">
        <f t="shared" si="199"/>
        <v>5.79E-2</v>
      </c>
      <c r="DC222" s="672">
        <f t="shared" si="200"/>
        <v>5.79E-2</v>
      </c>
      <c r="DD222" s="672">
        <f t="shared" si="200"/>
        <v>5.79E-2</v>
      </c>
      <c r="DE222" s="672">
        <f t="shared" si="200"/>
        <v>5.79E-2</v>
      </c>
      <c r="DF222" s="90"/>
      <c r="DG222" s="672">
        <f t="shared" si="201"/>
        <v>5.79E-2</v>
      </c>
      <c r="DH222" s="672">
        <f t="shared" si="201"/>
        <v>5.79E-2</v>
      </c>
      <c r="DI222" s="672">
        <f t="shared" si="202"/>
        <v>5.79E-2</v>
      </c>
      <c r="DJ222" s="672">
        <f t="shared" si="202"/>
        <v>5.79E-2</v>
      </c>
      <c r="DK222" s="672">
        <f t="shared" si="202"/>
        <v>5.79E-2</v>
      </c>
      <c r="DL222" s="90"/>
      <c r="DM222" s="672">
        <f t="shared" si="203"/>
        <v>5.79E-2</v>
      </c>
      <c r="DN222" s="672">
        <f t="shared" si="203"/>
        <v>5.79E-2</v>
      </c>
      <c r="DO222" s="672">
        <f t="shared" si="204"/>
        <v>5.79E-2</v>
      </c>
      <c r="DP222" s="672">
        <f t="shared" si="204"/>
        <v>5.79E-2</v>
      </c>
      <c r="DQ222" s="672">
        <f t="shared" si="204"/>
        <v>5.79E-2</v>
      </c>
      <c r="DR222" s="90"/>
      <c r="DS222" s="672">
        <f t="shared" si="205"/>
        <v>5.79E-2</v>
      </c>
      <c r="DT222" s="672">
        <f t="shared" si="205"/>
        <v>5.79E-2</v>
      </c>
      <c r="DU222" s="672">
        <f t="shared" si="206"/>
        <v>5.79E-2</v>
      </c>
      <c r="DV222" s="672">
        <f t="shared" si="206"/>
        <v>5.79E-2</v>
      </c>
      <c r="DW222" s="672">
        <f t="shared" si="206"/>
        <v>5.79E-2</v>
      </c>
      <c r="DX222" s="90"/>
      <c r="DY222" s="672">
        <f t="shared" si="207"/>
        <v>5.79E-2</v>
      </c>
      <c r="DZ222" s="672">
        <f t="shared" si="207"/>
        <v>5.79E-2</v>
      </c>
      <c r="EA222" s="672">
        <f t="shared" si="208"/>
        <v>5.79E-2</v>
      </c>
      <c r="EB222" s="672">
        <f t="shared" si="208"/>
        <v>5.79E-2</v>
      </c>
      <c r="EC222" s="672">
        <f t="shared" si="208"/>
        <v>5.79E-2</v>
      </c>
      <c r="ED222" s="90"/>
      <c r="EE222" s="672">
        <f t="shared" si="209"/>
        <v>5.79E-2</v>
      </c>
      <c r="EF222" s="672">
        <f t="shared" si="210"/>
        <v>5.79E-2</v>
      </c>
      <c r="EG222" s="672">
        <f t="shared" si="211"/>
        <v>5.79E-2</v>
      </c>
      <c r="EH222" s="672">
        <f t="shared" si="212"/>
        <v>5.79E-2</v>
      </c>
      <c r="EI222" s="672">
        <f t="shared" si="213"/>
        <v>5.79E-2</v>
      </c>
      <c r="EJ222" s="90"/>
      <c r="EK222" s="672">
        <f t="shared" si="214"/>
        <v>5.79E-2</v>
      </c>
      <c r="EL222" s="672">
        <f t="shared" si="215"/>
        <v>5.79E-2</v>
      </c>
      <c r="EM222" s="672">
        <f t="shared" si="216"/>
        <v>5.79E-2</v>
      </c>
      <c r="EN222" s="672">
        <f t="shared" si="217"/>
        <v>5.79E-2</v>
      </c>
      <c r="EO222" s="672">
        <f t="shared" si="218"/>
        <v>5.79E-2</v>
      </c>
      <c r="EP222" s="90"/>
      <c r="EQ222" s="672">
        <f t="shared" si="219"/>
        <v>5.79E-2</v>
      </c>
      <c r="ER222" s="672">
        <f t="shared" si="220"/>
        <v>5.79E-2</v>
      </c>
      <c r="ES222" s="672">
        <f t="shared" si="221"/>
        <v>5.79E-2</v>
      </c>
      <c r="ET222" s="672">
        <f t="shared" si="222"/>
        <v>5.79E-2</v>
      </c>
      <c r="EU222" s="672">
        <f t="shared" si="223"/>
        <v>5.79E-2</v>
      </c>
      <c r="EV222" s="90"/>
      <c r="EW222" s="90"/>
      <c r="EX222" s="90"/>
      <c r="EY222" s="90"/>
      <c r="EZ222" s="90"/>
      <c r="FA222" s="90"/>
      <c r="FB222" s="90"/>
    </row>
    <row r="223" spans="1:158" hidden="1">
      <c r="A223" s="185" t="s">
        <v>6284</v>
      </c>
      <c r="B223" s="32"/>
      <c r="C223" s="90"/>
      <c r="D223" s="90"/>
      <c r="E223" s="90"/>
      <c r="F223" s="90"/>
      <c r="G223" s="61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286">
        <v>0.6</v>
      </c>
      <c r="T223" s="90"/>
      <c r="U223" s="90"/>
      <c r="V223" s="90"/>
      <c r="W223" s="90"/>
      <c r="X223" s="286"/>
      <c r="Y223" s="286">
        <v>1.6</v>
      </c>
      <c r="Z223" s="90"/>
      <c r="AA223" s="90"/>
      <c r="AB223" s="90"/>
      <c r="AC223" s="90"/>
      <c r="AD223" s="90"/>
      <c r="AE223" s="286">
        <v>0.6</v>
      </c>
      <c r="AF223" s="90"/>
      <c r="AG223" s="90"/>
      <c r="AH223" s="90"/>
      <c r="AI223" s="90"/>
      <c r="AJ223" s="90"/>
      <c r="AK223" s="286">
        <v>0.6</v>
      </c>
      <c r="AL223" s="90"/>
      <c r="AM223" s="90"/>
      <c r="AN223" s="90"/>
      <c r="AO223" s="90"/>
      <c r="AP223" s="90"/>
      <c r="AQ223" s="286">
        <v>0.6</v>
      </c>
      <c r="AR223" s="90"/>
      <c r="AS223" s="261"/>
      <c r="AT223" s="261"/>
      <c r="AU223" s="261"/>
      <c r="AV223" s="261"/>
      <c r="AW223" s="286">
        <v>0.6</v>
      </c>
      <c r="AX223" s="90"/>
      <c r="AY223" s="261"/>
      <c r="AZ223" s="261"/>
      <c r="BA223" s="261"/>
      <c r="BB223" s="90"/>
      <c r="BC223" s="286">
        <v>0.51</v>
      </c>
      <c r="BD223" s="90"/>
      <c r="BE223" s="665"/>
      <c r="BF223" s="665"/>
      <c r="BG223" s="665"/>
      <c r="BH223" s="665"/>
      <c r="BI223" s="286">
        <v>0.43</v>
      </c>
      <c r="BJ223" s="90"/>
      <c r="BK223" s="286">
        <v>0.39</v>
      </c>
      <c r="BL223" s="665">
        <f>BK223</f>
        <v>0.39</v>
      </c>
      <c r="BM223" s="665">
        <f t="shared" si="187"/>
        <v>0.39</v>
      </c>
      <c r="BN223" s="665">
        <f t="shared" si="187"/>
        <v>0.39</v>
      </c>
      <c r="BO223" s="286">
        <f>AVERAGE(0.36,0.39)</f>
        <v>0.375</v>
      </c>
      <c r="BP223" s="90"/>
      <c r="BQ223" s="665">
        <f t="shared" si="188"/>
        <v>0.39</v>
      </c>
      <c r="BR223" s="665">
        <f t="shared" si="188"/>
        <v>0.39</v>
      </c>
      <c r="BS223" s="665">
        <f t="shared" si="189"/>
        <v>0.39</v>
      </c>
      <c r="BT223" s="665">
        <f t="shared" si="189"/>
        <v>0.39</v>
      </c>
      <c r="BU223" s="665">
        <f t="shared" si="189"/>
        <v>0.39</v>
      </c>
      <c r="BV223" s="90"/>
      <c r="BW223" s="665">
        <f t="shared" si="190"/>
        <v>0.39</v>
      </c>
      <c r="BX223" s="665">
        <f t="shared" si="190"/>
        <v>0.39</v>
      </c>
      <c r="BY223" s="665">
        <f t="shared" si="191"/>
        <v>0.39</v>
      </c>
      <c r="BZ223" s="665">
        <f t="shared" si="191"/>
        <v>0.39</v>
      </c>
      <c r="CA223" s="665">
        <f t="shared" si="191"/>
        <v>0.39</v>
      </c>
      <c r="CB223" s="90"/>
      <c r="CC223" s="665">
        <f>BY223</f>
        <v>0.39</v>
      </c>
      <c r="CD223" s="665">
        <f>BZ223</f>
        <v>0.39</v>
      </c>
      <c r="CE223" s="665">
        <f t="shared" si="192"/>
        <v>0.39</v>
      </c>
      <c r="CF223" s="665">
        <f>CE223</f>
        <v>0.39</v>
      </c>
      <c r="CG223" s="665">
        <f t="shared" si="192"/>
        <v>0.39</v>
      </c>
      <c r="CH223" s="90"/>
      <c r="CI223" s="665">
        <f t="shared" si="193"/>
        <v>0.39</v>
      </c>
      <c r="CJ223" s="665">
        <f t="shared" si="193"/>
        <v>0.39</v>
      </c>
      <c r="CK223" s="665">
        <f t="shared" si="194"/>
        <v>0.39</v>
      </c>
      <c r="CL223" s="665">
        <f t="shared" si="194"/>
        <v>0.39</v>
      </c>
      <c r="CM223" s="665">
        <f t="shared" si="194"/>
        <v>0.39</v>
      </c>
      <c r="CN223" s="90"/>
      <c r="CO223" s="665">
        <f t="shared" si="195"/>
        <v>0.39</v>
      </c>
      <c r="CP223" s="665">
        <f t="shared" si="195"/>
        <v>0.39</v>
      </c>
      <c r="CQ223" s="665">
        <f t="shared" si="196"/>
        <v>0.39</v>
      </c>
      <c r="CR223" s="665">
        <f t="shared" si="196"/>
        <v>0.39</v>
      </c>
      <c r="CS223" s="665">
        <f t="shared" si="196"/>
        <v>0.39</v>
      </c>
      <c r="CT223" s="90"/>
      <c r="CU223" s="665">
        <f t="shared" si="197"/>
        <v>0.39</v>
      </c>
      <c r="CV223" s="665">
        <f t="shared" si="197"/>
        <v>0.39</v>
      </c>
      <c r="CW223" s="665">
        <f t="shared" si="198"/>
        <v>0.39</v>
      </c>
      <c r="CX223" s="665">
        <f t="shared" si="198"/>
        <v>0.39</v>
      </c>
      <c r="CY223" s="665">
        <f t="shared" si="198"/>
        <v>0.39</v>
      </c>
      <c r="CZ223" s="90"/>
      <c r="DA223" s="665">
        <f t="shared" si="199"/>
        <v>0.39</v>
      </c>
      <c r="DB223" s="665">
        <f t="shared" si="199"/>
        <v>0.39</v>
      </c>
      <c r="DC223" s="665">
        <f t="shared" si="200"/>
        <v>0.39</v>
      </c>
      <c r="DD223" s="665">
        <f t="shared" si="200"/>
        <v>0.39</v>
      </c>
      <c r="DE223" s="665">
        <f t="shared" si="200"/>
        <v>0.39</v>
      </c>
      <c r="DF223" s="90"/>
      <c r="DG223" s="665">
        <f t="shared" si="201"/>
        <v>0.39</v>
      </c>
      <c r="DH223" s="665">
        <f t="shared" si="201"/>
        <v>0.39</v>
      </c>
      <c r="DI223" s="665">
        <f t="shared" si="202"/>
        <v>0.39</v>
      </c>
      <c r="DJ223" s="665">
        <f t="shared" si="202"/>
        <v>0.39</v>
      </c>
      <c r="DK223" s="665">
        <f t="shared" si="202"/>
        <v>0.39</v>
      </c>
      <c r="DL223" s="90"/>
      <c r="DM223" s="665">
        <f t="shared" si="203"/>
        <v>0.39</v>
      </c>
      <c r="DN223" s="665">
        <f t="shared" si="203"/>
        <v>0.39</v>
      </c>
      <c r="DO223" s="665">
        <f t="shared" si="204"/>
        <v>0.39</v>
      </c>
      <c r="DP223" s="665">
        <f t="shared" si="204"/>
        <v>0.39</v>
      </c>
      <c r="DQ223" s="665">
        <f t="shared" si="204"/>
        <v>0.39</v>
      </c>
      <c r="DR223" s="90"/>
      <c r="DS223" s="665">
        <f t="shared" si="205"/>
        <v>0.39</v>
      </c>
      <c r="DT223" s="665">
        <f t="shared" si="205"/>
        <v>0.39</v>
      </c>
      <c r="DU223" s="665">
        <f t="shared" si="206"/>
        <v>0.39</v>
      </c>
      <c r="DV223" s="665">
        <f t="shared" si="206"/>
        <v>0.39</v>
      </c>
      <c r="DW223" s="665">
        <f t="shared" si="206"/>
        <v>0.39</v>
      </c>
      <c r="DX223" s="90"/>
      <c r="DY223" s="665">
        <f t="shared" si="207"/>
        <v>0.39</v>
      </c>
      <c r="DZ223" s="665">
        <f t="shared" si="207"/>
        <v>0.39</v>
      </c>
      <c r="EA223" s="665">
        <f t="shared" si="208"/>
        <v>0.39</v>
      </c>
      <c r="EB223" s="665">
        <f t="shared" si="208"/>
        <v>0.39</v>
      </c>
      <c r="EC223" s="665">
        <f t="shared" si="208"/>
        <v>0.39</v>
      </c>
      <c r="ED223" s="90"/>
      <c r="EE223" s="665">
        <f t="shared" si="209"/>
        <v>0.39</v>
      </c>
      <c r="EF223" s="665">
        <f t="shared" si="210"/>
        <v>0.39</v>
      </c>
      <c r="EG223" s="665">
        <f t="shared" si="211"/>
        <v>0.39</v>
      </c>
      <c r="EH223" s="665">
        <f t="shared" si="212"/>
        <v>0.39</v>
      </c>
      <c r="EI223" s="665">
        <f t="shared" si="213"/>
        <v>0.39</v>
      </c>
      <c r="EJ223" s="90"/>
      <c r="EK223" s="665">
        <f t="shared" si="214"/>
        <v>0.39</v>
      </c>
      <c r="EL223" s="665">
        <f t="shared" si="215"/>
        <v>0.39</v>
      </c>
      <c r="EM223" s="665">
        <f t="shared" si="216"/>
        <v>0.39</v>
      </c>
      <c r="EN223" s="665">
        <f t="shared" si="217"/>
        <v>0.39</v>
      </c>
      <c r="EO223" s="665">
        <f t="shared" si="218"/>
        <v>0.39</v>
      </c>
      <c r="EP223" s="90"/>
      <c r="EQ223" s="665">
        <f t="shared" si="219"/>
        <v>0.39</v>
      </c>
      <c r="ER223" s="665">
        <f t="shared" si="220"/>
        <v>0.39</v>
      </c>
      <c r="ES223" s="665">
        <f t="shared" si="221"/>
        <v>0.39</v>
      </c>
      <c r="ET223" s="665">
        <f t="shared" si="222"/>
        <v>0.39</v>
      </c>
      <c r="EU223" s="665">
        <f t="shared" si="223"/>
        <v>0.39</v>
      </c>
      <c r="EV223" s="90"/>
      <c r="EW223" s="90"/>
      <c r="EX223" s="90"/>
      <c r="EY223" s="90"/>
      <c r="EZ223" s="90"/>
      <c r="FA223" s="90"/>
      <c r="FB223" s="90"/>
    </row>
    <row r="224" spans="1:158" hidden="1">
      <c r="A224" s="185" t="s">
        <v>6285</v>
      </c>
      <c r="B224" s="32"/>
      <c r="C224" s="90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288">
        <v>7.0000000000000001E-3</v>
      </c>
      <c r="T224" s="90"/>
      <c r="U224" s="90"/>
      <c r="V224" s="90"/>
      <c r="W224" s="90"/>
      <c r="X224" s="288"/>
      <c r="Y224" s="288">
        <v>8.9999999999999993E-3</v>
      </c>
      <c r="Z224" s="90"/>
      <c r="AA224" s="90"/>
      <c r="AB224" s="90"/>
      <c r="AC224" s="90"/>
      <c r="AD224" s="90"/>
      <c r="AE224" s="288">
        <v>8.0000000000000002E-3</v>
      </c>
      <c r="AF224" s="90"/>
      <c r="AG224" s="90"/>
      <c r="AH224" s="90"/>
      <c r="AI224" s="90"/>
      <c r="AJ224" s="90"/>
      <c r="AK224" s="288">
        <v>7.0000000000000001E-3</v>
      </c>
      <c r="AL224" s="90"/>
      <c r="AM224" s="90"/>
      <c r="AN224" s="90"/>
      <c r="AO224" s="90"/>
      <c r="AP224" s="90"/>
      <c r="AQ224" s="288">
        <v>8.0000000000000002E-3</v>
      </c>
      <c r="AR224" s="90"/>
      <c r="AS224" s="262"/>
      <c r="AT224" s="262"/>
      <c r="AU224" s="262"/>
      <c r="AV224" s="262"/>
      <c r="AW224" s="288">
        <v>7.0000000000000001E-3</v>
      </c>
      <c r="AX224" s="90"/>
      <c r="AY224" s="262"/>
      <c r="AZ224" s="262"/>
      <c r="BA224" s="262"/>
      <c r="BB224" s="90"/>
      <c r="BC224" s="288">
        <v>3.0000000000000001E-3</v>
      </c>
      <c r="BD224" s="90"/>
      <c r="BE224" s="671"/>
      <c r="BF224" s="671"/>
      <c r="BG224" s="671"/>
      <c r="BH224" s="671"/>
      <c r="BI224" s="288">
        <v>0</v>
      </c>
      <c r="BJ224" s="90"/>
      <c r="BK224" s="288">
        <v>0</v>
      </c>
      <c r="BL224" s="671">
        <v>0</v>
      </c>
      <c r="BM224" s="671">
        <v>0</v>
      </c>
      <c r="BN224" s="671">
        <v>0</v>
      </c>
      <c r="BO224" s="288">
        <v>0</v>
      </c>
      <c r="BP224" s="90"/>
      <c r="BQ224" s="671">
        <v>0</v>
      </c>
      <c r="BR224" s="671">
        <v>0</v>
      </c>
      <c r="BS224" s="671">
        <v>0</v>
      </c>
      <c r="BT224" s="671">
        <v>0</v>
      </c>
      <c r="BU224" s="671">
        <v>0</v>
      </c>
      <c r="BV224" s="90"/>
      <c r="BW224" s="671">
        <v>0</v>
      </c>
      <c r="BX224" s="671">
        <v>0</v>
      </c>
      <c r="BY224" s="671">
        <v>0</v>
      </c>
      <c r="BZ224" s="671">
        <v>0</v>
      </c>
      <c r="CA224" s="671">
        <v>0</v>
      </c>
      <c r="CB224" s="90"/>
      <c r="CC224" s="671">
        <v>0</v>
      </c>
      <c r="CD224" s="671">
        <v>0</v>
      </c>
      <c r="CE224" s="671">
        <v>0</v>
      </c>
      <c r="CF224" s="671">
        <v>0</v>
      </c>
      <c r="CG224" s="671">
        <v>0</v>
      </c>
      <c r="CH224" s="90"/>
      <c r="CI224" s="671">
        <v>0</v>
      </c>
      <c r="CJ224" s="671">
        <v>0</v>
      </c>
      <c r="CK224" s="671">
        <v>0</v>
      </c>
      <c r="CL224" s="671">
        <v>0</v>
      </c>
      <c r="CM224" s="671">
        <v>0</v>
      </c>
      <c r="CN224" s="90"/>
      <c r="CO224" s="671">
        <v>0</v>
      </c>
      <c r="CP224" s="671">
        <v>0</v>
      </c>
      <c r="CQ224" s="671">
        <v>0</v>
      </c>
      <c r="CR224" s="671">
        <v>0</v>
      </c>
      <c r="CS224" s="671">
        <v>0</v>
      </c>
      <c r="CT224" s="90"/>
      <c r="CU224" s="671">
        <v>0</v>
      </c>
      <c r="CV224" s="671">
        <v>0</v>
      </c>
      <c r="CW224" s="671">
        <v>0</v>
      </c>
      <c r="CX224" s="671">
        <v>0</v>
      </c>
      <c r="CY224" s="671">
        <v>0</v>
      </c>
      <c r="CZ224" s="90"/>
      <c r="DA224" s="671">
        <v>0</v>
      </c>
      <c r="DB224" s="671">
        <v>0</v>
      </c>
      <c r="DC224" s="671">
        <v>0</v>
      </c>
      <c r="DD224" s="671">
        <v>0</v>
      </c>
      <c r="DE224" s="671">
        <v>0</v>
      </c>
      <c r="DF224" s="90"/>
      <c r="DG224" s="671">
        <v>0</v>
      </c>
      <c r="DH224" s="671">
        <v>0</v>
      </c>
      <c r="DI224" s="671">
        <v>0</v>
      </c>
      <c r="DJ224" s="671">
        <v>0</v>
      </c>
      <c r="DK224" s="671">
        <v>0</v>
      </c>
      <c r="DL224" s="90"/>
      <c r="DM224" s="671">
        <v>0</v>
      </c>
      <c r="DN224" s="671">
        <v>0</v>
      </c>
      <c r="DO224" s="671">
        <v>0</v>
      </c>
      <c r="DP224" s="671">
        <v>0</v>
      </c>
      <c r="DQ224" s="671">
        <v>0</v>
      </c>
      <c r="DR224" s="90"/>
      <c r="DS224" s="671">
        <v>0</v>
      </c>
      <c r="DT224" s="671">
        <v>0</v>
      </c>
      <c r="DU224" s="671">
        <v>0</v>
      </c>
      <c r="DV224" s="671">
        <v>0</v>
      </c>
      <c r="DW224" s="671">
        <v>0</v>
      </c>
      <c r="DX224" s="90"/>
      <c r="DY224" s="671">
        <v>0</v>
      </c>
      <c r="DZ224" s="671">
        <v>0</v>
      </c>
      <c r="EA224" s="671">
        <v>0</v>
      </c>
      <c r="EB224" s="671">
        <v>0</v>
      </c>
      <c r="EC224" s="671">
        <v>0</v>
      </c>
      <c r="ED224" s="90"/>
      <c r="EE224" s="671">
        <v>0</v>
      </c>
      <c r="EF224" s="671">
        <v>0</v>
      </c>
      <c r="EG224" s="671">
        <v>0</v>
      </c>
      <c r="EH224" s="671">
        <v>0</v>
      </c>
      <c r="EI224" s="671">
        <v>0</v>
      </c>
      <c r="EJ224" s="90"/>
      <c r="EK224" s="671">
        <v>0</v>
      </c>
      <c r="EL224" s="671">
        <v>0</v>
      </c>
      <c r="EM224" s="671">
        <v>0</v>
      </c>
      <c r="EN224" s="671">
        <v>0</v>
      </c>
      <c r="EO224" s="671">
        <v>0</v>
      </c>
      <c r="EP224" s="90"/>
      <c r="EQ224" s="671">
        <v>0</v>
      </c>
      <c r="ER224" s="671">
        <v>0</v>
      </c>
      <c r="ES224" s="671">
        <v>0</v>
      </c>
      <c r="ET224" s="671">
        <v>0</v>
      </c>
      <c r="EU224" s="671">
        <v>0</v>
      </c>
      <c r="EV224" s="90"/>
      <c r="EW224" s="90"/>
      <c r="EX224" s="90"/>
      <c r="EY224" s="90"/>
      <c r="EZ224" s="90"/>
      <c r="FA224" s="90"/>
      <c r="FB224" s="90"/>
    </row>
    <row r="225" spans="1:158" hidden="1">
      <c r="A225" s="189" t="s">
        <v>6043</v>
      </c>
      <c r="B225" s="32"/>
      <c r="C225" s="190"/>
      <c r="D225" s="190"/>
      <c r="E225" s="190"/>
      <c r="F225" s="190"/>
      <c r="G225" s="190"/>
      <c r="H225" s="190"/>
      <c r="I225" s="190"/>
      <c r="J225" s="190"/>
      <c r="K225" s="190"/>
      <c r="L225" s="190"/>
      <c r="M225" s="190"/>
      <c r="N225" s="190"/>
      <c r="O225" s="190"/>
      <c r="P225" s="190"/>
      <c r="Q225" s="190"/>
      <c r="R225" s="190"/>
      <c r="S225" s="289">
        <f>14.14/4</f>
        <v>3.5350000000000001</v>
      </c>
      <c r="T225" s="190"/>
      <c r="U225" s="190"/>
      <c r="V225" s="190"/>
      <c r="W225" s="190"/>
      <c r="X225" s="289"/>
      <c r="Y225" s="289">
        <f>22.6/4</f>
        <v>5.65</v>
      </c>
      <c r="Z225" s="190"/>
      <c r="AA225" s="190"/>
      <c r="AB225" s="190"/>
      <c r="AC225" s="190"/>
      <c r="AD225" s="190"/>
      <c r="AE225" s="289">
        <f>8.75/2</f>
        <v>4.375</v>
      </c>
      <c r="AF225" s="190"/>
      <c r="AG225" s="190"/>
      <c r="AH225" s="190"/>
      <c r="AI225" s="190"/>
      <c r="AJ225" s="190"/>
      <c r="AK225" s="289">
        <f>8.93/2</f>
        <v>4.4649999999999999</v>
      </c>
      <c r="AL225" s="190"/>
      <c r="AM225" s="190"/>
      <c r="AN225" s="190"/>
      <c r="AO225" s="190"/>
      <c r="AP225" s="190"/>
      <c r="AQ225" s="289">
        <f>7.82/2</f>
        <v>3.91</v>
      </c>
      <c r="AR225" s="190"/>
      <c r="AS225" s="190"/>
      <c r="AT225" s="190"/>
      <c r="AU225" s="190"/>
      <c r="AV225" s="190"/>
      <c r="AW225" s="289">
        <f>8.07/2</f>
        <v>4.0350000000000001</v>
      </c>
      <c r="AX225" s="190"/>
      <c r="AY225" s="190"/>
      <c r="AZ225" s="190"/>
      <c r="BA225" s="190"/>
      <c r="BB225" s="190"/>
      <c r="BC225" s="289">
        <f>Call_Eur(BC285,BC285,BC221,BC222,BC223)</f>
        <v>7.8748915178551826</v>
      </c>
      <c r="BD225" s="289"/>
      <c r="BE225" s="289"/>
      <c r="BF225" s="289"/>
      <c r="BG225" s="289"/>
      <c r="BH225" s="289"/>
      <c r="BI225" s="289">
        <f>Call_Eur(BI285,BI285,BI221,BI222,BI223)</f>
        <v>12.945410664728227</v>
      </c>
      <c r="BJ225" s="289"/>
      <c r="BK225" s="289">
        <f>Call_Eur(BK285,BK285,BK221,BK222,BK223)</f>
        <v>13.664403231893218</v>
      </c>
      <c r="BL225" s="289">
        <f>Call_Eur(BL285,BL285,BL221,BL222,BL223)</f>
        <v>14.598238889187957</v>
      </c>
      <c r="BM225" s="289">
        <f>Call_Eur(BM285,BM285,BM221,BM222,BM223)</f>
        <v>15.011015095941515</v>
      </c>
      <c r="BN225" s="289">
        <f>Call_Eur(BN285,BN285,BN221,BN222,BN223)</f>
        <v>15.435452710158263</v>
      </c>
      <c r="BO225" s="289">
        <f>Call_Eur(BO285,BO285,BO221,BO222,BO223)</f>
        <v>13.762091568408861</v>
      </c>
      <c r="BP225" s="289"/>
      <c r="BQ225" s="289">
        <f>Call_Eur(BQ285,BQ285,BQ221,BQ222,BQ223)</f>
        <v>15.871890288829073</v>
      </c>
      <c r="BR225" s="289">
        <f>Call_Eur(BR285,BR285,BR221,BR222,BR223)</f>
        <v>16.320666388944801</v>
      </c>
      <c r="BS225" s="289">
        <f>Call_Eur(BS285,BS285,BS221,BS222,BS223)</f>
        <v>16.782119567496327</v>
      </c>
      <c r="BT225" s="289">
        <f>Call_Eur(BT285,BT285,BT221,BT222,BT223)</f>
        <v>17.25662599891794</v>
      </c>
      <c r="BU225" s="289">
        <f>Call_Eur(BU285,BU285,BU221,BU222,BU223)</f>
        <v>17.25662599891794</v>
      </c>
      <c r="BV225" s="289"/>
      <c r="BW225" s="289">
        <f>Call_Eur(BW285,BW285,BW221,BW222,BW223)</f>
        <v>17.744561857643937</v>
      </c>
      <c r="BX225" s="289">
        <f>Call_Eur(BX285,BX285,BX221,BX222,BX223)</f>
        <v>18.246303318108623</v>
      </c>
      <c r="BY225" s="289">
        <f>Call_Eur(BY285,BY285,BY221,BY222,BY223)</f>
        <v>18.762226554746277</v>
      </c>
      <c r="BZ225" s="289">
        <f>Call_Eur(BZ285,BZ285,BZ221,BZ222,BZ223)</f>
        <v>19.292707741991215</v>
      </c>
      <c r="CA225" s="289">
        <f>Call_Eur(CA285,CA285,CA221,CA222,CA223)</f>
        <v>19.292707741991215</v>
      </c>
      <c r="CB225" s="289"/>
      <c r="CC225" s="289">
        <f>Call_Eur(CC285,CC285,CC221,CC222,CC223)</f>
        <v>13.555646026634214</v>
      </c>
      <c r="CD225" s="289">
        <f>Call_Eur(CD285,CD285,CD221,CD222,CD223)</f>
        <v>13.938949861628007</v>
      </c>
      <c r="CE225" s="289">
        <f>Call_Eur(CE285,CE285,CE221,CE222,CE223)</f>
        <v>14.333075244001915</v>
      </c>
      <c r="CF225" s="289">
        <f>Call_Eur(CF285,CF285,CF221,CF222,CF223)</f>
        <v>14.738330626412864</v>
      </c>
      <c r="CG225" s="289">
        <f>Call_Eur(CG285,CG285,CG221,CG222,CG223)</f>
        <v>14.738330626412864</v>
      </c>
      <c r="CH225" s="289"/>
      <c r="CI225" s="289">
        <f>Call_Eur(CI285,CI285,CI221,CI222,CI223)</f>
        <v>15.155050165905845</v>
      </c>
      <c r="CJ225" s="289">
        <f>Call_Eur(CJ285,CJ285,CJ221,CJ222,CJ223)</f>
        <v>15.583568019525842</v>
      </c>
      <c r="CK225" s="289">
        <f>Call_Eur(CK285,CK285,CK221,CK222,CK223)</f>
        <v>16.024192639929783</v>
      </c>
      <c r="CL225" s="289">
        <f>Call_Eur(CL285,CL285,CL221,CL222,CL223)</f>
        <v>16.477283888550723</v>
      </c>
      <c r="CM225" s="289">
        <f>Call_Eur(CM285,CM285,CM221,CM222,CM223)</f>
        <v>16.477283888550723</v>
      </c>
      <c r="CN225" s="289"/>
      <c r="CO225" s="289">
        <f>Call_Eur(CO285,CO285,CO221,CO222,CO223)</f>
        <v>16.943175922433667</v>
      </c>
      <c r="CP225" s="289">
        <f>Call_Eur(CP285,CP285,CP221,CP222,CP223)</f>
        <v>17.422228603011678</v>
      </c>
      <c r="CQ225" s="289">
        <f>Call_Eur(CQ285,CQ285,CQ221,CQ222,CQ223)</f>
        <v>17.914853200493969</v>
      </c>
      <c r="CR225" s="289">
        <f>Call_Eur(CR285,CR285,CR221,CR222,CR223)</f>
        <v>18.421383871925542</v>
      </c>
      <c r="CS225" s="289">
        <f>Call_Eur(CS285,CS285,CS221,CS222,CS223)</f>
        <v>18.421383871925542</v>
      </c>
      <c r="CT225" s="289"/>
      <c r="CU225" s="289">
        <f>Call_Eur(CU285,CU285,CU221,CU222,CU223)</f>
        <v>18.942257591903683</v>
      </c>
      <c r="CV225" s="289">
        <f>Call_Eur(CV285,CV285,CV221,CV222,CV223)</f>
        <v>19.477859926249558</v>
      </c>
      <c r="CW225" s="289">
        <f>Call_Eur(CW285,CW285,CW221,CW222,CW223)</f>
        <v>20.028602145172364</v>
      </c>
      <c r="CX225" s="289">
        <f>Call_Eur(CX285,CX285,CX221,CX222,CX223)</f>
        <v>20.594895518881337</v>
      </c>
      <c r="CY225" s="289">
        <f>Call_Eur(CY285,CY285,CY221,CY222,CY223)</f>
        <v>20.594895518881337</v>
      </c>
      <c r="CZ225" s="289"/>
      <c r="DA225" s="289">
        <f>Call_Eur(DA285,DA285,DA221,DA222,DA223)</f>
        <v>21.177228430749921</v>
      </c>
      <c r="DB225" s="289">
        <f>Call_Eur(DB285,DB285,DB221,DB222,DB223)</f>
        <v>21.776012150987327</v>
      </c>
      <c r="DC225" s="289">
        <f>Call_Eur(DC285,DC285,DC221,DC222,DC223)</f>
        <v>22.39170935857895</v>
      </c>
      <c r="DD225" s="289">
        <f>Call_Eur(DD285,DD285,DD221,DD222,DD223)</f>
        <v>23.024859845674371</v>
      </c>
      <c r="DE225" s="289">
        <f>Call_Eur(DE285,DE285,DE221,DE222,DE223)</f>
        <v>23.024859845674371</v>
      </c>
      <c r="DF225" s="289"/>
      <c r="DG225" s="289">
        <f>Call_Eur(DG285,DG285,DG221,DG222,DG223)</f>
        <v>23.67587488248283</v>
      </c>
      <c r="DH225" s="289">
        <f>Call_Eur(DH285,DH285,DH221,DH222,DH223)</f>
        <v>24.345319965541989</v>
      </c>
      <c r="DI225" s="289">
        <f>Call_Eur(DI285,DI285,DI221,DI222,DI223)</f>
        <v>25.033683478225313</v>
      </c>
      <c r="DJ225" s="289">
        <f>Call_Eur(DJ285,DJ285,DJ221,DJ222,DJ223)</f>
        <v>25.741505212682398</v>
      </c>
      <c r="DK225" s="289">
        <f>Call_Eur(DK285,DK285,DK221,DK222,DK223)</f>
        <v>25.741505212682398</v>
      </c>
      <c r="DL225" s="289"/>
      <c r="DM225" s="289">
        <f>Call_Eur(DM285,DM285,DM221,DM222,DM223)</f>
        <v>26.469350665450904</v>
      </c>
      <c r="DN225" s="289">
        <f>Call_Eur(DN285,DN285,DN221,DN222,DN223)</f>
        <v>27.217759628680462</v>
      </c>
      <c r="DO225" s="289">
        <f>Call_Eur(DO285,DO285,DO221,DO222,DO223)</f>
        <v>27.987349007684891</v>
      </c>
      <c r="DP225" s="289">
        <f>Call_Eur(DP285,DP285,DP221,DP222,DP223)</f>
        <v>28.778684299001867</v>
      </c>
      <c r="DQ225" s="289">
        <f>Call_Eur(DQ285,DQ285,DQ221,DQ222,DQ223)</f>
        <v>28.778684299001867</v>
      </c>
      <c r="DR225" s="289"/>
      <c r="DS225" s="289">
        <f>Call_Eur(DS285,DS285,DS221,DS222,DS223)</f>
        <v>29.59240811233331</v>
      </c>
      <c r="DT225" s="289">
        <f>Call_Eur(DT285,DT285,DT221,DT222,DT223)</f>
        <v>30.429137352993031</v>
      </c>
      <c r="DU225" s="289">
        <f>Call_Eur(DU285,DU285,DU221,DU222,DU223)</f>
        <v>31.289514630682945</v>
      </c>
      <c r="DV225" s="289">
        <f>Call_Eur(DV285,DV285,DV221,DV222,DV223)</f>
        <v>32.174233963881122</v>
      </c>
      <c r="DW225" s="289">
        <f>Call_Eur(DW285,DW285,DW221,DW222,DW223)</f>
        <v>32.174233963881122</v>
      </c>
      <c r="DX225" s="90"/>
      <c r="DY225" s="289">
        <f>Call_Eur(DY285,DY285,DY221,DY222,DY223)</f>
        <v>33.083937962289475</v>
      </c>
      <c r="DZ225" s="289">
        <f>Call_Eur(DZ285,DZ285,DZ221,DZ222,DZ223)</f>
        <v>34.019397757550259</v>
      </c>
      <c r="EA225" s="289">
        <f>Call_Eur(EA285,EA285,EA221,EA222,EA223)</f>
        <v>34.981307368141572</v>
      </c>
      <c r="EB225" s="289">
        <f>Call_Eur(EB285,EB285,EB221,EB222,EB223)</f>
        <v>35.97038651692953</v>
      </c>
      <c r="EC225" s="289">
        <f>Call_Eur(EC285,EC285,EC221,EC222,EC223)</f>
        <v>35.97038651692953</v>
      </c>
      <c r="ED225" s="90"/>
      <c r="EE225" s="289">
        <f>Call_Eur(EE285,EE285,EE221,EE222,EE223)</f>
        <v>36.987457744332566</v>
      </c>
      <c r="EF225" s="289">
        <f>Call_Eur(EF285,EF285,EF221,EF222,EF223)</f>
        <v>38.033266477604933</v>
      </c>
      <c r="EG225" s="289">
        <f>Call_Eur(EG285,EG285,EG221,EG222,EG223)</f>
        <v>39.108660961553099</v>
      </c>
      <c r="EH225" s="289">
        <f>Call_Eur(EH285,EH285,EH221,EH222,EH223)</f>
        <v>40.214463736595533</v>
      </c>
      <c r="EI225" s="289">
        <f>Call_Eur(EI285,EI285,EI221,EI222,EI223)</f>
        <v>40.214463736595533</v>
      </c>
      <c r="EJ225" s="90"/>
      <c r="EK225" s="289">
        <f>Call_Eur(EK285,EK285,EK221,EK222,EK223)</f>
        <v>41.351523047538748</v>
      </c>
      <c r="EL225" s="289">
        <f>Call_Eur(EL285,EL285,EL221,EL222,EL223)</f>
        <v>42.520738547965408</v>
      </c>
      <c r="EM225" s="289">
        <f>Call_Eur(EM285,EM285,EM221,EM222,EM223)</f>
        <v>43.723009891458204</v>
      </c>
      <c r="EN225" s="289">
        <f>Call_Eur(EN285,EN285,EN221,EN222,EN223)</f>
        <v>44.959288140375932</v>
      </c>
      <c r="EO225" s="289">
        <f>Call_Eur(EO285,EO285,EO221,EO222,EO223)</f>
        <v>44.959288140375932</v>
      </c>
      <c r="EP225" s="90"/>
      <c r="EQ225" s="289">
        <f>Call_Eur(EQ285,EQ285,EQ221,EQ222,EQ223)</f>
        <v>46.230498652689363</v>
      </c>
      <c r="ER225" s="289">
        <f>Call_Eur(ER285,ER285,ER221,ER222,ER223)</f>
        <v>47.537669603921529</v>
      </c>
      <c r="ES225" s="289">
        <f>Call_Eur(ES285,ES285,ES221,ES222,ES223)</f>
        <v>48.881803465207426</v>
      </c>
      <c r="ET225" s="289">
        <f>Call_Eur(ET285,ET285,ET221,ET222,ET223)</f>
        <v>50.263928412070086</v>
      </c>
      <c r="EU225" s="289">
        <f>Call_Eur(EU285,EU285,EU221,EU222,EU223)</f>
        <v>50.263928412070086</v>
      </c>
      <c r="EV225" s="90"/>
      <c r="EW225" s="90"/>
      <c r="EX225" s="90"/>
      <c r="EY225" s="90"/>
      <c r="EZ225" s="90"/>
      <c r="FA225" s="90"/>
      <c r="FB225" s="90"/>
    </row>
    <row r="226" spans="1:158" hidden="1">
      <c r="A226" s="191" t="s">
        <v>6044</v>
      </c>
      <c r="B226" s="32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11"/>
      <c r="N226" s="111"/>
      <c r="O226" s="111"/>
      <c r="P226" s="111"/>
      <c r="Q226" s="111"/>
      <c r="R226" s="111"/>
      <c r="S226" s="290"/>
      <c r="T226" s="111"/>
      <c r="U226" s="111"/>
      <c r="V226" s="111"/>
      <c r="W226" s="111"/>
      <c r="X226" s="290"/>
      <c r="Y226" s="290"/>
      <c r="Z226" s="111"/>
      <c r="AA226" s="111"/>
      <c r="AB226" s="111"/>
      <c r="AC226" s="111"/>
      <c r="AD226" s="111"/>
      <c r="AE226" s="290"/>
      <c r="AF226" s="111"/>
      <c r="AG226" s="111"/>
      <c r="AH226" s="111"/>
      <c r="AI226" s="111"/>
      <c r="AJ226" s="111"/>
      <c r="AK226" s="290"/>
      <c r="AL226" s="111"/>
      <c r="AM226" s="111"/>
      <c r="AN226" s="111"/>
      <c r="AO226" s="111"/>
      <c r="AP226" s="111"/>
      <c r="AQ226" s="290"/>
      <c r="AR226" s="111"/>
      <c r="AS226" s="111"/>
      <c r="AT226" s="111"/>
      <c r="AU226" s="111"/>
      <c r="AV226" s="111"/>
      <c r="AW226" s="290"/>
      <c r="AX226" s="111"/>
      <c r="AY226" s="111"/>
      <c r="AZ226" s="111"/>
      <c r="BA226" s="111"/>
      <c r="BB226" s="111"/>
      <c r="BC226" s="290"/>
      <c r="BD226" s="290"/>
      <c r="BE226" s="290"/>
      <c r="BF226" s="290"/>
      <c r="BG226" s="290"/>
      <c r="BH226" s="290"/>
      <c r="BI226" s="290"/>
      <c r="BJ226" s="290"/>
      <c r="BK226" s="290"/>
      <c r="BL226" s="290"/>
      <c r="BM226" s="290"/>
      <c r="BN226" s="290"/>
      <c r="BO226" s="290"/>
      <c r="BP226" s="290"/>
      <c r="BQ226" s="290"/>
      <c r="BR226" s="290"/>
      <c r="BS226" s="290"/>
      <c r="BT226" s="290"/>
      <c r="BU226" s="290"/>
      <c r="BV226" s="290"/>
      <c r="BW226" s="290"/>
      <c r="BX226" s="290"/>
      <c r="BY226" s="290"/>
      <c r="BZ226" s="290"/>
      <c r="CA226" s="290"/>
      <c r="CB226" s="290"/>
      <c r="CC226" s="290"/>
      <c r="CD226" s="290"/>
      <c r="CE226" s="290"/>
      <c r="CF226" s="290"/>
      <c r="CG226" s="290"/>
      <c r="CH226" s="290"/>
      <c r="CI226" s="290"/>
      <c r="CJ226" s="290"/>
      <c r="CK226" s="290"/>
      <c r="CL226" s="290"/>
      <c r="CM226" s="290"/>
      <c r="CN226" s="290"/>
      <c r="CO226" s="290"/>
      <c r="CP226" s="290"/>
      <c r="CQ226" s="290"/>
      <c r="CR226" s="290"/>
      <c r="CS226" s="290"/>
      <c r="CT226" s="290"/>
      <c r="CU226" s="290"/>
      <c r="CV226" s="290"/>
      <c r="CW226" s="290"/>
      <c r="CX226" s="290"/>
      <c r="CY226" s="290"/>
      <c r="CZ226" s="290"/>
      <c r="DA226" s="290"/>
      <c r="DB226" s="290"/>
      <c r="DC226" s="290"/>
      <c r="DD226" s="290"/>
      <c r="DE226" s="290"/>
      <c r="DF226" s="290"/>
      <c r="DG226" s="290"/>
      <c r="DH226" s="290"/>
      <c r="DI226" s="290"/>
      <c r="DJ226" s="290"/>
      <c r="DK226" s="290"/>
      <c r="DL226" s="290"/>
      <c r="DM226" s="290"/>
      <c r="DN226" s="290"/>
      <c r="DO226" s="290"/>
      <c r="DP226" s="290"/>
      <c r="DQ226" s="290"/>
      <c r="DR226" s="290"/>
      <c r="DS226" s="290"/>
      <c r="DT226" s="290"/>
      <c r="DU226" s="290"/>
      <c r="DV226" s="290"/>
      <c r="DW226" s="290"/>
      <c r="DX226" s="90"/>
      <c r="DY226" s="290"/>
      <c r="DZ226" s="290"/>
      <c r="EA226" s="290"/>
      <c r="EB226" s="290"/>
      <c r="EC226" s="290"/>
      <c r="ED226" s="90"/>
      <c r="EE226" s="290"/>
      <c r="EF226" s="290"/>
      <c r="EG226" s="290"/>
      <c r="EH226" s="290"/>
      <c r="EI226" s="290"/>
      <c r="EJ226" s="90"/>
      <c r="EK226" s="290"/>
      <c r="EL226" s="290"/>
      <c r="EM226" s="290"/>
      <c r="EN226" s="290"/>
      <c r="EO226" s="290"/>
      <c r="EP226" s="90"/>
      <c r="EQ226" s="290"/>
      <c r="ER226" s="290"/>
      <c r="ES226" s="290"/>
      <c r="ET226" s="290"/>
      <c r="EU226" s="290"/>
      <c r="EV226" s="90"/>
      <c r="EW226" s="90"/>
      <c r="EX226" s="90"/>
      <c r="EY226" s="90"/>
      <c r="EZ226" s="90"/>
      <c r="FA226" s="90"/>
      <c r="FB226" s="90"/>
    </row>
    <row r="227" spans="1:158" hidden="1">
      <c r="A227" s="192"/>
      <c r="B227" s="32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673"/>
      <c r="T227" s="113"/>
      <c r="U227" s="113"/>
      <c r="V227" s="113"/>
      <c r="W227" s="113"/>
      <c r="X227" s="673"/>
      <c r="Y227" s="673"/>
      <c r="Z227" s="113"/>
      <c r="AA227" s="113"/>
      <c r="AB227" s="113"/>
      <c r="AC227" s="113"/>
      <c r="AD227" s="113"/>
      <c r="AE227" s="673"/>
      <c r="AF227" s="113"/>
      <c r="AG227" s="113"/>
      <c r="AH227" s="113"/>
      <c r="AI227" s="113"/>
      <c r="AJ227" s="113"/>
      <c r="AK227" s="673"/>
      <c r="AL227" s="113"/>
      <c r="AM227" s="113"/>
      <c r="AN227" s="113"/>
      <c r="AO227" s="113"/>
      <c r="AP227" s="113"/>
      <c r="AQ227" s="673"/>
      <c r="AR227" s="113"/>
      <c r="AS227" s="113"/>
      <c r="AT227" s="113"/>
      <c r="AU227" s="113"/>
      <c r="AV227" s="113"/>
      <c r="AW227" s="673"/>
      <c r="AX227" s="113"/>
      <c r="AY227" s="113"/>
      <c r="AZ227" s="113"/>
      <c r="BA227" s="113"/>
      <c r="BB227" s="113"/>
      <c r="BC227" s="673"/>
      <c r="BD227" s="673"/>
      <c r="BE227" s="673"/>
      <c r="BF227" s="673"/>
      <c r="BG227" s="673"/>
      <c r="BH227" s="673"/>
      <c r="BI227" s="673"/>
      <c r="BJ227" s="673"/>
      <c r="BK227" s="673"/>
      <c r="BL227" s="673"/>
      <c r="BM227" s="673"/>
      <c r="BN227" s="673"/>
      <c r="BO227" s="673"/>
      <c r="BP227" s="673"/>
      <c r="BQ227" s="673"/>
      <c r="BR227" s="673"/>
      <c r="BS227" s="673"/>
      <c r="BT227" s="673"/>
      <c r="BU227" s="673"/>
      <c r="BV227" s="673"/>
      <c r="BW227" s="673"/>
      <c r="BX227" s="673"/>
      <c r="BY227" s="673"/>
      <c r="BZ227" s="673"/>
      <c r="CA227" s="673"/>
      <c r="CB227" s="673"/>
      <c r="CC227" s="673"/>
      <c r="CD227" s="673"/>
      <c r="CE227" s="673"/>
      <c r="CF227" s="673"/>
      <c r="CG227" s="673"/>
      <c r="CH227" s="673"/>
      <c r="CI227" s="673"/>
      <c r="CJ227" s="673"/>
      <c r="CK227" s="673"/>
      <c r="CL227" s="673"/>
      <c r="CM227" s="673"/>
      <c r="CN227" s="673"/>
      <c r="CO227" s="673"/>
      <c r="CP227" s="673"/>
      <c r="CQ227" s="673"/>
      <c r="CR227" s="673"/>
      <c r="CS227" s="673"/>
      <c r="CT227" s="673"/>
      <c r="CU227" s="673"/>
      <c r="CV227" s="673"/>
      <c r="CW227" s="673"/>
      <c r="CX227" s="673"/>
      <c r="CY227" s="673"/>
      <c r="CZ227" s="673"/>
      <c r="DA227" s="673"/>
      <c r="DB227" s="673"/>
      <c r="DC227" s="673"/>
      <c r="DD227" s="673"/>
      <c r="DE227" s="673"/>
      <c r="DF227" s="673"/>
      <c r="DG227" s="673"/>
      <c r="DH227" s="673"/>
      <c r="DI227" s="673"/>
      <c r="DJ227" s="673"/>
      <c r="DK227" s="673"/>
      <c r="DL227" s="673"/>
      <c r="DM227" s="673"/>
      <c r="DN227" s="673"/>
      <c r="DO227" s="673"/>
      <c r="DP227" s="673"/>
      <c r="DQ227" s="673"/>
      <c r="DR227" s="673"/>
      <c r="DS227" s="673"/>
      <c r="DT227" s="673"/>
      <c r="DU227" s="673"/>
      <c r="DV227" s="673"/>
      <c r="DW227" s="673"/>
      <c r="DX227" s="90"/>
      <c r="DY227" s="673"/>
      <c r="DZ227" s="673"/>
      <c r="EA227" s="673"/>
      <c r="EB227" s="673"/>
      <c r="EC227" s="673"/>
      <c r="ED227" s="90"/>
      <c r="EE227" s="673"/>
      <c r="EF227" s="673"/>
      <c r="EG227" s="673"/>
      <c r="EH227" s="673"/>
      <c r="EI227" s="673"/>
      <c r="EJ227" s="90"/>
      <c r="EK227" s="673"/>
      <c r="EL227" s="673"/>
      <c r="EM227" s="673"/>
      <c r="EN227" s="673"/>
      <c r="EO227" s="673"/>
      <c r="EP227" s="90"/>
      <c r="EQ227" s="673"/>
      <c r="ER227" s="673"/>
      <c r="ES227" s="673"/>
      <c r="ET227" s="673"/>
      <c r="EU227" s="673"/>
      <c r="EV227" s="90"/>
      <c r="EW227" s="90"/>
      <c r="EX227" s="90"/>
      <c r="EY227" s="90"/>
      <c r="EZ227" s="90"/>
      <c r="FA227" s="90"/>
      <c r="FB227" s="90"/>
    </row>
    <row r="228" spans="1:158" hidden="1" outlineLevel="1">
      <c r="A228" s="739" t="s">
        <v>2080</v>
      </c>
      <c r="B228" s="33"/>
      <c r="C228" s="52"/>
      <c r="D228" s="52"/>
      <c r="E228" s="52"/>
      <c r="F228" s="52"/>
      <c r="G228" s="64"/>
      <c r="H228" s="52"/>
      <c r="I228" s="52"/>
      <c r="J228" s="52"/>
      <c r="K228" s="114"/>
      <c r="L228" s="114"/>
      <c r="M228" s="114"/>
      <c r="N228" s="114"/>
      <c r="O228" s="114"/>
      <c r="P228" s="114"/>
      <c r="Q228" s="114"/>
      <c r="R228" s="114"/>
      <c r="S228" s="738">
        <f>S225*S201</f>
        <v>46.944800000000001</v>
      </c>
      <c r="T228" s="114"/>
      <c r="U228" s="114"/>
      <c r="V228" s="114"/>
      <c r="W228" s="114"/>
      <c r="X228" s="699"/>
      <c r="Y228" s="738">
        <f>Y225*Y201</f>
        <v>135.23840000000001</v>
      </c>
      <c r="Z228" s="114"/>
      <c r="AA228" s="114"/>
      <c r="AB228" s="114"/>
      <c r="AC228" s="114"/>
      <c r="AD228" s="114"/>
      <c r="AE228" s="738">
        <f>AE225*AE201</f>
        <v>77.962500000000006</v>
      </c>
      <c r="AF228" s="114"/>
      <c r="AG228" s="114"/>
      <c r="AH228" s="114"/>
      <c r="AI228" s="114"/>
      <c r="AJ228" s="114"/>
      <c r="AK228" s="738">
        <f>AK225*AK201</f>
        <v>77.905320000000003</v>
      </c>
      <c r="AL228" s="114"/>
      <c r="AM228" s="114"/>
      <c r="AN228" s="114"/>
      <c r="AO228" s="114"/>
      <c r="AP228" s="114"/>
      <c r="AQ228" s="738">
        <f>AQ225*AQ201</f>
        <v>59.51802</v>
      </c>
      <c r="AR228" s="114"/>
      <c r="AS228" s="114"/>
      <c r="AT228" s="114"/>
      <c r="AU228" s="114"/>
      <c r="AV228" s="114"/>
      <c r="AW228" s="738">
        <f>AW225*AW201</f>
        <v>52.132200000000005</v>
      </c>
      <c r="AX228" s="114"/>
      <c r="AY228" s="114"/>
      <c r="AZ228" s="114"/>
      <c r="BA228" s="114"/>
      <c r="BB228" s="114"/>
      <c r="BC228" s="738">
        <f>BC225*BC201</f>
        <v>90.954997031227364</v>
      </c>
      <c r="BD228" s="52"/>
      <c r="BE228" s="699"/>
      <c r="BF228" s="699"/>
      <c r="BG228" s="699"/>
      <c r="BH228" s="699"/>
      <c r="BI228" s="738">
        <f>BI225*BI201</f>
        <v>90.902673687721617</v>
      </c>
      <c r="BJ228" s="52"/>
      <c r="BK228" s="30"/>
      <c r="BL228" s="30"/>
      <c r="BM228" s="30"/>
      <c r="BN228" s="30"/>
      <c r="BO228" s="738">
        <f>BO225*BO201</f>
        <v>145.01472504709483</v>
      </c>
      <c r="BP228" s="52"/>
      <c r="BQ228" s="30"/>
      <c r="BR228" s="30"/>
      <c r="BS228" s="30"/>
      <c r="BT228" s="30"/>
      <c r="BU228" s="1446">
        <f>BU225*BU201</f>
        <v>0</v>
      </c>
      <c r="BV228" s="52"/>
      <c r="BW228" s="30"/>
      <c r="BX228" s="30"/>
      <c r="BY228" s="30"/>
      <c r="BZ228" s="30"/>
      <c r="CA228" s="738">
        <f>CA225*CA201</f>
        <v>221.49878804276639</v>
      </c>
      <c r="CB228" s="52"/>
      <c r="CC228" s="30"/>
      <c r="CD228" s="30"/>
      <c r="CE228" s="30"/>
      <c r="CF228" s="30"/>
      <c r="CG228" s="738">
        <f>CG225*CG201</f>
        <v>221.56256968065696</v>
      </c>
      <c r="CH228" s="52"/>
      <c r="CI228" s="30"/>
      <c r="CJ228" s="30"/>
      <c r="CK228" s="30"/>
      <c r="CL228" s="30"/>
      <c r="CM228" s="738">
        <f>CM225*CM201</f>
        <v>159.82211999541252</v>
      </c>
      <c r="CN228" s="52"/>
      <c r="CO228" s="30"/>
      <c r="CP228" s="30"/>
      <c r="CQ228" s="30"/>
      <c r="CR228" s="30"/>
      <c r="CS228" s="738">
        <f>CS225*CS201</f>
        <v>174.03132604846908</v>
      </c>
      <c r="CT228" s="52"/>
      <c r="CU228" s="30"/>
      <c r="CV228" s="30"/>
      <c r="CW228" s="30"/>
      <c r="CX228" s="30"/>
      <c r="CY228" s="738">
        <f>CY225*CY201</f>
        <v>192.34188599585087</v>
      </c>
      <c r="CZ228" s="52"/>
      <c r="DA228" s="30"/>
      <c r="DB228" s="30"/>
      <c r="DC228" s="30"/>
      <c r="DD228" s="30"/>
      <c r="DE228" s="738">
        <f>DE225*DE201</f>
        <v>212.5790064066004</v>
      </c>
      <c r="DF228" s="52"/>
      <c r="DG228" s="30"/>
      <c r="DH228" s="30"/>
      <c r="DI228" s="30"/>
      <c r="DJ228" s="30"/>
      <c r="DK228" s="738">
        <f>DK225*DK201</f>
        <v>234.94511322082613</v>
      </c>
      <c r="DL228" s="52"/>
      <c r="DM228" s="30"/>
      <c r="DN228" s="30"/>
      <c r="DO228" s="30"/>
      <c r="DP228" s="30"/>
      <c r="DQ228" s="738">
        <f>DQ225*DQ201</f>
        <v>259.66446067784761</v>
      </c>
      <c r="DR228" s="52"/>
      <c r="DS228" s="30"/>
      <c r="DT228" s="30"/>
      <c r="DU228" s="30"/>
      <c r="DV228" s="30"/>
      <c r="DW228" s="738">
        <f>DW225*DW201</f>
        <v>286.9847994865064</v>
      </c>
      <c r="DX228" s="52"/>
      <c r="DY228" s="30"/>
      <c r="DZ228" s="30"/>
      <c r="EA228" s="30"/>
      <c r="EB228" s="30"/>
      <c r="EC228" s="738">
        <f>EC225*EC201</f>
        <v>317.17933464061298</v>
      </c>
      <c r="ED228" s="52"/>
      <c r="EE228" s="30"/>
      <c r="EF228" s="30"/>
      <c r="EG228" s="30"/>
      <c r="EH228" s="30"/>
      <c r="EI228" s="738">
        <f>EI225*EI201</f>
        <v>350.550960465336</v>
      </c>
      <c r="EJ228" s="52"/>
      <c r="EK228" s="30"/>
      <c r="EL228" s="30"/>
      <c r="EM228" s="30"/>
      <c r="EN228" s="30"/>
      <c r="EO228" s="738">
        <f>EO225*EO201</f>
        <v>387.43371088737274</v>
      </c>
      <c r="EP228" s="52"/>
      <c r="EQ228" s="30"/>
      <c r="ER228" s="30"/>
      <c r="ES228" s="30"/>
      <c r="ET228" s="30"/>
      <c r="EU228" s="738">
        <f>EU225*EU201</f>
        <v>428.19688996424651</v>
      </c>
      <c r="EV228" s="52"/>
      <c r="EW228" s="52"/>
      <c r="EX228" s="52"/>
      <c r="EY228" s="52"/>
      <c r="EZ228" s="52"/>
      <c r="FA228" s="52"/>
      <c r="FB228" s="52"/>
    </row>
    <row r="229" spans="1:158" hidden="1" outlineLevel="1">
      <c r="A229" s="192"/>
      <c r="B229" s="32"/>
      <c r="C229" s="90"/>
      <c r="D229" s="90"/>
      <c r="E229" s="90"/>
      <c r="F229" s="90"/>
      <c r="G229" s="61"/>
      <c r="H229" s="90"/>
      <c r="I229" s="90"/>
      <c r="J229" s="90"/>
      <c r="K229" s="113"/>
      <c r="L229" s="113"/>
      <c r="M229" s="113"/>
      <c r="N229" s="113"/>
      <c r="O229" s="113"/>
      <c r="P229" s="113"/>
      <c r="Q229" s="113"/>
      <c r="R229" s="113"/>
      <c r="S229" s="674"/>
      <c r="T229" s="113"/>
      <c r="U229" s="113"/>
      <c r="V229" s="113"/>
      <c r="W229" s="113"/>
      <c r="X229" s="291"/>
      <c r="Y229" s="674">
        <f>Y225*Y202</f>
        <v>69.653199999999998</v>
      </c>
      <c r="Z229" s="113"/>
      <c r="AA229" s="113"/>
      <c r="AB229" s="113"/>
      <c r="AC229" s="113"/>
      <c r="AD229" s="113"/>
      <c r="AE229" s="674"/>
      <c r="AF229" s="113"/>
      <c r="AG229" s="113"/>
      <c r="AH229" s="113"/>
      <c r="AI229" s="113"/>
      <c r="AJ229" s="113"/>
      <c r="AK229" s="674"/>
      <c r="AL229" s="113"/>
      <c r="AM229" s="113"/>
      <c r="AN229" s="113"/>
      <c r="AO229" s="113"/>
      <c r="AP229" s="113"/>
      <c r="AQ229" s="674"/>
      <c r="AR229" s="113"/>
      <c r="AS229" s="113"/>
      <c r="AT229" s="113"/>
      <c r="AU229" s="113"/>
      <c r="AV229" s="113"/>
      <c r="AW229" s="674"/>
      <c r="AX229" s="113"/>
      <c r="AY229" s="113"/>
      <c r="AZ229" s="113"/>
      <c r="BA229" s="113"/>
      <c r="BB229" s="113"/>
      <c r="BC229" s="674"/>
      <c r="BD229" s="90"/>
      <c r="BE229" s="291"/>
      <c r="BF229" s="291"/>
      <c r="BG229" s="291"/>
      <c r="BH229" s="291"/>
      <c r="BI229" s="291"/>
      <c r="BJ229" s="90"/>
      <c r="BK229" s="26"/>
      <c r="BL229" s="26"/>
      <c r="BM229" s="26"/>
      <c r="BN229" s="26"/>
      <c r="BO229" s="140"/>
      <c r="BP229" s="90"/>
      <c r="BQ229" s="26"/>
      <c r="BR229" s="26"/>
      <c r="BS229" s="26"/>
      <c r="BT229" s="26"/>
      <c r="BU229" s="140"/>
      <c r="BV229" s="90"/>
      <c r="BW229" s="26"/>
      <c r="BX229" s="26"/>
      <c r="BY229" s="26"/>
      <c r="BZ229" s="26"/>
      <c r="CA229" s="140"/>
      <c r="CB229" s="90"/>
      <c r="CC229" s="26"/>
      <c r="CD229" s="26"/>
      <c r="CE229" s="26"/>
      <c r="CF229" s="26"/>
      <c r="CG229" s="140"/>
      <c r="CH229" s="90"/>
      <c r="CI229" s="26"/>
      <c r="CJ229" s="26"/>
      <c r="CK229" s="26"/>
      <c r="CL229" s="26"/>
      <c r="CM229" s="140"/>
      <c r="CN229" s="90"/>
      <c r="CO229" s="26"/>
      <c r="CP229" s="26"/>
      <c r="CQ229" s="26"/>
      <c r="CR229" s="26"/>
      <c r="CS229" s="140"/>
      <c r="CT229" s="90"/>
      <c r="CU229" s="26"/>
      <c r="CV229" s="26"/>
      <c r="CW229" s="26"/>
      <c r="CX229" s="26"/>
      <c r="CY229" s="140"/>
      <c r="CZ229" s="90"/>
      <c r="DA229" s="26"/>
      <c r="DB229" s="26"/>
      <c r="DC229" s="26"/>
      <c r="DD229" s="26"/>
      <c r="DE229" s="140"/>
      <c r="DF229" s="90"/>
      <c r="DG229" s="26"/>
      <c r="DH229" s="26"/>
      <c r="DI229" s="26"/>
      <c r="DJ229" s="26"/>
      <c r="DK229" s="140"/>
      <c r="DL229" s="90"/>
      <c r="DM229" s="26"/>
      <c r="DN229" s="26"/>
      <c r="DO229" s="26"/>
      <c r="DP229" s="26"/>
      <c r="DQ229" s="140"/>
      <c r="DR229" s="90"/>
      <c r="DS229" s="26"/>
      <c r="DT229" s="26"/>
      <c r="DU229" s="26"/>
      <c r="DV229" s="26"/>
      <c r="DW229" s="140"/>
      <c r="DX229" s="90"/>
      <c r="DY229" s="26"/>
      <c r="DZ229" s="26"/>
      <c r="EA229" s="26"/>
      <c r="EB229" s="26"/>
      <c r="EC229" s="140"/>
      <c r="ED229" s="90"/>
      <c r="EE229" s="26"/>
      <c r="EF229" s="26"/>
      <c r="EG229" s="26"/>
      <c r="EH229" s="26"/>
      <c r="EI229" s="140"/>
      <c r="EJ229" s="90"/>
      <c r="EK229" s="26"/>
      <c r="EL229" s="26"/>
      <c r="EM229" s="26"/>
      <c r="EN229" s="26"/>
      <c r="EO229" s="140"/>
      <c r="EP229" s="90"/>
      <c r="EQ229" s="26"/>
      <c r="ER229" s="26"/>
      <c r="ES229" s="26"/>
      <c r="ET229" s="26"/>
      <c r="EU229" s="140"/>
      <c r="EV229" s="90"/>
      <c r="EW229" s="90"/>
      <c r="EX229" s="90"/>
      <c r="EY229" s="90"/>
      <c r="EZ229" s="90"/>
      <c r="FA229" s="90"/>
      <c r="FB229" s="90"/>
    </row>
    <row r="230" spans="1:158" hidden="1" outlineLevel="1">
      <c r="A230" s="737" t="s">
        <v>4755</v>
      </c>
      <c r="B230" s="114"/>
      <c r="C230" s="114"/>
      <c r="D230" s="114"/>
      <c r="E230" s="114"/>
      <c r="F230" s="114"/>
      <c r="G230" s="117"/>
      <c r="H230" s="114"/>
      <c r="I230" s="114"/>
      <c r="J230" s="114"/>
      <c r="K230" s="114"/>
      <c r="L230" s="114"/>
      <c r="M230" s="114"/>
      <c r="N230" s="114"/>
      <c r="O230" s="114"/>
      <c r="P230" s="114"/>
      <c r="Q230" s="114"/>
      <c r="R230" s="114"/>
      <c r="S230" s="738"/>
      <c r="T230" s="114"/>
      <c r="U230" s="114"/>
      <c r="V230" s="114"/>
      <c r="W230" s="114"/>
      <c r="X230" s="699"/>
      <c r="Y230" s="738"/>
      <c r="Z230" s="114"/>
      <c r="AA230" s="114"/>
      <c r="AB230" s="114"/>
      <c r="AC230" s="114"/>
      <c r="AD230" s="114"/>
      <c r="AE230" s="738"/>
      <c r="AF230" s="114"/>
      <c r="AG230" s="114"/>
      <c r="AH230" s="114"/>
      <c r="AI230" s="114"/>
      <c r="AJ230" s="114"/>
      <c r="AK230" s="738"/>
      <c r="AL230" s="114"/>
      <c r="AM230" s="114"/>
      <c r="AN230" s="114"/>
      <c r="AO230" s="114"/>
      <c r="AP230" s="114"/>
      <c r="AQ230" s="738"/>
      <c r="AR230" s="114"/>
      <c r="AS230" s="114"/>
      <c r="AT230" s="114"/>
      <c r="AU230" s="114"/>
      <c r="AV230" s="114"/>
      <c r="AW230" s="738"/>
      <c r="AX230" s="114"/>
      <c r="AY230" s="114"/>
      <c r="AZ230" s="114"/>
      <c r="BA230" s="114"/>
      <c r="BB230" s="114"/>
      <c r="BC230" s="738"/>
      <c r="BD230" s="114"/>
      <c r="BE230" s="699"/>
      <c r="BF230" s="699"/>
      <c r="BG230" s="699"/>
      <c r="BH230" s="699"/>
      <c r="BI230" s="699"/>
      <c r="BJ230" s="114"/>
      <c r="BK230" s="114"/>
      <c r="BL230" s="114"/>
      <c r="BM230" s="114"/>
      <c r="BN230" s="114"/>
      <c r="BO230" s="699"/>
      <c r="BP230" s="114"/>
      <c r="BQ230" s="114"/>
      <c r="BR230" s="114"/>
      <c r="BS230" s="114"/>
      <c r="BT230" s="114"/>
      <c r="BU230" s="699"/>
      <c r="BV230" s="114"/>
      <c r="BW230" s="114"/>
      <c r="BX230" s="114"/>
      <c r="BY230" s="114"/>
      <c r="BZ230" s="114"/>
      <c r="CA230" s="699"/>
      <c r="CB230" s="114"/>
      <c r="CC230" s="114"/>
      <c r="CD230" s="114"/>
      <c r="CE230" s="114"/>
      <c r="CF230" s="114"/>
      <c r="CG230" s="699"/>
      <c r="CH230" s="114"/>
      <c r="CI230" s="114"/>
      <c r="CJ230" s="114"/>
      <c r="CK230" s="114"/>
      <c r="CL230" s="114"/>
      <c r="CM230" s="699"/>
      <c r="CN230" s="114"/>
      <c r="CO230" s="114"/>
      <c r="CP230" s="114"/>
      <c r="CQ230" s="114"/>
      <c r="CR230" s="114"/>
      <c r="CS230" s="699"/>
      <c r="CT230" s="114"/>
      <c r="CU230" s="114"/>
      <c r="CV230" s="114"/>
      <c r="CW230" s="114"/>
      <c r="CX230" s="114"/>
      <c r="CY230" s="699"/>
      <c r="CZ230" s="114"/>
      <c r="DA230" s="114"/>
      <c r="DB230" s="114"/>
      <c r="DC230" s="114"/>
      <c r="DD230" s="114"/>
      <c r="DE230" s="699"/>
      <c r="DF230" s="114"/>
      <c r="DG230" s="114"/>
      <c r="DH230" s="114"/>
      <c r="DI230" s="114"/>
      <c r="DJ230" s="114"/>
      <c r="DK230" s="699"/>
      <c r="DL230" s="114"/>
      <c r="DM230" s="114"/>
      <c r="DN230" s="114"/>
      <c r="DO230" s="114"/>
      <c r="DP230" s="114"/>
      <c r="DQ230" s="699"/>
      <c r="DR230" s="114"/>
      <c r="DS230" s="114"/>
      <c r="DT230" s="114"/>
      <c r="DU230" s="114"/>
      <c r="DV230" s="114"/>
      <c r="DW230" s="699"/>
      <c r="DX230" s="114"/>
      <c r="DY230" s="114"/>
      <c r="DZ230" s="114"/>
      <c r="EA230" s="114"/>
      <c r="EB230" s="114"/>
      <c r="EC230" s="699"/>
      <c r="ED230" s="114"/>
      <c r="EE230" s="114"/>
      <c r="EF230" s="114"/>
      <c r="EG230" s="114"/>
      <c r="EH230" s="114"/>
      <c r="EI230" s="699"/>
      <c r="EJ230" s="114"/>
      <c r="EK230" s="114"/>
      <c r="EL230" s="114"/>
      <c r="EM230" s="114"/>
      <c r="EN230" s="114"/>
      <c r="EO230" s="699"/>
      <c r="EP230" s="114"/>
      <c r="EQ230" s="114"/>
      <c r="ER230" s="114"/>
      <c r="ES230" s="114"/>
      <c r="ET230" s="114"/>
      <c r="EU230" s="699"/>
      <c r="EV230" s="114"/>
      <c r="EW230" s="114"/>
      <c r="EX230" s="114"/>
      <c r="EY230" s="114"/>
      <c r="EZ230" s="114"/>
      <c r="FA230" s="114"/>
      <c r="FB230" s="114"/>
    </row>
    <row r="231" spans="1:158" hidden="1" outlineLevel="1">
      <c r="A231" s="185" t="s">
        <v>2093</v>
      </c>
      <c r="B231" s="32"/>
      <c r="C231" s="90"/>
      <c r="D231" s="90"/>
      <c r="E231" s="90"/>
      <c r="F231" s="90"/>
      <c r="G231" s="61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675">
        <f>$S228/($S221*4)</f>
        <v>2.3472400000000002</v>
      </c>
      <c r="V231" s="675">
        <f>$S228/($S221*4)</f>
        <v>2.3472400000000002</v>
      </c>
      <c r="W231" s="675">
        <f>$S228/($S221*4)</f>
        <v>2.3472400000000002</v>
      </c>
      <c r="X231" s="675">
        <f>$S228/($S221*4)</f>
        <v>2.3472400000000002</v>
      </c>
      <c r="Y231" s="675">
        <f>SUM(U231:X231)</f>
        <v>9.3889600000000009</v>
      </c>
      <c r="Z231" s="90"/>
      <c r="AA231" s="675">
        <f>$S228/($S221*4)</f>
        <v>2.3472400000000002</v>
      </c>
      <c r="AB231" s="675">
        <f>$S228/($S221*4)</f>
        <v>2.3472400000000002</v>
      </c>
      <c r="AC231" s="675">
        <f>$S228/($S221*4)</f>
        <v>2.3472400000000002</v>
      </c>
      <c r="AD231" s="675">
        <f>$S228/($S221*4)</f>
        <v>2.3472400000000002</v>
      </c>
      <c r="AE231" s="675">
        <f>SUM(AA231:AD231)</f>
        <v>9.3889600000000009</v>
      </c>
      <c r="AF231" s="90"/>
      <c r="AG231" s="675">
        <f>$S228/($S221*4)</f>
        <v>2.3472400000000002</v>
      </c>
      <c r="AH231" s="675">
        <f>$S228/($S221*4)</f>
        <v>2.3472400000000002</v>
      </c>
      <c r="AI231" s="675">
        <f>$S228/($S221*4)</f>
        <v>2.3472400000000002</v>
      </c>
      <c r="AJ231" s="675">
        <f>$S228/($S221*4)</f>
        <v>2.3472400000000002</v>
      </c>
      <c r="AK231" s="675">
        <f>SUM(AG231:AJ231)</f>
        <v>9.3889600000000009</v>
      </c>
      <c r="AL231" s="90"/>
      <c r="AM231" s="675">
        <f>$S228/($S221*4)</f>
        <v>2.3472400000000002</v>
      </c>
      <c r="AN231" s="675">
        <f>$S228/($S221*4)</f>
        <v>2.3472400000000002</v>
      </c>
      <c r="AO231" s="724">
        <v>0</v>
      </c>
      <c r="AP231" s="90"/>
      <c r="AQ231" s="104"/>
      <c r="AR231" s="90"/>
      <c r="AS231" s="90"/>
      <c r="AT231" s="90"/>
      <c r="AU231" s="90"/>
      <c r="AV231" s="90"/>
      <c r="AW231" s="104"/>
      <c r="AX231" s="90"/>
      <c r="AY231" s="90"/>
      <c r="AZ231" s="90"/>
      <c r="BA231" s="90"/>
      <c r="BB231" s="90"/>
      <c r="BC231" s="104"/>
      <c r="BD231" s="90"/>
      <c r="BE231" s="104"/>
      <c r="BF231" s="104"/>
      <c r="BG231" s="104"/>
      <c r="BH231" s="104"/>
      <c r="BI231" s="104"/>
      <c r="BJ231" s="90"/>
      <c r="BK231" s="26"/>
      <c r="BL231" s="26"/>
      <c r="BM231" s="26"/>
      <c r="BN231" s="26"/>
      <c r="BO231" s="26"/>
      <c r="BP231" s="90"/>
      <c r="BQ231" s="26"/>
      <c r="BR231" s="26"/>
      <c r="BS231" s="26"/>
      <c r="BT231" s="26"/>
      <c r="BU231" s="26"/>
      <c r="BV231" s="90"/>
      <c r="BW231" s="26"/>
      <c r="BX231" s="26"/>
      <c r="BY231" s="26"/>
      <c r="BZ231" s="26"/>
      <c r="CA231" s="26"/>
      <c r="CB231" s="90"/>
      <c r="CC231" s="26"/>
      <c r="CD231" s="26"/>
      <c r="CE231" s="26"/>
      <c r="CF231" s="26"/>
      <c r="CG231" s="26"/>
      <c r="CH231" s="90"/>
      <c r="CI231" s="26"/>
      <c r="CJ231" s="26"/>
      <c r="CK231" s="26"/>
      <c r="CL231" s="26"/>
      <c r="CM231" s="26"/>
      <c r="CN231" s="90"/>
      <c r="CO231" s="26"/>
      <c r="CP231" s="26"/>
      <c r="CQ231" s="26"/>
      <c r="CR231" s="26"/>
      <c r="CS231" s="26"/>
      <c r="CT231" s="90"/>
      <c r="CU231" s="26"/>
      <c r="CV231" s="26"/>
      <c r="CW231" s="26"/>
      <c r="CX231" s="26"/>
      <c r="CY231" s="26"/>
      <c r="CZ231" s="90"/>
      <c r="DA231" s="26"/>
      <c r="DB231" s="26"/>
      <c r="DC231" s="26"/>
      <c r="DD231" s="26"/>
      <c r="DE231" s="26"/>
      <c r="DF231" s="90"/>
      <c r="DG231" s="26"/>
      <c r="DH231" s="26"/>
      <c r="DI231" s="26"/>
      <c r="DJ231" s="26"/>
      <c r="DK231" s="26"/>
      <c r="DL231" s="90"/>
      <c r="DM231" s="26"/>
      <c r="DN231" s="26"/>
      <c r="DO231" s="26"/>
      <c r="DP231" s="26"/>
      <c r="DQ231" s="26"/>
      <c r="DR231" s="90"/>
      <c r="DS231" s="26"/>
      <c r="DT231" s="26"/>
      <c r="DU231" s="26"/>
      <c r="DV231" s="26"/>
      <c r="DW231" s="26"/>
      <c r="DX231" s="90"/>
      <c r="DY231" s="26"/>
      <c r="DZ231" s="26"/>
      <c r="EA231" s="26"/>
      <c r="EB231" s="26"/>
      <c r="EC231" s="26"/>
      <c r="ED231" s="90"/>
      <c r="EE231" s="26"/>
      <c r="EF231" s="26"/>
      <c r="EG231" s="26"/>
      <c r="EH231" s="26"/>
      <c r="EI231" s="26"/>
      <c r="EJ231" s="90"/>
      <c r="EK231" s="26"/>
      <c r="EL231" s="26"/>
      <c r="EM231" s="26"/>
      <c r="EN231" s="26"/>
      <c r="EO231" s="26"/>
      <c r="EP231" s="90"/>
      <c r="EQ231" s="26"/>
      <c r="ER231" s="26"/>
      <c r="ES231" s="26"/>
      <c r="ET231" s="26"/>
      <c r="EU231" s="26"/>
      <c r="EV231" s="90"/>
      <c r="EW231" s="90"/>
      <c r="EX231" s="90"/>
      <c r="EY231" s="90"/>
      <c r="EZ231" s="90"/>
      <c r="FA231" s="90"/>
      <c r="FB231" s="90"/>
    </row>
    <row r="232" spans="1:158" hidden="1" outlineLevel="1">
      <c r="A232" s="185" t="s">
        <v>2094</v>
      </c>
      <c r="B232" s="32"/>
      <c r="C232" s="90"/>
      <c r="D232" s="90"/>
      <c r="E232" s="90"/>
      <c r="F232" s="90"/>
      <c r="G232" s="61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675">
        <f>$S$228*$Y$216/4</f>
        <v>2.4406788061198896</v>
      </c>
      <c r="V232" s="675">
        <f>U233*$Y$216/4</f>
        <v>2.1917530048486169</v>
      </c>
      <c r="W232" s="675">
        <f>V233*$Y$216/4</f>
        <v>1.9557689548993051</v>
      </c>
      <c r="X232" s="675">
        <f>W233*$Y$216/4</f>
        <v>1.7320538094781546</v>
      </c>
      <c r="Y232" s="675">
        <f>SUM(U232:X232)</f>
        <v>8.3202545753459667</v>
      </c>
      <c r="Z232" s="90"/>
      <c r="AA232" s="675">
        <f>Y233*$AE$216/4</f>
        <v>1.455867815513431</v>
      </c>
      <c r="AB232" s="675">
        <f>AA233*$AE$216/4</f>
        <v>1.2664814157848161</v>
      </c>
      <c r="AC232" s="675">
        <f>AB233*$AE$216/4</f>
        <v>1.086526041980804</v>
      </c>
      <c r="AD232" s="675">
        <f>AC233*$AE$216/4</f>
        <v>0.91553204976517022</v>
      </c>
      <c r="AE232" s="675">
        <f>SUM(AA232:AD232)</f>
        <v>4.7244073230442218</v>
      </c>
      <c r="AF232" s="90"/>
      <c r="AG232" s="675">
        <f>AD233*$AK$216/4</f>
        <v>0.21526935386487764</v>
      </c>
      <c r="AH232" s="675">
        <f>AG233*$AK$216/4</f>
        <v>0.17879125725413805</v>
      </c>
      <c r="AI232" s="675">
        <f>AH233*$AK$216/4</f>
        <v>0.1428324373946562</v>
      </c>
      <c r="AJ232" s="675">
        <f>AI233*$AK$216/4</f>
        <v>0.10738550222463472</v>
      </c>
      <c r="AK232" s="675">
        <v>0</v>
      </c>
      <c r="AL232" s="90"/>
      <c r="AM232" s="675">
        <f>AJ233*$AQ$216/4</f>
        <v>0.16984158034401298</v>
      </c>
      <c r="AN232" s="675">
        <f>AM233*$AQ$216/4</f>
        <v>8.5835521921706862E-2</v>
      </c>
      <c r="AO232" s="725">
        <f>AN233</f>
        <v>0.13882244860578585</v>
      </c>
      <c r="AP232" s="90"/>
      <c r="AQ232" s="104"/>
      <c r="AR232" s="90"/>
      <c r="AS232" s="90"/>
      <c r="AT232" s="90"/>
      <c r="AU232" s="90"/>
      <c r="AV232" s="90"/>
      <c r="AW232" s="104"/>
      <c r="AX232" s="90"/>
      <c r="AY232" s="90"/>
      <c r="AZ232" s="90"/>
      <c r="BA232" s="90"/>
      <c r="BB232" s="90"/>
      <c r="BC232" s="104"/>
      <c r="BD232" s="90"/>
      <c r="BE232" s="104"/>
      <c r="BF232" s="104"/>
      <c r="BG232" s="104"/>
      <c r="BH232" s="104"/>
      <c r="BI232" s="104"/>
      <c r="BJ232" s="90"/>
      <c r="BK232" s="26"/>
      <c r="BL232" s="26"/>
      <c r="BM232" s="26"/>
      <c r="BN232" s="26"/>
      <c r="BO232" s="26"/>
      <c r="BP232" s="90"/>
      <c r="BQ232" s="26"/>
      <c r="BR232" s="26"/>
      <c r="BS232" s="26"/>
      <c r="BT232" s="26"/>
      <c r="BU232" s="26"/>
      <c r="BV232" s="90"/>
      <c r="BW232" s="26"/>
      <c r="BX232" s="26"/>
      <c r="BY232" s="26"/>
      <c r="BZ232" s="26"/>
      <c r="CA232" s="26"/>
      <c r="CB232" s="90"/>
      <c r="CC232" s="26"/>
      <c r="CD232" s="26"/>
      <c r="CE232" s="26"/>
      <c r="CF232" s="26"/>
      <c r="CG232" s="26"/>
      <c r="CH232" s="90"/>
      <c r="CI232" s="26"/>
      <c r="CJ232" s="26"/>
      <c r="CK232" s="26"/>
      <c r="CL232" s="26"/>
      <c r="CM232" s="26"/>
      <c r="CN232" s="90"/>
      <c r="CO232" s="26"/>
      <c r="CP232" s="26"/>
      <c r="CQ232" s="26"/>
      <c r="CR232" s="26"/>
      <c r="CS232" s="26"/>
      <c r="CT232" s="90"/>
      <c r="CU232" s="26"/>
      <c r="CV232" s="26"/>
      <c r="CW232" s="26"/>
      <c r="CX232" s="26"/>
      <c r="CY232" s="26"/>
      <c r="CZ232" s="90"/>
      <c r="DA232" s="26"/>
      <c r="DB232" s="26"/>
      <c r="DC232" s="26"/>
      <c r="DD232" s="26"/>
      <c r="DE232" s="26"/>
      <c r="DF232" s="90"/>
      <c r="DG232" s="26"/>
      <c r="DH232" s="26"/>
      <c r="DI232" s="26"/>
      <c r="DJ232" s="26"/>
      <c r="DK232" s="26"/>
      <c r="DL232" s="90"/>
      <c r="DM232" s="26"/>
      <c r="DN232" s="26"/>
      <c r="DO232" s="26"/>
      <c r="DP232" s="26"/>
      <c r="DQ232" s="26"/>
      <c r="DR232" s="90"/>
      <c r="DS232" s="26"/>
      <c r="DT232" s="26"/>
      <c r="DU232" s="26"/>
      <c r="DV232" s="26"/>
      <c r="DW232" s="26"/>
      <c r="DX232" s="90"/>
      <c r="DY232" s="26"/>
      <c r="DZ232" s="26"/>
      <c r="EA232" s="26"/>
      <c r="EB232" s="26"/>
      <c r="EC232" s="26"/>
      <c r="ED232" s="90"/>
      <c r="EE232" s="26"/>
      <c r="EF232" s="26"/>
      <c r="EG232" s="26"/>
      <c r="EH232" s="26"/>
      <c r="EI232" s="26"/>
      <c r="EJ232" s="90"/>
      <c r="EK232" s="26"/>
      <c r="EL232" s="26"/>
      <c r="EM232" s="26"/>
      <c r="EN232" s="26"/>
      <c r="EO232" s="26"/>
      <c r="EP232" s="90"/>
      <c r="EQ232" s="26"/>
      <c r="ER232" s="26"/>
      <c r="ES232" s="26"/>
      <c r="ET232" s="26"/>
      <c r="EU232" s="26"/>
      <c r="EV232" s="90"/>
      <c r="EW232" s="90"/>
      <c r="EX232" s="90"/>
      <c r="EY232" s="90"/>
      <c r="EZ232" s="90"/>
      <c r="FA232" s="90"/>
      <c r="FB232" s="90"/>
    </row>
    <row r="233" spans="1:158" hidden="1" outlineLevel="1">
      <c r="A233" s="185" t="s">
        <v>2095</v>
      </c>
      <c r="B233" s="32"/>
      <c r="C233" s="90"/>
      <c r="D233" s="90"/>
      <c r="E233" s="90"/>
      <c r="F233" s="90"/>
      <c r="G233" s="61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676">
        <f>$S228-U231-U232</f>
        <v>42.15688119388011</v>
      </c>
      <c r="V233" s="676">
        <f>U233-V231-V232</f>
        <v>37.617888189031497</v>
      </c>
      <c r="W233" s="676">
        <f>V233-W231-W232</f>
        <v>33.314879234132192</v>
      </c>
      <c r="X233" s="676">
        <f>W233-X231-X232</f>
        <v>29.235585424654037</v>
      </c>
      <c r="Y233" s="675">
        <f>S228-Y231-Y232</f>
        <v>29.235585424654037</v>
      </c>
      <c r="Z233" s="90"/>
      <c r="AA233" s="676">
        <f>Y233-AA231-AA232</f>
        <v>25.432477609140605</v>
      </c>
      <c r="AB233" s="676">
        <f>AA233-AB231-AB232</f>
        <v>21.818756193355789</v>
      </c>
      <c r="AC233" s="676">
        <f>AB233-AC231-AC232</f>
        <v>18.384990151374986</v>
      </c>
      <c r="AD233" s="676">
        <f>AC233-AD231-AD232</f>
        <v>15.122218101609816</v>
      </c>
      <c r="AE233" s="675">
        <f>AD233</f>
        <v>15.122218101609816</v>
      </c>
      <c r="AF233" s="90"/>
      <c r="AG233" s="676">
        <f>AE233-AG231-AG232</f>
        <v>12.559708747744937</v>
      </c>
      <c r="AH233" s="676">
        <f>AG233-AH231-AH232</f>
        <v>10.033677490490797</v>
      </c>
      <c r="AI233" s="676">
        <f>AH233-AI231-AI232</f>
        <v>7.5436050530961412</v>
      </c>
      <c r="AJ233" s="676">
        <f>AI233-AJ231-AJ232</f>
        <v>5.0889795508715059</v>
      </c>
      <c r="AK233" s="675">
        <f>AJ233</f>
        <v>5.0889795508715059</v>
      </c>
      <c r="AL233" s="90"/>
      <c r="AM233" s="676">
        <f>AK233-AM231-AM232</f>
        <v>2.5718979705274929</v>
      </c>
      <c r="AN233" s="676">
        <f>AM233-AN231-AN232</f>
        <v>0.13882244860578585</v>
      </c>
      <c r="AO233" s="724">
        <v>0</v>
      </c>
      <c r="AP233" s="90"/>
      <c r="AQ233" s="104"/>
      <c r="AR233" s="90"/>
      <c r="AS233" s="90"/>
      <c r="AT233" s="90"/>
      <c r="AU233" s="90"/>
      <c r="AV233" s="90"/>
      <c r="AW233" s="104"/>
      <c r="AX233" s="90"/>
      <c r="AY233" s="90"/>
      <c r="AZ233" s="90"/>
      <c r="BA233" s="90"/>
      <c r="BB233" s="90"/>
      <c r="BC233" s="104"/>
      <c r="BD233" s="90"/>
      <c r="BE233" s="104"/>
      <c r="BF233" s="104"/>
      <c r="BG233" s="104"/>
      <c r="BH233" s="104"/>
      <c r="BI233" s="104"/>
      <c r="BJ233" s="90"/>
      <c r="BK233" s="26"/>
      <c r="BL233" s="26"/>
      <c r="BM233" s="26"/>
      <c r="BN233" s="26"/>
      <c r="BO233" s="26"/>
      <c r="BP233" s="90"/>
      <c r="BQ233" s="26"/>
      <c r="BR233" s="26"/>
      <c r="BS233" s="26"/>
      <c r="BT233" s="26"/>
      <c r="BU233" s="26"/>
      <c r="BV233" s="90"/>
      <c r="BW233" s="26"/>
      <c r="BX233" s="26"/>
      <c r="BY233" s="26"/>
      <c r="BZ233" s="26"/>
      <c r="CA233" s="26"/>
      <c r="CB233" s="90"/>
      <c r="CC233" s="26"/>
      <c r="CD233" s="26"/>
      <c r="CE233" s="26"/>
      <c r="CF233" s="26"/>
      <c r="CG233" s="26"/>
      <c r="CH233" s="90"/>
      <c r="CI233" s="26"/>
      <c r="CJ233" s="26"/>
      <c r="CK233" s="26"/>
      <c r="CL233" s="26"/>
      <c r="CM233" s="26"/>
      <c r="CN233" s="90"/>
      <c r="CO233" s="26"/>
      <c r="CP233" s="26"/>
      <c r="CQ233" s="26"/>
      <c r="CR233" s="26"/>
      <c r="CS233" s="26"/>
      <c r="CT233" s="90"/>
      <c r="CU233" s="26"/>
      <c r="CV233" s="26"/>
      <c r="CW233" s="26"/>
      <c r="CX233" s="26"/>
      <c r="CY233" s="26"/>
      <c r="CZ233" s="90"/>
      <c r="DA233" s="26"/>
      <c r="DB233" s="26"/>
      <c r="DC233" s="26"/>
      <c r="DD233" s="26"/>
      <c r="DE233" s="26"/>
      <c r="DF233" s="90"/>
      <c r="DG233" s="26"/>
      <c r="DH233" s="26"/>
      <c r="DI233" s="26"/>
      <c r="DJ233" s="26"/>
      <c r="DK233" s="26"/>
      <c r="DL233" s="90"/>
      <c r="DM233" s="26"/>
      <c r="DN233" s="26"/>
      <c r="DO233" s="26"/>
      <c r="DP233" s="26"/>
      <c r="DQ233" s="26"/>
      <c r="DR233" s="90"/>
      <c r="DS233" s="26"/>
      <c r="DT233" s="26"/>
      <c r="DU233" s="26"/>
      <c r="DV233" s="26"/>
      <c r="DW233" s="26"/>
      <c r="DX233" s="90"/>
      <c r="DY233" s="26"/>
      <c r="DZ233" s="26"/>
      <c r="EA233" s="26"/>
      <c r="EB233" s="26"/>
      <c r="EC233" s="26"/>
      <c r="ED233" s="90"/>
      <c r="EE233" s="26"/>
      <c r="EF233" s="26"/>
      <c r="EG233" s="26"/>
      <c r="EH233" s="26"/>
      <c r="EI233" s="26"/>
      <c r="EJ233" s="90"/>
      <c r="EK233" s="26"/>
      <c r="EL233" s="26"/>
      <c r="EM233" s="26"/>
      <c r="EN233" s="26"/>
      <c r="EO233" s="26"/>
      <c r="EP233" s="90"/>
      <c r="EQ233" s="26"/>
      <c r="ER233" s="26"/>
      <c r="ES233" s="26"/>
      <c r="ET233" s="26"/>
      <c r="EU233" s="26"/>
      <c r="EV233" s="90"/>
      <c r="EW233" s="90"/>
      <c r="EX233" s="90"/>
      <c r="EY233" s="90"/>
      <c r="EZ233" s="90"/>
      <c r="FA233" s="90"/>
      <c r="FB233" s="90"/>
    </row>
    <row r="234" spans="1:158" hidden="1" outlineLevel="1">
      <c r="A234" s="185"/>
      <c r="B234" s="32"/>
      <c r="C234" s="90"/>
      <c r="D234" s="90"/>
      <c r="E234" s="90"/>
      <c r="F234" s="90"/>
      <c r="G234" s="61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104"/>
      <c r="Z234" s="90"/>
      <c r="AA234" s="90"/>
      <c r="AB234" s="90"/>
      <c r="AC234" s="90"/>
      <c r="AD234" s="90"/>
      <c r="AE234" s="104"/>
      <c r="AF234" s="90"/>
      <c r="AG234" s="90"/>
      <c r="AH234" s="90"/>
      <c r="AI234" s="90"/>
      <c r="AJ234" s="90"/>
      <c r="AK234" s="104"/>
      <c r="AL234" s="90"/>
      <c r="AM234" s="90"/>
      <c r="AN234" s="90"/>
      <c r="AO234" s="90"/>
      <c r="AP234" s="90"/>
      <c r="AQ234" s="104"/>
      <c r="AR234" s="90"/>
      <c r="AS234" s="90"/>
      <c r="AT234" s="90"/>
      <c r="AU234" s="90"/>
      <c r="AV234" s="90"/>
      <c r="AW234" s="104"/>
      <c r="AX234" s="90"/>
      <c r="AY234" s="90"/>
      <c r="AZ234" s="90"/>
      <c r="BA234" s="90"/>
      <c r="BB234" s="90"/>
      <c r="BC234" s="104"/>
      <c r="BD234" s="90"/>
      <c r="BE234" s="104"/>
      <c r="BF234" s="104"/>
      <c r="BG234" s="104"/>
      <c r="BH234" s="104"/>
      <c r="BI234" s="104"/>
      <c r="BJ234" s="90"/>
      <c r="BK234" s="26"/>
      <c r="BL234" s="26"/>
      <c r="BM234" s="26"/>
      <c r="BN234" s="26"/>
      <c r="BO234" s="26"/>
      <c r="BP234" s="90"/>
      <c r="BQ234" s="26"/>
      <c r="BR234" s="26"/>
      <c r="BS234" s="26"/>
      <c r="BT234" s="26"/>
      <c r="BU234" s="26"/>
      <c r="BV234" s="90"/>
      <c r="BW234" s="26"/>
      <c r="BX234" s="26"/>
      <c r="BY234" s="26"/>
      <c r="BZ234" s="26"/>
      <c r="CA234" s="26"/>
      <c r="CB234" s="90"/>
      <c r="CC234" s="26"/>
      <c r="CD234" s="26"/>
      <c r="CE234" s="26"/>
      <c r="CF234" s="26"/>
      <c r="CG234" s="26"/>
      <c r="CH234" s="90"/>
      <c r="CI234" s="26"/>
      <c r="CJ234" s="26"/>
      <c r="CK234" s="26"/>
      <c r="CL234" s="26"/>
      <c r="CM234" s="26"/>
      <c r="CN234" s="90"/>
      <c r="CO234" s="26"/>
      <c r="CP234" s="26"/>
      <c r="CQ234" s="26"/>
      <c r="CR234" s="26"/>
      <c r="CS234" s="26"/>
      <c r="CT234" s="90"/>
      <c r="CU234" s="26"/>
      <c r="CV234" s="26"/>
      <c r="CW234" s="26"/>
      <c r="CX234" s="26"/>
      <c r="CY234" s="26"/>
      <c r="CZ234" s="90"/>
      <c r="DA234" s="26"/>
      <c r="DB234" s="26"/>
      <c r="DC234" s="26"/>
      <c r="DD234" s="26"/>
      <c r="DE234" s="26"/>
      <c r="DF234" s="90"/>
      <c r="DG234" s="26"/>
      <c r="DH234" s="26"/>
      <c r="DI234" s="26"/>
      <c r="DJ234" s="26"/>
      <c r="DK234" s="26"/>
      <c r="DL234" s="90"/>
      <c r="DM234" s="26"/>
      <c r="DN234" s="26"/>
      <c r="DO234" s="26"/>
      <c r="DP234" s="26"/>
      <c r="DQ234" s="26"/>
      <c r="DR234" s="90"/>
      <c r="DS234" s="26"/>
      <c r="DT234" s="26"/>
      <c r="DU234" s="26"/>
      <c r="DV234" s="26"/>
      <c r="DW234" s="26"/>
      <c r="DX234" s="90"/>
      <c r="DY234" s="26"/>
      <c r="DZ234" s="26"/>
      <c r="EA234" s="26"/>
      <c r="EB234" s="26"/>
      <c r="EC234" s="26"/>
      <c r="ED234" s="90"/>
      <c r="EE234" s="26"/>
      <c r="EF234" s="26"/>
      <c r="EG234" s="26"/>
      <c r="EH234" s="26"/>
      <c r="EI234" s="26"/>
      <c r="EJ234" s="90"/>
      <c r="EK234" s="26"/>
      <c r="EL234" s="26"/>
      <c r="EM234" s="26"/>
      <c r="EN234" s="26"/>
      <c r="EO234" s="26"/>
      <c r="EP234" s="90"/>
      <c r="EQ234" s="26"/>
      <c r="ER234" s="26"/>
      <c r="ES234" s="26"/>
      <c r="ET234" s="26"/>
      <c r="EU234" s="26"/>
      <c r="EV234" s="90"/>
      <c r="EW234" s="90"/>
      <c r="EX234" s="90"/>
      <c r="EY234" s="90"/>
      <c r="EZ234" s="90"/>
      <c r="FA234" s="90"/>
      <c r="FB234" s="90"/>
    </row>
    <row r="235" spans="1:158" hidden="1" outlineLevel="1">
      <c r="A235" s="677" t="s">
        <v>4354</v>
      </c>
      <c r="B235" s="678"/>
      <c r="C235" s="676"/>
      <c r="D235" s="676"/>
      <c r="E235" s="676"/>
      <c r="F235" s="676"/>
      <c r="G235" s="676"/>
      <c r="H235" s="676"/>
      <c r="I235" s="676"/>
      <c r="J235" s="676"/>
      <c r="K235" s="676"/>
      <c r="L235" s="676"/>
      <c r="M235" s="676"/>
      <c r="N235" s="676"/>
      <c r="O235" s="676"/>
      <c r="P235" s="676"/>
      <c r="Q235" s="676"/>
      <c r="R235" s="676"/>
      <c r="S235" s="676"/>
      <c r="T235" s="676"/>
      <c r="U235" s="676"/>
      <c r="V235" s="676"/>
      <c r="W235" s="676"/>
      <c r="X235" s="676"/>
      <c r="Y235" s="675"/>
      <c r="Z235" s="676"/>
      <c r="AA235" s="675">
        <f>$Y228/($Y221*4)</f>
        <v>6.7619200000000008</v>
      </c>
      <c r="AB235" s="675">
        <f>$Y228/($Y221*4)</f>
        <v>6.7619200000000008</v>
      </c>
      <c r="AC235" s="675">
        <f>$Y228/($Y221*4)</f>
        <v>6.7619200000000008</v>
      </c>
      <c r="AD235" s="675">
        <f>$Y228/($Y221*4)</f>
        <v>6.7619200000000008</v>
      </c>
      <c r="AE235" s="675">
        <f>SUM(AA235:AD235)</f>
        <v>27.047680000000003</v>
      </c>
      <c r="AF235" s="676"/>
      <c r="AG235" s="675">
        <f>$Y228/($Y221*4)</f>
        <v>6.7619200000000008</v>
      </c>
      <c r="AH235" s="675">
        <f>$Y228/($Y221*4)</f>
        <v>6.7619200000000008</v>
      </c>
      <c r="AI235" s="675">
        <f>$Y228/($Y221*4)</f>
        <v>6.7619200000000008</v>
      </c>
      <c r="AJ235" s="675">
        <f>$Y228/($Y221*4)</f>
        <v>6.7619200000000008</v>
      </c>
      <c r="AK235" s="675">
        <f>SUM(AG235:AJ235)</f>
        <v>27.047680000000003</v>
      </c>
      <c r="AL235" s="676"/>
      <c r="AM235" s="675">
        <f>$Y228/($Y221*4)</f>
        <v>6.7619200000000008</v>
      </c>
      <c r="AN235" s="675">
        <f>$Y228/($Y221*4)</f>
        <v>6.7619200000000008</v>
      </c>
      <c r="AO235" s="675">
        <f>$Y228/($Y221*4)</f>
        <v>6.7619200000000008</v>
      </c>
      <c r="AP235" s="675">
        <f>$Y228/($Y221*4)</f>
        <v>6.7619200000000008</v>
      </c>
      <c r="AQ235" s="675">
        <f>SUM(AM235:AP235)</f>
        <v>27.047680000000003</v>
      </c>
      <c r="AR235" s="676"/>
      <c r="AS235" s="675">
        <f>$Y228/($Y221*4)</f>
        <v>6.7619200000000008</v>
      </c>
      <c r="AT235" s="675">
        <f>$Y228/($Y221*4)</f>
        <v>6.7619200000000008</v>
      </c>
      <c r="AU235" s="675">
        <f>$Y228/($Y221*4)</f>
        <v>6.7619200000000008</v>
      </c>
      <c r="AV235" s="726">
        <v>0</v>
      </c>
      <c r="AW235" s="675"/>
      <c r="AX235" s="676"/>
      <c r="AY235" s="676"/>
      <c r="AZ235" s="676"/>
      <c r="BA235" s="676"/>
      <c r="BB235" s="676"/>
      <c r="BC235" s="675"/>
      <c r="BD235" s="676"/>
      <c r="BE235" s="675"/>
      <c r="BF235" s="675"/>
      <c r="BG235" s="675"/>
      <c r="BH235" s="675"/>
      <c r="BI235" s="675"/>
      <c r="BJ235" s="676"/>
      <c r="BK235" s="679"/>
      <c r="BL235" s="679"/>
      <c r="BM235" s="679"/>
      <c r="BN235" s="679"/>
      <c r="BO235" s="679"/>
      <c r="BP235" s="676"/>
      <c r="BQ235" s="679"/>
      <c r="BR235" s="679"/>
      <c r="BS235" s="679"/>
      <c r="BT235" s="679"/>
      <c r="BU235" s="679"/>
      <c r="BV235" s="676"/>
      <c r="BW235" s="679"/>
      <c r="BX235" s="679"/>
      <c r="BY235" s="679"/>
      <c r="BZ235" s="679"/>
      <c r="CA235" s="679"/>
      <c r="CB235" s="676"/>
      <c r="CC235" s="679"/>
      <c r="CD235" s="679"/>
      <c r="CE235" s="679"/>
      <c r="CF235" s="679"/>
      <c r="CG235" s="679"/>
      <c r="CH235" s="676"/>
      <c r="CI235" s="679"/>
      <c r="CJ235" s="679"/>
      <c r="CK235" s="679"/>
      <c r="CL235" s="679"/>
      <c r="CM235" s="679"/>
      <c r="CN235" s="676"/>
      <c r="CO235" s="679"/>
      <c r="CP235" s="679"/>
      <c r="CQ235" s="679"/>
      <c r="CR235" s="679"/>
      <c r="CS235" s="679"/>
      <c r="CT235" s="676"/>
      <c r="CU235" s="679"/>
      <c r="CV235" s="679"/>
      <c r="CW235" s="679"/>
      <c r="CX235" s="679"/>
      <c r="CY235" s="679"/>
      <c r="CZ235" s="676"/>
      <c r="DA235" s="679"/>
      <c r="DB235" s="679"/>
      <c r="DC235" s="679"/>
      <c r="DD235" s="679"/>
      <c r="DE235" s="679"/>
      <c r="DF235" s="676"/>
      <c r="DG235" s="679"/>
      <c r="DH235" s="679"/>
      <c r="DI235" s="679"/>
      <c r="DJ235" s="679"/>
      <c r="DK235" s="679"/>
      <c r="DL235" s="676"/>
      <c r="DM235" s="679"/>
      <c r="DN235" s="679"/>
      <c r="DO235" s="679"/>
      <c r="DP235" s="679"/>
      <c r="DQ235" s="679"/>
      <c r="DR235" s="676"/>
      <c r="DS235" s="679"/>
      <c r="DT235" s="679"/>
      <c r="DU235" s="679"/>
      <c r="DV235" s="679"/>
      <c r="DW235" s="679"/>
      <c r="DX235" s="676"/>
      <c r="DY235" s="679"/>
      <c r="DZ235" s="679"/>
      <c r="EA235" s="679"/>
      <c r="EB235" s="679"/>
      <c r="EC235" s="679"/>
      <c r="ED235" s="676"/>
      <c r="EE235" s="679"/>
      <c r="EF235" s="679"/>
      <c r="EG235" s="679"/>
      <c r="EH235" s="679"/>
      <c r="EI235" s="679"/>
      <c r="EJ235" s="676"/>
      <c r="EK235" s="679"/>
      <c r="EL235" s="679"/>
      <c r="EM235" s="679"/>
      <c r="EN235" s="679"/>
      <c r="EO235" s="679"/>
      <c r="EP235" s="676"/>
      <c r="EQ235" s="679"/>
      <c r="ER235" s="679"/>
      <c r="ES235" s="679"/>
      <c r="ET235" s="679"/>
      <c r="EU235" s="679"/>
      <c r="EV235" s="676"/>
      <c r="EW235" s="676"/>
      <c r="EX235" s="676"/>
      <c r="EY235" s="676"/>
      <c r="EZ235" s="676"/>
      <c r="FA235" s="676"/>
      <c r="FB235" s="676"/>
    </row>
    <row r="236" spans="1:158" hidden="1" outlineLevel="1">
      <c r="A236" s="677" t="s">
        <v>2094</v>
      </c>
      <c r="B236" s="678"/>
      <c r="C236" s="676"/>
      <c r="D236" s="676"/>
      <c r="E236" s="676"/>
      <c r="F236" s="676"/>
      <c r="G236" s="676"/>
      <c r="H236" s="676"/>
      <c r="I236" s="676"/>
      <c r="J236" s="676"/>
      <c r="K236" s="676"/>
      <c r="L236" s="676"/>
      <c r="M236" s="676"/>
      <c r="N236" s="676"/>
      <c r="O236" s="676"/>
      <c r="P236" s="676"/>
      <c r="Q236" s="676"/>
      <c r="R236" s="676"/>
      <c r="S236" s="676"/>
      <c r="T236" s="676"/>
      <c r="U236" s="676"/>
      <c r="V236" s="676"/>
      <c r="W236" s="676"/>
      <c r="X236" s="676"/>
      <c r="Y236" s="675"/>
      <c r="Z236" s="676"/>
      <c r="AA236" s="675">
        <f>$Y$228*$AE$216/4</f>
        <v>6.7345747014012982</v>
      </c>
      <c r="AB236" s="675">
        <f>AA237*$AE$216/4</f>
        <v>6.0624789669526962</v>
      </c>
      <c r="AC236" s="675">
        <f>AB237*$AE$216/4</f>
        <v>5.4238521210012758</v>
      </c>
      <c r="AD236" s="675">
        <f>AC237*$AE$216/4</f>
        <v>4.817027486554724</v>
      </c>
      <c r="AE236" s="675">
        <f>SUM(AA236:AD236)</f>
        <v>23.037933275909996</v>
      </c>
      <c r="AF236" s="676"/>
      <c r="AG236" s="675">
        <f>AE237*$AK$216/4</f>
        <v>1.2121757042994379</v>
      </c>
      <c r="AH236" s="675">
        <f>AG237*$AK$216/4</f>
        <v>1.0986620372972074</v>
      </c>
      <c r="AI236" s="675">
        <f>AH237*$AK$216/4</f>
        <v>0.98676427171804948</v>
      </c>
      <c r="AJ236" s="675">
        <f>AI237*$AK$216/4</f>
        <v>0.87645940471589223</v>
      </c>
      <c r="AK236" s="675">
        <f>SUM(AG236:AJ236)</f>
        <v>4.1740614180305871</v>
      </c>
      <c r="AL236" s="676"/>
      <c r="AM236" s="675">
        <f>AK237*$AQ$216/4</f>
        <v>1.7999156555496583</v>
      </c>
      <c r="AN236" s="675">
        <f>AM237*$AQ$216/4</f>
        <v>1.5141696265377627</v>
      </c>
      <c r="AO236" s="675">
        <f>AN237*$AQ$216/4</f>
        <v>1.2379601964961056</v>
      </c>
      <c r="AP236" s="675">
        <f>AO237*$AQ$216/4</f>
        <v>0.97096908726616427</v>
      </c>
      <c r="AQ236" s="675">
        <f>SUM(AM236:AP236)</f>
        <v>5.5230145658496905</v>
      </c>
      <c r="AR236" s="676"/>
      <c r="AS236" s="675">
        <f>AQ237*$AW$216/4</f>
        <v>0.54504724186302644</v>
      </c>
      <c r="AT236" s="675">
        <f>AR237*$AW$216/4</f>
        <v>0</v>
      </c>
      <c r="AU236" s="675">
        <f>AS237*$AW$216/4</f>
        <v>0.35859701031023555</v>
      </c>
      <c r="AV236" s="726">
        <f>AT237*$AW$216/4</f>
        <v>0.18605462603371903</v>
      </c>
      <c r="AW236" s="675"/>
      <c r="AX236" s="676"/>
      <c r="AY236" s="676"/>
      <c r="AZ236" s="676"/>
      <c r="BA236" s="676"/>
      <c r="BB236" s="676"/>
      <c r="BC236" s="675"/>
      <c r="BD236" s="676"/>
      <c r="BE236" s="675"/>
      <c r="BF236" s="675"/>
      <c r="BG236" s="675"/>
      <c r="BH236" s="675"/>
      <c r="BI236" s="675"/>
      <c r="BJ236" s="676"/>
      <c r="BK236" s="679"/>
      <c r="BL236" s="679"/>
      <c r="BM236" s="679"/>
      <c r="BN236" s="679"/>
      <c r="BO236" s="679"/>
      <c r="BP236" s="676"/>
      <c r="BQ236" s="679"/>
      <c r="BR236" s="679"/>
      <c r="BS236" s="679"/>
      <c r="BT236" s="679"/>
      <c r="BU236" s="679"/>
      <c r="BV236" s="676"/>
      <c r="BW236" s="679"/>
      <c r="BX236" s="679"/>
      <c r="BY236" s="679"/>
      <c r="BZ236" s="679"/>
      <c r="CA236" s="679"/>
      <c r="CB236" s="676"/>
      <c r="CC236" s="679"/>
      <c r="CD236" s="679"/>
      <c r="CE236" s="679"/>
      <c r="CF236" s="679"/>
      <c r="CG236" s="679"/>
      <c r="CH236" s="676"/>
      <c r="CI236" s="679"/>
      <c r="CJ236" s="679"/>
      <c r="CK236" s="679"/>
      <c r="CL236" s="679"/>
      <c r="CM236" s="679"/>
      <c r="CN236" s="676"/>
      <c r="CO236" s="679"/>
      <c r="CP236" s="679"/>
      <c r="CQ236" s="679"/>
      <c r="CR236" s="679"/>
      <c r="CS236" s="679"/>
      <c r="CT236" s="676"/>
      <c r="CU236" s="679"/>
      <c r="CV236" s="679"/>
      <c r="CW236" s="679"/>
      <c r="CX236" s="679"/>
      <c r="CY236" s="679"/>
      <c r="CZ236" s="676"/>
      <c r="DA236" s="679"/>
      <c r="DB236" s="679"/>
      <c r="DC236" s="679"/>
      <c r="DD236" s="679"/>
      <c r="DE236" s="679"/>
      <c r="DF236" s="676"/>
      <c r="DG236" s="679"/>
      <c r="DH236" s="679"/>
      <c r="DI236" s="679"/>
      <c r="DJ236" s="679"/>
      <c r="DK236" s="679"/>
      <c r="DL236" s="676"/>
      <c r="DM236" s="679"/>
      <c r="DN236" s="679"/>
      <c r="DO236" s="679"/>
      <c r="DP236" s="679"/>
      <c r="DQ236" s="679"/>
      <c r="DR236" s="676"/>
      <c r="DS236" s="679"/>
      <c r="DT236" s="679"/>
      <c r="DU236" s="679"/>
      <c r="DV236" s="679"/>
      <c r="DW236" s="679"/>
      <c r="DX236" s="676"/>
      <c r="DY236" s="679"/>
      <c r="DZ236" s="679"/>
      <c r="EA236" s="679"/>
      <c r="EB236" s="679"/>
      <c r="EC236" s="679"/>
      <c r="ED236" s="676"/>
      <c r="EE236" s="679"/>
      <c r="EF236" s="679"/>
      <c r="EG236" s="679"/>
      <c r="EH236" s="679"/>
      <c r="EI236" s="679"/>
      <c r="EJ236" s="676"/>
      <c r="EK236" s="679"/>
      <c r="EL236" s="679"/>
      <c r="EM236" s="679"/>
      <c r="EN236" s="679"/>
      <c r="EO236" s="679"/>
      <c r="EP236" s="676"/>
      <c r="EQ236" s="679"/>
      <c r="ER236" s="679"/>
      <c r="ES236" s="679"/>
      <c r="ET236" s="679"/>
      <c r="EU236" s="679"/>
      <c r="EV236" s="676"/>
      <c r="EW236" s="676"/>
      <c r="EX236" s="676"/>
      <c r="EY236" s="676"/>
      <c r="EZ236" s="676"/>
      <c r="FA236" s="676"/>
      <c r="FB236" s="676"/>
    </row>
    <row r="237" spans="1:158" hidden="1" outlineLevel="1">
      <c r="A237" s="185" t="s">
        <v>2095</v>
      </c>
      <c r="B237" s="32"/>
      <c r="C237" s="90"/>
      <c r="D237" s="90"/>
      <c r="E237" s="90"/>
      <c r="F237" s="90"/>
      <c r="G237" s="61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104"/>
      <c r="Z237" s="90"/>
      <c r="AA237" s="676">
        <f>Y228-AA235-AA236</f>
        <v>121.74190529859871</v>
      </c>
      <c r="AB237" s="676">
        <f>AA237-AB235-AB236</f>
        <v>108.91750633164601</v>
      </c>
      <c r="AC237" s="676">
        <f>AB237-AC235-AC236</f>
        <v>96.731734210644731</v>
      </c>
      <c r="AD237" s="676">
        <f>AC237-AD235-AD236</f>
        <v>85.152786724090006</v>
      </c>
      <c r="AE237" s="675">
        <f>AD237</f>
        <v>85.152786724090006</v>
      </c>
      <c r="AF237" s="90"/>
      <c r="AG237" s="676">
        <f>AE237-AG235-AG236</f>
        <v>77.178691019790563</v>
      </c>
      <c r="AH237" s="676">
        <f>AG237-AH235-AH236</f>
        <v>69.318108982493357</v>
      </c>
      <c r="AI237" s="676">
        <f>AH237-AI235-AI236</f>
        <v>61.569424710775301</v>
      </c>
      <c r="AJ237" s="676">
        <f>AI237-AJ235-AJ236</f>
        <v>53.931045306059403</v>
      </c>
      <c r="AK237" s="675">
        <f>AJ237</f>
        <v>53.931045306059403</v>
      </c>
      <c r="AL237" s="90"/>
      <c r="AM237" s="676">
        <f>AK237-AM235-AM236</f>
        <v>45.369209650509738</v>
      </c>
      <c r="AN237" s="676">
        <f>AM237-AN235-AN236</f>
        <v>37.09312002397197</v>
      </c>
      <c r="AO237" s="676">
        <f>AN237-AO235-AO236</f>
        <v>29.093239827475866</v>
      </c>
      <c r="AP237" s="676">
        <f>AO237-AP235-AP236</f>
        <v>21.360350740209704</v>
      </c>
      <c r="AQ237" s="675">
        <f>AP237</f>
        <v>21.360350740209704</v>
      </c>
      <c r="AR237" s="90"/>
      <c r="AS237" s="676">
        <f>AQ237-AS235-AS236</f>
        <v>14.053383498346678</v>
      </c>
      <c r="AT237" s="676">
        <f>AS237-AT235-AT236</f>
        <v>7.2914634983466771</v>
      </c>
      <c r="AU237" s="676">
        <f>AT237-AU235-AU236</f>
        <v>0.17094648803644069</v>
      </c>
      <c r="AV237" s="725">
        <v>0</v>
      </c>
      <c r="AW237" s="675"/>
      <c r="AX237" s="90"/>
      <c r="AY237" s="90"/>
      <c r="AZ237" s="90"/>
      <c r="BA237" s="90"/>
      <c r="BB237" s="90"/>
      <c r="BC237" s="104"/>
      <c r="BD237" s="90"/>
      <c r="BE237" s="104"/>
      <c r="BF237" s="104"/>
      <c r="BG237" s="104"/>
      <c r="BH237" s="104"/>
      <c r="BI237" s="104"/>
      <c r="BJ237" s="90"/>
      <c r="BK237" s="26"/>
      <c r="BL237" s="26"/>
      <c r="BM237" s="26"/>
      <c r="BN237" s="26"/>
      <c r="BO237" s="26"/>
      <c r="BP237" s="90"/>
      <c r="BQ237" s="26"/>
      <c r="BR237" s="26"/>
      <c r="BS237" s="26"/>
      <c r="BT237" s="26"/>
      <c r="BU237" s="26"/>
      <c r="BV237" s="90"/>
      <c r="BW237" s="26"/>
      <c r="BX237" s="26"/>
      <c r="BY237" s="26"/>
      <c r="BZ237" s="26"/>
      <c r="CA237" s="26"/>
      <c r="CB237" s="90"/>
      <c r="CC237" s="26"/>
      <c r="CD237" s="26"/>
      <c r="CE237" s="26"/>
      <c r="CF237" s="26"/>
      <c r="CG237" s="26"/>
      <c r="CH237" s="90"/>
      <c r="CI237" s="26"/>
      <c r="CJ237" s="26"/>
      <c r="CK237" s="26"/>
      <c r="CL237" s="26"/>
      <c r="CM237" s="26"/>
      <c r="CN237" s="90"/>
      <c r="CO237" s="26"/>
      <c r="CP237" s="26"/>
      <c r="CQ237" s="26"/>
      <c r="CR237" s="26"/>
      <c r="CS237" s="26"/>
      <c r="CT237" s="90"/>
      <c r="CU237" s="26"/>
      <c r="CV237" s="26"/>
      <c r="CW237" s="26"/>
      <c r="CX237" s="26"/>
      <c r="CY237" s="26"/>
      <c r="CZ237" s="90"/>
      <c r="DA237" s="26"/>
      <c r="DB237" s="26"/>
      <c r="DC237" s="26"/>
      <c r="DD237" s="26"/>
      <c r="DE237" s="26"/>
      <c r="DF237" s="90"/>
      <c r="DG237" s="26"/>
      <c r="DH237" s="26"/>
      <c r="DI237" s="26"/>
      <c r="DJ237" s="26"/>
      <c r="DK237" s="26"/>
      <c r="DL237" s="90"/>
      <c r="DM237" s="26"/>
      <c r="DN237" s="26"/>
      <c r="DO237" s="26"/>
      <c r="DP237" s="26"/>
      <c r="DQ237" s="26"/>
      <c r="DR237" s="90"/>
      <c r="DS237" s="26"/>
      <c r="DT237" s="26"/>
      <c r="DU237" s="26"/>
      <c r="DV237" s="26"/>
      <c r="DW237" s="26"/>
      <c r="DX237" s="90"/>
      <c r="DY237" s="26"/>
      <c r="DZ237" s="26"/>
      <c r="EA237" s="26"/>
      <c r="EB237" s="26"/>
      <c r="EC237" s="26"/>
      <c r="ED237" s="90"/>
      <c r="EE237" s="26"/>
      <c r="EF237" s="26"/>
      <c r="EG237" s="26"/>
      <c r="EH237" s="26"/>
      <c r="EI237" s="26"/>
      <c r="EJ237" s="90"/>
      <c r="EK237" s="26"/>
      <c r="EL237" s="26"/>
      <c r="EM237" s="26"/>
      <c r="EN237" s="26"/>
      <c r="EO237" s="26"/>
      <c r="EP237" s="90"/>
      <c r="EQ237" s="26"/>
      <c r="ER237" s="26"/>
      <c r="ES237" s="26"/>
      <c r="ET237" s="26"/>
      <c r="EU237" s="26"/>
      <c r="EV237" s="90"/>
      <c r="EW237" s="90"/>
      <c r="EX237" s="90"/>
      <c r="EY237" s="90"/>
      <c r="EZ237" s="90"/>
      <c r="FA237" s="90"/>
      <c r="FB237" s="90"/>
    </row>
    <row r="238" spans="1:158" hidden="1" outlineLevel="1">
      <c r="A238" s="185"/>
      <c r="B238" s="32"/>
      <c r="C238" s="90"/>
      <c r="D238" s="90"/>
      <c r="E238" s="90"/>
      <c r="F238" s="90"/>
      <c r="G238" s="61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104"/>
      <c r="Z238" s="90"/>
      <c r="AA238" s="676"/>
      <c r="AB238" s="676"/>
      <c r="AC238" s="676"/>
      <c r="AD238" s="676"/>
      <c r="AE238" s="675"/>
      <c r="AF238" s="90"/>
      <c r="AG238" s="676"/>
      <c r="AH238" s="676"/>
      <c r="AI238" s="676"/>
      <c r="AJ238" s="676"/>
      <c r="AK238" s="675"/>
      <c r="AL238" s="90"/>
      <c r="AM238" s="676"/>
      <c r="AN238" s="676"/>
      <c r="AO238" s="676"/>
      <c r="AP238" s="676"/>
      <c r="AQ238" s="675"/>
      <c r="AR238" s="90"/>
      <c r="AS238" s="676"/>
      <c r="AT238" s="90"/>
      <c r="AU238" s="676"/>
      <c r="AV238" s="90"/>
      <c r="AW238" s="104"/>
      <c r="AX238" s="90"/>
      <c r="AY238" s="90"/>
      <c r="AZ238" s="90"/>
      <c r="BA238" s="90"/>
      <c r="BB238" s="90"/>
      <c r="BC238" s="104"/>
      <c r="BD238" s="90"/>
      <c r="BE238" s="104"/>
      <c r="BF238" s="104"/>
      <c r="BG238" s="104"/>
      <c r="BH238" s="104"/>
      <c r="BI238" s="104"/>
      <c r="BJ238" s="90"/>
      <c r="BK238" s="26"/>
      <c r="BL238" s="26"/>
      <c r="BM238" s="26"/>
      <c r="BN238" s="26"/>
      <c r="BO238" s="26"/>
      <c r="BP238" s="90"/>
      <c r="BQ238" s="26"/>
      <c r="BR238" s="26"/>
      <c r="BS238" s="26"/>
      <c r="BT238" s="26"/>
      <c r="BU238" s="26"/>
      <c r="BV238" s="90"/>
      <c r="BW238" s="26"/>
      <c r="BX238" s="26"/>
      <c r="BY238" s="26"/>
      <c r="BZ238" s="26"/>
      <c r="CA238" s="26"/>
      <c r="CB238" s="90"/>
      <c r="CC238" s="26"/>
      <c r="CD238" s="26"/>
      <c r="CE238" s="26"/>
      <c r="CF238" s="26"/>
      <c r="CG238" s="26"/>
      <c r="CH238" s="90"/>
      <c r="CI238" s="26"/>
      <c r="CJ238" s="26"/>
      <c r="CK238" s="26"/>
      <c r="CL238" s="26"/>
      <c r="CM238" s="26"/>
      <c r="CN238" s="90"/>
      <c r="CO238" s="26"/>
      <c r="CP238" s="26"/>
      <c r="CQ238" s="26"/>
      <c r="CR238" s="26"/>
      <c r="CS238" s="26"/>
      <c r="CT238" s="90"/>
      <c r="CU238" s="26"/>
      <c r="CV238" s="26"/>
      <c r="CW238" s="26"/>
      <c r="CX238" s="26"/>
      <c r="CY238" s="26"/>
      <c r="CZ238" s="90"/>
      <c r="DA238" s="26"/>
      <c r="DB238" s="26"/>
      <c r="DC238" s="26"/>
      <c r="DD238" s="26"/>
      <c r="DE238" s="26"/>
      <c r="DF238" s="90"/>
      <c r="DG238" s="26"/>
      <c r="DH238" s="26"/>
      <c r="DI238" s="26"/>
      <c r="DJ238" s="26"/>
      <c r="DK238" s="26"/>
      <c r="DL238" s="90"/>
      <c r="DM238" s="26"/>
      <c r="DN238" s="26"/>
      <c r="DO238" s="26"/>
      <c r="DP238" s="26"/>
      <c r="DQ238" s="26"/>
      <c r="DR238" s="90"/>
      <c r="DS238" s="26"/>
      <c r="DT238" s="26"/>
      <c r="DU238" s="26"/>
      <c r="DV238" s="26"/>
      <c r="DW238" s="26"/>
      <c r="DX238" s="90"/>
      <c r="DY238" s="26"/>
      <c r="DZ238" s="26"/>
      <c r="EA238" s="26"/>
      <c r="EB238" s="26"/>
      <c r="EC238" s="26"/>
      <c r="ED238" s="90"/>
      <c r="EE238" s="26"/>
      <c r="EF238" s="26"/>
      <c r="EG238" s="26"/>
      <c r="EH238" s="26"/>
      <c r="EI238" s="26"/>
      <c r="EJ238" s="90"/>
      <c r="EK238" s="26"/>
      <c r="EL238" s="26"/>
      <c r="EM238" s="26"/>
      <c r="EN238" s="26"/>
      <c r="EO238" s="26"/>
      <c r="EP238" s="90"/>
      <c r="EQ238" s="26"/>
      <c r="ER238" s="26"/>
      <c r="ES238" s="26"/>
      <c r="ET238" s="26"/>
      <c r="EU238" s="26"/>
      <c r="EV238" s="90"/>
      <c r="EW238" s="90"/>
      <c r="EX238" s="90"/>
      <c r="EY238" s="90"/>
      <c r="EZ238" s="90"/>
      <c r="FA238" s="90"/>
      <c r="FB238" s="90"/>
    </row>
    <row r="239" spans="1:158" hidden="1" outlineLevel="1">
      <c r="A239" s="677" t="s">
        <v>4355</v>
      </c>
      <c r="B239" s="678"/>
      <c r="C239" s="676"/>
      <c r="D239" s="676"/>
      <c r="E239" s="676"/>
      <c r="F239" s="676"/>
      <c r="G239" s="676"/>
      <c r="H239" s="676"/>
      <c r="I239" s="676"/>
      <c r="J239" s="676"/>
      <c r="K239" s="676"/>
      <c r="L239" s="676"/>
      <c r="M239" s="676"/>
      <c r="N239" s="676"/>
      <c r="O239" s="676"/>
      <c r="P239" s="676"/>
      <c r="Q239" s="676"/>
      <c r="R239" s="676"/>
      <c r="S239" s="676"/>
      <c r="T239" s="676"/>
      <c r="U239" s="676"/>
      <c r="V239" s="676"/>
      <c r="W239" s="676"/>
      <c r="X239" s="676"/>
      <c r="Y239" s="675"/>
      <c r="Z239" s="676"/>
      <c r="AA239" s="675"/>
      <c r="AB239" s="675"/>
      <c r="AC239" s="675"/>
      <c r="AD239" s="675"/>
      <c r="AE239" s="675"/>
      <c r="AF239" s="676"/>
      <c r="AG239" s="675">
        <f>$AE228/($AE221*4)</f>
        <v>3.8981250000000003</v>
      </c>
      <c r="AH239" s="675">
        <f>$AE228/($AE221*4)</f>
        <v>3.8981250000000003</v>
      </c>
      <c r="AI239" s="675">
        <f>$AE228/($AE221*4)</f>
        <v>3.8981250000000003</v>
      </c>
      <c r="AJ239" s="675">
        <f>$AE228/($AE221*4)</f>
        <v>3.8981250000000003</v>
      </c>
      <c r="AK239" s="675">
        <f>SUM(AG239:AJ239)</f>
        <v>15.592500000000001</v>
      </c>
      <c r="AL239" s="676"/>
      <c r="AM239" s="675">
        <f>$AE228/($AE221*4)</f>
        <v>3.8981250000000003</v>
      </c>
      <c r="AN239" s="675">
        <f>$AE228/($AE221*4)</f>
        <v>3.8981250000000003</v>
      </c>
      <c r="AO239" s="675">
        <f>$AE228/($AE221*4)</f>
        <v>3.8981250000000003</v>
      </c>
      <c r="AP239" s="675">
        <f>$AE228/($AE221*4)</f>
        <v>3.8981250000000003</v>
      </c>
      <c r="AQ239" s="675">
        <f>SUM(AM239:AP239)</f>
        <v>15.592500000000001</v>
      </c>
      <c r="AR239" s="676"/>
      <c r="AS239" s="675">
        <f>$AE228/($AE221*4)</f>
        <v>3.8981250000000003</v>
      </c>
      <c r="AT239" s="675">
        <f>$AE228/($AE221*4)</f>
        <v>3.8981250000000003</v>
      </c>
      <c r="AU239" s="675">
        <f>$AE228/($AE221*4)</f>
        <v>3.8981250000000003</v>
      </c>
      <c r="AV239" s="675">
        <f>$AE228/($AE221*4)</f>
        <v>3.8981250000000003</v>
      </c>
      <c r="AW239" s="675">
        <f>SUM(AS239:AV239)</f>
        <v>15.592500000000001</v>
      </c>
      <c r="AX239" s="676"/>
      <c r="AY239" s="675">
        <f>$AE228/($AE221*4)</f>
        <v>3.8981250000000003</v>
      </c>
      <c r="AZ239" s="675">
        <f>$AE228/($AE221*4)</f>
        <v>3.8981250000000003</v>
      </c>
      <c r="BA239" s="675">
        <f>$AE228/($AE221*4)</f>
        <v>3.8981250000000003</v>
      </c>
      <c r="BB239" s="675">
        <f>$AE228/($AE221*4)</f>
        <v>3.8981250000000003</v>
      </c>
      <c r="BC239" s="675">
        <f>SUM(AY239:BB239)</f>
        <v>15.592500000000001</v>
      </c>
      <c r="BD239" s="676"/>
      <c r="BE239" s="726">
        <v>0</v>
      </c>
      <c r="BF239" s="675"/>
      <c r="BG239" s="675"/>
      <c r="BH239" s="675"/>
      <c r="BI239" s="675"/>
      <c r="BJ239" s="676"/>
      <c r="BK239" s="679"/>
      <c r="BL239" s="679"/>
      <c r="BM239" s="679"/>
      <c r="BN239" s="679"/>
      <c r="BO239" s="679"/>
      <c r="BP239" s="676"/>
      <c r="BQ239" s="679"/>
      <c r="BR239" s="679"/>
      <c r="BS239" s="679"/>
      <c r="BT239" s="679"/>
      <c r="BU239" s="679"/>
      <c r="BV239" s="676"/>
      <c r="BW239" s="679"/>
      <c r="BX239" s="679"/>
      <c r="BY239" s="679"/>
      <c r="BZ239" s="679"/>
      <c r="CA239" s="679"/>
      <c r="CB239" s="676"/>
      <c r="CC239" s="679"/>
      <c r="CD239" s="679"/>
      <c r="CE239" s="679"/>
      <c r="CF239" s="679"/>
      <c r="CG239" s="679"/>
      <c r="CH239" s="676"/>
      <c r="CI239" s="679"/>
      <c r="CJ239" s="679"/>
      <c r="CK239" s="679"/>
      <c r="CL239" s="679"/>
      <c r="CM239" s="679"/>
      <c r="CN239" s="676"/>
      <c r="CO239" s="679"/>
      <c r="CP239" s="679"/>
      <c r="CQ239" s="679"/>
      <c r="CR239" s="679"/>
      <c r="CS239" s="679"/>
      <c r="CT239" s="676"/>
      <c r="CU239" s="679"/>
      <c r="CV239" s="679"/>
      <c r="CW239" s="679"/>
      <c r="CX239" s="679"/>
      <c r="CY239" s="679"/>
      <c r="CZ239" s="676"/>
      <c r="DA239" s="679"/>
      <c r="DB239" s="679"/>
      <c r="DC239" s="679"/>
      <c r="DD239" s="679"/>
      <c r="DE239" s="679"/>
      <c r="DF239" s="676"/>
      <c r="DG239" s="679"/>
      <c r="DH239" s="679"/>
      <c r="DI239" s="679"/>
      <c r="DJ239" s="679"/>
      <c r="DK239" s="679"/>
      <c r="DL239" s="676"/>
      <c r="DM239" s="679"/>
      <c r="DN239" s="679"/>
      <c r="DO239" s="679"/>
      <c r="DP239" s="679"/>
      <c r="DQ239" s="679"/>
      <c r="DR239" s="676"/>
      <c r="DS239" s="679"/>
      <c r="DT239" s="679"/>
      <c r="DU239" s="679"/>
      <c r="DV239" s="679"/>
      <c r="DW239" s="679"/>
      <c r="DX239" s="676"/>
      <c r="DY239" s="679"/>
      <c r="DZ239" s="679"/>
      <c r="EA239" s="679"/>
      <c r="EB239" s="679"/>
      <c r="EC239" s="679"/>
      <c r="ED239" s="676"/>
      <c r="EE239" s="679"/>
      <c r="EF239" s="679"/>
      <c r="EG239" s="679"/>
      <c r="EH239" s="679"/>
      <c r="EI239" s="679"/>
      <c r="EJ239" s="676"/>
      <c r="EK239" s="679"/>
      <c r="EL239" s="679"/>
      <c r="EM239" s="679"/>
      <c r="EN239" s="679"/>
      <c r="EO239" s="679"/>
      <c r="EP239" s="676"/>
      <c r="EQ239" s="679"/>
      <c r="ER239" s="679"/>
      <c r="ES239" s="679"/>
      <c r="ET239" s="679"/>
      <c r="EU239" s="679"/>
      <c r="EV239" s="676"/>
      <c r="EW239" s="676"/>
      <c r="EX239" s="676"/>
      <c r="EY239" s="676"/>
      <c r="EZ239" s="676"/>
      <c r="FA239" s="676"/>
      <c r="FB239" s="676"/>
    </row>
    <row r="240" spans="1:158" hidden="1" outlineLevel="1">
      <c r="A240" s="677" t="s">
        <v>2094</v>
      </c>
      <c r="B240" s="678"/>
      <c r="C240" s="676"/>
      <c r="D240" s="676"/>
      <c r="E240" s="676"/>
      <c r="F240" s="676"/>
      <c r="G240" s="676"/>
      <c r="H240" s="676"/>
      <c r="I240" s="676"/>
      <c r="J240" s="676"/>
      <c r="K240" s="676"/>
      <c r="L240" s="676"/>
      <c r="M240" s="676"/>
      <c r="N240" s="676"/>
      <c r="O240" s="676"/>
      <c r="P240" s="676"/>
      <c r="Q240" s="676"/>
      <c r="R240" s="676"/>
      <c r="S240" s="676"/>
      <c r="T240" s="676"/>
      <c r="U240" s="676"/>
      <c r="V240" s="676"/>
      <c r="W240" s="676"/>
      <c r="X240" s="676"/>
      <c r="Y240" s="675"/>
      <c r="Z240" s="676"/>
      <c r="AA240" s="675"/>
      <c r="AB240" s="675"/>
      <c r="AC240" s="675"/>
      <c r="AD240" s="675"/>
      <c r="AE240" s="675"/>
      <c r="AF240" s="676"/>
      <c r="AG240" s="675">
        <f>$AE$228*$AK$216/4</f>
        <v>1.1098197954772202</v>
      </c>
      <c r="AH240" s="675">
        <f>AG241*$AK$216/4</f>
        <v>1.0385301848480366</v>
      </c>
      <c r="AI240" s="675">
        <f>AH241*$AK$216/4</f>
        <v>0.9682554034135058</v>
      </c>
      <c r="AJ240" s="675">
        <f>AI241*$AK$216/4</f>
        <v>0.89898100477273979</v>
      </c>
      <c r="AK240" s="675">
        <f>SUM(AG240:AJ240)</f>
        <v>4.0155863885115028</v>
      </c>
      <c r="AL240" s="676"/>
      <c r="AM240" s="675">
        <f>AK241*$AQ$216/4</f>
        <v>1.9475428676317035</v>
      </c>
      <c r="AN240" s="675">
        <f>AM241*$AQ$216/4</f>
        <v>1.7524472774686897</v>
      </c>
      <c r="AO240" s="675">
        <f>AN241*$AQ$216/4</f>
        <v>1.5638628833166246</v>
      </c>
      <c r="AP240" s="675">
        <f>AO241*$AQ$216/4</f>
        <v>1.381572377990566</v>
      </c>
      <c r="AQ240" s="675">
        <f>SUM(AM240:AP240)</f>
        <v>6.6454254064075835</v>
      </c>
      <c r="AR240" s="676"/>
      <c r="AS240" s="675">
        <f>AQ241*$AW$216/4</f>
        <v>0.92157626629704992</v>
      </c>
      <c r="AT240" s="675">
        <f>AS241*$AW$216/4</f>
        <v>0.79859303845829432</v>
      </c>
      <c r="AU240" s="675">
        <f>AT241*$AW$216/4</f>
        <v>0.67874794584700671</v>
      </c>
      <c r="AV240" s="675">
        <f>AU241*$AW$216/4</f>
        <v>0.56196091337588516</v>
      </c>
      <c r="AW240" s="675">
        <f>SUM(AS240:AV240)</f>
        <v>2.9608781639782364</v>
      </c>
      <c r="AX240" s="676"/>
      <c r="AY240" s="675">
        <f>AW241*$BC$216/4</f>
        <v>0.21856012429304061</v>
      </c>
      <c r="AZ240" s="675">
        <f>AY241*$BC$216/4</f>
        <v>0.16733097351421258</v>
      </c>
      <c r="BA240" s="675">
        <f>AZ241*$BC$216/4</f>
        <v>0.11673933223885201</v>
      </c>
      <c r="BB240" s="675">
        <f>BA241*$BC$216/4</f>
        <v>6.6777267125085499E-2</v>
      </c>
      <c r="BC240" s="675">
        <f>SUM(AY240:BB240)</f>
        <v>0.56940769717119066</v>
      </c>
      <c r="BD240" s="676"/>
      <c r="BE240" s="726">
        <f>BC241</f>
        <v>1.4012023439315009</v>
      </c>
      <c r="BF240" s="675"/>
      <c r="BG240" s="675"/>
      <c r="BH240" s="675"/>
      <c r="BI240" s="675"/>
      <c r="BJ240" s="676"/>
      <c r="BK240" s="679"/>
      <c r="BL240" s="679"/>
      <c r="BM240" s="679"/>
      <c r="BN240" s="679"/>
      <c r="BO240" s="679"/>
      <c r="BP240" s="676"/>
      <c r="BQ240" s="679"/>
      <c r="BR240" s="679"/>
      <c r="BS240" s="679"/>
      <c r="BT240" s="679"/>
      <c r="BU240" s="679"/>
      <c r="BV240" s="676"/>
      <c r="BW240" s="679"/>
      <c r="BX240" s="679"/>
      <c r="BY240" s="679"/>
      <c r="BZ240" s="679"/>
      <c r="CA240" s="679"/>
      <c r="CB240" s="676"/>
      <c r="CC240" s="679"/>
      <c r="CD240" s="679"/>
      <c r="CE240" s="679"/>
      <c r="CF240" s="679"/>
      <c r="CG240" s="679"/>
      <c r="CH240" s="676"/>
      <c r="CI240" s="679"/>
      <c r="CJ240" s="679"/>
      <c r="CK240" s="679"/>
      <c r="CL240" s="679"/>
      <c r="CM240" s="679"/>
      <c r="CN240" s="676"/>
      <c r="CO240" s="679"/>
      <c r="CP240" s="679"/>
      <c r="CQ240" s="679"/>
      <c r="CR240" s="679"/>
      <c r="CS240" s="679"/>
      <c r="CT240" s="676"/>
      <c r="CU240" s="679"/>
      <c r="CV240" s="679"/>
      <c r="CW240" s="679"/>
      <c r="CX240" s="679"/>
      <c r="CY240" s="679"/>
      <c r="CZ240" s="676"/>
      <c r="DA240" s="679"/>
      <c r="DB240" s="679"/>
      <c r="DC240" s="679"/>
      <c r="DD240" s="679"/>
      <c r="DE240" s="679"/>
      <c r="DF240" s="676"/>
      <c r="DG240" s="679"/>
      <c r="DH240" s="679"/>
      <c r="DI240" s="679"/>
      <c r="DJ240" s="679"/>
      <c r="DK240" s="679"/>
      <c r="DL240" s="676"/>
      <c r="DM240" s="679"/>
      <c r="DN240" s="679"/>
      <c r="DO240" s="679"/>
      <c r="DP240" s="679"/>
      <c r="DQ240" s="679"/>
      <c r="DR240" s="676"/>
      <c r="DS240" s="679"/>
      <c r="DT240" s="679"/>
      <c r="DU240" s="679"/>
      <c r="DV240" s="679"/>
      <c r="DW240" s="679"/>
      <c r="DX240" s="676"/>
      <c r="DY240" s="679"/>
      <c r="DZ240" s="679"/>
      <c r="EA240" s="679"/>
      <c r="EB240" s="679"/>
      <c r="EC240" s="679"/>
      <c r="ED240" s="676"/>
      <c r="EE240" s="679"/>
      <c r="EF240" s="679"/>
      <c r="EG240" s="679"/>
      <c r="EH240" s="679"/>
      <c r="EI240" s="679"/>
      <c r="EJ240" s="676"/>
      <c r="EK240" s="679"/>
      <c r="EL240" s="679"/>
      <c r="EM240" s="679"/>
      <c r="EN240" s="679"/>
      <c r="EO240" s="679"/>
      <c r="EP240" s="676"/>
      <c r="EQ240" s="679"/>
      <c r="ER240" s="679"/>
      <c r="ES240" s="679"/>
      <c r="ET240" s="679"/>
      <c r="EU240" s="679"/>
      <c r="EV240" s="676"/>
      <c r="EW240" s="676"/>
      <c r="EX240" s="676"/>
      <c r="EY240" s="676"/>
      <c r="EZ240" s="676"/>
      <c r="FA240" s="676"/>
      <c r="FB240" s="676"/>
    </row>
    <row r="241" spans="1:158" hidden="1" outlineLevel="1">
      <c r="A241" s="185" t="s">
        <v>2095</v>
      </c>
      <c r="B241" s="32"/>
      <c r="C241" s="90"/>
      <c r="D241" s="90"/>
      <c r="E241" s="90"/>
      <c r="F241" s="90"/>
      <c r="G241" s="61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104"/>
      <c r="Z241" s="90"/>
      <c r="AA241" s="676"/>
      <c r="AB241" s="676"/>
      <c r="AC241" s="676"/>
      <c r="AD241" s="676"/>
      <c r="AE241" s="675"/>
      <c r="AF241" s="90"/>
      <c r="AG241" s="676">
        <f>AE228-AG239-AG240</f>
        <v>72.954555204522791</v>
      </c>
      <c r="AH241" s="676">
        <f>AG241-AH239-AH240</f>
        <v>68.017900019674755</v>
      </c>
      <c r="AI241" s="676">
        <f>AH241-AI239-AI240</f>
        <v>63.151519616261254</v>
      </c>
      <c r="AJ241" s="676">
        <f>AI241-AJ239-AJ240</f>
        <v>58.354413611488511</v>
      </c>
      <c r="AK241" s="675">
        <f>AJ241</f>
        <v>58.354413611488511</v>
      </c>
      <c r="AL241" s="90"/>
      <c r="AM241" s="676">
        <f>AK241-AM239-AM240</f>
        <v>52.508745743856807</v>
      </c>
      <c r="AN241" s="676">
        <f>AM241-AN239-AN240</f>
        <v>46.858173466388116</v>
      </c>
      <c r="AO241" s="676">
        <f>AN241-AO239-AO240</f>
        <v>41.396185583071492</v>
      </c>
      <c r="AP241" s="676">
        <f>AO241-AP239-AP240</f>
        <v>36.116488205080927</v>
      </c>
      <c r="AQ241" s="675">
        <f>AP241</f>
        <v>36.116488205080927</v>
      </c>
      <c r="AR241" s="90"/>
      <c r="AS241" s="676">
        <f>AQ241-AS239-AS240</f>
        <v>31.296786938783878</v>
      </c>
      <c r="AT241" s="676">
        <f>AS241-AT239-AT240</f>
        <v>26.600068900325585</v>
      </c>
      <c r="AU241" s="676">
        <f>AT241-AU239-AU240</f>
        <v>22.023195954478577</v>
      </c>
      <c r="AV241" s="676">
        <f>AU241-AV239-AV240</f>
        <v>17.563110041102693</v>
      </c>
      <c r="AW241" s="675">
        <f>AV241</f>
        <v>17.563110041102693</v>
      </c>
      <c r="AX241" s="675"/>
      <c r="AY241" s="676">
        <f>AW241-AY239-AY240</f>
        <v>13.446424916809653</v>
      </c>
      <c r="AZ241" s="676">
        <f>AY241-AZ239-AZ240</f>
        <v>9.3809689432954393</v>
      </c>
      <c r="BA241" s="676">
        <f>AZ241-BA239-BA240</f>
        <v>5.3661046110565866</v>
      </c>
      <c r="BB241" s="676">
        <f>BA241-BB239-BB240</f>
        <v>1.4012023439315009</v>
      </c>
      <c r="BC241" s="675">
        <f>BB241</f>
        <v>1.4012023439315009</v>
      </c>
      <c r="BD241" s="90"/>
      <c r="BE241" s="727">
        <v>0</v>
      </c>
      <c r="BF241" s="104"/>
      <c r="BG241" s="104"/>
      <c r="BH241" s="104"/>
      <c r="BI241" s="104"/>
      <c r="BJ241" s="90"/>
      <c r="BK241" s="26"/>
      <c r="BL241" s="26"/>
      <c r="BM241" s="26"/>
      <c r="BN241" s="26"/>
      <c r="BO241" s="26"/>
      <c r="BP241" s="90"/>
      <c r="BQ241" s="26"/>
      <c r="BR241" s="26"/>
      <c r="BS241" s="26"/>
      <c r="BT241" s="26"/>
      <c r="BU241" s="26"/>
      <c r="BV241" s="90"/>
      <c r="BW241" s="26"/>
      <c r="BX241" s="26"/>
      <c r="BY241" s="26"/>
      <c r="BZ241" s="26"/>
      <c r="CA241" s="26"/>
      <c r="CB241" s="90"/>
      <c r="CC241" s="26"/>
      <c r="CD241" s="26"/>
      <c r="CE241" s="26"/>
      <c r="CF241" s="26"/>
      <c r="CG241" s="26"/>
      <c r="CH241" s="90"/>
      <c r="CI241" s="26"/>
      <c r="CJ241" s="26"/>
      <c r="CK241" s="26"/>
      <c r="CL241" s="26"/>
      <c r="CM241" s="26"/>
      <c r="CN241" s="90"/>
      <c r="CO241" s="26"/>
      <c r="CP241" s="26"/>
      <c r="CQ241" s="26"/>
      <c r="CR241" s="26"/>
      <c r="CS241" s="26"/>
      <c r="CT241" s="90"/>
      <c r="CU241" s="26"/>
      <c r="CV241" s="26"/>
      <c r="CW241" s="26"/>
      <c r="CX241" s="26"/>
      <c r="CY241" s="26"/>
      <c r="CZ241" s="90"/>
      <c r="DA241" s="26"/>
      <c r="DB241" s="26"/>
      <c r="DC241" s="26"/>
      <c r="DD241" s="26"/>
      <c r="DE241" s="26"/>
      <c r="DF241" s="90"/>
      <c r="DG241" s="26"/>
      <c r="DH241" s="26"/>
      <c r="DI241" s="26"/>
      <c r="DJ241" s="26"/>
      <c r="DK241" s="26"/>
      <c r="DL241" s="90"/>
      <c r="DM241" s="26"/>
      <c r="DN241" s="26"/>
      <c r="DO241" s="26"/>
      <c r="DP241" s="26"/>
      <c r="DQ241" s="26"/>
      <c r="DR241" s="90"/>
      <c r="DS241" s="26"/>
      <c r="DT241" s="26"/>
      <c r="DU241" s="26"/>
      <c r="DV241" s="26"/>
      <c r="DW241" s="26"/>
      <c r="DX241" s="90"/>
      <c r="DY241" s="26"/>
      <c r="DZ241" s="26"/>
      <c r="EA241" s="26"/>
      <c r="EB241" s="26"/>
      <c r="EC241" s="26"/>
      <c r="ED241" s="90"/>
      <c r="EE241" s="26"/>
      <c r="EF241" s="26"/>
      <c r="EG241" s="26"/>
      <c r="EH241" s="26"/>
      <c r="EI241" s="26"/>
      <c r="EJ241" s="90"/>
      <c r="EK241" s="26"/>
      <c r="EL241" s="26"/>
      <c r="EM241" s="26"/>
      <c r="EN241" s="26"/>
      <c r="EO241" s="26"/>
      <c r="EP241" s="90"/>
      <c r="EQ241" s="26"/>
      <c r="ER241" s="26"/>
      <c r="ES241" s="26"/>
      <c r="ET241" s="26"/>
      <c r="EU241" s="26"/>
      <c r="EV241" s="90"/>
      <c r="EW241" s="90"/>
      <c r="EX241" s="90"/>
      <c r="EY241" s="90"/>
      <c r="EZ241" s="90"/>
      <c r="FA241" s="90"/>
      <c r="FB241" s="90"/>
    </row>
    <row r="242" spans="1:158" hidden="1" outlineLevel="1">
      <c r="A242" s="185"/>
      <c r="B242" s="32"/>
      <c r="C242" s="90"/>
      <c r="D242" s="90"/>
      <c r="E242" s="90"/>
      <c r="F242" s="90"/>
      <c r="G242" s="61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104"/>
      <c r="Z242" s="90"/>
      <c r="AA242" s="676"/>
      <c r="AB242" s="676"/>
      <c r="AC242" s="676"/>
      <c r="AD242" s="676"/>
      <c r="AE242" s="675"/>
      <c r="AF242" s="90"/>
      <c r="AG242" s="676"/>
      <c r="AH242" s="676"/>
      <c r="AI242" s="676"/>
      <c r="AJ242" s="676"/>
      <c r="AK242" s="675"/>
      <c r="AL242" s="90"/>
      <c r="AM242" s="676"/>
      <c r="AN242" s="676"/>
      <c r="AO242" s="676"/>
      <c r="AP242" s="676"/>
      <c r="AQ242" s="675"/>
      <c r="AR242" s="90"/>
      <c r="AS242" s="676"/>
      <c r="AT242" s="90"/>
      <c r="AU242" s="676"/>
      <c r="AV242" s="90"/>
      <c r="AW242" s="104"/>
      <c r="AX242" s="90"/>
      <c r="AY242" s="90"/>
      <c r="AZ242" s="90"/>
      <c r="BA242" s="90"/>
      <c r="BB242" s="90"/>
      <c r="BC242" s="104"/>
      <c r="BD242" s="90"/>
      <c r="BE242" s="104"/>
      <c r="BF242" s="104"/>
      <c r="BG242" s="104"/>
      <c r="BH242" s="104"/>
      <c r="BI242" s="104"/>
      <c r="BJ242" s="90"/>
      <c r="BK242" s="26"/>
      <c r="BL242" s="26"/>
      <c r="BM242" s="26"/>
      <c r="BN242" s="26"/>
      <c r="BO242" s="26"/>
      <c r="BP242" s="90"/>
      <c r="BQ242" s="26"/>
      <c r="BR242" s="26"/>
      <c r="BS242" s="26"/>
      <c r="BT242" s="26"/>
      <c r="BU242" s="26"/>
      <c r="BV242" s="90"/>
      <c r="BW242" s="26"/>
      <c r="BX242" s="26"/>
      <c r="BY242" s="26"/>
      <c r="BZ242" s="26"/>
      <c r="CA242" s="26"/>
      <c r="CB242" s="90"/>
      <c r="CC242" s="26"/>
      <c r="CD242" s="26"/>
      <c r="CE242" s="26"/>
      <c r="CF242" s="26"/>
      <c r="CG242" s="26"/>
      <c r="CH242" s="90"/>
      <c r="CI242" s="26"/>
      <c r="CJ242" s="26"/>
      <c r="CK242" s="26"/>
      <c r="CL242" s="26"/>
      <c r="CM242" s="26"/>
      <c r="CN242" s="90"/>
      <c r="CO242" s="26"/>
      <c r="CP242" s="26"/>
      <c r="CQ242" s="26"/>
      <c r="CR242" s="26"/>
      <c r="CS242" s="26"/>
      <c r="CT242" s="90"/>
      <c r="CU242" s="26"/>
      <c r="CV242" s="26"/>
      <c r="CW242" s="26"/>
      <c r="CX242" s="26"/>
      <c r="CY242" s="26"/>
      <c r="CZ242" s="90"/>
      <c r="DA242" s="26"/>
      <c r="DB242" s="26"/>
      <c r="DC242" s="26"/>
      <c r="DD242" s="26"/>
      <c r="DE242" s="26"/>
      <c r="DF242" s="90"/>
      <c r="DG242" s="26"/>
      <c r="DH242" s="26"/>
      <c r="DI242" s="26"/>
      <c r="DJ242" s="26"/>
      <c r="DK242" s="26"/>
      <c r="DL242" s="90"/>
      <c r="DM242" s="26"/>
      <c r="DN242" s="26"/>
      <c r="DO242" s="26"/>
      <c r="DP242" s="26"/>
      <c r="DQ242" s="26"/>
      <c r="DR242" s="90"/>
      <c r="DS242" s="26"/>
      <c r="DT242" s="26"/>
      <c r="DU242" s="26"/>
      <c r="DV242" s="26"/>
      <c r="DW242" s="26"/>
      <c r="DX242" s="90"/>
      <c r="DY242" s="26"/>
      <c r="DZ242" s="26"/>
      <c r="EA242" s="26"/>
      <c r="EB242" s="26"/>
      <c r="EC242" s="26"/>
      <c r="ED242" s="90"/>
      <c r="EE242" s="26"/>
      <c r="EF242" s="26"/>
      <c r="EG242" s="26"/>
      <c r="EH242" s="26"/>
      <c r="EI242" s="26"/>
      <c r="EJ242" s="90"/>
      <c r="EK242" s="26"/>
      <c r="EL242" s="26"/>
      <c r="EM242" s="26"/>
      <c r="EN242" s="26"/>
      <c r="EO242" s="26"/>
      <c r="EP242" s="90"/>
      <c r="EQ242" s="26"/>
      <c r="ER242" s="26"/>
      <c r="ES242" s="26"/>
      <c r="ET242" s="26"/>
      <c r="EU242" s="26"/>
      <c r="EV242" s="90"/>
      <c r="EW242" s="90"/>
      <c r="EX242" s="90"/>
      <c r="EY242" s="90"/>
      <c r="EZ242" s="90"/>
      <c r="FA242" s="90"/>
      <c r="FB242" s="90"/>
    </row>
    <row r="243" spans="1:158" hidden="1" outlineLevel="1">
      <c r="A243" s="677" t="s">
        <v>2993</v>
      </c>
      <c r="B243" s="32"/>
      <c r="C243" s="90"/>
      <c r="D243" s="90"/>
      <c r="E243" s="90"/>
      <c r="F243" s="90"/>
      <c r="G243" s="61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104"/>
      <c r="Z243" s="90"/>
      <c r="AA243" s="676"/>
      <c r="AB243" s="676"/>
      <c r="AC243" s="676"/>
      <c r="AD243" s="676"/>
      <c r="AE243" s="675"/>
      <c r="AF243" s="90"/>
      <c r="AG243" s="676"/>
      <c r="AH243" s="676"/>
      <c r="AI243" s="676"/>
      <c r="AJ243" s="676"/>
      <c r="AK243" s="675"/>
      <c r="AL243" s="90"/>
      <c r="AM243" s="675">
        <f>$AK228/($AK221*4)</f>
        <v>3.8952660000000003</v>
      </c>
      <c r="AN243" s="675">
        <f>$AK228/($AK221*4)</f>
        <v>3.8952660000000003</v>
      </c>
      <c r="AO243" s="675">
        <f>$AK228/($AK221*4)</f>
        <v>3.8952660000000003</v>
      </c>
      <c r="AP243" s="675">
        <f>$AK228/($AK221*4)</f>
        <v>3.8952660000000003</v>
      </c>
      <c r="AQ243" s="675">
        <f>SUM(AM243:AP243)</f>
        <v>15.581064000000001</v>
      </c>
      <c r="AR243" s="90"/>
      <c r="AS243" s="675">
        <f>$AK228/($AK221*4)</f>
        <v>3.8952660000000003</v>
      </c>
      <c r="AT243" s="675">
        <f>$AK228/($AK221*4)</f>
        <v>3.8952660000000003</v>
      </c>
      <c r="AU243" s="675">
        <f>$AK228/($AK221*4)</f>
        <v>3.8952660000000003</v>
      </c>
      <c r="AV243" s="675">
        <f>$AK228/($AK221*4)</f>
        <v>3.8952660000000003</v>
      </c>
      <c r="AW243" s="675">
        <f>SUM(AS243:AV243)</f>
        <v>15.581064000000001</v>
      </c>
      <c r="AX243" s="90"/>
      <c r="AY243" s="675">
        <f>$AK228/($AK221*4)</f>
        <v>3.8952660000000003</v>
      </c>
      <c r="AZ243" s="675">
        <f>$AK228/($AK221*4)</f>
        <v>3.8952660000000003</v>
      </c>
      <c r="BA243" s="675">
        <f>$AK228/($AK221*4)</f>
        <v>3.8952660000000003</v>
      </c>
      <c r="BB243" s="675">
        <f>$AK228/($AK221*4)</f>
        <v>3.8952660000000003</v>
      </c>
      <c r="BC243" s="675">
        <f>SUM(AY243:BB243)</f>
        <v>15.581064000000001</v>
      </c>
      <c r="BD243" s="90"/>
      <c r="BE243" s="675">
        <f>$AK228/($AK221*4)</f>
        <v>3.8952660000000003</v>
      </c>
      <c r="BF243" s="675">
        <f>$AK228/($AK221*4)</f>
        <v>3.8952660000000003</v>
      </c>
      <c r="BG243" s="675">
        <f>$AK228/($AK221*4)</f>
        <v>3.8952660000000003</v>
      </c>
      <c r="BH243" s="726">
        <f>BG245-BH244</f>
        <v>3.9293204398850605</v>
      </c>
      <c r="BI243" s="675"/>
      <c r="BJ243" s="90"/>
      <c r="BK243" s="26"/>
      <c r="BL243" s="26"/>
      <c r="BM243" s="26"/>
      <c r="BN243" s="26"/>
      <c r="BO243" s="26"/>
      <c r="BP243" s="90"/>
      <c r="BQ243" s="26"/>
      <c r="BR243" s="26"/>
      <c r="BS243" s="26"/>
      <c r="BT243" s="26"/>
      <c r="BU243" s="26"/>
      <c r="BV243" s="90"/>
      <c r="BW243" s="26"/>
      <c r="BX243" s="26"/>
      <c r="BY243" s="26"/>
      <c r="BZ243" s="26"/>
      <c r="CA243" s="26"/>
      <c r="CB243" s="90"/>
      <c r="CC243" s="26"/>
      <c r="CD243" s="26"/>
      <c r="CE243" s="26"/>
      <c r="CF243" s="26"/>
      <c r="CG243" s="26"/>
      <c r="CH243" s="90"/>
      <c r="CI243" s="26"/>
      <c r="CJ243" s="26"/>
      <c r="CK243" s="26"/>
      <c r="CL243" s="26"/>
      <c r="CM243" s="26"/>
      <c r="CN243" s="90"/>
      <c r="CO243" s="26"/>
      <c r="CP243" s="26"/>
      <c r="CQ243" s="26"/>
      <c r="CR243" s="26"/>
      <c r="CS243" s="26"/>
      <c r="CT243" s="90"/>
      <c r="CU243" s="26"/>
      <c r="CV243" s="26"/>
      <c r="CW243" s="26"/>
      <c r="CX243" s="26"/>
      <c r="CY243" s="26"/>
      <c r="CZ243" s="90"/>
      <c r="DA243" s="26"/>
      <c r="DB243" s="26"/>
      <c r="DC243" s="26"/>
      <c r="DD243" s="26"/>
      <c r="DE243" s="26"/>
      <c r="DF243" s="90"/>
      <c r="DG243" s="26"/>
      <c r="DH243" s="26"/>
      <c r="DI243" s="26"/>
      <c r="DJ243" s="26"/>
      <c r="DK243" s="26"/>
      <c r="DL243" s="90"/>
      <c r="DM243" s="26"/>
      <c r="DN243" s="26"/>
      <c r="DO243" s="26"/>
      <c r="DP243" s="26"/>
      <c r="DQ243" s="26"/>
      <c r="DR243" s="90"/>
      <c r="DS243" s="26"/>
      <c r="DT243" s="26"/>
      <c r="DU243" s="26"/>
      <c r="DV243" s="26"/>
      <c r="DW243" s="26"/>
      <c r="DX243" s="90"/>
      <c r="DY243" s="26"/>
      <c r="DZ243" s="26"/>
      <c r="EA243" s="26"/>
      <c r="EB243" s="26"/>
      <c r="EC243" s="26"/>
      <c r="ED243" s="90"/>
      <c r="EE243" s="26"/>
      <c r="EF243" s="26"/>
      <c r="EG243" s="26"/>
      <c r="EH243" s="26"/>
      <c r="EI243" s="26"/>
      <c r="EJ243" s="90"/>
      <c r="EK243" s="26"/>
      <c r="EL243" s="26"/>
      <c r="EM243" s="26"/>
      <c r="EN243" s="26"/>
      <c r="EO243" s="26"/>
      <c r="EP243" s="90"/>
      <c r="EQ243" s="26"/>
      <c r="ER243" s="26"/>
      <c r="ES243" s="26"/>
      <c r="ET243" s="26"/>
      <c r="EU243" s="26"/>
      <c r="EV243" s="90"/>
      <c r="EW243" s="90"/>
      <c r="EX243" s="90"/>
      <c r="EY243" s="90"/>
      <c r="EZ243" s="90"/>
      <c r="FA243" s="90"/>
      <c r="FB243" s="90"/>
    </row>
    <row r="244" spans="1:158" hidden="1" outlineLevel="1">
      <c r="A244" s="677" t="s">
        <v>2094</v>
      </c>
      <c r="B244" s="32"/>
      <c r="C244" s="90"/>
      <c r="D244" s="90"/>
      <c r="E244" s="90"/>
      <c r="F244" s="90"/>
      <c r="G244" s="61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104"/>
      <c r="Z244" s="90"/>
      <c r="AA244" s="676"/>
      <c r="AB244" s="676"/>
      <c r="AC244" s="676"/>
      <c r="AD244" s="676"/>
      <c r="AE244" s="675"/>
      <c r="AF244" s="90"/>
      <c r="AG244" s="676"/>
      <c r="AH244" s="676"/>
      <c r="AI244" s="676"/>
      <c r="AJ244" s="676"/>
      <c r="AK244" s="675"/>
      <c r="AL244" s="90"/>
      <c r="AM244" s="675">
        <f>$AK$228*$AQ$216/4</f>
        <v>2.6000424119880949</v>
      </c>
      <c r="AN244" s="675">
        <f>AM245*$AQ$216/4</f>
        <v>2.3832654659449735</v>
      </c>
      <c r="AO244" s="675">
        <f>AN245*$AQ$216/4</f>
        <v>2.1737233179060622</v>
      </c>
      <c r="AP244" s="675">
        <f>AO245*$AQ$216/4</f>
        <v>1.9711745109124135</v>
      </c>
      <c r="AQ244" s="675">
        <f>SUM(AM244:AP244)</f>
        <v>9.1282057067515439</v>
      </c>
      <c r="AR244" s="90"/>
      <c r="AS244" s="675">
        <f>AP245*$AW$216/4</f>
        <v>1.3573915916914974</v>
      </c>
      <c r="AT244" s="675">
        <f>AS245*$AW$216/4</f>
        <v>1.2233607151566381</v>
      </c>
      <c r="AU244" s="675">
        <f>AT245*$AW$216/4</f>
        <v>1.0927498742039798</v>
      </c>
      <c r="AV244" s="675">
        <f>AU245*$AW$216/4</f>
        <v>0.96547180055858506</v>
      </c>
      <c r="AW244" s="675">
        <f>SUM(AS244:AV244)</f>
        <v>4.6389739816107003</v>
      </c>
      <c r="AX244" s="90"/>
      <c r="AY244" s="675">
        <f>AV245*$BC$216/4</f>
        <v>0.41036247752552835</v>
      </c>
      <c r="AZ244" s="675">
        <f>AY245*$BC$216/4</f>
        <v>0.35678206420434916</v>
      </c>
      <c r="BA244" s="675">
        <f>AZ245*$BC$216/4</f>
        <v>0.30386842013803106</v>
      </c>
      <c r="BB244" s="675">
        <f>BA245*$BC$216/4</f>
        <v>0.25161324786838607</v>
      </c>
      <c r="BC244" s="675">
        <f>SUM(AY244:BB244)</f>
        <v>1.3226262097362946</v>
      </c>
      <c r="BD244" s="90"/>
      <c r="BE244" s="675">
        <f>BB245*$BI$216/4</f>
        <v>0.16676700747111131</v>
      </c>
      <c r="BF244" s="675">
        <f>BE245*$BI$216/4</f>
        <v>0.12461920302755222</v>
      </c>
      <c r="BG244" s="675">
        <f>BF245*$BI$216/4</f>
        <v>8.290872575886965E-2</v>
      </c>
      <c r="BH244" s="726">
        <f>BG244</f>
        <v>8.290872575886965E-2</v>
      </c>
      <c r="BI244" s="675"/>
      <c r="BJ244" s="90"/>
      <c r="BK244" s="26"/>
      <c r="BL244" s="26"/>
      <c r="BM244" s="26"/>
      <c r="BN244" s="26"/>
      <c r="BO244" s="26"/>
      <c r="BP244" s="90"/>
      <c r="BQ244" s="26"/>
      <c r="BR244" s="26"/>
      <c r="BS244" s="26"/>
      <c r="BT244" s="26"/>
      <c r="BU244" s="26"/>
      <c r="BV244" s="90"/>
      <c r="BW244" s="26"/>
      <c r="BX244" s="26"/>
      <c r="BY244" s="26"/>
      <c r="BZ244" s="26"/>
      <c r="CA244" s="26"/>
      <c r="CB244" s="90"/>
      <c r="CC244" s="26"/>
      <c r="CD244" s="26"/>
      <c r="CE244" s="26"/>
      <c r="CF244" s="26"/>
      <c r="CG244" s="26"/>
      <c r="CH244" s="90"/>
      <c r="CI244" s="26"/>
      <c r="CJ244" s="26"/>
      <c r="CK244" s="26"/>
      <c r="CL244" s="26"/>
      <c r="CM244" s="26"/>
      <c r="CN244" s="90"/>
      <c r="CO244" s="26"/>
      <c r="CP244" s="26"/>
      <c r="CQ244" s="26"/>
      <c r="CR244" s="26"/>
      <c r="CS244" s="26"/>
      <c r="CT244" s="90"/>
      <c r="CU244" s="26"/>
      <c r="CV244" s="26"/>
      <c r="CW244" s="26"/>
      <c r="CX244" s="26"/>
      <c r="CY244" s="26"/>
      <c r="CZ244" s="90"/>
      <c r="DA244" s="26"/>
      <c r="DB244" s="26"/>
      <c r="DC244" s="26"/>
      <c r="DD244" s="26"/>
      <c r="DE244" s="26"/>
      <c r="DF244" s="90"/>
      <c r="DG244" s="26"/>
      <c r="DH244" s="26"/>
      <c r="DI244" s="26"/>
      <c r="DJ244" s="26"/>
      <c r="DK244" s="26"/>
      <c r="DL244" s="90"/>
      <c r="DM244" s="26"/>
      <c r="DN244" s="26"/>
      <c r="DO244" s="26"/>
      <c r="DP244" s="26"/>
      <c r="DQ244" s="26"/>
      <c r="DR244" s="90"/>
      <c r="DS244" s="26"/>
      <c r="DT244" s="26"/>
      <c r="DU244" s="26"/>
      <c r="DV244" s="26"/>
      <c r="DW244" s="26"/>
      <c r="DX244" s="90"/>
      <c r="DY244" s="26"/>
      <c r="DZ244" s="26"/>
      <c r="EA244" s="26"/>
      <c r="EB244" s="26"/>
      <c r="EC244" s="26"/>
      <c r="ED244" s="90"/>
      <c r="EE244" s="26"/>
      <c r="EF244" s="26"/>
      <c r="EG244" s="26"/>
      <c r="EH244" s="26"/>
      <c r="EI244" s="26"/>
      <c r="EJ244" s="90"/>
      <c r="EK244" s="26"/>
      <c r="EL244" s="26"/>
      <c r="EM244" s="26"/>
      <c r="EN244" s="26"/>
      <c r="EO244" s="26"/>
      <c r="EP244" s="90"/>
      <c r="EQ244" s="26"/>
      <c r="ER244" s="26"/>
      <c r="ES244" s="26"/>
      <c r="ET244" s="26"/>
      <c r="EU244" s="26"/>
      <c r="EV244" s="90"/>
      <c r="EW244" s="90"/>
      <c r="EX244" s="90"/>
      <c r="EY244" s="90"/>
      <c r="EZ244" s="90"/>
      <c r="FA244" s="90"/>
      <c r="FB244" s="90"/>
    </row>
    <row r="245" spans="1:158" hidden="1" outlineLevel="1">
      <c r="A245" s="185" t="s">
        <v>2095</v>
      </c>
      <c r="B245" s="32"/>
      <c r="C245" s="90"/>
      <c r="D245" s="90"/>
      <c r="E245" s="90"/>
      <c r="F245" s="90"/>
      <c r="G245" s="61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104"/>
      <c r="Z245" s="90"/>
      <c r="AA245" s="676"/>
      <c r="AB245" s="676"/>
      <c r="AC245" s="676"/>
      <c r="AD245" s="676"/>
      <c r="AE245" s="675"/>
      <c r="AF245" s="90"/>
      <c r="AG245" s="676"/>
      <c r="AH245" s="676"/>
      <c r="AI245" s="676"/>
      <c r="AJ245" s="676"/>
      <c r="AK245" s="675"/>
      <c r="AL245" s="90"/>
      <c r="AM245" s="676">
        <f>AK228-AM243-AM244</f>
        <v>71.410011588011898</v>
      </c>
      <c r="AN245" s="676">
        <f>AM245-AN243-AN244</f>
        <v>65.131480122066918</v>
      </c>
      <c r="AO245" s="676">
        <f>AN245-AO243-AO244</f>
        <v>59.062490804160859</v>
      </c>
      <c r="AP245" s="676">
        <f>AO245-AP243-AP244</f>
        <v>53.196050293248447</v>
      </c>
      <c r="AQ245" s="675">
        <f>AP245</f>
        <v>53.196050293248447</v>
      </c>
      <c r="AR245" s="90"/>
      <c r="AS245" s="676">
        <f>AQ245-AS243-AS244</f>
        <v>47.943392701556952</v>
      </c>
      <c r="AT245" s="676">
        <f>AS245-AT243-AT244</f>
        <v>42.824765986400315</v>
      </c>
      <c r="AU245" s="676">
        <f>AT245-AU243-AU244</f>
        <v>37.836750112196334</v>
      </c>
      <c r="AV245" s="676">
        <f>AU245-AV243-AV244</f>
        <v>32.976012311637753</v>
      </c>
      <c r="AW245" s="675">
        <f>AV245</f>
        <v>32.976012311637753</v>
      </c>
      <c r="AX245" s="90"/>
      <c r="AY245" s="676">
        <f>AW245-AY243-AY244</f>
        <v>28.670383834112226</v>
      </c>
      <c r="AZ245" s="676">
        <f>AY245-AZ243-AZ244</f>
        <v>24.418335769907877</v>
      </c>
      <c r="BA245" s="676">
        <f>AZ245-BA243-BA244</f>
        <v>20.219201349769847</v>
      </c>
      <c r="BB245" s="676">
        <f>BA245-BB243-BB244</f>
        <v>16.072322101901463</v>
      </c>
      <c r="BC245" s="675">
        <f>BB245</f>
        <v>16.072322101901463</v>
      </c>
      <c r="BD245" s="90"/>
      <c r="BE245" s="676">
        <f>BC245-BE243-BE244</f>
        <v>12.010289094430352</v>
      </c>
      <c r="BF245" s="676">
        <f>BE245-BF243-BF244</f>
        <v>7.9904038914028002</v>
      </c>
      <c r="BG245" s="676">
        <f>BF245-BG243-BG244</f>
        <v>4.0122291656439302</v>
      </c>
      <c r="BH245" s="725">
        <f>BG245-BH243-BH244</f>
        <v>0</v>
      </c>
      <c r="BI245" s="675"/>
      <c r="BJ245" s="90"/>
      <c r="BK245" s="26"/>
      <c r="BL245" s="26"/>
      <c r="BM245" s="26"/>
      <c r="BN245" s="26"/>
      <c r="BO245" s="26"/>
      <c r="BP245" s="90"/>
      <c r="BQ245" s="26"/>
      <c r="BR245" s="26"/>
      <c r="BS245" s="26"/>
      <c r="BT245" s="26"/>
      <c r="BU245" s="26"/>
      <c r="BV245" s="90"/>
      <c r="BW245" s="26"/>
      <c r="BX245" s="26"/>
      <c r="BY245" s="26"/>
      <c r="BZ245" s="26"/>
      <c r="CA245" s="26"/>
      <c r="CB245" s="90"/>
      <c r="CC245" s="26"/>
      <c r="CD245" s="26"/>
      <c r="CE245" s="26"/>
      <c r="CF245" s="26"/>
      <c r="CG245" s="26"/>
      <c r="CH245" s="90"/>
      <c r="CI245" s="26"/>
      <c r="CJ245" s="26"/>
      <c r="CK245" s="26"/>
      <c r="CL245" s="26"/>
      <c r="CM245" s="26"/>
      <c r="CN245" s="90"/>
      <c r="CO245" s="26"/>
      <c r="CP245" s="26"/>
      <c r="CQ245" s="26"/>
      <c r="CR245" s="26"/>
      <c r="CS245" s="26"/>
      <c r="CT245" s="90"/>
      <c r="CU245" s="26"/>
      <c r="CV245" s="26"/>
      <c r="CW245" s="26"/>
      <c r="CX245" s="26"/>
      <c r="CY245" s="26"/>
      <c r="CZ245" s="90"/>
      <c r="DA245" s="26"/>
      <c r="DB245" s="26"/>
      <c r="DC245" s="26"/>
      <c r="DD245" s="26"/>
      <c r="DE245" s="26"/>
      <c r="DF245" s="90"/>
      <c r="DG245" s="26"/>
      <c r="DH245" s="26"/>
      <c r="DI245" s="26"/>
      <c r="DJ245" s="26"/>
      <c r="DK245" s="26"/>
      <c r="DL245" s="90"/>
      <c r="DM245" s="26"/>
      <c r="DN245" s="26"/>
      <c r="DO245" s="26"/>
      <c r="DP245" s="26"/>
      <c r="DQ245" s="26"/>
      <c r="DR245" s="90"/>
      <c r="DS245" s="26"/>
      <c r="DT245" s="26"/>
      <c r="DU245" s="26"/>
      <c r="DV245" s="26"/>
      <c r="DW245" s="26"/>
      <c r="DX245" s="90"/>
      <c r="DY245" s="26"/>
      <c r="DZ245" s="26"/>
      <c r="EA245" s="26"/>
      <c r="EB245" s="26"/>
      <c r="EC245" s="26"/>
      <c r="ED245" s="90"/>
      <c r="EE245" s="26"/>
      <c r="EF245" s="26"/>
      <c r="EG245" s="26"/>
      <c r="EH245" s="26"/>
      <c r="EI245" s="26"/>
      <c r="EJ245" s="90"/>
      <c r="EK245" s="26"/>
      <c r="EL245" s="26"/>
      <c r="EM245" s="26"/>
      <c r="EN245" s="26"/>
      <c r="EO245" s="26"/>
      <c r="EP245" s="90"/>
      <c r="EQ245" s="26"/>
      <c r="ER245" s="26"/>
      <c r="ES245" s="26"/>
      <c r="ET245" s="26"/>
      <c r="EU245" s="26"/>
      <c r="EV245" s="90"/>
      <c r="EW245" s="90"/>
      <c r="EX245" s="90"/>
      <c r="EY245" s="90"/>
      <c r="EZ245" s="90"/>
      <c r="FA245" s="90"/>
      <c r="FB245" s="90"/>
    </row>
    <row r="246" spans="1:158" hidden="1" outlineLevel="1">
      <c r="A246" s="185"/>
      <c r="B246" s="32"/>
      <c r="C246" s="90"/>
      <c r="D246" s="90"/>
      <c r="E246" s="90"/>
      <c r="F246" s="90"/>
      <c r="G246" s="61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104"/>
      <c r="Z246" s="90"/>
      <c r="AA246" s="676"/>
      <c r="AB246" s="676"/>
      <c r="AC246" s="676"/>
      <c r="AD246" s="676"/>
      <c r="AE246" s="675"/>
      <c r="AF246" s="90"/>
      <c r="AG246" s="676"/>
      <c r="AH246" s="676"/>
      <c r="AI246" s="676"/>
      <c r="AJ246" s="676"/>
      <c r="AK246" s="675"/>
      <c r="AL246" s="90"/>
      <c r="AM246" s="676"/>
      <c r="AN246" s="676"/>
      <c r="AO246" s="676"/>
      <c r="AP246" s="676"/>
      <c r="AQ246" s="675"/>
      <c r="AR246" s="90"/>
      <c r="AS246" s="676"/>
      <c r="AT246" s="90"/>
      <c r="AU246" s="676"/>
      <c r="AV246" s="90"/>
      <c r="AW246" s="104"/>
      <c r="AX246" s="90"/>
      <c r="AY246" s="90"/>
      <c r="AZ246" s="90"/>
      <c r="BA246" s="90"/>
      <c r="BB246" s="90"/>
      <c r="BC246" s="104"/>
      <c r="BD246" s="90"/>
      <c r="BE246" s="104"/>
      <c r="BF246" s="104"/>
      <c r="BG246" s="104"/>
      <c r="BH246" s="104"/>
      <c r="BI246" s="104"/>
      <c r="BJ246" s="90"/>
      <c r="BK246" s="26"/>
      <c r="BL246" s="26"/>
      <c r="BM246" s="26"/>
      <c r="BN246" s="26"/>
      <c r="BO246" s="26"/>
      <c r="BP246" s="90"/>
      <c r="BQ246" s="26"/>
      <c r="BR246" s="26"/>
      <c r="BS246" s="26"/>
      <c r="BT246" s="26"/>
      <c r="BU246" s="26"/>
      <c r="BV246" s="90"/>
      <c r="BW246" s="26"/>
      <c r="BX246" s="26"/>
      <c r="BY246" s="26"/>
      <c r="BZ246" s="26"/>
      <c r="CA246" s="26"/>
      <c r="CB246" s="90"/>
      <c r="CC246" s="26"/>
      <c r="CD246" s="26"/>
      <c r="CE246" s="26"/>
      <c r="CF246" s="26"/>
      <c r="CG246" s="26"/>
      <c r="CH246" s="90"/>
      <c r="CI246" s="26"/>
      <c r="CJ246" s="26"/>
      <c r="CK246" s="26"/>
      <c r="CL246" s="26"/>
      <c r="CM246" s="26"/>
      <c r="CN246" s="90"/>
      <c r="CO246" s="26"/>
      <c r="CP246" s="26"/>
      <c r="CQ246" s="26"/>
      <c r="CR246" s="26"/>
      <c r="CS246" s="26"/>
      <c r="CT246" s="90"/>
      <c r="CU246" s="26"/>
      <c r="CV246" s="26"/>
      <c r="CW246" s="26"/>
      <c r="CX246" s="26"/>
      <c r="CY246" s="26"/>
      <c r="CZ246" s="90"/>
      <c r="DA246" s="26"/>
      <c r="DB246" s="26"/>
      <c r="DC246" s="26"/>
      <c r="DD246" s="26"/>
      <c r="DE246" s="26"/>
      <c r="DF246" s="90"/>
      <c r="DG246" s="26"/>
      <c r="DH246" s="26"/>
      <c r="DI246" s="26"/>
      <c r="DJ246" s="26"/>
      <c r="DK246" s="26"/>
      <c r="DL246" s="90"/>
      <c r="DM246" s="26"/>
      <c r="DN246" s="26"/>
      <c r="DO246" s="26"/>
      <c r="DP246" s="26"/>
      <c r="DQ246" s="26"/>
      <c r="DR246" s="90"/>
      <c r="DS246" s="26"/>
      <c r="DT246" s="26"/>
      <c r="DU246" s="26"/>
      <c r="DV246" s="26"/>
      <c r="DW246" s="26"/>
      <c r="DX246" s="90"/>
      <c r="DY246" s="26"/>
      <c r="DZ246" s="26"/>
      <c r="EA246" s="26"/>
      <c r="EB246" s="26"/>
      <c r="EC246" s="26"/>
      <c r="ED246" s="90"/>
      <c r="EE246" s="26"/>
      <c r="EF246" s="26"/>
      <c r="EG246" s="26"/>
      <c r="EH246" s="26"/>
      <c r="EI246" s="26"/>
      <c r="EJ246" s="90"/>
      <c r="EK246" s="26"/>
      <c r="EL246" s="26"/>
      <c r="EM246" s="26"/>
      <c r="EN246" s="26"/>
      <c r="EO246" s="26"/>
      <c r="EP246" s="90"/>
      <c r="EQ246" s="26"/>
      <c r="ER246" s="26"/>
      <c r="ES246" s="26"/>
      <c r="ET246" s="26"/>
      <c r="EU246" s="26"/>
      <c r="EV246" s="90"/>
      <c r="EW246" s="90"/>
      <c r="EX246" s="90"/>
      <c r="EY246" s="90"/>
      <c r="EZ246" s="90"/>
      <c r="FA246" s="90"/>
      <c r="FB246" s="90"/>
    </row>
    <row r="247" spans="1:158" hidden="1" outlineLevel="1">
      <c r="A247" s="677" t="s">
        <v>2994</v>
      </c>
      <c r="B247" s="32"/>
      <c r="C247" s="90"/>
      <c r="D247" s="90"/>
      <c r="E247" s="90"/>
      <c r="F247" s="90"/>
      <c r="G247" s="61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104"/>
      <c r="Z247" s="90"/>
      <c r="AA247" s="676"/>
      <c r="AB247" s="676"/>
      <c r="AC247" s="676"/>
      <c r="AD247" s="676"/>
      <c r="AE247" s="675"/>
      <c r="AF247" s="90"/>
      <c r="AG247" s="676"/>
      <c r="AH247" s="676"/>
      <c r="AI247" s="676"/>
      <c r="AJ247" s="676"/>
      <c r="AK247" s="675"/>
      <c r="AL247" s="90"/>
      <c r="AM247" s="676"/>
      <c r="AN247" s="676"/>
      <c r="AO247" s="676"/>
      <c r="AP247" s="676"/>
      <c r="AQ247" s="675"/>
      <c r="AR247" s="90"/>
      <c r="AS247" s="675">
        <f>$AQ228/($AQ221*4)</f>
        <v>2.9759009999999999</v>
      </c>
      <c r="AT247" s="675">
        <f>$AQ228/($AQ221*4)</f>
        <v>2.9759009999999999</v>
      </c>
      <c r="AU247" s="675">
        <f>$AQ228/($AQ221*4)</f>
        <v>2.9759009999999999</v>
      </c>
      <c r="AV247" s="675">
        <f>$AQ228/($AQ221*4)</f>
        <v>2.9759009999999999</v>
      </c>
      <c r="AW247" s="675">
        <f>SUM(AS247:AV247)</f>
        <v>11.903604</v>
      </c>
      <c r="AX247" s="90"/>
      <c r="AY247" s="675">
        <f>$AQ228/($AQ221*4)</f>
        <v>2.9759009999999999</v>
      </c>
      <c r="AZ247" s="675">
        <f>$AQ228/($AQ221*4)</f>
        <v>2.9759009999999999</v>
      </c>
      <c r="BA247" s="675">
        <f>$AQ228/($AQ221*4)</f>
        <v>2.9759009999999999</v>
      </c>
      <c r="BB247" s="675">
        <f>$AQ228/($AQ221*4)</f>
        <v>2.9759009999999999</v>
      </c>
      <c r="BC247" s="675">
        <f>SUM(AY247:BB247)</f>
        <v>11.903604</v>
      </c>
      <c r="BD247" s="90"/>
      <c r="BE247" s="675">
        <f>$AQ228/($AQ221*4)</f>
        <v>2.9759009999999999</v>
      </c>
      <c r="BF247" s="675">
        <f>$AQ228/($AQ221*4)</f>
        <v>2.9759009999999999</v>
      </c>
      <c r="BG247" s="675">
        <f>$AQ228/($AQ221*4)</f>
        <v>2.9759009999999999</v>
      </c>
      <c r="BH247" s="675">
        <f>$AQ228/($AQ221*4)</f>
        <v>2.9759009999999999</v>
      </c>
      <c r="BI247" s="675">
        <f>SUM(BE247:BH247)</f>
        <v>11.903604</v>
      </c>
      <c r="BJ247" s="90"/>
      <c r="BK247" s="675">
        <f>$AQ228/($AQ221*4)</f>
        <v>2.9759009999999999</v>
      </c>
      <c r="BL247" s="675">
        <f>$AQ228/($AQ221*4)</f>
        <v>2.9759009999999999</v>
      </c>
      <c r="BM247" s="675">
        <f>BL249-BM248</f>
        <v>9.1694366431562564</v>
      </c>
      <c r="BN247" s="675"/>
      <c r="BO247" s="675"/>
      <c r="BP247" s="90"/>
      <c r="BQ247" s="26"/>
      <c r="BR247" s="26"/>
      <c r="BS247" s="26"/>
      <c r="BT247" s="26"/>
      <c r="BU247" s="26"/>
      <c r="BV247" s="90"/>
      <c r="BW247" s="26"/>
      <c r="BX247" s="26"/>
      <c r="BY247" s="26"/>
      <c r="BZ247" s="26"/>
      <c r="CA247" s="26"/>
      <c r="CB247" s="90"/>
      <c r="CC247" s="26"/>
      <c r="CD247" s="26"/>
      <c r="CE247" s="26"/>
      <c r="CF247" s="26"/>
      <c r="CG247" s="26"/>
      <c r="CH247" s="90"/>
      <c r="CI247" s="26"/>
      <c r="CJ247" s="26"/>
      <c r="CK247" s="26"/>
      <c r="CL247" s="26"/>
      <c r="CM247" s="26"/>
      <c r="CN247" s="90"/>
      <c r="CO247" s="26"/>
      <c r="CP247" s="26"/>
      <c r="CQ247" s="26"/>
      <c r="CR247" s="26"/>
      <c r="CS247" s="26"/>
      <c r="CT247" s="90"/>
      <c r="CU247" s="26"/>
      <c r="CV247" s="26"/>
      <c r="CW247" s="26"/>
      <c r="CX247" s="26"/>
      <c r="CY247" s="26"/>
      <c r="CZ247" s="90"/>
      <c r="DA247" s="26"/>
      <c r="DB247" s="26"/>
      <c r="DC247" s="26"/>
      <c r="DD247" s="26"/>
      <c r="DE247" s="26"/>
      <c r="DF247" s="90"/>
      <c r="DG247" s="26"/>
      <c r="DH247" s="26"/>
      <c r="DI247" s="26"/>
      <c r="DJ247" s="26"/>
      <c r="DK247" s="26"/>
      <c r="DL247" s="90"/>
      <c r="DM247" s="26"/>
      <c r="DN247" s="26"/>
      <c r="DO247" s="26"/>
      <c r="DP247" s="26"/>
      <c r="DQ247" s="26"/>
      <c r="DR247" s="90"/>
      <c r="DS247" s="26"/>
      <c r="DT247" s="26"/>
      <c r="DU247" s="26"/>
      <c r="DV247" s="26"/>
      <c r="DW247" s="26"/>
      <c r="DX247" s="90"/>
      <c r="DY247" s="26"/>
      <c r="DZ247" s="26"/>
      <c r="EA247" s="26"/>
      <c r="EB247" s="26"/>
      <c r="EC247" s="26"/>
      <c r="ED247" s="90"/>
      <c r="EE247" s="26"/>
      <c r="EF247" s="26"/>
      <c r="EG247" s="26"/>
      <c r="EH247" s="26"/>
      <c r="EI247" s="26"/>
      <c r="EJ247" s="90"/>
      <c r="EK247" s="26"/>
      <c r="EL247" s="26"/>
      <c r="EM247" s="26"/>
      <c r="EN247" s="26"/>
      <c r="EO247" s="26"/>
      <c r="EP247" s="90"/>
      <c r="EQ247" s="26"/>
      <c r="ER247" s="26"/>
      <c r="ES247" s="26"/>
      <c r="ET247" s="26"/>
      <c r="EU247" s="26"/>
      <c r="EV247" s="90"/>
      <c r="EW247" s="90"/>
      <c r="EX247" s="90"/>
      <c r="EY247" s="90"/>
      <c r="EZ247" s="90"/>
      <c r="FA247" s="90"/>
      <c r="FB247" s="90"/>
    </row>
    <row r="248" spans="1:158" hidden="1" outlineLevel="1">
      <c r="A248" s="677" t="s">
        <v>2094</v>
      </c>
      <c r="B248" s="32"/>
      <c r="C248" s="90"/>
      <c r="D248" s="90"/>
      <c r="E248" s="90"/>
      <c r="F248" s="90"/>
      <c r="G248" s="61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104"/>
      <c r="Z248" s="90"/>
      <c r="AA248" s="676"/>
      <c r="AB248" s="676"/>
      <c r="AC248" s="676"/>
      <c r="AD248" s="676"/>
      <c r="AE248" s="675"/>
      <c r="AF248" s="90"/>
      <c r="AG248" s="676"/>
      <c r="AH248" s="676"/>
      <c r="AI248" s="676"/>
      <c r="AJ248" s="676"/>
      <c r="AK248" s="675"/>
      <c r="AL248" s="90"/>
      <c r="AM248" s="676"/>
      <c r="AN248" s="676"/>
      <c r="AO248" s="676"/>
      <c r="AP248" s="676"/>
      <c r="AQ248" s="675"/>
      <c r="AR248" s="90"/>
      <c r="AS248" s="675">
        <f>$AQ$228*$AW$216/4</f>
        <v>1.5187078637749918</v>
      </c>
      <c r="AT248" s="675">
        <f>AS249*$AW$216/4</f>
        <v>1.4040199452923565</v>
      </c>
      <c r="AU248" s="675">
        <f>AT249*$AW$216/4</f>
        <v>1.2922584925032969</v>
      </c>
      <c r="AV248" s="675">
        <f>AU249*$AW$216/4</f>
        <v>1.1833488314441651</v>
      </c>
      <c r="AW248" s="675">
        <f>SUM(AS248:AV248)</f>
        <v>5.398335133014811</v>
      </c>
      <c r="AX248" s="90"/>
      <c r="AY248" s="675">
        <f>AV249*$BC$216/4</f>
        <v>0.52534840696551488</v>
      </c>
      <c r="AZ248" s="675">
        <f>AY249*$BC$216/4</f>
        <v>0.4817779058540117</v>
      </c>
      <c r="BA248" s="675">
        <f>AZ249*$BC$216/4</f>
        <v>0.43874960792384454</v>
      </c>
      <c r="BB248" s="675">
        <f>BA249*$BC$216/4</f>
        <v>0.3962567658509672</v>
      </c>
      <c r="BC248" s="675">
        <f>SUM(AY248:BB248)</f>
        <v>1.8421326865943386</v>
      </c>
      <c r="BD248" s="90"/>
      <c r="BE248" s="675">
        <f>BB249*$BI$216/4</f>
        <v>0.2954093422551955</v>
      </c>
      <c r="BF248" s="675">
        <f>BE249*$BI$216/4</f>
        <v>0.26146610537701886</v>
      </c>
      <c r="BG248" s="675">
        <f>BF249*$BI$216/4</f>
        <v>0.22787506477777233</v>
      </c>
      <c r="BH248" s="675">
        <f>BG249*$BI$216/4</f>
        <v>0.19463256605586374</v>
      </c>
      <c r="BI248" s="675">
        <f>SUM(BE248:BH248)</f>
        <v>0.97938307846585049</v>
      </c>
      <c r="BJ248" s="90"/>
      <c r="BK248" s="675">
        <f>BH249*$BO$216/4</f>
        <v>0.1948419637740626</v>
      </c>
      <c r="BL248" s="675">
        <f>BK249*$BO$216/4</f>
        <v>0.15520767672688682</v>
      </c>
      <c r="BM248" s="675">
        <f>BL249*$BO$216/4</f>
        <v>0.11606881826780072</v>
      </c>
      <c r="BN248" s="675"/>
      <c r="BO248" s="675"/>
      <c r="BP248" s="90"/>
      <c r="BQ248" s="26"/>
      <c r="BR248" s="26"/>
      <c r="BS248" s="26"/>
      <c r="BT248" s="26"/>
      <c r="BU248" s="26"/>
      <c r="BV248" s="90"/>
      <c r="BW248" s="26"/>
      <c r="BX248" s="26"/>
      <c r="BY248" s="26"/>
      <c r="BZ248" s="26"/>
      <c r="CA248" s="26"/>
      <c r="CB248" s="90"/>
      <c r="CC248" s="26"/>
      <c r="CD248" s="26"/>
      <c r="CE248" s="26"/>
      <c r="CF248" s="26"/>
      <c r="CG248" s="26"/>
      <c r="CH248" s="90"/>
      <c r="CI248" s="26"/>
      <c r="CJ248" s="26"/>
      <c r="CK248" s="26"/>
      <c r="CL248" s="26"/>
      <c r="CM248" s="26"/>
      <c r="CN248" s="90"/>
      <c r="CO248" s="26"/>
      <c r="CP248" s="26"/>
      <c r="CQ248" s="26"/>
      <c r="CR248" s="26"/>
      <c r="CS248" s="26"/>
      <c r="CT248" s="90"/>
      <c r="CU248" s="26"/>
      <c r="CV248" s="26"/>
      <c r="CW248" s="26"/>
      <c r="CX248" s="26"/>
      <c r="CY248" s="26"/>
      <c r="CZ248" s="90"/>
      <c r="DA248" s="26"/>
      <c r="DB248" s="26"/>
      <c r="DC248" s="26"/>
      <c r="DD248" s="26"/>
      <c r="DE248" s="26"/>
      <c r="DF248" s="90"/>
      <c r="DG248" s="26"/>
      <c r="DH248" s="26"/>
      <c r="DI248" s="26"/>
      <c r="DJ248" s="26"/>
      <c r="DK248" s="26"/>
      <c r="DL248" s="90"/>
      <c r="DM248" s="26"/>
      <c r="DN248" s="26"/>
      <c r="DO248" s="26"/>
      <c r="DP248" s="26"/>
      <c r="DQ248" s="26"/>
      <c r="DR248" s="90"/>
      <c r="DS248" s="26"/>
      <c r="DT248" s="26"/>
      <c r="DU248" s="26"/>
      <c r="DV248" s="26"/>
      <c r="DW248" s="26"/>
      <c r="DX248" s="90"/>
      <c r="DY248" s="26"/>
      <c r="DZ248" s="26"/>
      <c r="EA248" s="26"/>
      <c r="EB248" s="26"/>
      <c r="EC248" s="26"/>
      <c r="ED248" s="90"/>
      <c r="EE248" s="26"/>
      <c r="EF248" s="26"/>
      <c r="EG248" s="26"/>
      <c r="EH248" s="26"/>
      <c r="EI248" s="26"/>
      <c r="EJ248" s="90"/>
      <c r="EK248" s="26"/>
      <c r="EL248" s="26"/>
      <c r="EM248" s="26"/>
      <c r="EN248" s="26"/>
      <c r="EO248" s="26"/>
      <c r="EP248" s="90"/>
      <c r="EQ248" s="26"/>
      <c r="ER248" s="26"/>
      <c r="ES248" s="26"/>
      <c r="ET248" s="26"/>
      <c r="EU248" s="26"/>
      <c r="EV248" s="90"/>
      <c r="EW248" s="90"/>
      <c r="EX248" s="90"/>
      <c r="EY248" s="90"/>
      <c r="EZ248" s="90"/>
      <c r="FA248" s="90"/>
      <c r="FB248" s="90"/>
    </row>
    <row r="249" spans="1:158" hidden="1" outlineLevel="1">
      <c r="A249" s="185" t="s">
        <v>2095</v>
      </c>
      <c r="B249" s="32"/>
      <c r="C249" s="90"/>
      <c r="D249" s="90"/>
      <c r="E249" s="90"/>
      <c r="F249" s="90"/>
      <c r="G249" s="61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104"/>
      <c r="Z249" s="90"/>
      <c r="AA249" s="676"/>
      <c r="AB249" s="676"/>
      <c r="AC249" s="676"/>
      <c r="AD249" s="676"/>
      <c r="AE249" s="675"/>
      <c r="AF249" s="90"/>
      <c r="AG249" s="676"/>
      <c r="AH249" s="676"/>
      <c r="AI249" s="676"/>
      <c r="AJ249" s="676"/>
      <c r="AK249" s="675"/>
      <c r="AL249" s="90"/>
      <c r="AM249" s="676"/>
      <c r="AN249" s="676"/>
      <c r="AO249" s="676"/>
      <c r="AP249" s="676"/>
      <c r="AQ249" s="675"/>
      <c r="AR249" s="90"/>
      <c r="AS249" s="676">
        <f>AQ228-AS247-AS248</f>
        <v>55.023411136225008</v>
      </c>
      <c r="AT249" s="676">
        <f>AS249-AT247-AT248</f>
        <v>50.643490190932653</v>
      </c>
      <c r="AU249" s="676">
        <f>AT249-AU247-AU248</f>
        <v>46.375330698429359</v>
      </c>
      <c r="AV249" s="676">
        <f>AU249-AV247-AV248</f>
        <v>42.216080866985195</v>
      </c>
      <c r="AW249" s="675">
        <f>AV249</f>
        <v>42.216080866985195</v>
      </c>
      <c r="AX249" s="90"/>
      <c r="AY249" s="676">
        <f>AW249-AY247-AY248</f>
        <v>38.714831460019681</v>
      </c>
      <c r="AZ249" s="676">
        <f>AY249-AZ247-AZ248</f>
        <v>35.257152554165671</v>
      </c>
      <c r="BA249" s="676">
        <f>AZ249-BA247-BA248</f>
        <v>31.842501946241825</v>
      </c>
      <c r="BB249" s="676">
        <f>BA249-BB247-BB248</f>
        <v>28.470344180390857</v>
      </c>
      <c r="BC249" s="675">
        <f>BB249</f>
        <v>28.470344180390857</v>
      </c>
      <c r="BD249" s="90"/>
      <c r="BE249" s="676">
        <f>BC249-BE247-BE248</f>
        <v>25.199033838135662</v>
      </c>
      <c r="BF249" s="676">
        <f>BE249-BF247-BF248</f>
        <v>21.961666732758644</v>
      </c>
      <c r="BG249" s="676">
        <f>BF249-BG247-BG248</f>
        <v>18.75789066798087</v>
      </c>
      <c r="BH249" s="676">
        <f>BG249-BH247-BH248</f>
        <v>15.587357101925006</v>
      </c>
      <c r="BI249" s="675">
        <f>BH249</f>
        <v>15.587357101925006</v>
      </c>
      <c r="BJ249" s="90"/>
      <c r="BK249" s="676">
        <f>BI249-BK247-BK248</f>
        <v>12.416614138150944</v>
      </c>
      <c r="BL249" s="676">
        <f>BK249-BL247-BL248</f>
        <v>9.2855054614240569</v>
      </c>
      <c r="BM249" s="676">
        <v>0</v>
      </c>
      <c r="BN249" s="676"/>
      <c r="BO249" s="675"/>
      <c r="BP249" s="90"/>
      <c r="BQ249" s="26"/>
      <c r="BR249" s="26"/>
      <c r="BS249" s="26"/>
      <c r="BT249" s="26"/>
      <c r="BU249" s="26"/>
      <c r="BV249" s="90"/>
      <c r="BW249" s="26"/>
      <c r="BX249" s="26"/>
      <c r="BY249" s="26"/>
      <c r="BZ249" s="26"/>
      <c r="CA249" s="26"/>
      <c r="CB249" s="90"/>
      <c r="CC249" s="26"/>
      <c r="CD249" s="26"/>
      <c r="CE249" s="26"/>
      <c r="CF249" s="26"/>
      <c r="CG249" s="26"/>
      <c r="CH249" s="90"/>
      <c r="CI249" s="26"/>
      <c r="CJ249" s="26"/>
      <c r="CK249" s="26"/>
      <c r="CL249" s="26"/>
      <c r="CM249" s="26"/>
      <c r="CN249" s="90"/>
      <c r="CO249" s="26"/>
      <c r="CP249" s="26"/>
      <c r="CQ249" s="26"/>
      <c r="CR249" s="26"/>
      <c r="CS249" s="26"/>
      <c r="CT249" s="90"/>
      <c r="CU249" s="26"/>
      <c r="CV249" s="26"/>
      <c r="CW249" s="26"/>
      <c r="CX249" s="26"/>
      <c r="CY249" s="26"/>
      <c r="CZ249" s="90"/>
      <c r="DA249" s="26"/>
      <c r="DB249" s="26"/>
      <c r="DC249" s="26"/>
      <c r="DD249" s="26"/>
      <c r="DE249" s="26"/>
      <c r="DF249" s="90"/>
      <c r="DG249" s="26"/>
      <c r="DH249" s="26"/>
      <c r="DI249" s="26"/>
      <c r="DJ249" s="26"/>
      <c r="DK249" s="26"/>
      <c r="DL249" s="90"/>
      <c r="DM249" s="26"/>
      <c r="DN249" s="26"/>
      <c r="DO249" s="26"/>
      <c r="DP249" s="26"/>
      <c r="DQ249" s="26"/>
      <c r="DR249" s="90"/>
      <c r="DS249" s="26"/>
      <c r="DT249" s="26"/>
      <c r="DU249" s="26"/>
      <c r="DV249" s="26"/>
      <c r="DW249" s="26"/>
      <c r="DX249" s="90"/>
      <c r="DY249" s="26"/>
      <c r="DZ249" s="26"/>
      <c r="EA249" s="26"/>
      <c r="EB249" s="26"/>
      <c r="EC249" s="26"/>
      <c r="ED249" s="90"/>
      <c r="EE249" s="26"/>
      <c r="EF249" s="26"/>
      <c r="EG249" s="26"/>
      <c r="EH249" s="26"/>
      <c r="EI249" s="26"/>
      <c r="EJ249" s="90"/>
      <c r="EK249" s="26"/>
      <c r="EL249" s="26"/>
      <c r="EM249" s="26"/>
      <c r="EN249" s="26"/>
      <c r="EO249" s="26"/>
      <c r="EP249" s="90"/>
      <c r="EQ249" s="26"/>
      <c r="ER249" s="26"/>
      <c r="ES249" s="26"/>
      <c r="ET249" s="26"/>
      <c r="EU249" s="26"/>
      <c r="EV249" s="90"/>
      <c r="EW249" s="90"/>
      <c r="EX249" s="90"/>
      <c r="EY249" s="90"/>
      <c r="EZ249" s="90"/>
      <c r="FA249" s="90"/>
      <c r="FB249" s="90"/>
    </row>
    <row r="250" spans="1:158" hidden="1" outlineLevel="1">
      <c r="A250" s="734"/>
      <c r="B250" s="728"/>
      <c r="C250" s="356"/>
      <c r="D250" s="356"/>
      <c r="E250" s="356"/>
      <c r="F250" s="356"/>
      <c r="G250" s="729"/>
      <c r="H250" s="356"/>
      <c r="I250" s="356"/>
      <c r="J250" s="356"/>
      <c r="K250" s="356"/>
      <c r="L250" s="356"/>
      <c r="M250" s="356"/>
      <c r="N250" s="356"/>
      <c r="O250" s="356"/>
      <c r="P250" s="356"/>
      <c r="Q250" s="356"/>
      <c r="R250" s="356"/>
      <c r="S250" s="356"/>
      <c r="T250" s="356"/>
      <c r="U250" s="356"/>
      <c r="V250" s="356"/>
      <c r="W250" s="356"/>
      <c r="X250" s="356"/>
      <c r="Y250" s="730"/>
      <c r="Z250" s="356"/>
      <c r="AA250" s="731"/>
      <c r="AB250" s="731"/>
      <c r="AC250" s="731"/>
      <c r="AD250" s="731"/>
      <c r="AE250" s="732"/>
      <c r="AF250" s="356"/>
      <c r="AG250" s="731"/>
      <c r="AH250" s="731"/>
      <c r="AI250" s="731"/>
      <c r="AJ250" s="731"/>
      <c r="AK250" s="732"/>
      <c r="AL250" s="356"/>
      <c r="AM250" s="731"/>
      <c r="AN250" s="731"/>
      <c r="AO250" s="731"/>
      <c r="AP250" s="731"/>
      <c r="AQ250" s="732"/>
      <c r="AR250" s="356"/>
      <c r="AS250" s="731"/>
      <c r="AT250" s="356"/>
      <c r="AU250" s="731"/>
      <c r="AV250" s="356"/>
      <c r="AW250" s="730"/>
      <c r="AX250" s="356"/>
      <c r="AY250" s="356"/>
      <c r="AZ250" s="356"/>
      <c r="BA250" s="356"/>
      <c r="BB250" s="356"/>
      <c r="BC250" s="730"/>
      <c r="BD250" s="356"/>
      <c r="BE250" s="730"/>
      <c r="BF250" s="730"/>
      <c r="BG250" s="730"/>
      <c r="BH250" s="730"/>
      <c r="BI250" s="730"/>
      <c r="BJ250" s="356"/>
      <c r="BK250" s="733"/>
      <c r="BL250" s="733"/>
      <c r="BM250" s="733"/>
      <c r="BN250" s="733"/>
      <c r="BO250" s="733"/>
      <c r="BP250" s="356"/>
      <c r="BQ250" s="733"/>
      <c r="BR250" s="733"/>
      <c r="BS250" s="733"/>
      <c r="BT250" s="733"/>
      <c r="BU250" s="733"/>
      <c r="BV250" s="356"/>
      <c r="BW250" s="733"/>
      <c r="BX250" s="733"/>
      <c r="BY250" s="733"/>
      <c r="BZ250" s="733"/>
      <c r="CA250" s="733"/>
      <c r="CB250" s="356"/>
      <c r="CC250" s="733"/>
      <c r="CD250" s="733"/>
      <c r="CE250" s="733"/>
      <c r="CF250" s="733"/>
      <c r="CG250" s="733"/>
      <c r="CH250" s="356"/>
      <c r="CI250" s="733"/>
      <c r="CJ250" s="733"/>
      <c r="CK250" s="733"/>
      <c r="CL250" s="733"/>
      <c r="CM250" s="733"/>
      <c r="CN250" s="356"/>
      <c r="CO250" s="733"/>
      <c r="CP250" s="733"/>
      <c r="CQ250" s="733"/>
      <c r="CR250" s="733"/>
      <c r="CS250" s="733"/>
      <c r="CT250" s="356"/>
      <c r="CU250" s="733"/>
      <c r="CV250" s="733"/>
      <c r="CW250" s="733"/>
      <c r="CX250" s="733"/>
      <c r="CY250" s="733"/>
      <c r="CZ250" s="356"/>
      <c r="DA250" s="733"/>
      <c r="DB250" s="733"/>
      <c r="DC250" s="733"/>
      <c r="DD250" s="733"/>
      <c r="DE250" s="733"/>
      <c r="DF250" s="356"/>
      <c r="DG250" s="733"/>
      <c r="DH250" s="733"/>
      <c r="DI250" s="733"/>
      <c r="DJ250" s="733"/>
      <c r="DK250" s="733"/>
      <c r="DL250" s="356"/>
      <c r="DM250" s="733"/>
      <c r="DN250" s="733"/>
      <c r="DO250" s="733"/>
      <c r="DP250" s="733"/>
      <c r="DQ250" s="733"/>
      <c r="DR250" s="356"/>
      <c r="DS250" s="733"/>
      <c r="DT250" s="733"/>
      <c r="DU250" s="733"/>
      <c r="DV250" s="733"/>
      <c r="DW250" s="733"/>
      <c r="DX250" s="356"/>
      <c r="DY250" s="733"/>
      <c r="DZ250" s="733"/>
      <c r="EA250" s="733"/>
      <c r="EB250" s="733"/>
      <c r="EC250" s="733"/>
      <c r="ED250" s="356"/>
      <c r="EE250" s="733"/>
      <c r="EF250" s="733"/>
      <c r="EG250" s="733"/>
      <c r="EH250" s="733"/>
      <c r="EI250" s="733"/>
      <c r="EJ250" s="356"/>
      <c r="EK250" s="733"/>
      <c r="EL250" s="733"/>
      <c r="EM250" s="733"/>
      <c r="EN250" s="733"/>
      <c r="EO250" s="733"/>
      <c r="EP250" s="356"/>
      <c r="EQ250" s="733"/>
      <c r="ER250" s="733"/>
      <c r="ES250" s="733"/>
      <c r="ET250" s="733"/>
      <c r="EU250" s="733"/>
      <c r="EV250" s="356"/>
      <c r="EW250" s="356"/>
      <c r="EX250" s="356"/>
      <c r="EY250" s="356"/>
      <c r="EZ250" s="356"/>
      <c r="FA250" s="356"/>
      <c r="FB250" s="356"/>
    </row>
    <row r="251" spans="1:158" hidden="1" outlineLevel="1">
      <c r="A251" s="677" t="s">
        <v>2995</v>
      </c>
      <c r="B251" s="32"/>
      <c r="C251" s="90"/>
      <c r="D251" s="90"/>
      <c r="E251" s="90"/>
      <c r="F251" s="90"/>
      <c r="G251" s="61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104"/>
      <c r="Z251" s="90"/>
      <c r="AA251" s="676"/>
      <c r="AB251" s="676"/>
      <c r="AC251" s="676"/>
      <c r="AD251" s="676"/>
      <c r="AE251" s="675"/>
      <c r="AF251" s="90"/>
      <c r="AG251" s="676"/>
      <c r="AH251" s="676"/>
      <c r="AI251" s="676"/>
      <c r="AJ251" s="676"/>
      <c r="AK251" s="675"/>
      <c r="AL251" s="90"/>
      <c r="AM251" s="676"/>
      <c r="AN251" s="676"/>
      <c r="AO251" s="676"/>
      <c r="AP251" s="676"/>
      <c r="AQ251" s="675"/>
      <c r="AR251" s="90"/>
      <c r="AS251" s="676"/>
      <c r="AT251" s="90"/>
      <c r="AU251" s="676"/>
      <c r="AV251" s="90"/>
      <c r="AW251" s="104"/>
      <c r="AX251" s="90"/>
      <c r="AY251" s="675">
        <f>$AW228/($AW221*4)</f>
        <v>2.6066100000000003</v>
      </c>
      <c r="AZ251" s="675">
        <f>$AW228/($AW221*4)</f>
        <v>2.6066100000000003</v>
      </c>
      <c r="BA251" s="675">
        <f>$AW228/($AW221*4)</f>
        <v>2.6066100000000003</v>
      </c>
      <c r="BB251" s="675">
        <f>$AW228/($AW221*4)</f>
        <v>2.6066100000000003</v>
      </c>
      <c r="BC251" s="675">
        <f>SUM(AY251:BB251)</f>
        <v>10.426440000000001</v>
      </c>
      <c r="BD251" s="90"/>
      <c r="BE251" s="675">
        <f>$AW228/($AW221*4)</f>
        <v>2.6066100000000003</v>
      </c>
      <c r="BF251" s="675">
        <f>$AW228/($AW221*4)</f>
        <v>2.6066100000000003</v>
      </c>
      <c r="BG251" s="675">
        <f>$AW228/($AW221*4)</f>
        <v>2.6066100000000003</v>
      </c>
      <c r="BH251" s="675">
        <f>$AW228/($AW221*4)</f>
        <v>2.6066100000000003</v>
      </c>
      <c r="BI251" s="675">
        <f>SUM(BE251:BH251)</f>
        <v>10.426440000000001</v>
      </c>
      <c r="BJ251" s="90"/>
      <c r="BK251" s="675">
        <f>$AW228/($AW221*4)</f>
        <v>2.6066100000000003</v>
      </c>
      <c r="BL251" s="675">
        <f>$AW228/($AW221*4)</f>
        <v>2.6066100000000003</v>
      </c>
      <c r="BM251" s="675">
        <f>$AW228/($AW221*4)</f>
        <v>2.6066100000000003</v>
      </c>
      <c r="BN251" s="675">
        <f>$AW228/($AW221*4)</f>
        <v>2.6066100000000003</v>
      </c>
      <c r="BO251" s="675">
        <f>SUM(BK251:BN251)</f>
        <v>10.426440000000001</v>
      </c>
      <c r="BP251" s="90"/>
      <c r="BQ251" s="675">
        <f>$AW228/($AW221*4)</f>
        <v>2.6066100000000003</v>
      </c>
      <c r="BR251" s="675">
        <f>$AW228/($AW221*4)</f>
        <v>2.6066100000000003</v>
      </c>
      <c r="BS251" s="675">
        <f>$AW228/($AW221*4)</f>
        <v>2.6066100000000003</v>
      </c>
      <c r="BT251" s="675">
        <f>$AW228/($AW221*4)</f>
        <v>2.6066100000000003</v>
      </c>
      <c r="BU251" s="675">
        <f>SUM(BQ251:BT251)</f>
        <v>10.426440000000001</v>
      </c>
      <c r="BV251" s="90"/>
      <c r="BW251" s="675">
        <f>$AW228/($AW221*4)</f>
        <v>2.6066100000000003</v>
      </c>
      <c r="BX251" s="675">
        <f>BW253-BX252</f>
        <v>2.1895218462844337</v>
      </c>
      <c r="BY251" s="675"/>
      <c r="BZ251" s="675"/>
      <c r="CA251" s="675"/>
      <c r="CB251" s="90"/>
      <c r="CC251" s="675"/>
      <c r="CD251" s="675"/>
      <c r="CE251" s="675"/>
      <c r="CF251" s="675"/>
      <c r="CG251" s="675"/>
      <c r="CH251" s="90"/>
      <c r="CI251" s="675"/>
      <c r="CJ251" s="675"/>
      <c r="CK251" s="675"/>
      <c r="CL251" s="675"/>
      <c r="CM251" s="675"/>
      <c r="CN251" s="90"/>
      <c r="CO251" s="675"/>
      <c r="CP251" s="675"/>
      <c r="CQ251" s="675"/>
      <c r="CR251" s="675"/>
      <c r="CS251" s="675"/>
      <c r="CT251" s="90"/>
      <c r="CU251" s="675"/>
      <c r="CV251" s="675"/>
      <c r="CW251" s="675"/>
      <c r="CX251" s="675"/>
      <c r="CY251" s="675"/>
      <c r="CZ251" s="90"/>
      <c r="DA251" s="675"/>
      <c r="DB251" s="675"/>
      <c r="DC251" s="675"/>
      <c r="DD251" s="675"/>
      <c r="DE251" s="675"/>
      <c r="DF251" s="90"/>
      <c r="DG251" s="675"/>
      <c r="DH251" s="675"/>
      <c r="DI251" s="675"/>
      <c r="DJ251" s="675"/>
      <c r="DK251" s="675"/>
      <c r="DL251" s="90"/>
      <c r="DM251" s="675"/>
      <c r="DN251" s="675"/>
      <c r="DO251" s="675"/>
      <c r="DP251" s="675"/>
      <c r="DQ251" s="675"/>
      <c r="DR251" s="90"/>
      <c r="DS251" s="675"/>
      <c r="DT251" s="675"/>
      <c r="DU251" s="675"/>
      <c r="DV251" s="675"/>
      <c r="DW251" s="675"/>
      <c r="DX251" s="90"/>
      <c r="DY251" s="675"/>
      <c r="DZ251" s="675"/>
      <c r="EA251" s="675"/>
      <c r="EB251" s="675"/>
      <c r="EC251" s="675"/>
      <c r="ED251" s="90"/>
      <c r="EE251" s="675"/>
      <c r="EF251" s="675"/>
      <c r="EG251" s="675"/>
      <c r="EH251" s="675"/>
      <c r="EI251" s="675"/>
      <c r="EJ251" s="90"/>
      <c r="EK251" s="675"/>
      <c r="EL251" s="675"/>
      <c r="EM251" s="675"/>
      <c r="EN251" s="675"/>
      <c r="EO251" s="675"/>
      <c r="EP251" s="90"/>
      <c r="EQ251" s="675"/>
      <c r="ER251" s="675"/>
      <c r="ES251" s="675"/>
      <c r="ET251" s="675"/>
      <c r="EU251" s="675"/>
      <c r="EV251" s="90"/>
      <c r="EW251" s="90"/>
      <c r="EX251" s="90"/>
      <c r="EY251" s="90"/>
      <c r="EZ251" s="90"/>
      <c r="FA251" s="90"/>
      <c r="FB251" s="90"/>
    </row>
    <row r="252" spans="1:158" hidden="1" outlineLevel="1">
      <c r="A252" s="677" t="s">
        <v>2094</v>
      </c>
      <c r="B252" s="728"/>
      <c r="C252" s="356"/>
      <c r="D252" s="356"/>
      <c r="E252" s="356"/>
      <c r="F252" s="356"/>
      <c r="G252" s="729"/>
      <c r="H252" s="356"/>
      <c r="I252" s="356"/>
      <c r="J252" s="356"/>
      <c r="K252" s="356"/>
      <c r="L252" s="356"/>
      <c r="M252" s="356"/>
      <c r="N252" s="356"/>
      <c r="O252" s="356"/>
      <c r="P252" s="356"/>
      <c r="Q252" s="356"/>
      <c r="R252" s="356"/>
      <c r="S252" s="356"/>
      <c r="T252" s="356"/>
      <c r="U252" s="356"/>
      <c r="V252" s="356"/>
      <c r="W252" s="356"/>
      <c r="X252" s="356"/>
      <c r="Y252" s="730"/>
      <c r="Z252" s="356"/>
      <c r="AA252" s="731"/>
      <c r="AB252" s="731"/>
      <c r="AC252" s="731"/>
      <c r="AD252" s="731"/>
      <c r="AE252" s="732"/>
      <c r="AF252" s="356"/>
      <c r="AG252" s="731"/>
      <c r="AH252" s="731"/>
      <c r="AI252" s="731"/>
      <c r="AJ252" s="731"/>
      <c r="AK252" s="732"/>
      <c r="AL252" s="356"/>
      <c r="AM252" s="731"/>
      <c r="AN252" s="731"/>
      <c r="AO252" s="731"/>
      <c r="AP252" s="731"/>
      <c r="AQ252" s="732"/>
      <c r="AR252" s="356"/>
      <c r="AS252" s="731"/>
      <c r="AT252" s="356"/>
      <c r="AU252" s="731"/>
      <c r="AV252" s="356"/>
      <c r="AW252" s="730"/>
      <c r="AX252" s="356"/>
      <c r="AY252" s="675">
        <f>$AW$228*$BC$216/4</f>
        <v>0.64874729390207042</v>
      </c>
      <c r="AZ252" s="675">
        <f>AY253*$BC$216/4</f>
        <v>0.60823674120904503</v>
      </c>
      <c r="BA252" s="675">
        <f>AZ253*$BC$216/4</f>
        <v>0.56823031286592396</v>
      </c>
      <c r="BB252" s="675">
        <f>BA253*$BC$216/4</f>
        <v>0.52872173541200918</v>
      </c>
      <c r="BC252" s="675">
        <f>SUM(AY252:BB252)</f>
        <v>2.3539360833890486</v>
      </c>
      <c r="BD252" s="356"/>
      <c r="BE252" s="675">
        <f>BB253*$BI$216/4</f>
        <v>0.40831597770971234</v>
      </c>
      <c r="BF252" s="675">
        <f>BE253*$BI$216/4</f>
        <v>0.37703299446299904</v>
      </c>
      <c r="BG252" s="675">
        <f>BF253*$BI$216/4</f>
        <v>0.34607460460532719</v>
      </c>
      <c r="BH252" s="675">
        <f>BG253*$BI$216/4</f>
        <v>0.31543744014370928</v>
      </c>
      <c r="BI252" s="675">
        <f>SUM(BE252:BH252)</f>
        <v>1.4468610169217477</v>
      </c>
      <c r="BJ252" s="356"/>
      <c r="BK252" s="675">
        <f>BH253*$BO$216/4</f>
        <v>0.34348153624611488</v>
      </c>
      <c r="BL252" s="675">
        <f>BK253*$BO$216/4</f>
        <v>0.30660539204303844</v>
      </c>
      <c r="BM252" s="675">
        <f>BL253*$BO$216/4</f>
        <v>0.27019019964250041</v>
      </c>
      <c r="BN252" s="675">
        <f>BM253*$BO$216/4</f>
        <v>0.23423019714696919</v>
      </c>
      <c r="BO252" s="675">
        <f>SUM(BK252:BN252)</f>
        <v>1.1545073250786229</v>
      </c>
      <c r="BP252" s="356"/>
      <c r="BQ252" s="675">
        <f>BN253*$BU$216/4</f>
        <v>0.19871969468263206</v>
      </c>
      <c r="BR252" s="675">
        <f>BQ253*$BU$216/4</f>
        <v>0.16365307349909919</v>
      </c>
      <c r="BS252" s="675">
        <f>BR253*$BU$216/4</f>
        <v>0.12902478508036044</v>
      </c>
      <c r="BT252" s="675">
        <f>BS253*$BU$216/4</f>
        <v>9.4829350266855947E-2</v>
      </c>
      <c r="BU252" s="675">
        <f>SUM(BQ252:BT252)</f>
        <v>0.58622690352894757</v>
      </c>
      <c r="BV252" s="356"/>
      <c r="BW252" s="675">
        <f>BT253*$BU$216/4</f>
        <v>6.1061358388520226E-2</v>
      </c>
      <c r="BX252" s="675">
        <f>BW253*$BU$216/4</f>
        <v>2.7715466408663722E-2</v>
      </c>
      <c r="BY252" s="675"/>
      <c r="BZ252" s="675"/>
      <c r="CA252" s="675"/>
      <c r="CB252" s="356"/>
      <c r="CC252" s="675"/>
      <c r="CD252" s="675"/>
      <c r="CE252" s="675"/>
      <c r="CF252" s="675"/>
      <c r="CG252" s="675"/>
      <c r="CH252" s="356"/>
      <c r="CI252" s="675"/>
      <c r="CJ252" s="675"/>
      <c r="CK252" s="675"/>
      <c r="CL252" s="675"/>
      <c r="CM252" s="675"/>
      <c r="CN252" s="356"/>
      <c r="CO252" s="675"/>
      <c r="CP252" s="675"/>
      <c r="CQ252" s="675"/>
      <c r="CR252" s="675"/>
      <c r="CS252" s="675"/>
      <c r="CT252" s="356"/>
      <c r="CU252" s="675"/>
      <c r="CV252" s="675"/>
      <c r="CW252" s="675"/>
      <c r="CX252" s="675"/>
      <c r="CY252" s="675"/>
      <c r="CZ252" s="356"/>
      <c r="DA252" s="675"/>
      <c r="DB252" s="675"/>
      <c r="DC252" s="675"/>
      <c r="DD252" s="675"/>
      <c r="DE252" s="675"/>
      <c r="DF252" s="356"/>
      <c r="DG252" s="675"/>
      <c r="DH252" s="675"/>
      <c r="DI252" s="675"/>
      <c r="DJ252" s="675"/>
      <c r="DK252" s="675"/>
      <c r="DL252" s="356"/>
      <c r="DM252" s="675"/>
      <c r="DN252" s="675"/>
      <c r="DO252" s="675"/>
      <c r="DP252" s="675"/>
      <c r="DQ252" s="675"/>
      <c r="DR252" s="356"/>
      <c r="DS252" s="675"/>
      <c r="DT252" s="675"/>
      <c r="DU252" s="675"/>
      <c r="DV252" s="675"/>
      <c r="DW252" s="675"/>
      <c r="DX252" s="356"/>
      <c r="DY252" s="675"/>
      <c r="DZ252" s="675"/>
      <c r="EA252" s="675"/>
      <c r="EB252" s="675"/>
      <c r="EC252" s="675"/>
      <c r="ED252" s="356"/>
      <c r="EE252" s="675"/>
      <c r="EF252" s="675"/>
      <c r="EG252" s="675"/>
      <c r="EH252" s="675"/>
      <c r="EI252" s="675"/>
      <c r="EJ252" s="356"/>
      <c r="EK252" s="675"/>
      <c r="EL252" s="675"/>
      <c r="EM252" s="675"/>
      <c r="EN252" s="675"/>
      <c r="EO252" s="675"/>
      <c r="EP252" s="356"/>
      <c r="EQ252" s="675"/>
      <c r="ER252" s="675"/>
      <c r="ES252" s="675"/>
      <c r="ET252" s="675"/>
      <c r="EU252" s="675"/>
      <c r="EV252" s="356"/>
      <c r="EW252" s="356"/>
      <c r="EX252" s="356"/>
      <c r="EY252" s="356"/>
      <c r="EZ252" s="356"/>
      <c r="FA252" s="356"/>
      <c r="FB252" s="356"/>
    </row>
    <row r="253" spans="1:158" hidden="1" outlineLevel="1">
      <c r="A253" s="185" t="s">
        <v>2095</v>
      </c>
      <c r="B253" s="32"/>
      <c r="C253" s="90"/>
      <c r="D253" s="90"/>
      <c r="E253" s="90"/>
      <c r="F253" s="90"/>
      <c r="G253" s="61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104"/>
      <c r="Z253" s="90"/>
      <c r="AA253" s="676"/>
      <c r="AB253" s="676"/>
      <c r="AC253" s="676"/>
      <c r="AD253" s="676"/>
      <c r="AE253" s="675"/>
      <c r="AF253" s="90"/>
      <c r="AG253" s="676"/>
      <c r="AH253" s="676"/>
      <c r="AI253" s="676"/>
      <c r="AJ253" s="676"/>
      <c r="AK253" s="675"/>
      <c r="AL253" s="90"/>
      <c r="AM253" s="676"/>
      <c r="AN253" s="676"/>
      <c r="AO253" s="676"/>
      <c r="AP253" s="676"/>
      <c r="AQ253" s="675"/>
      <c r="AR253" s="90"/>
      <c r="AS253" s="676"/>
      <c r="AT253" s="90"/>
      <c r="AU253" s="676"/>
      <c r="AV253" s="90"/>
      <c r="AW253" s="104"/>
      <c r="AX253" s="90"/>
      <c r="AY253" s="676">
        <f>AW228-AY251-AY252</f>
        <v>48.876842706097932</v>
      </c>
      <c r="AZ253" s="676">
        <f>AY253-AZ251-AZ252</f>
        <v>45.661995964888881</v>
      </c>
      <c r="BA253" s="676">
        <f>AZ253-BA251-BA252</f>
        <v>42.487155652022956</v>
      </c>
      <c r="BB253" s="676">
        <f>BA253-BB251-BB252</f>
        <v>39.351823916610947</v>
      </c>
      <c r="BC253" s="675">
        <f>BB253</f>
        <v>39.351823916610947</v>
      </c>
      <c r="BD253" s="90"/>
      <c r="BE253" s="676">
        <f>BC253-BE251-BE252</f>
        <v>36.336897938901231</v>
      </c>
      <c r="BF253" s="676">
        <f>BE253-BF251-BF252</f>
        <v>33.353254944438227</v>
      </c>
      <c r="BG253" s="676">
        <f>BF253-BG251-BG252</f>
        <v>30.4005703398329</v>
      </c>
      <c r="BH253" s="676">
        <f>BG253-BH251-BH252</f>
        <v>27.478522899689189</v>
      </c>
      <c r="BI253" s="675">
        <f>BH253</f>
        <v>27.478522899689189</v>
      </c>
      <c r="BJ253" s="90"/>
      <c r="BK253" s="676">
        <f>BI253-BK251-BK252</f>
        <v>24.528431363443072</v>
      </c>
      <c r="BL253" s="676">
        <f>BK253-BL251-BL252</f>
        <v>21.615215971400033</v>
      </c>
      <c r="BM253" s="676">
        <f>BL253-BM251-BM252</f>
        <v>18.738415771757534</v>
      </c>
      <c r="BN253" s="676">
        <f>BM253-BN251-BN252</f>
        <v>15.897575574610565</v>
      </c>
      <c r="BO253" s="675">
        <f>BN253</f>
        <v>15.897575574610565</v>
      </c>
      <c r="BP253" s="90"/>
      <c r="BQ253" s="676">
        <f>BO253-BQ251-BQ252</f>
        <v>13.092245879927933</v>
      </c>
      <c r="BR253" s="676">
        <f>BQ253-BR251-BR252</f>
        <v>10.321982806428835</v>
      </c>
      <c r="BS253" s="676">
        <f>BR253-BS251-BS252</f>
        <v>7.5863480213484751</v>
      </c>
      <c r="BT253" s="676">
        <f>BS253-BT251-BT252</f>
        <v>4.8849086710816181</v>
      </c>
      <c r="BU253" s="675">
        <f>BT253</f>
        <v>4.8849086710816181</v>
      </c>
      <c r="BV253" s="90"/>
      <c r="BW253" s="676">
        <f>BU253-BW251-BW252</f>
        <v>2.2172373126930975</v>
      </c>
      <c r="BX253" s="676">
        <f>BW253-BX251-BX252</f>
        <v>1.2490009027033011E-16</v>
      </c>
      <c r="BY253" s="676"/>
      <c r="BZ253" s="676"/>
      <c r="CA253" s="675"/>
      <c r="CB253" s="90"/>
      <c r="CC253" s="676"/>
      <c r="CD253" s="676"/>
      <c r="CE253" s="676"/>
      <c r="CF253" s="676"/>
      <c r="CG253" s="675"/>
      <c r="CH253" s="90"/>
      <c r="CI253" s="676"/>
      <c r="CJ253" s="676"/>
      <c r="CK253" s="676"/>
      <c r="CL253" s="676"/>
      <c r="CM253" s="675"/>
      <c r="CN253" s="90"/>
      <c r="CO253" s="676"/>
      <c r="CP253" s="676"/>
      <c r="CQ253" s="676"/>
      <c r="CR253" s="676"/>
      <c r="CS253" s="675"/>
      <c r="CT253" s="90"/>
      <c r="CU253" s="676"/>
      <c r="CV253" s="676"/>
      <c r="CW253" s="676"/>
      <c r="CX253" s="676"/>
      <c r="CY253" s="675"/>
      <c r="CZ253" s="90"/>
      <c r="DA253" s="676"/>
      <c r="DB253" s="676"/>
      <c r="DC253" s="676"/>
      <c r="DD253" s="676"/>
      <c r="DE253" s="675"/>
      <c r="DF253" s="90"/>
      <c r="DG253" s="676"/>
      <c r="DH253" s="676"/>
      <c r="DI253" s="676"/>
      <c r="DJ253" s="676"/>
      <c r="DK253" s="675"/>
      <c r="DL253" s="90"/>
      <c r="DM253" s="676"/>
      <c r="DN253" s="676"/>
      <c r="DO253" s="676"/>
      <c r="DP253" s="676"/>
      <c r="DQ253" s="675"/>
      <c r="DR253" s="90"/>
      <c r="DS253" s="676"/>
      <c r="DT253" s="676"/>
      <c r="DU253" s="676"/>
      <c r="DV253" s="676"/>
      <c r="DW253" s="675"/>
      <c r="DX253" s="90"/>
      <c r="DY253" s="676"/>
      <c r="DZ253" s="676"/>
      <c r="EA253" s="676"/>
      <c r="EB253" s="676"/>
      <c r="EC253" s="675"/>
      <c r="ED253" s="90"/>
      <c r="EE253" s="676"/>
      <c r="EF253" s="676"/>
      <c r="EG253" s="676"/>
      <c r="EH253" s="676"/>
      <c r="EI253" s="675"/>
      <c r="EJ253" s="90"/>
      <c r="EK253" s="676"/>
      <c r="EL253" s="676"/>
      <c r="EM253" s="676"/>
      <c r="EN253" s="676"/>
      <c r="EO253" s="675"/>
      <c r="EP253" s="90"/>
      <c r="EQ253" s="676"/>
      <c r="ER253" s="676"/>
      <c r="ES253" s="676"/>
      <c r="ET253" s="676"/>
      <c r="EU253" s="675"/>
      <c r="EV253" s="90"/>
      <c r="EW253" s="90"/>
      <c r="EX253" s="90"/>
      <c r="EY253" s="90"/>
      <c r="EZ253" s="90"/>
      <c r="FA253" s="90"/>
      <c r="FB253" s="90"/>
    </row>
    <row r="254" spans="1:158" hidden="1" outlineLevel="1">
      <c r="A254" s="734"/>
      <c r="B254" s="728"/>
      <c r="C254" s="356"/>
      <c r="D254" s="356"/>
      <c r="E254" s="356"/>
      <c r="F254" s="356"/>
      <c r="G254" s="729"/>
      <c r="H254" s="356"/>
      <c r="I254" s="356"/>
      <c r="J254" s="356"/>
      <c r="K254" s="356"/>
      <c r="L254" s="356"/>
      <c r="M254" s="356"/>
      <c r="N254" s="356"/>
      <c r="O254" s="356"/>
      <c r="P254" s="356"/>
      <c r="Q254" s="356"/>
      <c r="R254" s="356"/>
      <c r="S254" s="356"/>
      <c r="T254" s="356"/>
      <c r="U254" s="356"/>
      <c r="V254" s="356"/>
      <c r="W254" s="356"/>
      <c r="X254" s="356"/>
      <c r="Y254" s="730"/>
      <c r="Z254" s="356"/>
      <c r="AA254" s="731"/>
      <c r="AB254" s="731"/>
      <c r="AC254" s="731"/>
      <c r="AD254" s="731"/>
      <c r="AE254" s="732"/>
      <c r="AF254" s="356"/>
      <c r="AG254" s="731"/>
      <c r="AH254" s="731"/>
      <c r="AI254" s="731"/>
      <c r="AJ254" s="731"/>
      <c r="AK254" s="732"/>
      <c r="AL254" s="356"/>
      <c r="AM254" s="731"/>
      <c r="AN254" s="731"/>
      <c r="AO254" s="731"/>
      <c r="AP254" s="731"/>
      <c r="AQ254" s="732"/>
      <c r="AR254" s="356"/>
      <c r="AS254" s="731"/>
      <c r="AT254" s="356"/>
      <c r="AU254" s="731"/>
      <c r="AV254" s="356"/>
      <c r="AW254" s="730"/>
      <c r="AX254" s="356"/>
      <c r="AY254" s="356"/>
      <c r="AZ254" s="356"/>
      <c r="BA254" s="356"/>
      <c r="BB254" s="356"/>
      <c r="BC254" s="730"/>
      <c r="BD254" s="356"/>
      <c r="BE254" s="730"/>
      <c r="BF254" s="730"/>
      <c r="BG254" s="730"/>
      <c r="BH254" s="730"/>
      <c r="BI254" s="730"/>
      <c r="BJ254" s="356"/>
      <c r="BK254" s="733"/>
      <c r="BL254" s="733"/>
      <c r="BM254" s="733"/>
      <c r="BN254" s="733"/>
      <c r="BO254" s="733"/>
      <c r="BP254" s="356"/>
      <c r="BQ254" s="733"/>
      <c r="BR254" s="733"/>
      <c r="BS254" s="733"/>
      <c r="BT254" s="733"/>
      <c r="BU254" s="733"/>
      <c r="BV254" s="356"/>
      <c r="BW254" s="733"/>
      <c r="BX254" s="733"/>
      <c r="BY254" s="733"/>
      <c r="BZ254" s="733"/>
      <c r="CA254" s="733"/>
      <c r="CB254" s="356"/>
      <c r="CC254" s="356"/>
      <c r="CD254" s="356"/>
      <c r="CE254" s="356"/>
      <c r="CF254" s="356"/>
      <c r="CG254" s="356"/>
      <c r="CH254" s="356"/>
      <c r="CI254" s="356"/>
      <c r="CJ254" s="356"/>
      <c r="CK254" s="356"/>
      <c r="CL254" s="356"/>
      <c r="CM254" s="356"/>
      <c r="CN254" s="356"/>
      <c r="CO254" s="356"/>
      <c r="CP254" s="356"/>
      <c r="CQ254" s="356"/>
      <c r="CR254" s="356"/>
      <c r="CS254" s="356"/>
      <c r="CT254" s="356"/>
      <c r="CU254" s="356"/>
      <c r="CV254" s="356"/>
      <c r="CW254" s="356"/>
      <c r="CX254" s="356"/>
      <c r="CY254" s="356"/>
      <c r="CZ254" s="356"/>
      <c r="DA254" s="356"/>
      <c r="DB254" s="356"/>
      <c r="DC254" s="356"/>
      <c r="DD254" s="356"/>
      <c r="DE254" s="356"/>
      <c r="DF254" s="356"/>
      <c r="DG254" s="356"/>
      <c r="DH254" s="356"/>
      <c r="DI254" s="356"/>
      <c r="DJ254" s="356"/>
      <c r="DK254" s="356"/>
      <c r="DL254" s="356"/>
      <c r="DM254" s="356"/>
      <c r="DN254" s="356"/>
      <c r="DO254" s="356"/>
      <c r="DP254" s="356"/>
      <c r="DQ254" s="356"/>
      <c r="DR254" s="356"/>
      <c r="DS254" s="356"/>
      <c r="DT254" s="356"/>
      <c r="DU254" s="356"/>
      <c r="DV254" s="356"/>
      <c r="DW254" s="356"/>
      <c r="DX254" s="356"/>
      <c r="DY254" s="356"/>
      <c r="DZ254" s="356"/>
      <c r="EA254" s="356"/>
      <c r="EB254" s="356"/>
      <c r="EC254" s="356"/>
      <c r="ED254" s="356"/>
      <c r="EE254" s="356"/>
      <c r="EF254" s="356"/>
      <c r="EG254" s="356"/>
      <c r="EH254" s="356"/>
      <c r="EI254" s="356"/>
      <c r="EJ254" s="356"/>
      <c r="EK254" s="356"/>
      <c r="EL254" s="356"/>
      <c r="EM254" s="356"/>
      <c r="EN254" s="356"/>
      <c r="EO254" s="356"/>
      <c r="EP254" s="356"/>
      <c r="EQ254" s="356"/>
      <c r="ER254" s="356"/>
      <c r="ES254" s="356"/>
      <c r="ET254" s="356"/>
      <c r="EU254" s="356"/>
      <c r="EV254" s="356"/>
      <c r="EW254" s="356"/>
      <c r="EX254" s="356"/>
      <c r="EY254" s="356"/>
      <c r="EZ254" s="356"/>
      <c r="FA254" s="356"/>
      <c r="FB254" s="356"/>
    </row>
    <row r="255" spans="1:158" hidden="1" outlineLevel="1">
      <c r="A255" s="677" t="s">
        <v>3691</v>
      </c>
      <c r="B255" s="32"/>
      <c r="C255" s="90"/>
      <c r="D255" s="90"/>
      <c r="E255" s="90"/>
      <c r="F255" s="90"/>
      <c r="G255" s="61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104"/>
      <c r="Z255" s="90"/>
      <c r="AA255" s="676"/>
      <c r="AB255" s="676"/>
      <c r="AC255" s="676"/>
      <c r="AD255" s="676"/>
      <c r="AE255" s="675"/>
      <c r="AF255" s="90"/>
      <c r="AG255" s="676"/>
      <c r="AH255" s="676"/>
      <c r="AI255" s="676"/>
      <c r="AJ255" s="676"/>
      <c r="AK255" s="675"/>
      <c r="AL255" s="90"/>
      <c r="AM255" s="676"/>
      <c r="AN255" s="676"/>
      <c r="AO255" s="676"/>
      <c r="AP255" s="676"/>
      <c r="AQ255" s="675"/>
      <c r="AR255" s="90"/>
      <c r="AS255" s="676"/>
      <c r="AT255" s="90"/>
      <c r="AU255" s="676"/>
      <c r="AV255" s="90"/>
      <c r="AW255" s="104"/>
      <c r="AX255" s="90"/>
      <c r="AY255" s="90"/>
      <c r="AZ255" s="90"/>
      <c r="BA255" s="90"/>
      <c r="BB255" s="90"/>
      <c r="BC255" s="104"/>
      <c r="BD255" s="90"/>
      <c r="BE255" s="675">
        <f>$BC228/($BC221*4)</f>
        <v>5.2880812227457774</v>
      </c>
      <c r="BF255" s="675">
        <f>$BC228/($BC221*4)</f>
        <v>5.2880812227457774</v>
      </c>
      <c r="BG255" s="675">
        <f>$BC228/($BC221*4)</f>
        <v>5.2880812227457774</v>
      </c>
      <c r="BH255" s="675">
        <f>$BC228/($BC221*4)</f>
        <v>5.2880812227457774</v>
      </c>
      <c r="BI255" s="675">
        <f>SUM(BE255:BH255)</f>
        <v>21.15232489098311</v>
      </c>
      <c r="BJ255" s="90"/>
      <c r="BK255" s="675">
        <f>$BC228/($BC221*4)</f>
        <v>5.2880812227457774</v>
      </c>
      <c r="BL255" s="675">
        <f>$BC228/($BC221*4)</f>
        <v>5.2880812227457774</v>
      </c>
      <c r="BM255" s="675">
        <f>$BC228/($BC221*4)</f>
        <v>5.2880812227457774</v>
      </c>
      <c r="BN255" s="675">
        <f>$BC228/($BC221*4)</f>
        <v>5.2880812227457774</v>
      </c>
      <c r="BO255" s="675">
        <f>SUM(BK255:BN255)</f>
        <v>21.15232489098311</v>
      </c>
      <c r="BP255" s="90"/>
      <c r="BQ255" s="675">
        <f>$BC228/($BC221*4)</f>
        <v>5.2880812227457774</v>
      </c>
      <c r="BR255" s="675">
        <f>$BC228/($BC221*4)</f>
        <v>5.2880812227457774</v>
      </c>
      <c r="BS255" s="675">
        <f>$BC228/($BC221*4)</f>
        <v>5.2880812227457774</v>
      </c>
      <c r="BT255" s="675">
        <f>$BC228/($BC221*4)</f>
        <v>5.2880812227457774</v>
      </c>
      <c r="BU255" s="675">
        <f>SUM(BQ255:BT255)</f>
        <v>21.15232489098311</v>
      </c>
      <c r="BV255" s="90"/>
      <c r="BW255" s="675">
        <f>$BC228/($BC221*4)</f>
        <v>5.2880812227457774</v>
      </c>
      <c r="BX255" s="675">
        <f>$BC228/($BC221*4)</f>
        <v>5.2880812227457774</v>
      </c>
      <c r="BY255" s="675">
        <f>$BC228/($BC221*4)</f>
        <v>5.2880812227457774</v>
      </c>
      <c r="BZ255" s="675">
        <f>BY257-BZ256</f>
        <v>3.1251537978725521</v>
      </c>
      <c r="CA255" s="675">
        <f>SUM(BW255:BZ255)</f>
        <v>18.989397466109885</v>
      </c>
      <c r="CB255" s="90"/>
      <c r="CC255" s="675"/>
      <c r="CD255" s="675"/>
      <c r="CE255" s="675"/>
      <c r="CF255" s="675"/>
      <c r="CG255" s="675"/>
      <c r="CH255" s="90"/>
      <c r="CI255" s="675"/>
      <c r="CJ255" s="675"/>
      <c r="CK255" s="675"/>
      <c r="CL255" s="675"/>
      <c r="CM255" s="675"/>
      <c r="CN255" s="90"/>
      <c r="CO255" s="675"/>
      <c r="CP255" s="675"/>
      <c r="CQ255" s="675"/>
      <c r="CR255" s="675"/>
      <c r="CS255" s="675"/>
      <c r="CT255" s="90"/>
      <c r="CU255" s="675"/>
      <c r="CV255" s="675"/>
      <c r="CW255" s="675"/>
      <c r="CX255" s="675"/>
      <c r="CY255" s="675"/>
      <c r="CZ255" s="90"/>
      <c r="DA255" s="675"/>
      <c r="DB255" s="675"/>
      <c r="DC255" s="675"/>
      <c r="DD255" s="675"/>
      <c r="DE255" s="675"/>
      <c r="DF255" s="90"/>
      <c r="DG255" s="675"/>
      <c r="DH255" s="675"/>
      <c r="DI255" s="675"/>
      <c r="DJ255" s="675"/>
      <c r="DK255" s="675"/>
      <c r="DL255" s="90"/>
      <c r="DM255" s="675"/>
      <c r="DN255" s="675"/>
      <c r="DO255" s="675"/>
      <c r="DP255" s="675"/>
      <c r="DQ255" s="675"/>
      <c r="DR255" s="90"/>
      <c r="DS255" s="675"/>
      <c r="DT255" s="675"/>
      <c r="DU255" s="675"/>
      <c r="DV255" s="675"/>
      <c r="DW255" s="675"/>
      <c r="DX255" s="90"/>
      <c r="DY255" s="675"/>
      <c r="DZ255" s="675"/>
      <c r="EA255" s="675"/>
      <c r="EB255" s="675"/>
      <c r="EC255" s="675"/>
      <c r="ED255" s="90"/>
      <c r="EE255" s="675"/>
      <c r="EF255" s="675"/>
      <c r="EG255" s="675"/>
      <c r="EH255" s="675"/>
      <c r="EI255" s="675"/>
      <c r="EJ255" s="90"/>
      <c r="EK255" s="675"/>
      <c r="EL255" s="675"/>
      <c r="EM255" s="675"/>
      <c r="EN255" s="675"/>
      <c r="EO255" s="675"/>
      <c r="EP255" s="90"/>
      <c r="EQ255" s="675"/>
      <c r="ER255" s="675"/>
      <c r="ES255" s="675"/>
      <c r="ET255" s="675"/>
      <c r="EU255" s="675"/>
      <c r="EV255" s="90"/>
      <c r="EW255" s="90"/>
      <c r="EX255" s="90"/>
      <c r="EY255" s="90"/>
      <c r="EZ255" s="90"/>
      <c r="FA255" s="90"/>
      <c r="FB255" s="90"/>
    </row>
    <row r="256" spans="1:158" hidden="1" outlineLevel="1">
      <c r="A256" s="677" t="s">
        <v>2094</v>
      </c>
      <c r="B256" s="728"/>
      <c r="C256" s="356"/>
      <c r="D256" s="356"/>
      <c r="E256" s="356"/>
      <c r="F256" s="356"/>
      <c r="G256" s="729"/>
      <c r="H256" s="356"/>
      <c r="I256" s="356"/>
      <c r="J256" s="356"/>
      <c r="K256" s="356"/>
      <c r="L256" s="356"/>
      <c r="M256" s="356"/>
      <c r="N256" s="356"/>
      <c r="O256" s="356"/>
      <c r="P256" s="356"/>
      <c r="Q256" s="356"/>
      <c r="R256" s="356"/>
      <c r="S256" s="356"/>
      <c r="T256" s="356"/>
      <c r="U256" s="356"/>
      <c r="V256" s="356"/>
      <c r="W256" s="356"/>
      <c r="X256" s="356"/>
      <c r="Y256" s="730"/>
      <c r="Z256" s="356"/>
      <c r="AA256" s="731"/>
      <c r="AB256" s="731"/>
      <c r="AC256" s="731"/>
      <c r="AD256" s="731"/>
      <c r="AE256" s="732"/>
      <c r="AF256" s="356"/>
      <c r="AG256" s="731"/>
      <c r="AH256" s="731"/>
      <c r="AI256" s="731"/>
      <c r="AJ256" s="731"/>
      <c r="AK256" s="732"/>
      <c r="AL256" s="356"/>
      <c r="AM256" s="731"/>
      <c r="AN256" s="731"/>
      <c r="AO256" s="731"/>
      <c r="AP256" s="731"/>
      <c r="AQ256" s="732"/>
      <c r="AR256" s="356"/>
      <c r="AS256" s="731"/>
      <c r="AT256" s="356"/>
      <c r="AU256" s="731"/>
      <c r="AV256" s="356"/>
      <c r="AW256" s="730"/>
      <c r="AX256" s="356"/>
      <c r="AY256" s="356"/>
      <c r="AZ256" s="356"/>
      <c r="BA256" s="356"/>
      <c r="BB256" s="356"/>
      <c r="BC256" s="730"/>
      <c r="BD256" s="356"/>
      <c r="BE256" s="675">
        <f>$BC$228*$BI$216/4</f>
        <v>0.94375240698088625</v>
      </c>
      <c r="BF256" s="675">
        <f>BE257*$BI$216/4</f>
        <v>0.87909067117829187</v>
      </c>
      <c r="BG256" s="675">
        <f>BF257*$BI$216/4</f>
        <v>0.8150998679335022</v>
      </c>
      <c r="BH256" s="675">
        <f>BG257*$BI$216/4</f>
        <v>0.75177303562552833</v>
      </c>
      <c r="BI256" s="675">
        <f>SUM(BE256:BH256)</f>
        <v>3.3897159817182088</v>
      </c>
      <c r="BJ256" s="356"/>
      <c r="BK256" s="675">
        <f>BH257*$BO$216/4</f>
        <v>0.83016195198157572</v>
      </c>
      <c r="BL256" s="675">
        <f>BK257*$BO$216/4</f>
        <v>0.75368391229748388</v>
      </c>
      <c r="BM256" s="675">
        <f>BL257*$BO$216/4</f>
        <v>0.67816184810944313</v>
      </c>
      <c r="BN256" s="675">
        <f>BM257*$BO$216/4</f>
        <v>0.60358380972375292</v>
      </c>
      <c r="BO256" s="675">
        <f>SUM(BK256:BN256)</f>
        <v>2.8655915221122554</v>
      </c>
      <c r="BP256" s="356"/>
      <c r="BQ256" s="675">
        <f>BN257*$BU$216/4</f>
        <v>0.52993799681788378</v>
      </c>
      <c r="BR256" s="675">
        <f>BQ257*$BU$216/4</f>
        <v>0.45721275657333793</v>
      </c>
      <c r="BS256" s="675">
        <f>BR257*$BU$216/4</f>
        <v>0.38539658183184899</v>
      </c>
      <c r="BT256" s="675">
        <f>BS257*$BU$216/4</f>
        <v>0.31447810927462871</v>
      </c>
      <c r="BU256" s="675">
        <f>SUM(BQ256:BT256)</f>
        <v>1.6870254444976993</v>
      </c>
      <c r="BV256" s="356"/>
      <c r="BW256" s="675">
        <f>BT257*$BU$216/4</f>
        <v>0.24444611762437363</v>
      </c>
      <c r="BX256" s="675">
        <f>BW257*$BU$216/4</f>
        <v>0.17528952586974672</v>
      </c>
      <c r="BY256" s="675">
        <f>BX257*$BU$216/4</f>
        <v>0.10699739151205266</v>
      </c>
      <c r="BZ256" s="675">
        <f>BY257*$BU$216/4</f>
        <v>3.955890883382978E-2</v>
      </c>
      <c r="CA256" s="675">
        <f>SUM(BW256:BZ256)</f>
        <v>0.5662919438400027</v>
      </c>
      <c r="CB256" s="356"/>
      <c r="CC256" s="675"/>
      <c r="CD256" s="675"/>
      <c r="CE256" s="675"/>
      <c r="CF256" s="675"/>
      <c r="CG256" s="675"/>
      <c r="CH256" s="356"/>
      <c r="CI256" s="675"/>
      <c r="CJ256" s="675"/>
      <c r="CK256" s="675"/>
      <c r="CL256" s="675"/>
      <c r="CM256" s="675"/>
      <c r="CN256" s="356"/>
      <c r="CO256" s="675"/>
      <c r="CP256" s="675"/>
      <c r="CQ256" s="675"/>
      <c r="CR256" s="675"/>
      <c r="CS256" s="675"/>
      <c r="CT256" s="356"/>
      <c r="CU256" s="675"/>
      <c r="CV256" s="675"/>
      <c r="CW256" s="675"/>
      <c r="CX256" s="675"/>
      <c r="CY256" s="675"/>
      <c r="CZ256" s="356"/>
      <c r="DA256" s="675"/>
      <c r="DB256" s="675"/>
      <c r="DC256" s="675"/>
      <c r="DD256" s="675"/>
      <c r="DE256" s="675"/>
      <c r="DF256" s="356"/>
      <c r="DG256" s="675"/>
      <c r="DH256" s="675"/>
      <c r="DI256" s="675"/>
      <c r="DJ256" s="675"/>
      <c r="DK256" s="675"/>
      <c r="DL256" s="356"/>
      <c r="DM256" s="675"/>
      <c r="DN256" s="675"/>
      <c r="DO256" s="675"/>
      <c r="DP256" s="675"/>
      <c r="DQ256" s="675"/>
      <c r="DR256" s="356"/>
      <c r="DS256" s="675"/>
      <c r="DT256" s="675"/>
      <c r="DU256" s="675"/>
      <c r="DV256" s="675"/>
      <c r="DW256" s="675"/>
      <c r="DX256" s="356"/>
      <c r="DY256" s="675"/>
      <c r="DZ256" s="675"/>
      <c r="EA256" s="675"/>
      <c r="EB256" s="675"/>
      <c r="EC256" s="675"/>
      <c r="ED256" s="356"/>
      <c r="EE256" s="675"/>
      <c r="EF256" s="675"/>
      <c r="EG256" s="675"/>
      <c r="EH256" s="675"/>
      <c r="EI256" s="675"/>
      <c r="EJ256" s="356"/>
      <c r="EK256" s="675"/>
      <c r="EL256" s="675"/>
      <c r="EM256" s="675"/>
      <c r="EN256" s="675"/>
      <c r="EO256" s="675"/>
      <c r="EP256" s="356"/>
      <c r="EQ256" s="675"/>
      <c r="ER256" s="675"/>
      <c r="ES256" s="675"/>
      <c r="ET256" s="675"/>
      <c r="EU256" s="675"/>
      <c r="EV256" s="356"/>
      <c r="EW256" s="356"/>
      <c r="EX256" s="356"/>
      <c r="EY256" s="356"/>
      <c r="EZ256" s="356"/>
      <c r="FA256" s="356"/>
      <c r="FB256" s="356"/>
    </row>
    <row r="257" spans="1:158" hidden="1" outlineLevel="1">
      <c r="A257" s="185" t="s">
        <v>2095</v>
      </c>
      <c r="B257" s="32"/>
      <c r="C257" s="90"/>
      <c r="D257" s="90"/>
      <c r="E257" s="90"/>
      <c r="F257" s="90"/>
      <c r="G257" s="61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104"/>
      <c r="Z257" s="90"/>
      <c r="AA257" s="676"/>
      <c r="AB257" s="676"/>
      <c r="AC257" s="676"/>
      <c r="AD257" s="676"/>
      <c r="AE257" s="675"/>
      <c r="AF257" s="90"/>
      <c r="AG257" s="676"/>
      <c r="AH257" s="676"/>
      <c r="AI257" s="676"/>
      <c r="AJ257" s="676"/>
      <c r="AK257" s="675"/>
      <c r="AL257" s="90"/>
      <c r="AM257" s="676"/>
      <c r="AN257" s="676"/>
      <c r="AO257" s="676"/>
      <c r="AP257" s="676"/>
      <c r="AQ257" s="675"/>
      <c r="AR257" s="90"/>
      <c r="AS257" s="676"/>
      <c r="AT257" s="90"/>
      <c r="AU257" s="676"/>
      <c r="AV257" s="90"/>
      <c r="AW257" s="104"/>
      <c r="AX257" s="90"/>
      <c r="AY257" s="90"/>
      <c r="AZ257" s="90"/>
      <c r="BA257" s="90"/>
      <c r="BB257" s="90"/>
      <c r="BC257" s="104"/>
      <c r="BD257" s="90"/>
      <c r="BE257" s="676">
        <f>BC228-BE255-BE256</f>
        <v>84.723163401500699</v>
      </c>
      <c r="BF257" s="676">
        <f>BE257-BF255-BF256</f>
        <v>78.555991507576636</v>
      </c>
      <c r="BG257" s="676">
        <f>BF257-BG255-BG256</f>
        <v>72.452810416897364</v>
      </c>
      <c r="BH257" s="676">
        <f>BG257-BH255-BH256</f>
        <v>66.412956158526057</v>
      </c>
      <c r="BI257" s="675">
        <f>BH257</f>
        <v>66.412956158526057</v>
      </c>
      <c r="BJ257" s="90"/>
      <c r="BK257" s="676">
        <f>BI257-BK255-BK256</f>
        <v>60.294712983798711</v>
      </c>
      <c r="BL257" s="676">
        <f>BK257-BL255-BL256</f>
        <v>54.252947848755447</v>
      </c>
      <c r="BM257" s="676">
        <f>BL257-BM255-BM256</f>
        <v>48.286704777900226</v>
      </c>
      <c r="BN257" s="676">
        <f>BM257-BN255-BN256</f>
        <v>42.395039745430701</v>
      </c>
      <c r="BO257" s="675">
        <f>BN257</f>
        <v>42.395039745430701</v>
      </c>
      <c r="BP257" s="90"/>
      <c r="BQ257" s="676">
        <f>BO257-BQ255-BQ256</f>
        <v>36.577020525867034</v>
      </c>
      <c r="BR257" s="676">
        <f>BQ257-BR255-BR256</f>
        <v>30.83172654654792</v>
      </c>
      <c r="BS257" s="676">
        <f>BR257-BS255-BS256</f>
        <v>25.158248741970294</v>
      </c>
      <c r="BT257" s="676">
        <f>BS257-BT255-BT256</f>
        <v>19.555689409949888</v>
      </c>
      <c r="BU257" s="675">
        <f>BT257</f>
        <v>19.555689409949888</v>
      </c>
      <c r="BV257" s="90"/>
      <c r="BW257" s="676">
        <f>BU257-BW255-BW256</f>
        <v>14.023162069579737</v>
      </c>
      <c r="BX257" s="676">
        <f>BW257-BX255-BX256</f>
        <v>8.5597913209642122</v>
      </c>
      <c r="BY257" s="676">
        <f>BX257-BY255-BY256</f>
        <v>3.1647127067063821</v>
      </c>
      <c r="BZ257" s="676">
        <f>BY257-BZ255-BZ256</f>
        <v>1.7347234759768071E-16</v>
      </c>
      <c r="CA257" s="675">
        <f>BZ257</f>
        <v>1.7347234759768071E-16</v>
      </c>
      <c r="CB257" s="90"/>
      <c r="CC257" s="676"/>
      <c r="CD257" s="676"/>
      <c r="CE257" s="676"/>
      <c r="CF257" s="676"/>
      <c r="CG257" s="675"/>
      <c r="CH257" s="90"/>
      <c r="CI257" s="676"/>
      <c r="CJ257" s="676"/>
      <c r="CK257" s="676"/>
      <c r="CL257" s="676"/>
      <c r="CM257" s="675"/>
      <c r="CN257" s="90"/>
      <c r="CO257" s="676"/>
      <c r="CP257" s="676"/>
      <c r="CQ257" s="676"/>
      <c r="CR257" s="676"/>
      <c r="CS257" s="675"/>
      <c r="CT257" s="90"/>
      <c r="CU257" s="676"/>
      <c r="CV257" s="676"/>
      <c r="CW257" s="676"/>
      <c r="CX257" s="676"/>
      <c r="CY257" s="675"/>
      <c r="CZ257" s="90"/>
      <c r="DA257" s="676"/>
      <c r="DB257" s="676"/>
      <c r="DC257" s="676"/>
      <c r="DD257" s="676"/>
      <c r="DE257" s="675"/>
      <c r="DF257" s="90"/>
      <c r="DG257" s="676"/>
      <c r="DH257" s="676"/>
      <c r="DI257" s="676"/>
      <c r="DJ257" s="676"/>
      <c r="DK257" s="675"/>
      <c r="DL257" s="90"/>
      <c r="DM257" s="676"/>
      <c r="DN257" s="676"/>
      <c r="DO257" s="676"/>
      <c r="DP257" s="676"/>
      <c r="DQ257" s="675"/>
      <c r="DR257" s="90"/>
      <c r="DS257" s="676"/>
      <c r="DT257" s="676"/>
      <c r="DU257" s="676"/>
      <c r="DV257" s="676"/>
      <c r="DW257" s="675"/>
      <c r="DX257" s="90"/>
      <c r="DY257" s="676"/>
      <c r="DZ257" s="676"/>
      <c r="EA257" s="676"/>
      <c r="EB257" s="676"/>
      <c r="EC257" s="675"/>
      <c r="ED257" s="90"/>
      <c r="EE257" s="676"/>
      <c r="EF257" s="676"/>
      <c r="EG257" s="676"/>
      <c r="EH257" s="676"/>
      <c r="EI257" s="675"/>
      <c r="EJ257" s="90"/>
      <c r="EK257" s="676"/>
      <c r="EL257" s="676"/>
      <c r="EM257" s="676"/>
      <c r="EN257" s="676"/>
      <c r="EO257" s="675"/>
      <c r="EP257" s="90"/>
      <c r="EQ257" s="676"/>
      <c r="ER257" s="676"/>
      <c r="ES257" s="676"/>
      <c r="ET257" s="676"/>
      <c r="EU257" s="675"/>
      <c r="EV257" s="90"/>
      <c r="EW257" s="90"/>
      <c r="EX257" s="90"/>
      <c r="EY257" s="90"/>
      <c r="EZ257" s="90"/>
      <c r="FA257" s="90"/>
      <c r="FB257" s="90"/>
    </row>
    <row r="258" spans="1:158" hidden="1" outlineLevel="1">
      <c r="A258" s="734"/>
      <c r="B258" s="728"/>
      <c r="C258" s="356"/>
      <c r="D258" s="356"/>
      <c r="E258" s="356"/>
      <c r="F258" s="356"/>
      <c r="G258" s="729"/>
      <c r="H258" s="356"/>
      <c r="I258" s="356"/>
      <c r="J258" s="356"/>
      <c r="K258" s="356"/>
      <c r="L258" s="356"/>
      <c r="M258" s="356"/>
      <c r="N258" s="356"/>
      <c r="O258" s="356"/>
      <c r="P258" s="356"/>
      <c r="Q258" s="356"/>
      <c r="R258" s="356"/>
      <c r="S258" s="356"/>
      <c r="T258" s="356"/>
      <c r="U258" s="356"/>
      <c r="V258" s="356"/>
      <c r="W258" s="356"/>
      <c r="X258" s="356"/>
      <c r="Y258" s="730"/>
      <c r="Z258" s="356"/>
      <c r="AA258" s="731"/>
      <c r="AB258" s="731"/>
      <c r="AC258" s="731"/>
      <c r="AD258" s="731"/>
      <c r="AE258" s="732"/>
      <c r="AF258" s="356"/>
      <c r="AG258" s="731"/>
      <c r="AH258" s="731"/>
      <c r="AI258" s="731"/>
      <c r="AJ258" s="731"/>
      <c r="AK258" s="732"/>
      <c r="AL258" s="356"/>
      <c r="AM258" s="731"/>
      <c r="AN258" s="731"/>
      <c r="AO258" s="731"/>
      <c r="AP258" s="731"/>
      <c r="AQ258" s="732"/>
      <c r="AR258" s="356"/>
      <c r="AS258" s="731"/>
      <c r="AT258" s="356"/>
      <c r="AU258" s="731"/>
      <c r="AV258" s="356"/>
      <c r="AW258" s="730"/>
      <c r="AX258" s="356"/>
      <c r="AY258" s="356"/>
      <c r="AZ258" s="356"/>
      <c r="BA258" s="356"/>
      <c r="BB258" s="356"/>
      <c r="BC258" s="730"/>
      <c r="BD258" s="356"/>
      <c r="BE258" s="730"/>
      <c r="BF258" s="730"/>
      <c r="BG258" s="730"/>
      <c r="BH258" s="730"/>
      <c r="BI258" s="730"/>
      <c r="BJ258" s="356"/>
      <c r="BK258" s="733"/>
      <c r="BL258" s="733"/>
      <c r="BM258" s="733"/>
      <c r="BN258" s="733"/>
      <c r="BO258" s="733"/>
      <c r="BP258" s="356"/>
      <c r="BQ258" s="733"/>
      <c r="BR258" s="733"/>
      <c r="BS258" s="733"/>
      <c r="BT258" s="733"/>
      <c r="BU258" s="733"/>
      <c r="BV258" s="356"/>
      <c r="BW258" s="733"/>
      <c r="BX258" s="733"/>
      <c r="BY258" s="733"/>
      <c r="BZ258" s="733"/>
      <c r="CA258" s="733"/>
      <c r="CB258" s="356"/>
      <c r="CC258" s="356"/>
      <c r="CD258" s="356"/>
      <c r="CE258" s="356"/>
      <c r="CF258" s="356"/>
      <c r="CG258" s="356"/>
      <c r="CH258" s="356"/>
      <c r="CI258" s="356"/>
      <c r="CJ258" s="356"/>
      <c r="CK258" s="356"/>
      <c r="CL258" s="356"/>
      <c r="CM258" s="356"/>
      <c r="CN258" s="356"/>
      <c r="CO258" s="356"/>
      <c r="CP258" s="356"/>
      <c r="CQ258" s="356"/>
      <c r="CR258" s="356"/>
      <c r="CS258" s="356"/>
      <c r="CT258" s="356"/>
      <c r="CU258" s="356"/>
      <c r="CV258" s="356"/>
      <c r="CW258" s="356"/>
      <c r="CX258" s="356"/>
      <c r="CY258" s="356"/>
      <c r="CZ258" s="356"/>
      <c r="DA258" s="356"/>
      <c r="DB258" s="356"/>
      <c r="DC258" s="356"/>
      <c r="DD258" s="356"/>
      <c r="DE258" s="356"/>
      <c r="DF258" s="356"/>
      <c r="DG258" s="356"/>
      <c r="DH258" s="356"/>
      <c r="DI258" s="356"/>
      <c r="DJ258" s="356"/>
      <c r="DK258" s="356"/>
      <c r="DL258" s="356"/>
      <c r="DM258" s="356"/>
      <c r="DN258" s="356"/>
      <c r="DO258" s="356"/>
      <c r="DP258" s="356"/>
      <c r="DQ258" s="356"/>
      <c r="DR258" s="356"/>
      <c r="DS258" s="356"/>
      <c r="DT258" s="356"/>
      <c r="DU258" s="356"/>
      <c r="DV258" s="356"/>
      <c r="DW258" s="356"/>
      <c r="DX258" s="356"/>
      <c r="DY258" s="356"/>
      <c r="DZ258" s="356"/>
      <c r="EA258" s="356"/>
      <c r="EB258" s="356"/>
      <c r="EC258" s="356"/>
      <c r="ED258" s="356"/>
      <c r="EE258" s="356"/>
      <c r="EF258" s="356"/>
      <c r="EG258" s="356"/>
      <c r="EH258" s="356"/>
      <c r="EI258" s="356"/>
      <c r="EJ258" s="356"/>
      <c r="EK258" s="356"/>
      <c r="EL258" s="356"/>
      <c r="EM258" s="356"/>
      <c r="EN258" s="356"/>
      <c r="EO258" s="356"/>
      <c r="EP258" s="356"/>
      <c r="EQ258" s="356"/>
      <c r="ER258" s="356"/>
      <c r="ES258" s="356"/>
      <c r="ET258" s="356"/>
      <c r="EU258" s="356"/>
      <c r="EV258" s="356"/>
      <c r="EW258" s="356"/>
      <c r="EX258" s="356"/>
      <c r="EY258" s="356"/>
      <c r="EZ258" s="356"/>
      <c r="FA258" s="356"/>
      <c r="FB258" s="356"/>
    </row>
    <row r="259" spans="1:158" hidden="1" outlineLevel="1">
      <c r="A259" s="677" t="s">
        <v>3692</v>
      </c>
      <c r="B259" s="32"/>
      <c r="C259" s="90"/>
      <c r="D259" s="90"/>
      <c r="E259" s="90"/>
      <c r="F259" s="90"/>
      <c r="G259" s="61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104"/>
      <c r="Z259" s="90"/>
      <c r="AA259" s="676"/>
      <c r="AB259" s="676"/>
      <c r="AC259" s="676"/>
      <c r="AD259" s="676"/>
      <c r="AE259" s="675"/>
      <c r="AF259" s="90"/>
      <c r="AG259" s="676"/>
      <c r="AH259" s="676"/>
      <c r="AI259" s="676"/>
      <c r="AJ259" s="676"/>
      <c r="AK259" s="675"/>
      <c r="AL259" s="90"/>
      <c r="AM259" s="676"/>
      <c r="AN259" s="676"/>
      <c r="AO259" s="676"/>
      <c r="AP259" s="676"/>
      <c r="AQ259" s="675"/>
      <c r="AR259" s="90"/>
      <c r="AS259" s="676"/>
      <c r="AT259" s="90"/>
      <c r="AU259" s="676"/>
      <c r="AV259" s="90"/>
      <c r="AW259" s="104"/>
      <c r="AX259" s="90"/>
      <c r="AY259" s="90"/>
      <c r="AZ259" s="90"/>
      <c r="BA259" s="90"/>
      <c r="BB259" s="90"/>
      <c r="BC259" s="104"/>
      <c r="BD259" s="90"/>
      <c r="BE259" s="104"/>
      <c r="BF259" s="104"/>
      <c r="BG259" s="104"/>
      <c r="BH259" s="104"/>
      <c r="BI259" s="104"/>
      <c r="BJ259" s="90"/>
      <c r="BK259" s="675">
        <f>$BI228/($BI221*4)</f>
        <v>5.4108734337929532</v>
      </c>
      <c r="BL259" s="675">
        <f>$BI228/($BI221*4)</f>
        <v>5.4108734337929532</v>
      </c>
      <c r="BM259" s="675">
        <f>$BI228/($BI221*4)</f>
        <v>5.4108734337929532</v>
      </c>
      <c r="BN259" s="675">
        <f>$BI228/($BI221*4)</f>
        <v>5.4108734337929532</v>
      </c>
      <c r="BO259" s="675">
        <f>SUM(BK259:BN259)</f>
        <v>21.643493735171813</v>
      </c>
      <c r="BP259" s="90"/>
      <c r="BQ259" s="675">
        <f>$BI228/($BI221*4)</f>
        <v>5.4108734337929532</v>
      </c>
      <c r="BR259" s="675">
        <f>$BI228/($BI221*4)</f>
        <v>5.4108734337929532</v>
      </c>
      <c r="BS259" s="675">
        <f>$BI228/($BI221*4)</f>
        <v>5.4108734337929532</v>
      </c>
      <c r="BT259" s="675">
        <f>$BI228/($BI221*4)</f>
        <v>5.4108734337929532</v>
      </c>
      <c r="BU259" s="675">
        <f>SUM(BQ259:BT259)</f>
        <v>21.643493735171813</v>
      </c>
      <c r="BV259" s="90"/>
      <c r="BW259" s="675">
        <f>$BI228/($BI221*4)</f>
        <v>5.4108734337929532</v>
      </c>
      <c r="BX259" s="675">
        <f>$BI228/($BI221*4)</f>
        <v>5.4108734337929532</v>
      </c>
      <c r="BY259" s="675">
        <f>$BI228/($BI221*4)</f>
        <v>5.4108734337929532</v>
      </c>
      <c r="BZ259" s="675">
        <f>$BI228/($BI221*4)</f>
        <v>5.4108734337929532</v>
      </c>
      <c r="CA259" s="675">
        <f>SUM(BW259:BZ259)</f>
        <v>21.643493735171813</v>
      </c>
      <c r="CB259" s="90"/>
      <c r="CC259" s="675">
        <f>$BI228/($BI221*4)</f>
        <v>5.4108734337929532</v>
      </c>
      <c r="CD259" s="675">
        <f>$BI228/($BI221*4)</f>
        <v>5.4108734337929532</v>
      </c>
      <c r="CE259" s="675">
        <f>$BI228/($BI221*4)</f>
        <v>5.4108734337929532</v>
      </c>
      <c r="CF259" s="675">
        <f>$BI228/($BI221*4)</f>
        <v>5.4108734337929532</v>
      </c>
      <c r="CG259" s="675">
        <f>SUM(CC259:CF259)</f>
        <v>21.643493735171813</v>
      </c>
      <c r="CH259" s="90"/>
      <c r="CI259" s="675"/>
      <c r="CJ259" s="675"/>
      <c r="CK259" s="675"/>
      <c r="CL259" s="675"/>
      <c r="CM259" s="675"/>
      <c r="CN259" s="90"/>
      <c r="CO259" s="675"/>
      <c r="CP259" s="675"/>
      <c r="CQ259" s="675"/>
      <c r="CR259" s="675"/>
      <c r="CS259" s="675"/>
      <c r="CT259" s="90"/>
      <c r="CU259" s="675"/>
      <c r="CV259" s="675"/>
      <c r="CW259" s="675"/>
      <c r="CX259" s="675"/>
      <c r="CY259" s="675"/>
      <c r="CZ259" s="90"/>
      <c r="DA259" s="675"/>
      <c r="DB259" s="675"/>
      <c r="DC259" s="675"/>
      <c r="DD259" s="675"/>
      <c r="DE259" s="675"/>
      <c r="DF259" s="90"/>
      <c r="DG259" s="675"/>
      <c r="DH259" s="675"/>
      <c r="DI259" s="675"/>
      <c r="DJ259" s="675"/>
      <c r="DK259" s="675"/>
      <c r="DL259" s="90"/>
      <c r="DM259" s="675"/>
      <c r="DN259" s="675"/>
      <c r="DO259" s="675"/>
      <c r="DP259" s="675"/>
      <c r="DQ259" s="675"/>
      <c r="DR259" s="90"/>
      <c r="DS259" s="675"/>
      <c r="DT259" s="675"/>
      <c r="DU259" s="675"/>
      <c r="DV259" s="675"/>
      <c r="DW259" s="675"/>
      <c r="DX259" s="90"/>
      <c r="DY259" s="675"/>
      <c r="DZ259" s="675"/>
      <c r="EA259" s="675"/>
      <c r="EB259" s="675"/>
      <c r="EC259" s="675"/>
      <c r="ED259" s="90"/>
      <c r="EE259" s="675"/>
      <c r="EF259" s="675"/>
      <c r="EG259" s="675"/>
      <c r="EH259" s="675"/>
      <c r="EI259" s="675"/>
      <c r="EJ259" s="90"/>
      <c r="EK259" s="675"/>
      <c r="EL259" s="675"/>
      <c r="EM259" s="675"/>
      <c r="EN259" s="675"/>
      <c r="EO259" s="675"/>
      <c r="EP259" s="90"/>
      <c r="EQ259" s="675"/>
      <c r="ER259" s="675"/>
      <c r="ES259" s="675"/>
      <c r="ET259" s="675"/>
      <c r="EU259" s="675"/>
      <c r="EV259" s="90"/>
      <c r="EW259" s="90"/>
      <c r="EX259" s="90"/>
      <c r="EY259" s="90"/>
      <c r="EZ259" s="90"/>
      <c r="FA259" s="90"/>
      <c r="FB259" s="90"/>
    </row>
    <row r="260" spans="1:158" hidden="1" outlineLevel="1">
      <c r="A260" s="677" t="s">
        <v>2094</v>
      </c>
      <c r="B260" s="728"/>
      <c r="C260" s="356"/>
      <c r="D260" s="356"/>
      <c r="E260" s="356"/>
      <c r="F260" s="356"/>
      <c r="G260" s="729"/>
      <c r="H260" s="356"/>
      <c r="I260" s="356"/>
      <c r="J260" s="356"/>
      <c r="K260" s="356"/>
      <c r="L260" s="356"/>
      <c r="M260" s="356"/>
      <c r="N260" s="356"/>
      <c r="O260" s="356"/>
      <c r="P260" s="356"/>
      <c r="Q260" s="356"/>
      <c r="R260" s="356"/>
      <c r="S260" s="356"/>
      <c r="T260" s="356"/>
      <c r="U260" s="356"/>
      <c r="V260" s="356"/>
      <c r="W260" s="356"/>
      <c r="X260" s="356"/>
      <c r="Y260" s="730"/>
      <c r="Z260" s="356"/>
      <c r="AA260" s="731"/>
      <c r="AB260" s="731"/>
      <c r="AC260" s="731"/>
      <c r="AD260" s="731"/>
      <c r="AE260" s="732"/>
      <c r="AF260" s="356"/>
      <c r="AG260" s="731"/>
      <c r="AH260" s="731"/>
      <c r="AI260" s="731"/>
      <c r="AJ260" s="731"/>
      <c r="AK260" s="732"/>
      <c r="AL260" s="356"/>
      <c r="AM260" s="731"/>
      <c r="AN260" s="731"/>
      <c r="AO260" s="731"/>
      <c r="AP260" s="731"/>
      <c r="AQ260" s="732"/>
      <c r="AR260" s="356"/>
      <c r="AS260" s="731"/>
      <c r="AT260" s="356"/>
      <c r="AU260" s="731"/>
      <c r="AV260" s="356"/>
      <c r="AW260" s="730"/>
      <c r="AX260" s="356"/>
      <c r="AY260" s="356"/>
      <c r="AZ260" s="356"/>
      <c r="BA260" s="356"/>
      <c r="BB260" s="356"/>
      <c r="BC260" s="730"/>
      <c r="BD260" s="356"/>
      <c r="BE260" s="730"/>
      <c r="BF260" s="730"/>
      <c r="BG260" s="730"/>
      <c r="BH260" s="730"/>
      <c r="BI260" s="730"/>
      <c r="BJ260" s="356"/>
      <c r="BK260" s="675">
        <f>$BI$228*$BO$216/4</f>
        <v>1.1362834210965203</v>
      </c>
      <c r="BL260" s="675">
        <f>BK261*$BO$216/4</f>
        <v>1.0544439604104017</v>
      </c>
      <c r="BM260" s="675">
        <f>BL261*$BO$216/4</f>
        <v>0.97362749298285989</v>
      </c>
      <c r="BN260" s="675">
        <f>BM261*$BO$216/4</f>
        <v>0.89382123139816216</v>
      </c>
      <c r="BO260" s="675">
        <f>SUM(BK260:BN260)</f>
        <v>4.0581761058879442</v>
      </c>
      <c r="BP260" s="356"/>
      <c r="BQ260" s="675">
        <f>BN261*$BU$216/4</f>
        <v>0.81501254808327317</v>
      </c>
      <c r="BR260" s="675">
        <f>BQ261*$BU$216/4</f>
        <v>0.73718897330982036</v>
      </c>
      <c r="BS260" s="675">
        <f>BR261*$BO$216/4</f>
        <v>0.66033819322103571</v>
      </c>
      <c r="BT260" s="675">
        <f>BS261*$BO$216/4</f>
        <v>0.5844480478833608</v>
      </c>
      <c r="BU260" s="675">
        <f>SUM(BQ260:BT260)</f>
        <v>2.7969877624974901</v>
      </c>
      <c r="BV260" s="356"/>
      <c r="BW260" s="675">
        <f>BT261*$BU$216/4</f>
        <v>0.50950652936240692</v>
      </c>
      <c r="BX260" s="675">
        <f>BW261*$BU$216/4</f>
        <v>0.43550177982296501</v>
      </c>
      <c r="BY260" s="675">
        <f>BX261*$BO$216/4</f>
        <v>0.36242208965276601</v>
      </c>
      <c r="BZ260" s="675">
        <f>BY261*$BO$216/4</f>
        <v>0.2902558956096945</v>
      </c>
      <c r="CA260" s="675">
        <f>SUM(BW260:BZ260)</f>
        <v>1.5976862944478325</v>
      </c>
      <c r="CB260" s="356"/>
      <c r="CC260" s="675">
        <f>BZ261*$BU$216/4</f>
        <v>0.21899177899216138</v>
      </c>
      <c r="CD260" s="675">
        <f>CC261*$BU$216/4</f>
        <v>0.14861846383234742</v>
      </c>
      <c r="CE260" s="675">
        <f>CD261*$BO$216/4</f>
        <v>7.9124815112031177E-2</v>
      </c>
      <c r="CF260" s="675">
        <f>CE261*$BO$216/4</f>
        <v>1.0499837000718862E-2</v>
      </c>
      <c r="CG260" s="675">
        <f>SUM(CC260:CF260)</f>
        <v>0.45723489493725888</v>
      </c>
      <c r="CH260" s="356"/>
      <c r="CI260" s="675"/>
      <c r="CJ260" s="675"/>
      <c r="CK260" s="675"/>
      <c r="CL260" s="675"/>
      <c r="CM260" s="675"/>
      <c r="CN260" s="356"/>
      <c r="CO260" s="675"/>
      <c r="CP260" s="675"/>
      <c r="CQ260" s="675"/>
      <c r="CR260" s="675"/>
      <c r="CS260" s="675"/>
      <c r="CT260" s="356"/>
      <c r="CU260" s="675"/>
      <c r="CV260" s="675"/>
      <c r="CW260" s="675"/>
      <c r="CX260" s="675"/>
      <c r="CY260" s="675"/>
      <c r="CZ260" s="356"/>
      <c r="DA260" s="675"/>
      <c r="DB260" s="675"/>
      <c r="DC260" s="675"/>
      <c r="DD260" s="675"/>
      <c r="DE260" s="675"/>
      <c r="DF260" s="356"/>
      <c r="DG260" s="675"/>
      <c r="DH260" s="675"/>
      <c r="DI260" s="675"/>
      <c r="DJ260" s="675"/>
      <c r="DK260" s="675"/>
      <c r="DL260" s="356"/>
      <c r="DM260" s="675"/>
      <c r="DN260" s="675"/>
      <c r="DO260" s="675"/>
      <c r="DP260" s="675"/>
      <c r="DQ260" s="675"/>
      <c r="DR260" s="356"/>
      <c r="DS260" s="675"/>
      <c r="DT260" s="675"/>
      <c r="DU260" s="675"/>
      <c r="DV260" s="675"/>
      <c r="DW260" s="675"/>
      <c r="DX260" s="356"/>
      <c r="DY260" s="675"/>
      <c r="DZ260" s="675"/>
      <c r="EA260" s="675"/>
      <c r="EB260" s="675"/>
      <c r="EC260" s="675"/>
      <c r="ED260" s="356"/>
      <c r="EE260" s="675"/>
      <c r="EF260" s="675"/>
      <c r="EG260" s="675"/>
      <c r="EH260" s="675"/>
      <c r="EI260" s="675"/>
      <c r="EJ260" s="356"/>
      <c r="EK260" s="675"/>
      <c r="EL260" s="675"/>
      <c r="EM260" s="675"/>
      <c r="EN260" s="675"/>
      <c r="EO260" s="675"/>
      <c r="EP260" s="356"/>
      <c r="EQ260" s="675"/>
      <c r="ER260" s="675"/>
      <c r="ES260" s="675"/>
      <c r="ET260" s="675"/>
      <c r="EU260" s="675"/>
      <c r="EV260" s="356"/>
      <c r="EW260" s="356"/>
      <c r="EX260" s="356"/>
      <c r="EY260" s="356"/>
      <c r="EZ260" s="356"/>
      <c r="FA260" s="356"/>
      <c r="FB260" s="356"/>
    </row>
    <row r="261" spans="1:158" hidden="1" outlineLevel="1">
      <c r="A261" s="185" t="s">
        <v>2095</v>
      </c>
      <c r="B261" s="32"/>
      <c r="C261" s="90"/>
      <c r="D261" s="90"/>
      <c r="E261" s="90"/>
      <c r="F261" s="90"/>
      <c r="G261" s="61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104"/>
      <c r="Z261" s="90"/>
      <c r="AA261" s="676"/>
      <c r="AB261" s="676"/>
      <c r="AC261" s="676"/>
      <c r="AD261" s="676"/>
      <c r="AE261" s="675"/>
      <c r="AF261" s="90"/>
      <c r="AG261" s="676"/>
      <c r="AH261" s="676"/>
      <c r="AI261" s="676"/>
      <c r="AJ261" s="676"/>
      <c r="AK261" s="675"/>
      <c r="AL261" s="90"/>
      <c r="AM261" s="676"/>
      <c r="AN261" s="676"/>
      <c r="AO261" s="676"/>
      <c r="AP261" s="676"/>
      <c r="AQ261" s="675"/>
      <c r="AR261" s="90"/>
      <c r="AS261" s="676"/>
      <c r="AT261" s="90"/>
      <c r="AU261" s="676"/>
      <c r="AV261" s="90"/>
      <c r="AW261" s="104"/>
      <c r="AX261" s="90"/>
      <c r="AY261" s="90"/>
      <c r="AZ261" s="90"/>
      <c r="BA261" s="90"/>
      <c r="BB261" s="90"/>
      <c r="BC261" s="104"/>
      <c r="BD261" s="90"/>
      <c r="BE261" s="104"/>
      <c r="BF261" s="104"/>
      <c r="BG261" s="104"/>
      <c r="BH261" s="104"/>
      <c r="BI261" s="104"/>
      <c r="BJ261" s="90"/>
      <c r="BK261" s="680">
        <f>BI228-BK259-BK260</f>
        <v>84.355516832832137</v>
      </c>
      <c r="BL261" s="676">
        <f>BK261-BL259-BL260</f>
        <v>77.890199438628784</v>
      </c>
      <c r="BM261" s="676">
        <f>BL261-BM259-BM260</f>
        <v>71.50569851185297</v>
      </c>
      <c r="BN261" s="676">
        <f>BM261-BN259-BN260</f>
        <v>65.201003846661848</v>
      </c>
      <c r="BO261" s="675">
        <f>BN261</f>
        <v>65.201003846661848</v>
      </c>
      <c r="BP261" s="90"/>
      <c r="BQ261" s="676">
        <f>BO261-BQ259-BQ260</f>
        <v>58.975117864785624</v>
      </c>
      <c r="BR261" s="676">
        <f>BQ261-BR259-BR260</f>
        <v>52.827055457682853</v>
      </c>
      <c r="BS261" s="676">
        <f>BR261-BS259-BS260</f>
        <v>46.755843830668866</v>
      </c>
      <c r="BT261" s="676">
        <f>BS261-BT259-BT260</f>
        <v>40.760522348992552</v>
      </c>
      <c r="BU261" s="675">
        <f>BT261</f>
        <v>40.760522348992552</v>
      </c>
      <c r="BV261" s="90"/>
      <c r="BW261" s="676">
        <f>BU261-BW259-BW260</f>
        <v>34.840142385837197</v>
      </c>
      <c r="BX261" s="676">
        <f>BW261-BX259-BX260</f>
        <v>28.993767172221279</v>
      </c>
      <c r="BY261" s="676">
        <f>BX261-BY259-BY260</f>
        <v>23.220471648775558</v>
      </c>
      <c r="BZ261" s="676">
        <f>BY261-BZ259-BZ260</f>
        <v>17.51934231937291</v>
      </c>
      <c r="CA261" s="675">
        <f>BZ261</f>
        <v>17.51934231937291</v>
      </c>
      <c r="CB261" s="90"/>
      <c r="CC261" s="676">
        <f>CA261-CC259-CC260</f>
        <v>11.889477106587794</v>
      </c>
      <c r="CD261" s="676">
        <f>CC261-CD259-CD260</f>
        <v>6.3299852089624933</v>
      </c>
      <c r="CE261" s="676">
        <f>CD261-CE259-CE260</f>
        <v>0.83998696005750895</v>
      </c>
      <c r="CF261" s="676">
        <f>CE261-CF259-CF260</f>
        <v>-4.5813863107361632</v>
      </c>
      <c r="CG261" s="675">
        <f>CF261</f>
        <v>-4.5813863107361632</v>
      </c>
      <c r="CH261" s="90"/>
      <c r="CI261" s="676"/>
      <c r="CJ261" s="676"/>
      <c r="CK261" s="676"/>
      <c r="CL261" s="676"/>
      <c r="CM261" s="675"/>
      <c r="CN261" s="90"/>
      <c r="CO261" s="676"/>
      <c r="CP261" s="676"/>
      <c r="CQ261" s="676"/>
      <c r="CR261" s="676"/>
      <c r="CS261" s="675"/>
      <c r="CT261" s="90"/>
      <c r="CU261" s="676"/>
      <c r="CV261" s="676"/>
      <c r="CW261" s="676"/>
      <c r="CX261" s="676"/>
      <c r="CY261" s="675"/>
      <c r="CZ261" s="90"/>
      <c r="DA261" s="676"/>
      <c r="DB261" s="676"/>
      <c r="DC261" s="676"/>
      <c r="DD261" s="676"/>
      <c r="DE261" s="675"/>
      <c r="DF261" s="90"/>
      <c r="DG261" s="676"/>
      <c r="DH261" s="676"/>
      <c r="DI261" s="676"/>
      <c r="DJ261" s="676"/>
      <c r="DK261" s="675"/>
      <c r="DL261" s="90"/>
      <c r="DM261" s="676"/>
      <c r="DN261" s="676"/>
      <c r="DO261" s="676"/>
      <c r="DP261" s="676"/>
      <c r="DQ261" s="675"/>
      <c r="DR261" s="90"/>
      <c r="DS261" s="676"/>
      <c r="DT261" s="676"/>
      <c r="DU261" s="676"/>
      <c r="DV261" s="676"/>
      <c r="DW261" s="675"/>
      <c r="DX261" s="90"/>
      <c r="DY261" s="676"/>
      <c r="DZ261" s="676"/>
      <c r="EA261" s="676"/>
      <c r="EB261" s="676"/>
      <c r="EC261" s="675"/>
      <c r="ED261" s="90"/>
      <c r="EE261" s="676"/>
      <c r="EF261" s="676"/>
      <c r="EG261" s="676"/>
      <c r="EH261" s="676"/>
      <c r="EI261" s="675"/>
      <c r="EJ261" s="90"/>
      <c r="EK261" s="676"/>
      <c r="EL261" s="676"/>
      <c r="EM261" s="676"/>
      <c r="EN261" s="676"/>
      <c r="EO261" s="675"/>
      <c r="EP261" s="90"/>
      <c r="EQ261" s="676"/>
      <c r="ER261" s="676"/>
      <c r="ES261" s="676"/>
      <c r="ET261" s="676"/>
      <c r="EU261" s="675"/>
      <c r="EV261" s="90"/>
      <c r="EW261" s="90"/>
      <c r="EX261" s="90"/>
      <c r="EY261" s="90"/>
      <c r="EZ261" s="90"/>
      <c r="FA261" s="90"/>
      <c r="FB261" s="90"/>
    </row>
    <row r="262" spans="1:158" hidden="1" outlineLevel="1">
      <c r="A262" s="734"/>
      <c r="B262" s="728"/>
      <c r="C262" s="356"/>
      <c r="D262" s="356"/>
      <c r="E262" s="356"/>
      <c r="F262" s="356"/>
      <c r="G262" s="729"/>
      <c r="H262" s="356"/>
      <c r="I262" s="356"/>
      <c r="J262" s="356"/>
      <c r="K262" s="356"/>
      <c r="L262" s="356"/>
      <c r="M262" s="356"/>
      <c r="N262" s="356"/>
      <c r="O262" s="356"/>
      <c r="P262" s="356"/>
      <c r="Q262" s="356"/>
      <c r="R262" s="356"/>
      <c r="S262" s="356"/>
      <c r="T262" s="356"/>
      <c r="U262" s="356"/>
      <c r="V262" s="356"/>
      <c r="W262" s="356"/>
      <c r="X262" s="356"/>
      <c r="Y262" s="730"/>
      <c r="Z262" s="356"/>
      <c r="AA262" s="731"/>
      <c r="AB262" s="731"/>
      <c r="AC262" s="731"/>
      <c r="AD262" s="731"/>
      <c r="AE262" s="732"/>
      <c r="AF262" s="356"/>
      <c r="AG262" s="731"/>
      <c r="AH262" s="731"/>
      <c r="AI262" s="731"/>
      <c r="AJ262" s="731"/>
      <c r="AK262" s="732"/>
      <c r="AL262" s="356"/>
      <c r="AM262" s="731"/>
      <c r="AN262" s="731"/>
      <c r="AO262" s="731"/>
      <c r="AP262" s="731"/>
      <c r="AQ262" s="732"/>
      <c r="AR262" s="356"/>
      <c r="AS262" s="731"/>
      <c r="AT262" s="356"/>
      <c r="AU262" s="731"/>
      <c r="AV262" s="356"/>
      <c r="AW262" s="730"/>
      <c r="AX262" s="356"/>
      <c r="AY262" s="356"/>
      <c r="AZ262" s="356"/>
      <c r="BA262" s="356"/>
      <c r="BB262" s="356"/>
      <c r="BC262" s="730"/>
      <c r="BD262" s="356"/>
      <c r="BE262" s="730"/>
      <c r="BF262" s="730"/>
      <c r="BG262" s="730"/>
      <c r="BH262" s="730"/>
      <c r="BI262" s="730"/>
      <c r="BJ262" s="356"/>
      <c r="BK262" s="733"/>
      <c r="BL262" s="733"/>
      <c r="BM262" s="733"/>
      <c r="BN262" s="733"/>
      <c r="BO262" s="733"/>
      <c r="BP262" s="356"/>
      <c r="BQ262" s="733"/>
      <c r="BR262" s="733"/>
      <c r="BS262" s="733"/>
      <c r="BT262" s="733"/>
      <c r="BU262" s="733"/>
      <c r="BV262" s="356"/>
      <c r="BW262" s="733"/>
      <c r="BX262" s="733"/>
      <c r="BY262" s="733"/>
      <c r="BZ262" s="733"/>
      <c r="CA262" s="733"/>
      <c r="CB262" s="356"/>
      <c r="CC262" s="356"/>
      <c r="CD262" s="356"/>
      <c r="CE262" s="356"/>
      <c r="CF262" s="356"/>
      <c r="CG262" s="356"/>
      <c r="CH262" s="356"/>
      <c r="CI262" s="356"/>
      <c r="CJ262" s="356"/>
      <c r="CK262" s="356"/>
      <c r="CL262" s="356"/>
      <c r="CM262" s="356"/>
      <c r="CN262" s="356"/>
      <c r="CO262" s="356"/>
      <c r="CP262" s="356"/>
      <c r="CQ262" s="356"/>
      <c r="CR262" s="356"/>
      <c r="CS262" s="356"/>
      <c r="CT262" s="356"/>
      <c r="CU262" s="356"/>
      <c r="CV262" s="356"/>
      <c r="CW262" s="356"/>
      <c r="CX262" s="356"/>
      <c r="CY262" s="356"/>
      <c r="CZ262" s="356"/>
      <c r="DA262" s="356"/>
      <c r="DB262" s="356"/>
      <c r="DC262" s="356"/>
      <c r="DD262" s="356"/>
      <c r="DE262" s="356"/>
      <c r="DF262" s="356"/>
      <c r="DG262" s="356"/>
      <c r="DH262" s="356"/>
      <c r="DI262" s="356"/>
      <c r="DJ262" s="356"/>
      <c r="DK262" s="356"/>
      <c r="DL262" s="356"/>
      <c r="DM262" s="356"/>
      <c r="DN262" s="356"/>
      <c r="DO262" s="356"/>
      <c r="DP262" s="356"/>
      <c r="DQ262" s="356"/>
      <c r="DR262" s="356"/>
      <c r="DS262" s="356"/>
      <c r="DT262" s="356"/>
      <c r="DU262" s="356"/>
      <c r="DV262" s="356"/>
      <c r="DW262" s="356"/>
      <c r="DX262" s="356"/>
      <c r="DY262" s="356"/>
      <c r="DZ262" s="356"/>
      <c r="EA262" s="356"/>
      <c r="EB262" s="356"/>
      <c r="EC262" s="356"/>
      <c r="ED262" s="356"/>
      <c r="EE262" s="356"/>
      <c r="EF262" s="356"/>
      <c r="EG262" s="356"/>
      <c r="EH262" s="356"/>
      <c r="EI262" s="356"/>
      <c r="EJ262" s="356"/>
      <c r="EK262" s="356"/>
      <c r="EL262" s="356"/>
      <c r="EM262" s="356"/>
      <c r="EN262" s="356"/>
      <c r="EO262" s="356"/>
      <c r="EP262" s="356"/>
      <c r="EQ262" s="356"/>
      <c r="ER262" s="356"/>
      <c r="ES262" s="356"/>
      <c r="ET262" s="356"/>
      <c r="EU262" s="356"/>
      <c r="EV262" s="356"/>
      <c r="EW262" s="356"/>
      <c r="EX262" s="356"/>
      <c r="EY262" s="356"/>
      <c r="EZ262" s="356"/>
      <c r="FA262" s="356"/>
      <c r="FB262" s="356"/>
    </row>
    <row r="263" spans="1:158" hidden="1" outlineLevel="1">
      <c r="A263" s="677" t="s">
        <v>3800</v>
      </c>
      <c r="B263" s="32"/>
      <c r="C263" s="90"/>
      <c r="D263" s="90"/>
      <c r="E263" s="90"/>
      <c r="F263" s="90"/>
      <c r="G263" s="61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104"/>
      <c r="Z263" s="90"/>
      <c r="AA263" s="676"/>
      <c r="AB263" s="676"/>
      <c r="AC263" s="676"/>
      <c r="AD263" s="676"/>
      <c r="AE263" s="675"/>
      <c r="AF263" s="90"/>
      <c r="AG263" s="676"/>
      <c r="AH263" s="676"/>
      <c r="AI263" s="676"/>
      <c r="AJ263" s="676"/>
      <c r="AK263" s="675"/>
      <c r="AL263" s="90"/>
      <c r="AM263" s="676"/>
      <c r="AN263" s="676"/>
      <c r="AO263" s="676"/>
      <c r="AP263" s="676"/>
      <c r="AQ263" s="675"/>
      <c r="AR263" s="90"/>
      <c r="AS263" s="676"/>
      <c r="AT263" s="90"/>
      <c r="AU263" s="676"/>
      <c r="AV263" s="90"/>
      <c r="AW263" s="104"/>
      <c r="AX263" s="90"/>
      <c r="AY263" s="90"/>
      <c r="AZ263" s="90"/>
      <c r="BA263" s="90"/>
      <c r="BB263" s="90"/>
      <c r="BC263" s="104"/>
      <c r="BD263" s="90"/>
      <c r="BE263" s="104"/>
      <c r="BF263" s="104"/>
      <c r="BG263" s="104"/>
      <c r="BH263" s="104"/>
      <c r="BI263" s="104"/>
      <c r="BJ263" s="90"/>
      <c r="BK263" s="26"/>
      <c r="BL263" s="26"/>
      <c r="BM263" s="26"/>
      <c r="BN263" s="26"/>
      <c r="BO263" s="26"/>
      <c r="BP263" s="90"/>
      <c r="BQ263" s="675">
        <f>$BO228/($BO221*4)</f>
        <v>10.508313409209769</v>
      </c>
      <c r="BR263" s="675">
        <f>$BO228/($BO221*4)</f>
        <v>10.508313409209769</v>
      </c>
      <c r="BS263" s="675">
        <f>$BO228/($BO221*4)</f>
        <v>10.508313409209769</v>
      </c>
      <c r="BT263" s="675">
        <f>$BO228/($BO221*4)</f>
        <v>10.508313409209769</v>
      </c>
      <c r="BU263" s="675">
        <f>$BO228/($BO221*4)</f>
        <v>10.508313409209769</v>
      </c>
      <c r="BV263" s="90"/>
      <c r="BW263" s="675">
        <f>$BO228/($BO221*4)</f>
        <v>10.508313409209769</v>
      </c>
      <c r="BX263" s="675">
        <f>$BO228/($BO221*4)</f>
        <v>10.508313409209769</v>
      </c>
      <c r="BY263" s="675">
        <f>$BO228/($BO221*4)</f>
        <v>10.508313409209769</v>
      </c>
      <c r="BZ263" s="675">
        <f>$BO228/($BO221*4)</f>
        <v>10.508313409209769</v>
      </c>
      <c r="CA263" s="675">
        <f>SUM(BW263:BZ263)</f>
        <v>42.033253636839078</v>
      </c>
      <c r="CB263" s="90"/>
      <c r="CC263" s="675">
        <f>$BO228/($BO221*4)</f>
        <v>10.508313409209769</v>
      </c>
      <c r="CD263" s="675">
        <f>$BO228/($BO221*4)</f>
        <v>10.508313409209769</v>
      </c>
      <c r="CE263" s="675">
        <f>$BO228/($BO221*4)</f>
        <v>10.508313409209769</v>
      </c>
      <c r="CF263" s="675">
        <f>$BO228/($BO221*4)</f>
        <v>10.508313409209769</v>
      </c>
      <c r="CG263" s="675">
        <f>SUM(CC263:CF263)</f>
        <v>42.033253636839078</v>
      </c>
      <c r="CH263" s="90"/>
      <c r="CI263" s="675">
        <f>CF265-CI264</f>
        <v>6.8292745933941799</v>
      </c>
      <c r="CJ263" s="675"/>
      <c r="CK263" s="675"/>
      <c r="CL263" s="675"/>
      <c r="CM263" s="675"/>
      <c r="CN263" s="90"/>
      <c r="CO263" s="675"/>
      <c r="CP263" s="675"/>
      <c r="CQ263" s="675"/>
      <c r="CR263" s="675"/>
      <c r="CS263" s="675"/>
      <c r="CT263" s="90"/>
      <c r="CU263" s="675"/>
      <c r="CV263" s="675"/>
      <c r="CW263" s="675"/>
      <c r="CX263" s="675"/>
      <c r="CY263" s="675"/>
      <c r="CZ263" s="90"/>
      <c r="DA263" s="675"/>
      <c r="DB263" s="675"/>
      <c r="DC263" s="675"/>
      <c r="DD263" s="675"/>
      <c r="DE263" s="675"/>
      <c r="DF263" s="90"/>
      <c r="DG263" s="675"/>
      <c r="DH263" s="675"/>
      <c r="DI263" s="675"/>
      <c r="DJ263" s="675"/>
      <c r="DK263" s="675"/>
      <c r="DL263" s="90"/>
      <c r="DM263" s="675"/>
      <c r="DN263" s="675"/>
      <c r="DO263" s="675"/>
      <c r="DP263" s="675"/>
      <c r="DQ263" s="675"/>
      <c r="DR263" s="90"/>
      <c r="DS263" s="675"/>
      <c r="DT263" s="675"/>
      <c r="DU263" s="675"/>
      <c r="DV263" s="675"/>
      <c r="DW263" s="675"/>
      <c r="DX263" s="90"/>
      <c r="DY263" s="675"/>
      <c r="DZ263" s="675"/>
      <c r="EA263" s="675"/>
      <c r="EB263" s="675"/>
      <c r="EC263" s="675"/>
      <c r="ED263" s="90"/>
      <c r="EE263" s="675"/>
      <c r="EF263" s="675"/>
      <c r="EG263" s="675"/>
      <c r="EH263" s="675"/>
      <c r="EI263" s="675"/>
      <c r="EJ263" s="90"/>
      <c r="EK263" s="675"/>
      <c r="EL263" s="675"/>
      <c r="EM263" s="675"/>
      <c r="EN263" s="675"/>
      <c r="EO263" s="675"/>
      <c r="EP263" s="90"/>
      <c r="EQ263" s="675"/>
      <c r="ER263" s="675"/>
      <c r="ES263" s="675"/>
      <c r="ET263" s="675"/>
      <c r="EU263" s="675"/>
      <c r="EV263" s="90"/>
      <c r="EW263" s="90"/>
      <c r="EX263" s="90"/>
      <c r="EY263" s="90"/>
      <c r="EZ263" s="90"/>
      <c r="FA263" s="90"/>
      <c r="FB263" s="90"/>
    </row>
    <row r="264" spans="1:158" hidden="1" outlineLevel="1">
      <c r="A264" s="677" t="s">
        <v>2094</v>
      </c>
      <c r="B264" s="32"/>
      <c r="C264" s="90"/>
      <c r="D264" s="90"/>
      <c r="E264" s="90"/>
      <c r="F264" s="90"/>
      <c r="G264" s="61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104"/>
      <c r="Z264" s="90"/>
      <c r="AA264" s="676"/>
      <c r="AB264" s="676"/>
      <c r="AC264" s="676"/>
      <c r="AD264" s="676"/>
      <c r="AE264" s="675"/>
      <c r="AF264" s="90"/>
      <c r="AG264" s="676"/>
      <c r="AH264" s="676"/>
      <c r="AI264" s="676"/>
      <c r="AJ264" s="676"/>
      <c r="AK264" s="675"/>
      <c r="AL264" s="90"/>
      <c r="AM264" s="676"/>
      <c r="AN264" s="676"/>
      <c r="AO264" s="676"/>
      <c r="AP264" s="676"/>
      <c r="AQ264" s="675"/>
      <c r="AR264" s="90"/>
      <c r="AS264" s="676"/>
      <c r="AT264" s="90"/>
      <c r="AU264" s="676"/>
      <c r="AV264" s="90"/>
      <c r="AW264" s="104"/>
      <c r="AX264" s="90"/>
      <c r="AY264" s="90"/>
      <c r="AZ264" s="90"/>
      <c r="BA264" s="90"/>
      <c r="BB264" s="90"/>
      <c r="BC264" s="104"/>
      <c r="BD264" s="90"/>
      <c r="BE264" s="104"/>
      <c r="BF264" s="104"/>
      <c r="BG264" s="104"/>
      <c r="BH264" s="104"/>
      <c r="BI264" s="104"/>
      <c r="BJ264" s="90"/>
      <c r="BK264" s="26"/>
      <c r="BL264" s="26"/>
      <c r="BM264" s="26"/>
      <c r="BN264" s="26"/>
      <c r="BO264" s="26"/>
      <c r="BP264" s="90"/>
      <c r="BQ264" s="675">
        <f>$BO$228*$BU$216/4</f>
        <v>1.8126840630886853</v>
      </c>
      <c r="BR264" s="675">
        <f>BQ265*$BU$216/4</f>
        <v>1.6586715946849548</v>
      </c>
      <c r="BS264" s="675">
        <f>BR265*$BU$216/4</f>
        <v>1.5065842821362709</v>
      </c>
      <c r="BT264" s="675">
        <f>BS265*$BU$216/4</f>
        <v>1.3563980609944455</v>
      </c>
      <c r="BU264" s="675">
        <f>SUM(BQ264:BT264)</f>
        <v>6.3343380009043564</v>
      </c>
      <c r="BV264" s="90"/>
      <c r="BW264" s="675">
        <f>BT265*$BU$216/4</f>
        <v>1.2080891676168926</v>
      </c>
      <c r="BX264" s="675">
        <f>BW265*$BU$216/4</f>
        <v>1.0616341354065593</v>
      </c>
      <c r="BY264" s="675">
        <f>BX265*$BO$216/4</f>
        <v>0.91700979109885528</v>
      </c>
      <c r="BZ264" s="675">
        <f>BY265*$BO$216/4</f>
        <v>0.77419325109499748</v>
      </c>
      <c r="CA264" s="675">
        <f>SUM(BW264:BZ264)</f>
        <v>3.9609263452173042</v>
      </c>
      <c r="CB264" s="90"/>
      <c r="CC264" s="675">
        <f>BZ265*$BU$216/4</f>
        <v>0.6331619178411878</v>
      </c>
      <c r="CD264" s="675">
        <f>CC265*$BU$216/4</f>
        <v>0.49389347625305091</v>
      </c>
      <c r="CE264" s="675">
        <f>CD265*$BO$216/4</f>
        <v>0.35636589018476567</v>
      </c>
      <c r="CF264" s="675">
        <f>CE265*$BO$216/4</f>
        <v>0.22055739894233395</v>
      </c>
      <c r="CG264" s="675">
        <f>SUM(CC264:CF264)</f>
        <v>1.7039786832213384</v>
      </c>
      <c r="CH264" s="90"/>
      <c r="CI264" s="675">
        <f>CF265*$BU$216/4</f>
        <v>8.6446513840432671E-2</v>
      </c>
      <c r="CJ264" s="675"/>
      <c r="CK264" s="675"/>
      <c r="CL264" s="675"/>
      <c r="CM264" s="675"/>
      <c r="CN264" s="90"/>
      <c r="CO264" s="675"/>
      <c r="CP264" s="675"/>
      <c r="CQ264" s="675"/>
      <c r="CR264" s="675"/>
      <c r="CS264" s="675"/>
      <c r="CT264" s="90"/>
      <c r="CU264" s="675"/>
      <c r="CV264" s="675"/>
      <c r="CW264" s="675"/>
      <c r="CX264" s="675"/>
      <c r="CY264" s="675"/>
      <c r="CZ264" s="90"/>
      <c r="DA264" s="675"/>
      <c r="DB264" s="675"/>
      <c r="DC264" s="675"/>
      <c r="DD264" s="675"/>
      <c r="DE264" s="675"/>
      <c r="DF264" s="90"/>
      <c r="DG264" s="675"/>
      <c r="DH264" s="675"/>
      <c r="DI264" s="675"/>
      <c r="DJ264" s="675"/>
      <c r="DK264" s="675"/>
      <c r="DL264" s="90"/>
      <c r="DM264" s="675"/>
      <c r="DN264" s="675"/>
      <c r="DO264" s="675"/>
      <c r="DP264" s="675"/>
      <c r="DQ264" s="675"/>
      <c r="DR264" s="90"/>
      <c r="DS264" s="675"/>
      <c r="DT264" s="675"/>
      <c r="DU264" s="675"/>
      <c r="DV264" s="675"/>
      <c r="DW264" s="675"/>
      <c r="DX264" s="90"/>
      <c r="DY264" s="675"/>
      <c r="DZ264" s="675"/>
      <c r="EA264" s="675"/>
      <c r="EB264" s="675"/>
      <c r="EC264" s="675"/>
      <c r="ED264" s="90"/>
      <c r="EE264" s="675"/>
      <c r="EF264" s="675"/>
      <c r="EG264" s="675"/>
      <c r="EH264" s="675"/>
      <c r="EI264" s="675"/>
      <c r="EJ264" s="90"/>
      <c r="EK264" s="675"/>
      <c r="EL264" s="675"/>
      <c r="EM264" s="675"/>
      <c r="EN264" s="675"/>
      <c r="EO264" s="675"/>
      <c r="EP264" s="90"/>
      <c r="EQ264" s="675"/>
      <c r="ER264" s="675"/>
      <c r="ES264" s="675"/>
      <c r="ET264" s="675"/>
      <c r="EU264" s="675"/>
      <c r="EV264" s="90"/>
      <c r="EW264" s="90"/>
      <c r="EX264" s="90"/>
      <c r="EY264" s="90"/>
      <c r="EZ264" s="90"/>
      <c r="FA264" s="90"/>
      <c r="FB264" s="90"/>
    </row>
    <row r="265" spans="1:158" hidden="1" outlineLevel="1">
      <c r="A265" s="185" t="s">
        <v>2095</v>
      </c>
      <c r="B265" s="32"/>
      <c r="C265" s="90"/>
      <c r="D265" s="90"/>
      <c r="E265" s="90"/>
      <c r="F265" s="90"/>
      <c r="G265" s="61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104"/>
      <c r="Z265" s="90"/>
      <c r="AA265" s="676"/>
      <c r="AB265" s="676"/>
      <c r="AC265" s="676"/>
      <c r="AD265" s="676"/>
      <c r="AE265" s="675"/>
      <c r="AF265" s="90"/>
      <c r="AG265" s="676"/>
      <c r="AH265" s="676"/>
      <c r="AI265" s="676"/>
      <c r="AJ265" s="676"/>
      <c r="AK265" s="675"/>
      <c r="AL265" s="90"/>
      <c r="AM265" s="676"/>
      <c r="AN265" s="676"/>
      <c r="AO265" s="676"/>
      <c r="AP265" s="676"/>
      <c r="AQ265" s="675"/>
      <c r="AR265" s="90"/>
      <c r="AS265" s="676"/>
      <c r="AT265" s="90"/>
      <c r="AU265" s="676"/>
      <c r="AV265" s="90"/>
      <c r="AW265" s="104"/>
      <c r="AX265" s="90"/>
      <c r="AY265" s="90"/>
      <c r="AZ265" s="90"/>
      <c r="BA265" s="90"/>
      <c r="BB265" s="90"/>
      <c r="BC265" s="104"/>
      <c r="BD265" s="90"/>
      <c r="BE265" s="104"/>
      <c r="BF265" s="104"/>
      <c r="BG265" s="104"/>
      <c r="BH265" s="104"/>
      <c r="BI265" s="104"/>
      <c r="BJ265" s="90"/>
      <c r="BK265" s="26"/>
      <c r="BL265" s="26"/>
      <c r="BM265" s="26"/>
      <c r="BN265" s="26"/>
      <c r="BO265" s="26"/>
      <c r="BP265" s="90"/>
      <c r="BQ265" s="680">
        <f>BO228-BQ263-BQ264</f>
        <v>132.69372757479638</v>
      </c>
      <c r="BR265" s="676">
        <f>BQ265-BR263-BR264</f>
        <v>120.52674257090166</v>
      </c>
      <c r="BS265" s="676">
        <f>BR265-BS263-BS264</f>
        <v>108.51184487955562</v>
      </c>
      <c r="BT265" s="676">
        <f>BS265-BT263-BT264</f>
        <v>96.647133409351397</v>
      </c>
      <c r="BU265" s="675">
        <f>BT265</f>
        <v>96.647133409351397</v>
      </c>
      <c r="BV265" s="90"/>
      <c r="BW265" s="676">
        <f>BU265-BW263-BW264</f>
        <v>84.930730832524745</v>
      </c>
      <c r="BX265" s="676">
        <f>BW265-BX263-BX264</f>
        <v>73.360783287908419</v>
      </c>
      <c r="BY265" s="676">
        <f>BX265-BY263-BY264</f>
        <v>61.935460087599793</v>
      </c>
      <c r="BZ265" s="676">
        <f>BY265-BZ263-BZ264</f>
        <v>50.652953427295024</v>
      </c>
      <c r="CA265" s="675">
        <f>BZ265</f>
        <v>50.652953427295024</v>
      </c>
      <c r="CB265" s="90"/>
      <c r="CC265" s="676">
        <f>CA265-CC263-CC264</f>
        <v>39.511478100244069</v>
      </c>
      <c r="CD265" s="676">
        <f>CC265-CD263-CD264</f>
        <v>28.509271214781251</v>
      </c>
      <c r="CE265" s="676">
        <f>CD265-CE263-CE264</f>
        <v>17.644591915386716</v>
      </c>
      <c r="CF265" s="676">
        <f>CE265-CF263-CF264</f>
        <v>6.9157211072346128</v>
      </c>
      <c r="CG265" s="675">
        <f>CF265</f>
        <v>6.9157211072346128</v>
      </c>
      <c r="CH265" s="90"/>
      <c r="CI265" s="676">
        <f>CG265-CI263-CI264</f>
        <v>2.2204460492503131E-16</v>
      </c>
      <c r="CJ265" s="676"/>
      <c r="CK265" s="676"/>
      <c r="CL265" s="676"/>
      <c r="CM265" s="675"/>
      <c r="CN265" s="90"/>
      <c r="CO265" s="676"/>
      <c r="CP265" s="676"/>
      <c r="CQ265" s="676"/>
      <c r="CR265" s="676"/>
      <c r="CS265" s="675"/>
      <c r="CT265" s="90"/>
      <c r="CU265" s="676"/>
      <c r="CV265" s="676"/>
      <c r="CW265" s="676"/>
      <c r="CX265" s="676"/>
      <c r="CY265" s="675"/>
      <c r="CZ265" s="90"/>
      <c r="DA265" s="676"/>
      <c r="DB265" s="676"/>
      <c r="DC265" s="676"/>
      <c r="DD265" s="676"/>
      <c r="DE265" s="675"/>
      <c r="DF265" s="90"/>
      <c r="DG265" s="676"/>
      <c r="DH265" s="676"/>
      <c r="DI265" s="676"/>
      <c r="DJ265" s="676"/>
      <c r="DK265" s="675"/>
      <c r="DL265" s="90"/>
      <c r="DM265" s="676"/>
      <c r="DN265" s="676"/>
      <c r="DO265" s="676"/>
      <c r="DP265" s="676"/>
      <c r="DQ265" s="675"/>
      <c r="DR265" s="90"/>
      <c r="DS265" s="676"/>
      <c r="DT265" s="676"/>
      <c r="DU265" s="676"/>
      <c r="DV265" s="676"/>
      <c r="DW265" s="675"/>
      <c r="DX265" s="90"/>
      <c r="DY265" s="676"/>
      <c r="DZ265" s="676"/>
      <c r="EA265" s="676"/>
      <c r="EB265" s="676"/>
      <c r="EC265" s="675"/>
      <c r="ED265" s="90"/>
      <c r="EE265" s="676"/>
      <c r="EF265" s="676"/>
      <c r="EG265" s="676"/>
      <c r="EH265" s="676"/>
      <c r="EI265" s="675"/>
      <c r="EJ265" s="90"/>
      <c r="EK265" s="676"/>
      <c r="EL265" s="676"/>
      <c r="EM265" s="676"/>
      <c r="EN265" s="676"/>
      <c r="EO265" s="675"/>
      <c r="EP265" s="90"/>
      <c r="EQ265" s="676"/>
      <c r="ER265" s="676"/>
      <c r="ES265" s="676"/>
      <c r="ET265" s="676"/>
      <c r="EU265" s="675"/>
      <c r="EV265" s="90"/>
      <c r="EW265" s="90"/>
      <c r="EX265" s="90"/>
      <c r="EY265" s="90"/>
      <c r="EZ265" s="90"/>
      <c r="FA265" s="90"/>
      <c r="FB265" s="90"/>
    </row>
    <row r="266" spans="1:158" hidden="1" outlineLevel="1">
      <c r="A266" s="185"/>
      <c r="B266" s="32"/>
      <c r="C266" s="90"/>
      <c r="D266" s="90"/>
      <c r="E266" s="90"/>
      <c r="F266" s="90"/>
      <c r="G266" s="61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104"/>
      <c r="Z266" s="90"/>
      <c r="AA266" s="676"/>
      <c r="AB266" s="676"/>
      <c r="AC266" s="676"/>
      <c r="AD266" s="676"/>
      <c r="AE266" s="675"/>
      <c r="AF266" s="90"/>
      <c r="AG266" s="676"/>
      <c r="AH266" s="676"/>
      <c r="AI266" s="676"/>
      <c r="AJ266" s="676"/>
      <c r="AK266" s="675"/>
      <c r="AL266" s="90"/>
      <c r="AM266" s="676"/>
      <c r="AN266" s="676"/>
      <c r="AO266" s="676"/>
      <c r="AP266" s="676"/>
      <c r="AQ266" s="675"/>
      <c r="AR266" s="90"/>
      <c r="AS266" s="676"/>
      <c r="AT266" s="90"/>
      <c r="AU266" s="676"/>
      <c r="AV266" s="90"/>
      <c r="AW266" s="104"/>
      <c r="AX266" s="90"/>
      <c r="AY266" s="90"/>
      <c r="AZ266" s="90"/>
      <c r="BA266" s="90"/>
      <c r="BB266" s="90"/>
      <c r="BC266" s="104"/>
      <c r="BD266" s="90"/>
      <c r="BE266" s="104"/>
      <c r="BF266" s="104"/>
      <c r="BG266" s="104"/>
      <c r="BH266" s="104"/>
      <c r="BI266" s="104"/>
      <c r="BJ266" s="90"/>
      <c r="BK266" s="26"/>
      <c r="BL266" s="26"/>
      <c r="BM266" s="26"/>
      <c r="BN266" s="26"/>
      <c r="BO266" s="26"/>
      <c r="BP266" s="90"/>
      <c r="BQ266" s="680"/>
      <c r="BR266" s="676"/>
      <c r="BS266" s="676"/>
      <c r="BT266" s="676"/>
      <c r="BU266" s="675"/>
      <c r="BV266" s="90"/>
      <c r="BW266" s="680"/>
      <c r="BX266" s="676"/>
      <c r="BY266" s="676"/>
      <c r="BZ266" s="676"/>
      <c r="CA266" s="675"/>
      <c r="CB266" s="90"/>
      <c r="CC266" s="680"/>
      <c r="CD266" s="676"/>
      <c r="CE266" s="676"/>
      <c r="CF266" s="676"/>
      <c r="CG266" s="675"/>
      <c r="CH266" s="90"/>
      <c r="CI266" s="680"/>
      <c r="CJ266" s="676"/>
      <c r="CK266" s="676"/>
      <c r="CL266" s="676"/>
      <c r="CM266" s="675"/>
      <c r="CN266" s="90"/>
      <c r="CO266" s="680"/>
      <c r="CP266" s="676"/>
      <c r="CQ266" s="676"/>
      <c r="CR266" s="676"/>
      <c r="CS266" s="675"/>
      <c r="CT266" s="90"/>
      <c r="CU266" s="680"/>
      <c r="CV266" s="676"/>
      <c r="CW266" s="676"/>
      <c r="CX266" s="676"/>
      <c r="CY266" s="675"/>
      <c r="CZ266" s="90"/>
      <c r="DA266" s="680"/>
      <c r="DB266" s="676"/>
      <c r="DC266" s="676"/>
      <c r="DD266" s="676"/>
      <c r="DE266" s="675"/>
      <c r="DF266" s="90"/>
      <c r="DG266" s="680"/>
      <c r="DH266" s="676"/>
      <c r="DI266" s="676"/>
      <c r="DJ266" s="676"/>
      <c r="DK266" s="675"/>
      <c r="DL266" s="90"/>
      <c r="DM266" s="680"/>
      <c r="DN266" s="676"/>
      <c r="DO266" s="676"/>
      <c r="DP266" s="676"/>
      <c r="DQ266" s="675"/>
      <c r="DR266" s="90"/>
      <c r="DS266" s="680"/>
      <c r="DT266" s="676"/>
      <c r="DU266" s="676"/>
      <c r="DV266" s="676"/>
      <c r="DW266" s="675"/>
      <c r="DX266" s="90"/>
      <c r="DY266" s="680"/>
      <c r="DZ266" s="676"/>
      <c r="EA266" s="676"/>
      <c r="EB266" s="676"/>
      <c r="EC266" s="675"/>
      <c r="ED266" s="90"/>
      <c r="EE266" s="680"/>
      <c r="EF266" s="676"/>
      <c r="EG266" s="676"/>
      <c r="EH266" s="676"/>
      <c r="EI266" s="675"/>
      <c r="EJ266" s="90"/>
      <c r="EK266" s="680"/>
      <c r="EL266" s="676"/>
      <c r="EM266" s="676"/>
      <c r="EN266" s="676"/>
      <c r="EO266" s="675"/>
      <c r="EP266" s="90"/>
      <c r="EQ266" s="680"/>
      <c r="ER266" s="676"/>
      <c r="ES266" s="676"/>
      <c r="ET266" s="676"/>
      <c r="EU266" s="675"/>
      <c r="EV266" s="90"/>
      <c r="EW266" s="90"/>
      <c r="EX266" s="90"/>
      <c r="EY266" s="90"/>
      <c r="EZ266" s="90"/>
      <c r="FA266" s="90"/>
      <c r="FB266" s="90"/>
    </row>
    <row r="267" spans="1:158" hidden="1" outlineLevel="1">
      <c r="A267" s="677" t="s">
        <v>1857</v>
      </c>
      <c r="B267" s="32"/>
      <c r="C267" s="90"/>
      <c r="D267" s="90"/>
      <c r="E267" s="90"/>
      <c r="F267" s="90"/>
      <c r="G267" s="61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104"/>
      <c r="Z267" s="90"/>
      <c r="AA267" s="676"/>
      <c r="AB267" s="676"/>
      <c r="AC267" s="676"/>
      <c r="AD267" s="676"/>
      <c r="AE267" s="675"/>
      <c r="AF267" s="90"/>
      <c r="AG267" s="676"/>
      <c r="AH267" s="676"/>
      <c r="AI267" s="676"/>
      <c r="AJ267" s="676"/>
      <c r="AK267" s="675"/>
      <c r="AL267" s="90"/>
      <c r="AM267" s="676"/>
      <c r="AN267" s="676"/>
      <c r="AO267" s="676"/>
      <c r="AP267" s="676"/>
      <c r="AQ267" s="675"/>
      <c r="AR267" s="90"/>
      <c r="AS267" s="676"/>
      <c r="AT267" s="90"/>
      <c r="AU267" s="676"/>
      <c r="AV267" s="90"/>
      <c r="AW267" s="104"/>
      <c r="AX267" s="90"/>
      <c r="AY267" s="90"/>
      <c r="AZ267" s="90"/>
      <c r="BA267" s="90"/>
      <c r="BB267" s="90"/>
      <c r="BC267" s="104"/>
      <c r="BD267" s="90"/>
      <c r="BE267" s="104"/>
      <c r="BF267" s="104"/>
      <c r="BG267" s="104"/>
      <c r="BH267" s="104"/>
      <c r="BI267" s="104"/>
      <c r="BJ267" s="90"/>
      <c r="BK267" s="26"/>
      <c r="BL267" s="26"/>
      <c r="BM267" s="26"/>
      <c r="BN267" s="26"/>
      <c r="BO267" s="26"/>
      <c r="BP267" s="90"/>
      <c r="BQ267" s="680"/>
      <c r="BR267" s="676"/>
      <c r="BS267" s="676"/>
      <c r="BT267" s="676"/>
      <c r="BU267" s="675"/>
      <c r="BV267" s="90"/>
      <c r="BW267" s="675">
        <f>$BU228/($BU221*4)</f>
        <v>0</v>
      </c>
      <c r="BX267" s="675">
        <f>$BU228/($BU221*4)</f>
        <v>0</v>
      </c>
      <c r="BY267" s="675">
        <f>$BU228/($BU221*4)</f>
        <v>0</v>
      </c>
      <c r="BZ267" s="675">
        <f>$BU228/($BU221*4)</f>
        <v>0</v>
      </c>
      <c r="CA267" s="675">
        <f>SUM(BW267:BZ267)</f>
        <v>0</v>
      </c>
      <c r="CB267" s="90"/>
      <c r="CC267" s="675">
        <f>$BU228/($BU221*4)</f>
        <v>0</v>
      </c>
      <c r="CD267" s="675">
        <f>$BU228/($BU221*4)</f>
        <v>0</v>
      </c>
      <c r="CE267" s="675">
        <f>$BU228/($BU221*4)</f>
        <v>0</v>
      </c>
      <c r="CF267" s="675">
        <f>$BU228/($BU221*4)</f>
        <v>0</v>
      </c>
      <c r="CG267" s="675">
        <f>SUM(CC267:CF267)</f>
        <v>0</v>
      </c>
      <c r="CH267" s="90"/>
      <c r="CI267" s="675">
        <f>$BU228/($BU221*4)</f>
        <v>0</v>
      </c>
      <c r="CJ267" s="675">
        <f>$BU228/($BU221*4)</f>
        <v>0</v>
      </c>
      <c r="CK267" s="675">
        <f>$BU228/($BU221*4)</f>
        <v>0</v>
      </c>
      <c r="CL267" s="675">
        <f>$BU228/($BU221*4)</f>
        <v>0</v>
      </c>
      <c r="CM267" s="675">
        <f>SUM(CI267:CL267)</f>
        <v>0</v>
      </c>
      <c r="CN267" s="90"/>
      <c r="CO267" s="675">
        <f>$BU228/($BU221*4)</f>
        <v>0</v>
      </c>
      <c r="CP267" s="675">
        <f>$BU228/($BU221*4)</f>
        <v>0</v>
      </c>
      <c r="CQ267" s="675">
        <f>$BU228/($BU221*4)</f>
        <v>0</v>
      </c>
      <c r="CR267" s="675">
        <f>$BU228/($BU221*4)</f>
        <v>0</v>
      </c>
      <c r="CS267" s="675">
        <f>SUM(CO267:CR267)</f>
        <v>0</v>
      </c>
      <c r="CT267" s="90"/>
      <c r="CU267" s="675">
        <f>$BU228/($BU221*4)</f>
        <v>0</v>
      </c>
      <c r="CV267" s="675">
        <f>$BU228/($BU221*4)</f>
        <v>0</v>
      </c>
      <c r="CW267" s="675">
        <f>$BU228/($BU221*4)</f>
        <v>0</v>
      </c>
      <c r="CX267" s="675">
        <f>$BU228/($BU221*4)</f>
        <v>0</v>
      </c>
      <c r="CY267" s="675">
        <f>SUM(CU267:CX267)</f>
        <v>0</v>
      </c>
      <c r="CZ267" s="90"/>
      <c r="DA267" s="675">
        <f>$BU228/($BU221*4)</f>
        <v>0</v>
      </c>
      <c r="DB267" s="675">
        <f>$BU228/($BU221*4)</f>
        <v>0</v>
      </c>
      <c r="DC267" s="675">
        <f>$BU228/($BU221*4)</f>
        <v>0</v>
      </c>
      <c r="DD267" s="675">
        <f>$BU228/($BU221*4)</f>
        <v>0</v>
      </c>
      <c r="DE267" s="675">
        <f>SUM(DA267:DD267)</f>
        <v>0</v>
      </c>
      <c r="DF267" s="90"/>
      <c r="DG267" s="675">
        <f>$BU228/($BU221*4)</f>
        <v>0</v>
      </c>
      <c r="DH267" s="675">
        <f>$BU228/($BU221*4)</f>
        <v>0</v>
      </c>
      <c r="DI267" s="675">
        <f>$BU228/($BU221*4)</f>
        <v>0</v>
      </c>
      <c r="DJ267" s="675">
        <f>$BU228/($BU221*4)</f>
        <v>0</v>
      </c>
      <c r="DK267" s="675">
        <f>SUM(DG267:DJ267)</f>
        <v>0</v>
      </c>
      <c r="DL267" s="90"/>
      <c r="DM267" s="675">
        <f>$BU228/($BU221*4)</f>
        <v>0</v>
      </c>
      <c r="DN267" s="675">
        <f>$BU228/($BU221*4)</f>
        <v>0</v>
      </c>
      <c r="DO267" s="675">
        <f>$BU228/($BU221*4)</f>
        <v>0</v>
      </c>
      <c r="DP267" s="675">
        <f>$BU228/($BU221*4)</f>
        <v>0</v>
      </c>
      <c r="DQ267" s="675">
        <f>SUM(DM267:DP267)</f>
        <v>0</v>
      </c>
      <c r="DR267" s="90"/>
      <c r="DS267" s="675">
        <f>$BU228/($BU221*4)</f>
        <v>0</v>
      </c>
      <c r="DT267" s="675">
        <f>$BU228/($BU221*4)</f>
        <v>0</v>
      </c>
      <c r="DU267" s="675">
        <f>$BU228/($BU221*4)</f>
        <v>0</v>
      </c>
      <c r="DV267" s="675">
        <f>$BU228/($BU221*4)</f>
        <v>0</v>
      </c>
      <c r="DW267" s="675">
        <f>SUM(DS267:DV267)</f>
        <v>0</v>
      </c>
      <c r="DX267" s="90"/>
      <c r="DY267" s="675">
        <f>$BU228/($BU221*4)</f>
        <v>0</v>
      </c>
      <c r="DZ267" s="675">
        <f>$BU228/($BU221*4)</f>
        <v>0</v>
      </c>
      <c r="EA267" s="675">
        <f>$BU228/($BU221*4)</f>
        <v>0</v>
      </c>
      <c r="EB267" s="675">
        <f>$BU228/($BU221*4)</f>
        <v>0</v>
      </c>
      <c r="EC267" s="675">
        <f>SUM(DY267:EB267)</f>
        <v>0</v>
      </c>
      <c r="ED267" s="90"/>
      <c r="EE267" s="675">
        <f>$BU228/($BU221*4)</f>
        <v>0</v>
      </c>
      <c r="EF267" s="675">
        <f>$BU228/($BU221*4)</f>
        <v>0</v>
      </c>
      <c r="EG267" s="675">
        <f>$BU228/($BU221*4)</f>
        <v>0</v>
      </c>
      <c r="EH267" s="675">
        <f>$BU228/($BU221*4)</f>
        <v>0</v>
      </c>
      <c r="EI267" s="675">
        <f>SUM(EE267:EH267)</f>
        <v>0</v>
      </c>
      <c r="EJ267" s="90"/>
      <c r="EK267" s="675">
        <f>$BU228/($BU221*4)</f>
        <v>0</v>
      </c>
      <c r="EL267" s="675">
        <f>$BU228/($BU221*4)</f>
        <v>0</v>
      </c>
      <c r="EM267" s="675">
        <f>$BU228/($BU221*4)</f>
        <v>0</v>
      </c>
      <c r="EN267" s="675">
        <f>$BU228/($BU221*4)</f>
        <v>0</v>
      </c>
      <c r="EO267" s="675">
        <f>SUM(EK267:EN267)</f>
        <v>0</v>
      </c>
      <c r="EP267" s="90"/>
      <c r="EQ267" s="675">
        <f>$BU228/($BU221*4)</f>
        <v>0</v>
      </c>
      <c r="ER267" s="675">
        <f>$BU228/($BU221*4)</f>
        <v>0</v>
      </c>
      <c r="ES267" s="675">
        <f>$BU228/($BU221*4)</f>
        <v>0</v>
      </c>
      <c r="ET267" s="675">
        <f>$BU228/($BU221*4)</f>
        <v>0</v>
      </c>
      <c r="EU267" s="675">
        <f>SUM(EQ267:ET267)</f>
        <v>0</v>
      </c>
      <c r="EV267" s="90"/>
      <c r="EW267" s="90"/>
      <c r="EX267" s="90"/>
      <c r="EY267" s="90"/>
      <c r="EZ267" s="90"/>
      <c r="FA267" s="90"/>
      <c r="FB267" s="90"/>
    </row>
    <row r="268" spans="1:158" hidden="1" outlineLevel="1">
      <c r="A268" s="677" t="s">
        <v>2094</v>
      </c>
      <c r="B268" s="32"/>
      <c r="C268" s="90"/>
      <c r="D268" s="90"/>
      <c r="E268" s="90"/>
      <c r="F268" s="90"/>
      <c r="G268" s="61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104"/>
      <c r="Z268" s="90"/>
      <c r="AA268" s="676"/>
      <c r="AB268" s="676"/>
      <c r="AC268" s="676"/>
      <c r="AD268" s="676"/>
      <c r="AE268" s="675"/>
      <c r="AF268" s="90"/>
      <c r="AG268" s="676"/>
      <c r="AH268" s="676"/>
      <c r="AI268" s="676"/>
      <c r="AJ268" s="676"/>
      <c r="AK268" s="675"/>
      <c r="AL268" s="90"/>
      <c r="AM268" s="676"/>
      <c r="AN268" s="676"/>
      <c r="AO268" s="676"/>
      <c r="AP268" s="676"/>
      <c r="AQ268" s="675"/>
      <c r="AR268" s="90"/>
      <c r="AS268" s="676"/>
      <c r="AT268" s="90"/>
      <c r="AU268" s="676"/>
      <c r="AV268" s="90"/>
      <c r="AW268" s="104"/>
      <c r="AX268" s="90"/>
      <c r="AY268" s="90"/>
      <c r="AZ268" s="90"/>
      <c r="BA268" s="90"/>
      <c r="BB268" s="90"/>
      <c r="BC268" s="104"/>
      <c r="BD268" s="90"/>
      <c r="BE268" s="104"/>
      <c r="BF268" s="104"/>
      <c r="BG268" s="104"/>
      <c r="BH268" s="104"/>
      <c r="BI268" s="104"/>
      <c r="BJ268" s="90"/>
      <c r="BK268" s="26"/>
      <c r="BL268" s="26"/>
      <c r="BM268" s="26"/>
      <c r="BN268" s="26"/>
      <c r="BO268" s="26"/>
      <c r="BP268" s="90"/>
      <c r="BQ268" s="680"/>
      <c r="BR268" s="676"/>
      <c r="BS268" s="676"/>
      <c r="BT268" s="676"/>
      <c r="BU268" s="675"/>
      <c r="BV268" s="90"/>
      <c r="BW268" s="675">
        <f>$BU$228*$CA$216/4</f>
        <v>0</v>
      </c>
      <c r="BX268" s="675">
        <f>BW269*$BU$216/4</f>
        <v>0</v>
      </c>
      <c r="BY268" s="675">
        <f>BX269*$BU$216/4</f>
        <v>0</v>
      </c>
      <c r="BZ268" s="675">
        <f>BY269*$BU$216/4</f>
        <v>0</v>
      </c>
      <c r="CA268" s="675">
        <f>SUM(BW268:BZ268)</f>
        <v>0</v>
      </c>
      <c r="CB268" s="90"/>
      <c r="CC268" s="675">
        <f>BZ269*$BU$216/4</f>
        <v>0</v>
      </c>
      <c r="CD268" s="675">
        <f>CC269*$BU$216/4</f>
        <v>0</v>
      </c>
      <c r="CE268" s="675">
        <f>CD269*$BO$216/4</f>
        <v>0</v>
      </c>
      <c r="CF268" s="675">
        <f>CE269*$BO$216/4</f>
        <v>0</v>
      </c>
      <c r="CG268" s="675">
        <f>SUM(CC268:CF268)</f>
        <v>0</v>
      </c>
      <c r="CH268" s="90"/>
      <c r="CI268" s="675">
        <f>CF269*$BU$216/4</f>
        <v>0</v>
      </c>
      <c r="CJ268" s="675">
        <f>CI269*$BU$216/4</f>
        <v>0</v>
      </c>
      <c r="CK268" s="675">
        <f>CJ269*$BO$216/4</f>
        <v>0</v>
      </c>
      <c r="CL268" s="675">
        <f>CK269*$BO$216/4</f>
        <v>0</v>
      </c>
      <c r="CM268" s="675">
        <f>SUM(CI268:CL268)</f>
        <v>0</v>
      </c>
      <c r="CN268" s="90"/>
      <c r="CO268" s="675">
        <f>CL269*$BU$216/4</f>
        <v>0</v>
      </c>
      <c r="CP268" s="675">
        <f>CO269*$BU$216/4</f>
        <v>0</v>
      </c>
      <c r="CQ268" s="675">
        <f>CP269*$BO$216/4</f>
        <v>0</v>
      </c>
      <c r="CR268" s="675">
        <f>CQ269*$BO$216/4</f>
        <v>0</v>
      </c>
      <c r="CS268" s="675">
        <f>SUM(CO268:CR268)</f>
        <v>0</v>
      </c>
      <c r="CT268" s="90"/>
      <c r="CU268" s="675">
        <f>CR269*$BU$216/4</f>
        <v>0</v>
      </c>
      <c r="CV268" s="675">
        <f>CU269*$BU$216/4</f>
        <v>0</v>
      </c>
      <c r="CW268" s="675">
        <f>CV269*$BO$216/4</f>
        <v>0</v>
      </c>
      <c r="CX268" s="675">
        <f>CW269*$BO$216/4</f>
        <v>0</v>
      </c>
      <c r="CY268" s="675">
        <f>SUM(CU268:CX268)</f>
        <v>0</v>
      </c>
      <c r="CZ268" s="90"/>
      <c r="DA268" s="675">
        <f>CX269*$BU$216/4</f>
        <v>0</v>
      </c>
      <c r="DB268" s="675">
        <f>DA269*$BU$216/4</f>
        <v>0</v>
      </c>
      <c r="DC268" s="675">
        <f>DB269*$BO$216/4</f>
        <v>0</v>
      </c>
      <c r="DD268" s="675">
        <f>DC269*$BO$216/4</f>
        <v>0</v>
      </c>
      <c r="DE268" s="675">
        <f>SUM(DA268:DD268)</f>
        <v>0</v>
      </c>
      <c r="DF268" s="90"/>
      <c r="DG268" s="675">
        <f>DD269*$BU$216/4</f>
        <v>0</v>
      </c>
      <c r="DH268" s="675">
        <f>DG269*$BU$216/4</f>
        <v>0</v>
      </c>
      <c r="DI268" s="675">
        <f>DH269*$BO$216/4</f>
        <v>0</v>
      </c>
      <c r="DJ268" s="675">
        <f>DI269*$BO$216/4</f>
        <v>0</v>
      </c>
      <c r="DK268" s="675">
        <f>SUM(DG268:DJ268)</f>
        <v>0</v>
      </c>
      <c r="DL268" s="90"/>
      <c r="DM268" s="675">
        <f>DJ269*$BU$216/4</f>
        <v>0</v>
      </c>
      <c r="DN268" s="675">
        <f>DM269*$BU$216/4</f>
        <v>0</v>
      </c>
      <c r="DO268" s="675">
        <f>DN269*$BO$216/4</f>
        <v>0</v>
      </c>
      <c r="DP268" s="675">
        <f>DO269*$BO$216/4</f>
        <v>0</v>
      </c>
      <c r="DQ268" s="675">
        <f>SUM(DM268:DP268)</f>
        <v>0</v>
      </c>
      <c r="DR268" s="90"/>
      <c r="DS268" s="675">
        <f>DP269*$BU$216/4</f>
        <v>0</v>
      </c>
      <c r="DT268" s="675">
        <f>DS269*$BU$216/4</f>
        <v>0</v>
      </c>
      <c r="DU268" s="675">
        <f>DT269*$BO$216/4</f>
        <v>0</v>
      </c>
      <c r="DV268" s="675">
        <f>DU269*$BO$216/4</f>
        <v>0</v>
      </c>
      <c r="DW268" s="675">
        <f>SUM(DS268:DV268)</f>
        <v>0</v>
      </c>
      <c r="DX268" s="90"/>
      <c r="DY268" s="675">
        <f>DV269*$BU$216/4</f>
        <v>0</v>
      </c>
      <c r="DZ268" s="675">
        <f>DY269*$BU$216/4</f>
        <v>0</v>
      </c>
      <c r="EA268" s="675">
        <f>DZ269*$BO$216/4</f>
        <v>0</v>
      </c>
      <c r="EB268" s="675">
        <f>EA269*$BO$216/4</f>
        <v>0</v>
      </c>
      <c r="EC268" s="675">
        <f>SUM(DY268:EB268)</f>
        <v>0</v>
      </c>
      <c r="ED268" s="90"/>
      <c r="EE268" s="675">
        <f>EB269*$BU$216/4</f>
        <v>0</v>
      </c>
      <c r="EF268" s="675">
        <f>EE269*$BU$216/4</f>
        <v>0</v>
      </c>
      <c r="EG268" s="675">
        <f>EF269*$BO$216/4</f>
        <v>0</v>
      </c>
      <c r="EH268" s="675">
        <f>EG269*$BO$216/4</f>
        <v>0</v>
      </c>
      <c r="EI268" s="675">
        <f>SUM(EE268:EH268)</f>
        <v>0</v>
      </c>
      <c r="EJ268" s="90"/>
      <c r="EK268" s="675">
        <f>EH269*$BU$216/4</f>
        <v>0</v>
      </c>
      <c r="EL268" s="675">
        <f>EK269*$BU$216/4</f>
        <v>0</v>
      </c>
      <c r="EM268" s="675">
        <f>EL269*$BO$216/4</f>
        <v>0</v>
      </c>
      <c r="EN268" s="675">
        <f>EM269*$BO$216/4</f>
        <v>0</v>
      </c>
      <c r="EO268" s="675">
        <f>SUM(EK268:EN268)</f>
        <v>0</v>
      </c>
      <c r="EP268" s="90"/>
      <c r="EQ268" s="675">
        <f>EN269*$BU$216/4</f>
        <v>0</v>
      </c>
      <c r="ER268" s="675">
        <f>EQ269*$BU$216/4</f>
        <v>0</v>
      </c>
      <c r="ES268" s="675">
        <f>ER269*$BO$216/4</f>
        <v>0</v>
      </c>
      <c r="ET268" s="675">
        <f>ES269*$BO$216/4</f>
        <v>0</v>
      </c>
      <c r="EU268" s="675">
        <f>SUM(EQ268:ET268)</f>
        <v>0</v>
      </c>
      <c r="EV268" s="90"/>
      <c r="EW268" s="90"/>
      <c r="EX268" s="90"/>
      <c r="EY268" s="90"/>
      <c r="EZ268" s="90"/>
      <c r="FA268" s="90"/>
      <c r="FB268" s="90"/>
    </row>
    <row r="269" spans="1:158" hidden="1" outlineLevel="1">
      <c r="A269" s="185" t="s">
        <v>2095</v>
      </c>
      <c r="B269" s="32"/>
      <c r="C269" s="90"/>
      <c r="D269" s="90"/>
      <c r="E269" s="90"/>
      <c r="F269" s="90"/>
      <c r="G269" s="61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104"/>
      <c r="Z269" s="90"/>
      <c r="AA269" s="676"/>
      <c r="AB269" s="676"/>
      <c r="AC269" s="676"/>
      <c r="AD269" s="676"/>
      <c r="AE269" s="675"/>
      <c r="AF269" s="90"/>
      <c r="AG269" s="676"/>
      <c r="AH269" s="676"/>
      <c r="AI269" s="676"/>
      <c r="AJ269" s="676"/>
      <c r="AK269" s="675"/>
      <c r="AL269" s="90"/>
      <c r="AM269" s="676"/>
      <c r="AN269" s="676"/>
      <c r="AO269" s="676"/>
      <c r="AP269" s="676"/>
      <c r="AQ269" s="675"/>
      <c r="AR269" s="90"/>
      <c r="AS269" s="676"/>
      <c r="AT269" s="90"/>
      <c r="AU269" s="676"/>
      <c r="AV269" s="90"/>
      <c r="AW269" s="104"/>
      <c r="AX269" s="90"/>
      <c r="AY269" s="90"/>
      <c r="AZ269" s="90"/>
      <c r="BA269" s="90"/>
      <c r="BB269" s="90"/>
      <c r="BC269" s="104"/>
      <c r="BD269" s="90"/>
      <c r="BE269" s="104"/>
      <c r="BF269" s="104"/>
      <c r="BG269" s="104"/>
      <c r="BH269" s="104"/>
      <c r="BI269" s="104"/>
      <c r="BJ269" s="90"/>
      <c r="BK269" s="26"/>
      <c r="BL269" s="26"/>
      <c r="BM269" s="26"/>
      <c r="BN269" s="26"/>
      <c r="BO269" s="26"/>
      <c r="BP269" s="90"/>
      <c r="BQ269" s="680"/>
      <c r="BR269" s="676"/>
      <c r="BS269" s="676"/>
      <c r="BT269" s="676"/>
      <c r="BU269" s="675"/>
      <c r="BV269" s="90"/>
      <c r="BW269" s="676">
        <f>BU228-BW267-BW268</f>
        <v>0</v>
      </c>
      <c r="BX269" s="676">
        <f>BW269-BX267-BX268</f>
        <v>0</v>
      </c>
      <c r="BY269" s="676">
        <f>BX269-BY267-BY268</f>
        <v>0</v>
      </c>
      <c r="BZ269" s="676">
        <f>BY269-BZ267-BZ268</f>
        <v>0</v>
      </c>
      <c r="CA269" s="675">
        <f>BZ269</f>
        <v>0</v>
      </c>
      <c r="CB269" s="90"/>
      <c r="CC269" s="676">
        <f>CA269-CC267-CC268</f>
        <v>0</v>
      </c>
      <c r="CD269" s="676">
        <f>CC269-CD267-CD268</f>
        <v>0</v>
      </c>
      <c r="CE269" s="676">
        <f>CD269-CE267-CE268</f>
        <v>0</v>
      </c>
      <c r="CF269" s="676">
        <f>CE269-CF267-CF268</f>
        <v>0</v>
      </c>
      <c r="CG269" s="675">
        <f>CF269</f>
        <v>0</v>
      </c>
      <c r="CH269" s="90"/>
      <c r="CI269" s="676">
        <f>CG269-CI267-CI268</f>
        <v>0</v>
      </c>
      <c r="CJ269" s="676">
        <f>CI269-CJ267-CJ268</f>
        <v>0</v>
      </c>
      <c r="CK269" s="676">
        <f>CJ269-CK267-CK268</f>
        <v>0</v>
      </c>
      <c r="CL269" s="676">
        <f>CK269-CL267-CL268</f>
        <v>0</v>
      </c>
      <c r="CM269" s="675">
        <f>CL269</f>
        <v>0</v>
      </c>
      <c r="CN269" s="90"/>
      <c r="CO269" s="676">
        <f>CM269-CO267-CO268</f>
        <v>0</v>
      </c>
      <c r="CP269" s="676">
        <f>CO269-CP267-CP268</f>
        <v>0</v>
      </c>
      <c r="CQ269" s="676">
        <f>CP269-CQ267-CQ268</f>
        <v>0</v>
      </c>
      <c r="CR269" s="676">
        <f>CQ269-CR267-CR268</f>
        <v>0</v>
      </c>
      <c r="CS269" s="675">
        <f>CR269</f>
        <v>0</v>
      </c>
      <c r="CT269" s="90"/>
      <c r="CU269" s="676">
        <f>CS269-CU267-CU268</f>
        <v>0</v>
      </c>
      <c r="CV269" s="676">
        <f>CU269-CV267-CV268</f>
        <v>0</v>
      </c>
      <c r="CW269" s="676">
        <f>CV269-CW267-CW268</f>
        <v>0</v>
      </c>
      <c r="CX269" s="676">
        <f>CW269-CX267-CX268</f>
        <v>0</v>
      </c>
      <c r="CY269" s="675">
        <f>CX269</f>
        <v>0</v>
      </c>
      <c r="CZ269" s="90"/>
      <c r="DA269" s="676">
        <f>CY269-DA267-DA268</f>
        <v>0</v>
      </c>
      <c r="DB269" s="676">
        <f>DA269-DB267-DB268</f>
        <v>0</v>
      </c>
      <c r="DC269" s="676">
        <f>DB269-DC267-DC268</f>
        <v>0</v>
      </c>
      <c r="DD269" s="676">
        <f>DC269-DD267-DD268</f>
        <v>0</v>
      </c>
      <c r="DE269" s="675">
        <f>DD269</f>
        <v>0</v>
      </c>
      <c r="DF269" s="90"/>
      <c r="DG269" s="676">
        <f>DE269-DG267-DG268</f>
        <v>0</v>
      </c>
      <c r="DH269" s="676">
        <f>DG269-DH267-DH268</f>
        <v>0</v>
      </c>
      <c r="DI269" s="676">
        <f>DH269-DI267-DI268</f>
        <v>0</v>
      </c>
      <c r="DJ269" s="676">
        <f>DI269-DJ267-DJ268</f>
        <v>0</v>
      </c>
      <c r="DK269" s="675">
        <f>DJ269</f>
        <v>0</v>
      </c>
      <c r="DL269" s="90"/>
      <c r="DM269" s="676">
        <f>DK269-DM267-DM268</f>
        <v>0</v>
      </c>
      <c r="DN269" s="676">
        <f>DM269-DN267-DN268</f>
        <v>0</v>
      </c>
      <c r="DO269" s="676">
        <f>DN269-DO267-DO268</f>
        <v>0</v>
      </c>
      <c r="DP269" s="676">
        <f>DO269-DP267-DP268</f>
        <v>0</v>
      </c>
      <c r="DQ269" s="675">
        <f>DP269</f>
        <v>0</v>
      </c>
      <c r="DR269" s="90"/>
      <c r="DS269" s="676">
        <f>DQ269-DS267-DS268</f>
        <v>0</v>
      </c>
      <c r="DT269" s="676">
        <f>DS269-DT267-DT268</f>
        <v>0</v>
      </c>
      <c r="DU269" s="676">
        <f>DT269-DU267-DU268</f>
        <v>0</v>
      </c>
      <c r="DV269" s="676">
        <f>DU269-DV267-DV268</f>
        <v>0</v>
      </c>
      <c r="DW269" s="675">
        <f>DV269</f>
        <v>0</v>
      </c>
      <c r="DX269" s="90"/>
      <c r="DY269" s="676">
        <f>DW269-DY267-DY268</f>
        <v>0</v>
      </c>
      <c r="DZ269" s="676">
        <f>DY269-DZ267-DZ268</f>
        <v>0</v>
      </c>
      <c r="EA269" s="676">
        <f>DZ269-EA267-EA268</f>
        <v>0</v>
      </c>
      <c r="EB269" s="676">
        <f>EA269-EB267-EB268</f>
        <v>0</v>
      </c>
      <c r="EC269" s="675">
        <f>EB269</f>
        <v>0</v>
      </c>
      <c r="ED269" s="90"/>
      <c r="EE269" s="676">
        <f>EC269-EE267-EE268</f>
        <v>0</v>
      </c>
      <c r="EF269" s="676">
        <f>EE269-EF267-EF268</f>
        <v>0</v>
      </c>
      <c r="EG269" s="676">
        <f>EF269-EG267-EG268</f>
        <v>0</v>
      </c>
      <c r="EH269" s="676">
        <f>EG269-EH267-EH268</f>
        <v>0</v>
      </c>
      <c r="EI269" s="675">
        <f>EH269</f>
        <v>0</v>
      </c>
      <c r="EJ269" s="90"/>
      <c r="EK269" s="676">
        <f>EI269-EK267-EK268</f>
        <v>0</v>
      </c>
      <c r="EL269" s="676">
        <f>EK269-EL267-EL268</f>
        <v>0</v>
      </c>
      <c r="EM269" s="676">
        <f>EL269-EM267-EM268</f>
        <v>0</v>
      </c>
      <c r="EN269" s="676">
        <f>EM269-EN267-EN268</f>
        <v>0</v>
      </c>
      <c r="EO269" s="675">
        <f>EN269</f>
        <v>0</v>
      </c>
      <c r="EP269" s="90"/>
      <c r="EQ269" s="676">
        <f>EO269-EQ267-EQ268</f>
        <v>0</v>
      </c>
      <c r="ER269" s="676">
        <f>EQ269-ER267-ER268</f>
        <v>0</v>
      </c>
      <c r="ES269" s="676">
        <f>ER269-ES267-ES268</f>
        <v>0</v>
      </c>
      <c r="ET269" s="676">
        <f>ES269-ET267-ET268</f>
        <v>0</v>
      </c>
      <c r="EU269" s="675">
        <f>ET269</f>
        <v>0</v>
      </c>
      <c r="EV269" s="90"/>
      <c r="EW269" s="90"/>
      <c r="EX269" s="90"/>
      <c r="EY269" s="90"/>
      <c r="EZ269" s="90"/>
      <c r="FA269" s="90"/>
      <c r="FB269" s="90"/>
    </row>
    <row r="270" spans="1:158" hidden="1" outlineLevel="1">
      <c r="A270" s="185"/>
      <c r="B270" s="32"/>
      <c r="C270" s="90"/>
      <c r="D270" s="90"/>
      <c r="E270" s="90"/>
      <c r="F270" s="90"/>
      <c r="G270" s="61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104"/>
      <c r="Z270" s="90"/>
      <c r="AA270" s="676"/>
      <c r="AB270" s="676"/>
      <c r="AC270" s="676"/>
      <c r="AD270" s="676"/>
      <c r="AE270" s="675"/>
      <c r="AF270" s="90"/>
      <c r="AG270" s="676"/>
      <c r="AH270" s="676"/>
      <c r="AI270" s="676"/>
      <c r="AJ270" s="676"/>
      <c r="AK270" s="675"/>
      <c r="AL270" s="90"/>
      <c r="AM270" s="676"/>
      <c r="AN270" s="676"/>
      <c r="AO270" s="676"/>
      <c r="AP270" s="676"/>
      <c r="AQ270" s="675"/>
      <c r="AR270" s="90"/>
      <c r="AS270" s="676"/>
      <c r="AT270" s="90"/>
      <c r="AU270" s="676"/>
      <c r="AV270" s="90"/>
      <c r="AW270" s="104"/>
      <c r="AX270" s="90"/>
      <c r="AY270" s="90"/>
      <c r="AZ270" s="90"/>
      <c r="BA270" s="90"/>
      <c r="BB270" s="90"/>
      <c r="BC270" s="104"/>
      <c r="BD270" s="90"/>
      <c r="BE270" s="104"/>
      <c r="BF270" s="104"/>
      <c r="BG270" s="104"/>
      <c r="BH270" s="104"/>
      <c r="BI270" s="104"/>
      <c r="BJ270" s="90"/>
      <c r="BK270" s="26"/>
      <c r="BL270" s="26"/>
      <c r="BM270" s="26"/>
      <c r="BN270" s="26"/>
      <c r="BO270" s="26"/>
      <c r="BP270" s="90"/>
      <c r="BQ270" s="26"/>
      <c r="BR270" s="26"/>
      <c r="BS270" s="26"/>
      <c r="BT270" s="26"/>
      <c r="BU270" s="26"/>
      <c r="BV270" s="90"/>
      <c r="BW270" s="26"/>
      <c r="BX270" s="26"/>
      <c r="BY270" s="26"/>
      <c r="BZ270" s="26"/>
      <c r="CA270" s="26"/>
      <c r="CB270" s="90"/>
      <c r="CC270" s="26"/>
      <c r="CD270" s="26"/>
      <c r="CE270" s="26"/>
      <c r="CF270" s="26"/>
      <c r="CG270" s="26"/>
      <c r="CH270" s="90"/>
      <c r="CI270" s="26"/>
      <c r="CJ270" s="26"/>
      <c r="CK270" s="26"/>
      <c r="CL270" s="26"/>
      <c r="CM270" s="26"/>
      <c r="CN270" s="90"/>
      <c r="CO270" s="26"/>
      <c r="CP270" s="26"/>
      <c r="CQ270" s="26"/>
      <c r="CR270" s="26"/>
      <c r="CS270" s="26"/>
      <c r="CT270" s="90"/>
      <c r="CU270" s="26"/>
      <c r="CV270" s="26"/>
      <c r="CW270" s="26"/>
      <c r="CX270" s="26"/>
      <c r="CY270" s="26"/>
      <c r="CZ270" s="90"/>
      <c r="DA270" s="26"/>
      <c r="DB270" s="26"/>
      <c r="DC270" s="26"/>
      <c r="DD270" s="26"/>
      <c r="DE270" s="26"/>
      <c r="DF270" s="90"/>
      <c r="DG270" s="26"/>
      <c r="DH270" s="26"/>
      <c r="DI270" s="26"/>
      <c r="DJ270" s="26"/>
      <c r="DK270" s="26"/>
      <c r="DL270" s="90"/>
      <c r="DM270" s="26"/>
      <c r="DN270" s="26"/>
      <c r="DO270" s="26"/>
      <c r="DP270" s="26"/>
      <c r="DQ270" s="26"/>
      <c r="DR270" s="90"/>
      <c r="DS270" s="26"/>
      <c r="DT270" s="26"/>
      <c r="DU270" s="26"/>
      <c r="DV270" s="26"/>
      <c r="DW270" s="26"/>
      <c r="DX270" s="90"/>
      <c r="DY270" s="26"/>
      <c r="DZ270" s="26"/>
      <c r="EA270" s="26"/>
      <c r="EB270" s="26"/>
      <c r="EC270" s="26"/>
      <c r="ED270" s="90"/>
      <c r="EE270" s="26"/>
      <c r="EF270" s="26"/>
      <c r="EG270" s="26"/>
      <c r="EH270" s="26"/>
      <c r="EI270" s="26"/>
      <c r="EJ270" s="90"/>
      <c r="EK270" s="26"/>
      <c r="EL270" s="26"/>
      <c r="EM270" s="26"/>
      <c r="EN270" s="26"/>
      <c r="EO270" s="26"/>
      <c r="EP270" s="90"/>
      <c r="EQ270" s="26"/>
      <c r="ER270" s="26"/>
      <c r="ES270" s="26"/>
      <c r="ET270" s="26"/>
      <c r="EU270" s="26"/>
      <c r="EV270" s="90"/>
      <c r="EW270" s="90"/>
      <c r="EX270" s="90"/>
      <c r="EY270" s="90"/>
      <c r="EZ270" s="90"/>
      <c r="FA270" s="90"/>
      <c r="FB270" s="90"/>
    </row>
    <row r="271" spans="1:158" ht="24" hidden="1" outlineLevel="1">
      <c r="A271" s="714" t="s">
        <v>3342</v>
      </c>
      <c r="B271" s="715"/>
      <c r="C271" s="225"/>
      <c r="D271" s="225"/>
      <c r="E271" s="225"/>
      <c r="F271" s="225"/>
      <c r="G271" s="158"/>
      <c r="H271" s="225"/>
      <c r="I271" s="225"/>
      <c r="J271" s="225"/>
      <c r="K271" s="225"/>
      <c r="L271" s="225"/>
      <c r="M271" s="225"/>
      <c r="N271" s="225"/>
      <c r="O271" s="225"/>
      <c r="P271" s="225"/>
      <c r="Q271" s="225"/>
      <c r="R271" s="225"/>
      <c r="S271" s="225"/>
      <c r="T271" s="225"/>
      <c r="U271" s="716">
        <f>U231+U235+U239+U243+U247+U251+U255+U259+U263</f>
        <v>2.3472400000000002</v>
      </c>
      <c r="V271" s="716">
        <f>V231+V235+V239+V243+V247+V251+V255+V259+V263</f>
        <v>2.3472400000000002</v>
      </c>
      <c r="W271" s="716">
        <f>W231+W235+W239+W243+W247+W251+W255+W259+W263</f>
        <v>2.3472400000000002</v>
      </c>
      <c r="X271" s="716">
        <f>X231+X235+X239+X243+X247+X251+X255+X259+X263</f>
        <v>2.3472400000000002</v>
      </c>
      <c r="Y271" s="716">
        <f>Y231+Y235+Y239+Y243+Y247+Y251+Y255+Y259+Y263</f>
        <v>9.3889600000000009</v>
      </c>
      <c r="Z271" s="225"/>
      <c r="AA271" s="716">
        <f>AA231+AA235+AA239+AA243+AA247+AA251+AA255+AA259+AA263</f>
        <v>9.109160000000001</v>
      </c>
      <c r="AB271" s="716">
        <f>AB231+AB235+AB239+AB243+AB247+AB251+AB255+AB259+AB263</f>
        <v>9.109160000000001</v>
      </c>
      <c r="AC271" s="716">
        <f>AC231+AC235+AC239+AC243+AC247+AC251+AC255+AC259+AC263</f>
        <v>9.109160000000001</v>
      </c>
      <c r="AD271" s="716">
        <f>AD231+AD235+AD239+AD243+AD247+AD251+AD255+AD259+AD263</f>
        <v>9.109160000000001</v>
      </c>
      <c r="AE271" s="716">
        <f>AE231+AE235+AE239+AE243+AE247+AE251+AE255+AE259+AE263</f>
        <v>36.436640000000004</v>
      </c>
      <c r="AF271" s="225"/>
      <c r="AG271" s="716">
        <f>AG231+AG235+AG239+AG243+AG247+AG251+AG255+AG259+AG263</f>
        <v>13.007285000000001</v>
      </c>
      <c r="AH271" s="716">
        <f>AH231+AH235+AH239+AH243+AH247+AH251+AH255+AH259+AH263</f>
        <v>13.007285000000001</v>
      </c>
      <c r="AI271" s="716">
        <f>AI231+AI235+AI239+AI243+AI247+AI251+AI255+AI259+AI263</f>
        <v>13.007285000000001</v>
      </c>
      <c r="AJ271" s="716">
        <f>AJ231+AJ235+AJ239+AJ243+AJ247+AJ251+AJ255+AJ259+AJ263</f>
        <v>13.007285000000001</v>
      </c>
      <c r="AK271" s="716">
        <f>AK231+AK235+AK239+AK243+AK247+AK251+AK255+AK259+AK263</f>
        <v>52.029140000000005</v>
      </c>
      <c r="AL271" s="225"/>
      <c r="AM271" s="716">
        <f>AM231+AM235+AM239+AM243+AM247+AM251+AM255+AM259+AM263</f>
        <v>16.902551000000003</v>
      </c>
      <c r="AN271" s="716">
        <f>AN231+AN235+AN239+AN243+AN247+AN251+AN255+AN259+AN263</f>
        <v>16.902551000000003</v>
      </c>
      <c r="AO271" s="716">
        <f>AO231+AO235+AO239+AO243+AO247+AO251+AO255+AO259+AO263</f>
        <v>14.555311</v>
      </c>
      <c r="AP271" s="716">
        <f>AP231+AP235+AP239+AP243+AP247+AP251+AP255+AP259+AP263</f>
        <v>14.555311</v>
      </c>
      <c r="AQ271" s="716">
        <f>AQ231+AQ235+AQ239+AQ243+AQ247+AQ251+AQ255+AQ259+AQ263</f>
        <v>58.221243999999999</v>
      </c>
      <c r="AR271" s="225"/>
      <c r="AS271" s="716">
        <f>AS231+AS235+AS239+AS243+AS247+AS251+AS255+AS259+AS263</f>
        <v>17.531212</v>
      </c>
      <c r="AT271" s="716">
        <f>AT231+AT235+AT239+AT243+AT247+AT251+AT255+AT259+AT263</f>
        <v>17.531212</v>
      </c>
      <c r="AU271" s="716">
        <f>AU231+AU235+AU239+AU243+AU247+AU251+AU255+AU259+AU263</f>
        <v>17.531212</v>
      </c>
      <c r="AV271" s="716">
        <f>AV231+AV235+AV239+AV243+AV247+AV251+AV255+AV259+AV263</f>
        <v>10.769292</v>
      </c>
      <c r="AW271" s="716">
        <f>AW231+AW235+AW239+AW243+AW247+AW251+AW255+AW259+AW263</f>
        <v>43.077168</v>
      </c>
      <c r="AX271" s="225"/>
      <c r="AY271" s="716">
        <f>AY231+AY235+AY239+AY243+AY247+AY251+AY255+AY259+AY263</f>
        <v>13.375902</v>
      </c>
      <c r="AZ271" s="716">
        <f>AZ231+AZ235+AZ239+AZ243+AZ247+AZ251+AZ255+AZ259+AZ263</f>
        <v>13.375902</v>
      </c>
      <c r="BA271" s="716">
        <f>BA231+BA235+BA239+BA243+BA247+BA251+BA255+BA259+BA263</f>
        <v>13.375902</v>
      </c>
      <c r="BB271" s="716">
        <f>BB231+BB235+BB239+BB243+BB247+BB251+BB255+BB259+BB263</f>
        <v>13.375902</v>
      </c>
      <c r="BC271" s="716">
        <f>BC231+BC235+BC239+BC243+BC247+BC251+BC255+BC259+BC263</f>
        <v>53.503608</v>
      </c>
      <c r="BD271" s="225"/>
      <c r="BE271" s="716">
        <f>BE231+BE235+BE239+BE243+BE247+BE251+BE255+BE259+BE263</f>
        <v>14.765858222745777</v>
      </c>
      <c r="BF271" s="716">
        <f>BF231+BF235+BF239+BF243+BF247+BF251+BF255+BF259+BF263</f>
        <v>14.765858222745777</v>
      </c>
      <c r="BG271" s="716">
        <f>BG231+BG235+BG239+BG243+BG247+BG251+BG255+BG259+BG263</f>
        <v>14.765858222745777</v>
      </c>
      <c r="BH271" s="716">
        <f>BH231+BH235+BH239+BH243+BH247+BH251+BH255+BH259+BH263</f>
        <v>14.799912662630838</v>
      </c>
      <c r="BI271" s="716">
        <f>BI231+BI235+BI239+BI243+BI247+BI251+BI255+BI259+BI263</f>
        <v>43.482368890983111</v>
      </c>
      <c r="BJ271" s="225"/>
      <c r="BK271" s="716">
        <f>BK231+BK235+BK239+BK243+BK247+BK251+BK255+BK259+BK263</f>
        <v>16.281465656538732</v>
      </c>
      <c r="BL271" s="716">
        <f>BL231+BL235+BL239+BL243+BL247+BL251+BL255+BL259+BL263</f>
        <v>16.281465656538732</v>
      </c>
      <c r="BM271" s="716">
        <f>BM231+BM235+BM239+BM243+BM247+BM251+BM255+BM259+BM263</f>
        <v>22.475001299694988</v>
      </c>
      <c r="BN271" s="716">
        <f>BN231+BN235+BN239+BN243+BN247+BN251+BN255+BN259+BN263</f>
        <v>13.305564656538731</v>
      </c>
      <c r="BO271" s="716">
        <f>BO231+BO235+BO239+BO243+BO247+BO251+BO255+BO259+BO263</f>
        <v>53.222258626154925</v>
      </c>
      <c r="BP271" s="225"/>
      <c r="BQ271" s="716">
        <f>BQ231+BQ235+BQ239+BQ243+BQ247+BQ251+BQ255+BQ259+BQ263</f>
        <v>23.813878065748501</v>
      </c>
      <c r="BR271" s="716">
        <f>BR231+BR235+BR239+BR243+BR247+BR251+BR255+BR259+BR263</f>
        <v>23.813878065748501</v>
      </c>
      <c r="BS271" s="716">
        <f>BS231+BS235+BS239+BS243+BS247+BS251+BS255+BS259+BS263</f>
        <v>23.813878065748501</v>
      </c>
      <c r="BT271" s="716">
        <f>BT231+BT235+BT239+BT243+BT247+BT251+BT255+BT259+BT263</f>
        <v>23.813878065748501</v>
      </c>
      <c r="BU271" s="716">
        <f>BU231+BU235+BU239+BU243+BU247+BU251+BU255+BU259+BU263</f>
        <v>63.730572035364695</v>
      </c>
      <c r="BV271" s="225"/>
      <c r="BW271" s="716">
        <f>BW231+BW235+BW239+BW243+BW247+BW251+BW255+BW259+BW263</f>
        <v>23.813878065748501</v>
      </c>
      <c r="BX271" s="716">
        <f>BX231+BX235+BX239+BX243+BX247+BX251+BX255+BX259+BX263</f>
        <v>23.396789912032933</v>
      </c>
      <c r="BY271" s="716">
        <f>BY231+BY235+BY239+BY243+BY247+BY251+BY255+BY259+BY263</f>
        <v>21.207268065748501</v>
      </c>
      <c r="BZ271" s="716">
        <f>BZ231+BZ235+BZ239+BZ243+BZ247+BZ251+BZ255+BZ259+BZ263</f>
        <v>19.044340640875276</v>
      </c>
      <c r="CA271" s="716">
        <f>CA231+CA235+CA239+CA243+CA247+CA251+CA255+CA259+CA263</f>
        <v>82.666144838120772</v>
      </c>
      <c r="CB271" s="225"/>
      <c r="CC271" s="716">
        <f>CC231+CC235+CC239+CC243+CC247+CC251+CC255+CC259+CC263+CC267</f>
        <v>15.919186843002723</v>
      </c>
      <c r="CD271" s="716">
        <f>CD231+CD235+CD239+CD243+CD247+CD251+CD255+CD259+CD263+CD267</f>
        <v>15.919186843002723</v>
      </c>
      <c r="CE271" s="716">
        <f>CE231+CE235+CE239+CE243+CE247+CE251+CE255+CE259+CE263+CE267</f>
        <v>15.919186843002723</v>
      </c>
      <c r="CF271" s="716">
        <f>CF231+CF235+CF239+CF243+CF247+CF251+CF255+CF259+CF263+CF267</f>
        <v>15.919186843002723</v>
      </c>
      <c r="CG271" s="716">
        <f>CG231+CG235+CG239+CG243+CG247+CG251+CG255+CG259+CG263</f>
        <v>63.676747372010894</v>
      </c>
      <c r="CH271" s="225"/>
      <c r="CI271" s="716">
        <f>CI231+CI235+CI239+CI243+CI247+CI251+CI255+CI259+CI263+CI267</f>
        <v>6.8292745933941799</v>
      </c>
      <c r="CJ271" s="716">
        <f>CJ231+CJ235+CJ239+CJ243+CJ247+CJ251+CJ255+CJ259+CJ263+CJ267</f>
        <v>0</v>
      </c>
      <c r="CK271" s="716">
        <f>CK231+CK235+CK239+CK243+CK247+CK251+CK255+CK259+CK263+CK267</f>
        <v>0</v>
      </c>
      <c r="CL271" s="716">
        <f>CL231+CL235+CL239+CL243+CL247+CL251+CL255+CL259+CL263+CL267</f>
        <v>0</v>
      </c>
      <c r="CM271" s="716">
        <f>CM231+CM235+CM239+CM243+CM247+CM251+CM255+CM259+CM263</f>
        <v>0</v>
      </c>
      <c r="CN271" s="225"/>
      <c r="CO271" s="716">
        <f>CO231+CO235+CO239+CO243+CO247+CO251+CO255+CO259+CO263+CO267</f>
        <v>0</v>
      </c>
      <c r="CP271" s="716">
        <f>CP231+CP235+CP239+CP243+CP247+CP251+CP255+CP259+CP263+CP267</f>
        <v>0</v>
      </c>
      <c r="CQ271" s="716">
        <f>CQ231+CQ235+CQ239+CQ243+CQ247+CQ251+CQ255+CQ259+CQ263+CQ267</f>
        <v>0</v>
      </c>
      <c r="CR271" s="716">
        <f>CR231+CR235+CR239+CR243+CR247+CR251+CR255+CR259+CR263+CR267</f>
        <v>0</v>
      </c>
      <c r="CS271" s="716">
        <f>CS231+CS235+CS239+CS243+CS247+CS251+CS255+CS259+CS263</f>
        <v>0</v>
      </c>
      <c r="CT271" s="225"/>
      <c r="CU271" s="716">
        <f>CU231+CU235+CU239+CU243+CU247+CU251+CU255+CU259+CU263+CU267</f>
        <v>0</v>
      </c>
      <c r="CV271" s="716">
        <f>CV231+CV235+CV239+CV243+CV247+CV251+CV255+CV259+CV263+CV267</f>
        <v>0</v>
      </c>
      <c r="CW271" s="716">
        <f>CW231+CW235+CW239+CW243+CW247+CW251+CW255+CW259+CW263+CW267</f>
        <v>0</v>
      </c>
      <c r="CX271" s="716">
        <f>CX231+CX235+CX239+CX243+CX247+CX251+CX255+CX259+CX263+CX267</f>
        <v>0</v>
      </c>
      <c r="CY271" s="716">
        <f>CY231+CY235+CY239+CY243+CY247+CY251+CY255+CY259+CY263</f>
        <v>0</v>
      </c>
      <c r="CZ271" s="225"/>
      <c r="DA271" s="716">
        <f>DA231+DA235+DA239+DA243+DA247+DA251+DA255+DA259+DA263+DA267</f>
        <v>0</v>
      </c>
      <c r="DB271" s="716">
        <f>DB231+DB235+DB239+DB243+DB247+DB251+DB255+DB259+DB263+DB267</f>
        <v>0</v>
      </c>
      <c r="DC271" s="716">
        <f>DC231+DC235+DC239+DC243+DC247+DC251+DC255+DC259+DC263+DC267</f>
        <v>0</v>
      </c>
      <c r="DD271" s="716">
        <f>DD231+DD235+DD239+DD243+DD247+DD251+DD255+DD259+DD263+DD267</f>
        <v>0</v>
      </c>
      <c r="DE271" s="716">
        <f>DE231+DE235+DE239+DE243+DE247+DE251+DE255+DE259+DE263</f>
        <v>0</v>
      </c>
      <c r="DF271" s="225"/>
      <c r="DG271" s="716">
        <f>DG231+DG235+DG239+DG243+DG247+DG251+DG255+DG259+DG263+DG267</f>
        <v>0</v>
      </c>
      <c r="DH271" s="716">
        <f>DH231+DH235+DH239+DH243+DH247+DH251+DH255+DH259+DH263+DH267</f>
        <v>0</v>
      </c>
      <c r="DI271" s="716">
        <f>DI231+DI235+DI239+DI243+DI247+DI251+DI255+DI259+DI263+DI267</f>
        <v>0</v>
      </c>
      <c r="DJ271" s="716">
        <f>DJ231+DJ235+DJ239+DJ243+DJ247+DJ251+DJ255+DJ259+DJ263+DJ267</f>
        <v>0</v>
      </c>
      <c r="DK271" s="716">
        <f>DK231+DK235+DK239+DK243+DK247+DK251+DK255+DK259+DK263</f>
        <v>0</v>
      </c>
      <c r="DL271" s="225"/>
      <c r="DM271" s="716">
        <f>DM231+DM235+DM239+DM243+DM247+DM251+DM255+DM259+DM263+DM267</f>
        <v>0</v>
      </c>
      <c r="DN271" s="716">
        <f>DN231+DN235+DN239+DN243+DN247+DN251+DN255+DN259+DN263+DN267</f>
        <v>0</v>
      </c>
      <c r="DO271" s="716">
        <f>DO231+DO235+DO239+DO243+DO247+DO251+DO255+DO259+DO263+DO267</f>
        <v>0</v>
      </c>
      <c r="DP271" s="716">
        <f>DP231+DP235+DP239+DP243+DP247+DP251+DP255+DP259+DP263+DP267</f>
        <v>0</v>
      </c>
      <c r="DQ271" s="716">
        <f>DQ231+DQ235+DQ239+DQ243+DQ247+DQ251+DQ255+DQ259+DQ263</f>
        <v>0</v>
      </c>
      <c r="DR271" s="225"/>
      <c r="DS271" s="716">
        <f>DS231+DS235+DS239+DS243+DS247+DS251+DS255+DS259+DS263+DS267</f>
        <v>0</v>
      </c>
      <c r="DT271" s="716">
        <f>DT231+DT235+DT239+DT243+DT247+DT251+DT255+DT259+DT263+DT267</f>
        <v>0</v>
      </c>
      <c r="DU271" s="716">
        <f>DU231+DU235+DU239+DU243+DU247+DU251+DU255+DU259+DU263+DU267</f>
        <v>0</v>
      </c>
      <c r="DV271" s="716">
        <f>DV231+DV235+DV239+DV243+DV247+DV251+DV255+DV259+DV263+DV267</f>
        <v>0</v>
      </c>
      <c r="DW271" s="716">
        <f>DW231+DW235+DW239+DW243+DW247+DW251+DW255+DW259+DW263</f>
        <v>0</v>
      </c>
      <c r="DX271" s="225"/>
      <c r="DY271" s="716">
        <f>DY231+DY235+DY239+DY243+DY247+DY251+DY255+DY259+DY263+DY267</f>
        <v>0</v>
      </c>
      <c r="DZ271" s="716">
        <f>DZ231+DZ235+DZ239+DZ243+DZ247+DZ251+DZ255+DZ259+DZ263+DZ267</f>
        <v>0</v>
      </c>
      <c r="EA271" s="716">
        <f>EA231+EA235+EA239+EA243+EA247+EA251+EA255+EA259+EA263+EA267</f>
        <v>0</v>
      </c>
      <c r="EB271" s="716">
        <f>EB231+EB235+EB239+EB243+EB247+EB251+EB255+EB259+EB263+EB267</f>
        <v>0</v>
      </c>
      <c r="EC271" s="716">
        <f>EC231+EC235+EC239+EC243+EC247+EC251+EC255+EC259+EC263</f>
        <v>0</v>
      </c>
      <c r="ED271" s="225"/>
      <c r="EE271" s="716">
        <f>EE231+EE235+EE239+EE243+EE247+EE251+EE255+EE259+EE263+EE267</f>
        <v>0</v>
      </c>
      <c r="EF271" s="716">
        <f>EF231+EF235+EF239+EF243+EF247+EF251+EF255+EF259+EF263+EF267</f>
        <v>0</v>
      </c>
      <c r="EG271" s="716">
        <f>EG231+EG235+EG239+EG243+EG247+EG251+EG255+EG259+EG263+EG267</f>
        <v>0</v>
      </c>
      <c r="EH271" s="716">
        <f>EH231+EH235+EH239+EH243+EH247+EH251+EH255+EH259+EH263+EH267</f>
        <v>0</v>
      </c>
      <c r="EI271" s="716">
        <f>EI231+EI235+EI239+EI243+EI247+EI251+EI255+EI259+EI263</f>
        <v>0</v>
      </c>
      <c r="EJ271" s="225"/>
      <c r="EK271" s="716">
        <f>EK231+EK235+EK239+EK243+EK247+EK251+EK255+EK259+EK263+EK267</f>
        <v>0</v>
      </c>
      <c r="EL271" s="716">
        <f>EL231+EL235+EL239+EL243+EL247+EL251+EL255+EL259+EL263+EL267</f>
        <v>0</v>
      </c>
      <c r="EM271" s="716">
        <f>EM231+EM235+EM239+EM243+EM247+EM251+EM255+EM259+EM263+EM267</f>
        <v>0</v>
      </c>
      <c r="EN271" s="716">
        <f>EN231+EN235+EN239+EN243+EN247+EN251+EN255+EN259+EN263+EN267</f>
        <v>0</v>
      </c>
      <c r="EO271" s="716">
        <f>EO231+EO235+EO239+EO243+EO247+EO251+EO255+EO259+EO263</f>
        <v>0</v>
      </c>
      <c r="EP271" s="225"/>
      <c r="EQ271" s="716">
        <f>EQ231+EQ235+EQ239+EQ243+EQ247+EQ251+EQ255+EQ259+EQ263+EQ267</f>
        <v>0</v>
      </c>
      <c r="ER271" s="716">
        <f>ER231+ER235+ER239+ER243+ER247+ER251+ER255+ER259+ER263+ER267</f>
        <v>0</v>
      </c>
      <c r="ES271" s="716">
        <f>ES231+ES235+ES239+ES243+ES247+ES251+ES255+ES259+ES263+ES267</f>
        <v>0</v>
      </c>
      <c r="ET271" s="716">
        <f>ET231+ET235+ET239+ET243+ET247+ET251+ET255+ET259+ET263+ET267</f>
        <v>0</v>
      </c>
      <c r="EU271" s="716">
        <f>EU231+EU235+EU239+EU243+EU247+EU251+EU255+EU259+EU263</f>
        <v>0</v>
      </c>
      <c r="EV271" s="225"/>
      <c r="EW271" s="225"/>
      <c r="EX271" s="225"/>
      <c r="EY271" s="225"/>
      <c r="EZ271" s="225"/>
      <c r="FA271" s="225"/>
      <c r="FB271" s="225"/>
    </row>
    <row r="272" spans="1:158" hidden="1" outlineLevel="1">
      <c r="A272" s="710" t="s">
        <v>6304</v>
      </c>
      <c r="B272" s="711"/>
      <c r="C272" s="711"/>
      <c r="D272" s="711"/>
      <c r="E272" s="711"/>
      <c r="F272" s="711"/>
      <c r="G272" s="712"/>
      <c r="H272" s="711"/>
      <c r="I272" s="711"/>
      <c r="J272" s="711"/>
      <c r="K272" s="711"/>
      <c r="L272" s="711"/>
      <c r="M272" s="711"/>
      <c r="N272" s="711"/>
      <c r="O272" s="711"/>
      <c r="P272" s="711"/>
      <c r="Q272" s="711"/>
      <c r="R272" s="711"/>
      <c r="S272" s="711"/>
      <c r="T272" s="711"/>
      <c r="U272" s="713">
        <f>U188</f>
        <v>-17.143999999999995</v>
      </c>
      <c r="V272" s="713">
        <f>V188</f>
        <v>0.38899999999998763</v>
      </c>
      <c r="W272" s="713">
        <f>W188</f>
        <v>1.3930000000000229</v>
      </c>
      <c r="X272" s="713">
        <f>X188</f>
        <v>25.172000000000011</v>
      </c>
      <c r="Y272" s="713">
        <f>Y188</f>
        <v>9.8100000000000271</v>
      </c>
      <c r="Z272" s="713"/>
      <c r="AA272" s="713">
        <f>AA188</f>
        <v>25.605999999999973</v>
      </c>
      <c r="AB272" s="713">
        <f>AB188</f>
        <v>20.753000000000021</v>
      </c>
      <c r="AC272" s="713">
        <f>AC188</f>
        <v>18.51100000000001</v>
      </c>
      <c r="AD272" s="713">
        <f>AD188</f>
        <v>28.362999999999996</v>
      </c>
      <c r="AE272" s="713">
        <f>AE188</f>
        <v>93.233000000000004</v>
      </c>
      <c r="AF272" s="713"/>
      <c r="AG272" s="713">
        <f>AG188</f>
        <v>27.899999999999956</v>
      </c>
      <c r="AH272" s="713">
        <f>AH188</f>
        <v>19.172999999999988</v>
      </c>
      <c r="AI272" s="713">
        <f>AI188</f>
        <v>21.470999999999989</v>
      </c>
      <c r="AJ272" s="713">
        <f>AJ188</f>
        <v>21.76900000000003</v>
      </c>
      <c r="AK272" s="713">
        <f>AK188</f>
        <v>90.31299999999996</v>
      </c>
      <c r="AL272" s="713"/>
      <c r="AM272" s="713">
        <f>AM188</f>
        <v>13.938999999999998</v>
      </c>
      <c r="AN272" s="713">
        <f>AN188</f>
        <v>9.9690000000000012</v>
      </c>
      <c r="AO272" s="713">
        <f>AO188</f>
        <v>13.273000000000003</v>
      </c>
      <c r="AP272" s="713">
        <f>AP188</f>
        <v>13.527999999999997</v>
      </c>
      <c r="AQ272" s="713">
        <f>AQ188</f>
        <v>50.709000000000003</v>
      </c>
      <c r="AR272" s="713"/>
      <c r="AS272" s="713">
        <f t="shared" ref="AS272:BU272" si="224">AS188</f>
        <v>11.459</v>
      </c>
      <c r="AT272" s="713">
        <f t="shared" si="224"/>
        <v>8.7269999999999968</v>
      </c>
      <c r="AU272" s="713">
        <f t="shared" si="224"/>
        <v>10.583000000000002</v>
      </c>
      <c r="AV272" s="713">
        <f t="shared" si="224"/>
        <v>16.734000000000009</v>
      </c>
      <c r="AW272" s="713">
        <f t="shared" si="224"/>
        <v>47.503000000000007</v>
      </c>
      <c r="AX272" s="713">
        <f t="shared" si="224"/>
        <v>0</v>
      </c>
      <c r="AY272" s="713">
        <f t="shared" si="224"/>
        <v>12.371000000000002</v>
      </c>
      <c r="AZ272" s="713">
        <f t="shared" si="224"/>
        <v>13.107999999999997</v>
      </c>
      <c r="BA272" s="713">
        <f t="shared" si="224"/>
        <v>14.536000000000001</v>
      </c>
      <c r="BB272" s="713">
        <f t="shared" si="224"/>
        <v>18.434000000000005</v>
      </c>
      <c r="BC272" s="713">
        <f t="shared" si="224"/>
        <v>58.449000000000005</v>
      </c>
      <c r="BD272" s="713">
        <f>BD188</f>
        <v>0</v>
      </c>
      <c r="BE272" s="713">
        <f t="shared" si="224"/>
        <v>19.033999999999992</v>
      </c>
      <c r="BF272" s="713">
        <f t="shared" si="224"/>
        <v>18.266999999999999</v>
      </c>
      <c r="BG272" s="713">
        <f t="shared" si="224"/>
        <v>16.45</v>
      </c>
      <c r="BH272" s="713">
        <f t="shared" si="224"/>
        <v>17.944000000000003</v>
      </c>
      <c r="BI272" s="713">
        <f t="shared" si="224"/>
        <v>71.8</v>
      </c>
      <c r="BJ272" s="713"/>
      <c r="BK272" s="713">
        <f t="shared" si="224"/>
        <v>21.140999999999998</v>
      </c>
      <c r="BL272" s="713">
        <f t="shared" si="224"/>
        <v>20.7</v>
      </c>
      <c r="BM272" s="713">
        <f t="shared" si="224"/>
        <v>34.200000000000003</v>
      </c>
      <c r="BN272" s="713">
        <f t="shared" si="224"/>
        <v>17.7</v>
      </c>
      <c r="BO272" s="713">
        <f t="shared" si="224"/>
        <v>93.741</v>
      </c>
      <c r="BP272" s="713"/>
      <c r="BQ272" s="713">
        <f t="shared" si="224"/>
        <v>0</v>
      </c>
      <c r="BR272" s="713">
        <f t="shared" si="224"/>
        <v>0</v>
      </c>
      <c r="BS272" s="713">
        <f t="shared" si="224"/>
        <v>0</v>
      </c>
      <c r="BT272" s="713">
        <f t="shared" si="224"/>
        <v>0</v>
      </c>
      <c r="BU272" s="713">
        <f t="shared" si="224"/>
        <v>0</v>
      </c>
      <c r="BV272" s="713"/>
      <c r="BW272" s="713">
        <f t="shared" ref="BW272:CG272" si="225">BW188</f>
        <v>0</v>
      </c>
      <c r="BX272" s="713">
        <f t="shared" si="225"/>
        <v>0</v>
      </c>
      <c r="BY272" s="713">
        <f t="shared" si="225"/>
        <v>0</v>
      </c>
      <c r="BZ272" s="713">
        <f t="shared" si="225"/>
        <v>0</v>
      </c>
      <c r="CA272" s="713">
        <f t="shared" si="225"/>
        <v>0</v>
      </c>
      <c r="CB272" s="713"/>
      <c r="CC272" s="713">
        <f t="shared" si="225"/>
        <v>0</v>
      </c>
      <c r="CD272" s="713">
        <f t="shared" si="225"/>
        <v>0</v>
      </c>
      <c r="CE272" s="713">
        <f t="shared" si="225"/>
        <v>0</v>
      </c>
      <c r="CF272" s="713">
        <f>CF188</f>
        <v>0</v>
      </c>
      <c r="CG272" s="713">
        <f t="shared" si="225"/>
        <v>0</v>
      </c>
      <c r="CH272" s="713"/>
      <c r="CI272" s="713">
        <f>CI188</f>
        <v>0</v>
      </c>
      <c r="CJ272" s="713">
        <f>CJ188</f>
        <v>0</v>
      </c>
      <c r="CK272" s="713">
        <f>CK188</f>
        <v>0</v>
      </c>
      <c r="CL272" s="713">
        <f>CL188</f>
        <v>0</v>
      </c>
      <c r="CM272" s="713">
        <f>CM188</f>
        <v>0</v>
      </c>
      <c r="CN272" s="713"/>
      <c r="CO272" s="713">
        <f>CO188</f>
        <v>0</v>
      </c>
      <c r="CP272" s="713">
        <f>CP188</f>
        <v>0</v>
      </c>
      <c r="CQ272" s="713">
        <f>CQ188</f>
        <v>0</v>
      </c>
      <c r="CR272" s="713">
        <f>CR188</f>
        <v>0</v>
      </c>
      <c r="CS272" s="713">
        <f>CS188</f>
        <v>0</v>
      </c>
      <c r="CT272" s="713"/>
      <c r="CU272" s="713">
        <f>CU188</f>
        <v>0</v>
      </c>
      <c r="CV272" s="713">
        <f>CV188</f>
        <v>0</v>
      </c>
      <c r="CW272" s="713">
        <f>CW188</f>
        <v>0</v>
      </c>
      <c r="CX272" s="713">
        <f>CX188</f>
        <v>0</v>
      </c>
      <c r="CY272" s="713">
        <f>CY188</f>
        <v>0</v>
      </c>
      <c r="CZ272" s="713"/>
      <c r="DA272" s="713">
        <f>DA188</f>
        <v>0</v>
      </c>
      <c r="DB272" s="713">
        <f>DB188</f>
        <v>0</v>
      </c>
      <c r="DC272" s="713">
        <f>DC188</f>
        <v>0</v>
      </c>
      <c r="DD272" s="713">
        <f>DD188</f>
        <v>0</v>
      </c>
      <c r="DE272" s="713">
        <f>DE188</f>
        <v>0</v>
      </c>
      <c r="DF272" s="713"/>
      <c r="DG272" s="713">
        <f>DG188</f>
        <v>0</v>
      </c>
      <c r="DH272" s="713">
        <f>DH188</f>
        <v>0</v>
      </c>
      <c r="DI272" s="713">
        <f>DI188</f>
        <v>0</v>
      </c>
      <c r="DJ272" s="713">
        <f>DJ188</f>
        <v>0</v>
      </c>
      <c r="DK272" s="713">
        <f>DK188</f>
        <v>0</v>
      </c>
      <c r="DL272" s="713"/>
      <c r="DM272" s="713">
        <f>DM188</f>
        <v>0</v>
      </c>
      <c r="DN272" s="713">
        <f>DN188</f>
        <v>0</v>
      </c>
      <c r="DO272" s="713">
        <f>DO188</f>
        <v>0</v>
      </c>
      <c r="DP272" s="713">
        <f>DP188</f>
        <v>0</v>
      </c>
      <c r="DQ272" s="713">
        <f>DQ188</f>
        <v>0</v>
      </c>
      <c r="DR272" s="713"/>
      <c r="DS272" s="713">
        <f>DS188</f>
        <v>0</v>
      </c>
      <c r="DT272" s="713">
        <f>DT188</f>
        <v>0</v>
      </c>
      <c r="DU272" s="713">
        <f>DU188</f>
        <v>0</v>
      </c>
      <c r="DV272" s="713">
        <f>DV188</f>
        <v>0</v>
      </c>
      <c r="DW272" s="713">
        <f>DW188</f>
        <v>0</v>
      </c>
      <c r="DX272" s="713"/>
      <c r="DY272" s="713">
        <f>DY188</f>
        <v>0</v>
      </c>
      <c r="DZ272" s="713">
        <f>DZ188</f>
        <v>0</v>
      </c>
      <c r="EA272" s="713">
        <f>EA188</f>
        <v>0</v>
      </c>
      <c r="EB272" s="713">
        <f>EB188</f>
        <v>0</v>
      </c>
      <c r="EC272" s="713">
        <f>EC188</f>
        <v>0</v>
      </c>
      <c r="ED272" s="713"/>
      <c r="EE272" s="713">
        <f>EE188</f>
        <v>0</v>
      </c>
      <c r="EF272" s="713">
        <f>EF188</f>
        <v>0</v>
      </c>
      <c r="EG272" s="713">
        <f>EG188</f>
        <v>0</v>
      </c>
      <c r="EH272" s="713">
        <f>EH188</f>
        <v>0</v>
      </c>
      <c r="EI272" s="713">
        <f>EI188</f>
        <v>0</v>
      </c>
      <c r="EJ272" s="713"/>
      <c r="EK272" s="713">
        <f>EK188</f>
        <v>0</v>
      </c>
      <c r="EL272" s="713">
        <f>EL188</f>
        <v>0</v>
      </c>
      <c r="EM272" s="713">
        <f>EM188</f>
        <v>0</v>
      </c>
      <c r="EN272" s="713">
        <f>EN188</f>
        <v>0</v>
      </c>
      <c r="EO272" s="713">
        <f>EO188</f>
        <v>0</v>
      </c>
      <c r="EP272" s="713"/>
      <c r="EQ272" s="713">
        <f>EQ188</f>
        <v>0</v>
      </c>
      <c r="ER272" s="713">
        <f>ER188</f>
        <v>0</v>
      </c>
      <c r="ES272" s="713">
        <f>ES188</f>
        <v>0</v>
      </c>
      <c r="ET272" s="713">
        <f>ET188</f>
        <v>0</v>
      </c>
      <c r="EU272" s="713">
        <f>EU188</f>
        <v>0</v>
      </c>
      <c r="EV272" s="711"/>
      <c r="EW272" s="711"/>
      <c r="EX272" s="711"/>
      <c r="EY272" s="711"/>
      <c r="EZ272" s="711"/>
      <c r="FA272" s="711"/>
      <c r="FB272" s="711"/>
    </row>
    <row r="273" spans="1:158" hidden="1" outlineLevel="1">
      <c r="A273" s="709"/>
      <c r="B273" s="681"/>
      <c r="C273" s="547"/>
      <c r="D273" s="547"/>
      <c r="E273" s="547"/>
      <c r="F273" s="547"/>
      <c r="G273" s="473"/>
      <c r="H273" s="547"/>
      <c r="I273" s="547"/>
      <c r="J273" s="547"/>
      <c r="K273" s="547"/>
      <c r="L273" s="547"/>
      <c r="M273" s="547"/>
      <c r="N273" s="547"/>
      <c r="O273" s="547"/>
      <c r="P273" s="547"/>
      <c r="Q273" s="547"/>
      <c r="R273" s="547"/>
      <c r="S273" s="547"/>
      <c r="T273" s="547"/>
      <c r="U273" s="682"/>
      <c r="V273" s="682"/>
      <c r="W273" s="682"/>
      <c r="X273" s="682"/>
      <c r="Y273" s="682"/>
      <c r="Z273" s="547"/>
      <c r="AA273" s="682"/>
      <c r="AB273" s="682"/>
      <c r="AC273" s="682"/>
      <c r="AD273" s="682"/>
      <c r="AE273" s="682"/>
      <c r="AF273" s="547"/>
      <c r="AG273" s="682"/>
      <c r="AH273" s="682"/>
      <c r="AI273" s="682"/>
      <c r="AJ273" s="682"/>
      <c r="AK273" s="682"/>
      <c r="AL273" s="547"/>
      <c r="AM273" s="682"/>
      <c r="AN273" s="682"/>
      <c r="AO273" s="682"/>
      <c r="AP273" s="682"/>
      <c r="AQ273" s="682"/>
      <c r="AR273" s="547"/>
      <c r="AS273" s="682"/>
      <c r="AT273" s="682"/>
      <c r="AU273" s="682"/>
      <c r="AV273" s="682"/>
      <c r="AW273" s="682"/>
      <c r="AX273" s="547"/>
      <c r="AY273" s="682"/>
      <c r="AZ273" s="682"/>
      <c r="BA273" s="682"/>
      <c r="BB273" s="682"/>
      <c r="BC273" s="682"/>
      <c r="BD273" s="547"/>
      <c r="BE273" s="682"/>
      <c r="BF273" s="682"/>
      <c r="BG273" s="682"/>
      <c r="BH273" s="682"/>
      <c r="BI273" s="682"/>
      <c r="BJ273" s="547"/>
      <c r="BK273" s="682"/>
      <c r="BL273" s="682"/>
      <c r="BM273" s="682"/>
      <c r="BN273" s="682"/>
      <c r="BO273" s="682"/>
      <c r="BP273" s="547"/>
      <c r="BQ273" s="682"/>
      <c r="BR273" s="682"/>
      <c r="BS273" s="682"/>
      <c r="BT273" s="682"/>
      <c r="BU273" s="682"/>
      <c r="BV273" s="547"/>
      <c r="BW273" s="682"/>
      <c r="BX273" s="682"/>
      <c r="BY273" s="682"/>
      <c r="BZ273" s="682"/>
      <c r="CA273" s="682"/>
      <c r="CB273" s="547"/>
      <c r="CC273" s="682"/>
      <c r="CD273" s="682"/>
      <c r="CE273" s="682"/>
      <c r="CF273" s="682"/>
      <c r="CG273" s="682"/>
      <c r="CH273" s="547"/>
      <c r="CI273" s="682"/>
      <c r="CJ273" s="682"/>
      <c r="CK273" s="682"/>
      <c r="CL273" s="682"/>
      <c r="CM273" s="682"/>
      <c r="CN273" s="547"/>
      <c r="CO273" s="682"/>
      <c r="CP273" s="682"/>
      <c r="CQ273" s="682"/>
      <c r="CR273" s="682"/>
      <c r="CS273" s="682"/>
      <c r="CT273" s="547"/>
      <c r="CU273" s="682"/>
      <c r="CV273" s="682"/>
      <c r="CW273" s="682"/>
      <c r="CX273" s="682"/>
      <c r="CY273" s="682"/>
      <c r="CZ273" s="547"/>
      <c r="DA273" s="682"/>
      <c r="DB273" s="682"/>
      <c r="DC273" s="682"/>
      <c r="DD273" s="682"/>
      <c r="DE273" s="682"/>
      <c r="DF273" s="547"/>
      <c r="DG273" s="682"/>
      <c r="DH273" s="682"/>
      <c r="DI273" s="682"/>
      <c r="DJ273" s="682"/>
      <c r="DK273" s="682"/>
      <c r="DL273" s="547"/>
      <c r="DM273" s="682"/>
      <c r="DN273" s="682"/>
      <c r="DO273" s="682"/>
      <c r="DP273" s="682"/>
      <c r="DQ273" s="682"/>
      <c r="DR273" s="547"/>
      <c r="DS273" s="682"/>
      <c r="DT273" s="682"/>
      <c r="DU273" s="682"/>
      <c r="DV273" s="682"/>
      <c r="DW273" s="682"/>
      <c r="DX273" s="547"/>
      <c r="DY273" s="682"/>
      <c r="DZ273" s="682"/>
      <c r="EA273" s="682"/>
      <c r="EB273" s="682"/>
      <c r="EC273" s="682"/>
      <c r="ED273" s="547"/>
      <c r="EE273" s="682"/>
      <c r="EF273" s="682"/>
      <c r="EG273" s="682"/>
      <c r="EH273" s="682"/>
      <c r="EI273" s="682"/>
      <c r="EJ273" s="547"/>
      <c r="EK273" s="682"/>
      <c r="EL273" s="682"/>
      <c r="EM273" s="682"/>
      <c r="EN273" s="682"/>
      <c r="EO273" s="682"/>
      <c r="EP273" s="547"/>
      <c r="EQ273" s="682"/>
      <c r="ER273" s="682"/>
      <c r="ES273" s="682"/>
      <c r="ET273" s="682"/>
      <c r="EU273" s="682"/>
      <c r="EV273" s="547"/>
      <c r="EW273" s="547"/>
      <c r="EX273" s="547"/>
      <c r="EY273" s="547"/>
      <c r="EZ273" s="547"/>
      <c r="FA273" s="547"/>
      <c r="FB273" s="547"/>
    </row>
    <row r="274" spans="1:158" hidden="1" outlineLevel="1">
      <c r="A274" s="709" t="s">
        <v>4747</v>
      </c>
      <c r="B274" s="681"/>
      <c r="C274" s="547"/>
      <c r="D274" s="547"/>
      <c r="E274" s="547"/>
      <c r="F274" s="547"/>
      <c r="G274" s="473"/>
      <c r="H274" s="547"/>
      <c r="I274" s="547"/>
      <c r="J274" s="547"/>
      <c r="K274" s="547"/>
      <c r="L274" s="547"/>
      <c r="M274" s="547"/>
      <c r="N274" s="547"/>
      <c r="O274" s="547"/>
      <c r="P274" s="547"/>
      <c r="Q274" s="547"/>
      <c r="R274" s="547"/>
      <c r="S274" s="547"/>
      <c r="T274" s="547"/>
      <c r="U274" s="682"/>
      <c r="V274" s="682"/>
      <c r="W274" s="682"/>
      <c r="X274" s="682"/>
      <c r="Y274" s="682"/>
      <c r="Z274" s="547"/>
      <c r="AA274" s="682"/>
      <c r="AB274" s="682"/>
      <c r="AC274" s="682"/>
      <c r="AD274" s="682"/>
      <c r="AE274" s="682"/>
      <c r="AF274" s="547"/>
      <c r="AG274" s="682"/>
      <c r="AH274" s="682"/>
      <c r="AI274" s="682"/>
      <c r="AJ274" s="682"/>
      <c r="AK274" s="682"/>
      <c r="AL274" s="547"/>
      <c r="AM274" s="682"/>
      <c r="AN274" s="682"/>
      <c r="AO274" s="682"/>
      <c r="AP274" s="682"/>
      <c r="AQ274" s="682"/>
      <c r="AR274" s="547"/>
      <c r="AS274" s="682"/>
      <c r="AT274" s="682"/>
      <c r="AU274" s="682"/>
      <c r="AV274" s="682"/>
      <c r="AW274" s="682"/>
      <c r="AX274" s="547"/>
      <c r="AY274" s="682"/>
      <c r="AZ274" s="682"/>
      <c r="BA274" s="682"/>
      <c r="BB274" s="682"/>
      <c r="BC274" s="682">
        <f>S228</f>
        <v>46.944800000000001</v>
      </c>
      <c r="BD274" s="547"/>
      <c r="BE274" s="682"/>
      <c r="BF274" s="682"/>
      <c r="BG274" s="682"/>
      <c r="BH274" s="682"/>
      <c r="BI274" s="682">
        <f>Y228</f>
        <v>135.23840000000001</v>
      </c>
      <c r="BJ274" s="547"/>
      <c r="BK274" s="682"/>
      <c r="BL274" s="682"/>
      <c r="BM274" s="682"/>
      <c r="BN274" s="682"/>
      <c r="BO274" s="682">
        <f>AE228</f>
        <v>77.962500000000006</v>
      </c>
      <c r="BP274" s="547"/>
      <c r="BQ274" s="682"/>
      <c r="BR274" s="682"/>
      <c r="BS274" s="682"/>
      <c r="BT274" s="682"/>
      <c r="BU274" s="682">
        <f>AK228</f>
        <v>77.905320000000003</v>
      </c>
      <c r="BV274" s="547"/>
      <c r="BW274" s="682"/>
      <c r="BX274" s="682"/>
      <c r="BY274" s="682"/>
      <c r="BZ274" s="682"/>
      <c r="CA274" s="682">
        <f>AQ228</f>
        <v>59.51802</v>
      </c>
      <c r="CB274" s="547"/>
      <c r="CC274" s="682"/>
      <c r="CD274" s="682"/>
      <c r="CE274" s="682"/>
      <c r="CF274" s="682"/>
      <c r="CG274" s="682">
        <f>AW228</f>
        <v>52.132200000000005</v>
      </c>
      <c r="CH274" s="547"/>
      <c r="CI274" s="682"/>
      <c r="CJ274" s="682"/>
      <c r="CK274" s="682"/>
      <c r="CL274" s="682"/>
      <c r="CM274" s="682">
        <f>BC228</f>
        <v>90.954997031227364</v>
      </c>
      <c r="CN274" s="547"/>
      <c r="CO274" s="682"/>
      <c r="CP274" s="682"/>
      <c r="CQ274" s="682"/>
      <c r="CR274" s="682"/>
      <c r="CS274" s="682">
        <f>BI228</f>
        <v>90.902673687721617</v>
      </c>
      <c r="CT274" s="547"/>
      <c r="CU274" s="682"/>
      <c r="CV274" s="682"/>
      <c r="CW274" s="682"/>
      <c r="CX274" s="682"/>
      <c r="CY274" s="682">
        <f>BO228</f>
        <v>145.01472504709483</v>
      </c>
      <c r="CZ274" s="547"/>
      <c r="DA274" s="682"/>
      <c r="DB274" s="682"/>
      <c r="DC274" s="682"/>
      <c r="DD274" s="682"/>
      <c r="DE274" s="682">
        <f>BU228</f>
        <v>0</v>
      </c>
      <c r="DF274" s="547"/>
      <c r="DG274" s="682"/>
      <c r="DH274" s="682"/>
      <c r="DI274" s="682"/>
      <c r="DJ274" s="682"/>
      <c r="DK274" s="682">
        <f>CA228</f>
        <v>221.49878804276639</v>
      </c>
      <c r="DL274" s="547"/>
      <c r="DM274" s="682"/>
      <c r="DN274" s="682"/>
      <c r="DO274" s="682"/>
      <c r="DP274" s="682"/>
      <c r="DQ274" s="682">
        <f>CG228</f>
        <v>221.56256968065696</v>
      </c>
      <c r="DR274" s="547"/>
      <c r="DS274" s="682"/>
      <c r="DT274" s="682"/>
      <c r="DU274" s="682"/>
      <c r="DV274" s="682"/>
      <c r="DW274" s="682">
        <f>CM228</f>
        <v>159.82211999541252</v>
      </c>
      <c r="DX274" s="547"/>
      <c r="DY274" s="682"/>
      <c r="DZ274" s="682"/>
      <c r="EA274" s="682"/>
      <c r="EB274" s="682"/>
      <c r="EC274" s="682">
        <f>CS228</f>
        <v>174.03132604846908</v>
      </c>
      <c r="ED274" s="547"/>
      <c r="EE274" s="682"/>
      <c r="EF274" s="682"/>
      <c r="EG274" s="682"/>
      <c r="EH274" s="682"/>
      <c r="EI274" s="682">
        <f>CY228</f>
        <v>192.34188599585087</v>
      </c>
      <c r="EJ274" s="547"/>
      <c r="EK274" s="682"/>
      <c r="EL274" s="682"/>
      <c r="EM274" s="682"/>
      <c r="EN274" s="682"/>
      <c r="EO274" s="682">
        <f>DE228</f>
        <v>212.5790064066004</v>
      </c>
      <c r="EP274" s="547"/>
      <c r="EQ274" s="682"/>
      <c r="ER274" s="682"/>
      <c r="ES274" s="682"/>
      <c r="ET274" s="682"/>
      <c r="EU274" s="682">
        <f>DK228</f>
        <v>234.94511322082613</v>
      </c>
      <c r="EV274" s="547"/>
      <c r="EW274" s="547"/>
      <c r="EX274" s="547"/>
      <c r="EY274" s="547"/>
      <c r="EZ274" s="547"/>
      <c r="FA274" s="547"/>
      <c r="FB274" s="547"/>
    </row>
    <row r="275" spans="1:158" hidden="1" outlineLevel="1">
      <c r="A275" s="709" t="s">
        <v>4746</v>
      </c>
      <c r="B275" s="681"/>
      <c r="C275" s="547"/>
      <c r="D275" s="547"/>
      <c r="E275" s="547"/>
      <c r="F275" s="547"/>
      <c r="G275" s="473"/>
      <c r="H275" s="547"/>
      <c r="I275" s="547"/>
      <c r="J275" s="547"/>
      <c r="K275" s="547"/>
      <c r="L275" s="547"/>
      <c r="M275" s="547"/>
      <c r="N275" s="547"/>
      <c r="O275" s="547"/>
      <c r="P275" s="547"/>
      <c r="Q275" s="547"/>
      <c r="R275" s="547"/>
      <c r="S275" s="547"/>
      <c r="T275" s="547"/>
      <c r="U275" s="682"/>
      <c r="V275" s="682"/>
      <c r="W275" s="682"/>
      <c r="X275" s="682"/>
      <c r="Y275" s="682"/>
      <c r="Z275" s="547"/>
      <c r="AA275" s="682"/>
      <c r="AB275" s="682"/>
      <c r="AC275" s="682"/>
      <c r="AD275" s="682"/>
      <c r="AE275" s="682"/>
      <c r="AF275" s="547"/>
      <c r="AG275" s="682"/>
      <c r="AH275" s="682"/>
      <c r="AI275" s="682"/>
      <c r="AJ275" s="682"/>
      <c r="AK275" s="682"/>
      <c r="AL275" s="547"/>
      <c r="AM275" s="682"/>
      <c r="AN275" s="682"/>
      <c r="AO275" s="682"/>
      <c r="AP275" s="682"/>
      <c r="AQ275" s="682"/>
      <c r="AR275" s="547"/>
      <c r="AS275" s="682"/>
      <c r="AT275" s="682"/>
      <c r="AU275" s="682"/>
      <c r="AV275" s="682"/>
      <c r="AW275" s="473"/>
      <c r="AX275" s="547"/>
      <c r="AY275" s="682"/>
      <c r="AZ275" s="682"/>
      <c r="BA275" s="682"/>
      <c r="BB275" s="682"/>
      <c r="BC275" s="473">
        <f>S214</f>
        <v>5103.7663335895468</v>
      </c>
      <c r="BD275" s="547"/>
      <c r="BE275" s="682"/>
      <c r="BF275" s="682"/>
      <c r="BG275" s="682"/>
      <c r="BH275" s="682"/>
      <c r="BI275" s="473">
        <f>Y214</f>
        <v>7915.3439153439149</v>
      </c>
      <c r="BJ275" s="547"/>
      <c r="BK275" s="682"/>
      <c r="BL275" s="682"/>
      <c r="BM275" s="682"/>
      <c r="BN275" s="682"/>
      <c r="BO275" s="473">
        <f>AE214</f>
        <v>5114.8105625717562</v>
      </c>
      <c r="BP275" s="547"/>
      <c r="BQ275" s="682"/>
      <c r="BR275" s="682"/>
      <c r="BS275" s="682"/>
      <c r="BT275" s="682"/>
      <c r="BU275" s="473">
        <f>AK214</f>
        <v>4785.5183763027981</v>
      </c>
      <c r="BV275" s="547"/>
      <c r="BW275" s="682"/>
      <c r="BX275" s="682"/>
      <c r="BY275" s="682"/>
      <c r="BZ275" s="682"/>
      <c r="CA275" s="473">
        <f>AQ214</f>
        <v>4351.6295025728987</v>
      </c>
      <c r="CB275" s="547"/>
      <c r="CC275" s="682"/>
      <c r="CD275" s="682"/>
      <c r="CE275" s="682"/>
      <c r="CF275" s="682"/>
      <c r="CG275" s="473">
        <f>AW214</f>
        <v>3660.84159994113</v>
      </c>
      <c r="CH275" s="547"/>
      <c r="CI275" s="682"/>
      <c r="CJ275" s="682"/>
      <c r="CK275" s="682"/>
      <c r="CL275" s="682"/>
      <c r="CM275" s="473">
        <f>BC214</f>
        <v>3368.5036583130973</v>
      </c>
      <c r="CN275" s="547"/>
      <c r="CO275" s="682"/>
      <c r="CP275" s="682"/>
      <c r="CQ275" s="682"/>
      <c r="CR275" s="682"/>
      <c r="CS275" s="473">
        <f>BI214</f>
        <v>1843.4201219649117</v>
      </c>
      <c r="CT275" s="547"/>
      <c r="CU275" s="682"/>
      <c r="CV275" s="682"/>
      <c r="CW275" s="682"/>
      <c r="CX275" s="682"/>
      <c r="CY275" s="473">
        <f>BO214</f>
        <v>1751.249115866666</v>
      </c>
      <c r="CZ275" s="547"/>
      <c r="DA275" s="682"/>
      <c r="DB275" s="682"/>
      <c r="DC275" s="682"/>
      <c r="DD275" s="682"/>
      <c r="DE275" s="473">
        <f>BU214</f>
        <v>1663.6866600733326</v>
      </c>
      <c r="DF275" s="547"/>
      <c r="DG275" s="682"/>
      <c r="DH275" s="682"/>
      <c r="DI275" s="682"/>
      <c r="DJ275" s="682"/>
      <c r="DK275" s="473">
        <f>CA214</f>
        <v>1580.5023270696659</v>
      </c>
      <c r="DL275" s="547"/>
      <c r="DM275" s="682"/>
      <c r="DN275" s="682"/>
      <c r="DO275" s="682"/>
      <c r="DP275" s="682"/>
      <c r="DQ275" s="473">
        <f>CG214</f>
        <v>1501.4772107161825</v>
      </c>
      <c r="DR275" s="547"/>
      <c r="DS275" s="682"/>
      <c r="DT275" s="682"/>
      <c r="DU275" s="682"/>
      <c r="DV275" s="682"/>
      <c r="DW275" s="473">
        <f>CM214</f>
        <v>1426.4033501803733</v>
      </c>
      <c r="DX275" s="547"/>
      <c r="DY275" s="682"/>
      <c r="DZ275" s="682"/>
      <c r="EA275" s="682"/>
      <c r="EB275" s="682"/>
      <c r="EC275" s="473">
        <f>CS214</f>
        <v>1355.0831826713545</v>
      </c>
      <c r="ED275" s="547"/>
      <c r="EE275" s="682"/>
      <c r="EF275" s="682"/>
      <c r="EG275" s="682"/>
      <c r="EH275" s="682"/>
      <c r="EI275" s="473">
        <f>CY214</f>
        <v>1287.3290235377867</v>
      </c>
      <c r="EJ275" s="547"/>
      <c r="EK275" s="682"/>
      <c r="EL275" s="682"/>
      <c r="EM275" s="682"/>
      <c r="EN275" s="682"/>
      <c r="EO275" s="473">
        <f>DE214</f>
        <v>1222.9625723608974</v>
      </c>
      <c r="EP275" s="547"/>
      <c r="EQ275" s="682"/>
      <c r="ER275" s="682"/>
      <c r="ES275" s="682"/>
      <c r="ET275" s="682"/>
      <c r="EU275" s="473">
        <f>DK214</f>
        <v>1161.8144437428525</v>
      </c>
      <c r="EV275" s="547"/>
      <c r="EW275" s="547"/>
      <c r="EX275" s="547"/>
      <c r="EY275" s="547"/>
      <c r="EZ275" s="547"/>
      <c r="FA275" s="547"/>
      <c r="FB275" s="547"/>
    </row>
    <row r="276" spans="1:158" hidden="1" outlineLevel="1">
      <c r="A276" s="709" t="s">
        <v>4748</v>
      </c>
      <c r="B276" s="681"/>
      <c r="C276" s="547"/>
      <c r="D276" s="547"/>
      <c r="E276" s="547"/>
      <c r="F276" s="547"/>
      <c r="G276" s="473"/>
      <c r="H276" s="547"/>
      <c r="I276" s="547"/>
      <c r="J276" s="547"/>
      <c r="K276" s="547"/>
      <c r="L276" s="547"/>
      <c r="M276" s="547"/>
      <c r="N276" s="547"/>
      <c r="O276" s="547"/>
      <c r="P276" s="547"/>
      <c r="Q276" s="547"/>
      <c r="R276" s="547"/>
      <c r="S276" s="547"/>
      <c r="T276" s="547"/>
      <c r="U276" s="682"/>
      <c r="V276" s="682"/>
      <c r="W276" s="682"/>
      <c r="X276" s="682"/>
      <c r="Y276" s="682"/>
      <c r="Z276" s="547"/>
      <c r="AA276" s="682"/>
      <c r="AB276" s="682"/>
      <c r="AC276" s="682"/>
      <c r="AD276" s="682"/>
      <c r="AE276" s="682"/>
      <c r="AF276" s="547"/>
      <c r="AG276" s="682"/>
      <c r="AH276" s="682"/>
      <c r="AI276" s="682"/>
      <c r="AJ276" s="682"/>
      <c r="AK276" s="682"/>
      <c r="AL276" s="547"/>
      <c r="AM276" s="682"/>
      <c r="AN276" s="682"/>
      <c r="AO276" s="682"/>
      <c r="AP276" s="682"/>
      <c r="AQ276" s="682"/>
      <c r="AR276" s="547"/>
      <c r="AS276" s="682"/>
      <c r="AT276" s="682"/>
      <c r="AU276" s="682"/>
      <c r="AV276" s="682"/>
      <c r="AW276" s="682"/>
      <c r="AX276" s="547"/>
      <c r="AY276" s="682"/>
      <c r="AZ276" s="682"/>
      <c r="BA276" s="682"/>
      <c r="BB276" s="682"/>
      <c r="BC276" s="682">
        <f>S285</f>
        <v>9.1225000000000005</v>
      </c>
      <c r="BD276" s="547"/>
      <c r="BE276" s="682"/>
      <c r="BF276" s="682"/>
      <c r="BG276" s="682"/>
      <c r="BH276" s="682"/>
      <c r="BI276" s="682">
        <f>Y285</f>
        <v>8.0675000000000008</v>
      </c>
      <c r="BJ276" s="547"/>
      <c r="BK276" s="682"/>
      <c r="BL276" s="682"/>
      <c r="BM276" s="682"/>
      <c r="BN276" s="682"/>
      <c r="BO276" s="682">
        <f>AE285</f>
        <v>8</v>
      </c>
      <c r="BP276" s="547"/>
      <c r="BQ276" s="682"/>
      <c r="BR276" s="682"/>
      <c r="BS276" s="682"/>
      <c r="BT276" s="682"/>
      <c r="BU276" s="682">
        <f>AK285</f>
        <v>8.3849999999999998</v>
      </c>
      <c r="BV276" s="547"/>
      <c r="BW276" s="682"/>
      <c r="BX276" s="682"/>
      <c r="BY276" s="682"/>
      <c r="BZ276" s="682"/>
      <c r="CA276" s="682">
        <f>AQ285</f>
        <v>7.7050000000000001</v>
      </c>
      <c r="CB276" s="547"/>
      <c r="CC276" s="682"/>
      <c r="CD276" s="682"/>
      <c r="CE276" s="682"/>
      <c r="CF276" s="682"/>
      <c r="CG276" s="682">
        <f>AW285</f>
        <v>8.73</v>
      </c>
      <c r="CH276" s="547"/>
      <c r="CI276" s="682"/>
      <c r="CJ276" s="682"/>
      <c r="CK276" s="682"/>
      <c r="CL276" s="682"/>
      <c r="CM276" s="682">
        <f>BC285</f>
        <v>17.52</v>
      </c>
      <c r="CN276" s="547"/>
      <c r="CO276" s="682"/>
      <c r="CP276" s="682"/>
      <c r="CQ276" s="682"/>
      <c r="CR276" s="682"/>
      <c r="CS276" s="682">
        <f>BI285</f>
        <v>32.39</v>
      </c>
      <c r="CT276" s="547"/>
      <c r="CU276" s="682"/>
      <c r="CV276" s="682"/>
      <c r="CW276" s="682"/>
      <c r="CX276" s="682"/>
      <c r="CY276" s="682">
        <f>BO285</f>
        <v>41.032665249502728</v>
      </c>
      <c r="CZ276" s="547"/>
      <c r="DA276" s="682"/>
      <c r="DB276" s="682"/>
      <c r="DC276" s="682"/>
      <c r="DD276" s="682"/>
      <c r="DE276" s="682">
        <f>BU285</f>
        <v>45.874023811921894</v>
      </c>
      <c r="DF276" s="547"/>
      <c r="DG276" s="682"/>
      <c r="DH276" s="682"/>
      <c r="DI276" s="682"/>
      <c r="DJ276" s="682"/>
      <c r="DK276" s="682">
        <f>CA285</f>
        <v>51.286604170132001</v>
      </c>
      <c r="DL276" s="547"/>
      <c r="DM276" s="682"/>
      <c r="DN276" s="682"/>
      <c r="DO276" s="682"/>
      <c r="DP276" s="682"/>
      <c r="DQ276" s="682">
        <f>CG285</f>
        <v>57.33780359202381</v>
      </c>
      <c r="DR276" s="547"/>
      <c r="DS276" s="682"/>
      <c r="DT276" s="682"/>
      <c r="DU276" s="682"/>
      <c r="DV276" s="682"/>
      <c r="DW276" s="682">
        <f>CM285</f>
        <v>64.102971408509163</v>
      </c>
      <c r="DX276" s="547"/>
      <c r="DY276" s="682"/>
      <c r="DZ276" s="682"/>
      <c r="EA276" s="682"/>
      <c r="EB276" s="682"/>
      <c r="EC276" s="682">
        <f>CS285</f>
        <v>71.666347260845697</v>
      </c>
      <c r="ED276" s="547"/>
      <c r="EE276" s="682"/>
      <c r="EF276" s="682"/>
      <c r="EG276" s="682"/>
      <c r="EH276" s="682"/>
      <c r="EI276" s="682">
        <f>CY285</f>
        <v>80.122110049805784</v>
      </c>
      <c r="EJ276" s="547"/>
      <c r="EK276" s="682"/>
      <c r="EL276" s="682"/>
      <c r="EM276" s="682"/>
      <c r="EN276" s="682"/>
      <c r="EO276" s="682">
        <f>DE285</f>
        <v>89.575550648169511</v>
      </c>
      <c r="EP276" s="547"/>
      <c r="EQ276" s="682"/>
      <c r="ER276" s="682"/>
      <c r="ES276" s="682"/>
      <c r="ET276" s="682"/>
      <c r="EU276" s="682">
        <f>DK285</f>
        <v>100.14438297911791</v>
      </c>
      <c r="EV276" s="547"/>
      <c r="EW276" s="547"/>
      <c r="EX276" s="547"/>
      <c r="EY276" s="547"/>
      <c r="EZ276" s="547"/>
      <c r="FA276" s="547"/>
      <c r="FB276" s="547"/>
    </row>
    <row r="277" spans="1:158" hidden="1" outlineLevel="1">
      <c r="A277" s="709" t="s">
        <v>4749</v>
      </c>
      <c r="B277" s="681"/>
      <c r="C277" s="547"/>
      <c r="D277" s="547"/>
      <c r="E277" s="547"/>
      <c r="F277" s="547"/>
      <c r="G277" s="473"/>
      <c r="H277" s="547"/>
      <c r="I277" s="547"/>
      <c r="J277" s="547"/>
      <c r="K277" s="547"/>
      <c r="L277" s="547"/>
      <c r="M277" s="547"/>
      <c r="N277" s="547"/>
      <c r="O277" s="547"/>
      <c r="P277" s="547"/>
      <c r="Q277" s="547"/>
      <c r="R277" s="547"/>
      <c r="S277" s="547"/>
      <c r="T277" s="547"/>
      <c r="U277" s="682"/>
      <c r="V277" s="682"/>
      <c r="W277" s="682"/>
      <c r="X277" s="682"/>
      <c r="Y277" s="682"/>
      <c r="Z277" s="547"/>
      <c r="AA277" s="682"/>
      <c r="AB277" s="682"/>
      <c r="AC277" s="682"/>
      <c r="AD277" s="682"/>
      <c r="AE277" s="682"/>
      <c r="AF277" s="547"/>
      <c r="AG277" s="682"/>
      <c r="AH277" s="682"/>
      <c r="AI277" s="682"/>
      <c r="AJ277" s="682"/>
      <c r="AK277" s="682"/>
      <c r="AL277" s="547"/>
      <c r="AM277" s="682"/>
      <c r="AN277" s="682"/>
      <c r="AO277" s="682"/>
      <c r="AP277" s="682"/>
      <c r="AQ277" s="682"/>
      <c r="AR277" s="547"/>
      <c r="AS277" s="682"/>
      <c r="AT277" s="682"/>
      <c r="AU277" s="682"/>
      <c r="AV277" s="682"/>
      <c r="AW277" s="682"/>
      <c r="AX277" s="547"/>
      <c r="AY277" s="682"/>
      <c r="AZ277" s="682"/>
      <c r="BA277" s="682"/>
      <c r="BB277" s="682"/>
      <c r="BC277" s="682">
        <f>BC285</f>
        <v>17.52</v>
      </c>
      <c r="BD277" s="547"/>
      <c r="BE277" s="682"/>
      <c r="BF277" s="682"/>
      <c r="BG277" s="682"/>
      <c r="BH277" s="682"/>
      <c r="BI277" s="682">
        <f>BI285</f>
        <v>32.39</v>
      </c>
      <c r="BJ277" s="547"/>
      <c r="BK277" s="682"/>
      <c r="BL277" s="682"/>
      <c r="BM277" s="682"/>
      <c r="BN277" s="682"/>
      <c r="BO277" s="682">
        <f>BO285</f>
        <v>41.032665249502728</v>
      </c>
      <c r="BP277" s="547"/>
      <c r="BQ277" s="682"/>
      <c r="BR277" s="682"/>
      <c r="BS277" s="682"/>
      <c r="BT277" s="682"/>
      <c r="BU277" s="682">
        <f>BU285</f>
        <v>45.874023811921894</v>
      </c>
      <c r="BV277" s="547"/>
      <c r="BW277" s="682"/>
      <c r="BX277" s="682"/>
      <c r="BY277" s="682"/>
      <c r="BZ277" s="682"/>
      <c r="CA277" s="682">
        <f>CA285</f>
        <v>51.286604170132001</v>
      </c>
      <c r="CB277" s="547"/>
      <c r="CC277" s="682"/>
      <c r="CD277" s="682"/>
      <c r="CE277" s="682"/>
      <c r="CF277" s="682"/>
      <c r="CG277" s="682">
        <f>CG285</f>
        <v>57.33780359202381</v>
      </c>
      <c r="CH277" s="547"/>
      <c r="CI277" s="682"/>
      <c r="CJ277" s="682"/>
      <c r="CK277" s="682"/>
      <c r="CL277" s="682"/>
      <c r="CM277" s="682">
        <f>CM285</f>
        <v>64.102971408509163</v>
      </c>
      <c r="CN277" s="547"/>
      <c r="CO277" s="682"/>
      <c r="CP277" s="682"/>
      <c r="CQ277" s="682"/>
      <c r="CR277" s="682"/>
      <c r="CS277" s="682">
        <f>CS285</f>
        <v>71.666347260845697</v>
      </c>
      <c r="CT277" s="547"/>
      <c r="CU277" s="682"/>
      <c r="CV277" s="682"/>
      <c r="CW277" s="682"/>
      <c r="CX277" s="682"/>
      <c r="CY277" s="682">
        <f>CY285</f>
        <v>80.122110049805784</v>
      </c>
      <c r="CZ277" s="547"/>
      <c r="DA277" s="682"/>
      <c r="DB277" s="682"/>
      <c r="DC277" s="682"/>
      <c r="DD277" s="682"/>
      <c r="DE277" s="682">
        <f>DE285</f>
        <v>89.575550648169511</v>
      </c>
      <c r="DF277" s="547"/>
      <c r="DG277" s="682"/>
      <c r="DH277" s="682"/>
      <c r="DI277" s="682"/>
      <c r="DJ277" s="682"/>
      <c r="DK277" s="682">
        <f>DK285</f>
        <v>100.14438297911791</v>
      </c>
      <c r="DL277" s="547"/>
      <c r="DM277" s="682"/>
      <c r="DN277" s="682"/>
      <c r="DO277" s="682"/>
      <c r="DP277" s="682"/>
      <c r="DQ277" s="682">
        <f>DQ285</f>
        <v>111.9602097860303</v>
      </c>
      <c r="DR277" s="547"/>
      <c r="DS277" s="682"/>
      <c r="DT277" s="682"/>
      <c r="DU277" s="682"/>
      <c r="DV277" s="682"/>
      <c r="DW277" s="682">
        <f>DW285</f>
        <v>125.17016134540198</v>
      </c>
      <c r="DX277" s="547"/>
      <c r="DY277" s="682"/>
      <c r="DZ277" s="682"/>
      <c r="EA277" s="682"/>
      <c r="EB277" s="682"/>
      <c r="EC277" s="682">
        <f>EC285</f>
        <v>139.93872752807994</v>
      </c>
      <c r="ED277" s="547"/>
      <c r="EE277" s="682"/>
      <c r="EF277" s="682"/>
      <c r="EG277" s="682"/>
      <c r="EH277" s="682"/>
      <c r="EI277" s="682">
        <f>EI285</f>
        <v>156.44980602158145</v>
      </c>
      <c r="EJ277" s="547"/>
      <c r="EK277" s="682"/>
      <c r="EL277" s="682"/>
      <c r="EM277" s="682"/>
      <c r="EN277" s="682"/>
      <c r="EO277" s="682">
        <f>EO285</f>
        <v>174.90899221789073</v>
      </c>
      <c r="EP277" s="547"/>
      <c r="EQ277" s="682"/>
      <c r="ER277" s="682"/>
      <c r="ES277" s="682"/>
      <c r="ET277" s="682"/>
      <c r="EU277" s="682">
        <f>EU285</f>
        <v>195.54613928033885</v>
      </c>
      <c r="EV277" s="547"/>
      <c r="EW277" s="547"/>
      <c r="EX277" s="547"/>
      <c r="EY277" s="547"/>
      <c r="EZ277" s="547"/>
      <c r="FA277" s="547"/>
      <c r="FB277" s="547"/>
    </row>
    <row r="278" spans="1:158" hidden="1" outlineLevel="1">
      <c r="A278" s="709" t="s">
        <v>4750</v>
      </c>
      <c r="B278" s="681"/>
      <c r="C278" s="547"/>
      <c r="D278" s="547"/>
      <c r="E278" s="547"/>
      <c r="F278" s="547"/>
      <c r="G278" s="473"/>
      <c r="H278" s="547"/>
      <c r="I278" s="547"/>
      <c r="J278" s="547"/>
      <c r="K278" s="547"/>
      <c r="L278" s="547"/>
      <c r="M278" s="547"/>
      <c r="N278" s="547"/>
      <c r="O278" s="547"/>
      <c r="P278" s="547"/>
      <c r="Q278" s="547"/>
      <c r="R278" s="547"/>
      <c r="S278" s="547"/>
      <c r="T278" s="547"/>
      <c r="U278" s="682"/>
      <c r="V278" s="682"/>
      <c r="W278" s="682"/>
      <c r="X278" s="682"/>
      <c r="Y278" s="682"/>
      <c r="Z278" s="547"/>
      <c r="AA278" s="682"/>
      <c r="AB278" s="682"/>
      <c r="AC278" s="682"/>
      <c r="AD278" s="682"/>
      <c r="AE278" s="682"/>
      <c r="AF278" s="547"/>
      <c r="AG278" s="682"/>
      <c r="AH278" s="682"/>
      <c r="AI278" s="682"/>
      <c r="AJ278" s="682"/>
      <c r="AK278" s="682"/>
      <c r="AL278" s="547"/>
      <c r="AM278" s="682"/>
      <c r="AN278" s="682"/>
      <c r="AO278" s="682"/>
      <c r="AP278" s="682"/>
      <c r="AQ278" s="682"/>
      <c r="AR278" s="547"/>
      <c r="AS278" s="682"/>
      <c r="AT278" s="682"/>
      <c r="AU278" s="682"/>
      <c r="AV278" s="682"/>
      <c r="AW278" s="682"/>
      <c r="AX278" s="547"/>
      <c r="AY278" s="682"/>
      <c r="AZ278" s="682"/>
      <c r="BA278" s="682"/>
      <c r="BB278" s="682"/>
      <c r="BC278" s="682">
        <f>((BC277-BC276)*BC275)/1000</f>
        <v>42.85887778631821</v>
      </c>
      <c r="BD278" s="547"/>
      <c r="BE278" s="682"/>
      <c r="BF278" s="682"/>
      <c r="BG278" s="682"/>
      <c r="BH278" s="682"/>
      <c r="BI278" s="682">
        <f>((BI277-BI276)*BI275)/1000</f>
        <v>192.52095238095237</v>
      </c>
      <c r="BJ278" s="547"/>
      <c r="BK278" s="682"/>
      <c r="BL278" s="682"/>
      <c r="BM278" s="682"/>
      <c r="BN278" s="682"/>
      <c r="BO278" s="682">
        <f>((BO277-BO276)*BO275)/1000</f>
        <v>168.95582512805356</v>
      </c>
      <c r="BP278" s="547"/>
      <c r="BQ278" s="682"/>
      <c r="BR278" s="682"/>
      <c r="BS278" s="682"/>
      <c r="BT278" s="682"/>
      <c r="BU278" s="682">
        <f>((BU277-BU276)*BU275)/1000</f>
        <v>179.40441236160541</v>
      </c>
      <c r="BV278" s="547"/>
      <c r="BW278" s="682"/>
      <c r="BX278" s="682"/>
      <c r="BY278" s="682"/>
      <c r="BZ278" s="682"/>
      <c r="CA278" s="682">
        <f>((CA277-CA276)*CA275)/1000</f>
        <v>189.65099447620048</v>
      </c>
      <c r="CB278" s="547"/>
      <c r="CC278" s="682"/>
      <c r="CD278" s="682"/>
      <c r="CE278" s="682"/>
      <c r="CF278" s="682"/>
      <c r="CG278" s="682">
        <f>((CG277-CG276)*CG275)/1000</f>
        <v>177.94546947144866</v>
      </c>
      <c r="CH278" s="547"/>
      <c r="CI278" s="682"/>
      <c r="CJ278" s="682"/>
      <c r="CK278" s="682"/>
      <c r="CL278" s="682"/>
      <c r="CM278" s="682">
        <f>((CM277-CM276)*CM275)/1000</f>
        <v>156.91490960465754</v>
      </c>
      <c r="CN278" s="547"/>
      <c r="CO278" s="682"/>
      <c r="CP278" s="682"/>
      <c r="CQ278" s="682"/>
      <c r="CR278" s="682"/>
      <c r="CS278" s="682">
        <f>((CS277-CS276)*CS275)/1000</f>
        <v>72.402808857924398</v>
      </c>
      <c r="CT278" s="547"/>
      <c r="CU278" s="682"/>
      <c r="CV278" s="682"/>
      <c r="CW278" s="682"/>
      <c r="CX278" s="682"/>
      <c r="CY278" s="682">
        <f>((CY277-CY276)*CY275)/1000</f>
        <v>68.455355646249572</v>
      </c>
      <c r="CZ278" s="547"/>
      <c r="DA278" s="682"/>
      <c r="DB278" s="682"/>
      <c r="DC278" s="682"/>
      <c r="DD278" s="682"/>
      <c r="DE278" s="682">
        <f>((DE277-DE276)*DE275)/1000</f>
        <v>72.705647222301906</v>
      </c>
      <c r="DF278" s="547"/>
      <c r="DG278" s="682"/>
      <c r="DH278" s="682"/>
      <c r="DI278" s="682"/>
      <c r="DJ278" s="682"/>
      <c r="DK278" s="682">
        <f>((DK277-DK276)*DK275)/1000</f>
        <v>77.219833103057226</v>
      </c>
      <c r="DL278" s="547"/>
      <c r="DM278" s="682"/>
      <c r="DN278" s="682"/>
      <c r="DO278" s="682"/>
      <c r="DP278" s="682"/>
      <c r="DQ278" s="682">
        <f>((DQ277-DQ276)*DQ275)/1000</f>
        <v>82.0142980947832</v>
      </c>
      <c r="DR278" s="547"/>
      <c r="DS278" s="682"/>
      <c r="DT278" s="682"/>
      <c r="DU278" s="682"/>
      <c r="DV278" s="682"/>
      <c r="DW278" s="682">
        <f>((DW277-DW276)*DW275)/1000</f>
        <v>87.106444312085088</v>
      </c>
      <c r="DX278" s="547"/>
      <c r="DY278" s="682"/>
      <c r="DZ278" s="682"/>
      <c r="EA278" s="682"/>
      <c r="EB278" s="682"/>
      <c r="EC278" s="682">
        <f>((EC277-EC276)*EC275)/1000</f>
        <v>92.514754341072745</v>
      </c>
      <c r="ED278" s="547"/>
      <c r="EE278" s="682"/>
      <c r="EF278" s="682"/>
      <c r="EG278" s="682"/>
      <c r="EH278" s="682"/>
      <c r="EI278" s="682">
        <f>((EI277-EI276)*EI275)/1000</f>
        <v>98.258858324235035</v>
      </c>
      <c r="EJ278" s="547"/>
      <c r="EK278" s="682"/>
      <c r="EL278" s="682"/>
      <c r="EM278" s="682"/>
      <c r="EN278" s="682"/>
      <c r="EO278" s="682">
        <f>((EO277-EO276)*EO275)/1000</f>
        <v>104.35960521051459</v>
      </c>
      <c r="EP278" s="547"/>
      <c r="EQ278" s="682"/>
      <c r="ER278" s="682"/>
      <c r="ES278" s="682"/>
      <c r="ET278" s="682"/>
      <c r="EU278" s="682">
        <f>((EU277-EU276)*EU275)/1000</f>
        <v>110.83913842919418</v>
      </c>
      <c r="EV278" s="547"/>
      <c r="EW278" s="547"/>
      <c r="EX278" s="547"/>
      <c r="EY278" s="547"/>
      <c r="EZ278" s="547"/>
      <c r="FA278" s="547"/>
      <c r="FB278" s="547"/>
    </row>
    <row r="279" spans="1:158" ht="24" hidden="1" outlineLevel="1">
      <c r="A279" s="714" t="s">
        <v>4751</v>
      </c>
      <c r="B279" s="715"/>
      <c r="C279" s="225"/>
      <c r="D279" s="225"/>
      <c r="E279" s="225"/>
      <c r="F279" s="225"/>
      <c r="G279" s="158"/>
      <c r="H279" s="225"/>
      <c r="I279" s="225"/>
      <c r="J279" s="225"/>
      <c r="K279" s="225"/>
      <c r="L279" s="225"/>
      <c r="M279" s="225"/>
      <c r="N279" s="225"/>
      <c r="O279" s="225"/>
      <c r="P279" s="225"/>
      <c r="Q279" s="225"/>
      <c r="R279" s="225"/>
      <c r="S279" s="225"/>
      <c r="T279" s="225"/>
      <c r="U279" s="716"/>
      <c r="V279" s="716"/>
      <c r="W279" s="716"/>
      <c r="X279" s="716"/>
      <c r="Y279" s="716"/>
      <c r="Z279" s="225"/>
      <c r="AA279" s="716"/>
      <c r="AB279" s="716"/>
      <c r="AC279" s="716"/>
      <c r="AD279" s="716"/>
      <c r="AE279" s="716"/>
      <c r="AF279" s="225"/>
      <c r="AG279" s="716"/>
      <c r="AH279" s="716"/>
      <c r="AI279" s="716"/>
      <c r="AJ279" s="716"/>
      <c r="AK279" s="716"/>
      <c r="AL279" s="225"/>
      <c r="AM279" s="716"/>
      <c r="AN279" s="716"/>
      <c r="AO279" s="716"/>
      <c r="AP279" s="716"/>
      <c r="AQ279" s="716"/>
      <c r="AR279" s="225"/>
      <c r="AS279" s="716"/>
      <c r="AT279" s="716"/>
      <c r="AU279" s="716"/>
      <c r="AV279" s="716"/>
      <c r="AW279" s="716"/>
      <c r="AX279" s="225"/>
      <c r="AY279" s="716"/>
      <c r="AZ279" s="716"/>
      <c r="BA279" s="716"/>
      <c r="BB279" s="716"/>
      <c r="BC279" s="716">
        <f>BC278*Model!BC101</f>
        <v>8.7068942273259271</v>
      </c>
      <c r="BD279" s="225"/>
      <c r="BE279" s="716"/>
      <c r="BF279" s="716"/>
      <c r="BG279" s="716"/>
      <c r="BH279" s="716"/>
      <c r="BI279" s="716">
        <f>BI278*Model!BI101</f>
        <v>38.304834460411385</v>
      </c>
      <c r="BJ279" s="225"/>
      <c r="BK279" s="716"/>
      <c r="BL279" s="716"/>
      <c r="BM279" s="716"/>
      <c r="BN279" s="716"/>
      <c r="BO279" s="716">
        <f>BO278*Model!BO101</f>
        <v>37.094319119833784</v>
      </c>
      <c r="BP279" s="225"/>
      <c r="BQ279" s="716"/>
      <c r="BR279" s="716"/>
      <c r="BS279" s="716"/>
      <c r="BT279" s="716"/>
      <c r="BU279" s="716">
        <f>BU278*Model!BU101</f>
        <v>45.736851984466725</v>
      </c>
      <c r="BV279" s="225"/>
      <c r="BW279" s="716"/>
      <c r="BX279" s="716"/>
      <c r="BY279" s="716"/>
      <c r="BZ279" s="716"/>
      <c r="CA279" s="716">
        <f>CA278*Model!CA101</f>
        <v>44.404346064292533</v>
      </c>
      <c r="CB279" s="225"/>
      <c r="CC279" s="716"/>
      <c r="CD279" s="716"/>
      <c r="CE279" s="716"/>
      <c r="CF279" s="716"/>
      <c r="CG279" s="716">
        <f>CG278*Model!CG101</f>
        <v>43.133003885621051</v>
      </c>
      <c r="CH279" s="225"/>
      <c r="CI279" s="716"/>
      <c r="CJ279" s="716"/>
      <c r="CK279" s="716"/>
      <c r="CL279" s="716"/>
      <c r="CM279" s="716">
        <f>CM278*Model!CM101</f>
        <v>40.781414274934839</v>
      </c>
      <c r="CN279" s="225"/>
      <c r="CO279" s="716"/>
      <c r="CP279" s="716"/>
      <c r="CQ279" s="716"/>
      <c r="CR279" s="716"/>
      <c r="CS279" s="716">
        <f>CS278*Model!CS101</f>
        <v>18.117440426257026</v>
      </c>
      <c r="CT279" s="225"/>
      <c r="CU279" s="716"/>
      <c r="CV279" s="716"/>
      <c r="CW279" s="716"/>
      <c r="CX279" s="716"/>
      <c r="CY279" s="716">
        <f>CY278*Model!CY101</f>
        <v>16.751914825819384</v>
      </c>
      <c r="CZ279" s="225"/>
      <c r="DA279" s="716"/>
      <c r="DB279" s="716"/>
      <c r="DC279" s="716"/>
      <c r="DD279" s="716"/>
      <c r="DE279" s="716">
        <f>DE278*Model!DE101</f>
        <v>17.452794307600264</v>
      </c>
      <c r="DF279" s="225"/>
      <c r="DG279" s="716"/>
      <c r="DH279" s="716"/>
      <c r="DI279" s="716"/>
      <c r="DJ279" s="716"/>
      <c r="DK279" s="716">
        <f>DK278*Model!DK101</f>
        <v>20.081353336854832</v>
      </c>
      <c r="DL279" s="225"/>
      <c r="DM279" s="716"/>
      <c r="DN279" s="716"/>
      <c r="DO279" s="716"/>
      <c r="DP279" s="716"/>
      <c r="DQ279" s="716">
        <f>DQ278*Model!DQ101</f>
        <v>19.684716026664887</v>
      </c>
      <c r="DR279" s="225"/>
      <c r="DS279" s="716"/>
      <c r="DT279" s="716"/>
      <c r="DU279" s="716"/>
      <c r="DV279" s="716"/>
      <c r="DW279" s="716">
        <f>DW278*Model!DW101</f>
        <v>22.64833987244506</v>
      </c>
      <c r="DX279" s="225"/>
      <c r="DY279" s="716"/>
      <c r="DZ279" s="716"/>
      <c r="EA279" s="716"/>
      <c r="EB279" s="716"/>
      <c r="EC279" s="716">
        <f>EC278*Model!EC101</f>
        <v>24.078300712290311</v>
      </c>
      <c r="ED279" s="225"/>
      <c r="EE279" s="716"/>
      <c r="EF279" s="716"/>
      <c r="EG279" s="716"/>
      <c r="EH279" s="716"/>
      <c r="EI279" s="716">
        <f>EI278*Model!EI101</f>
        <v>18.669183081604658</v>
      </c>
      <c r="EJ279" s="225"/>
      <c r="EK279" s="716"/>
      <c r="EL279" s="716"/>
      <c r="EM279" s="716"/>
      <c r="EN279" s="716"/>
      <c r="EO279" s="716">
        <f>EO278*Model!EO101</f>
        <v>18.262930911840051</v>
      </c>
      <c r="EP279" s="225"/>
      <c r="EQ279" s="716"/>
      <c r="ER279" s="716"/>
      <c r="ES279" s="716"/>
      <c r="ET279" s="716"/>
      <c r="EU279" s="716">
        <f>EU278*Model!EU101</f>
        <v>19.396849225108976</v>
      </c>
      <c r="EV279" s="225"/>
      <c r="EW279" s="225"/>
      <c r="EX279" s="225"/>
      <c r="EY279" s="225"/>
      <c r="EZ279" s="225"/>
      <c r="FA279" s="225"/>
      <c r="FB279" s="225"/>
    </row>
    <row r="280" spans="1:158" hidden="1" outlineLevel="1">
      <c r="A280" s="717"/>
      <c r="B280" s="711"/>
      <c r="C280" s="711"/>
      <c r="D280" s="711"/>
      <c r="E280" s="711"/>
      <c r="F280" s="711"/>
      <c r="G280" s="712"/>
      <c r="H280" s="711"/>
      <c r="I280" s="711"/>
      <c r="J280" s="711"/>
      <c r="K280" s="711"/>
      <c r="L280" s="711"/>
      <c r="M280" s="711"/>
      <c r="N280" s="711"/>
      <c r="O280" s="711"/>
      <c r="P280" s="711"/>
      <c r="Q280" s="711"/>
      <c r="R280" s="711"/>
      <c r="S280" s="711"/>
      <c r="T280" s="711"/>
      <c r="U280" s="713"/>
      <c r="V280" s="713"/>
      <c r="W280" s="713"/>
      <c r="X280" s="713"/>
      <c r="Y280" s="713"/>
      <c r="Z280" s="711"/>
      <c r="AA280" s="713"/>
      <c r="AB280" s="713"/>
      <c r="AC280" s="713"/>
      <c r="AD280" s="713"/>
      <c r="AE280" s="713"/>
      <c r="AF280" s="711"/>
      <c r="AG280" s="713"/>
      <c r="AH280" s="713"/>
      <c r="AI280" s="713"/>
      <c r="AJ280" s="713"/>
      <c r="AK280" s="713"/>
      <c r="AL280" s="711"/>
      <c r="AM280" s="713"/>
      <c r="AN280" s="713"/>
      <c r="AO280" s="713"/>
      <c r="AP280" s="713"/>
      <c r="AQ280" s="713"/>
      <c r="AR280" s="711"/>
      <c r="AS280" s="713"/>
      <c r="AT280" s="713"/>
      <c r="AU280" s="713"/>
      <c r="AV280" s="713"/>
      <c r="AW280" s="713"/>
      <c r="AX280" s="711"/>
      <c r="AY280" s="713"/>
      <c r="AZ280" s="713"/>
      <c r="BA280" s="713"/>
      <c r="BB280" s="713"/>
      <c r="BC280" s="713">
        <f>CF!BC15</f>
        <v>112.5</v>
      </c>
      <c r="BD280" s="711"/>
      <c r="BE280" s="713"/>
      <c r="BF280" s="713"/>
      <c r="BG280" s="713"/>
      <c r="BH280" s="713"/>
      <c r="BI280" s="713"/>
      <c r="BJ280" s="711"/>
      <c r="BK280" s="713"/>
      <c r="BL280" s="713"/>
      <c r="BM280" s="713"/>
      <c r="BN280" s="713"/>
      <c r="BO280" s="713"/>
      <c r="BP280" s="711"/>
      <c r="BQ280" s="713"/>
      <c r="BR280" s="713"/>
      <c r="BS280" s="713"/>
      <c r="BT280" s="713"/>
      <c r="BU280" s="713"/>
      <c r="BV280" s="711"/>
      <c r="BW280" s="713"/>
      <c r="BX280" s="713"/>
      <c r="BY280" s="713"/>
      <c r="BZ280" s="713"/>
      <c r="CA280" s="713"/>
      <c r="CB280" s="711"/>
      <c r="CC280" s="713"/>
      <c r="CD280" s="713"/>
      <c r="CE280" s="713"/>
      <c r="CF280" s="713"/>
      <c r="CG280" s="713"/>
      <c r="CH280" s="711"/>
      <c r="CI280" s="713"/>
      <c r="CJ280" s="713"/>
      <c r="CK280" s="713"/>
      <c r="CL280" s="713"/>
      <c r="CM280" s="713"/>
      <c r="CN280" s="711"/>
      <c r="CO280" s="713"/>
      <c r="CP280" s="713"/>
      <c r="CQ280" s="713"/>
      <c r="CR280" s="713"/>
      <c r="CS280" s="713"/>
      <c r="CT280" s="711"/>
      <c r="CU280" s="713"/>
      <c r="CV280" s="713"/>
      <c r="CW280" s="713"/>
      <c r="CX280" s="713"/>
      <c r="CY280" s="713"/>
      <c r="CZ280" s="711"/>
      <c r="DA280" s="713"/>
      <c r="DB280" s="713"/>
      <c r="DC280" s="713"/>
      <c r="DD280" s="713"/>
      <c r="DE280" s="713"/>
      <c r="DF280" s="711"/>
      <c r="DG280" s="713"/>
      <c r="DH280" s="713"/>
      <c r="DI280" s="713"/>
      <c r="DJ280" s="713"/>
      <c r="DK280" s="713"/>
      <c r="DL280" s="711"/>
      <c r="DM280" s="713"/>
      <c r="DN280" s="713"/>
      <c r="DO280" s="713"/>
      <c r="DP280" s="713"/>
      <c r="DQ280" s="713"/>
      <c r="DR280" s="711"/>
      <c r="DS280" s="713"/>
      <c r="DT280" s="713"/>
      <c r="DU280" s="713"/>
      <c r="DV280" s="713"/>
      <c r="DW280" s="713"/>
      <c r="DX280" s="711"/>
      <c r="DY280" s="713"/>
      <c r="DZ280" s="713"/>
      <c r="EA280" s="713"/>
      <c r="EB280" s="713"/>
      <c r="EC280" s="713"/>
      <c r="ED280" s="711"/>
      <c r="EE280" s="713"/>
      <c r="EF280" s="713"/>
      <c r="EG280" s="713"/>
      <c r="EH280" s="713"/>
      <c r="EI280" s="713"/>
      <c r="EJ280" s="711"/>
      <c r="EK280" s="713"/>
      <c r="EL280" s="713"/>
      <c r="EM280" s="713"/>
      <c r="EN280" s="713"/>
      <c r="EO280" s="713"/>
      <c r="EP280" s="711"/>
      <c r="EQ280" s="713"/>
      <c r="ER280" s="713"/>
      <c r="ES280" s="713"/>
      <c r="ET280" s="713"/>
      <c r="EU280" s="713"/>
      <c r="EV280" s="711"/>
      <c r="EW280" s="711"/>
      <c r="EX280" s="711"/>
      <c r="EY280" s="711"/>
      <c r="EZ280" s="711"/>
      <c r="FA280" s="711"/>
      <c r="FB280" s="711"/>
    </row>
    <row r="281" spans="1:158" hidden="1" collapsed="1">
      <c r="A281" s="709"/>
      <c r="B281" s="681"/>
      <c r="C281" s="547"/>
      <c r="D281" s="547"/>
      <c r="E281" s="547"/>
      <c r="F281" s="547"/>
      <c r="G281" s="473"/>
      <c r="H281" s="547"/>
      <c r="I281" s="547"/>
      <c r="J281" s="547"/>
      <c r="K281" s="547"/>
      <c r="L281" s="547"/>
      <c r="M281" s="547"/>
      <c r="N281" s="547"/>
      <c r="O281" s="547"/>
      <c r="P281" s="547"/>
      <c r="Q281" s="547"/>
      <c r="R281" s="547"/>
      <c r="S281" s="547"/>
      <c r="T281" s="547"/>
      <c r="U281" s="682"/>
      <c r="V281" s="682"/>
      <c r="W281" s="682"/>
      <c r="X281" s="682"/>
      <c r="Y281" s="682"/>
      <c r="Z281" s="547"/>
      <c r="AA281" s="682"/>
      <c r="AB281" s="682"/>
      <c r="AC281" s="682"/>
      <c r="AD281" s="682"/>
      <c r="AE281" s="682"/>
      <c r="AF281" s="547"/>
      <c r="AG281" s="682"/>
      <c r="AH281" s="682"/>
      <c r="AI281" s="682"/>
      <c r="AJ281" s="682"/>
      <c r="AK281" s="682"/>
      <c r="AL281" s="547"/>
      <c r="AM281" s="682"/>
      <c r="AN281" s="682"/>
      <c r="AO281" s="682"/>
      <c r="AP281" s="682"/>
      <c r="AQ281" s="682"/>
      <c r="AR281" s="547"/>
      <c r="AS281" s="682"/>
      <c r="AT281" s="682"/>
      <c r="AU281" s="682"/>
      <c r="AV281" s="682"/>
      <c r="AW281" s="682"/>
      <c r="AX281" s="547"/>
      <c r="AY281" s="682"/>
      <c r="AZ281" s="682"/>
      <c r="BA281" s="682"/>
      <c r="BB281" s="682"/>
      <c r="BC281" s="682"/>
      <c r="BD281" s="547"/>
      <c r="BE281" s="682"/>
      <c r="BF281" s="682"/>
      <c r="BG281" s="682"/>
      <c r="BH281" s="682"/>
      <c r="BI281" s="682"/>
      <c r="BJ281" s="547"/>
      <c r="BK281" s="682"/>
      <c r="BL281" s="682"/>
      <c r="BM281" s="682"/>
      <c r="BN281" s="682"/>
      <c r="BO281" s="682"/>
      <c r="BP281" s="547"/>
      <c r="BQ281" s="682"/>
      <c r="BR281" s="682"/>
      <c r="BS281" s="682"/>
      <c r="BT281" s="682"/>
      <c r="BU281" s="682"/>
      <c r="BV281" s="547"/>
      <c r="BW281" s="682"/>
      <c r="BX281" s="682"/>
      <c r="BY281" s="682"/>
      <c r="BZ281" s="682"/>
      <c r="CA281" s="682"/>
      <c r="CB281" s="547"/>
      <c r="CC281" s="682"/>
      <c r="CD281" s="682"/>
      <c r="CE281" s="682"/>
      <c r="CF281" s="682"/>
      <c r="CG281" s="682"/>
      <c r="CH281" s="547"/>
      <c r="CI281" s="682"/>
      <c r="CJ281" s="682"/>
      <c r="CK281" s="682"/>
      <c r="CL281" s="682"/>
      <c r="CM281" s="682"/>
      <c r="CN281" s="547"/>
      <c r="CO281" s="682"/>
      <c r="CP281" s="682"/>
      <c r="CQ281" s="682"/>
      <c r="CR281" s="682"/>
      <c r="CS281" s="682"/>
      <c r="CT281" s="547"/>
      <c r="CU281" s="682"/>
      <c r="CV281" s="682"/>
      <c r="CW281" s="682"/>
      <c r="CX281" s="682"/>
      <c r="CY281" s="682"/>
      <c r="CZ281" s="547"/>
      <c r="DA281" s="682"/>
      <c r="DB281" s="682"/>
      <c r="DC281" s="682"/>
      <c r="DD281" s="682"/>
      <c r="DE281" s="682"/>
      <c r="DF281" s="547"/>
      <c r="DG281" s="682"/>
      <c r="DH281" s="682"/>
      <c r="DI281" s="682"/>
      <c r="DJ281" s="682"/>
      <c r="DK281" s="682"/>
      <c r="DL281" s="547"/>
      <c r="DM281" s="682"/>
      <c r="DN281" s="682"/>
      <c r="DO281" s="682"/>
      <c r="DP281" s="682"/>
      <c r="DQ281" s="682"/>
      <c r="DR281" s="547"/>
      <c r="DS281" s="682"/>
      <c r="DT281" s="682"/>
      <c r="DU281" s="682"/>
      <c r="DV281" s="682"/>
      <c r="DW281" s="682"/>
      <c r="DX281" s="547"/>
      <c r="DY281" s="682"/>
      <c r="DZ281" s="682"/>
      <c r="EA281" s="682"/>
      <c r="EB281" s="682"/>
      <c r="EC281" s="682"/>
      <c r="ED281" s="547"/>
      <c r="EE281" s="682"/>
      <c r="EF281" s="682"/>
      <c r="EG281" s="682"/>
      <c r="EH281" s="682"/>
      <c r="EI281" s="682"/>
      <c r="EJ281" s="547"/>
      <c r="EK281" s="682"/>
      <c r="EL281" s="682"/>
      <c r="EM281" s="682"/>
      <c r="EN281" s="682"/>
      <c r="EO281" s="682"/>
      <c r="EP281" s="547"/>
      <c r="EQ281" s="682"/>
      <c r="ER281" s="682"/>
      <c r="ES281" s="682"/>
      <c r="ET281" s="682"/>
      <c r="EU281" s="682"/>
      <c r="EV281" s="547"/>
      <c r="EW281" s="547"/>
      <c r="EX281" s="547"/>
      <c r="EY281" s="547"/>
      <c r="EZ281" s="547"/>
      <c r="FA281" s="547"/>
      <c r="FB281" s="547"/>
    </row>
    <row r="282" spans="1:158" hidden="1">
      <c r="A282" s="709"/>
      <c r="B282" s="681"/>
      <c r="C282" s="547"/>
      <c r="D282" s="547"/>
      <c r="E282" s="547"/>
      <c r="F282" s="547"/>
      <c r="G282" s="473"/>
      <c r="H282" s="547"/>
      <c r="I282" s="547"/>
      <c r="J282" s="547"/>
      <c r="K282" s="547"/>
      <c r="L282" s="547"/>
      <c r="M282" s="547"/>
      <c r="N282" s="547"/>
      <c r="O282" s="547"/>
      <c r="P282" s="547"/>
      <c r="Q282" s="547"/>
      <c r="R282" s="547"/>
      <c r="S282" s="547"/>
      <c r="T282" s="547"/>
      <c r="U282" s="682"/>
      <c r="V282" s="682"/>
      <c r="W282" s="682"/>
      <c r="X282" s="682"/>
      <c r="Y282" s="682"/>
      <c r="Z282" s="547"/>
      <c r="AA282" s="682"/>
      <c r="AB282" s="682"/>
      <c r="AC282" s="682"/>
      <c r="AD282" s="682"/>
      <c r="AE282" s="682"/>
      <c r="AF282" s="547"/>
      <c r="AG282" s="682"/>
      <c r="AH282" s="682"/>
      <c r="AI282" s="682"/>
      <c r="AJ282" s="682"/>
      <c r="AK282" s="682"/>
      <c r="AL282" s="547"/>
      <c r="AM282" s="682"/>
      <c r="AN282" s="682"/>
      <c r="AO282" s="682"/>
      <c r="AP282" s="682"/>
      <c r="AQ282" s="682"/>
      <c r="AR282" s="547"/>
      <c r="AS282" s="682"/>
      <c r="AT282" s="682"/>
      <c r="AU282" s="682"/>
      <c r="AV282" s="682"/>
      <c r="AW282" s="682"/>
      <c r="AX282" s="547"/>
      <c r="AY282" s="682"/>
      <c r="AZ282" s="682"/>
      <c r="BA282" s="682"/>
      <c r="BB282" s="682"/>
      <c r="BC282" s="682"/>
      <c r="BD282" s="547"/>
      <c r="BE282" s="682"/>
      <c r="BF282" s="682"/>
      <c r="BG282" s="682"/>
      <c r="BH282" s="682"/>
      <c r="BI282" s="682"/>
      <c r="BJ282" s="547"/>
      <c r="BK282" s="682"/>
      <c r="BL282" s="682"/>
      <c r="BM282" s="682"/>
      <c r="BN282" s="682"/>
      <c r="BO282" s="682"/>
      <c r="BP282" s="547"/>
      <c r="BQ282" s="682"/>
      <c r="BR282" s="682"/>
      <c r="BS282" s="682"/>
      <c r="BT282" s="682"/>
      <c r="BU282" s="682"/>
      <c r="BV282" s="547"/>
      <c r="BW282" s="682"/>
      <c r="BX282" s="682"/>
      <c r="BY282" s="682"/>
      <c r="BZ282" s="682"/>
      <c r="CA282" s="682"/>
      <c r="CB282" s="547"/>
      <c r="CC282" s="682"/>
      <c r="CD282" s="682"/>
      <c r="CE282" s="682"/>
      <c r="CF282" s="682"/>
      <c r="CG282" s="682"/>
      <c r="CH282" s="547"/>
      <c r="CI282" s="682"/>
      <c r="CJ282" s="682"/>
      <c r="CK282" s="682"/>
      <c r="CL282" s="682"/>
      <c r="CM282" s="682"/>
      <c r="CN282" s="547"/>
      <c r="CO282" s="682"/>
      <c r="CP282" s="682"/>
      <c r="CQ282" s="682"/>
      <c r="CR282" s="682"/>
      <c r="CS282" s="682"/>
      <c r="CT282" s="547"/>
      <c r="CU282" s="682"/>
      <c r="CV282" s="682"/>
      <c r="CW282" s="682"/>
      <c r="CX282" s="682"/>
      <c r="CY282" s="682"/>
      <c r="CZ282" s="547"/>
      <c r="DA282" s="682"/>
      <c r="DB282" s="682"/>
      <c r="DC282" s="682"/>
      <c r="DD282" s="682"/>
      <c r="DE282" s="682"/>
      <c r="DF282" s="547"/>
      <c r="DG282" s="682"/>
      <c r="DH282" s="682"/>
      <c r="DI282" s="682"/>
      <c r="DJ282" s="682"/>
      <c r="DK282" s="682"/>
      <c r="DL282" s="547"/>
      <c r="DM282" s="682"/>
      <c r="DN282" s="682"/>
      <c r="DO282" s="682"/>
      <c r="DP282" s="682"/>
      <c r="DQ282" s="682"/>
      <c r="DR282" s="547"/>
      <c r="DS282" s="682"/>
      <c r="DT282" s="682"/>
      <c r="DU282" s="682"/>
      <c r="DV282" s="682"/>
      <c r="DW282" s="682"/>
      <c r="DX282" s="547"/>
      <c r="DY282" s="682"/>
      <c r="DZ282" s="682"/>
      <c r="EA282" s="682"/>
      <c r="EB282" s="682"/>
      <c r="EC282" s="682"/>
      <c r="ED282" s="547"/>
      <c r="EE282" s="682"/>
      <c r="EF282" s="682"/>
      <c r="EG282" s="682"/>
      <c r="EH282" s="682"/>
      <c r="EI282" s="682"/>
      <c r="EJ282" s="547"/>
      <c r="EK282" s="682"/>
      <c r="EL282" s="682"/>
      <c r="EM282" s="682"/>
      <c r="EN282" s="682"/>
      <c r="EO282" s="682"/>
      <c r="EP282" s="547"/>
      <c r="EQ282" s="682"/>
      <c r="ER282" s="682"/>
      <c r="ES282" s="682"/>
      <c r="ET282" s="682"/>
      <c r="EU282" s="682"/>
      <c r="EV282" s="547"/>
      <c r="EW282" s="547"/>
      <c r="EX282" s="547"/>
      <c r="EY282" s="547"/>
      <c r="EZ282" s="547"/>
      <c r="FA282" s="547"/>
      <c r="FB282" s="547"/>
    </row>
    <row r="283" spans="1:158" hidden="1">
      <c r="A283" s="193"/>
      <c r="B283" s="32"/>
      <c r="C283" s="90"/>
      <c r="D283" s="90"/>
      <c r="E283" s="90"/>
      <c r="F283" s="90"/>
      <c r="G283" s="61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104"/>
      <c r="Z283" s="90"/>
      <c r="AA283" s="90"/>
      <c r="AB283" s="90"/>
      <c r="AC283" s="90"/>
      <c r="AD283" s="90"/>
      <c r="AE283" s="104"/>
      <c r="AF283" s="90"/>
      <c r="AG283" s="90"/>
      <c r="AH283" s="90"/>
      <c r="AI283" s="90"/>
      <c r="AJ283" s="90"/>
      <c r="AK283" s="104"/>
      <c r="AL283" s="90"/>
      <c r="AM283" s="90"/>
      <c r="AN283" s="90"/>
      <c r="AO283" s="90"/>
      <c r="AP283" s="90"/>
      <c r="AQ283" s="104"/>
      <c r="AR283" s="90"/>
      <c r="AS283" s="90"/>
      <c r="AT283" s="90"/>
      <c r="AU283" s="90"/>
      <c r="AV283" s="90"/>
      <c r="AW283" s="104"/>
      <c r="AX283" s="90"/>
      <c r="AY283" s="90"/>
      <c r="AZ283" s="90"/>
      <c r="BA283" s="90"/>
      <c r="BB283" s="90"/>
      <c r="BC283" s="104"/>
      <c r="BD283" s="90"/>
      <c r="BE283" s="104"/>
      <c r="BF283" s="104"/>
      <c r="BG283" s="104"/>
      <c r="BH283" s="104"/>
      <c r="BI283" s="104"/>
      <c r="BJ283" s="90"/>
      <c r="BK283" s="26"/>
      <c r="BL283" s="26"/>
      <c r="BM283" s="26"/>
      <c r="BN283" s="26"/>
      <c r="BO283" s="26"/>
      <c r="BP283" s="90"/>
      <c r="BQ283" s="26"/>
      <c r="BR283" s="26"/>
      <c r="BS283" s="26"/>
      <c r="BT283" s="26"/>
      <c r="BU283" s="26"/>
      <c r="BV283" s="90"/>
      <c r="BW283" s="26"/>
      <c r="BX283" s="26"/>
      <c r="BY283" s="26"/>
      <c r="BZ283" s="26"/>
      <c r="CA283" s="26"/>
      <c r="CB283" s="90"/>
      <c r="CC283" s="26"/>
      <c r="CD283" s="26"/>
      <c r="CE283" s="26"/>
      <c r="CF283" s="26"/>
      <c r="CG283" s="26"/>
      <c r="CH283" s="90"/>
      <c r="CI283" s="26"/>
      <c r="CJ283" s="26"/>
      <c r="CK283" s="26"/>
      <c r="CL283" s="26"/>
      <c r="CM283" s="26"/>
      <c r="CN283" s="90"/>
      <c r="CO283" s="26"/>
      <c r="CP283" s="26"/>
      <c r="CQ283" s="26"/>
      <c r="CR283" s="26"/>
      <c r="CS283" s="26"/>
      <c r="CT283" s="90"/>
      <c r="CU283" s="26"/>
      <c r="CV283" s="26"/>
      <c r="CW283" s="26"/>
      <c r="CX283" s="26"/>
      <c r="CY283" s="26"/>
      <c r="CZ283" s="90"/>
      <c r="DA283" s="26"/>
      <c r="DB283" s="26"/>
      <c r="DC283" s="26"/>
      <c r="DD283" s="26"/>
      <c r="DE283" s="26"/>
      <c r="DF283" s="90"/>
      <c r="DG283" s="26"/>
      <c r="DH283" s="26"/>
      <c r="DI283" s="26"/>
      <c r="DJ283" s="26"/>
      <c r="DK283" s="26"/>
      <c r="DL283" s="90"/>
      <c r="DM283" s="26"/>
      <c r="DN283" s="26"/>
      <c r="DO283" s="26"/>
      <c r="DP283" s="26"/>
      <c r="DQ283" s="26"/>
      <c r="DR283" s="90"/>
      <c r="DS283" s="26"/>
      <c r="DT283" s="26"/>
      <c r="DU283" s="26"/>
      <c r="DV283" s="26"/>
      <c r="DW283" s="26"/>
      <c r="DX283" s="90"/>
      <c r="DY283" s="26"/>
      <c r="DZ283" s="26"/>
      <c r="EA283" s="26"/>
      <c r="EB283" s="26"/>
      <c r="EC283" s="26"/>
      <c r="ED283" s="90"/>
      <c r="EE283" s="26"/>
      <c r="EF283" s="26"/>
      <c r="EG283" s="26"/>
      <c r="EH283" s="26"/>
      <c r="EI283" s="26"/>
      <c r="EJ283" s="90"/>
      <c r="EK283" s="26"/>
      <c r="EL283" s="26"/>
      <c r="EM283" s="26"/>
      <c r="EN283" s="26"/>
      <c r="EO283" s="26"/>
      <c r="EP283" s="90"/>
      <c r="EQ283" s="26"/>
      <c r="ER283" s="26"/>
      <c r="ES283" s="26"/>
      <c r="ET283" s="26"/>
      <c r="EU283" s="26"/>
      <c r="EV283" s="90"/>
      <c r="EW283" s="90"/>
      <c r="EX283" s="90"/>
      <c r="EY283" s="90"/>
      <c r="EZ283" s="90"/>
      <c r="FA283" s="90"/>
      <c r="FB283" s="90"/>
    </row>
    <row r="284" spans="1:158" hidden="1">
      <c r="A284" s="30" t="s">
        <v>3380</v>
      </c>
      <c r="B284" s="32"/>
      <c r="C284" s="90"/>
      <c r="D284" s="90"/>
      <c r="E284" s="90"/>
      <c r="F284" s="90"/>
      <c r="G284" s="61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104"/>
      <c r="Z284" s="90"/>
      <c r="AA284" s="90"/>
      <c r="AB284" s="90"/>
      <c r="AC284" s="90"/>
      <c r="AD284" s="90"/>
      <c r="AE284" s="104"/>
      <c r="AF284" s="90"/>
      <c r="AG284" s="90"/>
      <c r="AH284" s="90"/>
      <c r="AI284" s="90"/>
      <c r="AJ284" s="90"/>
      <c r="AK284" s="104"/>
      <c r="AL284" s="90"/>
      <c r="AM284" s="90"/>
      <c r="AN284" s="90"/>
      <c r="AO284" s="90"/>
      <c r="AP284" s="90"/>
      <c r="AQ284" s="104"/>
      <c r="AR284" s="90"/>
      <c r="AS284" s="90"/>
      <c r="AT284" s="90"/>
      <c r="AU284" s="90"/>
      <c r="AV284" s="90"/>
      <c r="AW284" s="104"/>
      <c r="AX284" s="90"/>
      <c r="AY284" s="90"/>
      <c r="AZ284" s="90"/>
      <c r="BA284" s="90"/>
      <c r="BB284" s="90"/>
      <c r="BC284" s="104"/>
      <c r="BD284" s="90"/>
      <c r="BE284" s="104"/>
      <c r="BF284" s="104"/>
      <c r="BG284" s="104"/>
      <c r="BH284" s="104"/>
      <c r="BI284" s="104"/>
      <c r="BJ284" s="90"/>
      <c r="BK284" s="26"/>
      <c r="BL284" s="26"/>
      <c r="BM284" s="26"/>
      <c r="BN284" s="26"/>
      <c r="BO284" s="26"/>
      <c r="BP284" s="90"/>
      <c r="BQ284" s="26"/>
      <c r="BR284" s="26"/>
      <c r="BS284" s="26"/>
      <c r="BT284" s="26"/>
      <c r="BU284" s="26"/>
      <c r="BV284" s="90"/>
      <c r="BW284" s="26"/>
      <c r="BX284" s="26"/>
      <c r="BY284" s="26"/>
      <c r="BZ284" s="26"/>
      <c r="CA284" s="26"/>
      <c r="CB284" s="90"/>
      <c r="CC284" s="26"/>
      <c r="CD284" s="26"/>
      <c r="CE284" s="26"/>
      <c r="CF284" s="26"/>
      <c r="CG284" s="26"/>
      <c r="CH284" s="90"/>
      <c r="CI284" s="26"/>
      <c r="CJ284" s="26"/>
      <c r="CK284" s="26"/>
      <c r="CL284" s="26"/>
      <c r="CM284" s="26"/>
      <c r="CN284" s="90"/>
      <c r="CO284" s="26"/>
      <c r="CP284" s="26"/>
      <c r="CQ284" s="26"/>
      <c r="CR284" s="26"/>
      <c r="CS284" s="26"/>
      <c r="CT284" s="90"/>
      <c r="CU284" s="26"/>
      <c r="CV284" s="26"/>
      <c r="CW284" s="26"/>
      <c r="CX284" s="26"/>
      <c r="CY284" s="26"/>
      <c r="CZ284" s="90"/>
      <c r="DA284" s="26"/>
      <c r="DB284" s="26"/>
      <c r="DC284" s="26"/>
      <c r="DD284" s="26"/>
      <c r="DE284" s="26"/>
      <c r="DF284" s="90"/>
      <c r="DG284" s="26"/>
      <c r="DH284" s="26"/>
      <c r="DI284" s="26"/>
      <c r="DJ284" s="26"/>
      <c r="DK284" s="26"/>
      <c r="DL284" s="90"/>
      <c r="DM284" s="26"/>
      <c r="DN284" s="26"/>
      <c r="DO284" s="26"/>
      <c r="DP284" s="26"/>
      <c r="DQ284" s="26"/>
      <c r="DR284" s="90"/>
      <c r="DS284" s="26"/>
      <c r="DT284" s="26"/>
      <c r="DU284" s="26"/>
      <c r="DV284" s="26"/>
      <c r="DW284" s="26"/>
      <c r="DX284" s="90"/>
      <c r="DY284" s="26"/>
      <c r="DZ284" s="26"/>
      <c r="EA284" s="26"/>
      <c r="EB284" s="26"/>
      <c r="EC284" s="26"/>
      <c r="ED284" s="90"/>
      <c r="EE284" s="26"/>
      <c r="EF284" s="26"/>
      <c r="EG284" s="26"/>
      <c r="EH284" s="26"/>
      <c r="EI284" s="26"/>
      <c r="EJ284" s="90"/>
      <c r="EK284" s="26"/>
      <c r="EL284" s="26"/>
      <c r="EM284" s="26"/>
      <c r="EN284" s="26"/>
      <c r="EO284" s="26"/>
      <c r="EP284" s="90"/>
      <c r="EQ284" s="26"/>
      <c r="ER284" s="26"/>
      <c r="ES284" s="26"/>
      <c r="ET284" s="26"/>
      <c r="EU284" s="26"/>
      <c r="EV284" s="90"/>
      <c r="EW284" s="90"/>
      <c r="EX284" s="90"/>
      <c r="EY284" s="90"/>
      <c r="EZ284" s="90"/>
      <c r="FA284" s="90"/>
      <c r="FB284" s="90"/>
    </row>
    <row r="285" spans="1:158" hidden="1">
      <c r="A285" s="90" t="s">
        <v>3499</v>
      </c>
      <c r="B285" s="32"/>
      <c r="C285" s="90"/>
      <c r="D285" s="90"/>
      <c r="E285" s="90"/>
      <c r="F285" s="90"/>
      <c r="G285" s="61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278">
        <f>36.49/4</f>
        <v>9.1225000000000005</v>
      </c>
      <c r="T285" s="90"/>
      <c r="U285" s="90"/>
      <c r="V285" s="90"/>
      <c r="W285" s="90"/>
      <c r="X285" s="278"/>
      <c r="Y285" s="248">
        <f>32.27/4</f>
        <v>8.0675000000000008</v>
      </c>
      <c r="Z285" s="90"/>
      <c r="AA285" s="90"/>
      <c r="AB285" s="90"/>
      <c r="AC285" s="90"/>
      <c r="AD285" s="90"/>
      <c r="AE285" s="248">
        <f>32/4</f>
        <v>8</v>
      </c>
      <c r="AF285" s="90"/>
      <c r="AG285" s="90"/>
      <c r="AH285" s="90"/>
      <c r="AI285" s="90"/>
      <c r="AJ285" s="90"/>
      <c r="AK285" s="248">
        <f>0.5*16.77</f>
        <v>8.3849999999999998</v>
      </c>
      <c r="AL285" s="90"/>
      <c r="AM285" s="90"/>
      <c r="AN285" s="90"/>
      <c r="AO285" s="90"/>
      <c r="AP285" s="90"/>
      <c r="AQ285" s="248">
        <f>0.5*15.41</f>
        <v>7.7050000000000001</v>
      </c>
      <c r="AR285" s="90"/>
      <c r="AS285" s="90"/>
      <c r="AT285" s="90"/>
      <c r="AU285" s="248"/>
      <c r="AV285" s="248"/>
      <c r="AW285" s="248">
        <f>0.5*17.46</f>
        <v>8.73</v>
      </c>
      <c r="AX285" s="90"/>
      <c r="AY285" s="248"/>
      <c r="AZ285" s="248"/>
      <c r="BA285" s="248"/>
      <c r="BB285" s="90"/>
      <c r="BC285" s="248">
        <v>17.52</v>
      </c>
      <c r="BD285" s="90"/>
      <c r="BE285" s="248">
        <v>29.61</v>
      </c>
      <c r="BF285" s="248">
        <v>30.33</v>
      </c>
      <c r="BG285" s="248">
        <v>31.18</v>
      </c>
      <c r="BH285" s="248"/>
      <c r="BI285" s="248">
        <v>32.39</v>
      </c>
      <c r="BJ285" s="90"/>
      <c r="BK285" s="248">
        <v>37.74</v>
      </c>
      <c r="BL285" s="248">
        <v>38.807098500000002</v>
      </c>
      <c r="BM285" s="248">
        <v>39.904369210087502</v>
      </c>
      <c r="BN285" s="248">
        <v>41.032665249502728</v>
      </c>
      <c r="BO285" s="248">
        <f>BN285</f>
        <v>41.032665249502728</v>
      </c>
      <c r="BP285" s="90"/>
      <c r="BQ285" s="248">
        <v>42.192863859432421</v>
      </c>
      <c r="BR285" s="248">
        <v>43.385867085057875</v>
      </c>
      <c r="BS285" s="248">
        <v>44.612602476887886</v>
      </c>
      <c r="BT285" s="248">
        <v>45.874023811921894</v>
      </c>
      <c r="BU285" s="248">
        <f>BT285</f>
        <v>45.874023811921894</v>
      </c>
      <c r="BV285" s="90"/>
      <c r="BW285" s="248">
        <v>47.171111835203988</v>
      </c>
      <c r="BX285" s="248">
        <v>48.504875022344386</v>
      </c>
      <c r="BY285" s="248">
        <v>49.876350363601176</v>
      </c>
      <c r="BZ285" s="248">
        <v>51.286604170132001</v>
      </c>
      <c r="CA285" s="248">
        <f>BZ285</f>
        <v>51.286604170132001</v>
      </c>
      <c r="CB285" s="90"/>
      <c r="CC285" s="248">
        <v>52.736732903042487</v>
      </c>
      <c r="CD285" s="248">
        <v>54.227864025876016</v>
      </c>
      <c r="CE285" s="248">
        <v>55.761156881207661</v>
      </c>
      <c r="CF285" s="248">
        <v>57.33780359202381</v>
      </c>
      <c r="CG285" s="248">
        <f>CF285</f>
        <v>57.33780359202381</v>
      </c>
      <c r="CH285" s="90"/>
      <c r="CI285" s="248">
        <v>58.959029988588284</v>
      </c>
      <c r="CJ285" s="248">
        <v>60.626096561515624</v>
      </c>
      <c r="CK285" s="248">
        <v>62.340299441792482</v>
      </c>
      <c r="CL285" s="248">
        <v>64.102971408509163</v>
      </c>
      <c r="CM285" s="248">
        <f>CL285</f>
        <v>64.102971408509163</v>
      </c>
      <c r="CN285" s="90"/>
      <c r="CO285" s="248">
        <v>65.91548292508476</v>
      </c>
      <c r="CP285" s="248">
        <v>67.779243204791541</v>
      </c>
      <c r="CQ285" s="248">
        <v>69.695701306407031</v>
      </c>
      <c r="CR285" s="248">
        <v>71.666347260845697</v>
      </c>
      <c r="CS285" s="248">
        <f>CR285</f>
        <v>71.666347260845697</v>
      </c>
      <c r="CT285" s="90"/>
      <c r="CU285" s="248">
        <v>73.692713229646117</v>
      </c>
      <c r="CV285" s="248">
        <v>75.776374696214361</v>
      </c>
      <c r="CW285" s="248">
        <v>77.918951690749822</v>
      </c>
      <c r="CX285" s="248">
        <v>80.122110049805784</v>
      </c>
      <c r="CY285" s="248">
        <f>CX285</f>
        <v>80.122110049805784</v>
      </c>
      <c r="CZ285" s="90"/>
      <c r="DA285" s="248">
        <v>82.387562711464042</v>
      </c>
      <c r="DB285" s="248">
        <v>84.717071047130688</v>
      </c>
      <c r="DC285" s="248">
        <v>87.112446230988311</v>
      </c>
      <c r="DD285" s="248">
        <v>89.575550648169511</v>
      </c>
      <c r="DE285" s="248">
        <f>DD285</f>
        <v>89.575550648169511</v>
      </c>
      <c r="DF285" s="90"/>
      <c r="DG285" s="248">
        <v>92.108299342746506</v>
      </c>
      <c r="DH285" s="248">
        <v>94.71266150666267</v>
      </c>
      <c r="DI285" s="248">
        <v>97.390662010763563</v>
      </c>
      <c r="DJ285" s="248">
        <v>100.14438297911791</v>
      </c>
      <c r="DK285" s="248">
        <f>DJ285</f>
        <v>100.14438297911791</v>
      </c>
      <c r="DL285" s="90"/>
      <c r="DM285" s="248">
        <v>102.97596540785247</v>
      </c>
      <c r="DN285" s="248">
        <v>105.88761082975951</v>
      </c>
      <c r="DO285" s="248">
        <v>108.88158302597097</v>
      </c>
      <c r="DP285" s="248">
        <v>111.9602097860303</v>
      </c>
      <c r="DQ285" s="248">
        <f>DP285</f>
        <v>111.9602097860303</v>
      </c>
      <c r="DR285" s="90"/>
      <c r="DS285" s="248">
        <v>115.12588471773032</v>
      </c>
      <c r="DT285" s="248">
        <v>118.38106910812415</v>
      </c>
      <c r="DU285" s="248">
        <v>121.72829383715637</v>
      </c>
      <c r="DV285" s="248">
        <v>125.17016134540198</v>
      </c>
      <c r="DW285" s="248">
        <f>DV285</f>
        <v>125.17016134540198</v>
      </c>
      <c r="DX285" s="90"/>
      <c r="DY285" s="248">
        <v>128.70934765744323</v>
      </c>
      <c r="DZ285" s="248">
        <v>132.34860446245744</v>
      </c>
      <c r="EA285" s="248">
        <v>136.09076125363345</v>
      </c>
      <c r="EB285" s="248">
        <v>139.93872752807994</v>
      </c>
      <c r="EC285" s="248">
        <f>EB285</f>
        <v>139.93872752807994</v>
      </c>
      <c r="ED285" s="90"/>
      <c r="EE285" s="248">
        <v>143.8954950489364</v>
      </c>
      <c r="EF285" s="248">
        <v>147.96414017144508</v>
      </c>
      <c r="EG285" s="248">
        <v>152.14782623479269</v>
      </c>
      <c r="EH285" s="248">
        <v>156.44980602158145</v>
      </c>
      <c r="EI285" s="248">
        <f>EH285</f>
        <v>156.44980602158145</v>
      </c>
      <c r="EJ285" s="90"/>
      <c r="EK285" s="248">
        <v>160.87342428684167</v>
      </c>
      <c r="EL285" s="248">
        <v>165.42212035855212</v>
      </c>
      <c r="EM285" s="248">
        <v>170.09943081169018</v>
      </c>
      <c r="EN285" s="248">
        <v>174.90899221789073</v>
      </c>
      <c r="EO285" s="248">
        <f>EN285</f>
        <v>174.90899221789073</v>
      </c>
      <c r="EP285" s="90"/>
      <c r="EQ285" s="248">
        <v>179.85454397285159</v>
      </c>
      <c r="ER285" s="248">
        <v>184.93993120368398</v>
      </c>
      <c r="ES285" s="248">
        <v>190.16910775846816</v>
      </c>
      <c r="ET285" s="248">
        <v>195.54613928033885</v>
      </c>
      <c r="EU285" s="248">
        <f>ET285</f>
        <v>195.54613928033885</v>
      </c>
      <c r="EV285" s="90"/>
      <c r="EW285" s="90"/>
      <c r="EX285" s="90"/>
      <c r="EY285" s="90"/>
      <c r="EZ285" s="90"/>
      <c r="FA285" s="90"/>
      <c r="FB285" s="90"/>
    </row>
    <row r="286" spans="1:158" hidden="1">
      <c r="A286" s="90" t="s">
        <v>3381</v>
      </c>
      <c r="B286" s="32"/>
      <c r="C286" s="90"/>
      <c r="D286" s="90"/>
      <c r="E286" s="90"/>
      <c r="F286" s="90"/>
      <c r="G286" s="61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278">
        <f>34.96/4</f>
        <v>8.74</v>
      </c>
      <c r="T286" s="90"/>
      <c r="U286" s="90"/>
      <c r="V286" s="90"/>
      <c r="W286" s="90"/>
      <c r="X286" s="278"/>
      <c r="Y286" s="248">
        <f>34.65/4</f>
        <v>8.6624999999999996</v>
      </c>
      <c r="Z286" s="90"/>
      <c r="AA286" s="90"/>
      <c r="AB286" s="90"/>
      <c r="AC286" s="90"/>
      <c r="AD286" s="90"/>
      <c r="AE286" s="248">
        <f>33.74/4</f>
        <v>8.4350000000000005</v>
      </c>
      <c r="AF286" s="90"/>
      <c r="AG286" s="90"/>
      <c r="AH286" s="90"/>
      <c r="AI286" s="90"/>
      <c r="AJ286" s="90"/>
      <c r="AK286" s="248">
        <f>0.5*17.42</f>
        <v>8.7100000000000009</v>
      </c>
      <c r="AL286" s="90"/>
      <c r="AM286" s="90"/>
      <c r="AN286" s="90"/>
      <c r="AO286" s="90"/>
      <c r="AP286" s="90"/>
      <c r="AQ286" s="248">
        <f>0.5*17.64</f>
        <v>8.82</v>
      </c>
      <c r="AR286" s="90"/>
      <c r="AS286" s="90"/>
      <c r="AT286" s="90"/>
      <c r="AU286" s="248"/>
      <c r="AV286" s="248"/>
      <c r="AW286" s="248">
        <f>0.5*17.13</f>
        <v>8.5649999999999995</v>
      </c>
      <c r="AX286" s="90"/>
      <c r="AY286" s="248"/>
      <c r="AZ286" s="248"/>
      <c r="BA286" s="248"/>
      <c r="BB286" s="90"/>
      <c r="BC286" s="248">
        <v>9.4600000000000009</v>
      </c>
      <c r="BD286" s="90"/>
      <c r="BE286" s="248">
        <v>13.63</v>
      </c>
      <c r="BF286" s="248">
        <v>13.92</v>
      </c>
      <c r="BG286" s="248">
        <v>15.52</v>
      </c>
      <c r="BH286" s="248"/>
      <c r="BI286" s="248">
        <v>15.33</v>
      </c>
      <c r="BJ286" s="90"/>
      <c r="BK286" s="26">
        <v>19.66</v>
      </c>
      <c r="BL286" s="26"/>
      <c r="BM286" s="26"/>
      <c r="BN286" s="26"/>
      <c r="BO286" s="182"/>
      <c r="BP286" s="90"/>
      <c r="BQ286" s="26"/>
      <c r="BR286" s="26"/>
      <c r="BS286" s="26"/>
      <c r="BT286" s="26"/>
      <c r="BU286" s="182"/>
      <c r="BV286" s="90"/>
      <c r="BW286" s="26"/>
      <c r="BX286" s="26"/>
      <c r="BY286" s="26"/>
      <c r="BZ286" s="26"/>
      <c r="CA286" s="182"/>
      <c r="CB286" s="90"/>
      <c r="CC286" s="26"/>
      <c r="CD286" s="26"/>
      <c r="CE286" s="26"/>
      <c r="CF286" s="26"/>
      <c r="CG286" s="182"/>
      <c r="CH286" s="90"/>
      <c r="CI286" s="26"/>
      <c r="CJ286" s="26"/>
      <c r="CK286" s="26"/>
      <c r="CL286" s="26"/>
      <c r="CM286" s="182"/>
      <c r="CN286" s="90"/>
      <c r="CO286" s="26"/>
      <c r="CP286" s="26"/>
      <c r="CQ286" s="26"/>
      <c r="CR286" s="26"/>
      <c r="CS286" s="182"/>
      <c r="CT286" s="90"/>
      <c r="CU286" s="26"/>
      <c r="CV286" s="26"/>
      <c r="CW286" s="26"/>
      <c r="CX286" s="26"/>
      <c r="CY286" s="182"/>
      <c r="CZ286" s="90"/>
      <c r="DA286" s="26"/>
      <c r="DB286" s="26"/>
      <c r="DC286" s="26"/>
      <c r="DD286" s="26"/>
      <c r="DE286" s="182"/>
      <c r="DF286" s="90"/>
      <c r="DG286" s="26"/>
      <c r="DH286" s="26"/>
      <c r="DI286" s="26"/>
      <c r="DJ286" s="26"/>
      <c r="DK286" s="182"/>
      <c r="DL286" s="90"/>
      <c r="DM286" s="26"/>
      <c r="DN286" s="26"/>
      <c r="DO286" s="26"/>
      <c r="DP286" s="26"/>
      <c r="DQ286" s="182"/>
      <c r="DR286" s="90"/>
      <c r="DS286" s="26"/>
      <c r="DT286" s="26"/>
      <c r="DU286" s="26"/>
      <c r="DV286" s="26"/>
      <c r="DW286" s="182"/>
      <c r="DX286" s="90"/>
      <c r="DY286" s="26"/>
      <c r="DZ286" s="26"/>
      <c r="EA286" s="26"/>
      <c r="EB286" s="26"/>
      <c r="EC286" s="182"/>
      <c r="ED286" s="90"/>
      <c r="EE286" s="26"/>
      <c r="EF286" s="26"/>
      <c r="EG286" s="26"/>
      <c r="EH286" s="26"/>
      <c r="EI286" s="182"/>
      <c r="EJ286" s="90"/>
      <c r="EK286" s="26"/>
      <c r="EL286" s="26"/>
      <c r="EM286" s="26"/>
      <c r="EN286" s="26"/>
      <c r="EO286" s="182"/>
      <c r="EP286" s="90"/>
      <c r="EQ286" s="26"/>
      <c r="ER286" s="26"/>
      <c r="ES286" s="26"/>
      <c r="ET286" s="26"/>
      <c r="EU286" s="182"/>
      <c r="EV286" s="90"/>
      <c r="EW286" s="90"/>
      <c r="EX286" s="90"/>
      <c r="EY286" s="90"/>
      <c r="EZ286" s="90"/>
      <c r="FA286" s="90"/>
      <c r="FB286" s="90"/>
    </row>
    <row r="287" spans="1:158" hidden="1">
      <c r="A287" s="90" t="s">
        <v>3500</v>
      </c>
      <c r="B287" s="32"/>
      <c r="C287" s="90"/>
      <c r="D287" s="90"/>
      <c r="E287" s="90"/>
      <c r="F287" s="90"/>
      <c r="G287" s="61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278">
        <f>24.74/4</f>
        <v>6.1849999999999996</v>
      </c>
      <c r="T287" s="90"/>
      <c r="U287" s="90"/>
      <c r="V287" s="90"/>
      <c r="W287" s="90"/>
      <c r="X287" s="278"/>
      <c r="Y287" s="248">
        <f>21.06/4</f>
        <v>5.2649999999999997</v>
      </c>
      <c r="Z287" s="90"/>
      <c r="AA287" s="90"/>
      <c r="AB287" s="90"/>
      <c r="AC287" s="90"/>
      <c r="AD287" s="90"/>
      <c r="AE287" s="248">
        <f>26.09/4</f>
        <v>6.5225</v>
      </c>
      <c r="AF287" s="90"/>
      <c r="AG287" s="90"/>
      <c r="AH287" s="90"/>
      <c r="AI287" s="90"/>
      <c r="AJ287" s="90"/>
      <c r="AK287" s="248">
        <f>0.5*12.62</f>
        <v>6.31</v>
      </c>
      <c r="AL287" s="90"/>
      <c r="AM287" s="90"/>
      <c r="AN287" s="90"/>
      <c r="AO287" s="90"/>
      <c r="AP287" s="90"/>
      <c r="AQ287" s="248">
        <f>0.5*14.42</f>
        <v>7.21</v>
      </c>
      <c r="AR287" s="90"/>
      <c r="AS287" s="90"/>
      <c r="AT287" s="90"/>
      <c r="AU287" s="248"/>
      <c r="AV287" s="248"/>
      <c r="AW287" s="248">
        <f>0.5*14.48</f>
        <v>7.24</v>
      </c>
      <c r="AX287" s="90"/>
      <c r="AY287" s="248"/>
      <c r="AZ287" s="248"/>
      <c r="BA287" s="248"/>
      <c r="BB287" s="90"/>
      <c r="BC287" s="248">
        <v>8.4600000000000009</v>
      </c>
      <c r="BD287" s="90"/>
      <c r="BE287" s="248">
        <v>9.2100000000000009</v>
      </c>
      <c r="BF287" s="248">
        <v>9.61</v>
      </c>
      <c r="BG287" s="248">
        <v>9.42</v>
      </c>
      <c r="BH287" s="248"/>
      <c r="BI287" s="248">
        <v>9.36</v>
      </c>
      <c r="BJ287" s="90"/>
      <c r="BK287" s="26">
        <v>11.92</v>
      </c>
      <c r="BL287" s="26"/>
      <c r="BM287" s="26"/>
      <c r="BN287" s="26"/>
      <c r="BO287" s="182"/>
      <c r="BP287" s="90"/>
      <c r="BQ287" s="26"/>
      <c r="BR287" s="26"/>
      <c r="BS287" s="26"/>
      <c r="BT287" s="26"/>
      <c r="BU287" s="182"/>
      <c r="BV287" s="90"/>
      <c r="BW287" s="26"/>
      <c r="BX287" s="26"/>
      <c r="BY287" s="26"/>
      <c r="BZ287" s="26"/>
      <c r="CA287" s="182"/>
      <c r="CB287" s="90"/>
      <c r="CC287" s="26"/>
      <c r="CD287" s="26"/>
      <c r="CE287" s="26"/>
      <c r="CF287" s="26"/>
      <c r="CG287" s="182"/>
      <c r="CH287" s="90"/>
      <c r="CI287" s="26"/>
      <c r="CJ287" s="26"/>
      <c r="CK287" s="26"/>
      <c r="CL287" s="26"/>
      <c r="CM287" s="182"/>
      <c r="CN287" s="90"/>
      <c r="CO287" s="26"/>
      <c r="CP287" s="26"/>
      <c r="CQ287" s="26"/>
      <c r="CR287" s="26"/>
      <c r="CS287" s="182"/>
      <c r="CT287" s="90"/>
      <c r="CU287" s="26"/>
      <c r="CV287" s="26"/>
      <c r="CW287" s="26"/>
      <c r="CX287" s="26"/>
      <c r="CY287" s="182"/>
      <c r="CZ287" s="90"/>
      <c r="DA287" s="26"/>
      <c r="DB287" s="26"/>
      <c r="DC287" s="26"/>
      <c r="DD287" s="26"/>
      <c r="DE287" s="182"/>
      <c r="DF287" s="90"/>
      <c r="DG287" s="26"/>
      <c r="DH287" s="26"/>
      <c r="DI287" s="26"/>
      <c r="DJ287" s="26"/>
      <c r="DK287" s="182"/>
      <c r="DL287" s="90"/>
      <c r="DM287" s="26"/>
      <c r="DN287" s="26"/>
      <c r="DO287" s="26"/>
      <c r="DP287" s="26"/>
      <c r="DQ287" s="182"/>
      <c r="DR287" s="90"/>
      <c r="DS287" s="26"/>
      <c r="DT287" s="26"/>
      <c r="DU287" s="26"/>
      <c r="DV287" s="26"/>
      <c r="DW287" s="182"/>
      <c r="DX287" s="90"/>
      <c r="DY287" s="26"/>
      <c r="DZ287" s="26"/>
      <c r="EA287" s="26"/>
      <c r="EB287" s="26"/>
      <c r="EC287" s="182"/>
      <c r="ED287" s="90"/>
      <c r="EE287" s="26"/>
      <c r="EF287" s="26"/>
      <c r="EG287" s="26"/>
      <c r="EH287" s="26"/>
      <c r="EI287" s="182"/>
      <c r="EJ287" s="90"/>
      <c r="EK287" s="26"/>
      <c r="EL287" s="26"/>
      <c r="EM287" s="26"/>
      <c r="EN287" s="26"/>
      <c r="EO287" s="182"/>
      <c r="EP287" s="90"/>
      <c r="EQ287" s="26"/>
      <c r="ER287" s="26"/>
      <c r="ES287" s="26"/>
      <c r="ET287" s="26"/>
      <c r="EU287" s="182"/>
      <c r="EV287" s="90"/>
      <c r="EW287" s="90"/>
      <c r="EX287" s="90"/>
      <c r="EY287" s="90"/>
      <c r="EZ287" s="90"/>
      <c r="FA287" s="90"/>
      <c r="FB287" s="90"/>
    </row>
    <row r="288" spans="1:158" hidden="1">
      <c r="A288" s="90" t="s">
        <v>3501</v>
      </c>
      <c r="B288" s="32"/>
      <c r="C288" s="90"/>
      <c r="D288" s="90"/>
      <c r="E288" s="90"/>
      <c r="F288" s="90"/>
      <c r="G288" s="61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278">
        <f>30.1/4</f>
        <v>7.5250000000000004</v>
      </c>
      <c r="T288" s="90"/>
      <c r="U288" s="90"/>
      <c r="V288" s="90"/>
      <c r="W288" s="90"/>
      <c r="X288" s="278"/>
      <c r="Y288" s="248">
        <f>32.27/4</f>
        <v>8.0675000000000008</v>
      </c>
      <c r="Z288" s="90"/>
      <c r="AA288" s="90"/>
      <c r="AB288" s="90"/>
      <c r="AC288" s="90"/>
      <c r="AD288" s="90"/>
      <c r="AE288" s="248">
        <f>31.43/4</f>
        <v>7.8574999999999999</v>
      </c>
      <c r="AF288" s="90"/>
      <c r="AG288" s="90"/>
      <c r="AH288" s="90"/>
      <c r="AI288" s="90"/>
      <c r="AJ288" s="90"/>
      <c r="AK288" s="248">
        <f>0.5*15.72</f>
        <v>7.86</v>
      </c>
      <c r="AL288" s="90"/>
      <c r="AM288" s="90"/>
      <c r="AN288" s="90"/>
      <c r="AO288" s="90"/>
      <c r="AP288" s="90"/>
      <c r="AQ288" s="248">
        <f>0.5*16.5</f>
        <v>8.25</v>
      </c>
      <c r="AR288" s="90"/>
      <c r="AS288" s="90"/>
      <c r="AT288" s="90"/>
      <c r="AU288" s="248"/>
      <c r="AV288" s="248"/>
      <c r="AW288" s="248">
        <f>0.5*16.19</f>
        <v>8.0950000000000006</v>
      </c>
      <c r="AX288" s="90"/>
      <c r="AY288" s="248"/>
      <c r="AZ288" s="248"/>
      <c r="BA288" s="248"/>
      <c r="BB288" s="90"/>
      <c r="BC288" s="248">
        <v>8.4</v>
      </c>
      <c r="BD288" s="90"/>
      <c r="BE288" s="248">
        <v>13.68</v>
      </c>
      <c r="BF288" s="248">
        <v>14.44</v>
      </c>
      <c r="BG288" s="248">
        <v>15.5</v>
      </c>
      <c r="BH288" s="248"/>
      <c r="BI288" s="248">
        <v>16.440000000000001</v>
      </c>
      <c r="BJ288" s="90"/>
      <c r="BK288" s="26">
        <v>19.420000000000002</v>
      </c>
      <c r="BL288" s="26"/>
      <c r="BM288" s="26"/>
      <c r="BN288" s="26"/>
      <c r="BO288" s="182"/>
      <c r="BP288" s="90"/>
      <c r="BQ288" s="26"/>
      <c r="BR288" s="26"/>
      <c r="BS288" s="26"/>
      <c r="BT288" s="26"/>
      <c r="BU288" s="182"/>
      <c r="BV288" s="90"/>
      <c r="BW288" s="26"/>
      <c r="BX288" s="26"/>
      <c r="BY288" s="26"/>
      <c r="BZ288" s="26"/>
      <c r="CA288" s="182"/>
      <c r="CB288" s="90"/>
      <c r="CC288" s="26"/>
      <c r="CD288" s="26"/>
      <c r="CE288" s="26"/>
      <c r="CF288" s="26"/>
      <c r="CG288" s="182"/>
      <c r="CH288" s="90"/>
      <c r="CI288" s="26"/>
      <c r="CJ288" s="26"/>
      <c r="CK288" s="26"/>
      <c r="CL288" s="26"/>
      <c r="CM288" s="182"/>
      <c r="CN288" s="90"/>
      <c r="CO288" s="26"/>
      <c r="CP288" s="26"/>
      <c r="CQ288" s="26"/>
      <c r="CR288" s="26"/>
      <c r="CS288" s="182"/>
      <c r="CT288" s="90"/>
      <c r="CU288" s="26"/>
      <c r="CV288" s="26"/>
      <c r="CW288" s="26"/>
      <c r="CX288" s="26"/>
      <c r="CY288" s="182"/>
      <c r="CZ288" s="90"/>
      <c r="DA288" s="26"/>
      <c r="DB288" s="26"/>
      <c r="DC288" s="26"/>
      <c r="DD288" s="26"/>
      <c r="DE288" s="182"/>
      <c r="DF288" s="90"/>
      <c r="DG288" s="26"/>
      <c r="DH288" s="26"/>
      <c r="DI288" s="26"/>
      <c r="DJ288" s="26"/>
      <c r="DK288" s="182"/>
      <c r="DL288" s="90"/>
      <c r="DM288" s="26"/>
      <c r="DN288" s="26"/>
      <c r="DO288" s="26"/>
      <c r="DP288" s="26"/>
      <c r="DQ288" s="182"/>
      <c r="DR288" s="90"/>
      <c r="DS288" s="26"/>
      <c r="DT288" s="26"/>
      <c r="DU288" s="26"/>
      <c r="DV288" s="26"/>
      <c r="DW288" s="182"/>
      <c r="DX288" s="90"/>
      <c r="DY288" s="26"/>
      <c r="DZ288" s="26"/>
      <c r="EA288" s="26"/>
      <c r="EB288" s="26"/>
      <c r="EC288" s="182"/>
      <c r="ED288" s="90"/>
      <c r="EE288" s="26"/>
      <c r="EF288" s="26"/>
      <c r="EG288" s="26"/>
      <c r="EH288" s="26"/>
      <c r="EI288" s="182"/>
      <c r="EJ288" s="90"/>
      <c r="EK288" s="26"/>
      <c r="EL288" s="26"/>
      <c r="EM288" s="26"/>
      <c r="EN288" s="26"/>
      <c r="EO288" s="182"/>
      <c r="EP288" s="90"/>
      <c r="EQ288" s="26"/>
      <c r="ER288" s="26"/>
      <c r="ES288" s="26"/>
      <c r="ET288" s="26"/>
      <c r="EU288" s="182"/>
      <c r="EV288" s="90"/>
      <c r="EW288" s="90"/>
      <c r="EX288" s="90"/>
      <c r="EY288" s="90"/>
      <c r="EZ288" s="90"/>
      <c r="FA288" s="90"/>
      <c r="FB288" s="90"/>
    </row>
    <row r="289" spans="1:158" hidden="1">
      <c r="A289" s="90"/>
      <c r="B289" s="32"/>
      <c r="C289" s="90"/>
      <c r="D289" s="90"/>
      <c r="E289" s="90"/>
      <c r="F289" s="90"/>
      <c r="G289" s="61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104"/>
      <c r="Z289" s="90"/>
      <c r="AA289" s="90"/>
      <c r="AB289" s="90"/>
      <c r="AC289" s="90"/>
      <c r="AD289" s="90"/>
      <c r="AE289" s="104"/>
      <c r="AF289" s="90"/>
      <c r="AG289" s="90"/>
      <c r="AH289" s="90"/>
      <c r="AI289" s="90"/>
      <c r="AJ289" s="90"/>
      <c r="AK289" s="104"/>
      <c r="AL289" s="90"/>
      <c r="AM289" s="90"/>
      <c r="AN289" s="90"/>
      <c r="AO289" s="90"/>
      <c r="AP289" s="90"/>
      <c r="AQ289" s="104"/>
      <c r="AR289" s="90"/>
      <c r="AS289" s="90"/>
      <c r="AT289" s="90"/>
      <c r="AU289" s="90"/>
      <c r="AV289" s="104"/>
      <c r="AW289" s="104"/>
      <c r="AX289" s="90"/>
      <c r="AY289" s="90"/>
      <c r="AZ289" s="90"/>
      <c r="BA289" s="90"/>
      <c r="BB289" s="90"/>
      <c r="BC289" s="104"/>
      <c r="BD289" s="90"/>
      <c r="BE289" s="104"/>
      <c r="BF289" s="104"/>
      <c r="BG289" s="104"/>
      <c r="BH289" s="104"/>
      <c r="BI289" s="104"/>
      <c r="BJ289" s="90"/>
      <c r="BK289" s="26"/>
      <c r="BL289" s="26"/>
      <c r="BM289" s="26"/>
      <c r="BN289" s="26"/>
      <c r="BO289" s="26"/>
      <c r="BP289" s="90"/>
      <c r="BQ289" s="26"/>
      <c r="BR289" s="26"/>
      <c r="BS289" s="26"/>
      <c r="BT289" s="26"/>
      <c r="BU289" s="26"/>
      <c r="BV289" s="90"/>
      <c r="BW289" s="26"/>
      <c r="BX289" s="26"/>
      <c r="BY289" s="26"/>
      <c r="BZ289" s="26"/>
      <c r="CA289" s="26"/>
      <c r="CB289" s="90"/>
      <c r="CC289" s="26"/>
      <c r="CD289" s="26"/>
      <c r="CE289" s="26"/>
      <c r="CF289" s="26"/>
      <c r="CG289" s="26"/>
      <c r="CH289" s="90"/>
      <c r="CI289" s="26"/>
      <c r="CJ289" s="26"/>
      <c r="CK289" s="26"/>
      <c r="CL289" s="26"/>
      <c r="CM289" s="26"/>
      <c r="CN289" s="90"/>
      <c r="CO289" s="26"/>
      <c r="CP289" s="26"/>
      <c r="CQ289" s="26"/>
      <c r="CR289" s="26"/>
      <c r="CS289" s="26"/>
      <c r="CT289" s="90"/>
      <c r="CU289" s="26"/>
      <c r="CV289" s="26"/>
      <c r="CW289" s="26"/>
      <c r="CX289" s="26"/>
      <c r="CY289" s="26"/>
      <c r="CZ289" s="90"/>
      <c r="DA289" s="26"/>
      <c r="DB289" s="26"/>
      <c r="DC289" s="26"/>
      <c r="DD289" s="26"/>
      <c r="DE289" s="26"/>
      <c r="DF289" s="90"/>
      <c r="DG289" s="26"/>
      <c r="DH289" s="26"/>
      <c r="DI289" s="26"/>
      <c r="DJ289" s="26"/>
      <c r="DK289" s="26"/>
      <c r="DL289" s="90"/>
      <c r="DM289" s="26"/>
      <c r="DN289" s="26"/>
      <c r="DO289" s="26"/>
      <c r="DP289" s="26"/>
      <c r="DQ289" s="26"/>
      <c r="DR289" s="90"/>
      <c r="DS289" s="26"/>
      <c r="DT289" s="26"/>
      <c r="DU289" s="26"/>
      <c r="DV289" s="26"/>
      <c r="DW289" s="26"/>
      <c r="DX289" s="90"/>
      <c r="DY289" s="26"/>
      <c r="DZ289" s="26"/>
      <c r="EA289" s="26"/>
      <c r="EB289" s="26"/>
      <c r="EC289" s="26"/>
      <c r="ED289" s="90"/>
      <c r="EE289" s="26"/>
      <c r="EF289" s="26"/>
      <c r="EG289" s="26"/>
      <c r="EH289" s="26"/>
      <c r="EI289" s="26"/>
      <c r="EJ289" s="90"/>
      <c r="EK289" s="26"/>
      <c r="EL289" s="26"/>
      <c r="EM289" s="26"/>
      <c r="EN289" s="26"/>
      <c r="EO289" s="26"/>
      <c r="EP289" s="90"/>
      <c r="EQ289" s="26"/>
      <c r="ER289" s="26"/>
      <c r="ES289" s="26"/>
      <c r="ET289" s="26"/>
      <c r="EU289" s="26"/>
      <c r="EV289" s="90"/>
      <c r="EW289" s="90"/>
      <c r="EX289" s="90"/>
      <c r="EY289" s="90"/>
      <c r="EZ289" s="90"/>
      <c r="FA289" s="90"/>
      <c r="FB289" s="90"/>
    </row>
    <row r="290" spans="1:158" hidden="1">
      <c r="A290" s="69" t="s">
        <v>1797</v>
      </c>
      <c r="B290" s="32"/>
      <c r="C290" s="90"/>
      <c r="D290" s="90"/>
      <c r="E290" s="90"/>
      <c r="F290" s="90"/>
      <c r="G290" s="61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104"/>
      <c r="Z290" s="90"/>
      <c r="AA290" s="90"/>
      <c r="AB290" s="90"/>
      <c r="AC290" s="90"/>
      <c r="AD290" s="90"/>
      <c r="AE290" s="104"/>
      <c r="AF290" s="90"/>
      <c r="AG290" s="90"/>
      <c r="AH290" s="90"/>
      <c r="AI290" s="90"/>
      <c r="AJ290" s="90"/>
      <c r="AK290" s="104"/>
      <c r="AL290" s="90"/>
      <c r="AM290" s="90"/>
      <c r="AN290" s="90"/>
      <c r="AO290" s="90"/>
      <c r="AP290" s="90"/>
      <c r="AQ290" s="104"/>
      <c r="AR290" s="90"/>
      <c r="AS290" s="90"/>
      <c r="AT290" s="90"/>
      <c r="AU290" s="90"/>
      <c r="AV290" s="104"/>
      <c r="AW290" s="104"/>
      <c r="AX290" s="90"/>
      <c r="AY290" s="90"/>
      <c r="AZ290" s="90"/>
      <c r="BA290" s="90"/>
      <c r="BB290" s="90"/>
      <c r="BC290" s="104"/>
      <c r="BD290" s="90"/>
      <c r="BE290" s="104"/>
      <c r="BF290" s="104"/>
      <c r="BG290" s="104"/>
      <c r="BH290" s="104"/>
      <c r="BI290" s="104"/>
      <c r="BJ290" s="90"/>
      <c r="BK290" s="26"/>
      <c r="BL290" s="26"/>
      <c r="BM290" s="26"/>
      <c r="BN290" s="26"/>
      <c r="BO290" s="26"/>
      <c r="BP290" s="90"/>
      <c r="BQ290" s="26"/>
      <c r="BR290" s="26"/>
      <c r="BS290" s="26"/>
      <c r="BT290" s="26"/>
      <c r="BU290" s="26"/>
      <c r="BV290" s="90"/>
      <c r="BW290" s="26"/>
      <c r="BX290" s="26"/>
      <c r="BY290" s="26"/>
      <c r="BZ290" s="26"/>
      <c r="CA290" s="26"/>
      <c r="CB290" s="90"/>
      <c r="CC290" s="26"/>
      <c r="CD290" s="26"/>
      <c r="CE290" s="26"/>
      <c r="CF290" s="26"/>
      <c r="CG290" s="26"/>
      <c r="CH290" s="90"/>
      <c r="CI290" s="26"/>
      <c r="CJ290" s="26"/>
      <c r="CK290" s="26"/>
      <c r="CL290" s="26"/>
      <c r="CM290" s="26"/>
      <c r="CN290" s="90"/>
      <c r="CO290" s="26"/>
      <c r="CP290" s="26"/>
      <c r="CQ290" s="26"/>
      <c r="CR290" s="26"/>
      <c r="CS290" s="26"/>
      <c r="CT290" s="90"/>
      <c r="CU290" s="26"/>
      <c r="CV290" s="26"/>
      <c r="CW290" s="26"/>
      <c r="CX290" s="26"/>
      <c r="CY290" s="26"/>
      <c r="CZ290" s="90"/>
      <c r="DA290" s="26"/>
      <c r="DB290" s="26"/>
      <c r="DC290" s="26"/>
      <c r="DD290" s="26"/>
      <c r="DE290" s="26"/>
      <c r="DF290" s="90"/>
      <c r="DG290" s="26"/>
      <c r="DH290" s="26"/>
      <c r="DI290" s="26"/>
      <c r="DJ290" s="26"/>
      <c r="DK290" s="26"/>
      <c r="DL290" s="90"/>
      <c r="DM290" s="26"/>
      <c r="DN290" s="26"/>
      <c r="DO290" s="26"/>
      <c r="DP290" s="26"/>
      <c r="DQ290" s="26"/>
      <c r="DR290" s="90"/>
      <c r="DS290" s="26"/>
      <c r="DT290" s="26"/>
      <c r="DU290" s="26"/>
      <c r="DV290" s="26"/>
      <c r="DW290" s="26"/>
      <c r="DX290" s="90"/>
      <c r="DY290" s="26"/>
      <c r="DZ290" s="26"/>
      <c r="EA290" s="26"/>
      <c r="EB290" s="26"/>
      <c r="EC290" s="26"/>
      <c r="ED290" s="90"/>
      <c r="EE290" s="26"/>
      <c r="EF290" s="26"/>
      <c r="EG290" s="26"/>
      <c r="EH290" s="26"/>
      <c r="EI290" s="26"/>
      <c r="EJ290" s="90"/>
      <c r="EK290" s="26"/>
      <c r="EL290" s="26"/>
      <c r="EM290" s="26"/>
      <c r="EN290" s="26"/>
      <c r="EO290" s="26"/>
      <c r="EP290" s="90"/>
      <c r="EQ290" s="26"/>
      <c r="ER290" s="26"/>
      <c r="ES290" s="26"/>
      <c r="ET290" s="26"/>
      <c r="EU290" s="26"/>
      <c r="EV290" s="90"/>
      <c r="EW290" s="90"/>
      <c r="EX290" s="90"/>
      <c r="EY290" s="90"/>
      <c r="EZ290" s="90"/>
      <c r="FA290" s="90"/>
      <c r="FB290" s="90"/>
    </row>
    <row r="291" spans="1:158" hidden="1">
      <c r="A291" s="90" t="s">
        <v>3499</v>
      </c>
      <c r="B291" s="32"/>
      <c r="C291" s="90"/>
      <c r="D291" s="90"/>
      <c r="E291" s="90"/>
      <c r="F291" s="90"/>
      <c r="G291" s="61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245">
        <f>S285/S141</f>
        <v>0.96107855717587753</v>
      </c>
      <c r="T291" s="90"/>
      <c r="U291" s="90"/>
      <c r="V291" s="90"/>
      <c r="W291" s="90"/>
      <c r="X291" s="245"/>
      <c r="Y291" s="244">
        <f>Y285/Y141</f>
        <v>1.1226678289253229</v>
      </c>
      <c r="Z291" s="90"/>
      <c r="AA291" s="90"/>
      <c r="AB291" s="90"/>
      <c r="AC291" s="90"/>
      <c r="AD291" s="90"/>
      <c r="AE291" s="244">
        <f>AE285/AE141</f>
        <v>0.9963741943069172</v>
      </c>
      <c r="AF291" s="90"/>
      <c r="AG291" s="90"/>
      <c r="AH291" s="90"/>
      <c r="AI291" s="90"/>
      <c r="AJ291" s="90"/>
      <c r="AK291" s="244">
        <f>AK285/AK141</f>
        <v>0.94085716856861568</v>
      </c>
      <c r="AL291" s="90"/>
      <c r="AM291" s="90"/>
      <c r="AN291" s="90"/>
      <c r="AO291" s="90"/>
      <c r="AP291" s="90"/>
      <c r="AQ291" s="244">
        <f>AQ285/AQ141</f>
        <v>1.0004840758773357</v>
      </c>
      <c r="AR291" s="90"/>
      <c r="AS291" s="90"/>
      <c r="AT291" s="90"/>
      <c r="AU291" s="90"/>
      <c r="AV291" s="244"/>
      <c r="AW291" s="244">
        <f>AW285/AW141</f>
        <v>0.97309151173277519</v>
      </c>
      <c r="AX291" s="90"/>
      <c r="AY291" s="244"/>
      <c r="AZ291" s="244"/>
      <c r="BA291" s="244"/>
      <c r="BB291" s="353"/>
      <c r="BC291" s="244">
        <f>BC285/BC141</f>
        <v>0.78734212711800411</v>
      </c>
      <c r="BD291" s="90"/>
      <c r="BE291" s="244">
        <f>BE285/BE141</f>
        <v>0.97028585584717641</v>
      </c>
      <c r="BF291" s="244">
        <f>BF285/BF141</f>
        <v>0.85243585019725743</v>
      </c>
      <c r="BG291" s="244">
        <f>BG285/BG141</f>
        <v>0.74591070841182971</v>
      </c>
      <c r="BH291" s="244"/>
      <c r="BI291" s="244">
        <f>BI285/BI141</f>
        <v>0.85571075972400079</v>
      </c>
      <c r="BJ291" s="90"/>
      <c r="BK291" s="244">
        <f>BK285/BK141</f>
        <v>0.96539145805062043</v>
      </c>
      <c r="BL291" s="26"/>
      <c r="BM291" s="26"/>
      <c r="BN291" s="26"/>
      <c r="BO291" s="787">
        <f>BO285/BO141</f>
        <v>1.0988391637341481</v>
      </c>
      <c r="BP291" s="90"/>
      <c r="BQ291" s="26"/>
      <c r="BR291" s="26"/>
      <c r="BS291" s="26"/>
      <c r="BT291" s="26"/>
      <c r="BU291" s="787">
        <f>BU285/BU141</f>
        <v>1.0280496298448853</v>
      </c>
      <c r="BV291" s="90"/>
      <c r="BW291" s="26"/>
      <c r="BX291" s="26"/>
      <c r="BY291" s="26"/>
      <c r="BZ291" s="58"/>
      <c r="CA291" s="787">
        <f>CA285/CA141</f>
        <v>1.6847752026366882</v>
      </c>
      <c r="CB291" s="90"/>
      <c r="CC291" s="26"/>
      <c r="CD291" s="26"/>
      <c r="CE291" s="26"/>
      <c r="CF291" s="26"/>
      <c r="CG291" s="787">
        <f>CG285/CG141</f>
        <v>2.6788430959400968</v>
      </c>
      <c r="CH291" s="90"/>
      <c r="CI291" s="26"/>
      <c r="CJ291" s="26"/>
      <c r="CK291" s="26"/>
      <c r="CL291" s="58"/>
      <c r="CM291" s="787">
        <f>CM285/CM141</f>
        <v>2.0281719774838787</v>
      </c>
      <c r="CN291" s="90"/>
      <c r="CO291" s="26"/>
      <c r="CP291" s="26"/>
      <c r="CQ291" s="26"/>
      <c r="CR291" s="58"/>
      <c r="CS291" s="787" t="e">
        <f ca="1">CS285/CS141</f>
        <v>#NAME?</v>
      </c>
      <c r="CT291" s="90"/>
      <c r="CU291" s="26"/>
      <c r="CV291" s="26"/>
      <c r="CW291" s="26"/>
      <c r="CX291" s="58"/>
      <c r="CY291" s="787">
        <f>CY285/CY141</f>
        <v>2.3702642273407459</v>
      </c>
      <c r="CZ291" s="90"/>
      <c r="DA291" s="26"/>
      <c r="DB291" s="26"/>
      <c r="DC291" s="26"/>
      <c r="DD291" s="58"/>
      <c r="DE291" s="787">
        <f>DE285/DE141</f>
        <v>2.4454920111853915</v>
      </c>
      <c r="DF291" s="90"/>
      <c r="DG291" s="26"/>
      <c r="DH291" s="26"/>
      <c r="DI291" s="26"/>
      <c r="DJ291" s="58"/>
      <c r="DK291" s="787">
        <f>DK285/DK141</f>
        <v>2.603838582210988</v>
      </c>
      <c r="DL291" s="90"/>
      <c r="DM291" s="26"/>
      <c r="DN291" s="26"/>
      <c r="DO291" s="26"/>
      <c r="DP291" s="58"/>
      <c r="DQ291" s="787">
        <f>DQ285/DQ141</f>
        <v>2.7724381560846334</v>
      </c>
      <c r="DR291" s="90"/>
      <c r="DS291" s="26"/>
      <c r="DT291" s="26"/>
      <c r="DU291" s="26"/>
      <c r="DV291" s="58"/>
      <c r="DW291" s="787">
        <f>DW285/DW141</f>
        <v>2.9519546187794887</v>
      </c>
      <c r="DX291" s="90"/>
      <c r="DY291" s="26"/>
      <c r="DZ291" s="26"/>
      <c r="EA291" s="26"/>
      <c r="EB291" s="58"/>
      <c r="EC291" s="787">
        <f>EC285/EC141</f>
        <v>3.1430948431469887</v>
      </c>
      <c r="ED291" s="90"/>
      <c r="EE291" s="26"/>
      <c r="EF291" s="26"/>
      <c r="EG291" s="26"/>
      <c r="EH291" s="58"/>
      <c r="EI291" s="787">
        <f>EI285/EI141</f>
        <v>3.2757473688954226</v>
      </c>
      <c r="EJ291" s="90"/>
      <c r="EK291" s="26"/>
      <c r="EL291" s="26"/>
      <c r="EM291" s="26"/>
      <c r="EN291" s="58"/>
      <c r="EO291" s="787">
        <f>EO285/EO141</f>
        <v>3.2757473688954217</v>
      </c>
      <c r="EP291" s="90"/>
      <c r="EQ291" s="26"/>
      <c r="ER291" s="26"/>
      <c r="ES291" s="26"/>
      <c r="ET291" s="58"/>
      <c r="EU291" s="787">
        <f>EU285/EU141</f>
        <v>3.2757473688954222</v>
      </c>
      <c r="EV291" s="90"/>
      <c r="EW291" s="90"/>
      <c r="EX291" s="90"/>
      <c r="EY291" s="90"/>
      <c r="EZ291" s="90"/>
      <c r="FA291" s="90"/>
      <c r="FB291" s="90"/>
    </row>
    <row r="292" spans="1:158" hidden="1">
      <c r="A292" s="90" t="s">
        <v>3500</v>
      </c>
      <c r="B292" s="32"/>
      <c r="C292" s="90"/>
      <c r="D292" s="90"/>
      <c r="E292" s="90"/>
      <c r="F292" s="90"/>
      <c r="G292" s="61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245">
        <f>S287/S141</f>
        <v>0.65160546737547842</v>
      </c>
      <c r="T292" s="90"/>
      <c r="U292" s="90"/>
      <c r="V292" s="90"/>
      <c r="W292" s="90"/>
      <c r="X292" s="245"/>
      <c r="Y292" s="244">
        <f>Y287/Y141</f>
        <v>0.73267382947528037</v>
      </c>
      <c r="Z292" s="90"/>
      <c r="AA292" s="90"/>
      <c r="AB292" s="90"/>
      <c r="AC292" s="90"/>
      <c r="AD292" s="90"/>
      <c r="AE292" s="244">
        <f>AE287/AE141</f>
        <v>0.81235633529585838</v>
      </c>
      <c r="AF292" s="90"/>
      <c r="AG292" s="90"/>
      <c r="AH292" s="90"/>
      <c r="AI292" s="90"/>
      <c r="AJ292" s="90"/>
      <c r="AK292" s="244">
        <f>AK287/AK141</f>
        <v>0.70802727891090811</v>
      </c>
      <c r="AL292" s="90"/>
      <c r="AM292" s="90"/>
      <c r="AN292" s="90"/>
      <c r="AO292" s="90"/>
      <c r="AP292" s="90"/>
      <c r="AQ292" s="244">
        <f>AQ287/AQ141</f>
        <v>0.93620897950364568</v>
      </c>
      <c r="AR292" s="90"/>
      <c r="AS292" s="90"/>
      <c r="AT292" s="90"/>
      <c r="AU292" s="90"/>
      <c r="AV292" s="244"/>
      <c r="AW292" s="244">
        <f>AW287/AW141</f>
        <v>0.80700830984482153</v>
      </c>
      <c r="AX292" s="90"/>
      <c r="AY292" s="244"/>
      <c r="AZ292" s="244"/>
      <c r="BA292" s="244"/>
      <c r="BB292" s="353"/>
      <c r="BC292" s="244">
        <f>BC287/BC141</f>
        <v>0.38018917782068012</v>
      </c>
      <c r="BD292" s="90"/>
      <c r="BE292" s="244">
        <f>BE287/BE141</f>
        <v>0.30180117299400527</v>
      </c>
      <c r="BF292" s="244">
        <f>BF287/BF141</f>
        <v>0.27009259876015973</v>
      </c>
      <c r="BG292" s="244">
        <f>BG287/BG141</f>
        <v>0.22535211267605632</v>
      </c>
      <c r="BH292" s="244"/>
      <c r="BI292" s="244">
        <f>BI287/BI141</f>
        <v>0.24728165208449049</v>
      </c>
      <c r="BJ292" s="90"/>
      <c r="BK292" s="244">
        <f>BK287/BK141</f>
        <v>0.30491431319457857</v>
      </c>
      <c r="BL292" s="26"/>
      <c r="BM292" s="26"/>
      <c r="BN292" s="26"/>
      <c r="BO292" s="124">
        <f>BO287/BO141</f>
        <v>0</v>
      </c>
      <c r="BP292" s="90"/>
      <c r="BQ292" s="26"/>
      <c r="BR292" s="26"/>
      <c r="BS292" s="26"/>
      <c r="BT292" s="26"/>
      <c r="BU292" s="124">
        <f>BU287/BU141</f>
        <v>0</v>
      </c>
      <c r="BV292" s="90"/>
      <c r="BW292" s="26"/>
      <c r="BX292" s="26"/>
      <c r="BY292" s="26"/>
      <c r="BZ292" s="26"/>
      <c r="CA292" s="124">
        <f>CA287/CA141</f>
        <v>0</v>
      </c>
      <c r="CB292" s="90"/>
      <c r="CC292" s="26"/>
      <c r="CD292" s="26"/>
      <c r="CE292" s="26"/>
      <c r="CF292" s="26"/>
      <c r="CG292" s="124">
        <f>CG287/CG141</f>
        <v>0</v>
      </c>
      <c r="CH292" s="90"/>
      <c r="CI292" s="26"/>
      <c r="CJ292" s="26"/>
      <c r="CK292" s="26"/>
      <c r="CL292" s="26"/>
      <c r="CM292" s="124">
        <f>CM287/CM141</f>
        <v>0</v>
      </c>
      <c r="CN292" s="90"/>
      <c r="CO292" s="26"/>
      <c r="CP292" s="26"/>
      <c r="CQ292" s="26"/>
      <c r="CR292" s="26"/>
      <c r="CS292" s="124" t="e">
        <f ca="1">CS287/CS141</f>
        <v>#NAME?</v>
      </c>
      <c r="CT292" s="90"/>
      <c r="CU292" s="26"/>
      <c r="CV292" s="26"/>
      <c r="CW292" s="26"/>
      <c r="CX292" s="26"/>
      <c r="CY292" s="124">
        <f>CY287/CY141</f>
        <v>0</v>
      </c>
      <c r="CZ292" s="90"/>
      <c r="DA292" s="26"/>
      <c r="DB292" s="26"/>
      <c r="DC292" s="26"/>
      <c r="DD292" s="26"/>
      <c r="DE292" s="124">
        <f>DE287/DE141</f>
        <v>0</v>
      </c>
      <c r="DF292" s="90"/>
      <c r="DG292" s="26"/>
      <c r="DH292" s="26"/>
      <c r="DI292" s="26"/>
      <c r="DJ292" s="26"/>
      <c r="DK292" s="124">
        <f>DK287/DK141</f>
        <v>0</v>
      </c>
      <c r="DL292" s="90"/>
      <c r="DM292" s="26"/>
      <c r="DN292" s="26"/>
      <c r="DO292" s="26"/>
      <c r="DP292" s="26"/>
      <c r="DQ292" s="124">
        <f>DQ287/DQ141</f>
        <v>0</v>
      </c>
      <c r="DR292" s="90"/>
      <c r="DS292" s="26"/>
      <c r="DT292" s="26"/>
      <c r="DU292" s="26"/>
      <c r="DV292" s="26"/>
      <c r="DW292" s="124">
        <f>DW287/DW141</f>
        <v>0</v>
      </c>
      <c r="DX292" s="90"/>
      <c r="DY292" s="26"/>
      <c r="DZ292" s="26"/>
      <c r="EA292" s="26"/>
      <c r="EB292" s="26"/>
      <c r="EC292" s="124">
        <f>EC287/EC141</f>
        <v>0</v>
      </c>
      <c r="ED292" s="90"/>
      <c r="EE292" s="26"/>
      <c r="EF292" s="26"/>
      <c r="EG292" s="26"/>
      <c r="EH292" s="26"/>
      <c r="EI292" s="124">
        <f>EI287/EI141</f>
        <v>0</v>
      </c>
      <c r="EJ292" s="90"/>
      <c r="EK292" s="26"/>
      <c r="EL292" s="26"/>
      <c r="EM292" s="26"/>
      <c r="EN292" s="26"/>
      <c r="EO292" s="124">
        <f>EO287/EO141</f>
        <v>0</v>
      </c>
      <c r="EP292" s="90"/>
      <c r="EQ292" s="26"/>
      <c r="ER292" s="26"/>
      <c r="ES292" s="26"/>
      <c r="ET292" s="26"/>
      <c r="EU292" s="124">
        <f>EU287/EU141</f>
        <v>0</v>
      </c>
      <c r="EV292" s="90"/>
      <c r="EW292" s="90"/>
      <c r="EX292" s="90"/>
      <c r="EY292" s="90"/>
      <c r="EZ292" s="90"/>
      <c r="FA292" s="90"/>
      <c r="FB292" s="90"/>
    </row>
    <row r="293" spans="1:158" hidden="1">
      <c r="A293" s="90" t="s">
        <v>3501</v>
      </c>
      <c r="B293" s="32"/>
      <c r="C293" s="90"/>
      <c r="D293" s="90"/>
      <c r="E293" s="90"/>
      <c r="F293" s="90"/>
      <c r="G293" s="61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245">
        <f>S288/S141</f>
        <v>0.79277787259506483</v>
      </c>
      <c r="T293" s="90"/>
      <c r="U293" s="90"/>
      <c r="V293" s="90"/>
      <c r="W293" s="90"/>
      <c r="X293" s="245"/>
      <c r="Y293" s="244">
        <f>Y288/Y141</f>
        <v>1.1226678289253229</v>
      </c>
      <c r="Z293" s="90"/>
      <c r="AA293" s="90"/>
      <c r="AB293" s="90"/>
      <c r="AC293" s="90"/>
      <c r="AD293" s="90"/>
      <c r="AE293" s="244">
        <f>AE288/AE141</f>
        <v>0.97862627897082521</v>
      </c>
      <c r="AF293" s="90"/>
      <c r="AG293" s="90"/>
      <c r="AH293" s="90"/>
      <c r="AI293" s="90"/>
      <c r="AJ293" s="90"/>
      <c r="AK293" s="244">
        <f>AK288/AK141</f>
        <v>0.88194840130582219</v>
      </c>
      <c r="AL293" s="90"/>
      <c r="AM293" s="90"/>
      <c r="AN293" s="90"/>
      <c r="AO293" s="90"/>
      <c r="AP293" s="90"/>
      <c r="AQ293" s="244">
        <f>AQ288/AQ141</f>
        <v>1.0712516062281661</v>
      </c>
      <c r="AR293" s="90"/>
      <c r="AS293" s="90"/>
      <c r="AT293" s="90"/>
      <c r="AU293" s="90"/>
      <c r="AV293" s="244"/>
      <c r="AW293" s="244">
        <f>AW288/AW141</f>
        <v>0.9023110867671037</v>
      </c>
      <c r="AX293" s="90"/>
      <c r="AY293" s="244"/>
      <c r="AZ293" s="244"/>
      <c r="BA293" s="244"/>
      <c r="BB293" s="353"/>
      <c r="BC293" s="244">
        <f>BC288/BC141</f>
        <v>0.37749280067301572</v>
      </c>
      <c r="BD293" s="90"/>
      <c r="BE293" s="244">
        <f>BE288/BE141</f>
        <v>0.44827796379565593</v>
      </c>
      <c r="BF293" s="244">
        <f>BF288/BF141</f>
        <v>0.4058415323721859</v>
      </c>
      <c r="BG293" s="244">
        <f>BG288/BG141</f>
        <v>0.37080230854340479</v>
      </c>
      <c r="BH293" s="244"/>
      <c r="BI293" s="244">
        <f>BI288/BI141</f>
        <v>0.43432802994327185</v>
      </c>
      <c r="BJ293" s="90"/>
      <c r="BK293" s="244">
        <f>BK288/BK141</f>
        <v>0.49676476193277819</v>
      </c>
      <c r="BL293" s="26"/>
      <c r="BM293" s="26"/>
      <c r="BN293" s="26"/>
      <c r="BO293" s="124">
        <f>BO288/BO141</f>
        <v>0</v>
      </c>
      <c r="BP293" s="90"/>
      <c r="BQ293" s="26"/>
      <c r="BR293" s="26"/>
      <c r="BS293" s="26"/>
      <c r="BT293" s="26"/>
      <c r="BU293" s="124">
        <f>BU288/BU141</f>
        <v>0</v>
      </c>
      <c r="BV293" s="90"/>
      <c r="BW293" s="26"/>
      <c r="BX293" s="26"/>
      <c r="BY293" s="26"/>
      <c r="BZ293" s="26"/>
      <c r="CA293" s="124">
        <f>CA288/CA141</f>
        <v>0</v>
      </c>
      <c r="CB293" s="90"/>
      <c r="CC293" s="26"/>
      <c r="CD293" s="26"/>
      <c r="CE293" s="26"/>
      <c r="CF293" s="26"/>
      <c r="CG293" s="124">
        <f>CG288/CG141</f>
        <v>0</v>
      </c>
      <c r="CH293" s="90"/>
      <c r="CI293" s="26"/>
      <c r="CJ293" s="26"/>
      <c r="CK293" s="26"/>
      <c r="CL293" s="26"/>
      <c r="CM293" s="124">
        <f>CM288/CM141</f>
        <v>0</v>
      </c>
      <c r="CN293" s="90"/>
      <c r="CO293" s="26"/>
      <c r="CP293" s="26"/>
      <c r="CQ293" s="26"/>
      <c r="CR293" s="26"/>
      <c r="CS293" s="124" t="e">
        <f ca="1">CS288/CS141</f>
        <v>#NAME?</v>
      </c>
      <c r="CT293" s="90"/>
      <c r="CU293" s="26"/>
      <c r="CV293" s="26"/>
      <c r="CW293" s="26"/>
      <c r="CX293" s="26"/>
      <c r="CY293" s="124">
        <f>CY288/CY141</f>
        <v>0</v>
      </c>
      <c r="CZ293" s="90"/>
      <c r="DA293" s="26"/>
      <c r="DB293" s="26"/>
      <c r="DC293" s="26"/>
      <c r="DD293" s="26"/>
      <c r="DE293" s="124">
        <f>DE288/DE141</f>
        <v>0</v>
      </c>
      <c r="DF293" s="90"/>
      <c r="DG293" s="26"/>
      <c r="DH293" s="26"/>
      <c r="DI293" s="26"/>
      <c r="DJ293" s="26"/>
      <c r="DK293" s="124">
        <f>DK288/DK141</f>
        <v>0</v>
      </c>
      <c r="DL293" s="90"/>
      <c r="DM293" s="26"/>
      <c r="DN293" s="26"/>
      <c r="DO293" s="26"/>
      <c r="DP293" s="26"/>
      <c r="DQ293" s="124">
        <f>DQ288/DQ141</f>
        <v>0</v>
      </c>
      <c r="DR293" s="90"/>
      <c r="DS293" s="26"/>
      <c r="DT293" s="26"/>
      <c r="DU293" s="26"/>
      <c r="DV293" s="26"/>
      <c r="DW293" s="124">
        <f>DW288/DW141</f>
        <v>0</v>
      </c>
      <c r="DX293" s="90"/>
      <c r="DY293" s="26"/>
      <c r="DZ293" s="26"/>
      <c r="EA293" s="26"/>
      <c r="EB293" s="26"/>
      <c r="EC293" s="124">
        <f>EC288/EC141</f>
        <v>0</v>
      </c>
      <c r="ED293" s="90"/>
      <c r="EE293" s="26"/>
      <c r="EF293" s="26"/>
      <c r="EG293" s="26"/>
      <c r="EH293" s="26"/>
      <c r="EI293" s="124">
        <f>EI288/EI141</f>
        <v>0</v>
      </c>
      <c r="EJ293" s="90"/>
      <c r="EK293" s="26"/>
      <c r="EL293" s="26"/>
      <c r="EM293" s="26"/>
      <c r="EN293" s="26"/>
      <c r="EO293" s="124">
        <f>EO288/EO141</f>
        <v>0</v>
      </c>
      <c r="EP293" s="90"/>
      <c r="EQ293" s="26"/>
      <c r="ER293" s="26"/>
      <c r="ES293" s="26"/>
      <c r="ET293" s="26"/>
      <c r="EU293" s="124">
        <f>EU288/EU141</f>
        <v>0</v>
      </c>
      <c r="EV293" s="90"/>
      <c r="EW293" s="90"/>
      <c r="EX293" s="90"/>
      <c r="EY293" s="90"/>
      <c r="EZ293" s="90"/>
      <c r="FA293" s="90"/>
      <c r="FB293" s="90"/>
    </row>
    <row r="294" spans="1:158" hidden="1">
      <c r="A294" s="90"/>
      <c r="B294" s="32"/>
      <c r="C294" s="90"/>
      <c r="D294" s="90"/>
      <c r="E294" s="90"/>
      <c r="F294" s="90"/>
      <c r="G294" s="61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104"/>
      <c r="Z294" s="90"/>
      <c r="AA294" s="90"/>
      <c r="AB294" s="90"/>
      <c r="AC294" s="90"/>
      <c r="AD294" s="90"/>
      <c r="AE294" s="104"/>
      <c r="AF294" s="90"/>
      <c r="AG294" s="90"/>
      <c r="AH294" s="90"/>
      <c r="AI294" s="90"/>
      <c r="AJ294" s="90"/>
      <c r="AK294" s="104"/>
      <c r="AL294" s="90"/>
      <c r="AM294" s="90"/>
      <c r="AN294" s="90"/>
      <c r="AO294" s="90"/>
      <c r="AP294" s="90"/>
      <c r="AQ294" s="104"/>
      <c r="AR294" s="90"/>
      <c r="AS294" s="90"/>
      <c r="AT294" s="90"/>
      <c r="AU294" s="90"/>
      <c r="AV294" s="104"/>
      <c r="AW294" s="104"/>
      <c r="AX294" s="90"/>
      <c r="AY294" s="90"/>
      <c r="AZ294" s="90"/>
      <c r="BA294" s="90"/>
      <c r="BB294" s="90"/>
      <c r="BC294" s="104"/>
      <c r="BD294" s="90"/>
      <c r="BE294" s="104"/>
      <c r="BF294" s="104"/>
      <c r="BG294" s="104"/>
      <c r="BH294" s="104"/>
      <c r="BI294" s="104"/>
      <c r="BJ294" s="90"/>
      <c r="BK294" s="26"/>
      <c r="BL294" s="26"/>
      <c r="BM294" s="26"/>
      <c r="BN294" s="26"/>
      <c r="BO294" s="26"/>
      <c r="BP294" s="90"/>
      <c r="BQ294" s="26"/>
      <c r="BR294" s="26"/>
      <c r="BS294" s="26"/>
      <c r="BT294" s="26"/>
      <c r="BU294" s="26"/>
      <c r="BV294" s="90"/>
      <c r="BW294" s="26"/>
      <c r="BX294" s="26"/>
      <c r="BY294" s="26"/>
      <c r="BZ294" s="26"/>
      <c r="CA294" s="26"/>
      <c r="CB294" s="90"/>
      <c r="CC294" s="26"/>
      <c r="CD294" s="26"/>
      <c r="CE294" s="26"/>
      <c r="CF294" s="26"/>
      <c r="CG294" s="26"/>
      <c r="CH294" s="90"/>
      <c r="CI294" s="26"/>
      <c r="CJ294" s="26"/>
      <c r="CK294" s="26"/>
      <c r="CL294" s="26"/>
      <c r="CM294" s="26"/>
      <c r="CN294" s="90"/>
      <c r="CO294" s="26"/>
      <c r="CP294" s="26"/>
      <c r="CQ294" s="26"/>
      <c r="CR294" s="26"/>
      <c r="CS294" s="26"/>
      <c r="CT294" s="90"/>
      <c r="CU294" s="26"/>
      <c r="CV294" s="26"/>
      <c r="CW294" s="26"/>
      <c r="CX294" s="26"/>
      <c r="CY294" s="26"/>
      <c r="CZ294" s="90"/>
      <c r="DA294" s="26"/>
      <c r="DB294" s="26"/>
      <c r="DC294" s="26"/>
      <c r="DD294" s="26"/>
      <c r="DE294" s="26"/>
      <c r="DF294" s="90"/>
      <c r="DG294" s="26"/>
      <c r="DH294" s="26"/>
      <c r="DI294" s="26"/>
      <c r="DJ294" s="26"/>
      <c r="DK294" s="26"/>
      <c r="DL294" s="90"/>
      <c r="DM294" s="26"/>
      <c r="DN294" s="26"/>
      <c r="DO294" s="26"/>
      <c r="DP294" s="26"/>
      <c r="DQ294" s="26"/>
      <c r="DR294" s="90"/>
      <c r="DS294" s="26"/>
      <c r="DT294" s="26"/>
      <c r="DU294" s="26"/>
      <c r="DV294" s="26"/>
      <c r="DW294" s="26"/>
      <c r="DX294" s="90"/>
      <c r="DY294" s="26"/>
      <c r="DZ294" s="26"/>
      <c r="EA294" s="26"/>
      <c r="EB294" s="26"/>
      <c r="EC294" s="26"/>
      <c r="ED294" s="90"/>
      <c r="EE294" s="26"/>
      <c r="EF294" s="26"/>
      <c r="EG294" s="26"/>
      <c r="EH294" s="26"/>
      <c r="EI294" s="26"/>
      <c r="EJ294" s="90"/>
      <c r="EK294" s="26"/>
      <c r="EL294" s="26"/>
      <c r="EM294" s="26"/>
      <c r="EN294" s="26"/>
      <c r="EO294" s="26"/>
      <c r="EP294" s="90"/>
      <c r="EQ294" s="26"/>
      <c r="ER294" s="26"/>
      <c r="ES294" s="26"/>
      <c r="ET294" s="26"/>
      <c r="EU294" s="26"/>
      <c r="EV294" s="90"/>
      <c r="EW294" s="90"/>
      <c r="EX294" s="90"/>
      <c r="EY294" s="90"/>
      <c r="EZ294" s="90"/>
      <c r="FA294" s="90"/>
      <c r="FB294" s="90"/>
    </row>
    <row r="295" spans="1:158" hidden="1">
      <c r="A295" s="185" t="s">
        <v>1798</v>
      </c>
      <c r="B295" s="32"/>
      <c r="C295" s="90"/>
      <c r="D295" s="90"/>
      <c r="E295" s="90"/>
      <c r="F295" s="90"/>
      <c r="G295" s="61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168">
        <f>6.498*4</f>
        <v>25.992000000000001</v>
      </c>
      <c r="T295" s="90"/>
      <c r="U295" s="90"/>
      <c r="V295" s="90"/>
      <c r="W295" s="90"/>
      <c r="X295" s="90"/>
      <c r="Y295" s="208">
        <f>7.662*4</f>
        <v>30.648</v>
      </c>
      <c r="Z295" s="90"/>
      <c r="AA295" s="90"/>
      <c r="AB295" s="90"/>
      <c r="AC295" s="90"/>
      <c r="AD295" s="90"/>
      <c r="AE295" s="208">
        <f>5.5782*4</f>
        <v>22.312799999999999</v>
      </c>
      <c r="AF295" s="90"/>
      <c r="AG295" s="90"/>
      <c r="AH295" s="90"/>
      <c r="AI295" s="90"/>
      <c r="AJ295" s="90"/>
      <c r="AK295" s="208">
        <f>2*12.597</f>
        <v>25.193999999999999</v>
      </c>
      <c r="AL295" s="90"/>
      <c r="AM295" s="90"/>
      <c r="AN295" s="90"/>
      <c r="AO295" s="90"/>
      <c r="AP295" s="90"/>
      <c r="AQ295" s="208">
        <f>14.17*2</f>
        <v>28.34</v>
      </c>
      <c r="AR295" s="90"/>
      <c r="AS295" s="208">
        <f>15.587*2</f>
        <v>31.173999999999999</v>
      </c>
      <c r="AT295" s="208">
        <f>2*15.613</f>
        <v>31.225999999999999</v>
      </c>
      <c r="AU295" s="208">
        <f>16.527*2</f>
        <v>33.054000000000002</v>
      </c>
      <c r="AV295" s="208">
        <f>2*13.253</f>
        <v>26.506</v>
      </c>
      <c r="AW295" s="208">
        <f>AV295</f>
        <v>26.506</v>
      </c>
      <c r="AX295" s="90"/>
      <c r="AY295" s="208">
        <f>8.98*2</f>
        <v>17.96</v>
      </c>
      <c r="AZ295" s="208">
        <f>7.19*2</f>
        <v>14.38</v>
      </c>
      <c r="BA295" s="208">
        <f>14.249</f>
        <v>14.249000000000001</v>
      </c>
      <c r="BB295" s="208">
        <f>BC295</f>
        <v>12.637</v>
      </c>
      <c r="BC295" s="208">
        <v>12.637</v>
      </c>
      <c r="BD295" s="90"/>
      <c r="BE295" s="208">
        <v>13.319000000000001</v>
      </c>
      <c r="BF295" s="208">
        <v>13.871</v>
      </c>
      <c r="BG295" s="208">
        <v>12.871</v>
      </c>
      <c r="BH295" s="208">
        <f>BI295</f>
        <v>12.513999999999999</v>
      </c>
      <c r="BI295" s="208">
        <v>12.513999999999999</v>
      </c>
      <c r="BJ295" s="90"/>
      <c r="BK295" s="26">
        <v>13.563000000000001</v>
      </c>
      <c r="BL295" s="26"/>
      <c r="BM295" s="26"/>
      <c r="BN295" s="26"/>
      <c r="BO295" s="26"/>
      <c r="BP295" s="90"/>
      <c r="BQ295" s="26"/>
      <c r="BR295" s="26"/>
      <c r="BS295" s="26"/>
      <c r="BT295" s="26"/>
      <c r="BU295" s="26"/>
      <c r="BV295" s="90"/>
      <c r="BW295" s="26"/>
      <c r="BX295" s="26"/>
      <c r="BY295" s="26"/>
      <c r="BZ295" s="26"/>
      <c r="CA295" s="26"/>
      <c r="CB295" s="90"/>
      <c r="CC295" s="26"/>
      <c r="CD295" s="26"/>
      <c r="CE295" s="26"/>
      <c r="CF295" s="26"/>
      <c r="CG295" s="26"/>
      <c r="CH295" s="90"/>
      <c r="CI295" s="26"/>
      <c r="CJ295" s="26"/>
      <c r="CK295" s="26"/>
      <c r="CL295" s="26"/>
      <c r="CM295" s="26"/>
      <c r="CN295" s="90"/>
      <c r="CO295" s="26"/>
      <c r="CP295" s="26"/>
      <c r="CQ295" s="26"/>
      <c r="CR295" s="26"/>
      <c r="CS295" s="26"/>
      <c r="CT295" s="90"/>
      <c r="CU295" s="26"/>
      <c r="CV295" s="26"/>
      <c r="CW295" s="26"/>
      <c r="CX295" s="26"/>
      <c r="CY295" s="26"/>
      <c r="CZ295" s="90"/>
      <c r="DA295" s="26"/>
      <c r="DB295" s="26"/>
      <c r="DC295" s="26"/>
      <c r="DD295" s="26"/>
      <c r="DE295" s="26"/>
      <c r="DF295" s="90"/>
      <c r="DG295" s="26"/>
      <c r="DH295" s="26"/>
      <c r="DI295" s="26"/>
      <c r="DJ295" s="26"/>
      <c r="DK295" s="26"/>
      <c r="DL295" s="90"/>
      <c r="DM295" s="26"/>
      <c r="DN295" s="26"/>
      <c r="DO295" s="26"/>
      <c r="DP295" s="26"/>
      <c r="DQ295" s="26"/>
      <c r="DR295" s="90"/>
      <c r="DS295" s="26"/>
      <c r="DT295" s="26"/>
      <c r="DU295" s="26"/>
      <c r="DV295" s="26"/>
      <c r="DW295" s="26"/>
      <c r="DX295" s="90"/>
      <c r="DY295" s="26"/>
      <c r="DZ295" s="26"/>
      <c r="EA295" s="26"/>
      <c r="EB295" s="26"/>
      <c r="EC295" s="26"/>
      <c r="ED295" s="90"/>
      <c r="EE295" s="26"/>
      <c r="EF295" s="26"/>
      <c r="EG295" s="26"/>
      <c r="EH295" s="26"/>
      <c r="EI295" s="26"/>
      <c r="EJ295" s="90"/>
      <c r="EK295" s="26"/>
      <c r="EL295" s="26"/>
      <c r="EM295" s="26"/>
      <c r="EN295" s="26"/>
      <c r="EO295" s="26"/>
      <c r="EP295" s="90"/>
      <c r="EQ295" s="26"/>
      <c r="ER295" s="26"/>
      <c r="ES295" s="26"/>
      <c r="ET295" s="26"/>
      <c r="EU295" s="26"/>
      <c r="EV295" s="90"/>
      <c r="EW295" s="90"/>
      <c r="EX295" s="90"/>
      <c r="EY295" s="90"/>
      <c r="EZ295" s="90"/>
      <c r="FA295" s="90"/>
      <c r="FB295" s="90"/>
    </row>
    <row r="296" spans="1:158" hidden="1">
      <c r="A296" s="185" t="s">
        <v>1799</v>
      </c>
      <c r="B296" s="32"/>
      <c r="C296" s="90"/>
      <c r="D296" s="90"/>
      <c r="E296" s="90"/>
      <c r="F296" s="90"/>
      <c r="G296" s="61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168">
        <f>30.34/4</f>
        <v>7.585</v>
      </c>
      <c r="T296" s="90"/>
      <c r="U296" s="90"/>
      <c r="V296" s="90"/>
      <c r="W296" s="90"/>
      <c r="X296" s="90"/>
      <c r="Y296" s="248">
        <f>31.2/4</f>
        <v>7.8</v>
      </c>
      <c r="Z296" s="90"/>
      <c r="AA296" s="90"/>
      <c r="AB296" s="90"/>
      <c r="AC296" s="90"/>
      <c r="AD296" s="90"/>
      <c r="AE296" s="248">
        <f>32.59/4</f>
        <v>8.1475000000000009</v>
      </c>
      <c r="AF296" s="90"/>
      <c r="AG296" s="90"/>
      <c r="AH296" s="90"/>
      <c r="AI296" s="90"/>
      <c r="AJ296" s="90"/>
      <c r="AK296" s="248">
        <f>0.5*17.12</f>
        <v>8.56</v>
      </c>
      <c r="AL296" s="90"/>
      <c r="AM296" s="90"/>
      <c r="AN296" s="90"/>
      <c r="AO296" s="90"/>
      <c r="AP296" s="90"/>
      <c r="AQ296" s="248">
        <f>0.5*16.67</f>
        <v>8.3350000000000009</v>
      </c>
      <c r="AR296" s="90"/>
      <c r="AS296" s="248">
        <f>17/2</f>
        <v>8.5</v>
      </c>
      <c r="AT296" s="248">
        <f>16.99/2</f>
        <v>8.4949999999999992</v>
      </c>
      <c r="AU296" s="248">
        <f>16.73/2</f>
        <v>8.3650000000000002</v>
      </c>
      <c r="AV296" s="248">
        <f>0.5*17</f>
        <v>8.5</v>
      </c>
      <c r="AW296" s="248">
        <f>AV296</f>
        <v>8.5</v>
      </c>
      <c r="AX296" s="90"/>
      <c r="AY296" s="248">
        <f>17.02/2</f>
        <v>8.51</v>
      </c>
      <c r="AZ296" s="248">
        <f>16.24/2</f>
        <v>8.1199999999999992</v>
      </c>
      <c r="BA296" s="248">
        <v>8.02</v>
      </c>
      <c r="BB296" s="248">
        <f>BC296</f>
        <v>8.14</v>
      </c>
      <c r="BC296" s="248">
        <v>8.14</v>
      </c>
      <c r="BD296" s="90"/>
      <c r="BE296" s="248">
        <v>8.76</v>
      </c>
      <c r="BF296" s="248">
        <v>9.56</v>
      </c>
      <c r="BG296" s="248">
        <v>9.58</v>
      </c>
      <c r="BH296" s="248">
        <f>BI296</f>
        <v>10.130000000000001</v>
      </c>
      <c r="BI296" s="248">
        <v>10.130000000000001</v>
      </c>
      <c r="BJ296" s="90"/>
      <c r="BK296" s="26">
        <v>12.26</v>
      </c>
      <c r="BL296" s="26"/>
      <c r="BM296" s="26"/>
      <c r="BN296" s="26"/>
      <c r="BO296" s="26"/>
      <c r="BP296" s="90"/>
      <c r="BQ296" s="26"/>
      <c r="BR296" s="26"/>
      <c r="BS296" s="26"/>
      <c r="BT296" s="26"/>
      <c r="BU296" s="26"/>
      <c r="BV296" s="90"/>
      <c r="BW296" s="26"/>
      <c r="BX296" s="26"/>
      <c r="BY296" s="26"/>
      <c r="BZ296" s="26"/>
      <c r="CA296" s="26"/>
      <c r="CB296" s="90"/>
      <c r="CC296" s="26"/>
      <c r="CD296" s="26"/>
      <c r="CE296" s="26"/>
      <c r="CF296" s="26"/>
      <c r="CG296" s="26"/>
      <c r="CH296" s="90"/>
      <c r="CI296" s="26"/>
      <c r="CJ296" s="26"/>
      <c r="CK296" s="26"/>
      <c r="CL296" s="26"/>
      <c r="CM296" s="26"/>
      <c r="CN296" s="90"/>
      <c r="CO296" s="26"/>
      <c r="CP296" s="26"/>
      <c r="CQ296" s="26"/>
      <c r="CR296" s="26"/>
      <c r="CS296" s="26"/>
      <c r="CT296" s="90"/>
      <c r="CU296" s="26"/>
      <c r="CV296" s="26"/>
      <c r="CW296" s="26"/>
      <c r="CX296" s="26"/>
      <c r="CY296" s="26"/>
      <c r="CZ296" s="90"/>
      <c r="DA296" s="26"/>
      <c r="DB296" s="26"/>
      <c r="DC296" s="26"/>
      <c r="DD296" s="26"/>
      <c r="DE296" s="26"/>
      <c r="DF296" s="90"/>
      <c r="DG296" s="26"/>
      <c r="DH296" s="26"/>
      <c r="DI296" s="26"/>
      <c r="DJ296" s="26"/>
      <c r="DK296" s="26"/>
      <c r="DL296" s="90"/>
      <c r="DM296" s="26"/>
      <c r="DN296" s="26"/>
      <c r="DO296" s="26"/>
      <c r="DP296" s="26"/>
      <c r="DQ296" s="26"/>
      <c r="DR296" s="90"/>
      <c r="DS296" s="26"/>
      <c r="DT296" s="26"/>
      <c r="DU296" s="26"/>
      <c r="DV296" s="26"/>
      <c r="DW296" s="26"/>
      <c r="DX296" s="90"/>
      <c r="DY296" s="26"/>
      <c r="DZ296" s="26"/>
      <c r="EA296" s="26"/>
      <c r="EB296" s="26"/>
      <c r="EC296" s="26"/>
      <c r="ED296" s="90"/>
      <c r="EE296" s="26"/>
      <c r="EF296" s="26"/>
      <c r="EG296" s="26"/>
      <c r="EH296" s="26"/>
      <c r="EI296" s="26"/>
      <c r="EJ296" s="90"/>
      <c r="EK296" s="26"/>
      <c r="EL296" s="26"/>
      <c r="EM296" s="26"/>
      <c r="EN296" s="26"/>
      <c r="EO296" s="26"/>
      <c r="EP296" s="90"/>
      <c r="EQ296" s="26"/>
      <c r="ER296" s="26"/>
      <c r="ES296" s="26"/>
      <c r="ET296" s="26"/>
      <c r="EU296" s="26"/>
      <c r="EV296" s="90"/>
      <c r="EW296" s="90"/>
      <c r="EX296" s="90"/>
      <c r="EY296" s="90"/>
      <c r="EZ296" s="90"/>
      <c r="FA296" s="90"/>
      <c r="FB296" s="90"/>
    </row>
    <row r="297" spans="1:158" hidden="1">
      <c r="A297" s="185" t="s">
        <v>1800</v>
      </c>
      <c r="B297" s="32"/>
      <c r="C297" s="90"/>
      <c r="D297" s="90"/>
      <c r="E297" s="90"/>
      <c r="F297" s="90"/>
      <c r="G297" s="61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159">
        <f>S295/S204</f>
        <v>0.46565623992260563</v>
      </c>
      <c r="T297" s="90"/>
      <c r="U297" s="90"/>
      <c r="V297" s="90"/>
      <c r="W297" s="90"/>
      <c r="X297" s="90"/>
      <c r="Y297" s="159">
        <f>Y295/Y204</f>
        <v>0.48039123483494778</v>
      </c>
      <c r="Z297" s="90"/>
      <c r="AA297" s="90"/>
      <c r="AB297" s="90"/>
      <c r="AC297" s="90"/>
      <c r="AD297" s="90"/>
      <c r="AE297" s="159">
        <f>AE295/AE204</f>
        <v>0.41223811107416031</v>
      </c>
      <c r="AF297" s="90"/>
      <c r="AG297" s="90"/>
      <c r="AH297" s="90"/>
      <c r="AI297" s="90"/>
      <c r="AJ297" s="90"/>
      <c r="AK297" s="159">
        <f>AK295/AK204</f>
        <v>0.43097608539464238</v>
      </c>
      <c r="AL297" s="90"/>
      <c r="AM297" s="90"/>
      <c r="AN297" s="90"/>
      <c r="AO297" s="90"/>
      <c r="AP297" s="90"/>
      <c r="AQ297" s="159">
        <f>AQ295/AQ204</f>
        <v>0.48017621145374456</v>
      </c>
      <c r="AR297" s="90"/>
      <c r="AS297" s="159">
        <f>AS295/AS204</f>
        <v>0.53119994547251481</v>
      </c>
      <c r="AT297" s="159">
        <f>AT295/AT204</f>
        <v>0.53747116940342188</v>
      </c>
      <c r="AU297" s="159">
        <f>AU295/AU204</f>
        <v>0.5696608300013789</v>
      </c>
      <c r="AV297" s="159">
        <f>AV295/AV204</f>
        <v>0.4994911996381865</v>
      </c>
      <c r="AW297" s="286">
        <f>AV297</f>
        <v>0.4994911996381865</v>
      </c>
      <c r="AX297" s="159">
        <f>AX295/AW204</f>
        <v>0</v>
      </c>
      <c r="AY297" s="286">
        <f>AY295/AY204</f>
        <v>0.38083121289228167</v>
      </c>
      <c r="AZ297" s="286">
        <f>AZ295/AZ204</f>
        <v>0.32990731393961648</v>
      </c>
      <c r="BA297" s="286">
        <f>BA295/BA204</f>
        <v>0.36091691995947328</v>
      </c>
      <c r="BB297" s="286">
        <f>BC297</f>
        <v>0.34711311322309513</v>
      </c>
      <c r="BC297" s="286">
        <f>BC295/BC204</f>
        <v>0.34711311322309513</v>
      </c>
      <c r="BD297" s="90"/>
      <c r="BE297" s="286">
        <f>BE295/BE204</f>
        <v>0.34568766383762883</v>
      </c>
      <c r="BF297" s="286">
        <f>BF295/BF204</f>
        <v>0.38680981595092034</v>
      </c>
      <c r="BG297" s="286">
        <f>BG295/BG204</f>
        <v>0.41023107569721129</v>
      </c>
      <c r="BH297" s="286">
        <f>BI297</f>
        <v>0.41655016310498633</v>
      </c>
      <c r="BI297" s="286">
        <f>BI295/BI204</f>
        <v>0.41655016310498633</v>
      </c>
      <c r="BJ297" s="90"/>
      <c r="BK297" s="286">
        <f>BK295/BK204</f>
        <v>0.43938706751328238</v>
      </c>
      <c r="BL297" s="26"/>
      <c r="BM297" s="26"/>
      <c r="BN297" s="26"/>
      <c r="BO297" s="26"/>
      <c r="BP297" s="90"/>
      <c r="BQ297" s="26"/>
      <c r="BR297" s="26"/>
      <c r="BS297" s="26"/>
      <c r="BT297" s="26"/>
      <c r="BU297" s="26"/>
      <c r="BV297" s="90"/>
      <c r="BW297" s="26"/>
      <c r="BX297" s="26"/>
      <c r="BY297" s="26"/>
      <c r="BZ297" s="26"/>
      <c r="CA297" s="26"/>
      <c r="CB297" s="90"/>
      <c r="CC297" s="26"/>
      <c r="CD297" s="26"/>
      <c r="CE297" s="26"/>
      <c r="CF297" s="26"/>
      <c r="CG297" s="26"/>
      <c r="CH297" s="90"/>
      <c r="CI297" s="26"/>
      <c r="CJ297" s="26"/>
      <c r="CK297" s="26"/>
      <c r="CL297" s="26"/>
      <c r="CM297" s="26"/>
      <c r="CN297" s="90"/>
      <c r="CO297" s="26"/>
      <c r="CP297" s="26"/>
      <c r="CQ297" s="26"/>
      <c r="CR297" s="26"/>
      <c r="CS297" s="26"/>
      <c r="CT297" s="90"/>
      <c r="CU297" s="26"/>
      <c r="CV297" s="26"/>
      <c r="CW297" s="26"/>
      <c r="CX297" s="26"/>
      <c r="CY297" s="26"/>
      <c r="CZ297" s="90"/>
      <c r="DA297" s="26"/>
      <c r="DB297" s="26"/>
      <c r="DC297" s="26"/>
      <c r="DD297" s="26"/>
      <c r="DE297" s="26"/>
      <c r="DF297" s="90"/>
      <c r="DG297" s="26"/>
      <c r="DH297" s="26"/>
      <c r="DI297" s="26"/>
      <c r="DJ297" s="26"/>
      <c r="DK297" s="26"/>
      <c r="DL297" s="90"/>
      <c r="DM297" s="26"/>
      <c r="DN297" s="26"/>
      <c r="DO297" s="26"/>
      <c r="DP297" s="26"/>
      <c r="DQ297" s="26"/>
      <c r="DR297" s="90"/>
      <c r="DS297" s="26"/>
      <c r="DT297" s="26"/>
      <c r="DU297" s="26"/>
      <c r="DV297" s="26"/>
      <c r="DW297" s="26"/>
      <c r="DX297" s="90"/>
      <c r="DY297" s="26"/>
      <c r="DZ297" s="26"/>
      <c r="EA297" s="26"/>
      <c r="EB297" s="26"/>
      <c r="EC297" s="26"/>
      <c r="ED297" s="90"/>
      <c r="EE297" s="26"/>
      <c r="EF297" s="26"/>
      <c r="EG297" s="26"/>
      <c r="EH297" s="26"/>
      <c r="EI297" s="26"/>
      <c r="EJ297" s="90"/>
      <c r="EK297" s="26"/>
      <c r="EL297" s="26"/>
      <c r="EM297" s="26"/>
      <c r="EN297" s="26"/>
      <c r="EO297" s="26"/>
      <c r="EP297" s="90"/>
      <c r="EQ297" s="26"/>
      <c r="ER297" s="26"/>
      <c r="ES297" s="26"/>
      <c r="ET297" s="26"/>
      <c r="EU297" s="26"/>
      <c r="EV297" s="90"/>
      <c r="EW297" s="90"/>
      <c r="EX297" s="90"/>
      <c r="EY297" s="90"/>
      <c r="EZ297" s="90"/>
      <c r="FA297" s="90"/>
      <c r="FB297" s="90"/>
    </row>
    <row r="298" spans="1:158" hidden="1"/>
    <row r="299" spans="1:158" hidden="1"/>
    <row r="300" spans="1:158" hidden="1">
      <c r="BW300" s="211" t="s">
        <v>5648</v>
      </c>
      <c r="BX300" s="209"/>
      <c r="BY300" s="209"/>
      <c r="BZ300" s="209"/>
    </row>
    <row r="301" spans="1:158" hidden="1">
      <c r="BW301" s="209"/>
      <c r="BX301" s="209" t="s">
        <v>484</v>
      </c>
      <c r="BY301" s="209"/>
      <c r="BZ301" s="209"/>
    </row>
    <row r="302" spans="1:158" hidden="1">
      <c r="BW302" s="209"/>
      <c r="BX302" s="210">
        <v>2006</v>
      </c>
      <c r="BY302" s="209">
        <v>1.4530000000000001</v>
      </c>
      <c r="BZ302" s="346">
        <f>BY302</f>
        <v>1.4530000000000001</v>
      </c>
    </row>
    <row r="303" spans="1:158" hidden="1">
      <c r="BW303" s="209"/>
      <c r="BX303" s="210">
        <v>2007</v>
      </c>
      <c r="BY303" s="209">
        <v>5.5259999999999998</v>
      </c>
      <c r="BZ303" s="346">
        <f>BY303/4</f>
        <v>1.3815</v>
      </c>
    </row>
    <row r="304" spans="1:158" hidden="1">
      <c r="BW304" s="209"/>
      <c r="BX304" s="209">
        <v>2008</v>
      </c>
      <c r="BY304" s="209">
        <v>4.4000000000000004</v>
      </c>
      <c r="BZ304" s="346">
        <f>BY304/4</f>
        <v>1.1000000000000001</v>
      </c>
    </row>
    <row r="305" spans="75:78" hidden="1">
      <c r="BW305" s="209"/>
      <c r="BX305" s="209">
        <v>2009</v>
      </c>
      <c r="BY305" s="209">
        <v>3</v>
      </c>
      <c r="BZ305" s="346">
        <f>BY305/4</f>
        <v>0.75</v>
      </c>
    </row>
    <row r="306" spans="75:78" hidden="1">
      <c r="BW306" s="209"/>
      <c r="BX306" s="209">
        <v>2010</v>
      </c>
      <c r="BY306" s="209">
        <v>1.3819999999999999</v>
      </c>
      <c r="BZ306" s="346">
        <f>BY306/4</f>
        <v>0.34549999999999997</v>
      </c>
    </row>
    <row r="307" spans="75:78" hidden="1">
      <c r="BW307" s="209"/>
      <c r="BX307" s="209">
        <v>2011</v>
      </c>
      <c r="BY307" s="209">
        <v>0.5</v>
      </c>
      <c r="BZ307" s="346">
        <f>BY307/4</f>
        <v>0.125</v>
      </c>
    </row>
    <row r="308" spans="75:78" hidden="1"/>
    <row r="309" spans="75:78" hidden="1"/>
    <row r="310" spans="75:78" hidden="1"/>
  </sheetData>
  <customSheetViews>
    <customSheetView guid="{7ADDAC9C-E12E-468B-A7D0-D44A9895D58E}" scale="90" showGridLines="0" hiddenRows="1" hiddenColumns="1" showRuler="0">
      <selection activeCell="A5" sqref="A5:IV5"/>
    </customSheetView>
    <customSheetView guid="{5A095E4E-6841-4715-B354-198715F5FF0A}" scale="90" showGridLines="0" hiddenRows="1" hiddenColumns="1" showRuler="0"/>
  </customSheetViews>
  <mergeCells count="2">
    <mergeCell ref="CU5:CX5"/>
    <mergeCell ref="CC5:CF5"/>
  </mergeCells>
  <phoneticPr fontId="3" type="noConversion"/>
  <conditionalFormatting sqref="C52:G52 I52:M52 O52:S52 U52:Y52 AA52:AE52 AG52:AK52 AM52:AQ52 AS52:AW52 AY52:BC52 BE52:BI52 BK52:BO52 BQ52:CA52 CC52:DL52">
    <cfRule type="cellIs" dxfId="15" priority="19" stopIfTrue="1" operator="equal">
      <formula>"good"</formula>
    </cfRule>
  </conditionalFormatting>
  <conditionalFormatting sqref="DT52:DW52">
    <cfRule type="cellIs" dxfId="14" priority="17" stopIfTrue="1" operator="equal">
      <formula>"good"</formula>
    </cfRule>
  </conditionalFormatting>
  <conditionalFormatting sqref="DY52:EC52">
    <cfRule type="cellIs" dxfId="13" priority="16" stopIfTrue="1" operator="equal">
      <formula>"good"</formula>
    </cfRule>
  </conditionalFormatting>
  <conditionalFormatting sqref="DM52">
    <cfRule type="cellIs" dxfId="12" priority="15" stopIfTrue="1" operator="equal">
      <formula>"good"</formula>
    </cfRule>
  </conditionalFormatting>
  <conditionalFormatting sqref="DN52">
    <cfRule type="cellIs" dxfId="11" priority="14" stopIfTrue="1" operator="equal">
      <formula>"good"</formula>
    </cfRule>
  </conditionalFormatting>
  <conditionalFormatting sqref="DO52">
    <cfRule type="cellIs" dxfId="10" priority="13" stopIfTrue="1" operator="equal">
      <formula>"good"</formula>
    </cfRule>
  </conditionalFormatting>
  <conditionalFormatting sqref="EG52:EI52">
    <cfRule type="cellIs" dxfId="9" priority="12" stopIfTrue="1" operator="equal">
      <formula>"good"</formula>
    </cfRule>
  </conditionalFormatting>
  <conditionalFormatting sqref="EE52:EF52">
    <cfRule type="cellIs" dxfId="8" priority="11" stopIfTrue="1" operator="equal">
      <formula>"good"</formula>
    </cfRule>
  </conditionalFormatting>
  <conditionalFormatting sqref="DP52">
    <cfRule type="cellIs" dxfId="7" priority="10" stopIfTrue="1" operator="equal">
      <formula>"good"</formula>
    </cfRule>
  </conditionalFormatting>
  <conditionalFormatting sqref="DQ52">
    <cfRule type="cellIs" dxfId="6" priority="9" stopIfTrue="1" operator="equal">
      <formula>"good"</formula>
    </cfRule>
  </conditionalFormatting>
  <conditionalFormatting sqref="DR52">
    <cfRule type="cellIs" dxfId="5" priority="8" stopIfTrue="1" operator="equal">
      <formula>"good"</formula>
    </cfRule>
  </conditionalFormatting>
  <conditionalFormatting sqref="DS52">
    <cfRule type="cellIs" dxfId="4" priority="7" stopIfTrue="1" operator="equal">
      <formula>"good"</formula>
    </cfRule>
  </conditionalFormatting>
  <conditionalFormatting sqref="EM52:EO52">
    <cfRule type="cellIs" dxfId="3" priority="6" stopIfTrue="1" operator="equal">
      <formula>"good"</formula>
    </cfRule>
  </conditionalFormatting>
  <conditionalFormatting sqref="EK52:EL52">
    <cfRule type="cellIs" dxfId="2" priority="5" stopIfTrue="1" operator="equal">
      <formula>"good"</formula>
    </cfRule>
  </conditionalFormatting>
  <conditionalFormatting sqref="ES52:EU52">
    <cfRule type="cellIs" dxfId="1" priority="2" stopIfTrue="1" operator="equal">
      <formula>"good"</formula>
    </cfRule>
  </conditionalFormatting>
  <conditionalFormatting sqref="EQ52:ER52">
    <cfRule type="cellIs" dxfId="0" priority="1" stopIfTrue="1" operator="equal">
      <formula>"good"</formula>
    </cfRule>
  </conditionalFormatting>
  <pageMargins left="0" right="0" top="0" bottom="0" header="0" footer="0"/>
  <pageSetup paperSize="5" orientation="landscape" r:id="rId1"/>
  <headerFooter alignWithMargins="0">
    <oddFooter>&amp;L&amp;"Arial,Bold"&amp;8Keith Weiss - 212.761.4149&amp;R&amp;"Arial,Bold"&amp;8Morgan Stanley Equity Research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12"/>
    <pageSetUpPr autoPageBreaks="0" fitToPage="1"/>
  </sheetPr>
  <dimension ref="A1:FP166"/>
  <sheetViews>
    <sheetView showGridLines="0" zoomScaleNormal="100" workbookViewId="0">
      <pane xSplit="1" ySplit="7" topLeftCell="B124" activePane="bottomRight" state="frozenSplit"/>
      <selection activeCell="CS13" sqref="CS13"/>
      <selection pane="topRight" activeCell="CS13" sqref="CS13"/>
      <selection pane="bottomLeft" activeCell="CS13" sqref="CS13"/>
      <selection pane="bottomRight" activeCell="EB149" sqref="EB149"/>
    </sheetView>
  </sheetViews>
  <sheetFormatPr defaultColWidth="7.7109375" defaultRowHeight="12.75" outlineLevelRow="1" outlineLevelCol="2"/>
  <cols>
    <col min="1" max="1" width="41.85546875" customWidth="1"/>
    <col min="2" max="2" width="2" hidden="1" customWidth="1"/>
    <col min="3" max="6" width="7.7109375" hidden="1" customWidth="1" outlineLevel="2"/>
    <col min="7" max="7" width="7.7109375" hidden="1" customWidth="1" outlineLevel="1" collapsed="1"/>
    <col min="8" max="8" width="1.7109375" hidden="1" customWidth="1" outlineLevel="1"/>
    <col min="9" max="12" width="7.7109375" hidden="1" customWidth="1" outlineLevel="1"/>
    <col min="13" max="13" width="7.7109375" hidden="1" customWidth="1" outlineLevel="1" collapsed="1"/>
    <col min="14" max="14" width="1.7109375" hidden="1" customWidth="1" outlineLevel="1"/>
    <col min="15" max="18" width="7.7109375" hidden="1" customWidth="1" outlineLevel="2"/>
    <col min="19" max="19" width="7.7109375" hidden="1" customWidth="1" outlineLevel="1" collapsed="1"/>
    <col min="20" max="20" width="1.7109375" hidden="1" customWidth="1" outlineLevel="2"/>
    <col min="21" max="24" width="7.7109375" hidden="1" customWidth="1" outlineLevel="2"/>
    <col min="25" max="25" width="7.7109375" hidden="1" customWidth="1" outlineLevel="1" collapsed="1"/>
    <col min="26" max="26" width="1.7109375" hidden="1" customWidth="1" outlineLevel="2"/>
    <col min="27" max="30" width="7.7109375" hidden="1" customWidth="1" outlineLevel="2"/>
    <col min="31" max="31" width="7.7109375" hidden="1" customWidth="1" outlineLevel="1" collapsed="1"/>
    <col min="32" max="32" width="1.5703125" hidden="1" customWidth="1" outlineLevel="2"/>
    <col min="33" max="36" width="7.7109375" hidden="1" customWidth="1" outlineLevel="2"/>
    <col min="37" max="37" width="7.7109375" hidden="1" customWidth="1" outlineLevel="1" collapsed="1"/>
    <col min="38" max="38" width="2.42578125" hidden="1" customWidth="1" outlineLevel="2"/>
    <col min="39" max="40" width="7.7109375" hidden="1" customWidth="1" outlineLevel="2"/>
    <col min="41" max="41" width="8.42578125" hidden="1" customWidth="1" outlineLevel="2"/>
    <col min="42" max="42" width="7.85546875" hidden="1" customWidth="1" outlineLevel="2"/>
    <col min="43" max="43" width="8" hidden="1" customWidth="1" outlineLevel="1" collapsed="1"/>
    <col min="44" max="44" width="1.7109375" hidden="1" customWidth="1" outlineLevel="2"/>
    <col min="45" max="45" width="7.7109375" hidden="1" customWidth="1" outlineLevel="2"/>
    <col min="46" max="46" width="8.28515625" hidden="1" customWidth="1" outlineLevel="2"/>
    <col min="47" max="47" width="7.7109375" hidden="1" customWidth="1" outlineLevel="2"/>
    <col min="48" max="48" width="7.5703125" hidden="1" customWidth="1" outlineLevel="2"/>
    <col min="49" max="49" width="7.42578125" hidden="1" customWidth="1" outlineLevel="1" collapsed="1"/>
    <col min="50" max="50" width="1" hidden="1" customWidth="1" outlineLevel="2"/>
    <col min="51" max="54" width="6.28515625" hidden="1" customWidth="1" outlineLevel="2"/>
    <col min="55" max="55" width="6.28515625" hidden="1" customWidth="1" outlineLevel="1" collapsed="1"/>
    <col min="56" max="56" width="1.7109375" hidden="1" customWidth="1" outlineLevel="1"/>
    <col min="57" max="60" width="6.7109375" hidden="1" customWidth="1" outlineLevel="2"/>
    <col min="61" max="61" width="6.140625" hidden="1" customWidth="1" outlineLevel="1" collapsed="1"/>
    <col min="62" max="62" width="1.7109375" hidden="1" customWidth="1" collapsed="1"/>
    <col min="63" max="66" width="6.7109375" hidden="1" customWidth="1" outlineLevel="1"/>
    <col min="67" max="67" width="6.7109375" hidden="1" customWidth="1" collapsed="1"/>
    <col min="68" max="68" width="1.7109375" hidden="1" customWidth="1" outlineLevel="1"/>
    <col min="69" max="72" width="6.7109375" hidden="1" customWidth="1" outlineLevel="1"/>
    <col min="73" max="73" width="6.7109375" hidden="1" customWidth="1" collapsed="1"/>
    <col min="74" max="74" width="1.7109375" hidden="1" customWidth="1" outlineLevel="1"/>
    <col min="75" max="78" width="6.7109375" hidden="1" customWidth="1" outlineLevel="1"/>
    <col min="79" max="79" width="6.7109375" hidden="1" customWidth="1" collapsed="1"/>
    <col min="80" max="80" width="1.7109375" hidden="1" customWidth="1"/>
    <col min="81" max="84" width="6.7109375" hidden="1" customWidth="1" outlineLevel="1"/>
    <col min="85" max="85" width="6.7109375" hidden="1" customWidth="1" collapsed="1"/>
    <col min="86" max="86" width="1.7109375" hidden="1" customWidth="1" outlineLevel="1"/>
    <col min="87" max="90" width="6.7109375" hidden="1" customWidth="1" outlineLevel="1"/>
    <col min="91" max="91" width="6.7109375" hidden="1" customWidth="1" collapsed="1"/>
    <col min="92" max="92" width="1.85546875" hidden="1" customWidth="1" outlineLevel="1"/>
    <col min="93" max="96" width="6.7109375" hidden="1" customWidth="1" outlineLevel="1"/>
    <col min="97" max="97" width="6.7109375" hidden="1" customWidth="1" collapsed="1"/>
    <col min="98" max="98" width="1.85546875" hidden="1" customWidth="1" outlineLevel="1"/>
    <col min="99" max="102" width="6.7109375" hidden="1" customWidth="1" outlineLevel="1"/>
    <col min="103" max="103" width="6.7109375" hidden="1" customWidth="1" collapsed="1"/>
    <col min="104" max="104" width="1.85546875" hidden="1" customWidth="1" outlineLevel="1"/>
    <col min="105" max="108" width="6.7109375" hidden="1" customWidth="1" outlineLevel="1"/>
    <col min="109" max="109" width="6.7109375" hidden="1" customWidth="1" collapsed="1"/>
    <col min="110" max="110" width="1.85546875" hidden="1" customWidth="1" outlineLevel="1"/>
    <col min="111" max="114" width="6.7109375" hidden="1" customWidth="1" outlineLevel="1"/>
    <col min="115" max="115" width="6.7109375" customWidth="1" collapsed="1"/>
    <col min="116" max="116" width="1.85546875" hidden="1" customWidth="1" outlineLevel="1"/>
    <col min="117" max="118" width="6.7109375" style="1901" hidden="1" customWidth="1" outlineLevel="1"/>
    <col min="119" max="120" width="6.7109375" hidden="1" customWidth="1" outlineLevel="1"/>
    <col min="121" max="121" width="6.7109375" customWidth="1" collapsed="1"/>
    <col min="122" max="122" width="1.85546875" style="1793" hidden="1" customWidth="1" outlineLevel="1"/>
    <col min="123" max="123" width="6.7109375" hidden="1" customWidth="1" outlineLevel="1"/>
    <col min="124" max="124" width="6.7109375" style="1788" hidden="1" customWidth="1" outlineLevel="1"/>
    <col min="125" max="126" width="6.7109375" hidden="1" customWidth="1" outlineLevel="1"/>
    <col min="127" max="127" width="6.7109375" customWidth="1" collapsed="1"/>
    <col min="128" max="128" width="1.85546875" style="1793" customWidth="1" outlineLevel="1"/>
    <col min="129" max="131" width="6.7109375" style="1787" customWidth="1" outlineLevel="1"/>
    <col min="132" max="132" width="6.7109375" style="2008" customWidth="1" outlineLevel="1"/>
    <col min="133" max="133" width="6.7109375" style="1787" customWidth="1"/>
    <col min="134" max="134" width="1.85546875" style="2008" customWidth="1" outlineLevel="1"/>
    <col min="135" max="138" width="6.7109375" style="2008" customWidth="1" outlineLevel="1"/>
    <col min="139" max="139" width="6.7109375" style="2008" customWidth="1"/>
    <col min="140" max="140" width="1.85546875" style="2117" hidden="1" customWidth="1" outlineLevel="1"/>
    <col min="141" max="144" width="6.7109375" style="2117" hidden="1" customWidth="1" outlineLevel="1"/>
    <col min="145" max="145" width="6.7109375" style="2117" customWidth="1" collapsed="1"/>
    <col min="146" max="146" width="1.85546875" style="2285" hidden="1" customWidth="1" outlineLevel="1"/>
    <col min="147" max="150" width="6.7109375" style="2285" hidden="1" customWidth="1" outlineLevel="1"/>
    <col min="151" max="151" width="6.7109375" style="2285" customWidth="1" collapsed="1"/>
    <col min="152" max="152" width="5.5703125" customWidth="1"/>
    <col min="153" max="153" width="1.7109375" customWidth="1"/>
    <col min="154" max="154" width="48" bestFit="1" customWidth="1"/>
    <col min="155" max="155" width="7.7109375" customWidth="1"/>
    <col min="156" max="156" width="12.5703125" customWidth="1"/>
  </cols>
  <sheetData>
    <row r="1" spans="1:172" ht="20.100000000000001" customHeight="1">
      <c r="A1" s="1" t="str">
        <f>Model!A1</f>
        <v>Autodesk</v>
      </c>
      <c r="B1" s="32"/>
      <c r="C1" s="2"/>
      <c r="D1" s="3"/>
      <c r="E1" s="2"/>
      <c r="F1" s="2"/>
      <c r="G1" s="3"/>
      <c r="H1" s="3"/>
      <c r="I1" s="2"/>
      <c r="J1" s="3"/>
      <c r="K1" s="2"/>
      <c r="L1" s="2"/>
      <c r="M1" s="3"/>
      <c r="N1" s="3"/>
      <c r="O1" s="2"/>
      <c r="P1" s="3"/>
      <c r="Q1" s="2"/>
      <c r="R1" s="2"/>
      <c r="S1" s="3"/>
      <c r="T1" s="3"/>
      <c r="U1" s="2"/>
      <c r="V1" s="3"/>
      <c r="W1" s="2"/>
      <c r="X1" s="2"/>
      <c r="Y1" s="3"/>
      <c r="Z1" s="3"/>
      <c r="AA1" s="2"/>
      <c r="AB1" s="3"/>
      <c r="AC1" s="2"/>
      <c r="AD1" s="2"/>
      <c r="AE1" s="3"/>
      <c r="AF1" s="3"/>
      <c r="AG1" s="3"/>
      <c r="AH1" s="3"/>
      <c r="AI1" s="2"/>
      <c r="AJ1" s="2"/>
      <c r="AK1" s="3"/>
      <c r="AL1" s="3"/>
      <c r="AM1" s="213"/>
      <c r="AN1" s="213"/>
      <c r="AO1" s="213"/>
      <c r="AP1" s="213"/>
      <c r="AQ1" s="213"/>
      <c r="AR1" s="3"/>
      <c r="AS1" s="213"/>
      <c r="AT1" s="222"/>
      <c r="AU1" s="21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1796"/>
      <c r="DH1" s="1796"/>
      <c r="DI1" s="1796"/>
      <c r="DJ1" s="1796"/>
      <c r="DK1" s="1794"/>
      <c r="DL1" s="4"/>
      <c r="DM1" s="1796"/>
      <c r="DN1" s="1796"/>
      <c r="DO1" s="4"/>
      <c r="DP1" s="4"/>
      <c r="DQ1" s="4"/>
      <c r="DR1" s="4"/>
      <c r="DS1" s="4"/>
      <c r="DT1" s="1757"/>
      <c r="DU1" s="4"/>
      <c r="DV1" s="4"/>
      <c r="DW1" s="4"/>
      <c r="DX1" s="4"/>
      <c r="DY1" s="2219"/>
      <c r="DZ1" s="2219"/>
      <c r="EA1" s="2219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</row>
    <row r="2" spans="1:172" ht="24" customHeight="1">
      <c r="A2" s="5" t="s">
        <v>4600</v>
      </c>
      <c r="B2" s="32"/>
      <c r="C2" s="6"/>
      <c r="D2" s="6"/>
      <c r="E2" s="6"/>
      <c r="F2" s="6"/>
      <c r="G2" s="6"/>
      <c r="H2" s="7"/>
      <c r="I2" s="6"/>
      <c r="J2" s="6"/>
      <c r="K2" s="6"/>
      <c r="L2" s="6"/>
      <c r="M2" s="6"/>
      <c r="N2" s="7"/>
      <c r="O2" s="6"/>
      <c r="P2" s="6"/>
      <c r="Q2" s="6"/>
      <c r="R2" s="6"/>
      <c r="S2" s="6"/>
      <c r="T2" s="7"/>
      <c r="U2" s="6"/>
      <c r="V2" s="6"/>
      <c r="W2" s="6"/>
      <c r="X2" s="6"/>
      <c r="Y2" s="6"/>
      <c r="Z2" s="7"/>
      <c r="AA2" s="6"/>
      <c r="AB2" s="6"/>
      <c r="AC2" s="6"/>
      <c r="AD2" s="6"/>
      <c r="AE2" s="6"/>
      <c r="AF2" s="7"/>
      <c r="AG2" s="6"/>
      <c r="AH2" s="6"/>
      <c r="AI2" s="6"/>
      <c r="AJ2" s="6"/>
      <c r="AK2" s="6"/>
      <c r="AL2" s="7"/>
      <c r="AM2" s="214"/>
      <c r="AN2" s="215"/>
      <c r="AO2" s="216"/>
      <c r="AP2" s="215"/>
      <c r="AQ2" s="216"/>
      <c r="AR2" s="7"/>
      <c r="AS2" s="214"/>
      <c r="AT2" s="215"/>
      <c r="AU2" s="216"/>
      <c r="AV2" s="7"/>
      <c r="AW2" s="6"/>
      <c r="AX2" s="7"/>
      <c r="AY2" s="8"/>
      <c r="AZ2" s="7"/>
      <c r="BA2" s="6"/>
      <c r="BB2" s="7"/>
      <c r="BC2" s="6"/>
      <c r="BD2" s="7"/>
      <c r="BE2" s="7"/>
      <c r="BF2" s="533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8"/>
      <c r="CQ2" s="1655"/>
      <c r="CR2" s="7"/>
      <c r="CS2" s="7"/>
      <c r="CT2" s="7"/>
      <c r="CU2" s="7"/>
      <c r="CV2" s="7"/>
      <c r="CW2" s="7"/>
      <c r="CX2" s="7"/>
      <c r="CY2" s="1756"/>
      <c r="CZ2" s="7"/>
      <c r="DA2" s="7"/>
      <c r="DB2" s="7"/>
      <c r="DC2" s="7"/>
      <c r="DD2" s="7"/>
      <c r="DE2" s="1758"/>
      <c r="DF2" s="7"/>
      <c r="DG2" s="1802"/>
      <c r="DH2" s="1802"/>
      <c r="DI2" s="1802"/>
      <c r="DJ2" s="1802"/>
      <c r="DK2" s="7"/>
      <c r="DL2" s="7"/>
      <c r="DM2" s="1802"/>
      <c r="DN2" s="1802"/>
      <c r="DO2" s="7"/>
      <c r="DP2" s="7"/>
      <c r="DQ2" s="7"/>
      <c r="DR2" s="7"/>
      <c r="DS2" s="1756"/>
      <c r="DT2" s="1756"/>
      <c r="DU2" s="1756"/>
      <c r="DV2" s="1756"/>
      <c r="DW2" s="1756"/>
      <c r="DX2" s="1756"/>
      <c r="DY2" s="1756"/>
      <c r="DZ2" s="1756"/>
      <c r="EA2" s="1756"/>
      <c r="EB2" s="1756"/>
      <c r="EC2" s="1756"/>
      <c r="ED2" s="1756"/>
      <c r="EE2" s="1756"/>
      <c r="EF2" s="1756"/>
      <c r="EG2" s="1756"/>
      <c r="EH2" s="1756"/>
      <c r="EI2" s="1756"/>
      <c r="EJ2" s="1756"/>
      <c r="EK2" s="1756"/>
      <c r="EL2" s="1756"/>
      <c r="EM2" s="1756"/>
      <c r="EN2" s="1756"/>
      <c r="EO2" s="1756"/>
      <c r="EP2" s="1756"/>
      <c r="EQ2" s="1756"/>
      <c r="ER2" s="1756"/>
      <c r="ES2" s="1756"/>
      <c r="ET2" s="1756"/>
      <c r="EU2" s="1756"/>
      <c r="EV2" s="4"/>
      <c r="EW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</row>
    <row r="3" spans="1:172" ht="4.5" customHeight="1">
      <c r="A3" s="171"/>
      <c r="B3" s="32"/>
      <c r="C3" s="10"/>
      <c r="D3" s="10"/>
      <c r="E3" s="10"/>
      <c r="F3" s="10"/>
      <c r="G3" s="10"/>
      <c r="H3" s="4"/>
      <c r="I3" s="10"/>
      <c r="J3" s="10"/>
      <c r="K3" s="10"/>
      <c r="L3" s="10"/>
      <c r="M3" s="10"/>
      <c r="N3" s="4"/>
      <c r="O3" s="10"/>
      <c r="P3" s="10"/>
      <c r="Q3" s="10"/>
      <c r="R3" s="10"/>
      <c r="S3" s="10"/>
      <c r="T3" s="4"/>
      <c r="U3" s="10"/>
      <c r="V3" s="10"/>
      <c r="W3" s="10"/>
      <c r="X3" s="10"/>
      <c r="Y3" s="10"/>
      <c r="Z3" s="4"/>
      <c r="AA3" s="10"/>
      <c r="AB3" s="10"/>
      <c r="AC3" s="10"/>
      <c r="AD3" s="10"/>
      <c r="AE3" s="10"/>
      <c r="AF3" s="4"/>
      <c r="AG3" s="10"/>
      <c r="AH3" s="10"/>
      <c r="AI3" s="10"/>
      <c r="AJ3" s="10"/>
      <c r="AK3" s="10"/>
      <c r="AL3" s="4"/>
      <c r="AM3" s="573"/>
      <c r="AN3" s="217"/>
      <c r="AO3" s="322"/>
      <c r="AP3" s="217"/>
      <c r="AQ3" s="322"/>
      <c r="AR3" s="4"/>
      <c r="AS3" s="573"/>
      <c r="AT3" s="217"/>
      <c r="AU3" s="322"/>
      <c r="AV3" s="4"/>
      <c r="AW3" s="10"/>
      <c r="AX3" s="4"/>
      <c r="AY3" s="268"/>
      <c r="AZ3" s="4"/>
      <c r="BA3" s="10"/>
      <c r="BB3" s="4"/>
      <c r="BC3" s="10"/>
      <c r="BD3" s="4"/>
      <c r="BE3" s="4"/>
      <c r="BF3" s="57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1757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</row>
    <row r="4" spans="1:172">
      <c r="A4" s="11" t="s">
        <v>651</v>
      </c>
      <c r="B4" s="32"/>
      <c r="C4" s="12"/>
      <c r="D4" s="12"/>
      <c r="E4" s="12"/>
      <c r="F4" s="12"/>
      <c r="G4" s="13"/>
      <c r="H4" s="13"/>
      <c r="I4" s="12"/>
      <c r="J4" s="12"/>
      <c r="K4" s="12"/>
      <c r="L4" s="12"/>
      <c r="M4" s="13"/>
      <c r="N4" s="13"/>
      <c r="O4" s="12"/>
      <c r="P4" s="12"/>
      <c r="Q4" s="12"/>
      <c r="R4" s="12"/>
      <c r="S4" s="13"/>
      <c r="T4" s="13"/>
      <c r="U4" s="12"/>
      <c r="V4" s="12"/>
      <c r="W4" s="12"/>
      <c r="X4" s="12"/>
      <c r="Y4" s="13"/>
      <c r="Z4" s="13"/>
      <c r="AA4" s="12"/>
      <c r="AB4" s="12"/>
      <c r="AC4" s="12"/>
      <c r="AD4" s="12"/>
      <c r="AE4" s="13"/>
      <c r="AF4" s="13"/>
      <c r="AG4" s="12"/>
      <c r="AH4" s="12"/>
      <c r="AI4" s="12"/>
      <c r="AJ4" s="12"/>
      <c r="AK4" s="13"/>
      <c r="AL4" s="13"/>
      <c r="AM4" s="218"/>
      <c r="AN4" s="218"/>
      <c r="AO4" s="218"/>
      <c r="AP4" s="218"/>
      <c r="AQ4" s="219"/>
      <c r="AR4" s="13"/>
      <c r="AS4" s="218"/>
      <c r="AT4" s="218"/>
      <c r="AU4" s="218"/>
      <c r="AV4" s="12"/>
      <c r="AW4" s="13"/>
      <c r="AX4" s="13"/>
      <c r="AY4" s="12"/>
      <c r="AZ4" s="12"/>
      <c r="BA4" s="12"/>
      <c r="BB4" s="12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745"/>
      <c r="CH4" s="13"/>
      <c r="CI4" s="13"/>
      <c r="CJ4" s="13"/>
      <c r="CK4" s="13"/>
      <c r="CL4" s="13"/>
      <c r="CM4" s="1745"/>
      <c r="CN4" s="13"/>
      <c r="CO4" s="13"/>
      <c r="CP4" s="13"/>
      <c r="CQ4" s="13"/>
      <c r="CR4" s="13"/>
      <c r="CS4" s="1745"/>
      <c r="CT4" s="13"/>
      <c r="CU4" s="13"/>
      <c r="CV4" s="13"/>
      <c r="CW4" s="13"/>
      <c r="CX4" s="13"/>
      <c r="CY4" s="1745"/>
      <c r="CZ4" s="13"/>
      <c r="DA4" s="13"/>
      <c r="DB4" s="13"/>
      <c r="DC4" s="13"/>
      <c r="DD4" s="13"/>
      <c r="DE4" s="1745"/>
      <c r="DF4" s="13"/>
      <c r="DG4" s="13"/>
      <c r="DH4" s="13"/>
      <c r="DI4" s="13"/>
      <c r="DJ4" s="13"/>
      <c r="DK4" s="1745"/>
      <c r="DL4" s="13"/>
      <c r="DM4" s="13"/>
      <c r="DN4" s="13"/>
      <c r="DO4" s="13"/>
      <c r="DP4" s="13"/>
      <c r="DQ4" s="1745"/>
      <c r="DR4" s="13"/>
      <c r="DS4" s="13"/>
      <c r="DT4" s="2060"/>
      <c r="DU4" s="13"/>
      <c r="DV4" s="13"/>
      <c r="DW4" s="1745"/>
      <c r="DX4" s="13"/>
      <c r="DY4" s="13"/>
      <c r="DZ4" s="13"/>
      <c r="EA4" s="13"/>
      <c r="EB4" s="13"/>
      <c r="EC4" s="1745"/>
      <c r="ED4" s="13"/>
      <c r="EE4" s="13"/>
      <c r="EF4" s="13"/>
      <c r="EG4" s="13"/>
      <c r="EH4" s="13"/>
      <c r="EI4" s="1745"/>
      <c r="EJ4" s="13"/>
      <c r="EK4" s="13"/>
      <c r="EL4" s="13"/>
      <c r="EM4" s="13"/>
      <c r="EN4" s="13"/>
      <c r="EO4" s="1745"/>
      <c r="EP4" s="13"/>
      <c r="EQ4" s="13"/>
      <c r="ER4" s="13"/>
      <c r="ES4" s="13"/>
      <c r="ET4" s="13"/>
      <c r="EU4" s="1745"/>
      <c r="EV4" s="12"/>
      <c r="EW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</row>
    <row r="5" spans="1:172" hidden="1" outlineLevel="1">
      <c r="DM5"/>
      <c r="DN5"/>
      <c r="DR5"/>
      <c r="DT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</row>
    <row r="6" spans="1:172" ht="11.25" customHeight="1" collapsed="1">
      <c r="A6" s="14"/>
      <c r="B6" s="32"/>
      <c r="C6" s="1244">
        <f>Model!C6</f>
        <v>1997</v>
      </c>
      <c r="D6" s="841"/>
      <c r="E6" s="1245"/>
      <c r="F6" s="841"/>
      <c r="G6" s="841"/>
      <c r="H6" s="18"/>
      <c r="I6" s="1244">
        <f>Model!I6</f>
        <v>1998</v>
      </c>
      <c r="J6" s="841"/>
      <c r="K6" s="1245"/>
      <c r="L6" s="841"/>
      <c r="M6" s="841"/>
      <c r="N6" s="18"/>
      <c r="O6" s="1244">
        <f>Model!O6</f>
        <v>1999</v>
      </c>
      <c r="P6" s="841"/>
      <c r="Q6" s="1245"/>
      <c r="R6" s="841"/>
      <c r="S6" s="841"/>
      <c r="T6" s="18"/>
      <c r="U6" s="1244">
        <f>Model!U6</f>
        <v>2000</v>
      </c>
      <c r="V6" s="841"/>
      <c r="W6" s="1245"/>
      <c r="X6" s="841"/>
      <c r="Y6" s="841"/>
      <c r="Z6" s="18"/>
      <c r="AA6" s="1244">
        <f>Model!AA6</f>
        <v>2001</v>
      </c>
      <c r="AB6" s="841"/>
      <c r="AC6" s="1245"/>
      <c r="AD6" s="841"/>
      <c r="AE6" s="841"/>
      <c r="AF6" s="18"/>
      <c r="AG6" s="1246">
        <f>Model!AG6</f>
        <v>2002</v>
      </c>
      <c r="AH6" s="841"/>
      <c r="AI6" s="1245"/>
      <c r="AJ6" s="841"/>
      <c r="AK6" s="841"/>
      <c r="AL6" s="18"/>
      <c r="AM6" s="1317">
        <f>Model!AM6</f>
        <v>2003</v>
      </c>
      <c r="AN6" s="1318"/>
      <c r="AO6" s="1319"/>
      <c r="AP6" s="1318"/>
      <c r="AQ6" s="1318"/>
      <c r="AR6" s="18"/>
      <c r="AS6" s="1317" t="str">
        <f>Model!AS6</f>
        <v>2004</v>
      </c>
      <c r="AT6" s="1318"/>
      <c r="AU6" s="1319"/>
      <c r="AV6" s="841"/>
      <c r="AW6" s="841"/>
      <c r="AX6" s="18"/>
      <c r="AY6" s="1244" t="str">
        <f>Model!AY6</f>
        <v>2005</v>
      </c>
      <c r="AZ6" s="841"/>
      <c r="BA6" s="1245"/>
      <c r="BB6" s="841"/>
      <c r="BC6" s="841"/>
      <c r="BD6" s="18"/>
      <c r="BE6" s="1244" t="str">
        <f>Model!BE6</f>
        <v>2006</v>
      </c>
      <c r="BF6" s="841"/>
      <c r="BG6" s="1245"/>
      <c r="BH6" s="841"/>
      <c r="BI6" s="841"/>
      <c r="BJ6" s="18"/>
      <c r="BK6" s="1244" t="str">
        <f>Model!BK6</f>
        <v>2007</v>
      </c>
      <c r="BL6" s="841"/>
      <c r="BM6" s="1245"/>
      <c r="BN6" s="841"/>
      <c r="BO6" s="841"/>
      <c r="BP6" s="18"/>
      <c r="BQ6" s="1244" t="str">
        <f>Model!BQ6</f>
        <v>2008</v>
      </c>
      <c r="BR6" s="841"/>
      <c r="BS6" s="1245"/>
      <c r="BT6" s="841"/>
      <c r="BU6" s="841"/>
      <c r="BV6" s="18"/>
      <c r="BW6" s="1244" t="str">
        <f>Model!BW6</f>
        <v>2009</v>
      </c>
      <c r="BX6" s="841"/>
      <c r="BY6" s="1245"/>
      <c r="BZ6" s="841"/>
      <c r="CA6" s="841"/>
      <c r="CB6" s="18"/>
      <c r="CC6" s="1244" t="str">
        <f>Model!CC6</f>
        <v>2010</v>
      </c>
      <c r="CD6" s="841"/>
      <c r="CE6" s="841"/>
      <c r="CF6" s="841"/>
      <c r="CG6" s="841"/>
      <c r="CH6" s="18"/>
      <c r="CI6" s="1244" t="str">
        <f>Model!CI6</f>
        <v>2011</v>
      </c>
      <c r="CJ6" s="841"/>
      <c r="CK6" s="1245"/>
      <c r="CL6" s="841"/>
      <c r="CM6" s="841"/>
      <c r="CN6" s="18"/>
      <c r="CO6" s="1244" t="str">
        <f>Model!CO6</f>
        <v>2012</v>
      </c>
      <c r="CP6" s="841"/>
      <c r="CQ6" s="1245"/>
      <c r="CR6" s="841"/>
      <c r="CS6" s="841"/>
      <c r="CT6" s="18"/>
      <c r="CU6" s="2307" t="str">
        <f>Model!CU6</f>
        <v>2013</v>
      </c>
      <c r="CV6" s="2307"/>
      <c r="CW6" s="2307"/>
      <c r="CX6" s="2307"/>
      <c r="CY6" s="841"/>
      <c r="CZ6" s="18"/>
      <c r="DA6" s="1244" t="str">
        <f>Model!DA6</f>
        <v>2014</v>
      </c>
      <c r="DB6" s="841"/>
      <c r="DC6" s="1245"/>
      <c r="DD6" s="841"/>
      <c r="DE6" s="841"/>
      <c r="DF6" s="18"/>
      <c r="DG6" s="1244" t="str">
        <f>Model!DG6</f>
        <v>2015</v>
      </c>
      <c r="DH6" s="841"/>
      <c r="DI6" s="1245"/>
      <c r="DJ6" s="841"/>
      <c r="DK6" s="841"/>
      <c r="DL6" s="18"/>
      <c r="DM6" s="1244" t="str">
        <f>Model!DM6</f>
        <v>2016</v>
      </c>
      <c r="DN6" s="841"/>
      <c r="DO6" s="1245"/>
      <c r="DP6" s="841"/>
      <c r="DQ6" s="841"/>
      <c r="DR6" s="18"/>
      <c r="DS6" s="1244" t="str">
        <f>Model!DS6</f>
        <v>2017</v>
      </c>
      <c r="DT6" s="841"/>
      <c r="DU6" s="1245"/>
      <c r="DV6" s="841"/>
      <c r="DW6" s="841"/>
      <c r="DX6" s="18"/>
      <c r="DY6" s="1244" t="str">
        <f>Model!DY6</f>
        <v>2018</v>
      </c>
      <c r="DZ6" s="841"/>
      <c r="EA6" s="1245"/>
      <c r="EB6" s="1245"/>
      <c r="EC6" s="841"/>
      <c r="ED6" s="18"/>
      <c r="EE6" s="841" t="str">
        <f>Model!EE6</f>
        <v>2019e</v>
      </c>
      <c r="EF6" s="841"/>
      <c r="EG6" s="1245"/>
      <c r="EH6" s="841"/>
      <c r="EI6" s="841"/>
      <c r="EJ6" s="18"/>
      <c r="EK6" s="841" t="str">
        <f>Model!EK6</f>
        <v>2020e</v>
      </c>
      <c r="EL6" s="841"/>
      <c r="EM6" s="1245"/>
      <c r="EN6" s="841"/>
      <c r="EO6" s="841"/>
      <c r="EP6" s="18"/>
      <c r="EQ6" s="841" t="str">
        <f>Model!EQ6</f>
        <v>2021e</v>
      </c>
      <c r="ER6" s="841"/>
      <c r="ES6" s="1245"/>
      <c r="ET6" s="841"/>
      <c r="EU6" s="841"/>
      <c r="EV6" s="19"/>
      <c r="EW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</row>
    <row r="7" spans="1:172">
      <c r="A7" s="1320"/>
      <c r="B7" s="1321"/>
      <c r="C7" s="842" t="str">
        <f>Model!C7</f>
        <v>4/96</v>
      </c>
      <c r="D7" s="842" t="str">
        <f>Model!D7</f>
        <v>7/96</v>
      </c>
      <c r="E7" s="842" t="str">
        <f>Model!E7</f>
        <v>10/96</v>
      </c>
      <c r="F7" s="842" t="str">
        <f>Model!F7</f>
        <v>1/97</v>
      </c>
      <c r="G7" s="842" t="str">
        <f>Model!G7</f>
        <v>FY97</v>
      </c>
      <c r="H7" s="842"/>
      <c r="I7" s="842" t="str">
        <f>Model!I7</f>
        <v>4/97</v>
      </c>
      <c r="J7" s="842" t="str">
        <f>Model!J7</f>
        <v>7/97</v>
      </c>
      <c r="K7" s="842" t="str">
        <f>Model!K7</f>
        <v>10/97</v>
      </c>
      <c r="L7" s="842" t="str">
        <f>Model!L7</f>
        <v>1/98</v>
      </c>
      <c r="M7" s="842" t="str">
        <f>Model!M7</f>
        <v>FY98</v>
      </c>
      <c r="N7" s="842"/>
      <c r="O7" s="842" t="str">
        <f>Model!O7</f>
        <v>4/98</v>
      </c>
      <c r="P7" s="842" t="str">
        <f>Model!P7</f>
        <v>7/98</v>
      </c>
      <c r="Q7" s="842" t="str">
        <f>Model!Q7</f>
        <v>10/98</v>
      </c>
      <c r="R7" s="842" t="str">
        <f>Model!R7</f>
        <v>1/99</v>
      </c>
      <c r="S7" s="842" t="str">
        <f>Model!S7</f>
        <v>FY99</v>
      </c>
      <c r="T7" s="842"/>
      <c r="U7" s="842" t="str">
        <f>Model!U7</f>
        <v>4/99</v>
      </c>
      <c r="V7" s="842" t="str">
        <f>Model!V7</f>
        <v>7/99</v>
      </c>
      <c r="W7" s="842" t="str">
        <f>Model!W7</f>
        <v>10/99</v>
      </c>
      <c r="X7" s="842" t="str">
        <f>Model!X7</f>
        <v>1/00</v>
      </c>
      <c r="Y7" s="842" t="str">
        <f>Model!Y7</f>
        <v>FY00</v>
      </c>
      <c r="Z7" s="842"/>
      <c r="AA7" s="842" t="str">
        <f>Model!AA7</f>
        <v>4/00</v>
      </c>
      <c r="AB7" s="842" t="str">
        <f>Model!AB7</f>
        <v>7/00</v>
      </c>
      <c r="AC7" s="842" t="str">
        <f>Model!AC7</f>
        <v>10/00</v>
      </c>
      <c r="AD7" s="842" t="str">
        <f>Model!AD7</f>
        <v>1/01</v>
      </c>
      <c r="AE7" s="842" t="str">
        <f>Model!AE7</f>
        <v>FY01</v>
      </c>
      <c r="AF7" s="842"/>
      <c r="AG7" s="842" t="str">
        <f>Model!AG7</f>
        <v>4/01</v>
      </c>
      <c r="AH7" s="842" t="str">
        <f>Model!AH7</f>
        <v>7/01</v>
      </c>
      <c r="AI7" s="842" t="str">
        <f>Model!AI7</f>
        <v>10/01</v>
      </c>
      <c r="AJ7" s="842" t="str">
        <f>Model!AJ7</f>
        <v>1/02</v>
      </c>
      <c r="AK7" s="842" t="str">
        <f>Model!AK7</f>
        <v>FY02</v>
      </c>
      <c r="AL7" s="842"/>
      <c r="AM7" s="1322" t="str">
        <f>Model!AM7</f>
        <v>4/02</v>
      </c>
      <c r="AN7" s="1322" t="str">
        <f>Model!AN7</f>
        <v>7/02</v>
      </c>
      <c r="AO7" s="1322" t="str">
        <f>Model!AO7</f>
        <v>10/02</v>
      </c>
      <c r="AP7" s="1322" t="str">
        <f>Model!AP7</f>
        <v>1/03</v>
      </c>
      <c r="AQ7" s="1322" t="str">
        <f>Model!AQ7</f>
        <v>FY03</v>
      </c>
      <c r="AR7" s="842"/>
      <c r="AS7" s="1322" t="str">
        <f>Model!AS7</f>
        <v>4/03</v>
      </c>
      <c r="AT7" s="1322" t="str">
        <f>Model!AT7</f>
        <v>7/03</v>
      </c>
      <c r="AU7" s="1322" t="str">
        <f>Model!AU7</f>
        <v>10/03</v>
      </c>
      <c r="AV7" s="842" t="str">
        <f>Model!AV7</f>
        <v xml:space="preserve"> 1/04</v>
      </c>
      <c r="AW7" s="842" t="str">
        <f>Model!AW7</f>
        <v>FY04</v>
      </c>
      <c r="AX7" s="842"/>
      <c r="AY7" s="842" t="str">
        <f>Model!AY7</f>
        <v xml:space="preserve"> 4/04</v>
      </c>
      <c r="AZ7" s="842" t="str">
        <f>Model!AZ7</f>
        <v xml:space="preserve"> 07/04</v>
      </c>
      <c r="BA7" s="842" t="str">
        <f>Model!BA7</f>
        <v>10/04</v>
      </c>
      <c r="BB7" s="842" t="str">
        <f>Model!BB7</f>
        <v>1/05</v>
      </c>
      <c r="BC7" s="842" t="str">
        <f>Model!BC7</f>
        <v>FY05</v>
      </c>
      <c r="BD7" s="842"/>
      <c r="BE7" s="842" t="str">
        <f>Model!BE7</f>
        <v>4/05</v>
      </c>
      <c r="BF7" s="842" t="str">
        <f>Model!BF7</f>
        <v>7/05</v>
      </c>
      <c r="BG7" s="842" t="str">
        <f>Model!BG7</f>
        <v>10/05</v>
      </c>
      <c r="BH7" s="842" t="str">
        <f>Model!BH7</f>
        <v>1/06</v>
      </c>
      <c r="BI7" s="842" t="str">
        <f>Model!BI7</f>
        <v>FY06</v>
      </c>
      <c r="BJ7" s="842"/>
      <c r="BK7" s="842" t="str">
        <f>Model!BK7</f>
        <v>4/06</v>
      </c>
      <c r="BL7" s="842" t="str">
        <f>Model!BL7</f>
        <v>7/06</v>
      </c>
      <c r="BM7" s="842" t="str">
        <f>Model!BM7</f>
        <v>10/06</v>
      </c>
      <c r="BN7" s="842" t="str">
        <f>Model!BN7</f>
        <v>1/07</v>
      </c>
      <c r="BO7" s="1249" t="str">
        <f>Model!BO7</f>
        <v>FY07</v>
      </c>
      <c r="BP7" s="842"/>
      <c r="BQ7" s="842" t="str">
        <f>Model!BQ7</f>
        <v>4/07</v>
      </c>
      <c r="BR7" s="842" t="str">
        <f>Model!BR7</f>
        <v>7/07</v>
      </c>
      <c r="BS7" s="842" t="str">
        <f>Model!BS7</f>
        <v>10/07</v>
      </c>
      <c r="BT7" s="842" t="str">
        <f>Model!BT7</f>
        <v>1/08</v>
      </c>
      <c r="BU7" s="1249" t="str">
        <f>Model!BU7</f>
        <v>FY08</v>
      </c>
      <c r="BV7" s="842"/>
      <c r="BW7" s="842" t="str">
        <f>Model!BW7</f>
        <v>4/08</v>
      </c>
      <c r="BX7" s="842" t="str">
        <f>Model!BX7</f>
        <v>7/08</v>
      </c>
      <c r="BY7" s="842" t="str">
        <f>Model!BY7</f>
        <v>10/08</v>
      </c>
      <c r="BZ7" s="842" t="str">
        <f>Model!BZ7</f>
        <v>1/09</v>
      </c>
      <c r="CA7" s="1249" t="str">
        <f>Model!CA7</f>
        <v>FY09</v>
      </c>
      <c r="CB7" s="842"/>
      <c r="CC7" s="842" t="str">
        <f>Model!CC7</f>
        <v>4/09</v>
      </c>
      <c r="CD7" s="842" t="str">
        <f>Model!CD7</f>
        <v>7/09</v>
      </c>
      <c r="CE7" s="842" t="str">
        <f>Model!CE7</f>
        <v>10/09</v>
      </c>
      <c r="CF7" s="842" t="str">
        <f>Model!CF7</f>
        <v>1/10</v>
      </c>
      <c r="CG7" s="1249" t="str">
        <f>Model!CG7</f>
        <v>FY10</v>
      </c>
      <c r="CH7" s="842"/>
      <c r="CI7" s="842" t="str">
        <f>Model!CI7</f>
        <v>4/10</v>
      </c>
      <c r="CJ7" s="842" t="str">
        <f>Model!CJ7</f>
        <v>7/10</v>
      </c>
      <c r="CK7" s="842" t="str">
        <f>Model!CK7</f>
        <v>10/10</v>
      </c>
      <c r="CL7" s="842" t="str">
        <f>Model!CL7</f>
        <v>1/11</v>
      </c>
      <c r="CM7" s="1249" t="str">
        <f>Model!CM7</f>
        <v>FY11</v>
      </c>
      <c r="CN7" s="842"/>
      <c r="CO7" s="842" t="str">
        <f>Model!CO7</f>
        <v>4/11</v>
      </c>
      <c r="CP7" s="842" t="str">
        <f>Model!CP7</f>
        <v>7/11</v>
      </c>
      <c r="CQ7" s="842" t="str">
        <f>Model!CQ7</f>
        <v>10/11</v>
      </c>
      <c r="CR7" s="842" t="str">
        <f>Model!CR7</f>
        <v>1/12</v>
      </c>
      <c r="CS7" s="1249" t="str">
        <f>Model!CS7</f>
        <v>FY12</v>
      </c>
      <c r="CT7" s="842"/>
      <c r="CU7" s="842" t="str">
        <f>Model!CU7</f>
        <v>4/12</v>
      </c>
      <c r="CV7" s="842" t="str">
        <f>Model!CV7</f>
        <v>7/12</v>
      </c>
      <c r="CW7" s="842" t="str">
        <f>Model!CW7</f>
        <v>10/12</v>
      </c>
      <c r="CX7" s="842" t="str">
        <f>Model!CX7</f>
        <v>1/13</v>
      </c>
      <c r="CY7" s="1249" t="str">
        <f>Model!CY7</f>
        <v>FY13</v>
      </c>
      <c r="CZ7" s="842"/>
      <c r="DA7" s="842" t="str">
        <f>Model!DA7</f>
        <v>4/13</v>
      </c>
      <c r="DB7" s="842" t="str">
        <f>Model!DB7</f>
        <v>7/13</v>
      </c>
      <c r="DC7" s="842" t="str">
        <f>Model!DC7</f>
        <v>10/13</v>
      </c>
      <c r="DD7" s="842" t="str">
        <f>Model!DD7</f>
        <v>1/14</v>
      </c>
      <c r="DE7" s="1249" t="str">
        <f>Model!DE7</f>
        <v>FY14</v>
      </c>
      <c r="DF7" s="842"/>
      <c r="DG7" s="842" t="str">
        <f>Model!DG7</f>
        <v>4/14</v>
      </c>
      <c r="DH7" s="842" t="str">
        <f>Model!DH7</f>
        <v>7/14</v>
      </c>
      <c r="DI7" s="842" t="str">
        <f>Model!DI7</f>
        <v>10/14</v>
      </c>
      <c r="DJ7" s="842" t="str">
        <f>Model!DJ7</f>
        <v>1/15</v>
      </c>
      <c r="DK7" s="1249" t="str">
        <f>Model!DK7</f>
        <v>FY15</v>
      </c>
      <c r="DL7" s="842"/>
      <c r="DM7" s="842" t="str">
        <f>Model!DM7</f>
        <v>4/15</v>
      </c>
      <c r="DN7" s="842" t="str">
        <f>Model!DN7</f>
        <v>7/15</v>
      </c>
      <c r="DO7" s="842" t="str">
        <f>Model!DO7</f>
        <v>10/15</v>
      </c>
      <c r="DP7" s="842" t="str">
        <f>Model!DP7</f>
        <v>1/16</v>
      </c>
      <c r="DQ7" s="1249" t="str">
        <f>Model!DQ7</f>
        <v>FY16</v>
      </c>
      <c r="DR7" s="842"/>
      <c r="DS7" s="842" t="str">
        <f>Model!DS7</f>
        <v>4/16</v>
      </c>
      <c r="DT7" s="842" t="str">
        <f>Model!DT7</f>
        <v>7/16</v>
      </c>
      <c r="DU7" s="842" t="str">
        <f>Model!DU7</f>
        <v>10/16</v>
      </c>
      <c r="DV7" s="842" t="str">
        <f>Model!DV7</f>
        <v>1/17</v>
      </c>
      <c r="DW7" s="1249" t="str">
        <f>Model!DW7</f>
        <v>FY17</v>
      </c>
      <c r="DX7" s="842"/>
      <c r="DY7" s="842" t="str">
        <f>Model!DY7</f>
        <v>4/17</v>
      </c>
      <c r="DZ7" s="842" t="str">
        <f>Model!DZ7</f>
        <v>7/17</v>
      </c>
      <c r="EA7" s="842" t="str">
        <f>Model!EA7</f>
        <v>10/17</v>
      </c>
      <c r="EB7" s="842" t="str">
        <f>Model!EB7</f>
        <v>1/18</v>
      </c>
      <c r="EC7" s="1249" t="str">
        <f>Model!EC7</f>
        <v>FY18</v>
      </c>
      <c r="ED7" s="842"/>
      <c r="EE7" s="842" t="str">
        <f>Model!EE7</f>
        <v>4/18e</v>
      </c>
      <c r="EF7" s="842" t="str">
        <f>Model!EF7</f>
        <v>7/18e</v>
      </c>
      <c r="EG7" s="842" t="str">
        <f>Model!EG7</f>
        <v>10/18e</v>
      </c>
      <c r="EH7" s="842" t="str">
        <f>Model!EH7</f>
        <v>1/19e</v>
      </c>
      <c r="EI7" s="1249" t="str">
        <f>Model!EI7</f>
        <v>FY19e</v>
      </c>
      <c r="EJ7" s="842"/>
      <c r="EK7" s="842" t="str">
        <f>Model!EK7</f>
        <v>4/19e</v>
      </c>
      <c r="EL7" s="842" t="str">
        <f>Model!EL7</f>
        <v>7/19e</v>
      </c>
      <c r="EM7" s="842" t="str">
        <f>Model!EM7</f>
        <v>10/19e</v>
      </c>
      <c r="EN7" s="842" t="str">
        <f>Model!EN7</f>
        <v>1/20e</v>
      </c>
      <c r="EO7" s="1249" t="str">
        <f>Model!EO7</f>
        <v>FY20e</v>
      </c>
      <c r="EP7" s="842"/>
      <c r="EQ7" s="842" t="str">
        <f>Model!EQ7</f>
        <v>4/20e</v>
      </c>
      <c r="ER7" s="842" t="str">
        <f>Model!ER7</f>
        <v>7/20e</v>
      </c>
      <c r="ES7" s="842" t="str">
        <f>Model!ES7</f>
        <v>10/20e</v>
      </c>
      <c r="ET7" s="842" t="str">
        <f>Model!ET7</f>
        <v>1/21e</v>
      </c>
      <c r="EU7" s="1249" t="str">
        <f>Model!EU7</f>
        <v>FY21e</v>
      </c>
      <c r="EV7" s="21"/>
      <c r="EW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</row>
    <row r="8" spans="1:172" ht="5.25" customHeight="1">
      <c r="A8" s="22"/>
      <c r="B8" s="32"/>
      <c r="C8" s="23"/>
      <c r="D8" s="24"/>
      <c r="E8" s="24"/>
      <c r="F8" s="24"/>
      <c r="G8" s="24"/>
      <c r="H8" s="24"/>
      <c r="I8" s="23"/>
      <c r="J8" s="24"/>
      <c r="K8" s="24"/>
      <c r="L8" s="24"/>
      <c r="M8" s="24"/>
      <c r="N8" s="24"/>
      <c r="O8" s="23"/>
      <c r="P8" s="24"/>
      <c r="Q8" s="24"/>
      <c r="R8" s="24"/>
      <c r="S8" s="24"/>
      <c r="T8" s="24"/>
      <c r="U8" s="23"/>
      <c r="V8" s="24"/>
      <c r="W8" s="24"/>
      <c r="X8" s="24"/>
      <c r="Y8" s="24"/>
      <c r="Z8" s="24"/>
      <c r="AA8" s="23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20"/>
      <c r="AN8" s="220"/>
      <c r="AO8" s="220"/>
      <c r="AP8" s="220"/>
      <c r="AQ8" s="220"/>
      <c r="AR8" s="24"/>
      <c r="AS8" s="220"/>
      <c r="AT8" s="220"/>
      <c r="AU8" s="220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1250"/>
      <c r="BP8" s="24"/>
      <c r="BQ8" s="24"/>
      <c r="BR8" s="24"/>
      <c r="BS8" s="24"/>
      <c r="BT8" s="24"/>
      <c r="BU8" s="1250"/>
      <c r="BV8" s="24"/>
      <c r="BW8" s="24"/>
      <c r="BX8" s="24"/>
      <c r="BY8" s="24"/>
      <c r="BZ8" s="24"/>
      <c r="CA8" s="1250"/>
      <c r="CB8" s="24"/>
      <c r="CC8" s="24"/>
      <c r="CD8" s="24"/>
      <c r="CE8" s="24"/>
      <c r="CF8" s="24"/>
      <c r="CG8" s="1250"/>
      <c r="CH8" s="24"/>
      <c r="CI8" s="24"/>
      <c r="CJ8" s="24"/>
      <c r="CK8" s="24"/>
      <c r="CL8" s="24"/>
      <c r="CM8" s="1250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147"/>
      <c r="DU8" s="147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</row>
    <row r="9" spans="1:172" ht="10.5" customHeight="1">
      <c r="A9" s="31" t="s">
        <v>6590</v>
      </c>
      <c r="B9" s="294"/>
      <c r="C9" s="85"/>
      <c r="D9" s="85"/>
      <c r="E9" s="85"/>
      <c r="F9" s="85"/>
      <c r="G9" s="85"/>
      <c r="H9" s="128"/>
      <c r="I9" s="85"/>
      <c r="J9" s="85"/>
      <c r="K9" s="85"/>
      <c r="L9" s="85"/>
      <c r="M9" s="85"/>
      <c r="N9" s="168"/>
      <c r="O9" s="85"/>
      <c r="P9" s="85"/>
      <c r="Q9" s="85"/>
      <c r="R9" s="85"/>
      <c r="S9" s="85"/>
      <c r="T9" s="168"/>
      <c r="U9" s="168"/>
      <c r="V9" s="168"/>
      <c r="W9" s="168"/>
      <c r="X9" s="168"/>
      <c r="Y9" s="319"/>
      <c r="Z9" s="168"/>
      <c r="AA9" s="128"/>
      <c r="AB9" s="128"/>
      <c r="AC9" s="128"/>
      <c r="AD9" s="128"/>
      <c r="AE9" s="128"/>
      <c r="AF9" s="168"/>
      <c r="AG9" s="128"/>
      <c r="AH9" s="128"/>
      <c r="AI9" s="128"/>
      <c r="AJ9" s="128"/>
      <c r="AK9" s="128"/>
      <c r="AL9" s="168"/>
      <c r="AM9" s="223"/>
      <c r="AN9" s="223"/>
      <c r="AO9" s="223"/>
      <c r="AP9" s="168"/>
      <c r="AQ9" s="223"/>
      <c r="AR9" s="168"/>
      <c r="AS9" s="223"/>
      <c r="AT9" s="223"/>
      <c r="AU9" s="223"/>
      <c r="AV9" s="128"/>
      <c r="AW9" s="128"/>
      <c r="AX9" s="168"/>
      <c r="AY9" s="299"/>
      <c r="AZ9" s="299"/>
      <c r="BA9" s="299"/>
      <c r="BB9" s="299"/>
      <c r="BC9" s="128"/>
      <c r="BD9" s="168"/>
      <c r="BE9" s="299"/>
      <c r="BF9" s="299"/>
      <c r="BG9" s="299"/>
      <c r="BH9" s="299"/>
      <c r="BI9" s="128"/>
      <c r="BJ9" s="128"/>
      <c r="BK9" s="299"/>
      <c r="BL9" s="299"/>
      <c r="BM9" s="299"/>
      <c r="BN9" s="299"/>
      <c r="BO9" s="1323"/>
      <c r="BP9" s="128"/>
      <c r="BQ9" s="299"/>
      <c r="BR9" s="299"/>
      <c r="BS9" s="299"/>
      <c r="BT9" s="299"/>
      <c r="BU9" s="1323"/>
      <c r="BV9" s="128"/>
      <c r="BW9" s="299"/>
      <c r="BX9" s="1366"/>
      <c r="BY9" s="299"/>
      <c r="BZ9" s="299"/>
      <c r="CA9" s="1323"/>
      <c r="CB9" s="128"/>
      <c r="CC9" s="299"/>
      <c r="CD9" s="299"/>
      <c r="CE9" s="299"/>
      <c r="CF9" s="299"/>
      <c r="CG9" s="1323"/>
      <c r="CH9" s="128"/>
      <c r="CI9" s="299"/>
      <c r="CJ9" s="299"/>
      <c r="CK9" s="299"/>
      <c r="CL9" s="299"/>
      <c r="CM9" s="1323"/>
      <c r="CN9" s="128"/>
      <c r="CO9" s="299"/>
      <c r="CP9" s="299"/>
      <c r="CQ9" s="299"/>
      <c r="CR9" s="299"/>
      <c r="CS9" s="1323"/>
      <c r="CT9" s="128"/>
      <c r="CU9" s="299"/>
      <c r="CV9" s="299"/>
      <c r="CW9" s="299"/>
      <c r="CX9" s="299"/>
      <c r="CY9" s="1323"/>
      <c r="CZ9" s="128"/>
      <c r="DA9" s="299"/>
      <c r="DB9" s="299"/>
      <c r="DC9" s="299"/>
      <c r="DD9" s="299"/>
      <c r="DE9" s="1323"/>
      <c r="DF9" s="128"/>
      <c r="DG9" s="299"/>
      <c r="DH9" s="299"/>
      <c r="DI9" s="299"/>
      <c r="DJ9" s="299"/>
      <c r="DK9" s="1323"/>
      <c r="DL9" s="128"/>
      <c r="DM9" s="299"/>
      <c r="DN9" s="299"/>
      <c r="DO9" s="299"/>
      <c r="DP9" s="299"/>
      <c r="DQ9" s="1323"/>
      <c r="DR9" s="128"/>
      <c r="DS9" s="299"/>
      <c r="DT9" s="128"/>
      <c r="DU9" s="128"/>
      <c r="DV9" s="299"/>
      <c r="DW9" s="1323"/>
      <c r="DX9" s="128"/>
      <c r="DY9" s="299"/>
      <c r="DZ9" s="299"/>
      <c r="EA9" s="299"/>
      <c r="EB9" s="299"/>
      <c r="EC9" s="1323"/>
      <c r="ED9" s="128"/>
      <c r="EE9" s="299"/>
      <c r="EF9" s="299"/>
      <c r="EG9" s="299"/>
      <c r="EH9" s="299"/>
      <c r="EI9" s="1323"/>
      <c r="EJ9" s="128"/>
      <c r="EK9" s="299"/>
      <c r="EL9" s="299"/>
      <c r="EM9" s="299"/>
      <c r="EN9" s="299"/>
      <c r="EO9" s="1323"/>
      <c r="EP9" s="128"/>
      <c r="EQ9" s="299"/>
      <c r="ER9" s="299"/>
      <c r="ES9" s="299"/>
      <c r="ET9" s="299"/>
      <c r="EU9" s="1323"/>
      <c r="EV9" s="27"/>
      <c r="EW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</row>
    <row r="10" spans="1:172" ht="10.5" customHeight="1">
      <c r="A10" s="78" t="s">
        <v>4674</v>
      </c>
      <c r="B10" s="42"/>
      <c r="C10" s="363"/>
      <c r="D10" s="363"/>
      <c r="E10" s="363"/>
      <c r="F10" s="363"/>
      <c r="G10" s="363"/>
      <c r="H10" s="64"/>
      <c r="I10" s="363"/>
      <c r="J10" s="363"/>
      <c r="K10" s="363"/>
      <c r="L10" s="363"/>
      <c r="M10" s="363"/>
      <c r="N10" s="64"/>
      <c r="O10" s="64">
        <f>Model!O147</f>
        <v>28.733000000000025</v>
      </c>
      <c r="P10" s="64">
        <f>Model!P147+O10</f>
        <v>56.263000000000034</v>
      </c>
      <c r="Q10" s="64">
        <f>Model!Q147+P10</f>
        <v>73.887000000000043</v>
      </c>
      <c r="R10" s="64">
        <f>Model!R147+Q10</f>
        <v>97.132000000000048</v>
      </c>
      <c r="S10" s="64">
        <f>Model!S147</f>
        <v>97.131999999999948</v>
      </c>
      <c r="T10" s="64"/>
      <c r="U10" s="64">
        <f>Model!U147</f>
        <v>-17.143999999999995</v>
      </c>
      <c r="V10" s="64">
        <f>Model!V147+U10</f>
        <v>-16.755000000000006</v>
      </c>
      <c r="W10" s="64">
        <f>Model!W147+V10</f>
        <v>-15.361999999999984</v>
      </c>
      <c r="X10" s="64">
        <f>Model!X147+W10</f>
        <v>9.8100000000000271</v>
      </c>
      <c r="Y10" s="64">
        <f>Model!Y147</f>
        <v>9.809000000000081</v>
      </c>
      <c r="Z10" s="64"/>
      <c r="AA10" s="64">
        <f>Model!AA147</f>
        <v>25.605999999999973</v>
      </c>
      <c r="AB10" s="64">
        <f>Model!AB147+AA10</f>
        <v>46.358999999999995</v>
      </c>
      <c r="AC10" s="64">
        <f>Model!AC147+AB10</f>
        <v>64.87</v>
      </c>
      <c r="AD10" s="64">
        <f>Model!AD147+AC10</f>
        <v>93.233000000000004</v>
      </c>
      <c r="AE10" s="64">
        <f>Model!AE147</f>
        <v>93.232999999999961</v>
      </c>
      <c r="AF10" s="64"/>
      <c r="AG10" s="64">
        <f>Model!AG147</f>
        <v>27.899999999999956</v>
      </c>
      <c r="AH10" s="64">
        <f>Model!AH147+AG10</f>
        <v>47.072999999999944</v>
      </c>
      <c r="AI10" s="64">
        <f>Model!AI147+AH10</f>
        <v>68.543999999999926</v>
      </c>
      <c r="AJ10" s="64">
        <f>Model!AJ147+AI10</f>
        <v>90.31299999999996</v>
      </c>
      <c r="AK10" s="64">
        <f>Model!AK147</f>
        <v>90.313000000000088</v>
      </c>
      <c r="AL10" s="64"/>
      <c r="AM10" s="64">
        <f>Model!AM147</f>
        <v>17.64100000000002</v>
      </c>
      <c r="AN10" s="64">
        <f>Model!AN147+AM10</f>
        <v>29.401000000000035</v>
      </c>
      <c r="AO10" s="64">
        <f>Model!AO147+AN10</f>
        <v>25.49100000000001</v>
      </c>
      <c r="AP10" s="64">
        <f>Model!AP147+AO10</f>
        <v>31.904000000000021</v>
      </c>
      <c r="AQ10" s="64">
        <f>Model!AQ147</f>
        <v>31.904000000000043</v>
      </c>
      <c r="AR10" s="64"/>
      <c r="AS10" s="64">
        <f>Model!AS147</f>
        <v>7.5079999999999991</v>
      </c>
      <c r="AT10" s="64">
        <f>Model!AT147+AS10</f>
        <v>40.109999999999971</v>
      </c>
      <c r="AU10" s="64">
        <f>Model!AU147+AT10</f>
        <v>62.715999999999966</v>
      </c>
      <c r="AV10" s="64">
        <f>Model!AV147+AU10</f>
        <v>120.31600000000005</v>
      </c>
      <c r="AW10" s="64">
        <f>Model!AW147</f>
        <v>120.31600000000009</v>
      </c>
      <c r="AX10" s="64"/>
      <c r="AY10" s="64">
        <f>Model!AY147</f>
        <v>42.116000000000035</v>
      </c>
      <c r="AZ10" s="64">
        <f>Model!AZ147+AY10</f>
        <v>81.116000000000042</v>
      </c>
      <c r="BA10" s="64">
        <f>Model!BA147+AZ10</f>
        <v>155.99400000000003</v>
      </c>
      <c r="BB10" s="64">
        <f>Model!BB147+BA10</f>
        <v>221.18299999999996</v>
      </c>
      <c r="BC10" s="64">
        <f>Model!BC147</f>
        <v>221.18299999999999</v>
      </c>
      <c r="BD10" s="64"/>
      <c r="BE10" s="64">
        <f>Model!BE147</f>
        <v>77.799999999999969</v>
      </c>
      <c r="BF10" s="64">
        <f>Model!BF147+BE10</f>
        <v>154.49999999999994</v>
      </c>
      <c r="BG10" s="64">
        <f>Model!BG147+BF10</f>
        <v>250.19999999999996</v>
      </c>
      <c r="BH10" s="64">
        <f>Model!BH147+BG10</f>
        <v>333.59999999999997</v>
      </c>
      <c r="BI10" s="64">
        <f>Model!BI147</f>
        <v>333.59999999999997</v>
      </c>
      <c r="BJ10" s="64"/>
      <c r="BK10" s="64">
        <f>Model!BK147</f>
        <v>48.499999999999979</v>
      </c>
      <c r="BL10" s="64">
        <f>Model!BL147+BK10</f>
        <v>135.29999999999998</v>
      </c>
      <c r="BM10" s="64">
        <f>Model!BM147+BL10</f>
        <v>193.29999999999995</v>
      </c>
      <c r="BN10" s="64">
        <f>Model!BN147+BM10</f>
        <v>289.69999999999993</v>
      </c>
      <c r="BO10" s="1251">
        <f>Model!BO147</f>
        <v>289.69999999999993</v>
      </c>
      <c r="BP10" s="64"/>
      <c r="BQ10" s="64">
        <f>Model!BQ147</f>
        <v>83.30000000000004</v>
      </c>
      <c r="BR10" s="64">
        <f>Model!BR147+BQ10</f>
        <v>174.90000000000009</v>
      </c>
      <c r="BS10" s="64">
        <f>Model!BS147+BR10</f>
        <v>259.70000000000005</v>
      </c>
      <c r="BT10" s="64">
        <f>Model!BT147+BS10</f>
        <v>356.20000000000005</v>
      </c>
      <c r="BU10" s="1251">
        <f>Model!BU147</f>
        <v>356.20000000000005</v>
      </c>
      <c r="BV10" s="64"/>
      <c r="BW10" s="64">
        <v>94.6</v>
      </c>
      <c r="BX10" s="64">
        <v>184.4</v>
      </c>
      <c r="BY10" s="64">
        <v>289</v>
      </c>
      <c r="BZ10" s="64">
        <v>183.6</v>
      </c>
      <c r="CA10" s="1251">
        <f>Model!CA147</f>
        <v>183.59999999999997</v>
      </c>
      <c r="CB10" s="64"/>
      <c r="CC10" s="64">
        <v>-32.1</v>
      </c>
      <c r="CD10" s="64">
        <v>-21.7</v>
      </c>
      <c r="CE10" s="64">
        <v>7.9</v>
      </c>
      <c r="CF10" s="64">
        <v>58</v>
      </c>
      <c r="CG10" s="1251">
        <f>Model!CG147</f>
        <v>57.999999999999872</v>
      </c>
      <c r="CH10" s="64"/>
      <c r="CI10" s="64">
        <v>36.9</v>
      </c>
      <c r="CJ10" s="64">
        <v>96.8</v>
      </c>
      <c r="CK10" s="64">
        <v>150.4</v>
      </c>
      <c r="CL10" s="64">
        <v>212</v>
      </c>
      <c r="CM10" s="1251">
        <f>Model!CM147</f>
        <v>211.99999999999997</v>
      </c>
      <c r="CN10" s="64"/>
      <c r="CO10" s="64">
        <v>69.3</v>
      </c>
      <c r="CP10" s="64">
        <v>140.5</v>
      </c>
      <c r="CQ10" s="64">
        <v>213.3</v>
      </c>
      <c r="CR10" s="64">
        <v>285.3</v>
      </c>
      <c r="CS10" s="1251">
        <f>Model!CS147</f>
        <v>285.29999999999984</v>
      </c>
      <c r="CT10" s="64"/>
      <c r="CU10" s="194">
        <v>78.900000000000006</v>
      </c>
      <c r="CV10" s="194">
        <v>143.5</v>
      </c>
      <c r="CW10" s="194">
        <v>172.8</v>
      </c>
      <c r="CX10" s="64">
        <v>247.4</v>
      </c>
      <c r="CY10" s="1251">
        <v>247.4</v>
      </c>
      <c r="CZ10" s="64"/>
      <c r="DA10" s="194">
        <v>55.6</v>
      </c>
      <c r="DB10" s="194">
        <v>117.3</v>
      </c>
      <c r="DC10" s="64">
        <v>174.9</v>
      </c>
      <c r="DD10" s="64">
        <v>228.8</v>
      </c>
      <c r="DE10" s="1251">
        <v>228.8</v>
      </c>
      <c r="DF10" s="64"/>
      <c r="DG10" s="64">
        <v>28.3</v>
      </c>
      <c r="DH10" s="64">
        <v>59.6</v>
      </c>
      <c r="DI10" s="64">
        <v>70.3</v>
      </c>
      <c r="DJ10" s="64">
        <v>81.8</v>
      </c>
      <c r="DK10" s="1251">
        <f>DJ10</f>
        <v>81.8</v>
      </c>
      <c r="DL10" s="64"/>
      <c r="DM10" s="64">
        <v>19.100000000000001</v>
      </c>
      <c r="DN10" s="64">
        <v>-216.4</v>
      </c>
      <c r="DO10" s="64">
        <v>-293.3</v>
      </c>
      <c r="DP10" s="64">
        <v>-326</v>
      </c>
      <c r="DQ10" s="1251">
        <f>+DP10</f>
        <v>-326</v>
      </c>
      <c r="DR10" s="64"/>
      <c r="DS10" s="64">
        <v>-173</v>
      </c>
      <c r="DT10" s="64">
        <v>-265.89999999999998</v>
      </c>
      <c r="DU10" s="64">
        <v>-408.7</v>
      </c>
      <c r="DV10" s="64">
        <v>-579.20000000000005</v>
      </c>
      <c r="DW10" s="1251">
        <f>Model!DW147</f>
        <v>-579.1955999999999</v>
      </c>
      <c r="DX10" s="64"/>
      <c r="DY10" s="64">
        <f>Model!DY147</f>
        <v>-129.59999999999994</v>
      </c>
      <c r="DZ10" s="64">
        <f>Model!DZ147+DY10</f>
        <v>-273.60000000000002</v>
      </c>
      <c r="EA10" s="64">
        <v>-393.3</v>
      </c>
      <c r="EB10" s="64">
        <v>-566.9</v>
      </c>
      <c r="EC10" s="1251">
        <f>Model!EC147</f>
        <v>-566.90000000000009</v>
      </c>
      <c r="ED10" s="64"/>
      <c r="EE10" s="64">
        <f>Model!EE147</f>
        <v>-93.744532072822508</v>
      </c>
      <c r="EF10" s="64">
        <f>Model!EF147+EE10</f>
        <v>-156.03123261120371</v>
      </c>
      <c r="EG10" s="64">
        <f>Model!EG147+EF10</f>
        <v>-157.32086568829035</v>
      </c>
      <c r="EH10" s="64">
        <f>Model!EH147+EG10</f>
        <v>-163.67528903349438</v>
      </c>
      <c r="EI10" s="1251">
        <f>Model!EI147</f>
        <v>-163.67528903349438</v>
      </c>
      <c r="EJ10" s="64"/>
      <c r="EK10" s="64">
        <f>Model!EK147</f>
        <v>90.584982806752407</v>
      </c>
      <c r="EL10" s="64">
        <f>Model!EL147+EK10</f>
        <v>239.2756597922077</v>
      </c>
      <c r="EM10" s="64">
        <f>Model!EM147+EL10</f>
        <v>363.55605784288366</v>
      </c>
      <c r="EN10" s="64">
        <f>Model!EN147+EM10</f>
        <v>532.95189999135039</v>
      </c>
      <c r="EO10" s="1251">
        <f>Model!EO147</f>
        <v>532.95189999135039</v>
      </c>
      <c r="EP10" s="64"/>
      <c r="EQ10" s="64">
        <f>Model!EQ147</f>
        <v>137.11201352819981</v>
      </c>
      <c r="ER10" s="64">
        <f>Model!ER147+EQ10</f>
        <v>392.24583863422248</v>
      </c>
      <c r="ES10" s="64">
        <f>Model!ES147+ER10</f>
        <v>624.41174468319389</v>
      </c>
      <c r="ET10" s="64">
        <f>Model!ET147+ES10</f>
        <v>955.61996631860711</v>
      </c>
      <c r="EU10" s="1251">
        <f>Model!EU147</f>
        <v>955.61996631860711</v>
      </c>
      <c r="EV10" s="81"/>
      <c r="EW10" s="81"/>
      <c r="FD10" s="81"/>
      <c r="FE10" s="81"/>
      <c r="FF10" s="81"/>
      <c r="FG10" s="81"/>
      <c r="FH10" s="81"/>
      <c r="FI10" s="81"/>
      <c r="FJ10" s="81"/>
      <c r="FK10" s="81"/>
      <c r="FL10" s="81"/>
      <c r="FM10" s="81"/>
      <c r="FN10" s="81"/>
      <c r="FO10" s="81"/>
      <c r="FP10" s="81"/>
    </row>
    <row r="11" spans="1:172" ht="5.25" customHeight="1">
      <c r="A11" s="75"/>
      <c r="B11" s="42"/>
      <c r="C11" s="76"/>
      <c r="D11" s="76"/>
      <c r="E11" s="76"/>
      <c r="F11" s="76"/>
      <c r="G11" s="77"/>
      <c r="H11" s="77"/>
      <c r="I11" s="76"/>
      <c r="J11" s="76"/>
      <c r="K11" s="76"/>
      <c r="L11" s="76"/>
      <c r="M11" s="77"/>
      <c r="N11" s="77"/>
      <c r="O11" s="76"/>
      <c r="P11" s="76"/>
      <c r="Q11" s="76"/>
      <c r="R11" s="76"/>
      <c r="S11" s="77"/>
      <c r="T11" s="77"/>
      <c r="U11" s="76"/>
      <c r="V11" s="76"/>
      <c r="W11" s="76"/>
      <c r="X11" s="76"/>
      <c r="Y11" s="77"/>
      <c r="Z11" s="77"/>
      <c r="AA11" s="76"/>
      <c r="AB11" s="76"/>
      <c r="AC11" s="76"/>
      <c r="AD11" s="76"/>
      <c r="AE11" s="77"/>
      <c r="AF11" s="77"/>
      <c r="AG11" s="76"/>
      <c r="AH11" s="76"/>
      <c r="AI11" s="76"/>
      <c r="AJ11" s="76"/>
      <c r="AK11" s="77"/>
      <c r="AL11" s="77"/>
      <c r="AM11" s="76"/>
      <c r="AN11" s="76"/>
      <c r="AO11" s="76"/>
      <c r="AP11" s="76"/>
      <c r="AQ11" s="77"/>
      <c r="AR11" s="77"/>
      <c r="AS11" s="76"/>
      <c r="AT11" s="76"/>
      <c r="AU11" s="76"/>
      <c r="AV11" s="76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1308"/>
      <c r="BP11" s="77"/>
      <c r="BQ11" s="77"/>
      <c r="BR11" s="77"/>
      <c r="BS11" s="77"/>
      <c r="BT11" s="77"/>
      <c r="BU11" s="1308"/>
      <c r="BV11" s="77"/>
      <c r="BW11" s="77"/>
      <c r="BX11" s="75"/>
      <c r="BY11" s="75"/>
      <c r="BZ11" s="75"/>
      <c r="CA11" s="1308"/>
      <c r="CB11" s="77"/>
      <c r="CC11" s="75"/>
      <c r="CD11" s="75"/>
      <c r="CE11" s="75"/>
      <c r="CF11" s="75"/>
      <c r="CG11" s="1308"/>
      <c r="CH11" s="77"/>
      <c r="CI11" s="75"/>
      <c r="CJ11" s="75"/>
      <c r="CK11" s="75"/>
      <c r="CL11" s="77"/>
      <c r="CM11" s="1308"/>
      <c r="CN11" s="77"/>
      <c r="CO11" s="75"/>
      <c r="CP11" s="77"/>
      <c r="CQ11" s="77"/>
      <c r="CR11" s="75"/>
      <c r="CS11" s="1308"/>
      <c r="CT11" s="77"/>
      <c r="CU11" s="75"/>
      <c r="CV11" s="77"/>
      <c r="CW11" s="77"/>
      <c r="CX11" s="75"/>
      <c r="CY11" s="1308"/>
      <c r="CZ11" s="77"/>
      <c r="DA11" s="75"/>
      <c r="DB11" s="75"/>
      <c r="DC11" s="77"/>
      <c r="DD11" s="77"/>
      <c r="DE11" s="1308"/>
      <c r="DF11" s="77"/>
      <c r="DG11" s="77"/>
      <c r="DH11" s="77"/>
      <c r="DI11" s="77"/>
      <c r="DJ11" s="77"/>
      <c r="DK11" s="1308"/>
      <c r="DL11" s="77"/>
      <c r="DM11" s="77"/>
      <c r="DN11" s="77"/>
      <c r="DO11" s="77"/>
      <c r="DP11" s="77"/>
      <c r="DQ11" s="1308"/>
      <c r="DR11" s="77"/>
      <c r="DS11" s="77"/>
      <c r="DT11" s="75"/>
      <c r="DU11" s="75"/>
      <c r="DV11" s="77"/>
      <c r="DW11" s="1308"/>
      <c r="DX11" s="77"/>
      <c r="DY11" s="77"/>
      <c r="DZ11" s="77"/>
      <c r="EA11" s="75"/>
      <c r="EB11" s="77"/>
      <c r="EC11" s="1308"/>
      <c r="ED11" s="77"/>
      <c r="EE11" s="77"/>
      <c r="EF11" s="77"/>
      <c r="EG11" s="77"/>
      <c r="EH11" s="77"/>
      <c r="EI11" s="1308"/>
      <c r="EJ11" s="77"/>
      <c r="EK11" s="77"/>
      <c r="EL11" s="77"/>
      <c r="EM11" s="77"/>
      <c r="EN11" s="77"/>
      <c r="EO11" s="1308"/>
      <c r="EP11" s="77"/>
      <c r="EQ11" s="77"/>
      <c r="ER11" s="77"/>
      <c r="ES11" s="77"/>
      <c r="ET11" s="77"/>
      <c r="EU11" s="1308"/>
      <c r="EV11" s="77"/>
      <c r="EW11" s="77"/>
      <c r="FD11" s="77"/>
      <c r="FE11" s="77"/>
      <c r="FF11" s="77"/>
      <c r="FG11" s="77"/>
      <c r="FH11" s="77"/>
      <c r="FI11" s="77"/>
      <c r="FJ11" s="77"/>
      <c r="FK11" s="77"/>
      <c r="FL11" s="77"/>
      <c r="FM11" s="77"/>
      <c r="FN11" s="77"/>
      <c r="FO11" s="77"/>
      <c r="FP11" s="77"/>
    </row>
    <row r="12" spans="1:172" ht="10.5" customHeight="1">
      <c r="A12" s="82" t="s">
        <v>6813</v>
      </c>
      <c r="B12" s="42"/>
      <c r="C12" s="62"/>
      <c r="D12" s="62"/>
      <c r="E12" s="62"/>
      <c r="F12" s="62"/>
      <c r="G12" s="62"/>
      <c r="H12" s="61"/>
      <c r="I12" s="62"/>
      <c r="J12" s="62"/>
      <c r="K12" s="62"/>
      <c r="L12" s="62"/>
      <c r="M12" s="62"/>
      <c r="N12" s="61"/>
      <c r="O12" s="62"/>
      <c r="P12" s="62"/>
      <c r="Q12" s="62"/>
      <c r="R12" s="62"/>
      <c r="S12" s="62"/>
      <c r="T12" s="61"/>
      <c r="U12" s="62"/>
      <c r="V12" s="62"/>
      <c r="W12" s="62"/>
      <c r="X12" s="62"/>
      <c r="Y12" s="62"/>
      <c r="Z12" s="61"/>
      <c r="AA12" s="62"/>
      <c r="AB12" s="62"/>
      <c r="AC12" s="62"/>
      <c r="AD12" s="62"/>
      <c r="AE12" s="62"/>
      <c r="AF12" s="61"/>
      <c r="AG12" s="62"/>
      <c r="AH12" s="62"/>
      <c r="AI12" s="62"/>
      <c r="AJ12" s="62"/>
      <c r="AK12" s="62"/>
      <c r="AL12" s="61"/>
      <c r="AM12" s="62"/>
      <c r="AN12" s="62"/>
      <c r="AO12" s="62"/>
      <c r="AP12" s="62"/>
      <c r="AQ12" s="62"/>
      <c r="AR12" s="61"/>
      <c r="AS12" s="62"/>
      <c r="AT12" s="62"/>
      <c r="AU12" s="62"/>
      <c r="AV12" s="62"/>
      <c r="AW12" s="62"/>
      <c r="AX12" s="61"/>
      <c r="AY12" s="63"/>
      <c r="AZ12" s="63"/>
      <c r="BA12" s="63"/>
      <c r="BB12" s="63"/>
      <c r="BC12" s="62"/>
      <c r="BD12" s="61"/>
      <c r="BE12" s="63"/>
      <c r="BF12" s="63"/>
      <c r="BG12" s="63"/>
      <c r="BH12" s="63"/>
      <c r="BI12" s="62"/>
      <c r="BJ12" s="61"/>
      <c r="BK12" s="63"/>
      <c r="BL12" s="63"/>
      <c r="BM12" s="63"/>
      <c r="BN12" s="63"/>
      <c r="BO12" s="1166"/>
      <c r="BP12" s="61"/>
      <c r="BQ12" s="63"/>
      <c r="BR12" s="63"/>
      <c r="BS12" s="63"/>
      <c r="BT12" s="63"/>
      <c r="BU12" s="1166"/>
      <c r="BV12" s="61"/>
      <c r="BW12" s="63"/>
      <c r="BX12" s="61"/>
      <c r="BY12" s="61"/>
      <c r="BZ12" s="61"/>
      <c r="CA12" s="1166"/>
      <c r="CB12" s="61"/>
      <c r="CC12" s="61"/>
      <c r="CD12" s="61"/>
      <c r="CE12" s="61"/>
      <c r="CF12" s="61"/>
      <c r="CG12" s="1166"/>
      <c r="CH12" s="61"/>
      <c r="CI12" s="61"/>
      <c r="CJ12" s="61"/>
      <c r="CK12" s="61"/>
      <c r="CL12" s="63"/>
      <c r="CM12" s="1166"/>
      <c r="CN12" s="61"/>
      <c r="CO12" s="61"/>
      <c r="CP12" s="63"/>
      <c r="CQ12" s="63"/>
      <c r="CR12" s="61"/>
      <c r="CS12" s="1166"/>
      <c r="CT12" s="61"/>
      <c r="CU12" s="61"/>
      <c r="CV12" s="63"/>
      <c r="CW12" s="63"/>
      <c r="CX12" s="61"/>
      <c r="CY12" s="1166"/>
      <c r="CZ12" s="61"/>
      <c r="DA12" s="61"/>
      <c r="DB12" s="61"/>
      <c r="DC12" s="63"/>
      <c r="DD12" s="63"/>
      <c r="DE12" s="1166"/>
      <c r="DF12" s="61"/>
      <c r="DG12" s="63"/>
      <c r="DH12" s="63"/>
      <c r="DI12" s="63"/>
      <c r="DJ12" s="63"/>
      <c r="DK12" s="1166"/>
      <c r="DL12" s="61"/>
      <c r="DM12" s="63"/>
      <c r="DN12" s="63"/>
      <c r="DO12" s="63"/>
      <c r="DP12" s="63"/>
      <c r="DQ12" s="1166"/>
      <c r="DR12" s="61"/>
      <c r="DS12" s="63"/>
      <c r="DT12" s="61"/>
      <c r="DU12" s="61"/>
      <c r="DV12" s="63"/>
      <c r="DW12" s="1166"/>
      <c r="DX12" s="61"/>
      <c r="DY12" s="63"/>
      <c r="DZ12" s="63"/>
      <c r="EA12" s="61"/>
      <c r="EB12" s="63"/>
      <c r="EC12" s="1166"/>
      <c r="ED12" s="61"/>
      <c r="EE12" s="63"/>
      <c r="EF12" s="63"/>
      <c r="EG12" s="63"/>
      <c r="EH12" s="63"/>
      <c r="EI12" s="1166"/>
      <c r="EJ12" s="61"/>
      <c r="EK12" s="63"/>
      <c r="EL12" s="63"/>
      <c r="EM12" s="63"/>
      <c r="EN12" s="63"/>
      <c r="EO12" s="1166"/>
      <c r="EP12" s="61"/>
      <c r="EQ12" s="63"/>
      <c r="ER12" s="63"/>
      <c r="ES12" s="63"/>
      <c r="ET12" s="63"/>
      <c r="EU12" s="1166"/>
      <c r="EV12" s="45"/>
      <c r="EW12" s="45"/>
      <c r="FD12" s="45"/>
      <c r="FE12" s="45"/>
      <c r="FF12" s="45"/>
      <c r="FG12" s="45"/>
      <c r="FH12" s="45"/>
      <c r="FI12" s="45"/>
      <c r="FJ12" s="45"/>
      <c r="FK12" s="45"/>
      <c r="FL12" s="45"/>
      <c r="FM12" s="45"/>
      <c r="FN12" s="45"/>
      <c r="FO12" s="45"/>
      <c r="FP12" s="45"/>
    </row>
    <row r="13" spans="1:172" ht="10.5" customHeight="1">
      <c r="A13" s="41" t="s">
        <v>1787</v>
      </c>
      <c r="B13" s="42"/>
      <c r="C13" s="62"/>
      <c r="D13" s="62"/>
      <c r="E13" s="62"/>
      <c r="F13" s="62"/>
      <c r="G13" s="62"/>
      <c r="H13" s="61"/>
      <c r="I13" s="62"/>
      <c r="J13" s="62"/>
      <c r="K13" s="62"/>
      <c r="L13" s="62"/>
      <c r="M13" s="62"/>
      <c r="N13" s="61"/>
      <c r="O13" s="62">
        <v>18.492999999999999</v>
      </c>
      <c r="P13" s="62">
        <v>37.506999999999998</v>
      </c>
      <c r="Q13" s="62">
        <v>53.305</v>
      </c>
      <c r="R13" s="62">
        <v>80.781999999999996</v>
      </c>
      <c r="S13" s="62">
        <f t="shared" ref="S13:S30" si="0">R13</f>
        <v>80.781999999999996</v>
      </c>
      <c r="T13" s="61"/>
      <c r="U13" s="62">
        <v>16.794</v>
      </c>
      <c r="V13" s="62">
        <v>43.142000000000003</v>
      </c>
      <c r="W13" s="62">
        <v>61.170999999999999</v>
      </c>
      <c r="X13" s="62">
        <v>79.748000000000005</v>
      </c>
      <c r="Y13" s="62">
        <f t="shared" ref="Y13:Y30" si="1">X13</f>
        <v>79.748000000000005</v>
      </c>
      <c r="Z13" s="61"/>
      <c r="AA13" s="62">
        <v>19.006</v>
      </c>
      <c r="AB13" s="62">
        <v>36.302</v>
      </c>
      <c r="AC13" s="62">
        <v>52.497999999999998</v>
      </c>
      <c r="AD13" s="62">
        <v>68.843999999999994</v>
      </c>
      <c r="AE13" s="62">
        <f>AD13</f>
        <v>68.843999999999994</v>
      </c>
      <c r="AF13" s="61"/>
      <c r="AG13" s="62">
        <v>15.865</v>
      </c>
      <c r="AH13" s="62">
        <v>31.684999999999999</v>
      </c>
      <c r="AI13" s="62">
        <v>47.228000000000002</v>
      </c>
      <c r="AJ13" s="62">
        <v>62.906999999999996</v>
      </c>
      <c r="AK13" s="62">
        <f t="shared" ref="AK13:AK19" si="2">AJ13</f>
        <v>62.906999999999996</v>
      </c>
      <c r="AL13" s="61"/>
      <c r="AM13" s="62">
        <v>12.637</v>
      </c>
      <c r="AN13" s="62">
        <v>24.719000000000001</v>
      </c>
      <c r="AO13" s="62">
        <v>36.698</v>
      </c>
      <c r="AP13" s="62">
        <v>48.844000000000001</v>
      </c>
      <c r="AQ13" s="62">
        <f>AP13</f>
        <v>48.844000000000001</v>
      </c>
      <c r="AR13" s="61"/>
      <c r="AS13" s="62">
        <v>12.307</v>
      </c>
      <c r="AT13" s="62">
        <v>24.129000000000001</v>
      </c>
      <c r="AU13" s="62">
        <v>35.966000000000001</v>
      </c>
      <c r="AV13" s="62">
        <v>50.292000000000002</v>
      </c>
      <c r="AW13" s="62">
        <f>AV13</f>
        <v>50.292000000000002</v>
      </c>
      <c r="AX13" s="61"/>
      <c r="AY13" s="412">
        <v>12.5</v>
      </c>
      <c r="AZ13" s="412">
        <f>AY13+12.8</f>
        <v>25.3</v>
      </c>
      <c r="BA13" s="412">
        <f>AZ13+13.3</f>
        <v>38.6</v>
      </c>
      <c r="BB13" s="412">
        <f>BA13+13.3</f>
        <v>51.900000000000006</v>
      </c>
      <c r="BC13" s="412">
        <f>BB13</f>
        <v>51.900000000000006</v>
      </c>
      <c r="BD13" s="61"/>
      <c r="BE13" s="61">
        <v>12.6</v>
      </c>
      <c r="BF13" s="61">
        <f>BE13+11.7</f>
        <v>24.299999999999997</v>
      </c>
      <c r="BG13" s="61">
        <f>BF13+9.5</f>
        <v>33.799999999999997</v>
      </c>
      <c r="BH13" s="61">
        <f>BG13+9.9</f>
        <v>43.699999999999996</v>
      </c>
      <c r="BI13" s="62">
        <f t="shared" ref="BI13:BI27" si="3">BH13</f>
        <v>43.699999999999996</v>
      </c>
      <c r="BJ13" s="61"/>
      <c r="BK13" s="61">
        <v>12.5</v>
      </c>
      <c r="BL13" s="61">
        <f>BK13+13.5</f>
        <v>26</v>
      </c>
      <c r="BM13" s="61">
        <f>BL13+13.2</f>
        <v>39.200000000000003</v>
      </c>
      <c r="BN13" s="61">
        <f>BM13+14.3</f>
        <v>53.5</v>
      </c>
      <c r="BO13" s="1166">
        <f t="shared" ref="BO13:BO21" si="4">BN13</f>
        <v>53.5</v>
      </c>
      <c r="BP13" s="61"/>
      <c r="BQ13" s="61">
        <v>14.2</v>
      </c>
      <c r="BR13" s="61">
        <v>28.6</v>
      </c>
      <c r="BS13" s="61">
        <v>44.1</v>
      </c>
      <c r="BT13" s="61">
        <v>61.3</v>
      </c>
      <c r="BU13" s="1166">
        <f t="shared" ref="BU13:BU21" si="5">BT13</f>
        <v>61.3</v>
      </c>
      <c r="BV13" s="61"/>
      <c r="BW13" s="61">
        <v>16.899999999999999</v>
      </c>
      <c r="BX13" s="61">
        <v>39.1</v>
      </c>
      <c r="BY13" s="61">
        <v>64.5</v>
      </c>
      <c r="BZ13" s="61">
        <v>91.8</v>
      </c>
      <c r="CA13" s="1166">
        <f t="shared" ref="CA13:CA21" si="6">BZ13</f>
        <v>91.8</v>
      </c>
      <c r="CB13" s="61"/>
      <c r="CC13" s="61">
        <v>27</v>
      </c>
      <c r="CD13" s="61">
        <v>55.5</v>
      </c>
      <c r="CE13" s="61">
        <v>84.4</v>
      </c>
      <c r="CF13" s="61">
        <v>111.5</v>
      </c>
      <c r="CG13" s="1166">
        <f t="shared" ref="CG13:CG27" si="7">CF13</f>
        <v>111.5</v>
      </c>
      <c r="CH13" s="61"/>
      <c r="CI13" s="61">
        <v>26.7</v>
      </c>
      <c r="CJ13" s="61">
        <v>53</v>
      </c>
      <c r="CK13" s="61">
        <v>79.599999999999994</v>
      </c>
      <c r="CL13" s="61">
        <v>105.4</v>
      </c>
      <c r="CM13" s="1166">
        <f t="shared" ref="CM13:CM27" si="8">CL13</f>
        <v>105.4</v>
      </c>
      <c r="CN13" s="61"/>
      <c r="CO13" s="61">
        <v>24.5</v>
      </c>
      <c r="CP13" s="61">
        <v>54.2</v>
      </c>
      <c r="CQ13" s="61">
        <v>85.2</v>
      </c>
      <c r="CR13" s="61">
        <v>115.5</v>
      </c>
      <c r="CS13" s="1166">
        <f t="shared" ref="CS13:CS27" si="9">CR13</f>
        <v>115.5</v>
      </c>
      <c r="CT13" s="61"/>
      <c r="CU13" s="61">
        <v>29.2</v>
      </c>
      <c r="CV13" s="61">
        <v>58.1</v>
      </c>
      <c r="CW13" s="61">
        <v>93.1</v>
      </c>
      <c r="CX13" s="61">
        <v>127.8</v>
      </c>
      <c r="CY13" s="1166">
        <f t="shared" ref="CY13:CY27" si="10">CX13</f>
        <v>127.8</v>
      </c>
      <c r="CZ13" s="61"/>
      <c r="DA13" s="61">
        <v>33.1</v>
      </c>
      <c r="DB13" s="61">
        <v>65.099999999999994</v>
      </c>
      <c r="DC13" s="61">
        <v>95.7</v>
      </c>
      <c r="DD13" s="61">
        <v>128.9</v>
      </c>
      <c r="DE13" s="1166">
        <f t="shared" ref="DE13:DE28" si="11">DD13</f>
        <v>128.9</v>
      </c>
      <c r="DF13" s="61"/>
      <c r="DG13" s="61">
        <v>36.1</v>
      </c>
      <c r="DH13" s="61">
        <v>73.3</v>
      </c>
      <c r="DI13" s="61">
        <v>109.9</v>
      </c>
      <c r="DJ13" s="61">
        <v>145.9</v>
      </c>
      <c r="DK13" s="1166">
        <f t="shared" ref="DK13:DK28" si="12">DJ13</f>
        <v>145.9</v>
      </c>
      <c r="DL13" s="61"/>
      <c r="DM13" s="61">
        <v>37.799999999999997</v>
      </c>
      <c r="DN13" s="61">
        <v>74</v>
      </c>
      <c r="DO13" s="61">
        <v>109.7</v>
      </c>
      <c r="DP13" s="61">
        <v>145.80000000000001</v>
      </c>
      <c r="DQ13" s="1166">
        <f t="shared" ref="DQ13:DQ28" si="13">DP13</f>
        <v>145.80000000000001</v>
      </c>
      <c r="DR13" s="61"/>
      <c r="DS13" s="61">
        <v>37.4</v>
      </c>
      <c r="DT13" s="61">
        <v>70.400000000000006</v>
      </c>
      <c r="DU13" s="61">
        <v>104.5</v>
      </c>
      <c r="DV13" s="61">
        <v>139.19999999999999</v>
      </c>
      <c r="DW13" s="1166">
        <f t="shared" ref="DW13:DW28" si="14">DV13</f>
        <v>139.19999999999999</v>
      </c>
      <c r="DX13" s="61"/>
      <c r="DY13" s="61">
        <v>28.4</v>
      </c>
      <c r="DZ13" s="61">
        <v>56.8</v>
      </c>
      <c r="EA13" s="61">
        <v>81.5</v>
      </c>
      <c r="EB13" s="61">
        <v>108.4</v>
      </c>
      <c r="EC13" s="1166">
        <f t="shared" ref="EC13:EC28" si="15">EB13</f>
        <v>108.4</v>
      </c>
      <c r="ED13" s="61"/>
      <c r="EE13" s="63">
        <f>BS!EE124</f>
        <v>20.549851737259189</v>
      </c>
      <c r="EF13" s="63">
        <f>EE13+BS!EF124</f>
        <v>39.815233377811104</v>
      </c>
      <c r="EG13" s="63">
        <f>EF13+BS!EG124</f>
        <v>59.147024407285016</v>
      </c>
      <c r="EH13" s="63">
        <f>EG13+BS!EH124</f>
        <v>78.988032488870488</v>
      </c>
      <c r="EI13" s="1166">
        <f t="shared" ref="EI13:EI28" si="16">EH13</f>
        <v>78.988032488870488</v>
      </c>
      <c r="EJ13" s="61"/>
      <c r="EK13" s="63">
        <f>BS!EK124</f>
        <v>21.390988309473663</v>
      </c>
      <c r="EL13" s="63">
        <f>EK13+BS!EL124</f>
        <v>41.503781132102269</v>
      </c>
      <c r="EM13" s="63">
        <f>EL13+BS!EM124</f>
        <v>61.700085182335293</v>
      </c>
      <c r="EN13" s="63">
        <f>EM13+BS!EN124</f>
        <v>82.405038470240441</v>
      </c>
      <c r="EO13" s="1166">
        <f t="shared" ref="EO13:EO28" si="17">EN13</f>
        <v>82.405038470240441</v>
      </c>
      <c r="EP13" s="61"/>
      <c r="EQ13" s="63">
        <f>BS!EQ124</f>
        <v>22.235291551757733</v>
      </c>
      <c r="ER13" s="63">
        <f>EQ13+BS!ER124</f>
        <v>43.180523604662355</v>
      </c>
      <c r="ES13" s="63">
        <f>ER13+BS!ES124</f>
        <v>64.206148042376796</v>
      </c>
      <c r="ET13" s="63">
        <f>ES13+BS!ET124</f>
        <v>85.719619753959122</v>
      </c>
      <c r="EU13" s="1166">
        <f t="shared" ref="EU13:EU28" si="18">ET13</f>
        <v>85.719619753959122</v>
      </c>
      <c r="EV13" s="45"/>
      <c r="EW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</row>
    <row r="14" spans="1:172" ht="10.5" customHeight="1">
      <c r="A14" s="41" t="s">
        <v>485</v>
      </c>
      <c r="B14" s="42"/>
      <c r="C14" s="62"/>
      <c r="D14" s="62"/>
      <c r="E14" s="62"/>
      <c r="F14" s="62"/>
      <c r="G14" s="62"/>
      <c r="H14" s="61"/>
      <c r="I14" s="62"/>
      <c r="J14" s="62"/>
      <c r="K14" s="62"/>
      <c r="L14" s="62"/>
      <c r="M14" s="62"/>
      <c r="N14" s="61"/>
      <c r="O14" s="62">
        <v>0</v>
      </c>
      <c r="P14" s="62">
        <v>0</v>
      </c>
      <c r="Q14" s="62">
        <v>0</v>
      </c>
      <c r="R14" s="62">
        <v>0</v>
      </c>
      <c r="S14" s="62">
        <f t="shared" si="0"/>
        <v>0</v>
      </c>
      <c r="T14" s="61"/>
      <c r="U14" s="62">
        <v>0</v>
      </c>
      <c r="V14" s="62">
        <v>0</v>
      </c>
      <c r="W14" s="62">
        <v>0</v>
      </c>
      <c r="X14" s="62">
        <v>0</v>
      </c>
      <c r="Y14" s="62">
        <f t="shared" si="1"/>
        <v>0</v>
      </c>
      <c r="Z14" s="61"/>
      <c r="AA14" s="62">
        <v>0</v>
      </c>
      <c r="AB14" s="62">
        <v>0</v>
      </c>
      <c r="AC14" s="62">
        <v>0</v>
      </c>
      <c r="AD14" s="62">
        <v>0</v>
      </c>
      <c r="AE14" s="62">
        <f>AD14</f>
        <v>0</v>
      </c>
      <c r="AF14" s="61"/>
      <c r="AG14" s="62">
        <v>0</v>
      </c>
      <c r="AH14" s="62">
        <v>0</v>
      </c>
      <c r="AI14" s="62">
        <v>0</v>
      </c>
      <c r="AJ14" s="62">
        <v>0</v>
      </c>
      <c r="AK14" s="62">
        <f t="shared" si="2"/>
        <v>0</v>
      </c>
      <c r="AL14" s="61"/>
      <c r="AM14" s="62">
        <v>0</v>
      </c>
      <c r="AN14" s="62">
        <v>0</v>
      </c>
      <c r="AO14" s="62">
        <v>0</v>
      </c>
      <c r="AP14" s="62">
        <v>2.7530000000000001</v>
      </c>
      <c r="AQ14" s="62">
        <f>AP14</f>
        <v>2.7530000000000001</v>
      </c>
      <c r="AR14" s="61"/>
      <c r="AS14" s="62">
        <v>0</v>
      </c>
      <c r="AT14" s="62">
        <v>0</v>
      </c>
      <c r="AU14" s="62">
        <v>0</v>
      </c>
      <c r="AV14" s="62">
        <v>1.7749999999999999</v>
      </c>
      <c r="AW14" s="62">
        <f>AV14</f>
        <v>1.7749999999999999</v>
      </c>
      <c r="AX14" s="61"/>
      <c r="AY14" s="412">
        <v>1.4</v>
      </c>
      <c r="AZ14" s="412">
        <f>AY14+1.7</f>
        <v>3.0999999999999996</v>
      </c>
      <c r="BA14" s="412">
        <f>AZ14+5.8</f>
        <v>8.8999999999999986</v>
      </c>
      <c r="BB14" s="412">
        <f>BA14+2.7</f>
        <v>11.599999999999998</v>
      </c>
      <c r="BC14" s="412">
        <f>BB14</f>
        <v>11.599999999999998</v>
      </c>
      <c r="BD14" s="61"/>
      <c r="BE14" s="61">
        <v>1.4</v>
      </c>
      <c r="BF14" s="61">
        <f>BE14+1.4</f>
        <v>2.8</v>
      </c>
      <c r="BG14" s="61">
        <f>BF14+1.1</f>
        <v>3.9</v>
      </c>
      <c r="BH14" s="61">
        <f>BG14+0.7</f>
        <v>4.5999999999999996</v>
      </c>
      <c r="BI14" s="62">
        <f t="shared" si="3"/>
        <v>4.5999999999999996</v>
      </c>
      <c r="BJ14" s="61"/>
      <c r="BK14" s="61">
        <v>21.7</v>
      </c>
      <c r="BL14" s="61">
        <f>BK14+20</f>
        <v>41.7</v>
      </c>
      <c r="BM14" s="61">
        <f>BL14+34.3</f>
        <v>76</v>
      </c>
      <c r="BN14" s="61">
        <f>BM14+18.3</f>
        <v>94.3</v>
      </c>
      <c r="BO14" s="1166">
        <f t="shared" si="4"/>
        <v>94.3</v>
      </c>
      <c r="BP14" s="61"/>
      <c r="BQ14" s="61">
        <v>14.8</v>
      </c>
      <c r="BR14" s="61">
        <v>35.9</v>
      </c>
      <c r="BS14" s="61">
        <v>73.099999999999994</v>
      </c>
      <c r="BT14" s="61">
        <v>99.3</v>
      </c>
      <c r="BU14" s="1166">
        <f t="shared" si="5"/>
        <v>99.3</v>
      </c>
      <c r="BV14" s="61"/>
      <c r="BW14" s="61">
        <v>25.2</v>
      </c>
      <c r="BX14" s="61">
        <v>48.4</v>
      </c>
      <c r="BY14" s="61">
        <v>70.900000000000006</v>
      </c>
      <c r="BZ14" s="61">
        <v>89.5</v>
      </c>
      <c r="CA14" s="1166">
        <f t="shared" si="6"/>
        <v>89.5</v>
      </c>
      <c r="CB14" s="61"/>
      <c r="CC14" s="61">
        <v>23</v>
      </c>
      <c r="CD14" s="61">
        <v>44.4</v>
      </c>
      <c r="CE14" s="61">
        <v>74.7</v>
      </c>
      <c r="CF14" s="61">
        <v>93.6</v>
      </c>
      <c r="CG14" s="1166">
        <f t="shared" si="7"/>
        <v>93.6</v>
      </c>
      <c r="CH14" s="61"/>
      <c r="CI14" s="61">
        <v>24.3</v>
      </c>
      <c r="CJ14" s="61">
        <v>45.3</v>
      </c>
      <c r="CK14" s="61">
        <v>62.3</v>
      </c>
      <c r="CL14" s="61">
        <v>80.7</v>
      </c>
      <c r="CM14" s="1166">
        <f t="shared" si="8"/>
        <v>80.7</v>
      </c>
      <c r="CN14" s="61"/>
      <c r="CO14" s="61">
        <v>25.9</v>
      </c>
      <c r="CP14" s="61">
        <v>53.2</v>
      </c>
      <c r="CQ14" s="61">
        <v>78.8</v>
      </c>
      <c r="CR14" s="61">
        <v>108.8</v>
      </c>
      <c r="CS14" s="1166">
        <f t="shared" si="9"/>
        <v>108.8</v>
      </c>
      <c r="CT14" s="61"/>
      <c r="CU14" s="61">
        <v>33.4</v>
      </c>
      <c r="CV14" s="61">
        <v>66.900000000000006</v>
      </c>
      <c r="CW14" s="61">
        <v>118.8</v>
      </c>
      <c r="CX14" s="61">
        <v>156.30000000000001</v>
      </c>
      <c r="CY14" s="1166">
        <f t="shared" si="10"/>
        <v>156.30000000000001</v>
      </c>
      <c r="CZ14" s="61"/>
      <c r="DA14" s="61">
        <v>33.5</v>
      </c>
      <c r="DB14" s="61">
        <v>64.599999999999994</v>
      </c>
      <c r="DC14" s="61">
        <v>96.1</v>
      </c>
      <c r="DD14" s="61">
        <v>132.19999999999999</v>
      </c>
      <c r="DE14" s="1166">
        <f t="shared" si="11"/>
        <v>132.19999999999999</v>
      </c>
      <c r="DF14" s="61"/>
      <c r="DG14" s="61">
        <v>33.6</v>
      </c>
      <c r="DH14" s="61">
        <v>73.400000000000006</v>
      </c>
      <c r="DI14" s="61">
        <v>116.5</v>
      </c>
      <c r="DJ14" s="61">
        <v>165.6</v>
      </c>
      <c r="DK14" s="1166">
        <f t="shared" si="12"/>
        <v>165.6</v>
      </c>
      <c r="DL14" s="61"/>
      <c r="DM14" s="61">
        <v>50.2</v>
      </c>
      <c r="DN14" s="61">
        <v>90.9</v>
      </c>
      <c r="DO14" s="61">
        <v>141.1</v>
      </c>
      <c r="DP14" s="61">
        <v>197.2</v>
      </c>
      <c r="DQ14" s="1166">
        <f t="shared" si="13"/>
        <v>197.2</v>
      </c>
      <c r="DR14" s="61"/>
      <c r="DS14" s="61">
        <v>56.9</v>
      </c>
      <c r="DT14" s="61">
        <v>105.9</v>
      </c>
      <c r="DU14" s="61">
        <v>162.5</v>
      </c>
      <c r="DV14" s="61">
        <v>221.8</v>
      </c>
      <c r="DW14" s="1166">
        <f t="shared" si="14"/>
        <v>221.8</v>
      </c>
      <c r="DX14" s="61"/>
      <c r="DY14" s="61">
        <v>66.8</v>
      </c>
      <c r="DZ14" s="61">
        <v>134.4</v>
      </c>
      <c r="EA14" s="61">
        <v>199.5</v>
      </c>
      <c r="EB14" s="61">
        <v>261.39999999999998</v>
      </c>
      <c r="EC14" s="1166">
        <f t="shared" si="15"/>
        <v>261.39999999999998</v>
      </c>
      <c r="ED14" s="61"/>
      <c r="EE14" s="63">
        <f>Model!EE66</f>
        <v>61</v>
      </c>
      <c r="EF14" s="63">
        <f>Model!EF66+EE14</f>
        <v>122</v>
      </c>
      <c r="EG14" s="63">
        <f>Model!EG66+EF14</f>
        <v>183</v>
      </c>
      <c r="EH14" s="63">
        <f>Model!EH66+EG14</f>
        <v>244</v>
      </c>
      <c r="EI14" s="1166">
        <f t="shared" si="16"/>
        <v>244</v>
      </c>
      <c r="EJ14" s="61"/>
      <c r="EK14" s="63">
        <f>Model!EK66</f>
        <v>61</v>
      </c>
      <c r="EL14" s="63">
        <f>Model!EL66+EK14</f>
        <v>122</v>
      </c>
      <c r="EM14" s="63">
        <f>Model!EM66+EL14</f>
        <v>183</v>
      </c>
      <c r="EN14" s="63">
        <f>Model!EN66+EM14</f>
        <v>244</v>
      </c>
      <c r="EO14" s="1166">
        <f t="shared" si="17"/>
        <v>244</v>
      </c>
      <c r="EP14" s="61"/>
      <c r="EQ14" s="63">
        <f>Model!EQ66</f>
        <v>61</v>
      </c>
      <c r="ER14" s="63">
        <f>Model!ER66+EQ14</f>
        <v>122</v>
      </c>
      <c r="ES14" s="63">
        <f>Model!ES66+ER14</f>
        <v>183</v>
      </c>
      <c r="ET14" s="63">
        <f>Model!ET66+ES14</f>
        <v>244</v>
      </c>
      <c r="EU14" s="1166">
        <f t="shared" si="18"/>
        <v>244</v>
      </c>
      <c r="EV14" s="45"/>
      <c r="EW14" s="45"/>
      <c r="FD14" s="45"/>
      <c r="FE14" s="45"/>
      <c r="FF14" s="45"/>
      <c r="FG14" s="45"/>
      <c r="FH14" s="45"/>
      <c r="FI14" s="45"/>
      <c r="FJ14" s="45"/>
      <c r="FK14" s="45"/>
      <c r="FL14" s="45"/>
      <c r="FM14" s="45"/>
      <c r="FN14" s="45"/>
      <c r="FO14" s="45"/>
      <c r="FP14" s="45"/>
    </row>
    <row r="15" spans="1:172" ht="10.5" customHeight="1">
      <c r="A15" s="41" t="s">
        <v>4685</v>
      </c>
      <c r="B15" s="42"/>
      <c r="C15" s="62"/>
      <c r="D15" s="62"/>
      <c r="E15" s="62"/>
      <c r="F15" s="62"/>
      <c r="G15" s="62"/>
      <c r="H15" s="61"/>
      <c r="I15" s="62"/>
      <c r="J15" s="62"/>
      <c r="K15" s="62"/>
      <c r="L15" s="62"/>
      <c r="M15" s="62"/>
      <c r="N15" s="61"/>
      <c r="O15" s="62">
        <v>0</v>
      </c>
      <c r="P15" s="62">
        <v>0</v>
      </c>
      <c r="Q15" s="62">
        <v>0</v>
      </c>
      <c r="R15" s="62">
        <v>15.468999999999999</v>
      </c>
      <c r="S15" s="62">
        <f t="shared" si="0"/>
        <v>15.468999999999999</v>
      </c>
      <c r="T15" s="61"/>
      <c r="U15" s="62">
        <v>0</v>
      </c>
      <c r="V15" s="62">
        <v>0</v>
      </c>
      <c r="W15" s="62">
        <v>0</v>
      </c>
      <c r="X15" s="62">
        <v>4.6420000000000003</v>
      </c>
      <c r="Y15" s="62">
        <f t="shared" si="1"/>
        <v>4.6420000000000003</v>
      </c>
      <c r="Z15" s="61"/>
      <c r="AA15" s="62">
        <v>0</v>
      </c>
      <c r="AB15" s="62">
        <v>0</v>
      </c>
      <c r="AC15" s="62">
        <v>0</v>
      </c>
      <c r="AD15" s="62">
        <v>21.055</v>
      </c>
      <c r="AE15" s="62">
        <f>AD15</f>
        <v>21.055</v>
      </c>
      <c r="AF15" s="61"/>
      <c r="AG15" s="62">
        <v>3.464</v>
      </c>
      <c r="AH15" s="62">
        <v>5.53</v>
      </c>
      <c r="AI15" s="62">
        <v>8.2680000000000007</v>
      </c>
      <c r="AJ15" s="62">
        <v>12.176</v>
      </c>
      <c r="AK15" s="62">
        <f t="shared" si="2"/>
        <v>12.176</v>
      </c>
      <c r="AL15" s="61"/>
      <c r="AM15" s="62">
        <v>7.8979999999999997</v>
      </c>
      <c r="AN15" s="62">
        <v>8.1539999999999999</v>
      </c>
      <c r="AO15" s="62">
        <v>8.5540000000000003</v>
      </c>
      <c r="AP15" s="62">
        <f>AO15+0</f>
        <v>8.5540000000000003</v>
      </c>
      <c r="AQ15" s="62">
        <f t="shared" ref="AQ15:AQ37" si="19">AP15</f>
        <v>8.5540000000000003</v>
      </c>
      <c r="AR15" s="61"/>
      <c r="AS15" s="62">
        <v>0</v>
      </c>
      <c r="AT15" s="62">
        <v>0</v>
      </c>
      <c r="AU15" s="62">
        <v>0</v>
      </c>
      <c r="AV15" s="62">
        <v>0</v>
      </c>
      <c r="AW15" s="62">
        <f>AV15</f>
        <v>0</v>
      </c>
      <c r="AX15" s="61"/>
      <c r="AY15" s="412">
        <v>23.7</v>
      </c>
      <c r="AZ15" s="412">
        <f>AY15+0</f>
        <v>23.7</v>
      </c>
      <c r="BA15" s="412">
        <f>AZ15+63.5</f>
        <v>87.2</v>
      </c>
      <c r="BB15" s="412">
        <f>BA15+25.3</f>
        <v>112.5</v>
      </c>
      <c r="BC15" s="412">
        <f>BB15</f>
        <v>112.5</v>
      </c>
      <c r="BD15" s="61"/>
      <c r="BE15" s="61">
        <v>23.7</v>
      </c>
      <c r="BF15" s="61">
        <f>BE15+26.7</f>
        <v>50.4</v>
      </c>
      <c r="BG15" s="61">
        <f>BF15+54.6</f>
        <v>105</v>
      </c>
      <c r="BH15" s="61">
        <f>BG15+19.6</f>
        <v>124.6</v>
      </c>
      <c r="BI15" s="62">
        <f t="shared" si="3"/>
        <v>124.6</v>
      </c>
      <c r="BJ15" s="61"/>
      <c r="BK15" s="61">
        <v>0</v>
      </c>
      <c r="BL15" s="61">
        <v>0</v>
      </c>
      <c r="BM15" s="61">
        <v>0</v>
      </c>
      <c r="BN15" s="61">
        <v>5.0999999999999996</v>
      </c>
      <c r="BO15" s="1166">
        <f t="shared" si="4"/>
        <v>5.0999999999999996</v>
      </c>
      <c r="BP15" s="61"/>
      <c r="BQ15" s="61">
        <v>0</v>
      </c>
      <c r="BR15" s="61">
        <v>0</v>
      </c>
      <c r="BS15" s="61">
        <v>0</v>
      </c>
      <c r="BT15" s="61">
        <v>0</v>
      </c>
      <c r="BU15" s="1166">
        <f t="shared" si="5"/>
        <v>0</v>
      </c>
      <c r="BV15" s="61"/>
      <c r="BW15" s="61">
        <v>0</v>
      </c>
      <c r="BX15" s="61">
        <v>0</v>
      </c>
      <c r="BY15" s="61">
        <v>0</v>
      </c>
      <c r="BZ15" s="61">
        <v>0</v>
      </c>
      <c r="CA15" s="1166">
        <f t="shared" si="6"/>
        <v>0</v>
      </c>
      <c r="CB15" s="61"/>
      <c r="CC15" s="61">
        <v>0</v>
      </c>
      <c r="CD15" s="61">
        <v>0</v>
      </c>
      <c r="CE15" s="61">
        <v>0</v>
      </c>
      <c r="CF15" s="61">
        <v>0</v>
      </c>
      <c r="CG15" s="1166">
        <f t="shared" si="7"/>
        <v>0</v>
      </c>
      <c r="CH15" s="61"/>
      <c r="CI15" s="61">
        <v>0</v>
      </c>
      <c r="CJ15" s="61">
        <v>0</v>
      </c>
      <c r="CK15" s="61">
        <v>0</v>
      </c>
      <c r="CL15" s="61">
        <v>0</v>
      </c>
      <c r="CM15" s="1166">
        <f t="shared" si="8"/>
        <v>0</v>
      </c>
      <c r="CN15" s="61"/>
      <c r="CO15" s="61">
        <v>0</v>
      </c>
      <c r="CP15" s="61">
        <v>-13.5</v>
      </c>
      <c r="CQ15" s="61">
        <v>-33</v>
      </c>
      <c r="CR15" s="61">
        <v>-31.5</v>
      </c>
      <c r="CS15" s="1166">
        <f t="shared" si="9"/>
        <v>-31.5</v>
      </c>
      <c r="CT15" s="61"/>
      <c r="CU15" s="61">
        <v>-9.9</v>
      </c>
      <c r="CV15" s="61">
        <v>-28.1</v>
      </c>
      <c r="CW15" s="61">
        <v>-27.4</v>
      </c>
      <c r="CX15" s="61">
        <v>-12.9</v>
      </c>
      <c r="CY15" s="1166">
        <f t="shared" si="10"/>
        <v>-12.9</v>
      </c>
      <c r="CZ15" s="61"/>
      <c r="DA15" s="61">
        <v>-9</v>
      </c>
      <c r="DB15" s="61">
        <v>-3.2</v>
      </c>
      <c r="DC15" s="61">
        <v>0.8</v>
      </c>
      <c r="DD15" s="61">
        <v>-9.1</v>
      </c>
      <c r="DE15" s="1166">
        <f t="shared" si="11"/>
        <v>-9.1</v>
      </c>
      <c r="DF15" s="61"/>
      <c r="DG15" s="61">
        <v>0</v>
      </c>
      <c r="DH15" s="61">
        <v>0</v>
      </c>
      <c r="DI15" s="61">
        <v>0</v>
      </c>
      <c r="DJ15" s="61">
        <v>-0.5</v>
      </c>
      <c r="DK15" s="1166">
        <f t="shared" si="12"/>
        <v>-0.5</v>
      </c>
      <c r="DL15" s="61"/>
      <c r="DM15" s="61">
        <v>-5.3</v>
      </c>
      <c r="DN15" s="61">
        <v>197.9</v>
      </c>
      <c r="DO15" s="61">
        <v>0</v>
      </c>
      <c r="DP15" s="61">
        <v>0</v>
      </c>
      <c r="DQ15" s="1166">
        <f t="shared" si="13"/>
        <v>0</v>
      </c>
      <c r="DR15" s="61"/>
      <c r="DS15" s="61">
        <v>6.2</v>
      </c>
      <c r="DT15" s="61">
        <v>-9.1999999999999993</v>
      </c>
      <c r="DU15" s="61">
        <v>-39.6</v>
      </c>
      <c r="DV15" s="61">
        <v>0</v>
      </c>
      <c r="DW15" s="1166">
        <f t="shared" si="14"/>
        <v>0</v>
      </c>
      <c r="DX15" s="61"/>
      <c r="DY15" s="61">
        <v>0</v>
      </c>
      <c r="DZ15" s="61">
        <v>5.8</v>
      </c>
      <c r="EA15" s="61">
        <v>7.3</v>
      </c>
      <c r="EB15" s="61">
        <v>0</v>
      </c>
      <c r="EC15" s="1166">
        <f t="shared" si="15"/>
        <v>0</v>
      </c>
      <c r="ED15" s="61"/>
      <c r="EE15" s="61">
        <v>0</v>
      </c>
      <c r="EF15" s="61">
        <v>0</v>
      </c>
      <c r="EG15" s="61">
        <v>0</v>
      </c>
      <c r="EH15" s="61">
        <v>0</v>
      </c>
      <c r="EI15" s="1166">
        <f t="shared" si="16"/>
        <v>0</v>
      </c>
      <c r="EJ15" s="61"/>
      <c r="EK15" s="61">
        <v>0</v>
      </c>
      <c r="EL15" s="61">
        <v>0</v>
      </c>
      <c r="EM15" s="61">
        <v>0</v>
      </c>
      <c r="EN15" s="61">
        <v>0</v>
      </c>
      <c r="EO15" s="1166">
        <f t="shared" si="17"/>
        <v>0</v>
      </c>
      <c r="EP15" s="61"/>
      <c r="EQ15" s="61">
        <v>0</v>
      </c>
      <c r="ER15" s="61">
        <v>0</v>
      </c>
      <c r="ES15" s="61">
        <v>0</v>
      </c>
      <c r="ET15" s="61">
        <v>0</v>
      </c>
      <c r="EU15" s="1166">
        <f t="shared" si="18"/>
        <v>0</v>
      </c>
      <c r="EV15" s="45"/>
      <c r="EW15" s="45"/>
      <c r="FD15" s="45"/>
      <c r="FE15" s="45"/>
      <c r="FF15" s="45"/>
      <c r="FG15" s="45"/>
      <c r="FH15" s="45"/>
      <c r="FI15" s="45"/>
      <c r="FJ15" s="45"/>
      <c r="FK15" s="45"/>
      <c r="FL15" s="45"/>
      <c r="FM15" s="45"/>
      <c r="FN15" s="45"/>
      <c r="FO15" s="45"/>
      <c r="FP15" s="45"/>
    </row>
    <row r="16" spans="1:172" ht="10.5" customHeight="1">
      <c r="A16" s="41" t="s">
        <v>486</v>
      </c>
      <c r="B16" s="42"/>
      <c r="C16" s="62"/>
      <c r="D16" s="62"/>
      <c r="E16" s="62"/>
      <c r="F16" s="62"/>
      <c r="G16" s="62"/>
      <c r="H16" s="61"/>
      <c r="I16" s="62"/>
      <c r="J16" s="62"/>
      <c r="K16" s="62"/>
      <c r="L16" s="62"/>
      <c r="M16" s="62"/>
      <c r="N16" s="61"/>
      <c r="O16" s="62">
        <v>0</v>
      </c>
      <c r="P16" s="62">
        <v>0</v>
      </c>
      <c r="Q16" s="62">
        <v>0</v>
      </c>
      <c r="R16" s="62">
        <v>0</v>
      </c>
      <c r="S16" s="62">
        <f t="shared" si="0"/>
        <v>0</v>
      </c>
      <c r="T16" s="61"/>
      <c r="U16" s="62">
        <v>0</v>
      </c>
      <c r="V16" s="62">
        <v>0</v>
      </c>
      <c r="W16" s="62">
        <v>0</v>
      </c>
      <c r="X16" s="62">
        <v>0</v>
      </c>
      <c r="Y16" s="62">
        <f t="shared" si="1"/>
        <v>0</v>
      </c>
      <c r="Z16" s="61"/>
      <c r="AA16" s="62">
        <v>0</v>
      </c>
      <c r="AB16" s="62">
        <v>0</v>
      </c>
      <c r="AC16" s="62">
        <v>0</v>
      </c>
      <c r="AD16" s="62">
        <v>0</v>
      </c>
      <c r="AE16" s="62">
        <f>AD16</f>
        <v>0</v>
      </c>
      <c r="AF16" s="61"/>
      <c r="AG16" s="62">
        <v>0</v>
      </c>
      <c r="AH16" s="62">
        <v>0</v>
      </c>
      <c r="AI16" s="62">
        <v>0</v>
      </c>
      <c r="AJ16" s="62">
        <v>0</v>
      </c>
      <c r="AK16" s="62">
        <f t="shared" si="2"/>
        <v>0</v>
      </c>
      <c r="AL16" s="61"/>
      <c r="AM16" s="62">
        <v>0</v>
      </c>
      <c r="AN16" s="62">
        <v>0</v>
      </c>
      <c r="AO16" s="62">
        <v>0</v>
      </c>
      <c r="AP16" s="62">
        <f>25.887-AP15</f>
        <v>17.332999999999998</v>
      </c>
      <c r="AQ16" s="62">
        <f t="shared" si="19"/>
        <v>17.332999999999998</v>
      </c>
      <c r="AR16" s="61"/>
      <c r="AS16" s="62">
        <v>0</v>
      </c>
      <c r="AT16" s="62">
        <v>0</v>
      </c>
      <c r="AU16" s="62">
        <v>0</v>
      </c>
      <c r="AV16" s="62">
        <v>3.1829999999999998</v>
      </c>
      <c r="AW16" s="62">
        <f>AV16</f>
        <v>3.1829999999999998</v>
      </c>
      <c r="AX16" s="61"/>
      <c r="AY16" s="412">
        <v>4.3</v>
      </c>
      <c r="AZ16" s="412">
        <f>AY16+1.3</f>
        <v>5.6</v>
      </c>
      <c r="BA16" s="412">
        <f>AZ16-0.8</f>
        <v>4.8</v>
      </c>
      <c r="BB16" s="412">
        <f>BA16+4.4</f>
        <v>9.1999999999999993</v>
      </c>
      <c r="BC16" s="412">
        <f t="shared" ref="BC16:BC30" si="20">BB16</f>
        <v>9.1999999999999993</v>
      </c>
      <c r="BD16" s="61"/>
      <c r="BE16" s="61">
        <v>0</v>
      </c>
      <c r="BF16" s="61">
        <v>0</v>
      </c>
      <c r="BG16" s="61">
        <f t="shared" ref="BG16:BH25" si="21">BF16</f>
        <v>0</v>
      </c>
      <c r="BH16" s="61">
        <v>0</v>
      </c>
      <c r="BI16" s="62">
        <f t="shared" si="3"/>
        <v>0</v>
      </c>
      <c r="BJ16" s="61"/>
      <c r="BK16" s="61">
        <v>0</v>
      </c>
      <c r="BL16" s="61">
        <v>1.1000000000000001</v>
      </c>
      <c r="BM16" s="61">
        <f t="shared" ref="BL16:BN27" si="22">BL16</f>
        <v>1.1000000000000001</v>
      </c>
      <c r="BN16" s="61">
        <f t="shared" si="22"/>
        <v>1.1000000000000001</v>
      </c>
      <c r="BO16" s="1166">
        <f t="shared" si="4"/>
        <v>1.1000000000000001</v>
      </c>
      <c r="BP16" s="61"/>
      <c r="BQ16" s="61">
        <v>0</v>
      </c>
      <c r="BR16" s="61">
        <v>0</v>
      </c>
      <c r="BS16" s="61">
        <v>0</v>
      </c>
      <c r="BT16" s="61">
        <v>0</v>
      </c>
      <c r="BU16" s="1166">
        <f t="shared" si="5"/>
        <v>0</v>
      </c>
      <c r="BV16" s="61"/>
      <c r="BW16" s="61">
        <v>0</v>
      </c>
      <c r="BX16" s="61">
        <f t="shared" ref="BX16:BZ27" si="23">BW16</f>
        <v>0</v>
      </c>
      <c r="BY16" s="61">
        <f t="shared" si="23"/>
        <v>0</v>
      </c>
      <c r="BZ16" s="61">
        <v>38.9</v>
      </c>
      <c r="CA16" s="1166">
        <f t="shared" si="6"/>
        <v>38.9</v>
      </c>
      <c r="CB16" s="61"/>
      <c r="CC16" s="61">
        <v>16.5</v>
      </c>
      <c r="CD16" s="61">
        <v>42.9</v>
      </c>
      <c r="CE16" s="61">
        <v>47.8</v>
      </c>
      <c r="CF16" s="61">
        <v>48.2</v>
      </c>
      <c r="CG16" s="1166">
        <f t="shared" si="7"/>
        <v>48.2</v>
      </c>
      <c r="CH16" s="61"/>
      <c r="CI16" s="61">
        <v>7.1</v>
      </c>
      <c r="CJ16" s="61">
        <v>9</v>
      </c>
      <c r="CK16" s="61">
        <v>9</v>
      </c>
      <c r="CL16" s="61">
        <v>10.8</v>
      </c>
      <c r="CM16" s="1166">
        <f t="shared" si="8"/>
        <v>10.8</v>
      </c>
      <c r="CN16" s="61"/>
      <c r="CO16" s="61">
        <v>0</v>
      </c>
      <c r="CP16" s="61">
        <v>-1.3</v>
      </c>
      <c r="CQ16" s="61">
        <v>-1.3</v>
      </c>
      <c r="CR16" s="61">
        <v>-1.3</v>
      </c>
      <c r="CS16" s="1166">
        <f t="shared" si="9"/>
        <v>-1.3</v>
      </c>
      <c r="CT16" s="61"/>
      <c r="CU16" s="61">
        <v>0</v>
      </c>
      <c r="CV16" s="61">
        <v>0</v>
      </c>
      <c r="CW16" s="61">
        <v>35.200000000000003</v>
      </c>
      <c r="CX16" s="61">
        <v>43.9</v>
      </c>
      <c r="CY16" s="1166">
        <f t="shared" si="10"/>
        <v>43.9</v>
      </c>
      <c r="CZ16" s="61"/>
      <c r="DA16" s="61">
        <v>0.4</v>
      </c>
      <c r="DB16" s="61">
        <v>2.1</v>
      </c>
      <c r="DC16" s="61">
        <v>6.5</v>
      </c>
      <c r="DD16" s="61">
        <v>12.8</v>
      </c>
      <c r="DE16" s="1166">
        <f t="shared" si="11"/>
        <v>12.8</v>
      </c>
      <c r="DF16" s="61"/>
      <c r="DG16" s="61">
        <v>2.2999999999999998</v>
      </c>
      <c r="DH16" s="61">
        <v>3.1</v>
      </c>
      <c r="DI16" s="61">
        <v>3.1</v>
      </c>
      <c r="DJ16" s="61">
        <v>3.1</v>
      </c>
      <c r="DK16" s="1166">
        <f t="shared" si="12"/>
        <v>3.1</v>
      </c>
      <c r="DL16" s="61"/>
      <c r="DM16" s="61">
        <v>0</v>
      </c>
      <c r="DN16" s="61">
        <f>DM16+Model!DN72*(1+Model!DN141)</f>
        <v>0</v>
      </c>
      <c r="DO16" s="61">
        <f>DN16+Model!DO72*(1+Model!DO141)</f>
        <v>0</v>
      </c>
      <c r="DP16" s="61">
        <f>DO16+Model!DP72*(1+Model!DP141)</f>
        <v>0</v>
      </c>
      <c r="DQ16" s="1166">
        <f t="shared" si="13"/>
        <v>0</v>
      </c>
      <c r="DR16" s="61"/>
      <c r="DS16" s="61">
        <v>52.3</v>
      </c>
      <c r="DT16" s="61">
        <v>68.3</v>
      </c>
      <c r="DU16" s="61">
        <v>71.5</v>
      </c>
      <c r="DV16" s="61">
        <v>80.5</v>
      </c>
      <c r="DW16" s="1166">
        <f t="shared" si="14"/>
        <v>80.5</v>
      </c>
      <c r="DX16" s="61"/>
      <c r="DY16" s="61">
        <v>-0.3</v>
      </c>
      <c r="DZ16" s="61">
        <v>0.2</v>
      </c>
      <c r="EA16" s="61">
        <v>0.2</v>
      </c>
      <c r="EB16" s="61">
        <v>94.1</v>
      </c>
      <c r="EC16" s="1166">
        <f t="shared" si="15"/>
        <v>94.1</v>
      </c>
      <c r="ED16" s="61"/>
      <c r="EE16" s="63">
        <f>Model!EE72*(1+Model!EE141)</f>
        <v>18.259999999999998</v>
      </c>
      <c r="EF16" s="63">
        <f>EE16+Model!EF72*(1+Model!EF141)</f>
        <v>18.259999999999998</v>
      </c>
      <c r="EG16" s="63">
        <f>EF16+Model!EG72*(1+Model!EG141)</f>
        <v>35.86</v>
      </c>
      <c r="EH16" s="63">
        <f>EG16+Model!EH72*(1+Model!EH141)</f>
        <v>38.01</v>
      </c>
      <c r="EI16" s="1166">
        <f t="shared" si="16"/>
        <v>38.01</v>
      </c>
      <c r="EJ16" s="61"/>
      <c r="EK16" s="63">
        <f>Model!EK72*(1+Model!EK141)</f>
        <v>0</v>
      </c>
      <c r="EL16" s="63">
        <f>EK16+Model!EL72*(1+Model!EL141)</f>
        <v>0</v>
      </c>
      <c r="EM16" s="63">
        <f>EL16+Model!EM72*(1+Model!EM141)</f>
        <v>0</v>
      </c>
      <c r="EN16" s="63">
        <f>EM16+Model!EN72*(1+Model!EN141)</f>
        <v>0</v>
      </c>
      <c r="EO16" s="1166">
        <f t="shared" si="17"/>
        <v>0</v>
      </c>
      <c r="EP16" s="61"/>
      <c r="EQ16" s="63">
        <f>Model!EQ72*(1+Model!EQ141)</f>
        <v>0</v>
      </c>
      <c r="ER16" s="63">
        <f>EQ16+Model!ER72*(1+Model!ER141)</f>
        <v>0</v>
      </c>
      <c r="ES16" s="63">
        <f>ER16+Model!ES72*(1+Model!ES141)</f>
        <v>0</v>
      </c>
      <c r="ET16" s="63">
        <f>ES16+Model!ET72*(1+Model!ET141)</f>
        <v>0</v>
      </c>
      <c r="EU16" s="1166">
        <f t="shared" si="18"/>
        <v>0</v>
      </c>
      <c r="EV16" s="45"/>
      <c r="EW16" s="45"/>
      <c r="FD16" s="45"/>
      <c r="FE16" s="45"/>
      <c r="FF16" s="45"/>
      <c r="FG16" s="45"/>
      <c r="FH16" s="45"/>
      <c r="FI16" s="45"/>
      <c r="FJ16" s="45"/>
      <c r="FK16" s="45"/>
      <c r="FL16" s="45"/>
      <c r="FM16" s="45"/>
      <c r="FN16" s="45"/>
      <c r="FO16" s="45"/>
      <c r="FP16" s="45"/>
    </row>
    <row r="17" spans="1:172" ht="10.5" customHeight="1">
      <c r="A17" s="41" t="s">
        <v>6040</v>
      </c>
      <c r="B17" s="42"/>
      <c r="C17" s="62"/>
      <c r="D17" s="62"/>
      <c r="E17" s="62"/>
      <c r="F17" s="62"/>
      <c r="G17" s="62"/>
      <c r="H17" s="61"/>
      <c r="I17" s="62"/>
      <c r="J17" s="62"/>
      <c r="K17" s="62"/>
      <c r="L17" s="62"/>
      <c r="M17" s="62"/>
      <c r="N17" s="61"/>
      <c r="O17" s="62">
        <v>0</v>
      </c>
      <c r="P17" s="62">
        <v>0</v>
      </c>
      <c r="Q17" s="62">
        <v>0</v>
      </c>
      <c r="R17" s="62">
        <v>0</v>
      </c>
      <c r="S17" s="62">
        <f t="shared" si="0"/>
        <v>0</v>
      </c>
      <c r="T17" s="61"/>
      <c r="U17" s="62">
        <v>0</v>
      </c>
      <c r="V17" s="62">
        <v>0</v>
      </c>
      <c r="W17" s="62">
        <v>0</v>
      </c>
      <c r="X17" s="62">
        <v>0</v>
      </c>
      <c r="Y17" s="62">
        <f t="shared" si="1"/>
        <v>0</v>
      </c>
      <c r="Z17" s="61"/>
      <c r="AA17" s="62">
        <v>2.2450000000000001</v>
      </c>
      <c r="AB17" s="62">
        <v>7.5590000000000002</v>
      </c>
      <c r="AC17" s="62">
        <v>13.455</v>
      </c>
      <c r="AD17" s="62">
        <v>16.289000000000001</v>
      </c>
      <c r="AE17" s="62">
        <f t="shared" ref="AE17:AE27" si="24">AD17</f>
        <v>16.289000000000001</v>
      </c>
      <c r="AF17" s="61"/>
      <c r="AG17" s="62">
        <v>1.2110000000000001</v>
      </c>
      <c r="AH17" s="62">
        <v>1.2110000000000001</v>
      </c>
      <c r="AI17" s="62">
        <v>1.2110000000000001</v>
      </c>
      <c r="AJ17" s="62">
        <v>1.2110000000000001</v>
      </c>
      <c r="AK17" s="62">
        <f t="shared" si="2"/>
        <v>1.2110000000000001</v>
      </c>
      <c r="AL17" s="61"/>
      <c r="AM17" s="62">
        <v>0</v>
      </c>
      <c r="AN17" s="62">
        <v>0</v>
      </c>
      <c r="AO17" s="62">
        <v>0</v>
      </c>
      <c r="AP17" s="62">
        <v>0</v>
      </c>
      <c r="AQ17" s="62">
        <f t="shared" si="19"/>
        <v>0</v>
      </c>
      <c r="AR17" s="61"/>
      <c r="AS17" s="62">
        <v>0</v>
      </c>
      <c r="AT17" s="62">
        <v>0</v>
      </c>
      <c r="AU17" s="62">
        <v>0</v>
      </c>
      <c r="AV17" s="62">
        <v>0</v>
      </c>
      <c r="AW17" s="62">
        <f>AV17</f>
        <v>0</v>
      </c>
      <c r="AX17" s="61"/>
      <c r="AY17" s="412">
        <v>0</v>
      </c>
      <c r="AZ17" s="412">
        <v>0</v>
      </c>
      <c r="BA17" s="412">
        <v>0</v>
      </c>
      <c r="BB17" s="412">
        <v>0</v>
      </c>
      <c r="BC17" s="412">
        <f t="shared" si="20"/>
        <v>0</v>
      </c>
      <c r="BD17" s="61"/>
      <c r="BE17" s="61">
        <v>0</v>
      </c>
      <c r="BF17" s="61">
        <v>0</v>
      </c>
      <c r="BG17" s="61">
        <f t="shared" si="21"/>
        <v>0</v>
      </c>
      <c r="BH17" s="61">
        <v>0</v>
      </c>
      <c r="BI17" s="62">
        <f t="shared" si="3"/>
        <v>0</v>
      </c>
      <c r="BJ17" s="61"/>
      <c r="BK17" s="61">
        <v>0</v>
      </c>
      <c r="BL17" s="61">
        <f t="shared" si="22"/>
        <v>0</v>
      </c>
      <c r="BM17" s="61">
        <f t="shared" si="22"/>
        <v>0</v>
      </c>
      <c r="BN17" s="61">
        <f t="shared" si="22"/>
        <v>0</v>
      </c>
      <c r="BO17" s="1166">
        <f t="shared" si="4"/>
        <v>0</v>
      </c>
      <c r="BP17" s="61"/>
      <c r="BQ17" s="61">
        <v>0</v>
      </c>
      <c r="BR17" s="61">
        <v>0</v>
      </c>
      <c r="BS17" s="61">
        <v>0</v>
      </c>
      <c r="BT17" s="61">
        <v>0</v>
      </c>
      <c r="BU17" s="1166">
        <f t="shared" si="5"/>
        <v>0</v>
      </c>
      <c r="BV17" s="61"/>
      <c r="BW17" s="61">
        <v>0</v>
      </c>
      <c r="BX17" s="61">
        <f t="shared" si="23"/>
        <v>0</v>
      </c>
      <c r="BY17" s="61">
        <f t="shared" si="23"/>
        <v>0</v>
      </c>
      <c r="BZ17" s="61">
        <v>0</v>
      </c>
      <c r="CA17" s="1166">
        <f t="shared" si="6"/>
        <v>0</v>
      </c>
      <c r="CB17" s="61"/>
      <c r="CC17" s="61">
        <v>0</v>
      </c>
      <c r="CD17" s="61">
        <f t="shared" ref="CD17:CF26" si="25">CC17</f>
        <v>0</v>
      </c>
      <c r="CE17" s="61">
        <f t="shared" si="25"/>
        <v>0</v>
      </c>
      <c r="CF17" s="61">
        <v>0</v>
      </c>
      <c r="CG17" s="1166">
        <f t="shared" si="7"/>
        <v>0</v>
      </c>
      <c r="CH17" s="61"/>
      <c r="CI17" s="61">
        <v>0</v>
      </c>
      <c r="CJ17" s="61">
        <v>0</v>
      </c>
      <c r="CK17" s="61">
        <v>0</v>
      </c>
      <c r="CL17" s="61">
        <v>0</v>
      </c>
      <c r="CM17" s="1166">
        <f t="shared" si="8"/>
        <v>0</v>
      </c>
      <c r="CN17" s="61"/>
      <c r="CO17" s="61">
        <v>0</v>
      </c>
      <c r="CP17" s="61">
        <v>0</v>
      </c>
      <c r="CQ17" s="61">
        <v>0</v>
      </c>
      <c r="CR17" s="61">
        <f t="shared" ref="CQ17:CR27" si="26">CQ17</f>
        <v>0</v>
      </c>
      <c r="CS17" s="1166">
        <f t="shared" si="9"/>
        <v>0</v>
      </c>
      <c r="CT17" s="61"/>
      <c r="CU17" s="61">
        <v>0</v>
      </c>
      <c r="CV17" s="61">
        <v>0</v>
      </c>
      <c r="CW17" s="61">
        <v>0</v>
      </c>
      <c r="CX17" s="61">
        <v>0</v>
      </c>
      <c r="CY17" s="1166">
        <f t="shared" si="10"/>
        <v>0</v>
      </c>
      <c r="CZ17" s="61"/>
      <c r="DA17" s="61">
        <v>0</v>
      </c>
      <c r="DB17" s="61">
        <f t="shared" ref="DB17:DD27" si="27">DA17</f>
        <v>0</v>
      </c>
      <c r="DC17" s="61">
        <v>0</v>
      </c>
      <c r="DD17" s="61">
        <f t="shared" si="27"/>
        <v>0</v>
      </c>
      <c r="DE17" s="1166">
        <f t="shared" si="11"/>
        <v>0</v>
      </c>
      <c r="DF17" s="61"/>
      <c r="DG17" s="61">
        <v>0</v>
      </c>
      <c r="DH17" s="61">
        <v>0</v>
      </c>
      <c r="DI17" s="61">
        <v>0</v>
      </c>
      <c r="DJ17" s="61">
        <v>0</v>
      </c>
      <c r="DK17" s="1166">
        <f t="shared" si="12"/>
        <v>0</v>
      </c>
      <c r="DL17" s="61"/>
      <c r="DM17" s="61">
        <v>0</v>
      </c>
      <c r="DN17" s="61">
        <f t="shared" ref="DN17:DP27" si="28">DM17</f>
        <v>0</v>
      </c>
      <c r="DO17" s="61">
        <f t="shared" si="28"/>
        <v>0</v>
      </c>
      <c r="DP17" s="61">
        <f t="shared" si="28"/>
        <v>0</v>
      </c>
      <c r="DQ17" s="1166">
        <f t="shared" si="13"/>
        <v>0</v>
      </c>
      <c r="DR17" s="61"/>
      <c r="DS17" s="61">
        <v>0</v>
      </c>
      <c r="DT17" s="61">
        <v>0</v>
      </c>
      <c r="DU17" s="61">
        <v>0</v>
      </c>
      <c r="DV17" s="61">
        <f t="shared" ref="DV17:DV27" si="29">DU17</f>
        <v>0</v>
      </c>
      <c r="DW17" s="1166">
        <f t="shared" si="14"/>
        <v>0</v>
      </c>
      <c r="DX17" s="61"/>
      <c r="DY17" s="61">
        <v>0</v>
      </c>
      <c r="DZ17" s="61">
        <v>0</v>
      </c>
      <c r="EA17" s="61">
        <v>0</v>
      </c>
      <c r="EB17" s="61">
        <f t="shared" ref="EB17:EB27" si="30">EA17</f>
        <v>0</v>
      </c>
      <c r="EC17" s="1166">
        <f t="shared" si="15"/>
        <v>0</v>
      </c>
      <c r="ED17" s="61"/>
      <c r="EE17" s="63">
        <v>0</v>
      </c>
      <c r="EF17" s="63">
        <f t="shared" ref="EF17:EF28" si="31">EE17</f>
        <v>0</v>
      </c>
      <c r="EG17" s="63">
        <f t="shared" ref="EG17:EG28" si="32">EF17</f>
        <v>0</v>
      </c>
      <c r="EH17" s="63">
        <f t="shared" ref="EH17:EH28" si="33">EG17</f>
        <v>0</v>
      </c>
      <c r="EI17" s="1166">
        <f t="shared" si="16"/>
        <v>0</v>
      </c>
      <c r="EJ17" s="61"/>
      <c r="EK17" s="63">
        <v>0</v>
      </c>
      <c r="EL17" s="63">
        <f t="shared" ref="EL17:EL28" si="34">EK17</f>
        <v>0</v>
      </c>
      <c r="EM17" s="63">
        <f t="shared" ref="EM17:EM28" si="35">EL17</f>
        <v>0</v>
      </c>
      <c r="EN17" s="63">
        <f t="shared" ref="EN17:EN28" si="36">EM17</f>
        <v>0</v>
      </c>
      <c r="EO17" s="1166">
        <f t="shared" si="17"/>
        <v>0</v>
      </c>
      <c r="EP17" s="61"/>
      <c r="EQ17" s="63">
        <v>0</v>
      </c>
      <c r="ER17" s="63">
        <f t="shared" ref="ER17:ER28" si="37">EQ17</f>
        <v>0</v>
      </c>
      <c r="ES17" s="63">
        <f t="shared" ref="ES17:ES28" si="38">ER17</f>
        <v>0</v>
      </c>
      <c r="ET17" s="63">
        <f t="shared" ref="ET17:ET28" si="39">ES17</f>
        <v>0</v>
      </c>
      <c r="EU17" s="1166">
        <f t="shared" si="18"/>
        <v>0</v>
      </c>
      <c r="EV17" s="45"/>
      <c r="EW17" s="45"/>
      <c r="FD17" s="45"/>
      <c r="FE17" s="45"/>
      <c r="FF17" s="45"/>
      <c r="FG17" s="45"/>
      <c r="FH17" s="45"/>
      <c r="FI17" s="45"/>
      <c r="FJ17" s="45"/>
      <c r="FK17" s="45"/>
      <c r="FL17" s="45"/>
      <c r="FM17" s="45"/>
      <c r="FN17" s="45"/>
      <c r="FO17" s="45"/>
      <c r="FP17" s="45"/>
    </row>
    <row r="18" spans="1:172" ht="10.5" customHeight="1">
      <c r="A18" s="41" t="s">
        <v>4684</v>
      </c>
      <c r="B18" s="42"/>
      <c r="C18" s="62"/>
      <c r="D18" s="62"/>
      <c r="E18" s="62"/>
      <c r="F18" s="62"/>
      <c r="G18" s="62"/>
      <c r="H18" s="61"/>
      <c r="I18" s="62"/>
      <c r="J18" s="62"/>
      <c r="K18" s="62"/>
      <c r="L18" s="62"/>
      <c r="M18" s="62"/>
      <c r="N18" s="61"/>
      <c r="O18" s="62">
        <v>0</v>
      </c>
      <c r="P18" s="62">
        <v>0</v>
      </c>
      <c r="Q18" s="62">
        <v>0</v>
      </c>
      <c r="R18" s="62">
        <v>0</v>
      </c>
      <c r="S18" s="62">
        <f t="shared" si="0"/>
        <v>0</v>
      </c>
      <c r="T18" s="61"/>
      <c r="U18" s="62">
        <v>0</v>
      </c>
      <c r="V18" s="62">
        <v>0</v>
      </c>
      <c r="W18" s="62">
        <v>0</v>
      </c>
      <c r="X18" s="62">
        <v>0</v>
      </c>
      <c r="Y18" s="62">
        <f t="shared" si="1"/>
        <v>0</v>
      </c>
      <c r="Z18" s="61"/>
      <c r="AA18" s="62">
        <v>0</v>
      </c>
      <c r="AB18" s="62">
        <v>0</v>
      </c>
      <c r="AC18" s="62">
        <v>0</v>
      </c>
      <c r="AD18" s="62">
        <v>0</v>
      </c>
      <c r="AE18" s="62">
        <f t="shared" si="24"/>
        <v>0</v>
      </c>
      <c r="AF18" s="61"/>
      <c r="AG18" s="62">
        <v>0.71099999999999997</v>
      </c>
      <c r="AH18" s="62">
        <v>1.411</v>
      </c>
      <c r="AI18" s="62">
        <v>2.0110000000000001</v>
      </c>
      <c r="AJ18" s="62">
        <v>2.8610000000000002</v>
      </c>
      <c r="AK18" s="62">
        <f t="shared" si="2"/>
        <v>2.8610000000000002</v>
      </c>
      <c r="AL18" s="61"/>
      <c r="AM18" s="62">
        <v>0.2</v>
      </c>
      <c r="AN18" s="62">
        <v>0.2</v>
      </c>
      <c r="AO18" s="62">
        <v>1.292</v>
      </c>
      <c r="AP18" s="62">
        <v>3.4359999999999999</v>
      </c>
      <c r="AQ18" s="62">
        <f t="shared" si="19"/>
        <v>3.4359999999999999</v>
      </c>
      <c r="AR18" s="61"/>
      <c r="AS18" s="62">
        <v>2.5999999999999999E-2</v>
      </c>
      <c r="AT18" s="62">
        <v>2.5999999999999999E-2</v>
      </c>
      <c r="AU18" s="62">
        <v>6.0999999999999999E-2</v>
      </c>
      <c r="AV18" s="62">
        <v>0.59599999999999997</v>
      </c>
      <c r="AW18" s="62">
        <f t="shared" ref="AW18:AW37" si="40">AV18</f>
        <v>0.59599999999999997</v>
      </c>
      <c r="AX18" s="61"/>
      <c r="AY18" s="412">
        <v>0</v>
      </c>
      <c r="AZ18" s="412">
        <v>0</v>
      </c>
      <c r="BA18" s="412">
        <v>0</v>
      </c>
      <c r="BB18" s="412">
        <v>0</v>
      </c>
      <c r="BC18" s="412">
        <f t="shared" si="20"/>
        <v>0</v>
      </c>
      <c r="BD18" s="61"/>
      <c r="BE18" s="61">
        <v>0</v>
      </c>
      <c r="BF18" s="61">
        <v>0</v>
      </c>
      <c r="BG18" s="61">
        <f t="shared" si="21"/>
        <v>0</v>
      </c>
      <c r="BH18" s="61">
        <v>0</v>
      </c>
      <c r="BI18" s="62">
        <f t="shared" si="3"/>
        <v>0</v>
      </c>
      <c r="BJ18" s="61"/>
      <c r="BK18" s="61">
        <v>0</v>
      </c>
      <c r="BL18" s="61">
        <f t="shared" si="22"/>
        <v>0</v>
      </c>
      <c r="BM18" s="61">
        <f t="shared" si="22"/>
        <v>0</v>
      </c>
      <c r="BN18" s="61">
        <f t="shared" si="22"/>
        <v>0</v>
      </c>
      <c r="BO18" s="1166">
        <f t="shared" si="4"/>
        <v>0</v>
      </c>
      <c r="BP18" s="61"/>
      <c r="BQ18" s="61">
        <v>0</v>
      </c>
      <c r="BR18" s="61">
        <v>0</v>
      </c>
      <c r="BS18" s="61">
        <v>0</v>
      </c>
      <c r="BT18" s="61">
        <v>0</v>
      </c>
      <c r="BU18" s="1166">
        <f t="shared" si="5"/>
        <v>0</v>
      </c>
      <c r="BV18" s="61"/>
      <c r="BW18" s="61">
        <v>0</v>
      </c>
      <c r="BX18" s="61">
        <f t="shared" si="23"/>
        <v>0</v>
      </c>
      <c r="BY18" s="61">
        <f t="shared" si="23"/>
        <v>0</v>
      </c>
      <c r="BZ18" s="61">
        <f t="shared" si="23"/>
        <v>0</v>
      </c>
      <c r="CA18" s="1166">
        <f t="shared" si="6"/>
        <v>0</v>
      </c>
      <c r="CB18" s="61"/>
      <c r="CC18" s="61">
        <v>0</v>
      </c>
      <c r="CD18" s="61">
        <f t="shared" si="25"/>
        <v>0</v>
      </c>
      <c r="CE18" s="61">
        <f t="shared" si="25"/>
        <v>0</v>
      </c>
      <c r="CF18" s="61">
        <v>0</v>
      </c>
      <c r="CG18" s="1166">
        <f t="shared" si="7"/>
        <v>0</v>
      </c>
      <c r="CH18" s="61"/>
      <c r="CI18" s="61">
        <v>0</v>
      </c>
      <c r="CJ18" s="61">
        <v>0</v>
      </c>
      <c r="CK18" s="61">
        <v>0</v>
      </c>
      <c r="CL18" s="61">
        <v>0</v>
      </c>
      <c r="CM18" s="1166">
        <f t="shared" si="8"/>
        <v>0</v>
      </c>
      <c r="CN18" s="61"/>
      <c r="CO18" s="61">
        <v>0</v>
      </c>
      <c r="CP18" s="61">
        <v>0</v>
      </c>
      <c r="CQ18" s="61">
        <v>0</v>
      </c>
      <c r="CR18" s="61">
        <f t="shared" si="26"/>
        <v>0</v>
      </c>
      <c r="CS18" s="1166">
        <f t="shared" si="9"/>
        <v>0</v>
      </c>
      <c r="CT18" s="61"/>
      <c r="CU18" s="61">
        <v>0</v>
      </c>
      <c r="CV18" s="61">
        <f t="shared" ref="CV18:CV27" si="41">CU18</f>
        <v>0</v>
      </c>
      <c r="CW18" s="61">
        <v>0</v>
      </c>
      <c r="CX18" s="61">
        <v>0</v>
      </c>
      <c r="CY18" s="1166">
        <f t="shared" si="10"/>
        <v>0</v>
      </c>
      <c r="CZ18" s="61"/>
      <c r="DA18" s="61">
        <v>0</v>
      </c>
      <c r="DB18" s="61">
        <f t="shared" si="27"/>
        <v>0</v>
      </c>
      <c r="DC18" s="61">
        <v>0</v>
      </c>
      <c r="DD18" s="61">
        <f t="shared" si="27"/>
        <v>0</v>
      </c>
      <c r="DE18" s="1166">
        <f t="shared" si="11"/>
        <v>0</v>
      </c>
      <c r="DF18" s="61"/>
      <c r="DG18" s="61">
        <v>0</v>
      </c>
      <c r="DH18" s="61">
        <v>0</v>
      </c>
      <c r="DI18" s="61">
        <v>0</v>
      </c>
      <c r="DJ18" s="61">
        <v>0</v>
      </c>
      <c r="DK18" s="1166">
        <f t="shared" si="12"/>
        <v>0</v>
      </c>
      <c r="DL18" s="61"/>
      <c r="DM18" s="61">
        <v>0</v>
      </c>
      <c r="DN18" s="61">
        <f t="shared" si="28"/>
        <v>0</v>
      </c>
      <c r="DO18" s="61">
        <f t="shared" si="28"/>
        <v>0</v>
      </c>
      <c r="DP18" s="61">
        <f t="shared" si="28"/>
        <v>0</v>
      </c>
      <c r="DQ18" s="1166">
        <f t="shared" si="13"/>
        <v>0</v>
      </c>
      <c r="DR18" s="61"/>
      <c r="DS18" s="61">
        <v>0</v>
      </c>
      <c r="DT18" s="61">
        <v>0</v>
      </c>
      <c r="DU18" s="61">
        <v>0</v>
      </c>
      <c r="DV18" s="61">
        <f t="shared" si="29"/>
        <v>0</v>
      </c>
      <c r="DW18" s="1166">
        <f t="shared" si="14"/>
        <v>0</v>
      </c>
      <c r="DX18" s="61"/>
      <c r="DY18" s="61">
        <v>0</v>
      </c>
      <c r="DZ18" s="61">
        <v>0</v>
      </c>
      <c r="EA18" s="61">
        <v>0</v>
      </c>
      <c r="EB18" s="61">
        <f t="shared" si="30"/>
        <v>0</v>
      </c>
      <c r="EC18" s="1166">
        <f t="shared" si="15"/>
        <v>0</v>
      </c>
      <c r="ED18" s="61"/>
      <c r="EE18" s="63">
        <v>0</v>
      </c>
      <c r="EF18" s="63">
        <f t="shared" si="31"/>
        <v>0</v>
      </c>
      <c r="EG18" s="63">
        <f t="shared" si="32"/>
        <v>0</v>
      </c>
      <c r="EH18" s="63">
        <f t="shared" si="33"/>
        <v>0</v>
      </c>
      <c r="EI18" s="1166">
        <f t="shared" si="16"/>
        <v>0</v>
      </c>
      <c r="EJ18" s="61"/>
      <c r="EK18" s="63">
        <v>0</v>
      </c>
      <c r="EL18" s="63">
        <f t="shared" si="34"/>
        <v>0</v>
      </c>
      <c r="EM18" s="63">
        <f t="shared" si="35"/>
        <v>0</v>
      </c>
      <c r="EN18" s="63">
        <f t="shared" si="36"/>
        <v>0</v>
      </c>
      <c r="EO18" s="1166">
        <f t="shared" si="17"/>
        <v>0</v>
      </c>
      <c r="EP18" s="61"/>
      <c r="EQ18" s="63">
        <v>0</v>
      </c>
      <c r="ER18" s="63">
        <f t="shared" si="37"/>
        <v>0</v>
      </c>
      <c r="ES18" s="63">
        <f t="shared" si="38"/>
        <v>0</v>
      </c>
      <c r="ET18" s="63">
        <f t="shared" si="39"/>
        <v>0</v>
      </c>
      <c r="EU18" s="1166">
        <f t="shared" si="18"/>
        <v>0</v>
      </c>
      <c r="EV18" s="45"/>
      <c r="EW18" s="45"/>
      <c r="FD18" s="45"/>
      <c r="FE18" s="45"/>
      <c r="FF18" s="45"/>
      <c r="FG18" s="45"/>
      <c r="FH18" s="45"/>
      <c r="FI18" s="45"/>
      <c r="FJ18" s="45"/>
      <c r="FK18" s="45"/>
      <c r="FL18" s="45"/>
      <c r="FM18" s="45"/>
      <c r="FN18" s="45"/>
      <c r="FO18" s="45"/>
      <c r="FP18" s="45"/>
    </row>
    <row r="19" spans="1:172" ht="10.5" customHeight="1">
      <c r="A19" s="41" t="s">
        <v>5186</v>
      </c>
      <c r="B19" s="42"/>
      <c r="C19" s="62"/>
      <c r="D19" s="62"/>
      <c r="E19" s="62"/>
      <c r="F19" s="62"/>
      <c r="G19" s="62"/>
      <c r="H19" s="61"/>
      <c r="I19" s="62"/>
      <c r="J19" s="62"/>
      <c r="K19" s="62"/>
      <c r="L19" s="62"/>
      <c r="M19" s="62"/>
      <c r="N19" s="61"/>
      <c r="O19" s="62">
        <v>0</v>
      </c>
      <c r="P19" s="62">
        <v>13.1</v>
      </c>
      <c r="Q19" s="62">
        <v>13.1</v>
      </c>
      <c r="R19" s="62">
        <v>13.1</v>
      </c>
      <c r="S19" s="62">
        <f t="shared" si="0"/>
        <v>13.1</v>
      </c>
      <c r="T19" s="61"/>
      <c r="U19" s="62">
        <v>3.2869999999999999</v>
      </c>
      <c r="V19" s="62">
        <v>3.2869999999999999</v>
      </c>
      <c r="W19" s="62">
        <v>3.2869999999999999</v>
      </c>
      <c r="X19" s="62">
        <v>4.17</v>
      </c>
      <c r="Y19" s="62">
        <f>X19</f>
        <v>4.17</v>
      </c>
      <c r="Z19" s="61"/>
      <c r="AA19" s="45">
        <v>0</v>
      </c>
      <c r="AB19" s="45">
        <v>0</v>
      </c>
      <c r="AC19" s="45">
        <v>0</v>
      </c>
      <c r="AD19" s="62">
        <v>0</v>
      </c>
      <c r="AE19" s="62">
        <f>AD19</f>
        <v>0</v>
      </c>
      <c r="AF19" s="61"/>
      <c r="AG19" s="62">
        <v>0</v>
      </c>
      <c r="AH19" s="62">
        <v>0</v>
      </c>
      <c r="AI19" s="62">
        <v>3.18</v>
      </c>
      <c r="AJ19" s="62">
        <v>3.18</v>
      </c>
      <c r="AK19" s="62">
        <f t="shared" si="2"/>
        <v>3.18</v>
      </c>
      <c r="AL19" s="61"/>
      <c r="AM19" s="62">
        <v>0</v>
      </c>
      <c r="AN19" s="62">
        <v>0</v>
      </c>
      <c r="AO19" s="62">
        <v>0</v>
      </c>
      <c r="AP19" s="62">
        <v>0</v>
      </c>
      <c r="AQ19" s="62">
        <f t="shared" si="19"/>
        <v>0</v>
      </c>
      <c r="AR19" s="61"/>
      <c r="AS19" s="62">
        <v>0</v>
      </c>
      <c r="AT19" s="62">
        <v>0</v>
      </c>
      <c r="AU19" s="62">
        <v>0</v>
      </c>
      <c r="AV19" s="62">
        <v>0</v>
      </c>
      <c r="AW19" s="62">
        <f t="shared" si="40"/>
        <v>0</v>
      </c>
      <c r="AX19" s="61"/>
      <c r="AY19" s="412">
        <v>0</v>
      </c>
      <c r="AZ19" s="412">
        <v>0</v>
      </c>
      <c r="BA19" s="412">
        <v>0</v>
      </c>
      <c r="BB19" s="412">
        <v>0</v>
      </c>
      <c r="BC19" s="412">
        <f t="shared" si="20"/>
        <v>0</v>
      </c>
      <c r="BD19" s="61"/>
      <c r="BE19" s="61">
        <v>0</v>
      </c>
      <c r="BF19" s="61">
        <v>1.2</v>
      </c>
      <c r="BG19" s="61">
        <f>BF19</f>
        <v>1.2</v>
      </c>
      <c r="BH19" s="61">
        <f>BG19+7.9</f>
        <v>9.1</v>
      </c>
      <c r="BI19" s="62">
        <f t="shared" si="3"/>
        <v>9.1</v>
      </c>
      <c r="BJ19" s="61"/>
      <c r="BK19" s="61">
        <v>0</v>
      </c>
      <c r="BL19" s="61">
        <f t="shared" si="22"/>
        <v>0</v>
      </c>
      <c r="BM19" s="61">
        <f t="shared" si="22"/>
        <v>0</v>
      </c>
      <c r="BN19" s="61">
        <f t="shared" si="22"/>
        <v>0</v>
      </c>
      <c r="BO19" s="1166">
        <f t="shared" si="4"/>
        <v>0</v>
      </c>
      <c r="BP19" s="61"/>
      <c r="BQ19" s="61">
        <v>0</v>
      </c>
      <c r="BR19" s="61">
        <v>1</v>
      </c>
      <c r="BS19" s="61">
        <v>3.6</v>
      </c>
      <c r="BT19" s="61">
        <v>5.5</v>
      </c>
      <c r="BU19" s="1166">
        <f t="shared" si="5"/>
        <v>5.5</v>
      </c>
      <c r="BV19" s="61"/>
      <c r="BW19" s="61">
        <v>0</v>
      </c>
      <c r="BX19" s="61">
        <v>16.8</v>
      </c>
      <c r="BY19" s="61">
        <v>18</v>
      </c>
      <c r="BZ19" s="61">
        <v>26.94</v>
      </c>
      <c r="CA19" s="1166">
        <f t="shared" si="6"/>
        <v>26.94</v>
      </c>
      <c r="CB19" s="61"/>
      <c r="CC19" s="61">
        <v>0</v>
      </c>
      <c r="CD19" s="61">
        <v>0</v>
      </c>
      <c r="CE19" s="61">
        <v>0</v>
      </c>
      <c r="CF19" s="61">
        <v>0</v>
      </c>
      <c r="CG19" s="1166">
        <f t="shared" si="7"/>
        <v>0</v>
      </c>
      <c r="CH19" s="61"/>
      <c r="CI19" s="61">
        <v>0</v>
      </c>
      <c r="CJ19" s="61">
        <v>0</v>
      </c>
      <c r="CK19" s="61">
        <v>0</v>
      </c>
      <c r="CL19" s="61">
        <v>0</v>
      </c>
      <c r="CM19" s="1166">
        <f t="shared" si="8"/>
        <v>0</v>
      </c>
      <c r="CN19" s="61"/>
      <c r="CO19" s="61">
        <v>0</v>
      </c>
      <c r="CP19" s="61">
        <v>0</v>
      </c>
      <c r="CQ19" s="61">
        <v>0</v>
      </c>
      <c r="CR19" s="61">
        <f t="shared" si="26"/>
        <v>0</v>
      </c>
      <c r="CS19" s="1166">
        <f t="shared" si="9"/>
        <v>0</v>
      </c>
      <c r="CT19" s="61"/>
      <c r="CU19" s="61">
        <v>0</v>
      </c>
      <c r="CV19" s="61">
        <f t="shared" si="41"/>
        <v>0</v>
      </c>
      <c r="CW19" s="61">
        <v>0</v>
      </c>
      <c r="CX19" s="61">
        <v>0</v>
      </c>
      <c r="CY19" s="1166">
        <f t="shared" si="10"/>
        <v>0</v>
      </c>
      <c r="CZ19" s="61"/>
      <c r="DA19" s="61">
        <v>0</v>
      </c>
      <c r="DB19" s="61">
        <f t="shared" si="27"/>
        <v>0</v>
      </c>
      <c r="DC19" s="61">
        <v>0</v>
      </c>
      <c r="DD19" s="61">
        <f t="shared" si="27"/>
        <v>0</v>
      </c>
      <c r="DE19" s="1166">
        <f t="shared" si="11"/>
        <v>0</v>
      </c>
      <c r="DF19" s="61"/>
      <c r="DG19" s="61">
        <v>0</v>
      </c>
      <c r="DH19" s="61">
        <v>0</v>
      </c>
      <c r="DI19" s="61">
        <v>0</v>
      </c>
      <c r="DJ19" s="61">
        <v>0</v>
      </c>
      <c r="DK19" s="1166">
        <f t="shared" si="12"/>
        <v>0</v>
      </c>
      <c r="DL19" s="61"/>
      <c r="DM19" s="61">
        <v>0</v>
      </c>
      <c r="DN19" s="61">
        <f t="shared" si="28"/>
        <v>0</v>
      </c>
      <c r="DO19" s="61">
        <f t="shared" si="28"/>
        <v>0</v>
      </c>
      <c r="DP19" s="61">
        <f t="shared" si="28"/>
        <v>0</v>
      </c>
      <c r="DQ19" s="1166">
        <f t="shared" si="13"/>
        <v>0</v>
      </c>
      <c r="DR19" s="61"/>
      <c r="DS19" s="61">
        <v>0</v>
      </c>
      <c r="DT19" s="61">
        <v>0</v>
      </c>
      <c r="DU19" s="61">
        <v>0</v>
      </c>
      <c r="DV19" s="61">
        <f t="shared" si="29"/>
        <v>0</v>
      </c>
      <c r="DW19" s="1166">
        <f t="shared" si="14"/>
        <v>0</v>
      </c>
      <c r="DX19" s="61"/>
      <c r="DY19" s="61">
        <v>0</v>
      </c>
      <c r="DZ19" s="61">
        <v>0</v>
      </c>
      <c r="EA19" s="61">
        <v>0</v>
      </c>
      <c r="EB19" s="61">
        <f t="shared" si="30"/>
        <v>0</v>
      </c>
      <c r="EC19" s="1166">
        <f t="shared" si="15"/>
        <v>0</v>
      </c>
      <c r="ED19" s="61"/>
      <c r="EE19" s="63">
        <v>0</v>
      </c>
      <c r="EF19" s="63">
        <f t="shared" si="31"/>
        <v>0</v>
      </c>
      <c r="EG19" s="63">
        <f t="shared" si="32"/>
        <v>0</v>
      </c>
      <c r="EH19" s="63">
        <f t="shared" si="33"/>
        <v>0</v>
      </c>
      <c r="EI19" s="1166">
        <f t="shared" si="16"/>
        <v>0</v>
      </c>
      <c r="EJ19" s="61"/>
      <c r="EK19" s="63">
        <v>0</v>
      </c>
      <c r="EL19" s="63">
        <f t="shared" si="34"/>
        <v>0</v>
      </c>
      <c r="EM19" s="63">
        <f t="shared" si="35"/>
        <v>0</v>
      </c>
      <c r="EN19" s="63">
        <f t="shared" si="36"/>
        <v>0</v>
      </c>
      <c r="EO19" s="1166">
        <f t="shared" si="17"/>
        <v>0</v>
      </c>
      <c r="EP19" s="61"/>
      <c r="EQ19" s="63">
        <v>0</v>
      </c>
      <c r="ER19" s="63">
        <f t="shared" si="37"/>
        <v>0</v>
      </c>
      <c r="ES19" s="63">
        <f t="shared" si="38"/>
        <v>0</v>
      </c>
      <c r="ET19" s="63">
        <f t="shared" si="39"/>
        <v>0</v>
      </c>
      <c r="EU19" s="1166">
        <f t="shared" si="18"/>
        <v>0</v>
      </c>
      <c r="EV19" s="45"/>
      <c r="EW19" s="45"/>
      <c r="FD19" s="45"/>
      <c r="FE19" s="45"/>
      <c r="FF19" s="45"/>
      <c r="FG19" s="45"/>
      <c r="FH19" s="45"/>
      <c r="FI19" s="45"/>
      <c r="FJ19" s="45"/>
      <c r="FK19" s="45"/>
      <c r="FL19" s="45"/>
      <c r="FM19" s="45"/>
      <c r="FN19" s="45"/>
      <c r="FO19" s="45"/>
      <c r="FP19" s="45"/>
    </row>
    <row r="20" spans="1:172">
      <c r="A20" s="41" t="s">
        <v>336</v>
      </c>
      <c r="B20" s="42"/>
      <c r="C20" s="62"/>
      <c r="D20" s="62"/>
      <c r="E20" s="62"/>
      <c r="F20" s="62"/>
      <c r="G20" s="62"/>
      <c r="H20" s="61"/>
      <c r="I20" s="62"/>
      <c r="J20" s="62"/>
      <c r="K20" s="62"/>
      <c r="L20" s="62"/>
      <c r="M20" s="62"/>
      <c r="N20" s="61"/>
      <c r="O20" s="62">
        <v>0</v>
      </c>
      <c r="P20" s="62">
        <v>-1.0029999999999999</v>
      </c>
      <c r="Q20" s="62">
        <v>-1.0029999999999999</v>
      </c>
      <c r="R20" s="62">
        <v>-1.504</v>
      </c>
      <c r="S20" s="62">
        <f t="shared" si="0"/>
        <v>-1.504</v>
      </c>
      <c r="T20" s="61"/>
      <c r="U20" s="62">
        <v>0</v>
      </c>
      <c r="V20" s="62">
        <v>0</v>
      </c>
      <c r="W20" s="62">
        <v>0</v>
      </c>
      <c r="X20" s="62">
        <v>-1.63</v>
      </c>
      <c r="Y20" s="62">
        <f t="shared" si="1"/>
        <v>-1.63</v>
      </c>
      <c r="Z20" s="61"/>
      <c r="AA20" s="62">
        <v>0</v>
      </c>
      <c r="AB20" s="62">
        <v>0</v>
      </c>
      <c r="AC20" s="62">
        <v>0</v>
      </c>
      <c r="AD20" s="62">
        <v>-1.034</v>
      </c>
      <c r="AE20" s="62">
        <f t="shared" si="24"/>
        <v>-1.034</v>
      </c>
      <c r="AF20" s="61"/>
      <c r="AG20" s="62">
        <v>0</v>
      </c>
      <c r="AH20" s="62">
        <v>0</v>
      </c>
      <c r="AI20" s="62">
        <v>0</v>
      </c>
      <c r="AJ20" s="62">
        <v>0</v>
      </c>
      <c r="AK20" s="62">
        <f t="shared" ref="AK20:AK27" si="42">AJ20</f>
        <v>0</v>
      </c>
      <c r="AL20" s="61"/>
      <c r="AM20" s="62">
        <v>0</v>
      </c>
      <c r="AN20" s="62">
        <v>0</v>
      </c>
      <c r="AO20" s="62">
        <v>0</v>
      </c>
      <c r="AP20" s="62">
        <v>0</v>
      </c>
      <c r="AQ20" s="62">
        <f t="shared" si="19"/>
        <v>0</v>
      </c>
      <c r="AR20" s="61"/>
      <c r="AS20" s="62">
        <v>0</v>
      </c>
      <c r="AT20" s="62">
        <v>0</v>
      </c>
      <c r="AU20" s="62">
        <v>0</v>
      </c>
      <c r="AV20" s="62">
        <v>0</v>
      </c>
      <c r="AW20" s="62">
        <f t="shared" si="40"/>
        <v>0</v>
      </c>
      <c r="AX20" s="61"/>
      <c r="AY20" s="412">
        <v>0</v>
      </c>
      <c r="AZ20" s="412">
        <v>0</v>
      </c>
      <c r="BA20" s="412">
        <v>0</v>
      </c>
      <c r="BB20" s="412">
        <v>0</v>
      </c>
      <c r="BC20" s="412">
        <f t="shared" si="20"/>
        <v>0</v>
      </c>
      <c r="BD20" s="61"/>
      <c r="BE20" s="62">
        <v>0</v>
      </c>
      <c r="BF20" s="61">
        <v>0</v>
      </c>
      <c r="BG20" s="61">
        <f t="shared" si="21"/>
        <v>0</v>
      </c>
      <c r="BH20" s="61">
        <f t="shared" si="21"/>
        <v>0</v>
      </c>
      <c r="BI20" s="62">
        <f t="shared" si="3"/>
        <v>0</v>
      </c>
      <c r="BJ20" s="61"/>
      <c r="BK20" s="61">
        <v>0</v>
      </c>
      <c r="BL20" s="61">
        <f t="shared" si="22"/>
        <v>0</v>
      </c>
      <c r="BM20" s="61">
        <f t="shared" si="22"/>
        <v>0</v>
      </c>
      <c r="BN20" s="61">
        <f t="shared" si="22"/>
        <v>0</v>
      </c>
      <c r="BO20" s="1166">
        <f t="shared" si="4"/>
        <v>0</v>
      </c>
      <c r="BP20" s="61"/>
      <c r="BQ20" s="61">
        <v>0</v>
      </c>
      <c r="BR20" s="61">
        <v>0</v>
      </c>
      <c r="BS20" s="61">
        <v>0</v>
      </c>
      <c r="BT20" s="61">
        <v>0</v>
      </c>
      <c r="BU20" s="1166">
        <f t="shared" si="5"/>
        <v>0</v>
      </c>
      <c r="BV20" s="61"/>
      <c r="BW20" s="61">
        <v>0</v>
      </c>
      <c r="BX20" s="61">
        <f t="shared" si="23"/>
        <v>0</v>
      </c>
      <c r="BY20" s="61">
        <f t="shared" si="23"/>
        <v>0</v>
      </c>
      <c r="BZ20" s="61">
        <f t="shared" si="23"/>
        <v>0</v>
      </c>
      <c r="CA20" s="1166">
        <f t="shared" si="6"/>
        <v>0</v>
      </c>
      <c r="CB20" s="61"/>
      <c r="CC20" s="61">
        <v>0</v>
      </c>
      <c r="CD20" s="61">
        <f t="shared" si="25"/>
        <v>0</v>
      </c>
      <c r="CE20" s="61">
        <f t="shared" si="25"/>
        <v>0</v>
      </c>
      <c r="CF20" s="61">
        <v>0</v>
      </c>
      <c r="CG20" s="1166">
        <f t="shared" si="7"/>
        <v>0</v>
      </c>
      <c r="CH20" s="61"/>
      <c r="CI20" s="61">
        <v>0</v>
      </c>
      <c r="CJ20" s="61">
        <v>0</v>
      </c>
      <c r="CK20" s="61">
        <v>0</v>
      </c>
      <c r="CL20" s="61">
        <v>0</v>
      </c>
      <c r="CM20" s="1166">
        <f t="shared" si="8"/>
        <v>0</v>
      </c>
      <c r="CN20" s="61"/>
      <c r="CO20" s="61">
        <v>0</v>
      </c>
      <c r="CP20" s="61">
        <v>0</v>
      </c>
      <c r="CQ20" s="61">
        <f t="shared" si="26"/>
        <v>0</v>
      </c>
      <c r="CR20" s="61">
        <f t="shared" si="26"/>
        <v>0</v>
      </c>
      <c r="CS20" s="1166">
        <f t="shared" si="9"/>
        <v>0</v>
      </c>
      <c r="CT20" s="61"/>
      <c r="CU20" s="61">
        <v>0</v>
      </c>
      <c r="CV20" s="61">
        <f t="shared" si="41"/>
        <v>0</v>
      </c>
      <c r="CW20" s="61">
        <v>0</v>
      </c>
      <c r="CX20" s="61">
        <v>0</v>
      </c>
      <c r="CY20" s="1166">
        <f t="shared" si="10"/>
        <v>0</v>
      </c>
      <c r="CZ20" s="61"/>
      <c r="DA20" s="61">
        <v>0</v>
      </c>
      <c r="DB20" s="61">
        <f t="shared" si="27"/>
        <v>0</v>
      </c>
      <c r="DC20" s="61">
        <v>0</v>
      </c>
      <c r="DD20" s="61">
        <f t="shared" si="27"/>
        <v>0</v>
      </c>
      <c r="DE20" s="1166">
        <f t="shared" si="11"/>
        <v>0</v>
      </c>
      <c r="DF20" s="61"/>
      <c r="DG20" s="61">
        <v>0</v>
      </c>
      <c r="DH20" s="61">
        <v>0</v>
      </c>
      <c r="DI20" s="61">
        <v>0</v>
      </c>
      <c r="DJ20" s="61">
        <v>0</v>
      </c>
      <c r="DK20" s="1166">
        <f t="shared" si="12"/>
        <v>0</v>
      </c>
      <c r="DL20" s="61"/>
      <c r="DM20" s="61">
        <v>0</v>
      </c>
      <c r="DN20" s="61">
        <f t="shared" si="28"/>
        <v>0</v>
      </c>
      <c r="DO20" s="61">
        <f t="shared" si="28"/>
        <v>0</v>
      </c>
      <c r="DP20" s="61">
        <f t="shared" si="28"/>
        <v>0</v>
      </c>
      <c r="DQ20" s="1166">
        <f t="shared" si="13"/>
        <v>0</v>
      </c>
      <c r="DR20" s="61"/>
      <c r="DS20" s="61">
        <v>0</v>
      </c>
      <c r="DT20" s="61">
        <v>0</v>
      </c>
      <c r="DU20" s="61">
        <v>0</v>
      </c>
      <c r="DV20" s="61">
        <f t="shared" si="29"/>
        <v>0</v>
      </c>
      <c r="DW20" s="1166">
        <f t="shared" si="14"/>
        <v>0</v>
      </c>
      <c r="DX20" s="61"/>
      <c r="DY20" s="61">
        <v>0</v>
      </c>
      <c r="DZ20" s="61">
        <v>0</v>
      </c>
      <c r="EA20" s="61">
        <v>0</v>
      </c>
      <c r="EB20" s="61">
        <f t="shared" si="30"/>
        <v>0</v>
      </c>
      <c r="EC20" s="1166">
        <f t="shared" si="15"/>
        <v>0</v>
      </c>
      <c r="ED20" s="61"/>
      <c r="EE20" s="63">
        <v>0</v>
      </c>
      <c r="EF20" s="63">
        <f t="shared" si="31"/>
        <v>0</v>
      </c>
      <c r="EG20" s="63">
        <f t="shared" si="32"/>
        <v>0</v>
      </c>
      <c r="EH20" s="63">
        <f t="shared" si="33"/>
        <v>0</v>
      </c>
      <c r="EI20" s="1166">
        <f t="shared" si="16"/>
        <v>0</v>
      </c>
      <c r="EJ20" s="61"/>
      <c r="EK20" s="63">
        <v>0</v>
      </c>
      <c r="EL20" s="63">
        <f t="shared" si="34"/>
        <v>0</v>
      </c>
      <c r="EM20" s="63">
        <f t="shared" si="35"/>
        <v>0</v>
      </c>
      <c r="EN20" s="63">
        <f t="shared" si="36"/>
        <v>0</v>
      </c>
      <c r="EO20" s="1166">
        <f t="shared" si="17"/>
        <v>0</v>
      </c>
      <c r="EP20" s="61"/>
      <c r="EQ20" s="63">
        <v>0</v>
      </c>
      <c r="ER20" s="63">
        <f t="shared" si="37"/>
        <v>0</v>
      </c>
      <c r="ES20" s="63">
        <f t="shared" si="38"/>
        <v>0</v>
      </c>
      <c r="ET20" s="63">
        <f t="shared" si="39"/>
        <v>0</v>
      </c>
      <c r="EU20" s="1166">
        <f t="shared" si="18"/>
        <v>0</v>
      </c>
      <c r="EV20" s="45"/>
      <c r="EW20" s="45"/>
      <c r="FD20" s="45"/>
      <c r="FE20" s="45"/>
      <c r="FF20" s="45"/>
      <c r="FG20" s="45"/>
      <c r="FH20" s="45"/>
      <c r="FI20" s="45"/>
      <c r="FJ20" s="45"/>
      <c r="FK20" s="45"/>
      <c r="FL20" s="45"/>
      <c r="FM20" s="45"/>
      <c r="FN20" s="45"/>
      <c r="FO20" s="45"/>
      <c r="FP20" s="45"/>
    </row>
    <row r="21" spans="1:172">
      <c r="A21" s="41" t="s">
        <v>5643</v>
      </c>
      <c r="B21" s="42"/>
      <c r="C21" s="62"/>
      <c r="D21" s="62"/>
      <c r="E21" s="62"/>
      <c r="F21" s="62"/>
      <c r="G21" s="62"/>
      <c r="H21" s="61"/>
      <c r="I21" s="62"/>
      <c r="J21" s="62"/>
      <c r="K21" s="62"/>
      <c r="L21" s="62"/>
      <c r="M21" s="62"/>
      <c r="N21" s="61"/>
      <c r="O21" s="62">
        <v>0</v>
      </c>
      <c r="P21" s="62">
        <v>0</v>
      </c>
      <c r="Q21" s="62">
        <v>0</v>
      </c>
      <c r="R21" s="62">
        <v>0</v>
      </c>
      <c r="S21" s="62">
        <f t="shared" si="0"/>
        <v>0</v>
      </c>
      <c r="T21" s="61"/>
      <c r="U21" s="62">
        <v>0</v>
      </c>
      <c r="V21" s="62">
        <v>0</v>
      </c>
      <c r="W21" s="62">
        <v>0</v>
      </c>
      <c r="X21" s="62">
        <v>0</v>
      </c>
      <c r="Y21" s="62">
        <f t="shared" si="1"/>
        <v>0</v>
      </c>
      <c r="Z21" s="61"/>
      <c r="AA21" s="62">
        <v>0</v>
      </c>
      <c r="AB21" s="62">
        <v>0</v>
      </c>
      <c r="AC21" s="62">
        <v>0</v>
      </c>
      <c r="AD21" s="62">
        <v>0</v>
      </c>
      <c r="AE21" s="62">
        <f t="shared" si="24"/>
        <v>0</v>
      </c>
      <c r="AF21" s="61"/>
      <c r="AG21" s="62">
        <v>0</v>
      </c>
      <c r="AH21" s="62">
        <v>0</v>
      </c>
      <c r="AI21" s="62">
        <v>0</v>
      </c>
      <c r="AJ21" s="62">
        <v>0</v>
      </c>
      <c r="AK21" s="62">
        <f t="shared" si="42"/>
        <v>0</v>
      </c>
      <c r="AL21" s="61"/>
      <c r="AM21" s="62">
        <v>0</v>
      </c>
      <c r="AN21" s="62">
        <v>0</v>
      </c>
      <c r="AO21" s="62">
        <v>0</v>
      </c>
      <c r="AP21" s="62">
        <v>0</v>
      </c>
      <c r="AQ21" s="62">
        <f t="shared" si="19"/>
        <v>0</v>
      </c>
      <c r="AR21" s="61"/>
      <c r="AS21" s="62">
        <v>0</v>
      </c>
      <c r="AT21" s="62">
        <v>0</v>
      </c>
      <c r="AU21" s="62">
        <v>0</v>
      </c>
      <c r="AV21" s="62">
        <v>0</v>
      </c>
      <c r="AW21" s="62">
        <f t="shared" si="40"/>
        <v>0</v>
      </c>
      <c r="AX21" s="61"/>
      <c r="AY21" s="412">
        <v>0</v>
      </c>
      <c r="AZ21" s="412">
        <v>0</v>
      </c>
      <c r="BA21" s="412">
        <v>0</v>
      </c>
      <c r="BB21" s="412">
        <v>0</v>
      </c>
      <c r="BC21" s="412">
        <f t="shared" si="20"/>
        <v>0</v>
      </c>
      <c r="BD21" s="61"/>
      <c r="BE21" s="62">
        <v>0</v>
      </c>
      <c r="BF21" s="61">
        <v>0</v>
      </c>
      <c r="BG21" s="61">
        <f t="shared" si="21"/>
        <v>0</v>
      </c>
      <c r="BH21" s="61">
        <f t="shared" si="21"/>
        <v>0</v>
      </c>
      <c r="BI21" s="62">
        <f t="shared" si="3"/>
        <v>0</v>
      </c>
      <c r="BJ21" s="61"/>
      <c r="BK21" s="61">
        <v>0</v>
      </c>
      <c r="BL21" s="61">
        <f t="shared" si="22"/>
        <v>0</v>
      </c>
      <c r="BM21" s="61">
        <f t="shared" si="22"/>
        <v>0</v>
      </c>
      <c r="BN21" s="61">
        <f t="shared" si="22"/>
        <v>0</v>
      </c>
      <c r="BO21" s="1166">
        <f t="shared" si="4"/>
        <v>0</v>
      </c>
      <c r="BP21" s="61"/>
      <c r="BQ21" s="61">
        <v>0</v>
      </c>
      <c r="BR21" s="61">
        <v>0</v>
      </c>
      <c r="BS21" s="61">
        <v>0</v>
      </c>
      <c r="BT21" s="61">
        <v>0</v>
      </c>
      <c r="BU21" s="1166">
        <f t="shared" si="5"/>
        <v>0</v>
      </c>
      <c r="BV21" s="61"/>
      <c r="BW21" s="61">
        <v>0</v>
      </c>
      <c r="BX21" s="61">
        <f t="shared" si="23"/>
        <v>0</v>
      </c>
      <c r="BY21" s="61">
        <f t="shared" si="23"/>
        <v>0</v>
      </c>
      <c r="BZ21" s="61">
        <f t="shared" si="23"/>
        <v>0</v>
      </c>
      <c r="CA21" s="1166">
        <f t="shared" si="6"/>
        <v>0</v>
      </c>
      <c r="CB21" s="61"/>
      <c r="CC21" s="61">
        <v>0</v>
      </c>
      <c r="CD21" s="61">
        <f t="shared" si="25"/>
        <v>0</v>
      </c>
      <c r="CE21" s="61">
        <f t="shared" si="25"/>
        <v>0</v>
      </c>
      <c r="CF21" s="61">
        <v>0</v>
      </c>
      <c r="CG21" s="1166">
        <f t="shared" si="7"/>
        <v>0</v>
      </c>
      <c r="CH21" s="61"/>
      <c r="CI21" s="61">
        <v>0</v>
      </c>
      <c r="CJ21" s="61">
        <v>0</v>
      </c>
      <c r="CK21" s="61">
        <v>0</v>
      </c>
      <c r="CL21" s="61">
        <v>0</v>
      </c>
      <c r="CM21" s="1166">
        <f t="shared" si="8"/>
        <v>0</v>
      </c>
      <c r="CN21" s="61"/>
      <c r="CO21" s="61">
        <v>0</v>
      </c>
      <c r="CP21" s="61">
        <v>0</v>
      </c>
      <c r="CQ21" s="61">
        <f t="shared" ref="CQ21:CQ27" si="43">CP21</f>
        <v>0</v>
      </c>
      <c r="CR21" s="61">
        <f t="shared" si="26"/>
        <v>0</v>
      </c>
      <c r="CS21" s="1166">
        <f t="shared" si="9"/>
        <v>0</v>
      </c>
      <c r="CT21" s="61"/>
      <c r="CU21" s="61">
        <v>0</v>
      </c>
      <c r="CV21" s="61">
        <f t="shared" si="41"/>
        <v>0</v>
      </c>
      <c r="CW21" s="61">
        <v>0</v>
      </c>
      <c r="CX21" s="61">
        <v>0</v>
      </c>
      <c r="CY21" s="1166">
        <f t="shared" si="10"/>
        <v>0</v>
      </c>
      <c r="CZ21" s="61"/>
      <c r="DA21" s="61">
        <v>0</v>
      </c>
      <c r="DB21" s="61">
        <f t="shared" si="27"/>
        <v>0</v>
      </c>
      <c r="DC21" s="61">
        <v>0</v>
      </c>
      <c r="DD21" s="61">
        <f t="shared" si="27"/>
        <v>0</v>
      </c>
      <c r="DE21" s="1166">
        <f t="shared" si="11"/>
        <v>0</v>
      </c>
      <c r="DF21" s="61"/>
      <c r="DG21" s="61">
        <v>0</v>
      </c>
      <c r="DH21" s="61">
        <v>0</v>
      </c>
      <c r="DI21" s="61">
        <v>0</v>
      </c>
      <c r="DJ21" s="61">
        <v>0</v>
      </c>
      <c r="DK21" s="1166">
        <f t="shared" si="12"/>
        <v>0</v>
      </c>
      <c r="DL21" s="61"/>
      <c r="DM21" s="61">
        <v>0</v>
      </c>
      <c r="DN21" s="61">
        <f t="shared" si="28"/>
        <v>0</v>
      </c>
      <c r="DO21" s="61">
        <f t="shared" si="28"/>
        <v>0</v>
      </c>
      <c r="DP21" s="61">
        <f t="shared" si="28"/>
        <v>0</v>
      </c>
      <c r="DQ21" s="1166">
        <f t="shared" si="13"/>
        <v>0</v>
      </c>
      <c r="DR21" s="61"/>
      <c r="DS21" s="61">
        <v>0</v>
      </c>
      <c r="DT21" s="61">
        <v>0</v>
      </c>
      <c r="DU21" s="61">
        <v>0</v>
      </c>
      <c r="DV21" s="61">
        <f t="shared" si="29"/>
        <v>0</v>
      </c>
      <c r="DW21" s="1166">
        <f t="shared" si="14"/>
        <v>0</v>
      </c>
      <c r="DX21" s="61"/>
      <c r="DY21" s="61">
        <v>0</v>
      </c>
      <c r="DZ21" s="61">
        <v>0</v>
      </c>
      <c r="EA21" s="61">
        <v>0</v>
      </c>
      <c r="EB21" s="61">
        <f t="shared" si="30"/>
        <v>0</v>
      </c>
      <c r="EC21" s="1166">
        <f t="shared" si="15"/>
        <v>0</v>
      </c>
      <c r="ED21" s="61"/>
      <c r="EE21" s="63">
        <v>0</v>
      </c>
      <c r="EF21" s="63">
        <f t="shared" si="31"/>
        <v>0</v>
      </c>
      <c r="EG21" s="63">
        <f t="shared" si="32"/>
        <v>0</v>
      </c>
      <c r="EH21" s="63">
        <f t="shared" si="33"/>
        <v>0</v>
      </c>
      <c r="EI21" s="1166">
        <f t="shared" si="16"/>
        <v>0</v>
      </c>
      <c r="EJ21" s="61"/>
      <c r="EK21" s="63">
        <v>0</v>
      </c>
      <c r="EL21" s="63">
        <f t="shared" si="34"/>
        <v>0</v>
      </c>
      <c r="EM21" s="63">
        <f t="shared" si="35"/>
        <v>0</v>
      </c>
      <c r="EN21" s="63">
        <f t="shared" si="36"/>
        <v>0</v>
      </c>
      <c r="EO21" s="1166">
        <f t="shared" si="17"/>
        <v>0</v>
      </c>
      <c r="EP21" s="61"/>
      <c r="EQ21" s="63">
        <v>0</v>
      </c>
      <c r="ER21" s="63">
        <f t="shared" si="37"/>
        <v>0</v>
      </c>
      <c r="ES21" s="63">
        <f t="shared" si="38"/>
        <v>0</v>
      </c>
      <c r="ET21" s="63">
        <f t="shared" si="39"/>
        <v>0</v>
      </c>
      <c r="EU21" s="1166">
        <f t="shared" si="18"/>
        <v>0</v>
      </c>
      <c r="EV21" s="45"/>
      <c r="EW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</row>
    <row r="22" spans="1:172" ht="10.5" customHeight="1">
      <c r="A22" s="41" t="s">
        <v>3689</v>
      </c>
      <c r="B22" s="42"/>
      <c r="C22" s="62"/>
      <c r="D22" s="62"/>
      <c r="E22" s="62"/>
      <c r="F22" s="62"/>
      <c r="G22" s="62"/>
      <c r="H22" s="61"/>
      <c r="I22" s="62"/>
      <c r="J22" s="62"/>
      <c r="K22" s="62"/>
      <c r="L22" s="62"/>
      <c r="M22" s="62"/>
      <c r="N22" s="61"/>
      <c r="O22" s="62">
        <v>0</v>
      </c>
      <c r="P22" s="62">
        <v>0</v>
      </c>
      <c r="Q22" s="62">
        <v>0</v>
      </c>
      <c r="R22" s="62">
        <v>4.032</v>
      </c>
      <c r="S22" s="62">
        <f>R22</f>
        <v>4.032</v>
      </c>
      <c r="T22" s="61"/>
      <c r="U22" s="62">
        <v>0.40799999999999997</v>
      </c>
      <c r="V22" s="62">
        <v>0.75700000000000001</v>
      </c>
      <c r="W22" s="62">
        <v>3.24</v>
      </c>
      <c r="X22" s="62">
        <v>5.8940000000000001</v>
      </c>
      <c r="Y22" s="62">
        <f>X22</f>
        <v>5.8940000000000001</v>
      </c>
      <c r="Z22" s="61"/>
      <c r="AA22" s="62">
        <v>0.70899999999999996</v>
      </c>
      <c r="AB22" s="62">
        <v>1.381</v>
      </c>
      <c r="AC22" s="62">
        <v>1.57</v>
      </c>
      <c r="AD22" s="62">
        <v>2.5529999999999999</v>
      </c>
      <c r="AE22" s="62">
        <f>AD22</f>
        <v>2.5529999999999999</v>
      </c>
      <c r="AF22" s="61"/>
      <c r="AG22" s="62">
        <v>0</v>
      </c>
      <c r="AH22" s="62">
        <v>0</v>
      </c>
      <c r="AI22" s="62">
        <v>0</v>
      </c>
      <c r="AJ22" s="62">
        <v>0</v>
      </c>
      <c r="AK22" s="62">
        <f>AJ22</f>
        <v>0</v>
      </c>
      <c r="AL22" s="61"/>
      <c r="AM22" s="62">
        <v>0</v>
      </c>
      <c r="AN22" s="62">
        <v>0</v>
      </c>
      <c r="AO22" s="62">
        <v>0</v>
      </c>
      <c r="AP22" s="62">
        <v>0.94</v>
      </c>
      <c r="AQ22" s="62">
        <f>AP22</f>
        <v>0.94</v>
      </c>
      <c r="AR22" s="61"/>
      <c r="AS22" s="62">
        <v>0</v>
      </c>
      <c r="AT22" s="62">
        <v>0</v>
      </c>
      <c r="AU22" s="62">
        <v>0</v>
      </c>
      <c r="AV22" s="62">
        <v>0</v>
      </c>
      <c r="AW22" s="62">
        <f>AV22</f>
        <v>0</v>
      </c>
      <c r="AX22" s="61"/>
      <c r="AY22" s="412">
        <v>0</v>
      </c>
      <c r="AZ22" s="412">
        <v>0</v>
      </c>
      <c r="BA22" s="412">
        <v>0</v>
      </c>
      <c r="BB22" s="412">
        <v>0</v>
      </c>
      <c r="BC22" s="412">
        <f>BB22</f>
        <v>0</v>
      </c>
      <c r="BD22" s="61"/>
      <c r="BE22" s="61">
        <v>1.0999999999999999E-2</v>
      </c>
      <c r="BF22" s="61">
        <v>2.7E-2</v>
      </c>
      <c r="BG22" s="61">
        <v>5.1999999999999998E-2</v>
      </c>
      <c r="BH22" s="61">
        <v>0.1</v>
      </c>
      <c r="BI22" s="62">
        <f>BH22</f>
        <v>0.1</v>
      </c>
      <c r="BJ22" s="61"/>
      <c r="BK22" s="61">
        <v>0</v>
      </c>
      <c r="BL22" s="61">
        <f>BK22</f>
        <v>0</v>
      </c>
      <c r="BM22" s="61">
        <f>BL22</f>
        <v>0</v>
      </c>
      <c r="BN22" s="61">
        <f>BM22</f>
        <v>0</v>
      </c>
      <c r="BO22" s="1166">
        <f>BN22</f>
        <v>0</v>
      </c>
      <c r="BP22" s="61"/>
      <c r="BQ22" s="61">
        <v>0</v>
      </c>
      <c r="BR22" s="61">
        <v>0</v>
      </c>
      <c r="BS22" s="61">
        <v>0</v>
      </c>
      <c r="BT22" s="61">
        <v>0</v>
      </c>
      <c r="BU22" s="1166">
        <f t="shared" ref="BU22:BU27" si="44">BT22</f>
        <v>0</v>
      </c>
      <c r="BV22" s="61"/>
      <c r="BW22" s="61">
        <v>0</v>
      </c>
      <c r="BX22" s="61">
        <f t="shared" si="23"/>
        <v>0</v>
      </c>
      <c r="BY22" s="61">
        <f t="shared" si="23"/>
        <v>0</v>
      </c>
      <c r="BZ22" s="61">
        <f t="shared" si="23"/>
        <v>0</v>
      </c>
      <c r="CA22" s="1166">
        <f t="shared" ref="CA22:CA27" si="45">BZ22</f>
        <v>0</v>
      </c>
      <c r="CB22" s="61"/>
      <c r="CC22" s="61">
        <v>0</v>
      </c>
      <c r="CD22" s="61">
        <f t="shared" si="25"/>
        <v>0</v>
      </c>
      <c r="CE22" s="61">
        <v>-2.2999999999999998</v>
      </c>
      <c r="CF22" s="61">
        <v>-2.2999999999999998</v>
      </c>
      <c r="CG22" s="1166">
        <f t="shared" si="7"/>
        <v>-2.2999999999999998</v>
      </c>
      <c r="CH22" s="61"/>
      <c r="CI22" s="61">
        <v>0</v>
      </c>
      <c r="CJ22" s="61">
        <v>0</v>
      </c>
      <c r="CK22" s="61">
        <v>0</v>
      </c>
      <c r="CL22" s="61">
        <v>0</v>
      </c>
      <c r="CM22" s="1166">
        <f t="shared" si="8"/>
        <v>0</v>
      </c>
      <c r="CN22" s="61"/>
      <c r="CO22" s="61">
        <v>0</v>
      </c>
      <c r="CP22" s="61">
        <v>0</v>
      </c>
      <c r="CQ22" s="61">
        <f t="shared" si="43"/>
        <v>0</v>
      </c>
      <c r="CR22" s="61">
        <f t="shared" si="26"/>
        <v>0</v>
      </c>
      <c r="CS22" s="1166">
        <f t="shared" si="9"/>
        <v>0</v>
      </c>
      <c r="CT22" s="61"/>
      <c r="CU22" s="61">
        <v>0</v>
      </c>
      <c r="CV22" s="61">
        <f t="shared" si="41"/>
        <v>0</v>
      </c>
      <c r="CW22" s="61">
        <v>0</v>
      </c>
      <c r="CX22" s="61">
        <v>0</v>
      </c>
      <c r="CY22" s="1166">
        <f t="shared" si="10"/>
        <v>0</v>
      </c>
      <c r="CZ22" s="61"/>
      <c r="DA22" s="61">
        <v>0</v>
      </c>
      <c r="DB22" s="61">
        <f t="shared" si="27"/>
        <v>0</v>
      </c>
      <c r="DC22" s="61">
        <v>0</v>
      </c>
      <c r="DD22" s="61">
        <f t="shared" si="27"/>
        <v>0</v>
      </c>
      <c r="DE22" s="1166">
        <f t="shared" si="11"/>
        <v>0</v>
      </c>
      <c r="DF22" s="61"/>
      <c r="DG22" s="61">
        <v>0</v>
      </c>
      <c r="DH22" s="61">
        <v>0</v>
      </c>
      <c r="DI22" s="61">
        <v>0</v>
      </c>
      <c r="DJ22" s="61">
        <v>0</v>
      </c>
      <c r="DK22" s="1166">
        <f t="shared" si="12"/>
        <v>0</v>
      </c>
      <c r="DL22" s="61"/>
      <c r="DM22" s="61">
        <v>0</v>
      </c>
      <c r="DN22" s="61">
        <f t="shared" si="28"/>
        <v>0</v>
      </c>
      <c r="DO22" s="61">
        <f t="shared" si="28"/>
        <v>0</v>
      </c>
      <c r="DP22" s="61">
        <f t="shared" si="28"/>
        <v>0</v>
      </c>
      <c r="DQ22" s="1166">
        <f t="shared" si="13"/>
        <v>0</v>
      </c>
      <c r="DR22" s="61"/>
      <c r="DS22" s="61">
        <v>0</v>
      </c>
      <c r="DT22" s="61">
        <v>0</v>
      </c>
      <c r="DU22" s="61">
        <v>0</v>
      </c>
      <c r="DV22" s="61">
        <f t="shared" si="29"/>
        <v>0</v>
      </c>
      <c r="DW22" s="1166">
        <f t="shared" si="14"/>
        <v>0</v>
      </c>
      <c r="DX22" s="61"/>
      <c r="DY22" s="61">
        <v>0</v>
      </c>
      <c r="DZ22" s="61">
        <v>0</v>
      </c>
      <c r="EA22" s="61">
        <v>0</v>
      </c>
      <c r="EB22" s="61">
        <f t="shared" si="30"/>
        <v>0</v>
      </c>
      <c r="EC22" s="1166">
        <f t="shared" si="15"/>
        <v>0</v>
      </c>
      <c r="ED22" s="61"/>
      <c r="EE22" s="63">
        <v>0</v>
      </c>
      <c r="EF22" s="63">
        <f t="shared" si="31"/>
        <v>0</v>
      </c>
      <c r="EG22" s="63">
        <f t="shared" si="32"/>
        <v>0</v>
      </c>
      <c r="EH22" s="63">
        <f t="shared" si="33"/>
        <v>0</v>
      </c>
      <c r="EI22" s="1166">
        <f t="shared" si="16"/>
        <v>0</v>
      </c>
      <c r="EJ22" s="61"/>
      <c r="EK22" s="63">
        <v>0</v>
      </c>
      <c r="EL22" s="63">
        <f t="shared" si="34"/>
        <v>0</v>
      </c>
      <c r="EM22" s="63">
        <f t="shared" si="35"/>
        <v>0</v>
      </c>
      <c r="EN22" s="63">
        <f t="shared" si="36"/>
        <v>0</v>
      </c>
      <c r="EO22" s="1166">
        <f t="shared" si="17"/>
        <v>0</v>
      </c>
      <c r="EP22" s="61"/>
      <c r="EQ22" s="63">
        <v>0</v>
      </c>
      <c r="ER22" s="63">
        <f t="shared" si="37"/>
        <v>0</v>
      </c>
      <c r="ES22" s="63">
        <f t="shared" si="38"/>
        <v>0</v>
      </c>
      <c r="ET22" s="63">
        <f t="shared" si="39"/>
        <v>0</v>
      </c>
      <c r="EU22" s="1166">
        <f t="shared" si="18"/>
        <v>0</v>
      </c>
      <c r="EV22" s="45"/>
      <c r="EW22" s="45"/>
      <c r="FD22" s="45"/>
      <c r="FE22" s="45"/>
      <c r="FF22" s="45"/>
      <c r="FG22" s="45"/>
      <c r="FH22" s="45"/>
      <c r="FI22" s="45"/>
      <c r="FJ22" s="45"/>
      <c r="FK22" s="45"/>
      <c r="FL22" s="45"/>
      <c r="FM22" s="45"/>
      <c r="FN22" s="45"/>
      <c r="FO22" s="45"/>
      <c r="FP22" s="45"/>
    </row>
    <row r="23" spans="1:172">
      <c r="A23" s="41" t="s">
        <v>337</v>
      </c>
      <c r="B23" s="42"/>
      <c r="C23" s="62"/>
      <c r="D23" s="62"/>
      <c r="E23" s="62"/>
      <c r="F23" s="62"/>
      <c r="G23" s="62"/>
      <c r="H23" s="61"/>
      <c r="I23" s="62"/>
      <c r="J23" s="62"/>
      <c r="K23" s="62"/>
      <c r="L23" s="62"/>
      <c r="M23" s="62"/>
      <c r="N23" s="61"/>
      <c r="O23" s="62">
        <v>0</v>
      </c>
      <c r="P23" s="62">
        <v>-1.3069999999999999</v>
      </c>
      <c r="Q23" s="62">
        <v>-1.3069999999999999</v>
      </c>
      <c r="R23" s="62">
        <v>-1.3069999999999999</v>
      </c>
      <c r="S23" s="62">
        <f t="shared" si="0"/>
        <v>-1.3069999999999999</v>
      </c>
      <c r="T23" s="61"/>
      <c r="U23" s="62">
        <v>0</v>
      </c>
      <c r="V23" s="62">
        <v>0</v>
      </c>
      <c r="W23" s="62">
        <v>0</v>
      </c>
      <c r="X23" s="62">
        <v>0</v>
      </c>
      <c r="Y23" s="62">
        <f t="shared" si="1"/>
        <v>0</v>
      </c>
      <c r="Z23" s="61"/>
      <c r="AA23" s="62">
        <v>0</v>
      </c>
      <c r="AB23" s="62">
        <v>0</v>
      </c>
      <c r="AC23" s="62">
        <v>0</v>
      </c>
      <c r="AD23" s="62">
        <v>0</v>
      </c>
      <c r="AE23" s="62">
        <f t="shared" si="24"/>
        <v>0</v>
      </c>
      <c r="AF23" s="61"/>
      <c r="AG23" s="62">
        <v>0</v>
      </c>
      <c r="AH23" s="62">
        <v>0</v>
      </c>
      <c r="AI23" s="62">
        <v>0</v>
      </c>
      <c r="AJ23" s="62">
        <v>0</v>
      </c>
      <c r="AK23" s="62">
        <f t="shared" si="42"/>
        <v>0</v>
      </c>
      <c r="AL23" s="61"/>
      <c r="AM23" s="62">
        <v>0</v>
      </c>
      <c r="AN23" s="62">
        <v>0</v>
      </c>
      <c r="AO23" s="62">
        <v>0</v>
      </c>
      <c r="AP23" s="62">
        <v>0</v>
      </c>
      <c r="AQ23" s="62">
        <f t="shared" si="19"/>
        <v>0</v>
      </c>
      <c r="AR23" s="61"/>
      <c r="AS23" s="62">
        <v>0</v>
      </c>
      <c r="AT23" s="62">
        <v>0</v>
      </c>
      <c r="AU23" s="62">
        <v>0</v>
      </c>
      <c r="AV23" s="62">
        <v>0</v>
      </c>
      <c r="AW23" s="62">
        <f t="shared" si="40"/>
        <v>0</v>
      </c>
      <c r="AX23" s="61"/>
      <c r="AY23" s="412">
        <v>0</v>
      </c>
      <c r="AZ23" s="412">
        <v>0</v>
      </c>
      <c r="BA23" s="412">
        <v>0</v>
      </c>
      <c r="BB23" s="412">
        <v>0</v>
      </c>
      <c r="BC23" s="412">
        <f t="shared" si="20"/>
        <v>0</v>
      </c>
      <c r="BD23" s="61"/>
      <c r="BE23" s="62">
        <v>0</v>
      </c>
      <c r="BF23" s="61">
        <v>0</v>
      </c>
      <c r="BG23" s="63">
        <f t="shared" si="21"/>
        <v>0</v>
      </c>
      <c r="BH23" s="61">
        <f t="shared" si="21"/>
        <v>0</v>
      </c>
      <c r="BI23" s="62">
        <f t="shared" si="3"/>
        <v>0</v>
      </c>
      <c r="BJ23" s="61"/>
      <c r="BK23" s="61">
        <v>0</v>
      </c>
      <c r="BL23" s="61">
        <f t="shared" si="22"/>
        <v>0</v>
      </c>
      <c r="BM23" s="61">
        <f t="shared" si="22"/>
        <v>0</v>
      </c>
      <c r="BN23" s="61">
        <f t="shared" si="22"/>
        <v>0</v>
      </c>
      <c r="BO23" s="1166">
        <f t="shared" ref="BO23:BO30" si="46">BN23</f>
        <v>0</v>
      </c>
      <c r="BP23" s="61"/>
      <c r="BQ23" s="61">
        <v>0</v>
      </c>
      <c r="BR23" s="61">
        <v>0</v>
      </c>
      <c r="BS23" s="61">
        <v>0</v>
      </c>
      <c r="BT23" s="61">
        <v>0</v>
      </c>
      <c r="BU23" s="1166">
        <f t="shared" si="44"/>
        <v>0</v>
      </c>
      <c r="BV23" s="61"/>
      <c r="BW23" s="61">
        <v>0</v>
      </c>
      <c r="BX23" s="61">
        <f t="shared" si="23"/>
        <v>0</v>
      </c>
      <c r="BY23" s="61">
        <f t="shared" si="23"/>
        <v>0</v>
      </c>
      <c r="BZ23" s="61">
        <f t="shared" si="23"/>
        <v>0</v>
      </c>
      <c r="CA23" s="1166">
        <f t="shared" si="45"/>
        <v>0</v>
      </c>
      <c r="CB23" s="61"/>
      <c r="CC23" s="61">
        <v>0</v>
      </c>
      <c r="CD23" s="61">
        <f t="shared" si="25"/>
        <v>0</v>
      </c>
      <c r="CE23" s="61">
        <f t="shared" si="25"/>
        <v>0</v>
      </c>
      <c r="CF23" s="61">
        <f t="shared" si="25"/>
        <v>0</v>
      </c>
      <c r="CG23" s="1166">
        <f t="shared" si="7"/>
        <v>0</v>
      </c>
      <c r="CH23" s="61"/>
      <c r="CI23" s="61">
        <v>0</v>
      </c>
      <c r="CJ23" s="61">
        <v>0</v>
      </c>
      <c r="CK23" s="61">
        <v>0</v>
      </c>
      <c r="CL23" s="61">
        <v>0</v>
      </c>
      <c r="CM23" s="1166">
        <f t="shared" si="8"/>
        <v>0</v>
      </c>
      <c r="CN23" s="61"/>
      <c r="CO23" s="61">
        <v>0</v>
      </c>
      <c r="CP23" s="61">
        <v>0</v>
      </c>
      <c r="CQ23" s="61">
        <f t="shared" si="43"/>
        <v>0</v>
      </c>
      <c r="CR23" s="61">
        <f t="shared" si="26"/>
        <v>0</v>
      </c>
      <c r="CS23" s="1166">
        <f t="shared" si="9"/>
        <v>0</v>
      </c>
      <c r="CT23" s="61"/>
      <c r="CU23" s="61">
        <v>0</v>
      </c>
      <c r="CV23" s="61">
        <f t="shared" si="41"/>
        <v>0</v>
      </c>
      <c r="CW23" s="61">
        <v>0</v>
      </c>
      <c r="CX23" s="61">
        <v>0</v>
      </c>
      <c r="CY23" s="1166">
        <f t="shared" si="10"/>
        <v>0</v>
      </c>
      <c r="CZ23" s="61"/>
      <c r="DA23" s="61">
        <v>0</v>
      </c>
      <c r="DB23" s="61">
        <f t="shared" si="27"/>
        <v>0</v>
      </c>
      <c r="DC23" s="61">
        <v>0</v>
      </c>
      <c r="DD23" s="61">
        <f t="shared" si="27"/>
        <v>0</v>
      </c>
      <c r="DE23" s="1166">
        <f t="shared" si="11"/>
        <v>0</v>
      </c>
      <c r="DF23" s="61"/>
      <c r="DG23" s="61">
        <v>0</v>
      </c>
      <c r="DH23" s="61">
        <v>0</v>
      </c>
      <c r="DI23" s="61">
        <v>0</v>
      </c>
      <c r="DJ23" s="61">
        <v>0</v>
      </c>
      <c r="DK23" s="1166">
        <f t="shared" si="12"/>
        <v>0</v>
      </c>
      <c r="DL23" s="61"/>
      <c r="DM23" s="61">
        <v>0</v>
      </c>
      <c r="DN23" s="61">
        <f t="shared" si="28"/>
        <v>0</v>
      </c>
      <c r="DO23" s="61">
        <f t="shared" si="28"/>
        <v>0</v>
      </c>
      <c r="DP23" s="61">
        <f t="shared" si="28"/>
        <v>0</v>
      </c>
      <c r="DQ23" s="1166">
        <f t="shared" si="13"/>
        <v>0</v>
      </c>
      <c r="DR23" s="61"/>
      <c r="DS23" s="61">
        <v>0</v>
      </c>
      <c r="DT23" s="61">
        <v>0</v>
      </c>
      <c r="DU23" s="61">
        <v>0</v>
      </c>
      <c r="DV23" s="61">
        <f t="shared" si="29"/>
        <v>0</v>
      </c>
      <c r="DW23" s="1166">
        <f t="shared" si="14"/>
        <v>0</v>
      </c>
      <c r="DX23" s="61"/>
      <c r="DY23" s="61">
        <v>0</v>
      </c>
      <c r="DZ23" s="61">
        <v>0</v>
      </c>
      <c r="EA23" s="61">
        <v>0</v>
      </c>
      <c r="EB23" s="61">
        <f t="shared" si="30"/>
        <v>0</v>
      </c>
      <c r="EC23" s="1166">
        <f t="shared" si="15"/>
        <v>0</v>
      </c>
      <c r="ED23" s="61"/>
      <c r="EE23" s="63">
        <v>0</v>
      </c>
      <c r="EF23" s="63">
        <f t="shared" si="31"/>
        <v>0</v>
      </c>
      <c r="EG23" s="63">
        <f t="shared" si="32"/>
        <v>0</v>
      </c>
      <c r="EH23" s="63">
        <f t="shared" si="33"/>
        <v>0</v>
      </c>
      <c r="EI23" s="1166">
        <f t="shared" si="16"/>
        <v>0</v>
      </c>
      <c r="EJ23" s="61"/>
      <c r="EK23" s="63">
        <v>0</v>
      </c>
      <c r="EL23" s="63">
        <f t="shared" si="34"/>
        <v>0</v>
      </c>
      <c r="EM23" s="63">
        <f t="shared" si="35"/>
        <v>0</v>
      </c>
      <c r="EN23" s="63">
        <f t="shared" si="36"/>
        <v>0</v>
      </c>
      <c r="EO23" s="1166">
        <f t="shared" si="17"/>
        <v>0</v>
      </c>
      <c r="EP23" s="61"/>
      <c r="EQ23" s="63">
        <v>0</v>
      </c>
      <c r="ER23" s="63">
        <f t="shared" si="37"/>
        <v>0</v>
      </c>
      <c r="ES23" s="63">
        <f t="shared" si="38"/>
        <v>0</v>
      </c>
      <c r="ET23" s="63">
        <f t="shared" si="39"/>
        <v>0</v>
      </c>
      <c r="EU23" s="1166">
        <f t="shared" si="18"/>
        <v>0</v>
      </c>
      <c r="EV23" s="45"/>
      <c r="EW23" s="45"/>
      <c r="FD23" s="45"/>
      <c r="FE23" s="45"/>
      <c r="FF23" s="45"/>
      <c r="FG23" s="45"/>
      <c r="FH23" s="45"/>
      <c r="FI23" s="45"/>
      <c r="FJ23" s="45"/>
      <c r="FK23" s="45"/>
      <c r="FL23" s="45"/>
      <c r="FM23" s="45"/>
      <c r="FN23" s="45"/>
      <c r="FO23" s="45"/>
      <c r="FP23" s="45"/>
    </row>
    <row r="24" spans="1:172">
      <c r="A24" s="41" t="s">
        <v>338</v>
      </c>
      <c r="B24" s="42"/>
      <c r="C24" s="62"/>
      <c r="D24" s="62"/>
      <c r="E24" s="62"/>
      <c r="F24" s="62"/>
      <c r="G24" s="62"/>
      <c r="H24" s="61"/>
      <c r="I24" s="62"/>
      <c r="J24" s="62"/>
      <c r="K24" s="62"/>
      <c r="L24" s="62"/>
      <c r="M24" s="62"/>
      <c r="N24" s="61"/>
      <c r="O24" s="62">
        <v>0</v>
      </c>
      <c r="P24" s="62">
        <v>-2.5</v>
      </c>
      <c r="Q24" s="62">
        <v>-2.5</v>
      </c>
      <c r="R24" s="62">
        <v>-2.5</v>
      </c>
      <c r="S24" s="62">
        <f t="shared" si="0"/>
        <v>-2.5</v>
      </c>
      <c r="T24" s="61"/>
      <c r="U24" s="62">
        <v>0</v>
      </c>
      <c r="V24" s="62">
        <v>0</v>
      </c>
      <c r="W24" s="62">
        <v>0</v>
      </c>
      <c r="X24" s="62">
        <v>0</v>
      </c>
      <c r="Y24" s="62">
        <f t="shared" si="1"/>
        <v>0</v>
      </c>
      <c r="Z24" s="61"/>
      <c r="AA24" s="62">
        <v>0</v>
      </c>
      <c r="AB24" s="62">
        <v>0</v>
      </c>
      <c r="AC24" s="62">
        <v>0</v>
      </c>
      <c r="AD24" s="62">
        <v>0</v>
      </c>
      <c r="AE24" s="62">
        <f t="shared" si="24"/>
        <v>0</v>
      </c>
      <c r="AF24" s="61"/>
      <c r="AG24" s="62">
        <v>0</v>
      </c>
      <c r="AH24" s="62">
        <v>0</v>
      </c>
      <c r="AI24" s="62">
        <v>0</v>
      </c>
      <c r="AJ24" s="62">
        <v>0</v>
      </c>
      <c r="AK24" s="62">
        <f t="shared" si="42"/>
        <v>0</v>
      </c>
      <c r="AL24" s="61"/>
      <c r="AM24" s="62">
        <v>0</v>
      </c>
      <c r="AN24" s="62">
        <v>0</v>
      </c>
      <c r="AO24" s="62">
        <v>0</v>
      </c>
      <c r="AP24" s="62">
        <v>0</v>
      </c>
      <c r="AQ24" s="62">
        <f t="shared" si="19"/>
        <v>0</v>
      </c>
      <c r="AR24" s="61"/>
      <c r="AS24" s="62">
        <v>0</v>
      </c>
      <c r="AT24" s="62">
        <v>0</v>
      </c>
      <c r="AU24" s="62">
        <v>0</v>
      </c>
      <c r="AV24" s="62">
        <v>0</v>
      </c>
      <c r="AW24" s="62">
        <f t="shared" si="40"/>
        <v>0</v>
      </c>
      <c r="AX24" s="61"/>
      <c r="AY24" s="412">
        <v>0</v>
      </c>
      <c r="AZ24" s="412">
        <v>0</v>
      </c>
      <c r="BA24" s="412">
        <v>0</v>
      </c>
      <c r="BB24" s="412">
        <v>0</v>
      </c>
      <c r="BC24" s="412">
        <f t="shared" si="20"/>
        <v>0</v>
      </c>
      <c r="BD24" s="61"/>
      <c r="BE24" s="62">
        <v>0</v>
      </c>
      <c r="BF24" s="61">
        <v>0</v>
      </c>
      <c r="BG24" s="63">
        <f t="shared" si="21"/>
        <v>0</v>
      </c>
      <c r="BH24" s="61">
        <f t="shared" si="21"/>
        <v>0</v>
      </c>
      <c r="BI24" s="62">
        <f t="shared" si="3"/>
        <v>0</v>
      </c>
      <c r="BJ24" s="61"/>
      <c r="BK24" s="61">
        <v>0</v>
      </c>
      <c r="BL24" s="61">
        <f t="shared" si="22"/>
        <v>0</v>
      </c>
      <c r="BM24" s="61">
        <f t="shared" si="22"/>
        <v>0</v>
      </c>
      <c r="BN24" s="61">
        <f t="shared" si="22"/>
        <v>0</v>
      </c>
      <c r="BO24" s="1166">
        <f t="shared" si="46"/>
        <v>0</v>
      </c>
      <c r="BP24" s="61"/>
      <c r="BQ24" s="61">
        <v>0</v>
      </c>
      <c r="BR24" s="61">
        <v>0</v>
      </c>
      <c r="BS24" s="61">
        <v>0</v>
      </c>
      <c r="BT24" s="61">
        <v>0</v>
      </c>
      <c r="BU24" s="1166">
        <f t="shared" si="44"/>
        <v>0</v>
      </c>
      <c r="BV24" s="61"/>
      <c r="BW24" s="61">
        <v>0</v>
      </c>
      <c r="BX24" s="61">
        <f t="shared" si="23"/>
        <v>0</v>
      </c>
      <c r="BY24" s="61">
        <f t="shared" si="23"/>
        <v>0</v>
      </c>
      <c r="BZ24" s="61">
        <f t="shared" si="23"/>
        <v>0</v>
      </c>
      <c r="CA24" s="1166">
        <f t="shared" si="45"/>
        <v>0</v>
      </c>
      <c r="CB24" s="61"/>
      <c r="CC24" s="61">
        <v>0</v>
      </c>
      <c r="CD24" s="61">
        <f t="shared" si="25"/>
        <v>0</v>
      </c>
      <c r="CE24" s="61">
        <f t="shared" si="25"/>
        <v>0</v>
      </c>
      <c r="CF24" s="61">
        <v>0</v>
      </c>
      <c r="CG24" s="1166">
        <f t="shared" si="7"/>
        <v>0</v>
      </c>
      <c r="CH24" s="61"/>
      <c r="CI24" s="61">
        <v>0</v>
      </c>
      <c r="CJ24" s="61">
        <v>0</v>
      </c>
      <c r="CK24" s="61">
        <v>0</v>
      </c>
      <c r="CL24" s="61">
        <v>0</v>
      </c>
      <c r="CM24" s="1166">
        <f t="shared" si="8"/>
        <v>0</v>
      </c>
      <c r="CN24" s="61"/>
      <c r="CO24" s="61">
        <v>0</v>
      </c>
      <c r="CP24" s="61">
        <v>0</v>
      </c>
      <c r="CQ24" s="61">
        <f t="shared" si="43"/>
        <v>0</v>
      </c>
      <c r="CR24" s="61">
        <f t="shared" si="26"/>
        <v>0</v>
      </c>
      <c r="CS24" s="1166">
        <f t="shared" si="9"/>
        <v>0</v>
      </c>
      <c r="CT24" s="61"/>
      <c r="CU24" s="61">
        <v>0</v>
      </c>
      <c r="CV24" s="61">
        <f t="shared" si="41"/>
        <v>0</v>
      </c>
      <c r="CW24" s="61">
        <v>0</v>
      </c>
      <c r="CX24" s="61">
        <v>0</v>
      </c>
      <c r="CY24" s="1166">
        <f t="shared" si="10"/>
        <v>0</v>
      </c>
      <c r="CZ24" s="61"/>
      <c r="DA24" s="61">
        <v>0</v>
      </c>
      <c r="DB24" s="61">
        <f t="shared" si="27"/>
        <v>0</v>
      </c>
      <c r="DC24" s="61">
        <v>0</v>
      </c>
      <c r="DD24" s="61">
        <f t="shared" si="27"/>
        <v>0</v>
      </c>
      <c r="DE24" s="1166">
        <f t="shared" si="11"/>
        <v>0</v>
      </c>
      <c r="DF24" s="61"/>
      <c r="DG24" s="61">
        <v>0</v>
      </c>
      <c r="DH24" s="61">
        <v>0</v>
      </c>
      <c r="DI24" s="61">
        <v>0</v>
      </c>
      <c r="DJ24" s="61">
        <v>0</v>
      </c>
      <c r="DK24" s="1166">
        <f t="shared" si="12"/>
        <v>0</v>
      </c>
      <c r="DL24" s="61"/>
      <c r="DM24" s="61">
        <v>0</v>
      </c>
      <c r="DN24" s="61">
        <f t="shared" si="28"/>
        <v>0</v>
      </c>
      <c r="DO24" s="61">
        <f t="shared" si="28"/>
        <v>0</v>
      </c>
      <c r="DP24" s="61">
        <f t="shared" si="28"/>
        <v>0</v>
      </c>
      <c r="DQ24" s="1166">
        <f t="shared" si="13"/>
        <v>0</v>
      </c>
      <c r="DR24" s="61"/>
      <c r="DS24" s="61">
        <v>0</v>
      </c>
      <c r="DT24" s="61">
        <v>0</v>
      </c>
      <c r="DU24" s="61">
        <v>0</v>
      </c>
      <c r="DV24" s="61">
        <f t="shared" si="29"/>
        <v>0</v>
      </c>
      <c r="DW24" s="1166">
        <f t="shared" si="14"/>
        <v>0</v>
      </c>
      <c r="DX24" s="61"/>
      <c r="DY24" s="61">
        <v>0</v>
      </c>
      <c r="DZ24" s="61">
        <v>0</v>
      </c>
      <c r="EA24" s="61">
        <v>0</v>
      </c>
      <c r="EB24" s="61">
        <f t="shared" si="30"/>
        <v>0</v>
      </c>
      <c r="EC24" s="1166">
        <f t="shared" si="15"/>
        <v>0</v>
      </c>
      <c r="ED24" s="61"/>
      <c r="EE24" s="63">
        <v>0</v>
      </c>
      <c r="EF24" s="63">
        <f t="shared" si="31"/>
        <v>0</v>
      </c>
      <c r="EG24" s="63">
        <f t="shared" si="32"/>
        <v>0</v>
      </c>
      <c r="EH24" s="63">
        <f t="shared" si="33"/>
        <v>0</v>
      </c>
      <c r="EI24" s="1166">
        <f t="shared" si="16"/>
        <v>0</v>
      </c>
      <c r="EJ24" s="61"/>
      <c r="EK24" s="63">
        <v>0</v>
      </c>
      <c r="EL24" s="63">
        <f t="shared" si="34"/>
        <v>0</v>
      </c>
      <c r="EM24" s="63">
        <f t="shared" si="35"/>
        <v>0</v>
      </c>
      <c r="EN24" s="63">
        <f t="shared" si="36"/>
        <v>0</v>
      </c>
      <c r="EO24" s="1166">
        <f t="shared" si="17"/>
        <v>0</v>
      </c>
      <c r="EP24" s="61"/>
      <c r="EQ24" s="63">
        <v>0</v>
      </c>
      <c r="ER24" s="63">
        <f t="shared" si="37"/>
        <v>0</v>
      </c>
      <c r="ES24" s="63">
        <f t="shared" si="38"/>
        <v>0</v>
      </c>
      <c r="ET24" s="63">
        <f t="shared" si="39"/>
        <v>0</v>
      </c>
      <c r="EU24" s="1166">
        <f t="shared" si="18"/>
        <v>0</v>
      </c>
      <c r="EV24" s="45"/>
      <c r="EW24" s="45"/>
      <c r="FD24" s="45"/>
      <c r="FE24" s="45"/>
      <c r="FF24" s="45"/>
      <c r="FG24" s="45"/>
      <c r="FH24" s="45"/>
      <c r="FI24" s="45"/>
      <c r="FJ24" s="45"/>
      <c r="FK24" s="45"/>
      <c r="FL24" s="45"/>
      <c r="FM24" s="45"/>
      <c r="FN24" s="45"/>
      <c r="FO24" s="45"/>
      <c r="FP24" s="45"/>
    </row>
    <row r="25" spans="1:172">
      <c r="A25" s="41" t="s">
        <v>1860</v>
      </c>
      <c r="B25" s="42"/>
      <c r="C25" s="62"/>
      <c r="D25" s="62"/>
      <c r="E25" s="62"/>
      <c r="F25" s="62"/>
      <c r="G25" s="62"/>
      <c r="H25" s="61"/>
      <c r="I25" s="62"/>
      <c r="J25" s="62"/>
      <c r="K25" s="62"/>
      <c r="L25" s="62"/>
      <c r="M25" s="62"/>
      <c r="N25" s="61"/>
      <c r="O25" s="62">
        <v>0</v>
      </c>
      <c r="P25" s="62">
        <v>0</v>
      </c>
      <c r="Q25" s="62">
        <v>0</v>
      </c>
      <c r="R25" s="62">
        <v>0</v>
      </c>
      <c r="S25" s="62">
        <f t="shared" si="0"/>
        <v>0</v>
      </c>
      <c r="T25" s="61"/>
      <c r="U25" s="62">
        <v>0</v>
      </c>
      <c r="V25" s="62">
        <v>0</v>
      </c>
      <c r="W25" s="62">
        <v>0</v>
      </c>
      <c r="X25" s="62">
        <v>4.7759999999999998</v>
      </c>
      <c r="Y25" s="62">
        <f t="shared" si="1"/>
        <v>4.7759999999999998</v>
      </c>
      <c r="Z25" s="61"/>
      <c r="AA25" s="62">
        <v>0</v>
      </c>
      <c r="AB25" s="62">
        <v>0</v>
      </c>
      <c r="AC25" s="62">
        <v>0</v>
      </c>
      <c r="AD25" s="62">
        <v>0</v>
      </c>
      <c r="AE25" s="62">
        <f t="shared" si="24"/>
        <v>0</v>
      </c>
      <c r="AF25" s="61"/>
      <c r="AG25" s="62">
        <v>0</v>
      </c>
      <c r="AH25" s="62">
        <v>0</v>
      </c>
      <c r="AI25" s="62">
        <v>0</v>
      </c>
      <c r="AJ25" s="62">
        <v>0</v>
      </c>
      <c r="AK25" s="62">
        <f t="shared" si="42"/>
        <v>0</v>
      </c>
      <c r="AL25" s="61"/>
      <c r="AM25" s="62">
        <v>0</v>
      </c>
      <c r="AN25" s="62">
        <v>0</v>
      </c>
      <c r="AO25" s="62">
        <v>0</v>
      </c>
      <c r="AP25" s="62">
        <v>0</v>
      </c>
      <c r="AQ25" s="62">
        <f t="shared" si="19"/>
        <v>0</v>
      </c>
      <c r="AR25" s="61"/>
      <c r="AS25" s="62">
        <v>0</v>
      </c>
      <c r="AT25" s="62">
        <v>0</v>
      </c>
      <c r="AU25" s="62">
        <v>0</v>
      </c>
      <c r="AV25" s="62">
        <v>0</v>
      </c>
      <c r="AW25" s="62">
        <f t="shared" si="40"/>
        <v>0</v>
      </c>
      <c r="AX25" s="61"/>
      <c r="AY25" s="412">
        <v>0</v>
      </c>
      <c r="AZ25" s="412">
        <v>0</v>
      </c>
      <c r="BA25" s="412">
        <v>0</v>
      </c>
      <c r="BB25" s="412">
        <v>0</v>
      </c>
      <c r="BC25" s="412">
        <f t="shared" si="20"/>
        <v>0</v>
      </c>
      <c r="BD25" s="61"/>
      <c r="BE25" s="62">
        <v>0</v>
      </c>
      <c r="BF25" s="61">
        <v>0</v>
      </c>
      <c r="BG25" s="63">
        <f t="shared" si="21"/>
        <v>0</v>
      </c>
      <c r="BH25" s="61">
        <f t="shared" si="21"/>
        <v>0</v>
      </c>
      <c r="BI25" s="62">
        <f t="shared" si="3"/>
        <v>0</v>
      </c>
      <c r="BJ25" s="61"/>
      <c r="BK25" s="61">
        <v>0</v>
      </c>
      <c r="BL25" s="61">
        <f t="shared" si="22"/>
        <v>0</v>
      </c>
      <c r="BM25" s="61">
        <f t="shared" si="22"/>
        <v>0</v>
      </c>
      <c r="BN25" s="61">
        <f t="shared" si="22"/>
        <v>0</v>
      </c>
      <c r="BO25" s="1166">
        <f t="shared" si="46"/>
        <v>0</v>
      </c>
      <c r="BP25" s="61"/>
      <c r="BQ25" s="61">
        <v>0</v>
      </c>
      <c r="BR25" s="61">
        <v>0</v>
      </c>
      <c r="BS25" s="61">
        <v>0</v>
      </c>
      <c r="BT25" s="61">
        <v>0</v>
      </c>
      <c r="BU25" s="1166">
        <f t="shared" si="44"/>
        <v>0</v>
      </c>
      <c r="BV25" s="61"/>
      <c r="BW25" s="61">
        <v>0</v>
      </c>
      <c r="BX25" s="61">
        <f t="shared" si="23"/>
        <v>0</v>
      </c>
      <c r="BY25" s="61">
        <f t="shared" si="23"/>
        <v>0</v>
      </c>
      <c r="BZ25" s="61">
        <f t="shared" si="23"/>
        <v>0</v>
      </c>
      <c r="CA25" s="1166">
        <f t="shared" si="45"/>
        <v>0</v>
      </c>
      <c r="CB25" s="61"/>
      <c r="CC25" s="61">
        <v>0</v>
      </c>
      <c r="CD25" s="61">
        <f t="shared" si="25"/>
        <v>0</v>
      </c>
      <c r="CE25" s="61">
        <f t="shared" si="25"/>
        <v>0</v>
      </c>
      <c r="CF25" s="61">
        <f t="shared" si="25"/>
        <v>0</v>
      </c>
      <c r="CG25" s="1166">
        <f t="shared" si="7"/>
        <v>0</v>
      </c>
      <c r="CH25" s="61"/>
      <c r="CI25" s="61">
        <v>0</v>
      </c>
      <c r="CJ25" s="61">
        <v>0</v>
      </c>
      <c r="CK25" s="61">
        <v>0</v>
      </c>
      <c r="CL25" s="61">
        <v>0</v>
      </c>
      <c r="CM25" s="1166">
        <f t="shared" si="8"/>
        <v>0</v>
      </c>
      <c r="CN25" s="61"/>
      <c r="CO25" s="61">
        <v>0</v>
      </c>
      <c r="CP25" s="61">
        <v>0</v>
      </c>
      <c r="CQ25" s="61">
        <f t="shared" si="43"/>
        <v>0</v>
      </c>
      <c r="CR25" s="61">
        <f t="shared" si="26"/>
        <v>0</v>
      </c>
      <c r="CS25" s="1166">
        <f t="shared" si="9"/>
        <v>0</v>
      </c>
      <c r="CT25" s="61"/>
      <c r="CU25" s="61">
        <v>0</v>
      </c>
      <c r="CV25" s="61">
        <f t="shared" si="41"/>
        <v>0</v>
      </c>
      <c r="CW25" s="61">
        <v>0</v>
      </c>
      <c r="CX25" s="61">
        <v>0</v>
      </c>
      <c r="CY25" s="1166">
        <f t="shared" si="10"/>
        <v>0</v>
      </c>
      <c r="CZ25" s="61"/>
      <c r="DA25" s="61">
        <v>0</v>
      </c>
      <c r="DB25" s="61">
        <f t="shared" si="27"/>
        <v>0</v>
      </c>
      <c r="DC25" s="61">
        <v>0</v>
      </c>
      <c r="DD25" s="61">
        <f t="shared" si="27"/>
        <v>0</v>
      </c>
      <c r="DE25" s="1166">
        <f t="shared" si="11"/>
        <v>0</v>
      </c>
      <c r="DF25" s="61"/>
      <c r="DG25" s="61">
        <v>0</v>
      </c>
      <c r="DH25" s="61">
        <v>0</v>
      </c>
      <c r="DI25" s="61">
        <v>0</v>
      </c>
      <c r="DJ25" s="61">
        <v>0</v>
      </c>
      <c r="DK25" s="1166">
        <f t="shared" si="12"/>
        <v>0</v>
      </c>
      <c r="DL25" s="61"/>
      <c r="DM25" s="61">
        <v>0</v>
      </c>
      <c r="DN25" s="61">
        <f t="shared" si="28"/>
        <v>0</v>
      </c>
      <c r="DO25" s="61">
        <f t="shared" si="28"/>
        <v>0</v>
      </c>
      <c r="DP25" s="61">
        <f t="shared" si="28"/>
        <v>0</v>
      </c>
      <c r="DQ25" s="1166">
        <f t="shared" si="13"/>
        <v>0</v>
      </c>
      <c r="DR25" s="61"/>
      <c r="DS25" s="61">
        <v>0</v>
      </c>
      <c r="DT25" s="61">
        <v>0</v>
      </c>
      <c r="DU25" s="61">
        <v>0</v>
      </c>
      <c r="DV25" s="61">
        <f t="shared" si="29"/>
        <v>0</v>
      </c>
      <c r="DW25" s="1166">
        <f t="shared" si="14"/>
        <v>0</v>
      </c>
      <c r="DX25" s="61"/>
      <c r="DY25" s="61">
        <v>0</v>
      </c>
      <c r="DZ25" s="61">
        <v>0</v>
      </c>
      <c r="EA25" s="61">
        <v>0</v>
      </c>
      <c r="EB25" s="61">
        <f t="shared" si="30"/>
        <v>0</v>
      </c>
      <c r="EC25" s="1166">
        <f t="shared" si="15"/>
        <v>0</v>
      </c>
      <c r="ED25" s="61"/>
      <c r="EE25" s="63">
        <v>0</v>
      </c>
      <c r="EF25" s="63">
        <f t="shared" si="31"/>
        <v>0</v>
      </c>
      <c r="EG25" s="63">
        <f t="shared" si="32"/>
        <v>0</v>
      </c>
      <c r="EH25" s="63">
        <f t="shared" si="33"/>
        <v>0</v>
      </c>
      <c r="EI25" s="1166">
        <f t="shared" si="16"/>
        <v>0</v>
      </c>
      <c r="EJ25" s="61"/>
      <c r="EK25" s="63">
        <v>0</v>
      </c>
      <c r="EL25" s="63">
        <f t="shared" si="34"/>
        <v>0</v>
      </c>
      <c r="EM25" s="63">
        <f t="shared" si="35"/>
        <v>0</v>
      </c>
      <c r="EN25" s="63">
        <f t="shared" si="36"/>
        <v>0</v>
      </c>
      <c r="EO25" s="1166">
        <f t="shared" si="17"/>
        <v>0</v>
      </c>
      <c r="EP25" s="61"/>
      <c r="EQ25" s="63">
        <v>0</v>
      </c>
      <c r="ER25" s="63">
        <f t="shared" si="37"/>
        <v>0</v>
      </c>
      <c r="ES25" s="63">
        <f t="shared" si="38"/>
        <v>0</v>
      </c>
      <c r="ET25" s="63">
        <f t="shared" si="39"/>
        <v>0</v>
      </c>
      <c r="EU25" s="1166">
        <f t="shared" si="18"/>
        <v>0</v>
      </c>
      <c r="EV25" s="45"/>
      <c r="EW25" s="45"/>
      <c r="FD25" s="45"/>
      <c r="FE25" s="45"/>
      <c r="FF25" s="45"/>
      <c r="FG25" s="45"/>
      <c r="FH25" s="45"/>
      <c r="FI25" s="45"/>
      <c r="FJ25" s="45"/>
      <c r="FK25" s="45"/>
      <c r="FL25" s="45"/>
      <c r="FM25" s="45"/>
      <c r="FN25" s="45"/>
      <c r="FO25" s="45"/>
      <c r="FP25" s="45"/>
    </row>
    <row r="26" spans="1:172">
      <c r="A26" s="41" t="s">
        <v>335</v>
      </c>
      <c r="B26" s="42"/>
      <c r="C26" s="62"/>
      <c r="D26" s="62"/>
      <c r="E26" s="62"/>
      <c r="F26" s="62"/>
      <c r="G26" s="62"/>
      <c r="H26" s="61"/>
      <c r="I26" s="62"/>
      <c r="J26" s="62"/>
      <c r="K26" s="62"/>
      <c r="L26" s="62"/>
      <c r="M26" s="62"/>
      <c r="N26" s="61"/>
      <c r="O26" s="62">
        <v>0</v>
      </c>
      <c r="P26" s="62">
        <v>-20.9</v>
      </c>
      <c r="Q26" s="62">
        <v>-20.9</v>
      </c>
      <c r="R26" s="62">
        <v>-20.9</v>
      </c>
      <c r="S26" s="62">
        <f t="shared" si="0"/>
        <v>-20.9</v>
      </c>
      <c r="T26" s="61"/>
      <c r="U26" s="62">
        <v>0</v>
      </c>
      <c r="V26" s="62">
        <v>0</v>
      </c>
      <c r="W26" s="62">
        <v>0</v>
      </c>
      <c r="X26" s="62">
        <v>0</v>
      </c>
      <c r="Y26" s="62">
        <f t="shared" si="1"/>
        <v>0</v>
      </c>
      <c r="Z26" s="61"/>
      <c r="AA26" s="62">
        <v>0</v>
      </c>
      <c r="AB26" s="62">
        <v>0</v>
      </c>
      <c r="AC26" s="62">
        <v>0</v>
      </c>
      <c r="AD26" s="62">
        <v>0</v>
      </c>
      <c r="AE26" s="62">
        <f t="shared" si="24"/>
        <v>0</v>
      </c>
      <c r="AF26" s="61"/>
      <c r="AG26" s="62">
        <v>0</v>
      </c>
      <c r="AH26" s="62">
        <v>0</v>
      </c>
      <c r="AI26" s="62">
        <v>0</v>
      </c>
      <c r="AJ26" s="62">
        <v>0</v>
      </c>
      <c r="AK26" s="62">
        <f t="shared" si="42"/>
        <v>0</v>
      </c>
      <c r="AL26" s="61"/>
      <c r="AM26" s="62">
        <v>0</v>
      </c>
      <c r="AN26" s="62">
        <v>0</v>
      </c>
      <c r="AO26" s="62">
        <v>0</v>
      </c>
      <c r="AP26" s="62">
        <v>0</v>
      </c>
      <c r="AQ26" s="62">
        <f t="shared" si="19"/>
        <v>0</v>
      </c>
      <c r="AR26" s="61"/>
      <c r="AS26" s="62">
        <v>0</v>
      </c>
      <c r="AT26" s="62">
        <v>0</v>
      </c>
      <c r="AU26" s="62">
        <v>0</v>
      </c>
      <c r="AV26" s="62">
        <v>0</v>
      </c>
      <c r="AW26" s="62">
        <f t="shared" si="40"/>
        <v>0</v>
      </c>
      <c r="AX26" s="61"/>
      <c r="AY26" s="412">
        <v>0</v>
      </c>
      <c r="AZ26" s="412">
        <v>0</v>
      </c>
      <c r="BA26" s="412">
        <v>0</v>
      </c>
      <c r="BB26" s="412">
        <v>0</v>
      </c>
      <c r="BC26" s="412">
        <f t="shared" si="20"/>
        <v>0</v>
      </c>
      <c r="BD26" s="61"/>
      <c r="BE26" s="62">
        <v>0</v>
      </c>
      <c r="BF26" s="61">
        <v>0</v>
      </c>
      <c r="BG26" s="63">
        <f>BF26</f>
        <v>0</v>
      </c>
      <c r="BH26" s="61">
        <f>BG26</f>
        <v>0</v>
      </c>
      <c r="BI26" s="62">
        <f t="shared" si="3"/>
        <v>0</v>
      </c>
      <c r="BJ26" s="61"/>
      <c r="BK26" s="61">
        <v>0</v>
      </c>
      <c r="BL26" s="61">
        <f t="shared" si="22"/>
        <v>0</v>
      </c>
      <c r="BM26" s="61">
        <f t="shared" si="22"/>
        <v>0</v>
      </c>
      <c r="BN26" s="61">
        <f t="shared" si="22"/>
        <v>0</v>
      </c>
      <c r="BO26" s="1166">
        <f t="shared" si="46"/>
        <v>0</v>
      </c>
      <c r="BP26" s="61"/>
      <c r="BQ26" s="61">
        <v>0</v>
      </c>
      <c r="BR26" s="61">
        <v>0</v>
      </c>
      <c r="BS26" s="61">
        <v>0</v>
      </c>
      <c r="BT26" s="61">
        <v>0</v>
      </c>
      <c r="BU26" s="1166">
        <f t="shared" si="44"/>
        <v>0</v>
      </c>
      <c r="BV26" s="61"/>
      <c r="BW26" s="61">
        <v>0</v>
      </c>
      <c r="BX26" s="61">
        <f t="shared" si="23"/>
        <v>0</v>
      </c>
      <c r="BY26" s="61">
        <f t="shared" si="23"/>
        <v>0</v>
      </c>
      <c r="BZ26" s="61">
        <f t="shared" si="23"/>
        <v>0</v>
      </c>
      <c r="CA26" s="1166">
        <f t="shared" si="45"/>
        <v>0</v>
      </c>
      <c r="CB26" s="61"/>
      <c r="CC26" s="61">
        <v>0</v>
      </c>
      <c r="CD26" s="61">
        <f t="shared" si="25"/>
        <v>0</v>
      </c>
      <c r="CE26" s="61">
        <f t="shared" si="25"/>
        <v>0</v>
      </c>
      <c r="CF26" s="61">
        <f t="shared" si="25"/>
        <v>0</v>
      </c>
      <c r="CG26" s="1166">
        <f t="shared" si="7"/>
        <v>0</v>
      </c>
      <c r="CH26" s="61"/>
      <c r="CI26" s="61">
        <v>0</v>
      </c>
      <c r="CJ26" s="61">
        <v>0</v>
      </c>
      <c r="CK26" s="61">
        <v>0</v>
      </c>
      <c r="CL26" s="61">
        <v>0</v>
      </c>
      <c r="CM26" s="1166">
        <f t="shared" si="8"/>
        <v>0</v>
      </c>
      <c r="CN26" s="61"/>
      <c r="CO26" s="61">
        <v>0</v>
      </c>
      <c r="CP26" s="61">
        <v>0</v>
      </c>
      <c r="CQ26" s="61">
        <f t="shared" si="43"/>
        <v>0</v>
      </c>
      <c r="CR26" s="61">
        <f t="shared" si="26"/>
        <v>0</v>
      </c>
      <c r="CS26" s="1166">
        <f t="shared" si="9"/>
        <v>0</v>
      </c>
      <c r="CT26" s="61"/>
      <c r="CU26" s="61">
        <v>0</v>
      </c>
      <c r="CV26" s="61">
        <f t="shared" si="41"/>
        <v>0</v>
      </c>
      <c r="CW26" s="61">
        <v>0</v>
      </c>
      <c r="CX26" s="61">
        <v>0</v>
      </c>
      <c r="CY26" s="1166">
        <f t="shared" si="10"/>
        <v>0</v>
      </c>
      <c r="CZ26" s="61"/>
      <c r="DA26" s="61">
        <v>0</v>
      </c>
      <c r="DB26" s="61">
        <f t="shared" si="27"/>
        <v>0</v>
      </c>
      <c r="DC26" s="61">
        <v>0</v>
      </c>
      <c r="DD26" s="61">
        <f t="shared" si="27"/>
        <v>0</v>
      </c>
      <c r="DE26" s="1166">
        <f t="shared" si="11"/>
        <v>0</v>
      </c>
      <c r="DF26" s="61"/>
      <c r="DG26" s="61">
        <v>0</v>
      </c>
      <c r="DH26" s="61">
        <v>0</v>
      </c>
      <c r="DI26" s="61">
        <v>0</v>
      </c>
      <c r="DJ26" s="61">
        <v>0</v>
      </c>
      <c r="DK26" s="1166">
        <f t="shared" si="12"/>
        <v>0</v>
      </c>
      <c r="DL26" s="61"/>
      <c r="DM26" s="61">
        <v>0</v>
      </c>
      <c r="DN26" s="61">
        <f t="shared" si="28"/>
        <v>0</v>
      </c>
      <c r="DO26" s="61">
        <f t="shared" si="28"/>
        <v>0</v>
      </c>
      <c r="DP26" s="61">
        <f t="shared" si="28"/>
        <v>0</v>
      </c>
      <c r="DQ26" s="1166">
        <f t="shared" si="13"/>
        <v>0</v>
      </c>
      <c r="DR26" s="61"/>
      <c r="DS26" s="61">
        <v>0</v>
      </c>
      <c r="DT26" s="61">
        <v>0</v>
      </c>
      <c r="DU26" s="61">
        <v>0</v>
      </c>
      <c r="DV26" s="61">
        <f t="shared" si="29"/>
        <v>0</v>
      </c>
      <c r="DW26" s="1166">
        <f t="shared" si="14"/>
        <v>0</v>
      </c>
      <c r="DX26" s="61"/>
      <c r="DY26" s="61">
        <v>0</v>
      </c>
      <c r="DZ26" s="61">
        <v>0</v>
      </c>
      <c r="EA26" s="61">
        <v>0</v>
      </c>
      <c r="EB26" s="61">
        <f t="shared" si="30"/>
        <v>0</v>
      </c>
      <c r="EC26" s="1166">
        <f t="shared" si="15"/>
        <v>0</v>
      </c>
      <c r="ED26" s="61"/>
      <c r="EE26" s="63">
        <v>0</v>
      </c>
      <c r="EF26" s="63">
        <f t="shared" si="31"/>
        <v>0</v>
      </c>
      <c r="EG26" s="63">
        <f t="shared" si="32"/>
        <v>0</v>
      </c>
      <c r="EH26" s="63">
        <f t="shared" si="33"/>
        <v>0</v>
      </c>
      <c r="EI26" s="1166">
        <f t="shared" si="16"/>
        <v>0</v>
      </c>
      <c r="EJ26" s="61"/>
      <c r="EK26" s="63">
        <v>0</v>
      </c>
      <c r="EL26" s="63">
        <f t="shared" si="34"/>
        <v>0</v>
      </c>
      <c r="EM26" s="63">
        <f t="shared" si="35"/>
        <v>0</v>
      </c>
      <c r="EN26" s="63">
        <f t="shared" si="36"/>
        <v>0</v>
      </c>
      <c r="EO26" s="1166">
        <f t="shared" si="17"/>
        <v>0</v>
      </c>
      <c r="EP26" s="61"/>
      <c r="EQ26" s="63">
        <v>0</v>
      </c>
      <c r="ER26" s="63">
        <f t="shared" si="37"/>
        <v>0</v>
      </c>
      <c r="ES26" s="63">
        <f t="shared" si="38"/>
        <v>0</v>
      </c>
      <c r="ET26" s="63">
        <f t="shared" si="39"/>
        <v>0</v>
      </c>
      <c r="EU26" s="1166">
        <f t="shared" si="18"/>
        <v>0</v>
      </c>
      <c r="EV26" s="45"/>
      <c r="EW26" s="45"/>
      <c r="FD26" s="45"/>
      <c r="FE26" s="45"/>
      <c r="FF26" s="45"/>
      <c r="FG26" s="45"/>
      <c r="FH26" s="45"/>
      <c r="FI26" s="45"/>
      <c r="FJ26" s="45"/>
      <c r="FK26" s="45"/>
      <c r="FL26" s="45"/>
      <c r="FM26" s="45"/>
      <c r="FN26" s="45"/>
      <c r="FO26" s="45"/>
      <c r="FP26" s="45"/>
    </row>
    <row r="27" spans="1:172">
      <c r="A27" s="41" t="s">
        <v>3828</v>
      </c>
      <c r="B27" s="42"/>
      <c r="C27" s="62"/>
      <c r="D27" s="62"/>
      <c r="E27" s="62"/>
      <c r="F27" s="62"/>
      <c r="G27" s="62"/>
      <c r="H27" s="61"/>
      <c r="I27" s="62"/>
      <c r="J27" s="62"/>
      <c r="K27" s="62"/>
      <c r="L27" s="62"/>
      <c r="M27" s="62"/>
      <c r="N27" s="61"/>
      <c r="O27" s="62">
        <v>0</v>
      </c>
      <c r="P27" s="62">
        <v>2.2330000000000001</v>
      </c>
      <c r="Q27" s="62">
        <v>2.2330000000000001</v>
      </c>
      <c r="R27" s="62">
        <v>0</v>
      </c>
      <c r="S27" s="62">
        <f t="shared" si="0"/>
        <v>0</v>
      </c>
      <c r="T27" s="61"/>
      <c r="U27" s="62">
        <v>0</v>
      </c>
      <c r="V27" s="62">
        <v>0</v>
      </c>
      <c r="W27" s="62">
        <v>0</v>
      </c>
      <c r="X27" s="62">
        <v>0</v>
      </c>
      <c r="Y27" s="62">
        <f t="shared" si="1"/>
        <v>0</v>
      </c>
      <c r="Z27" s="61"/>
      <c r="AA27" s="62">
        <v>0</v>
      </c>
      <c r="AB27" s="62">
        <v>0</v>
      </c>
      <c r="AC27" s="62">
        <v>0</v>
      </c>
      <c r="AD27" s="62">
        <v>0</v>
      </c>
      <c r="AE27" s="62">
        <f t="shared" si="24"/>
        <v>0</v>
      </c>
      <c r="AF27" s="61"/>
      <c r="AG27" s="62">
        <v>0</v>
      </c>
      <c r="AH27" s="62">
        <v>0</v>
      </c>
      <c r="AI27" s="62">
        <v>0</v>
      </c>
      <c r="AJ27" s="62">
        <v>0</v>
      </c>
      <c r="AK27" s="62">
        <f t="shared" si="42"/>
        <v>0</v>
      </c>
      <c r="AL27" s="61"/>
      <c r="AM27" s="62">
        <v>0</v>
      </c>
      <c r="AN27" s="62">
        <v>0</v>
      </c>
      <c r="AO27" s="62">
        <v>0</v>
      </c>
      <c r="AP27" s="62">
        <v>0</v>
      </c>
      <c r="AQ27" s="62">
        <f t="shared" si="19"/>
        <v>0</v>
      </c>
      <c r="AR27" s="61"/>
      <c r="AS27" s="62">
        <v>0</v>
      </c>
      <c r="AT27" s="62">
        <v>0</v>
      </c>
      <c r="AU27" s="62">
        <v>0</v>
      </c>
      <c r="AV27" s="62">
        <v>0</v>
      </c>
      <c r="AW27" s="62">
        <f t="shared" si="40"/>
        <v>0</v>
      </c>
      <c r="AX27" s="61"/>
      <c r="AY27" s="412">
        <v>0</v>
      </c>
      <c r="AZ27" s="412">
        <v>0</v>
      </c>
      <c r="BA27" s="412">
        <v>0</v>
      </c>
      <c r="BB27" s="412">
        <v>0</v>
      </c>
      <c r="BC27" s="412">
        <f t="shared" si="20"/>
        <v>0</v>
      </c>
      <c r="BD27" s="61"/>
      <c r="BE27" s="62">
        <v>0</v>
      </c>
      <c r="BF27" s="61">
        <v>0</v>
      </c>
      <c r="BG27" s="63">
        <f>BF27</f>
        <v>0</v>
      </c>
      <c r="BH27" s="61">
        <f>BG27</f>
        <v>0</v>
      </c>
      <c r="BI27" s="62">
        <f t="shared" si="3"/>
        <v>0</v>
      </c>
      <c r="BJ27" s="61"/>
      <c r="BK27" s="61">
        <v>0</v>
      </c>
      <c r="BL27" s="61">
        <f t="shared" si="22"/>
        <v>0</v>
      </c>
      <c r="BM27" s="61">
        <f t="shared" si="22"/>
        <v>0</v>
      </c>
      <c r="BN27" s="61">
        <f t="shared" si="22"/>
        <v>0</v>
      </c>
      <c r="BO27" s="1166">
        <f t="shared" si="46"/>
        <v>0</v>
      </c>
      <c r="BP27" s="61"/>
      <c r="BQ27" s="61">
        <v>0</v>
      </c>
      <c r="BR27" s="61">
        <v>0</v>
      </c>
      <c r="BS27" s="61">
        <v>0</v>
      </c>
      <c r="BT27" s="61">
        <v>0</v>
      </c>
      <c r="BU27" s="1166">
        <f t="shared" si="44"/>
        <v>0</v>
      </c>
      <c r="BV27" s="61"/>
      <c r="BW27" s="61">
        <v>0</v>
      </c>
      <c r="BX27" s="61">
        <f t="shared" si="23"/>
        <v>0</v>
      </c>
      <c r="BY27" s="61">
        <f t="shared" si="23"/>
        <v>0</v>
      </c>
      <c r="BZ27" s="61">
        <v>128.94</v>
      </c>
      <c r="CA27" s="1166">
        <f t="shared" si="45"/>
        <v>128.94</v>
      </c>
      <c r="CB27" s="61"/>
      <c r="CC27" s="61">
        <f>21+1.1</f>
        <v>22.1</v>
      </c>
      <c r="CD27" s="61">
        <f>21-2.3</f>
        <v>18.7</v>
      </c>
      <c r="CE27" s="61">
        <v>21</v>
      </c>
      <c r="CF27" s="61">
        <v>21</v>
      </c>
      <c r="CG27" s="1166">
        <f t="shared" si="7"/>
        <v>21</v>
      </c>
      <c r="CH27" s="61"/>
      <c r="CI27" s="61">
        <v>0</v>
      </c>
      <c r="CJ27" s="61">
        <v>0</v>
      </c>
      <c r="CK27" s="61">
        <v>0</v>
      </c>
      <c r="CL27" s="61">
        <v>0</v>
      </c>
      <c r="CM27" s="1166">
        <f t="shared" si="8"/>
        <v>0</v>
      </c>
      <c r="CN27" s="61"/>
      <c r="CO27" s="61">
        <v>0</v>
      </c>
      <c r="CP27" s="61">
        <v>0</v>
      </c>
      <c r="CQ27" s="61">
        <f t="shared" si="43"/>
        <v>0</v>
      </c>
      <c r="CR27" s="61">
        <f t="shared" si="26"/>
        <v>0</v>
      </c>
      <c r="CS27" s="1166">
        <f t="shared" si="9"/>
        <v>0</v>
      </c>
      <c r="CT27" s="61"/>
      <c r="CU27" s="61">
        <v>0</v>
      </c>
      <c r="CV27" s="61">
        <f t="shared" si="41"/>
        <v>0</v>
      </c>
      <c r="CW27" s="61">
        <v>0</v>
      </c>
      <c r="CX27" s="61">
        <v>0</v>
      </c>
      <c r="CY27" s="1166">
        <f t="shared" si="10"/>
        <v>0</v>
      </c>
      <c r="CZ27" s="61"/>
      <c r="DA27" s="61">
        <v>0</v>
      </c>
      <c r="DB27" s="61">
        <f t="shared" si="27"/>
        <v>0</v>
      </c>
      <c r="DC27" s="61">
        <v>0</v>
      </c>
      <c r="DD27" s="61">
        <f t="shared" si="27"/>
        <v>0</v>
      </c>
      <c r="DE27" s="1166">
        <f t="shared" si="11"/>
        <v>0</v>
      </c>
      <c r="DF27" s="61"/>
      <c r="DG27" s="61">
        <v>0</v>
      </c>
      <c r="DH27" s="61">
        <v>0</v>
      </c>
      <c r="DI27" s="61">
        <v>0</v>
      </c>
      <c r="DJ27" s="61">
        <v>0</v>
      </c>
      <c r="DK27" s="1166">
        <f t="shared" si="12"/>
        <v>0</v>
      </c>
      <c r="DL27" s="61"/>
      <c r="DM27" s="61">
        <v>0</v>
      </c>
      <c r="DN27" s="61">
        <f t="shared" si="28"/>
        <v>0</v>
      </c>
      <c r="DO27" s="61">
        <f t="shared" si="28"/>
        <v>0</v>
      </c>
      <c r="DP27" s="61">
        <f t="shared" si="28"/>
        <v>0</v>
      </c>
      <c r="DQ27" s="1166">
        <f t="shared" si="13"/>
        <v>0</v>
      </c>
      <c r="DR27" s="61"/>
      <c r="DS27" s="61">
        <v>0</v>
      </c>
      <c r="DT27" s="61">
        <v>0</v>
      </c>
      <c r="DU27" s="61">
        <v>0</v>
      </c>
      <c r="DV27" s="61">
        <f t="shared" si="29"/>
        <v>0</v>
      </c>
      <c r="DW27" s="1166">
        <f t="shared" si="14"/>
        <v>0</v>
      </c>
      <c r="DX27" s="61"/>
      <c r="DY27" s="61">
        <v>0</v>
      </c>
      <c r="DZ27" s="61">
        <v>0</v>
      </c>
      <c r="EA27" s="61">
        <v>0</v>
      </c>
      <c r="EB27" s="61">
        <f t="shared" si="30"/>
        <v>0</v>
      </c>
      <c r="EC27" s="1166">
        <f t="shared" si="15"/>
        <v>0</v>
      </c>
      <c r="ED27" s="61"/>
      <c r="EE27" s="63">
        <v>0</v>
      </c>
      <c r="EF27" s="63">
        <f t="shared" si="31"/>
        <v>0</v>
      </c>
      <c r="EG27" s="63">
        <f t="shared" si="32"/>
        <v>0</v>
      </c>
      <c r="EH27" s="63">
        <f t="shared" si="33"/>
        <v>0</v>
      </c>
      <c r="EI27" s="1166">
        <f t="shared" si="16"/>
        <v>0</v>
      </c>
      <c r="EJ27" s="61"/>
      <c r="EK27" s="63">
        <v>0</v>
      </c>
      <c r="EL27" s="63">
        <f t="shared" si="34"/>
        <v>0</v>
      </c>
      <c r="EM27" s="63">
        <f t="shared" si="35"/>
        <v>0</v>
      </c>
      <c r="EN27" s="63">
        <f t="shared" si="36"/>
        <v>0</v>
      </c>
      <c r="EO27" s="1166">
        <f t="shared" si="17"/>
        <v>0</v>
      </c>
      <c r="EP27" s="61"/>
      <c r="EQ27" s="63">
        <v>0</v>
      </c>
      <c r="ER27" s="63">
        <f t="shared" si="37"/>
        <v>0</v>
      </c>
      <c r="ES27" s="63">
        <f t="shared" si="38"/>
        <v>0</v>
      </c>
      <c r="ET27" s="63">
        <f t="shared" si="39"/>
        <v>0</v>
      </c>
      <c r="EU27" s="1166">
        <f t="shared" si="18"/>
        <v>0</v>
      </c>
      <c r="EV27" s="45"/>
      <c r="EW27" s="45"/>
      <c r="FD27" s="45"/>
      <c r="FE27" s="45"/>
      <c r="FF27" s="45"/>
      <c r="FG27" s="45"/>
      <c r="FH27" s="45"/>
      <c r="FI27" s="45"/>
      <c r="FJ27" s="45"/>
      <c r="FK27" s="45"/>
      <c r="FL27" s="45"/>
      <c r="FM27" s="45"/>
      <c r="FN27" s="45"/>
      <c r="FO27" s="45"/>
      <c r="FP27" s="45"/>
    </row>
    <row r="28" spans="1:172">
      <c r="A28" s="41" t="s">
        <v>6310</v>
      </c>
      <c r="B28" s="42"/>
      <c r="C28" s="62"/>
      <c r="D28" s="62"/>
      <c r="E28" s="62"/>
      <c r="F28" s="62"/>
      <c r="G28" s="62"/>
      <c r="H28" s="61"/>
      <c r="I28" s="62"/>
      <c r="J28" s="62"/>
      <c r="K28" s="62"/>
      <c r="L28" s="62"/>
      <c r="M28" s="62"/>
      <c r="N28" s="61"/>
      <c r="O28" s="62"/>
      <c r="P28" s="62"/>
      <c r="Q28" s="62"/>
      <c r="R28" s="62"/>
      <c r="S28" s="62"/>
      <c r="T28" s="61"/>
      <c r="U28" s="62"/>
      <c r="V28" s="62"/>
      <c r="W28" s="62"/>
      <c r="X28" s="62"/>
      <c r="Y28" s="62"/>
      <c r="Z28" s="61"/>
      <c r="AA28" s="62"/>
      <c r="AB28" s="62"/>
      <c r="AC28" s="62"/>
      <c r="AD28" s="62"/>
      <c r="AE28" s="62"/>
      <c r="AF28" s="61"/>
      <c r="AG28" s="62"/>
      <c r="AH28" s="62"/>
      <c r="AI28" s="62"/>
      <c r="AJ28" s="62"/>
      <c r="AK28" s="62"/>
      <c r="AL28" s="61"/>
      <c r="AM28" s="62"/>
      <c r="AN28" s="62"/>
      <c r="AO28" s="62"/>
      <c r="AP28" s="62"/>
      <c r="AQ28" s="62"/>
      <c r="AR28" s="61"/>
      <c r="AS28" s="62"/>
      <c r="AT28" s="62"/>
      <c r="AU28" s="62"/>
      <c r="AV28" s="62"/>
      <c r="AW28" s="62"/>
      <c r="AX28" s="61"/>
      <c r="AY28" s="412"/>
      <c r="AZ28" s="412"/>
      <c r="BA28" s="412"/>
      <c r="BB28" s="412"/>
      <c r="BC28" s="412"/>
      <c r="BD28" s="61"/>
      <c r="BE28" s="62"/>
      <c r="BF28" s="61"/>
      <c r="BG28" s="63"/>
      <c r="BH28" s="61"/>
      <c r="BI28" s="62"/>
      <c r="BJ28" s="61"/>
      <c r="BK28" s="61"/>
      <c r="BL28" s="61"/>
      <c r="BM28" s="61"/>
      <c r="BN28" s="61"/>
      <c r="BO28" s="1166"/>
      <c r="BP28" s="61"/>
      <c r="BQ28" s="61"/>
      <c r="BR28" s="61"/>
      <c r="BS28" s="61"/>
      <c r="BT28" s="61"/>
      <c r="BU28" s="1166"/>
      <c r="BV28" s="61"/>
      <c r="BW28" s="61"/>
      <c r="BX28" s="61"/>
      <c r="BY28" s="61"/>
      <c r="BZ28" s="61"/>
      <c r="CA28" s="1166"/>
      <c r="CB28" s="61"/>
      <c r="CC28" s="61"/>
      <c r="CD28" s="61"/>
      <c r="CE28" s="61"/>
      <c r="CF28" s="61"/>
      <c r="CG28" s="1166"/>
      <c r="CH28" s="61"/>
      <c r="CI28" s="61"/>
      <c r="CJ28" s="61"/>
      <c r="CK28" s="61"/>
      <c r="CL28" s="61"/>
      <c r="CM28" s="1166"/>
      <c r="CN28" s="61"/>
      <c r="CO28" s="61"/>
      <c r="CP28" s="61"/>
      <c r="CQ28" s="61"/>
      <c r="CR28" s="61"/>
      <c r="CS28" s="1166"/>
      <c r="CT28" s="61"/>
      <c r="CU28" s="61"/>
      <c r="CV28" s="61"/>
      <c r="CW28" s="61"/>
      <c r="CX28" s="61"/>
      <c r="CY28" s="1166"/>
      <c r="CZ28" s="61"/>
      <c r="DA28" s="61">
        <v>6.7</v>
      </c>
      <c r="DB28" s="61">
        <v>2</v>
      </c>
      <c r="DC28" s="61">
        <f>-3.1</f>
        <v>-3.1</v>
      </c>
      <c r="DD28" s="61">
        <v>-16.100000000000001</v>
      </c>
      <c r="DE28" s="1166">
        <f t="shared" si="11"/>
        <v>-16.100000000000001</v>
      </c>
      <c r="DF28" s="61"/>
      <c r="DG28" s="61">
        <v>8.3000000000000007</v>
      </c>
      <c r="DH28" s="61">
        <v>5.5</v>
      </c>
      <c r="DI28" s="61">
        <v>9.5</v>
      </c>
      <c r="DJ28" s="61">
        <v>16.2</v>
      </c>
      <c r="DK28" s="1166">
        <f t="shared" si="12"/>
        <v>16.2</v>
      </c>
      <c r="DL28" s="61"/>
      <c r="DM28" s="61">
        <v>-3.5</v>
      </c>
      <c r="DN28" s="61">
        <v>-15.3</v>
      </c>
      <c r="DO28" s="61">
        <v>-10.6</v>
      </c>
      <c r="DP28" s="61">
        <v>-25</v>
      </c>
      <c r="DQ28" s="1166">
        <f t="shared" si="13"/>
        <v>-25</v>
      </c>
      <c r="DR28" s="61"/>
      <c r="DS28" s="61">
        <v>8.3000000000000007</v>
      </c>
      <c r="DT28" s="61">
        <v>-6.2</v>
      </c>
      <c r="DU28" s="61">
        <v>3.4</v>
      </c>
      <c r="DV28" s="61">
        <v>-7.7</v>
      </c>
      <c r="DW28" s="1166">
        <f t="shared" si="14"/>
        <v>-7.7</v>
      </c>
      <c r="DX28" s="61"/>
      <c r="DY28" s="61">
        <v>7.3</v>
      </c>
      <c r="DZ28" s="61">
        <v>7.7</v>
      </c>
      <c r="EA28" s="61">
        <v>18.100000000000001</v>
      </c>
      <c r="EB28" s="61">
        <v>7.3</v>
      </c>
      <c r="EC28" s="1166">
        <f t="shared" si="15"/>
        <v>7.3</v>
      </c>
      <c r="ED28" s="61"/>
      <c r="EE28" s="63">
        <v>0</v>
      </c>
      <c r="EF28" s="63">
        <f t="shared" si="31"/>
        <v>0</v>
      </c>
      <c r="EG28" s="63">
        <f t="shared" si="32"/>
        <v>0</v>
      </c>
      <c r="EH28" s="63">
        <f t="shared" si="33"/>
        <v>0</v>
      </c>
      <c r="EI28" s="1166">
        <f t="shared" si="16"/>
        <v>0</v>
      </c>
      <c r="EJ28" s="61"/>
      <c r="EK28" s="63">
        <v>0</v>
      </c>
      <c r="EL28" s="63">
        <f t="shared" si="34"/>
        <v>0</v>
      </c>
      <c r="EM28" s="63">
        <f t="shared" si="35"/>
        <v>0</v>
      </c>
      <c r="EN28" s="63">
        <f t="shared" si="36"/>
        <v>0</v>
      </c>
      <c r="EO28" s="1166">
        <f t="shared" si="17"/>
        <v>0</v>
      </c>
      <c r="EP28" s="61"/>
      <c r="EQ28" s="63">
        <v>0</v>
      </c>
      <c r="ER28" s="63">
        <f t="shared" si="37"/>
        <v>0</v>
      </c>
      <c r="ES28" s="63">
        <f t="shared" si="38"/>
        <v>0</v>
      </c>
      <c r="ET28" s="63">
        <f t="shared" si="39"/>
        <v>0</v>
      </c>
      <c r="EU28" s="1166">
        <f t="shared" si="18"/>
        <v>0</v>
      </c>
      <c r="EV28" s="45"/>
      <c r="EW28" s="45"/>
      <c r="FD28" s="45"/>
      <c r="FE28" s="45"/>
      <c r="FF28" s="45"/>
      <c r="FG28" s="45"/>
      <c r="FH28" s="45"/>
      <c r="FI28" s="45"/>
      <c r="FJ28" s="45"/>
      <c r="FK28" s="45"/>
      <c r="FL28" s="45"/>
      <c r="FM28" s="45"/>
      <c r="FN28" s="45"/>
      <c r="FO28" s="45"/>
      <c r="FP28" s="45"/>
    </row>
    <row r="29" spans="1:172" ht="6" customHeight="1">
      <c r="A29" s="41"/>
      <c r="B29" s="42"/>
      <c r="C29" s="62"/>
      <c r="D29" s="62"/>
      <c r="E29" s="62"/>
      <c r="F29" s="62"/>
      <c r="G29" s="62"/>
      <c r="H29" s="61"/>
      <c r="I29" s="62"/>
      <c r="J29" s="62"/>
      <c r="K29" s="62"/>
      <c r="L29" s="62"/>
      <c r="M29" s="62"/>
      <c r="N29" s="61"/>
      <c r="O29" s="62"/>
      <c r="P29" s="62"/>
      <c r="Q29" s="62"/>
      <c r="R29" s="62"/>
      <c r="S29" s="62"/>
      <c r="T29" s="61"/>
      <c r="U29" s="62"/>
      <c r="V29" s="62"/>
      <c r="W29" s="62"/>
      <c r="X29" s="62"/>
      <c r="Y29" s="62"/>
      <c r="Z29" s="61"/>
      <c r="AA29" s="62"/>
      <c r="AB29" s="62"/>
      <c r="AC29" s="62"/>
      <c r="AD29" s="62"/>
      <c r="AE29" s="62"/>
      <c r="AF29" s="61"/>
      <c r="AG29" s="62"/>
      <c r="AH29" s="62"/>
      <c r="AI29" s="62"/>
      <c r="AJ29" s="62"/>
      <c r="AK29" s="62"/>
      <c r="AL29" s="61"/>
      <c r="AM29" s="62"/>
      <c r="AN29" s="62"/>
      <c r="AO29" s="62"/>
      <c r="AP29" s="62"/>
      <c r="AQ29" s="62"/>
      <c r="AR29" s="61"/>
      <c r="AS29" s="62"/>
      <c r="AT29" s="62"/>
      <c r="AU29" s="62"/>
      <c r="AV29" s="62"/>
      <c r="AW29" s="62"/>
      <c r="AX29" s="61"/>
      <c r="AY29" s="412"/>
      <c r="AZ29" s="412"/>
      <c r="BA29" s="412"/>
      <c r="BB29" s="412"/>
      <c r="BC29" s="412"/>
      <c r="BD29" s="61"/>
      <c r="BE29" s="62"/>
      <c r="BF29" s="63"/>
      <c r="BG29" s="63"/>
      <c r="BH29" s="61"/>
      <c r="BI29" s="62"/>
      <c r="BJ29" s="61"/>
      <c r="BK29" s="61"/>
      <c r="BL29" s="63"/>
      <c r="BM29" s="63"/>
      <c r="BN29" s="63"/>
      <c r="BO29" s="1166"/>
      <c r="BP29" s="61"/>
      <c r="BQ29" s="63"/>
      <c r="BR29" s="63"/>
      <c r="BS29" s="63"/>
      <c r="BT29" s="63"/>
      <c r="BU29" s="1166"/>
      <c r="BV29" s="61"/>
      <c r="BW29" s="61"/>
      <c r="BX29" s="61"/>
      <c r="BY29" s="61"/>
      <c r="BZ29" s="63"/>
      <c r="CA29" s="1166"/>
      <c r="CB29" s="61"/>
      <c r="CC29" s="61"/>
      <c r="CD29" s="61"/>
      <c r="CE29" s="61"/>
      <c r="CF29" s="61"/>
      <c r="CG29" s="1166"/>
      <c r="CH29" s="61"/>
      <c r="CI29" s="61"/>
      <c r="CJ29" s="61"/>
      <c r="CK29" s="61"/>
      <c r="CL29" s="61"/>
      <c r="CM29" s="1166"/>
      <c r="CN29" s="61"/>
      <c r="CO29" s="61"/>
      <c r="CP29" s="61"/>
      <c r="CQ29" s="63"/>
      <c r="CR29" s="61"/>
      <c r="CS29" s="1166"/>
      <c r="CT29" s="61"/>
      <c r="CU29" s="61"/>
      <c r="CV29" s="61"/>
      <c r="CW29" s="61"/>
      <c r="CX29" s="61"/>
      <c r="CY29" s="1166"/>
      <c r="CZ29" s="61"/>
      <c r="DA29" s="61"/>
      <c r="DB29" s="61"/>
      <c r="DC29" s="63"/>
      <c r="DD29" s="63"/>
      <c r="DE29" s="1166"/>
      <c r="DF29" s="61"/>
      <c r="DG29" s="61"/>
      <c r="DH29" s="61"/>
      <c r="DI29" s="63"/>
      <c r="DJ29" s="63"/>
      <c r="DK29" s="1166"/>
      <c r="DL29" s="61"/>
      <c r="DM29" s="61"/>
      <c r="DN29" s="61"/>
      <c r="DO29" s="61"/>
      <c r="DP29" s="63"/>
      <c r="DQ29" s="1166"/>
      <c r="DR29" s="61"/>
      <c r="DS29" s="61"/>
      <c r="DT29" s="61"/>
      <c r="DU29" s="61"/>
      <c r="DV29" s="63"/>
      <c r="DW29" s="1166"/>
      <c r="DX29" s="61"/>
      <c r="DY29" s="61"/>
      <c r="DZ29" s="61"/>
      <c r="EA29" s="61"/>
      <c r="EB29" s="63"/>
      <c r="EC29" s="1166"/>
      <c r="ED29" s="61"/>
      <c r="EE29" s="63"/>
      <c r="EF29" s="63"/>
      <c r="EG29" s="63"/>
      <c r="EH29" s="63"/>
      <c r="EI29" s="1166"/>
      <c r="EJ29" s="61"/>
      <c r="EK29" s="63"/>
      <c r="EL29" s="63"/>
      <c r="EM29" s="63"/>
      <c r="EN29" s="63"/>
      <c r="EO29" s="1166"/>
      <c r="EP29" s="61"/>
      <c r="EQ29" s="63"/>
      <c r="ER29" s="63"/>
      <c r="ES29" s="63"/>
      <c r="ET29" s="63"/>
      <c r="EU29" s="1166"/>
      <c r="EV29" s="45"/>
      <c r="EW29" s="45"/>
      <c r="FD29" s="45"/>
      <c r="FE29" s="45"/>
      <c r="FF29" s="45"/>
      <c r="FG29" s="45"/>
      <c r="FH29" s="45"/>
      <c r="FI29" s="45"/>
      <c r="FJ29" s="45"/>
      <c r="FK29" s="45"/>
      <c r="FL29" s="45"/>
      <c r="FM29" s="45"/>
      <c r="FN29" s="45"/>
      <c r="FO29" s="45"/>
      <c r="FP29" s="45"/>
    </row>
    <row r="30" spans="1:172">
      <c r="A30" s="41" t="s">
        <v>5174</v>
      </c>
      <c r="B30" s="42"/>
      <c r="C30" s="62"/>
      <c r="D30" s="62"/>
      <c r="E30" s="62"/>
      <c r="F30" s="62"/>
      <c r="G30" s="62"/>
      <c r="H30" s="61"/>
      <c r="I30" s="62"/>
      <c r="J30" s="62"/>
      <c r="K30" s="62"/>
      <c r="L30" s="62"/>
      <c r="M30" s="62"/>
      <c r="N30" s="61"/>
      <c r="O30" s="62">
        <v>-3.9660000000000002</v>
      </c>
      <c r="P30" s="62">
        <v>-4.3620000000000001</v>
      </c>
      <c r="Q30" s="62">
        <v>-8.6120000000000001</v>
      </c>
      <c r="R30" s="62">
        <f>-24.486-0.872+11.94-4.604+7.181+14.559</f>
        <v>3.7179999999999982</v>
      </c>
      <c r="S30" s="62">
        <f t="shared" si="0"/>
        <v>3.7179999999999982</v>
      </c>
      <c r="T30" s="61"/>
      <c r="U30" s="62">
        <v>-15.068</v>
      </c>
      <c r="V30" s="62">
        <v>-26.6</v>
      </c>
      <c r="W30" s="62">
        <v>-22.64</v>
      </c>
      <c r="X30" s="62">
        <f>4.985+1.98-21.264-4.167+27.403-8.418</f>
        <v>0.51899999999999835</v>
      </c>
      <c r="Y30" s="62">
        <f t="shared" si="1"/>
        <v>0.51899999999999835</v>
      </c>
      <c r="Z30" s="61"/>
      <c r="AA30" s="62">
        <v>-9.0640000000000001</v>
      </c>
      <c r="AB30" s="62">
        <v>0.60399999999999998</v>
      </c>
      <c r="AC30" s="62">
        <v>-3.8540000000000001</v>
      </c>
      <c r="AD30" s="62">
        <f>-46.583+2.009+6.17-0.725+25.206+9.103</f>
        <v>-4.8199999999999985</v>
      </c>
      <c r="AE30" s="62">
        <f>AD30</f>
        <v>-4.8199999999999985</v>
      </c>
      <c r="AF30" s="61"/>
      <c r="AG30" s="62">
        <v>-6.0739999999999998</v>
      </c>
      <c r="AH30" s="62">
        <v>9.3849999999999998</v>
      </c>
      <c r="AI30" s="62">
        <v>-0.95599999999999996</v>
      </c>
      <c r="AJ30" s="62">
        <v>37.508000000000003</v>
      </c>
      <c r="AK30" s="62">
        <f>AJ30</f>
        <v>37.508000000000003</v>
      </c>
      <c r="AL30" s="61"/>
      <c r="AM30" s="62">
        <v>-23.172000000000001</v>
      </c>
      <c r="AN30" s="62">
        <v>-25.26</v>
      </c>
      <c r="AO30" s="62">
        <v>-28.849</v>
      </c>
      <c r="AP30" s="62">
        <f>SUM(AP31:AP37)</f>
        <v>-28.128999999999987</v>
      </c>
      <c r="AQ30" s="62">
        <f t="shared" si="19"/>
        <v>-28.128999999999987</v>
      </c>
      <c r="AR30" s="61"/>
      <c r="AS30" s="62">
        <v>-2.4350000000000001</v>
      </c>
      <c r="AT30" s="62">
        <v>-16.693999999999999</v>
      </c>
      <c r="AU30" s="62">
        <v>2.2069999999999999</v>
      </c>
      <c r="AV30" s="62">
        <f>SUM(AV31:AV37)</f>
        <v>43.920999999999992</v>
      </c>
      <c r="AW30" s="62">
        <f t="shared" si="40"/>
        <v>43.920999999999992</v>
      </c>
      <c r="AX30" s="61"/>
      <c r="AY30" s="412">
        <v>-29.2</v>
      </c>
      <c r="AZ30" s="412">
        <f>AY30+28.7</f>
        <v>-0.5</v>
      </c>
      <c r="BA30" s="412">
        <f>AZ30-65.7</f>
        <v>-66.2</v>
      </c>
      <c r="BB30" s="412">
        <f>BA30+32.9</f>
        <v>-33.300000000000004</v>
      </c>
      <c r="BC30" s="412">
        <f t="shared" si="20"/>
        <v>-33.300000000000004</v>
      </c>
      <c r="BD30" s="61"/>
      <c r="BE30" s="61">
        <v>-52.2</v>
      </c>
      <c r="BF30" s="61">
        <f>BE30-4.5</f>
        <v>-56.7</v>
      </c>
      <c r="BG30" s="61">
        <f>BF30-36</f>
        <v>-92.7</v>
      </c>
      <c r="BH30" s="412">
        <f>BG30-7.7</f>
        <v>-100.4</v>
      </c>
      <c r="BI30" s="62">
        <f>BH30</f>
        <v>-100.4</v>
      </c>
      <c r="BJ30" s="61"/>
      <c r="BK30" s="61">
        <v>7.5</v>
      </c>
      <c r="BL30" s="61">
        <f>BK30+41.3</f>
        <v>48.8</v>
      </c>
      <c r="BM30" s="61">
        <f>BL30+27.4</f>
        <v>76.199999999999989</v>
      </c>
      <c r="BN30" s="61">
        <f>BM30+56.7</f>
        <v>132.89999999999998</v>
      </c>
      <c r="BO30" s="1166">
        <f t="shared" si="46"/>
        <v>132.89999999999998</v>
      </c>
      <c r="BP30" s="61"/>
      <c r="BQ30" s="61">
        <v>79.3</v>
      </c>
      <c r="BR30" s="61">
        <v>87.8</v>
      </c>
      <c r="BS30" s="61">
        <v>109</v>
      </c>
      <c r="BT30" s="61">
        <v>186.2</v>
      </c>
      <c r="BU30" s="1166">
        <f t="shared" ref="BU30:BU37" si="47">BT30</f>
        <v>186.2</v>
      </c>
      <c r="BV30" s="61"/>
      <c r="BW30" s="61">
        <v>48.6</v>
      </c>
      <c r="BX30" s="61">
        <v>111.6</v>
      </c>
      <c r="BY30" s="61">
        <v>65.099999999999994</v>
      </c>
      <c r="BZ30" s="61">
        <v>34.200000000000003</v>
      </c>
      <c r="CA30" s="1166">
        <f t="shared" ref="CA30:CA37" si="48">BZ30</f>
        <v>34.200000000000003</v>
      </c>
      <c r="CB30" s="61"/>
      <c r="CC30" s="61">
        <v>-29.3</v>
      </c>
      <c r="CD30" s="61">
        <v>-65.3</v>
      </c>
      <c r="CE30" s="61">
        <v>-112.3</v>
      </c>
      <c r="CF30" s="61">
        <v>-83.2</v>
      </c>
      <c r="CG30" s="1166">
        <f t="shared" ref="CG30:CG37" si="49">CF30</f>
        <v>-83.2</v>
      </c>
      <c r="CH30" s="61"/>
      <c r="CI30" s="61">
        <v>44.1</v>
      </c>
      <c r="CJ30" s="61">
        <v>46.5</v>
      </c>
      <c r="CK30" s="61">
        <v>63.6</v>
      </c>
      <c r="CL30" s="61">
        <v>131.9</v>
      </c>
      <c r="CM30" s="1166">
        <f t="shared" ref="CM30:CM37" si="50">CL30</f>
        <v>131.9</v>
      </c>
      <c r="CN30" s="61"/>
      <c r="CO30" s="61">
        <v>8.6999999999999993</v>
      </c>
      <c r="CP30" s="61">
        <v>27.5</v>
      </c>
      <c r="CQ30" s="61">
        <v>55.3</v>
      </c>
      <c r="CR30" s="61">
        <v>96.7</v>
      </c>
      <c r="CS30" s="1166">
        <f t="shared" ref="CS30:CS37" si="51">CR30</f>
        <v>96.7</v>
      </c>
      <c r="CT30" s="61"/>
      <c r="CU30" s="61">
        <v>7.7</v>
      </c>
      <c r="CV30" s="61">
        <f>3.9+2.1</f>
        <v>6</v>
      </c>
      <c r="CW30" s="61">
        <f>4.4+6.6</f>
        <v>11</v>
      </c>
      <c r="CX30" s="61">
        <f>6.7-10.1</f>
        <v>-3.3999999999999995</v>
      </c>
      <c r="CY30" s="1166">
        <f t="shared" ref="CY30:CY37" si="52">CX30</f>
        <v>-3.3999999999999995</v>
      </c>
      <c r="CZ30" s="61"/>
      <c r="DA30" s="61">
        <f>103.8</f>
        <v>103.8</v>
      </c>
      <c r="DB30" s="61">
        <v>41.5</v>
      </c>
      <c r="DC30" s="61">
        <v>9.1</v>
      </c>
      <c r="DD30" s="61">
        <v>86</v>
      </c>
      <c r="DE30" s="1166">
        <f t="shared" ref="DE30:DE37" si="53">DD30</f>
        <v>86</v>
      </c>
      <c r="DF30" s="61"/>
      <c r="DG30" s="61">
        <v>110.1</v>
      </c>
      <c r="DH30" s="61">
        <v>100</v>
      </c>
      <c r="DI30" s="61">
        <v>141.6</v>
      </c>
      <c r="DJ30" s="61">
        <v>296</v>
      </c>
      <c r="DK30" s="1166">
        <f t="shared" ref="DK30:DK37" si="54">DJ30</f>
        <v>296</v>
      </c>
      <c r="DL30" s="61"/>
      <c r="DM30" s="61">
        <f>143.1-22.4-110.8-3.4-18.3</f>
        <v>-11.80000000000001</v>
      </c>
      <c r="DN30" s="61">
        <f>64.4-19.4-81.5+79.2-10.1</f>
        <v>32.600000000000009</v>
      </c>
      <c r="DO30" s="61">
        <f>SUM(DO31:DO37)</f>
        <v>297.20000000000005</v>
      </c>
      <c r="DP30" s="61">
        <f>SUM(DP31:DP37)</f>
        <v>422</v>
      </c>
      <c r="DQ30" s="1166">
        <f t="shared" ref="DQ30:DQ37" si="55">DP30</f>
        <v>422</v>
      </c>
      <c r="DR30" s="61"/>
      <c r="DS30" s="61">
        <f>397.4-14.9-197.2+4.1-13.1</f>
        <v>176.3</v>
      </c>
      <c r="DT30" s="61">
        <f>SUM(DT31:DT37)</f>
        <v>183.09999999999997</v>
      </c>
      <c r="DU30" s="61">
        <f>SUM(DU31:DU37)</f>
        <v>260.50000000000006</v>
      </c>
      <c r="DV30" s="61">
        <f>SUM(DV31:DV37)</f>
        <v>315.10000000000002</v>
      </c>
      <c r="DW30" s="1166">
        <f t="shared" ref="DW30:DW37" si="56">DV30</f>
        <v>315.10000000000002</v>
      </c>
      <c r="DX30" s="61"/>
      <c r="DY30" s="61">
        <f>SUM(DY31:DY37)</f>
        <v>72.599999999999994</v>
      </c>
      <c r="DZ30" s="61">
        <f>SUM(DZ31:DZ37)</f>
        <v>41.399999999999991</v>
      </c>
      <c r="EA30" s="61">
        <f>SUM(EA31:EA37)</f>
        <v>8.4000000000000199</v>
      </c>
      <c r="EB30" s="61">
        <f>SUM(EB31:EB37)</f>
        <v>96.600000000000023</v>
      </c>
      <c r="EC30" s="1166">
        <f t="shared" ref="EC30:EC37" si="57">EB30</f>
        <v>96.600000000000023</v>
      </c>
      <c r="ED30" s="61"/>
      <c r="EE30" s="61">
        <f>SUM(EE106:EE112)</f>
        <v>29.625364028059835</v>
      </c>
      <c r="EF30" s="61">
        <f>SUM(EF31:EF37)</f>
        <v>94.678699656308169</v>
      </c>
      <c r="EG30" s="61">
        <f>SUM(EG31:EG37)</f>
        <v>56.185385315543542</v>
      </c>
      <c r="EH30" s="61">
        <f>SUM(EH31:EH37)</f>
        <v>389.992678208266</v>
      </c>
      <c r="EI30" s="1166">
        <f t="shared" ref="EI30:EI37" si="58">EH30</f>
        <v>389.992678208266</v>
      </c>
      <c r="EJ30" s="61"/>
      <c r="EK30" s="61">
        <f>SUM(EK106:EK112)</f>
        <v>-171.31873386513365</v>
      </c>
      <c r="EL30" s="61">
        <f>SUM(EL31:EL37)</f>
        <v>-150.85435229066297</v>
      </c>
      <c r="EM30" s="61">
        <f>SUM(EM31:EM37)</f>
        <v>-127.40900434044829</v>
      </c>
      <c r="EN30" s="61">
        <f>SUM(EN31:EN37)</f>
        <v>309.59881581367904</v>
      </c>
      <c r="EO30" s="1166">
        <f t="shared" ref="EO30:EO37" si="59">EN30</f>
        <v>309.59881581367904</v>
      </c>
      <c r="EP30" s="61"/>
      <c r="EQ30" s="61">
        <f>SUM(EQ106:EQ112)</f>
        <v>-51.586929572111671</v>
      </c>
      <c r="ER30" s="61">
        <f>SUM(ER31:ER37)</f>
        <v>-58.547920224302857</v>
      </c>
      <c r="ES30" s="61">
        <f>SUM(ES31:ES37)</f>
        <v>-99.050551992235967</v>
      </c>
      <c r="ET30" s="61">
        <f>SUM(ET31:ET37)</f>
        <v>172.8813399546589</v>
      </c>
      <c r="EU30" s="1166">
        <f t="shared" ref="EU30:EU37" si="60">ET30</f>
        <v>172.8813399546589</v>
      </c>
      <c r="EV30" s="45"/>
      <c r="EW30" s="45"/>
      <c r="FD30" s="45"/>
      <c r="FE30" s="45"/>
      <c r="FF30" s="45"/>
      <c r="FG30" s="45"/>
      <c r="FH30" s="45"/>
      <c r="FI30" s="45"/>
      <c r="FJ30" s="45"/>
      <c r="FK30" s="45"/>
      <c r="FL30" s="45"/>
      <c r="FM30" s="45"/>
      <c r="FN30" s="45"/>
      <c r="FO30" s="45"/>
      <c r="FP30" s="45"/>
    </row>
    <row r="31" spans="1:172" hidden="1" outlineLevel="1">
      <c r="A31" s="232" t="s">
        <v>5242</v>
      </c>
      <c r="B31" s="61"/>
      <c r="C31" s="62"/>
      <c r="D31" s="62"/>
      <c r="E31" s="62"/>
      <c r="F31" s="62"/>
      <c r="G31" s="62"/>
      <c r="H31" s="61"/>
      <c r="I31" s="62"/>
      <c r="J31" s="62"/>
      <c r="K31" s="62"/>
      <c r="L31" s="62"/>
      <c r="M31" s="62"/>
      <c r="N31" s="61"/>
      <c r="O31" s="62"/>
      <c r="P31" s="62"/>
      <c r="Q31" s="62"/>
      <c r="R31" s="62"/>
      <c r="S31" s="62"/>
      <c r="T31" s="61"/>
      <c r="U31" s="62"/>
      <c r="V31" s="62"/>
      <c r="W31" s="62"/>
      <c r="X31" s="62"/>
      <c r="Y31" s="62"/>
      <c r="Z31" s="61"/>
      <c r="AA31" s="62"/>
      <c r="AB31" s="62"/>
      <c r="AC31" s="62"/>
      <c r="AD31" s="62"/>
      <c r="AE31" s="62"/>
      <c r="AF31" s="61"/>
      <c r="AG31" s="62"/>
      <c r="AH31" s="62"/>
      <c r="AI31" s="62"/>
      <c r="AJ31" s="62"/>
      <c r="AK31" s="62"/>
      <c r="AL31" s="61"/>
      <c r="AM31" s="62"/>
      <c r="AN31" s="62"/>
      <c r="AO31" s="62"/>
      <c r="AP31" s="62">
        <v>8.202</v>
      </c>
      <c r="AQ31" s="62">
        <f t="shared" si="19"/>
        <v>8.202</v>
      </c>
      <c r="AR31" s="61"/>
      <c r="AS31" s="62"/>
      <c r="AT31" s="62"/>
      <c r="AU31" s="62"/>
      <c r="AV31" s="62">
        <v>-34.012999999999998</v>
      </c>
      <c r="AW31" s="62">
        <f t="shared" si="40"/>
        <v>-34.012999999999998</v>
      </c>
      <c r="AX31" s="61"/>
      <c r="AY31" s="473"/>
      <c r="AZ31" s="473"/>
      <c r="BA31" s="473"/>
      <c r="BB31" s="412">
        <v>-30</v>
      </c>
      <c r="BC31" s="412">
        <f>BB31</f>
        <v>-30</v>
      </c>
      <c r="BD31" s="61"/>
      <c r="BE31" s="473"/>
      <c r="BF31" s="473"/>
      <c r="BG31" s="473"/>
      <c r="BH31" s="61">
        <v>-45.8</v>
      </c>
      <c r="BI31" s="61">
        <f t="shared" ref="BI31:BI37" si="61">BH31</f>
        <v>-45.8</v>
      </c>
      <c r="BJ31" s="61"/>
      <c r="BK31" s="484"/>
      <c r="BL31" s="473"/>
      <c r="BM31" s="473"/>
      <c r="BN31" s="61">
        <v>-39.799999999999997</v>
      </c>
      <c r="BO31" s="1125">
        <f t="shared" ref="BO31:BO37" si="62">BN31</f>
        <v>-39.799999999999997</v>
      </c>
      <c r="BP31" s="61"/>
      <c r="BQ31" s="473"/>
      <c r="BR31" s="473"/>
      <c r="BS31" s="473"/>
      <c r="BT31" s="61">
        <v>-78.3</v>
      </c>
      <c r="BU31" s="1125">
        <f t="shared" si="47"/>
        <v>-78.3</v>
      </c>
      <c r="BV31" s="61"/>
      <c r="BW31" s="61">
        <f>-(BS!BW11-BS!BU11)</f>
        <v>53</v>
      </c>
      <c r="BX31" s="61">
        <f>-(BS!BX11-BS!BW11)+BW31</f>
        <v>61.300000000000011</v>
      </c>
      <c r="BY31" s="61">
        <f>-(BS!BY11-BS!BX11)+BX31</f>
        <v>95.100000000000023</v>
      </c>
      <c r="BZ31" s="61">
        <f>-(BS!BZ11-BS!BY11)+BY31</f>
        <v>70</v>
      </c>
      <c r="CA31" s="1125">
        <f t="shared" si="48"/>
        <v>70</v>
      </c>
      <c r="CB31" s="61"/>
      <c r="CC31" s="61">
        <f>-(BS!CC11-BS!CA11)</f>
        <v>87.9</v>
      </c>
      <c r="CD31" s="61">
        <f>-(BS!CD11-BS!CC11)+CC31</f>
        <v>92.6</v>
      </c>
      <c r="CE31" s="61">
        <f>-(BS!CE11-BS!CD11)+CD31</f>
        <v>100.80000000000001</v>
      </c>
      <c r="CF31" s="61">
        <f>-(BS!CF11-BS!CE11)+CE31</f>
        <v>39.100000000000023</v>
      </c>
      <c r="CG31" s="1125">
        <f t="shared" si="49"/>
        <v>39.100000000000023</v>
      </c>
      <c r="CH31" s="61"/>
      <c r="CI31" s="61">
        <f>-(BS!CI11-BS!CG11)</f>
        <v>59.299999999999983</v>
      </c>
      <c r="CJ31" s="61">
        <f>-(BS!CJ11-BS!CI11)+CI31</f>
        <v>46.399999999999977</v>
      </c>
      <c r="CK31" s="61">
        <f>-(BS!CK11-BS!CJ11)+CJ31</f>
        <v>37.299999999999983</v>
      </c>
      <c r="CL31" s="473">
        <f>-(BS!CL11-BS!CK11)+CK31</f>
        <v>-41</v>
      </c>
      <c r="CM31" s="1125">
        <f t="shared" si="50"/>
        <v>-41</v>
      </c>
      <c r="CN31" s="61"/>
      <c r="CO31" s="61">
        <f>-(BS!CO11-BS!CM11)</f>
        <v>47.399999999999977</v>
      </c>
      <c r="CP31" s="61">
        <f>-(BS!CP11-BS!CO11)+CO31</f>
        <v>21.399999999999977</v>
      </c>
      <c r="CQ31" s="61">
        <f>-(BS!CQ11-BS!CP11)+CP31</f>
        <v>59.199999999999989</v>
      </c>
      <c r="CR31" s="61">
        <f>-(BS!CR11-BS!CQ11)+CQ31</f>
        <v>-76.700000000000045</v>
      </c>
      <c r="CS31" s="1125">
        <f t="shared" si="51"/>
        <v>-76.700000000000045</v>
      </c>
      <c r="CT31" s="61"/>
      <c r="CU31" s="61">
        <f>-(BS!CU11-BS!CS11)</f>
        <v>94.5</v>
      </c>
      <c r="CV31" s="61">
        <f>-(BS!CV11-BS!CU11)+CU31</f>
        <v>33.700000000000045</v>
      </c>
      <c r="CW31" s="61">
        <f>-(BS!CW11-BS!CV11)+CV31</f>
        <v>101.80000000000001</v>
      </c>
      <c r="CX31" s="61">
        <f>-(BS!CX11-BS!CW11)+CW31</f>
        <v>-100</v>
      </c>
      <c r="CY31" s="1125">
        <f>CX31</f>
        <v>-100</v>
      </c>
      <c r="CZ31" s="61"/>
      <c r="DA31" s="61">
        <f>-(BS!DA11-BS!CY11)</f>
        <v>209.3</v>
      </c>
      <c r="DB31" s="61">
        <f>-(BS!DB11-BS!DA11)+DA31</f>
        <v>191.20000000000005</v>
      </c>
      <c r="DC31" s="61">
        <f>-(BS!DC11-BS!DB11)+DB31</f>
        <v>191</v>
      </c>
      <c r="DD31" s="61">
        <f>-(BS!DD11-BS!DC11)+DC31</f>
        <v>71.400000000000034</v>
      </c>
      <c r="DE31" s="1125">
        <f t="shared" si="53"/>
        <v>71.400000000000034</v>
      </c>
      <c r="DF31" s="61"/>
      <c r="DG31" s="61">
        <f>-(BS!DG11-BS!DE11)</f>
        <v>100.39999999999998</v>
      </c>
      <c r="DH31" s="61">
        <f>-(BS!DH11-BS!DG11)+DG31</f>
        <v>58.399999999999977</v>
      </c>
      <c r="DI31" s="61">
        <f>-(BS!DI11-BS!DH11)+DH31</f>
        <v>48</v>
      </c>
      <c r="DJ31" s="61">
        <f>-(BS!DJ11-BS!DI11)+DI31</f>
        <v>-35.199999999999989</v>
      </c>
      <c r="DK31" s="1125">
        <f t="shared" si="54"/>
        <v>-35.199999999999989</v>
      </c>
      <c r="DL31" s="61"/>
      <c r="DM31" s="61">
        <f>-(BS!DM11-BS!DK11)</f>
        <v>142.89999999999998</v>
      </c>
      <c r="DN31" s="61">
        <f>-(BS!DN11-BS!DM11)+DM31</f>
        <v>64.799999999999955</v>
      </c>
      <c r="DO31" s="61">
        <v>97.4</v>
      </c>
      <c r="DP31" s="61">
        <v>-195.5</v>
      </c>
      <c r="DQ31" s="1125">
        <f t="shared" si="55"/>
        <v>-195.5</v>
      </c>
      <c r="DR31" s="61"/>
      <c r="DS31" s="61">
        <v>397.4</v>
      </c>
      <c r="DT31" s="61">
        <v>346.9</v>
      </c>
      <c r="DU31" s="61">
        <v>393.8</v>
      </c>
      <c r="DV31" s="61">
        <v>201.5</v>
      </c>
      <c r="DW31" s="1125">
        <f t="shared" si="56"/>
        <v>201.5</v>
      </c>
      <c r="DX31" s="61"/>
      <c r="DY31" s="61">
        <v>220.9</v>
      </c>
      <c r="DZ31" s="61">
        <v>185.5</v>
      </c>
      <c r="EA31" s="61">
        <v>143.30000000000001</v>
      </c>
      <c r="EB31" s="61">
        <v>13.3</v>
      </c>
      <c r="EC31" s="1125">
        <f t="shared" si="57"/>
        <v>13.3</v>
      </c>
      <c r="ED31" s="61"/>
      <c r="EE31" s="473">
        <f>-(BS!EE11-BS!EC11)</f>
        <v>169.21081786409576</v>
      </c>
      <c r="EF31" s="473">
        <f>-(BS!EF11-BS!EE11)+EE31</f>
        <v>152.16309927873021</v>
      </c>
      <c r="EG31" s="473">
        <f>-(BS!EG11-BS!EF11)+EF31</f>
        <v>88.517483349078077</v>
      </c>
      <c r="EH31" s="473">
        <f>-(BS!EH11-BS!EG11)+EG31</f>
        <v>-23.480281817628963</v>
      </c>
      <c r="EI31" s="1125">
        <f t="shared" si="58"/>
        <v>-23.480281817628963</v>
      </c>
      <c r="EJ31" s="61"/>
      <c r="EK31" s="473">
        <f>-(BS!EK11-BS!EI11)</f>
        <v>127.93520162185428</v>
      </c>
      <c r="EL31" s="473">
        <f>-(BS!EL11-BS!EK11)+EK31</f>
        <v>27.701649467300228</v>
      </c>
      <c r="EM31" s="473">
        <f>-(BS!EM11-BS!EL11)+EL31</f>
        <v>-14.982117667254784</v>
      </c>
      <c r="EN31" s="473">
        <f>-(BS!EN11-BS!EM11)+EM31</f>
        <v>-98.312586607998469</v>
      </c>
      <c r="EO31" s="1125">
        <f t="shared" si="59"/>
        <v>-98.312586607998469</v>
      </c>
      <c r="EP31" s="61"/>
      <c r="EQ31" s="473">
        <f>-(BS!EQ11-BS!EO11)</f>
        <v>188.80534277809477</v>
      </c>
      <c r="ER31" s="473">
        <f>-(BS!ER11-BS!EQ11)+EQ31</f>
        <v>47.180717074457675</v>
      </c>
      <c r="ES31" s="473">
        <f>-(BS!ES11-BS!ER11)+ER31</f>
        <v>-25.80907231024139</v>
      </c>
      <c r="ET31" s="473">
        <f>-(BS!ET11-BS!ES11)+ES31</f>
        <v>-213.48938692758998</v>
      </c>
      <c r="EU31" s="1125">
        <f t="shared" si="60"/>
        <v>-213.48938692758998</v>
      </c>
      <c r="EV31" s="45"/>
      <c r="EW31" s="45"/>
      <c r="FD31" s="45"/>
      <c r="FE31" s="45"/>
      <c r="FF31" s="45"/>
      <c r="FG31" s="45"/>
      <c r="FH31" s="45"/>
      <c r="FI31" s="45"/>
      <c r="FJ31" s="45"/>
      <c r="FK31" s="45"/>
      <c r="FL31" s="45"/>
      <c r="FM31" s="45"/>
      <c r="FN31" s="45"/>
      <c r="FO31" s="45"/>
      <c r="FP31" s="45"/>
    </row>
    <row r="32" spans="1:172" hidden="1" outlineLevel="1">
      <c r="A32" s="232" t="s">
        <v>5650</v>
      </c>
      <c r="B32" s="61"/>
      <c r="C32" s="62"/>
      <c r="D32" s="62"/>
      <c r="E32" s="62"/>
      <c r="F32" s="62"/>
      <c r="G32" s="62"/>
      <c r="H32" s="61"/>
      <c r="I32" s="62"/>
      <c r="J32" s="62"/>
      <c r="K32" s="62"/>
      <c r="L32" s="62"/>
      <c r="M32" s="62"/>
      <c r="N32" s="61"/>
      <c r="O32" s="62"/>
      <c r="P32" s="62"/>
      <c r="Q32" s="62"/>
      <c r="R32" s="62"/>
      <c r="S32" s="62"/>
      <c r="T32" s="61"/>
      <c r="U32" s="62"/>
      <c r="V32" s="62"/>
      <c r="W32" s="62"/>
      <c r="X32" s="62"/>
      <c r="Y32" s="62"/>
      <c r="Z32" s="61"/>
      <c r="AA32" s="62"/>
      <c r="AB32" s="62"/>
      <c r="AC32" s="62"/>
      <c r="AD32" s="62"/>
      <c r="AE32" s="62"/>
      <c r="AF32" s="61"/>
      <c r="AG32" s="62"/>
      <c r="AH32" s="62"/>
      <c r="AI32" s="62"/>
      <c r="AJ32" s="62"/>
      <c r="AK32" s="62"/>
      <c r="AL32" s="61"/>
      <c r="AM32" s="62"/>
      <c r="AN32" s="62"/>
      <c r="AO32" s="62"/>
      <c r="AP32" s="62">
        <v>5.7149999999999999</v>
      </c>
      <c r="AQ32" s="62">
        <f t="shared" si="19"/>
        <v>5.7149999999999999</v>
      </c>
      <c r="AR32" s="61"/>
      <c r="AS32" s="62"/>
      <c r="AT32" s="62"/>
      <c r="AU32" s="62"/>
      <c r="AV32" s="62">
        <v>-5.0810000000000004</v>
      </c>
      <c r="AW32" s="62">
        <f t="shared" si="40"/>
        <v>-5.0810000000000004</v>
      </c>
      <c r="AX32" s="61"/>
      <c r="AY32" s="473"/>
      <c r="AZ32" s="473"/>
      <c r="BA32" s="473"/>
      <c r="BB32" s="412">
        <v>4.8</v>
      </c>
      <c r="BC32" s="412">
        <f t="shared" ref="BC32:BC37" si="63">BB32</f>
        <v>4.8</v>
      </c>
      <c r="BD32" s="61"/>
      <c r="BE32" s="473"/>
      <c r="BF32" s="473"/>
      <c r="BG32" s="473"/>
      <c r="BH32" s="61">
        <v>-1</v>
      </c>
      <c r="BI32" s="61">
        <f t="shared" si="61"/>
        <v>-1</v>
      </c>
      <c r="BJ32" s="61"/>
      <c r="BK32" s="63"/>
      <c r="BL32" s="473"/>
      <c r="BM32" s="473"/>
      <c r="BN32" s="61">
        <v>8.6999999999999993</v>
      </c>
      <c r="BO32" s="1125">
        <f t="shared" si="62"/>
        <v>8.6999999999999993</v>
      </c>
      <c r="BP32" s="61"/>
      <c r="BQ32" s="473"/>
      <c r="BR32" s="473"/>
      <c r="BS32" s="473"/>
      <c r="BT32" s="61">
        <v>0</v>
      </c>
      <c r="BU32" s="1125">
        <f t="shared" si="47"/>
        <v>0</v>
      </c>
      <c r="BV32" s="61"/>
      <c r="BW32" s="61">
        <f>-(BS!BW12-BS!BU12)</f>
        <v>0</v>
      </c>
      <c r="BX32" s="61">
        <f>-(BS!BX12-BS!BW12)+BW32</f>
        <v>0</v>
      </c>
      <c r="BY32" s="61">
        <f>-(BS!BY12-BS!BX12)+BX32</f>
        <v>0</v>
      </c>
      <c r="BZ32" s="61">
        <f>-(BS!BZ12-BS!BY12)+BY32</f>
        <v>0</v>
      </c>
      <c r="CA32" s="1125">
        <f t="shared" si="48"/>
        <v>0</v>
      </c>
      <c r="CB32" s="61"/>
      <c r="CC32" s="61">
        <f>-(BS!CC12-BS!CA12)</f>
        <v>0</v>
      </c>
      <c r="CD32" s="61">
        <f>-(BS!CD12-BS!CC12)+CC32</f>
        <v>0</v>
      </c>
      <c r="CE32" s="61">
        <f>-(BS!CE12-BS!CD12)+CD32</f>
        <v>0</v>
      </c>
      <c r="CF32" s="61">
        <f>-(BS!CF12-BS!CE12)+CE32</f>
        <v>0</v>
      </c>
      <c r="CG32" s="1125">
        <f t="shared" si="49"/>
        <v>0</v>
      </c>
      <c r="CH32" s="61"/>
      <c r="CI32" s="61">
        <f>-(BS!CI12-BS!CG12)</f>
        <v>0</v>
      </c>
      <c r="CJ32" s="61">
        <f>-(BS!CJ12-BS!CI12)+CI32</f>
        <v>0</v>
      </c>
      <c r="CK32" s="61">
        <f>-(BS!CK12-BS!CJ12)+CJ32</f>
        <v>0</v>
      </c>
      <c r="CL32" s="473">
        <f>-(BS!CL12-BS!CK12)+CK32</f>
        <v>0</v>
      </c>
      <c r="CM32" s="1125">
        <f t="shared" si="50"/>
        <v>0</v>
      </c>
      <c r="CN32" s="61"/>
      <c r="CO32" s="61">
        <f>-(BS!CO12-BS!CM12)</f>
        <v>0</v>
      </c>
      <c r="CP32" s="61">
        <f>-(BS!CP12-BS!CO12)+CO32</f>
        <v>0</v>
      </c>
      <c r="CQ32" s="61">
        <f>-(BS!CQ12-BS!CP12)+CP32</f>
        <v>0</v>
      </c>
      <c r="CR32" s="61">
        <f>-(BS!CR12-BS!CQ12)+CQ32</f>
        <v>0</v>
      </c>
      <c r="CS32" s="1125">
        <f t="shared" si="51"/>
        <v>0</v>
      </c>
      <c r="CT32" s="61"/>
      <c r="CU32" s="61">
        <f>-(BS!CU12-BS!CS12)</f>
        <v>0</v>
      </c>
      <c r="CV32" s="61">
        <f>-(BS!CV12-BS!CU12)+CU32</f>
        <v>0</v>
      </c>
      <c r="CW32" s="61">
        <f>-(BS!CW12-BS!CV12)+CV32</f>
        <v>0</v>
      </c>
      <c r="CX32" s="61">
        <f>-(BS!CX12-BS!CW12)+CW32</f>
        <v>0</v>
      </c>
      <c r="CY32" s="1125">
        <f t="shared" si="52"/>
        <v>0</v>
      </c>
      <c r="CZ32" s="61"/>
      <c r="DA32" s="61">
        <f>-(BS!DA12-BS!CY12)</f>
        <v>0</v>
      </c>
      <c r="DB32" s="61">
        <f>-(BS!DB12-BS!DA12)+DA32</f>
        <v>0</v>
      </c>
      <c r="DC32" s="61">
        <f>-(BS!DC12-BS!DB12)+DB32</f>
        <v>0</v>
      </c>
      <c r="DD32" s="61">
        <f>-(BS!DD12-BS!DC12)+DC32</f>
        <v>0</v>
      </c>
      <c r="DE32" s="1125">
        <f t="shared" si="53"/>
        <v>0</v>
      </c>
      <c r="DF32" s="61"/>
      <c r="DG32" s="61">
        <f>-(BS!DG12-BS!DE12)</f>
        <v>0</v>
      </c>
      <c r="DH32" s="61">
        <f>-(BS!DH12-BS!DG12)+DG32</f>
        <v>0</v>
      </c>
      <c r="DI32" s="61">
        <f>-(BS!DI12-BS!DH12)+DH32</f>
        <v>0</v>
      </c>
      <c r="DJ32" s="61">
        <f>-(BS!DJ12-BS!DI12)+DI32</f>
        <v>0</v>
      </c>
      <c r="DK32" s="1125">
        <f t="shared" si="54"/>
        <v>0</v>
      </c>
      <c r="DL32" s="61"/>
      <c r="DM32" s="61">
        <f>-(BS!DM12-BS!DK12)</f>
        <v>0</v>
      </c>
      <c r="DN32" s="61">
        <f>-(BS!DN12-BS!DM12)+DM32</f>
        <v>0</v>
      </c>
      <c r="DO32" s="61">
        <v>0</v>
      </c>
      <c r="DP32" s="61">
        <v>0</v>
      </c>
      <c r="DQ32" s="1125">
        <f t="shared" si="55"/>
        <v>0</v>
      </c>
      <c r="DR32" s="61"/>
      <c r="DS32" s="61">
        <v>0</v>
      </c>
      <c r="DT32" s="61">
        <v>0</v>
      </c>
      <c r="DU32" s="61">
        <v>0</v>
      </c>
      <c r="DV32" s="61">
        <v>0</v>
      </c>
      <c r="DW32" s="1125">
        <f t="shared" si="56"/>
        <v>0</v>
      </c>
      <c r="DX32" s="61"/>
      <c r="DY32" s="61">
        <v>0</v>
      </c>
      <c r="DZ32" s="61">
        <v>0</v>
      </c>
      <c r="EA32" s="61">
        <v>0</v>
      </c>
      <c r="EB32" s="61">
        <v>0</v>
      </c>
      <c r="EC32" s="1125">
        <f t="shared" si="57"/>
        <v>0</v>
      </c>
      <c r="ED32" s="61"/>
      <c r="EE32" s="473">
        <f>-(BS!EE12-BS!EC12)</f>
        <v>0</v>
      </c>
      <c r="EF32" s="473">
        <f>-(BS!EF12-BS!EE12)+EE32</f>
        <v>0</v>
      </c>
      <c r="EG32" s="473">
        <f>-(BS!EG12-BS!EF12)+EF32</f>
        <v>0</v>
      </c>
      <c r="EH32" s="473">
        <f>-(BS!EH12-BS!EG12)+EG32</f>
        <v>0</v>
      </c>
      <c r="EI32" s="1125">
        <f t="shared" si="58"/>
        <v>0</v>
      </c>
      <c r="EJ32" s="61"/>
      <c r="EK32" s="473">
        <f>-(BS!EK12-BS!EI12)</f>
        <v>0</v>
      </c>
      <c r="EL32" s="473">
        <f>-(BS!EL12-BS!EK12)+EK32</f>
        <v>0</v>
      </c>
      <c r="EM32" s="473">
        <f>-(BS!EM12-BS!EL12)+EL32</f>
        <v>0</v>
      </c>
      <c r="EN32" s="473">
        <f>-(BS!EN12-BS!EM12)+EM32</f>
        <v>0</v>
      </c>
      <c r="EO32" s="1125">
        <f t="shared" si="59"/>
        <v>0</v>
      </c>
      <c r="EP32" s="61"/>
      <c r="EQ32" s="473">
        <f>-(BS!EQ12-BS!EO12)</f>
        <v>0</v>
      </c>
      <c r="ER32" s="473">
        <f>-(BS!ER12-BS!EQ12)+EQ32</f>
        <v>0</v>
      </c>
      <c r="ES32" s="473">
        <f>-(BS!ES12-BS!ER12)+ER32</f>
        <v>0</v>
      </c>
      <c r="ET32" s="473">
        <f>-(BS!ET12-BS!ES12)+ES32</f>
        <v>0</v>
      </c>
      <c r="EU32" s="1125">
        <f t="shared" si="60"/>
        <v>0</v>
      </c>
      <c r="EV32" s="45"/>
      <c r="EW32" s="45"/>
      <c r="FD32" s="45"/>
      <c r="FE32" s="45"/>
      <c r="FF32" s="45"/>
      <c r="FG32" s="45"/>
      <c r="FH32" s="45"/>
      <c r="FI32" s="45"/>
      <c r="FJ32" s="45"/>
      <c r="FK32" s="45"/>
      <c r="FL32" s="45"/>
      <c r="FM32" s="45"/>
      <c r="FN32" s="45"/>
      <c r="FO32" s="45"/>
      <c r="FP32" s="45"/>
    </row>
    <row r="33" spans="1:172" hidden="1" outlineLevel="1">
      <c r="A33" s="232" t="s">
        <v>5165</v>
      </c>
      <c r="B33" s="61"/>
      <c r="C33" s="62"/>
      <c r="D33" s="62"/>
      <c r="E33" s="62"/>
      <c r="F33" s="62"/>
      <c r="G33" s="62"/>
      <c r="H33" s="61"/>
      <c r="I33" s="62"/>
      <c r="J33" s="62"/>
      <c r="K33" s="62"/>
      <c r="L33" s="62"/>
      <c r="M33" s="62"/>
      <c r="N33" s="61"/>
      <c r="O33" s="62"/>
      <c r="P33" s="62"/>
      <c r="Q33" s="62"/>
      <c r="R33" s="62"/>
      <c r="S33" s="62"/>
      <c r="T33" s="61"/>
      <c r="U33" s="62"/>
      <c r="V33" s="62"/>
      <c r="W33" s="62"/>
      <c r="X33" s="62"/>
      <c r="Y33" s="62"/>
      <c r="Z33" s="61"/>
      <c r="AA33" s="62"/>
      <c r="AB33" s="62"/>
      <c r="AC33" s="62"/>
      <c r="AD33" s="62"/>
      <c r="AE33" s="62"/>
      <c r="AF33" s="61"/>
      <c r="AG33" s="62"/>
      <c r="AH33" s="62"/>
      <c r="AI33" s="62"/>
      <c r="AJ33" s="62"/>
      <c r="AK33" s="62"/>
      <c r="AL33" s="61"/>
      <c r="AM33" s="62"/>
      <c r="AN33" s="62"/>
      <c r="AO33" s="62"/>
      <c r="AP33" s="62">
        <v>38.99</v>
      </c>
      <c r="AQ33" s="62">
        <f t="shared" si="19"/>
        <v>38.99</v>
      </c>
      <c r="AR33" s="61"/>
      <c r="AS33" s="62"/>
      <c r="AT33" s="62"/>
      <c r="AU33" s="62"/>
      <c r="AV33" s="62">
        <v>9.6839999999999993</v>
      </c>
      <c r="AW33" s="62">
        <f t="shared" si="40"/>
        <v>9.6839999999999993</v>
      </c>
      <c r="AX33" s="61"/>
      <c r="AY33" s="473"/>
      <c r="AZ33" s="473"/>
      <c r="BA33" s="473"/>
      <c r="BB33" s="412">
        <v>-100.8</v>
      </c>
      <c r="BC33" s="412">
        <f t="shared" si="63"/>
        <v>-100.8</v>
      </c>
      <c r="BD33" s="61"/>
      <c r="BE33" s="473"/>
      <c r="BF33" s="473"/>
      <c r="BG33" s="473"/>
      <c r="BH33" s="61">
        <v>-84</v>
      </c>
      <c r="BI33" s="61">
        <f t="shared" si="61"/>
        <v>-84</v>
      </c>
      <c r="BJ33" s="61"/>
      <c r="BK33" s="63"/>
      <c r="BL33" s="473"/>
      <c r="BM33" s="473"/>
      <c r="BN33" s="61">
        <v>40.1</v>
      </c>
      <c r="BO33" s="1125">
        <f t="shared" si="62"/>
        <v>40.1</v>
      </c>
      <c r="BP33" s="61"/>
      <c r="BQ33" s="473"/>
      <c r="BR33" s="473"/>
      <c r="BS33" s="473"/>
      <c r="BT33" s="61">
        <v>56.5</v>
      </c>
      <c r="BU33" s="1125">
        <f t="shared" si="47"/>
        <v>56.5</v>
      </c>
      <c r="BV33" s="61"/>
      <c r="BW33" s="61">
        <f>-(BS!BW13-BS!BU13)+-(BS!BW22-BS!BU22)+(BS!BW36-BS!BU36)</f>
        <v>12.899999999999991</v>
      </c>
      <c r="BX33" s="61">
        <f>-(BS!BX13-BS!BW13)+-(BS!BX22-BS!BW22)+(BS!BX36-BS!BW36)+BW33</f>
        <v>23.699999999999989</v>
      </c>
      <c r="BY33" s="61">
        <f>-(BS!BY13-BS!BX13)+-(BS!BY22-BS!BX22)+(BS!BY36-BS!BX36)+BX33</f>
        <v>28.599999999999987</v>
      </c>
      <c r="BZ33" s="61">
        <f>-(BS!BZ13-BS!BY13)+-(BS!BZ22-BS!BY22)+(BS!BZ36-BS!BY36)+BY33</f>
        <v>-7.4000000000000128</v>
      </c>
      <c r="CA33" s="1125">
        <f t="shared" si="48"/>
        <v>-7.4000000000000128</v>
      </c>
      <c r="CB33" s="61"/>
      <c r="CC33" s="61">
        <f>-(BS!CC13-BS!CA13)+-(BS!CC22-BS!CA22)+(BS!CC36-BS!CA36)</f>
        <v>21.500000000000007</v>
      </c>
      <c r="CD33" s="61">
        <f>-(BS!CD13-BS!CC13)+-(BS!CD22-BS!CC22)+(BS!CD36-BS!CC36)+CC33</f>
        <v>15.800000000000004</v>
      </c>
      <c r="CE33" s="61">
        <f>-(BS!CE13-BS!CD13)+-(BS!CE22-BS!CD22)+(BS!CE36-BS!CD36)+CD33</f>
        <v>14.300000000000004</v>
      </c>
      <c r="CF33" s="61">
        <f>-(BS!CF13-BS!CE13)+-(BS!CF22-BS!CE22)+(BS!CF36-BS!CE36)+CE33</f>
        <v>10.699999999999996</v>
      </c>
      <c r="CG33" s="1125">
        <f t="shared" si="49"/>
        <v>10.699999999999996</v>
      </c>
      <c r="CH33" s="61"/>
      <c r="CI33" s="61">
        <f>-(BS!CI13-BS!CG13)+-(BS!CI22-BS!CG22)+(BS!CI36-BS!CG36)</f>
        <v>-10.099999999999994</v>
      </c>
      <c r="CJ33" s="61">
        <f>-(BS!CJ13-BS!CI13)+-(BS!CJ22-BS!CI22)+(BS!CJ36-BS!CI36)+CI33</f>
        <v>-10.599999999999987</v>
      </c>
      <c r="CK33" s="61">
        <f>-(BS!CK13-BS!CJ13)+-(BS!CK22-BS!CJ22)+(BS!CK36-BS!CJ36)+CJ33</f>
        <v>-6.2999999999999972</v>
      </c>
      <c r="CL33" s="473">
        <f>-(BS!CL13-BS!CK13)+-(BS!CL22-BS!CK22)+(BS!CL36-BS!CK36)+CK33</f>
        <v>-1.3999999999999915</v>
      </c>
      <c r="CM33" s="1125">
        <f t="shared" si="50"/>
        <v>-1.3999999999999915</v>
      </c>
      <c r="CN33" s="61"/>
      <c r="CO33" s="61">
        <f>-(BS!CO13-BS!CM13)+-(BS!CO22-BS!CM22)+(BS!CO36-BS!CM36)</f>
        <v>5.6999999999999957</v>
      </c>
      <c r="CP33" s="61">
        <f>-(BS!CP13-BS!CO13)+-(BS!CP22-BS!CO22)+(BS!CP36-BS!CO36)+CO33</f>
        <v>-6.5999999999999943</v>
      </c>
      <c r="CQ33" s="61">
        <f>-(BS!CQ13-BS!CP13)+-(BS!CQ22-BS!CP22)+(BS!CQ36-BS!CP36)+CP33</f>
        <v>-25.399999999999991</v>
      </c>
      <c r="CR33" s="61">
        <f>-(BS!CR13-BS!CQ13)+-(BS!CR22-BS!CQ22)+(BS!CR36-BS!CQ36)+CQ33</f>
        <v>-18.400000000000013</v>
      </c>
      <c r="CS33" s="1125">
        <f t="shared" si="51"/>
        <v>-18.400000000000013</v>
      </c>
      <c r="CT33" s="61"/>
      <c r="CU33" s="61">
        <f>-(BS!CU13-BS!CS13)+-(BS!CU22-BS!CS22)+(BS!CU36-BS!CS36)</f>
        <v>-2.1000000000000014</v>
      </c>
      <c r="CV33" s="61">
        <f>-(BS!CV13-BS!CU13)+-(BS!CV22-BS!CU22)+(BS!CV36-BS!CU36)+CU33</f>
        <v>-15.699999999999996</v>
      </c>
      <c r="CW33" s="61">
        <f>-(BS!CW13-BS!CV13)+-(BS!CW22-BS!CV22)+(BS!CW36-BS!CV36)+CV33</f>
        <v>-10.799999999999997</v>
      </c>
      <c r="CX33" s="61">
        <f>-(BS!CX13-BS!CW13)+-(BS!CX22-BS!CW22)+(BS!CX36-BS!CW36)+CW33</f>
        <v>0.90000000000001279</v>
      </c>
      <c r="CY33" s="1125">
        <f t="shared" si="52"/>
        <v>0.90000000000001279</v>
      </c>
      <c r="CZ33" s="61"/>
      <c r="DA33" s="61">
        <f>-(BS!DA13-BS!CY13)+-(BS!DA22-BS!CY22)+(BS!DA36-BS!CY36)</f>
        <v>-25.300000000000011</v>
      </c>
      <c r="DB33" s="61">
        <f>-(BS!DB13-BS!DA13)+-(BS!DB22-BS!DA22)+(BS!DB36-BS!DA36)+DA33</f>
        <v>-11.899999999999999</v>
      </c>
      <c r="DC33" s="61">
        <f>-(BS!DC13-BS!DB13)+-(BS!DC22-BS!DB22)+(BS!DC36-BS!DB36)+DB33</f>
        <v>-6.7999999999999972</v>
      </c>
      <c r="DD33" s="61">
        <f>-(BS!DD13-BS!DC13)+-(BS!DD22-BS!DC22)+(BS!DD36-BS!DC36)+DC33</f>
        <v>-22.899999999999991</v>
      </c>
      <c r="DE33" s="1125">
        <f t="shared" si="53"/>
        <v>-22.899999999999991</v>
      </c>
      <c r="DF33" s="61"/>
      <c r="DG33" s="61">
        <f>-(BS!DG13-BS!DE13)+-(BS!DG22-BS!DE22)+(BS!DG36-BS!DE36)</f>
        <v>39.799999999999997</v>
      </c>
      <c r="DH33" s="61">
        <f>-(BS!DH13-BS!DG13)+-(BS!DH22-BS!DG22)+(BS!DH36-BS!DG36)+DG33</f>
        <v>24.799999999999997</v>
      </c>
      <c r="DI33" s="61">
        <f>-(BS!DI13-BS!DH13)+-(BS!DI22-BS!DH22)+(BS!DI36-BS!DH36)+DH33</f>
        <v>9.4999999999999858</v>
      </c>
      <c r="DJ33" s="61">
        <f>-(BS!DJ13-BS!DI13)+-(BS!DJ22-BS!DI22)+(BS!DJ36-BS!DI36)+DI33</f>
        <v>2.7999999999999972</v>
      </c>
      <c r="DK33" s="1125">
        <f t="shared" si="54"/>
        <v>2.7999999999999972</v>
      </c>
      <c r="DL33" s="61"/>
      <c r="DM33" s="61">
        <f>-(BS!DM13-BS!DK13)+-(BS!DM22-BS!DK22)+(BS!DM36-BS!DK36)</f>
        <v>-2.9000000000000057</v>
      </c>
      <c r="DN33" s="61">
        <f>-(BS!DN13-BS!DM13)+-(BS!DN22-BS!DM22)+(BS!DN36-BS!DM36)+DM33</f>
        <v>199.8</v>
      </c>
      <c r="DO33" s="61">
        <v>221.9</v>
      </c>
      <c r="DP33" s="61">
        <v>231.4</v>
      </c>
      <c r="DQ33" s="1125">
        <f t="shared" si="55"/>
        <v>231.4</v>
      </c>
      <c r="DR33" s="61"/>
      <c r="DS33" s="61">
        <v>0</v>
      </c>
      <c r="DT33" s="61">
        <v>0</v>
      </c>
      <c r="DU33" s="61">
        <v>0</v>
      </c>
      <c r="DV33" s="61">
        <v>-37.299999999999997</v>
      </c>
      <c r="DW33" s="1125">
        <f t="shared" si="56"/>
        <v>-37.299999999999997</v>
      </c>
      <c r="DX33" s="61"/>
      <c r="DY33" s="61">
        <v>-0.4</v>
      </c>
      <c r="DZ33" s="61">
        <v>0</v>
      </c>
      <c r="EA33" s="61">
        <v>0</v>
      </c>
      <c r="EB33" s="61">
        <v>-39.1</v>
      </c>
      <c r="EC33" s="1125">
        <f t="shared" si="57"/>
        <v>-39.1</v>
      </c>
      <c r="ED33" s="61"/>
      <c r="EE33" s="473">
        <f>-(BS!EE13-BS!EC13)+-(BS!EE22-BS!EC22)+(BS!EE36-BS!EC36)</f>
        <v>0</v>
      </c>
      <c r="EF33" s="473">
        <f>-(BS!EF13-BS!EE13)+-(BS!EF22-BS!EE22)+(BS!EF36-BS!EE36)+EE33</f>
        <v>0</v>
      </c>
      <c r="EG33" s="473">
        <f>-(BS!EG13-BS!EF13)+-(BS!EG22-BS!EF22)+(BS!EG36-BS!EF36)+EF33</f>
        <v>0</v>
      </c>
      <c r="EH33" s="473">
        <f>-(BS!EH13-BS!EG13)+-(BS!EH22-BS!EG22)+(BS!EH36-BS!EG36)+EG33</f>
        <v>0</v>
      </c>
      <c r="EI33" s="1125">
        <f t="shared" si="58"/>
        <v>0</v>
      </c>
      <c r="EJ33" s="61"/>
      <c r="EK33" s="473">
        <f>-(BS!EK13-BS!EI13)+-(BS!EK22-BS!EI22)+(BS!EK36-BS!EI36)</f>
        <v>0</v>
      </c>
      <c r="EL33" s="473">
        <f>-(BS!EL13-BS!EK13)+-(BS!EL22-BS!EK22)+(BS!EL36-BS!EK36)+EK33</f>
        <v>0</v>
      </c>
      <c r="EM33" s="473">
        <f>-(BS!EM13-BS!EL13)+-(BS!EM22-BS!EL22)+(BS!EM36-BS!EL36)+EL33</f>
        <v>0</v>
      </c>
      <c r="EN33" s="473">
        <f>-(BS!EN13-BS!EM13)+-(BS!EN22-BS!EM22)+(BS!EN36-BS!EM36)+EM33</f>
        <v>0</v>
      </c>
      <c r="EO33" s="1125">
        <f t="shared" si="59"/>
        <v>0</v>
      </c>
      <c r="EP33" s="61"/>
      <c r="EQ33" s="473">
        <f>-(BS!EQ13-BS!EO13)+-(BS!EQ22-BS!EO22)+(BS!EQ36-BS!EO36)</f>
        <v>0</v>
      </c>
      <c r="ER33" s="473">
        <f>-(BS!ER13-BS!EQ13)+-(BS!ER22-BS!EQ22)+(BS!ER36-BS!EQ36)+EQ33</f>
        <v>0</v>
      </c>
      <c r="ES33" s="473">
        <f>-(BS!ES13-BS!ER13)+-(BS!ES22-BS!ER22)+(BS!ES36-BS!ER36)+ER33</f>
        <v>0</v>
      </c>
      <c r="ET33" s="473">
        <f>-(BS!ET13-BS!ES13)+-(BS!ET22-BS!ES22)+(BS!ET36-BS!ES36)+ES33</f>
        <v>0</v>
      </c>
      <c r="EU33" s="1125">
        <f t="shared" si="60"/>
        <v>0</v>
      </c>
      <c r="EV33" s="45"/>
      <c r="EW33" s="45"/>
      <c r="FD33" s="45"/>
      <c r="FE33" s="45"/>
      <c r="FF33" s="45"/>
      <c r="FG33" s="45"/>
      <c r="FH33" s="45"/>
      <c r="FI33" s="45"/>
      <c r="FJ33" s="45"/>
      <c r="FK33" s="45"/>
      <c r="FL33" s="45"/>
      <c r="FM33" s="45"/>
      <c r="FN33" s="45"/>
      <c r="FO33" s="45"/>
      <c r="FP33" s="45"/>
    </row>
    <row r="34" spans="1:172" hidden="1" outlineLevel="1">
      <c r="A34" s="232" t="s">
        <v>334</v>
      </c>
      <c r="B34" s="61"/>
      <c r="C34" s="62"/>
      <c r="D34" s="62"/>
      <c r="E34" s="62"/>
      <c r="F34" s="62"/>
      <c r="G34" s="62"/>
      <c r="H34" s="61"/>
      <c r="I34" s="62"/>
      <c r="J34" s="62"/>
      <c r="K34" s="62"/>
      <c r="L34" s="62"/>
      <c r="M34" s="62"/>
      <c r="N34" s="61"/>
      <c r="O34" s="62"/>
      <c r="P34" s="62"/>
      <c r="Q34" s="62"/>
      <c r="R34" s="62"/>
      <c r="S34" s="62"/>
      <c r="T34" s="61"/>
      <c r="U34" s="62"/>
      <c r="V34" s="62"/>
      <c r="W34" s="62"/>
      <c r="X34" s="62"/>
      <c r="Y34" s="62"/>
      <c r="Z34" s="61"/>
      <c r="AA34" s="62"/>
      <c r="AB34" s="62"/>
      <c r="AC34" s="62"/>
      <c r="AD34" s="62"/>
      <c r="AE34" s="62"/>
      <c r="AF34" s="61"/>
      <c r="AG34" s="62"/>
      <c r="AH34" s="62"/>
      <c r="AI34" s="62"/>
      <c r="AJ34" s="62"/>
      <c r="AK34" s="62"/>
      <c r="AL34" s="61"/>
      <c r="AM34" s="62"/>
      <c r="AN34" s="62"/>
      <c r="AO34" s="62"/>
      <c r="AP34" s="62">
        <v>7.657</v>
      </c>
      <c r="AQ34" s="62">
        <f t="shared" si="19"/>
        <v>7.657</v>
      </c>
      <c r="AR34" s="61"/>
      <c r="AS34" s="62"/>
      <c r="AT34" s="62"/>
      <c r="AU34" s="62"/>
      <c r="AV34" s="62">
        <v>4.4649999999999999</v>
      </c>
      <c r="AW34" s="62">
        <f t="shared" si="40"/>
        <v>4.4649999999999999</v>
      </c>
      <c r="AX34" s="61"/>
      <c r="AY34" s="473"/>
      <c r="AZ34" s="473"/>
      <c r="BA34" s="473"/>
      <c r="BB34" s="412">
        <v>-1.3</v>
      </c>
      <c r="BC34" s="412">
        <f t="shared" si="63"/>
        <v>-1.3</v>
      </c>
      <c r="BD34" s="61"/>
      <c r="BE34" s="473"/>
      <c r="BF34" s="473"/>
      <c r="BG34" s="473"/>
      <c r="BH34" s="61">
        <v>0.3</v>
      </c>
      <c r="BI34" s="61">
        <f t="shared" si="61"/>
        <v>0.3</v>
      </c>
      <c r="BJ34" s="61"/>
      <c r="BK34" s="63"/>
      <c r="BL34" s="473"/>
      <c r="BM34" s="473"/>
      <c r="BN34" s="61">
        <v>2.2999999999999998</v>
      </c>
      <c r="BO34" s="1125">
        <f t="shared" si="62"/>
        <v>2.2999999999999998</v>
      </c>
      <c r="BP34" s="61"/>
      <c r="BQ34" s="473"/>
      <c r="BR34" s="473"/>
      <c r="BS34" s="473"/>
      <c r="BT34" s="61">
        <v>-13.6</v>
      </c>
      <c r="BU34" s="1125">
        <f t="shared" si="47"/>
        <v>-13.6</v>
      </c>
      <c r="BV34" s="61"/>
      <c r="BW34" s="61">
        <f>-(BS!BW15-BS!BU15)-(BS!BW23-BS!BU23)</f>
        <v>0.10000000000000142</v>
      </c>
      <c r="BX34" s="61">
        <f>-(BS!BX15-BS!BW15)-(BS!BX23-BS!BW23)+BW34</f>
        <v>-52.5</v>
      </c>
      <c r="BY34" s="61">
        <f>-(BS!BY15-BS!BX15)-(BS!BY23-BS!BX23)+BX34</f>
        <v>-36.1</v>
      </c>
      <c r="BZ34" s="61">
        <f>-(BS!BZ15-BS!BY15)-(BS!BZ23-BS!BY23)+BY34</f>
        <v>-54.999999999999993</v>
      </c>
      <c r="CA34" s="1125">
        <f t="shared" si="48"/>
        <v>-54.999999999999993</v>
      </c>
      <c r="CB34" s="61"/>
      <c r="CC34" s="61">
        <f>-(BS!CC15-BS!CA15)-(BS!CC23-BS!CA23)</f>
        <v>-10.400000000000006</v>
      </c>
      <c r="CD34" s="61">
        <f>-(BS!CD15-BS!CC15)-(BS!CD23-BS!CC23)+CC34</f>
        <v>5.2999999999999972</v>
      </c>
      <c r="CE34" s="61">
        <f>-(BS!CE15-BS!CD15)-(BS!CE23-BS!CD23)+CD34</f>
        <v>10</v>
      </c>
      <c r="CF34" s="61">
        <f>-(BS!CF15-BS!CE15)-(BS!CF23-BS!CE23)+CE34</f>
        <v>17.300000000000004</v>
      </c>
      <c r="CG34" s="1125">
        <f t="shared" si="49"/>
        <v>17.300000000000004</v>
      </c>
      <c r="CH34" s="61"/>
      <c r="CI34" s="61">
        <f>-(BS!CI15-BS!CG15)-(BS!CI23-BS!CG23)</f>
        <v>-7.2000000000000099</v>
      </c>
      <c r="CJ34" s="61">
        <f>-(BS!CJ15-BS!CI15)-(BS!CJ23-BS!CI23)+CI34</f>
        <v>6.1999999999999957</v>
      </c>
      <c r="CK34" s="61">
        <f>-(BS!CK15-BS!CJ15)-(BS!CK23-BS!CJ23)+CJ34</f>
        <v>12.79999999999999</v>
      </c>
      <c r="CL34" s="473">
        <f>-(BS!CL15-BS!CK15)-(BS!CL23-BS!CK23)+CK34</f>
        <v>5.9999999999999929</v>
      </c>
      <c r="CM34" s="1125">
        <f t="shared" si="50"/>
        <v>5.9999999999999929</v>
      </c>
      <c r="CN34" s="61"/>
      <c r="CO34" s="61">
        <f>-(BS!CO15-BS!CM15)-(BS!CO23-BS!CM23)</f>
        <v>-36.400000000000006</v>
      </c>
      <c r="CP34" s="61">
        <f>-(BS!CP15-BS!CO15)-(BS!CP23-BS!CO23)+CO34</f>
        <v>-29.100000000000009</v>
      </c>
      <c r="CQ34" s="61">
        <f>-(BS!CQ15-BS!CP15)-(BS!CQ23-BS!CP23)+CP34</f>
        <v>-33.29999999999999</v>
      </c>
      <c r="CR34" s="61">
        <f>-(BS!CR15-BS!CQ15)-(BS!CR23-BS!CQ23)+CQ34</f>
        <v>-32.20000000000001</v>
      </c>
      <c r="CS34" s="1125">
        <f t="shared" si="51"/>
        <v>-32.20000000000001</v>
      </c>
      <c r="CT34" s="61"/>
      <c r="CU34" s="61">
        <f>-(BS!CU15-BS!CS15)-(BS!CU23-BS!CS23)</f>
        <v>0.60000000000000142</v>
      </c>
      <c r="CV34" s="61">
        <f>-(BS!CV15-BS!CU15)-(BS!CV23-BS!CU23)+CU34</f>
        <v>-5.2999999999999758</v>
      </c>
      <c r="CW34" s="61">
        <f>-(BS!CW15-BS!CV15)-(BS!CW23-BS!CV23)+CV34</f>
        <v>-15.499999999999993</v>
      </c>
      <c r="CX34" s="61">
        <f>-(BS!CX15-BS!CW15)-(BS!CX23-BS!CW23)+CW34</f>
        <v>-29.299999999999976</v>
      </c>
      <c r="CY34" s="1125">
        <f t="shared" si="52"/>
        <v>-29.299999999999976</v>
      </c>
      <c r="CZ34" s="61"/>
      <c r="DA34" s="61">
        <f>-(BS!DA15-BS!CY15)-(BS!DA23-BS!CY23)</f>
        <v>-19.300000000000026</v>
      </c>
      <c r="DB34" s="61">
        <f>-(BS!DB15-BS!DA15)-(BS!DB23-BS!DA23)+DA34</f>
        <v>-14.299999999999997</v>
      </c>
      <c r="DC34" s="61">
        <f>-(BS!DC15-BS!DB15)-(BS!DC23-BS!DB23)+DB34</f>
        <v>-35.400000000000006</v>
      </c>
      <c r="DD34" s="61">
        <f>-(BS!DD15-BS!DC15)-(BS!DD23-BS!DC23)+DC34</f>
        <v>-15.200000000000031</v>
      </c>
      <c r="DE34" s="1125">
        <f t="shared" si="53"/>
        <v>-15.200000000000031</v>
      </c>
      <c r="DF34" s="61"/>
      <c r="DG34" s="61">
        <f>-(BS!DG15-BS!DE15)-(BS!DG23-BS!DE23)</f>
        <v>-59.09999999999998</v>
      </c>
      <c r="DH34" s="61">
        <f>-(BS!DH15-BS!DG15)-(BS!DH23-BS!DG23)+DG34</f>
        <v>-75.599999999999994</v>
      </c>
      <c r="DI34" s="61">
        <f>-(BS!DI15-BS!DH15)-(BS!DI23-BS!DH23)+DH34</f>
        <v>-58.399999999999977</v>
      </c>
      <c r="DJ34" s="61">
        <f>-(BS!DJ15-BS!DI15)-(BS!DJ23-BS!DI23)+DI34</f>
        <v>-32.799999999999983</v>
      </c>
      <c r="DK34" s="1125">
        <f t="shared" si="54"/>
        <v>-32.799999999999983</v>
      </c>
      <c r="DL34" s="61"/>
      <c r="DM34" s="61">
        <f>-(BS!DM15-BS!DK15)-(BS!DM23-BS!DK23)</f>
        <v>-14.400000000000006</v>
      </c>
      <c r="DN34" s="61">
        <f>-(BS!DN15-BS!DM15)-(BS!DN23-BS!DM23)+DM34</f>
        <v>-7.3999999999999915</v>
      </c>
      <c r="DO34" s="61">
        <v>-5.5</v>
      </c>
      <c r="DP34" s="61">
        <v>-2.8</v>
      </c>
      <c r="DQ34" s="1125">
        <f t="shared" si="55"/>
        <v>-2.8</v>
      </c>
      <c r="DR34" s="61"/>
      <c r="DS34" s="61">
        <v>-14.9</v>
      </c>
      <c r="DT34" s="61">
        <v>-23.3</v>
      </c>
      <c r="DU34" s="61">
        <v>-12.7</v>
      </c>
      <c r="DV34" s="61">
        <v>-14.7</v>
      </c>
      <c r="DW34" s="1125">
        <f t="shared" si="56"/>
        <v>-14.7</v>
      </c>
      <c r="DX34" s="61"/>
      <c r="DY34" s="61">
        <v>6.2</v>
      </c>
      <c r="DZ34" s="61">
        <v>-2.4</v>
      </c>
      <c r="EA34" s="61">
        <v>-6.5</v>
      </c>
      <c r="EB34" s="61">
        <v>-9.9</v>
      </c>
      <c r="EC34" s="1125">
        <f t="shared" si="57"/>
        <v>-9.9</v>
      </c>
      <c r="ED34" s="61"/>
      <c r="EE34" s="473">
        <f>-(BS!EE15-BS!EC15)-(BS!EE23-BS!EC23)</f>
        <v>-4.2574861085074929</v>
      </c>
      <c r="EF34" s="473">
        <f>-(BS!EF15-BS!EE15)-(BS!EF23-BS!EE23)+EE34</f>
        <v>-22.241482154302915</v>
      </c>
      <c r="EG34" s="473">
        <f>-(BS!EG15-BS!EF15)-(BS!EG23-BS!EF23)+EF34</f>
        <v>-19.792129770098413</v>
      </c>
      <c r="EH34" s="473">
        <f>-(BS!EH15-BS!EG15)-(BS!EH23-BS!EG23)+EG34</f>
        <v>-15.791229715014268</v>
      </c>
      <c r="EI34" s="1125">
        <f t="shared" si="58"/>
        <v>-15.791229715014268</v>
      </c>
      <c r="EJ34" s="61"/>
      <c r="EK34" s="473">
        <f>-(BS!EK15-BS!EI15)-(BS!EK23-BS!EI23)</f>
        <v>-1.5378871276105457</v>
      </c>
      <c r="EL34" s="473">
        <f>-(BS!EL15-BS!EK15)-(BS!EL23-BS!EK23)+EK34</f>
        <v>-18.776339521638292</v>
      </c>
      <c r="EM34" s="473">
        <f>-(BS!EM15-BS!EL15)-(BS!EM23-BS!EL23)+EL34</f>
        <v>-12.854097443747932</v>
      </c>
      <c r="EN34" s="473">
        <f>-(BS!EN15-BS!EM15)-(BS!EN23-BS!EM23)+EM34</f>
        <v>-1.0838827567557843</v>
      </c>
      <c r="EO34" s="1125">
        <f t="shared" si="59"/>
        <v>-1.0838827567557843</v>
      </c>
      <c r="EP34" s="61"/>
      <c r="EQ34" s="473">
        <f>-(BS!EQ15-BS!EO15)-(BS!EQ23-BS!EO23)</f>
        <v>-16.241221810862726</v>
      </c>
      <c r="ER34" s="473">
        <f>-(BS!ER15-BS!EQ15)-(BS!ER23-BS!EQ23)+EQ34</f>
        <v>-33.306698418610949</v>
      </c>
      <c r="ES34" s="473">
        <f>-(BS!ES15-BS!ER15)-(BS!ES23-BS!ER23)+ER34</f>
        <v>-24.76384204175784</v>
      </c>
      <c r="ET34" s="473">
        <f>-(BS!ET15-BS!ES15)-(BS!ET23-BS!ES23)+ES34</f>
        <v>-6.8209580930877252</v>
      </c>
      <c r="EU34" s="1125">
        <f t="shared" si="60"/>
        <v>-6.8209580930877252</v>
      </c>
      <c r="EV34" s="45"/>
      <c r="EW34" s="45"/>
      <c r="FD34" s="45"/>
      <c r="FE34" s="45"/>
      <c r="FF34" s="45"/>
      <c r="FG34" s="45"/>
      <c r="FH34" s="45"/>
      <c r="FI34" s="45"/>
      <c r="FJ34" s="45"/>
      <c r="FK34" s="45"/>
      <c r="FL34" s="45"/>
      <c r="FM34" s="45"/>
      <c r="FN34" s="45"/>
      <c r="FO34" s="45"/>
      <c r="FP34" s="45"/>
    </row>
    <row r="35" spans="1:172" hidden="1" outlineLevel="1">
      <c r="A35" s="232" t="s">
        <v>487</v>
      </c>
      <c r="B35" s="61"/>
      <c r="C35" s="62"/>
      <c r="D35" s="62"/>
      <c r="E35" s="62"/>
      <c r="F35" s="62"/>
      <c r="G35" s="62"/>
      <c r="H35" s="61"/>
      <c r="I35" s="62"/>
      <c r="J35" s="62"/>
      <c r="K35" s="62"/>
      <c r="L35" s="62"/>
      <c r="M35" s="62"/>
      <c r="N35" s="61"/>
      <c r="O35" s="62"/>
      <c r="P35" s="62"/>
      <c r="Q35" s="62"/>
      <c r="R35" s="62"/>
      <c r="S35" s="62"/>
      <c r="T35" s="61"/>
      <c r="U35" s="62"/>
      <c r="V35" s="62"/>
      <c r="W35" s="62"/>
      <c r="X35" s="62"/>
      <c r="Y35" s="62"/>
      <c r="Z35" s="61"/>
      <c r="AA35" s="62"/>
      <c r="AB35" s="62"/>
      <c r="AC35" s="62"/>
      <c r="AD35" s="62"/>
      <c r="AE35" s="62"/>
      <c r="AF35" s="61"/>
      <c r="AG35" s="62"/>
      <c r="AH35" s="62"/>
      <c r="AI35" s="62"/>
      <c r="AJ35" s="62"/>
      <c r="AK35" s="62"/>
      <c r="AL35" s="61"/>
      <c r="AM35" s="62"/>
      <c r="AN35" s="62"/>
      <c r="AO35" s="62"/>
      <c r="AP35" s="62">
        <v>-63.622999999999998</v>
      </c>
      <c r="AQ35" s="62">
        <f t="shared" si="19"/>
        <v>-63.622999999999998</v>
      </c>
      <c r="AR35" s="61"/>
      <c r="AS35" s="62"/>
      <c r="AT35" s="62"/>
      <c r="AU35" s="62"/>
      <c r="AV35" s="62">
        <v>23.937999999999999</v>
      </c>
      <c r="AW35" s="62">
        <f t="shared" si="40"/>
        <v>23.937999999999999</v>
      </c>
      <c r="AX35" s="61"/>
      <c r="AY35" s="473"/>
      <c r="AZ35" s="473"/>
      <c r="BA35" s="473"/>
      <c r="BB35" s="412">
        <v>40.6</v>
      </c>
      <c r="BC35" s="412">
        <f t="shared" si="63"/>
        <v>40.6</v>
      </c>
      <c r="BD35" s="61"/>
      <c r="BE35" s="473"/>
      <c r="BF35" s="473"/>
      <c r="BG35" s="473"/>
      <c r="BH35" s="61">
        <v>-14.4</v>
      </c>
      <c r="BI35" s="61">
        <f t="shared" si="61"/>
        <v>-14.4</v>
      </c>
      <c r="BJ35" s="61"/>
      <c r="BK35" s="63"/>
      <c r="BL35" s="473"/>
      <c r="BM35" s="473"/>
      <c r="BN35" s="61">
        <v>2.4</v>
      </c>
      <c r="BO35" s="1125">
        <f t="shared" si="62"/>
        <v>2.4</v>
      </c>
      <c r="BP35" s="61"/>
      <c r="BQ35" s="473"/>
      <c r="BR35" s="473"/>
      <c r="BS35" s="473"/>
      <c r="BT35" s="61">
        <v>81.400000000000006</v>
      </c>
      <c r="BU35" s="1125">
        <f t="shared" si="47"/>
        <v>81.400000000000006</v>
      </c>
      <c r="BV35" s="61"/>
      <c r="BW35" s="61">
        <f>(BS!BW27-BS!BU27)+(BS!BW28-BS!BU28)+(BS!BW33-BS!BU33)</f>
        <v>-47</v>
      </c>
      <c r="BX35" s="61">
        <f>(BS!BX27-BS!BW27)+(BS!BX28-BS!BW28)+(BS!BX33-BS!BW33)+BW35</f>
        <v>-44.300000000000011</v>
      </c>
      <c r="BY35" s="61">
        <f>(BS!BY27-BS!BX27)+(BS!BY28-BS!BX28)+(BS!BY33-BS!BX33)+BX35</f>
        <v>-78.900000000000006</v>
      </c>
      <c r="BZ35" s="61">
        <f>(BS!BZ27-BS!BY27)+(BS!BZ28-BS!BY28)+(BS!BZ33-BS!BY33)+BY35</f>
        <v>-38.900000000000013</v>
      </c>
      <c r="CA35" s="1125">
        <f t="shared" si="48"/>
        <v>-38.900000000000013</v>
      </c>
      <c r="CB35" s="61"/>
      <c r="CC35" s="61">
        <f>(BS!CC27-BS!CA27)+(BS!CC28-BS!CA28)+(BS!CC33-BS!CA33)</f>
        <v>-84.999999999999986</v>
      </c>
      <c r="CD35" s="61">
        <f>(BS!CD27-BS!CC27)+(BS!CD28-BS!CC28)+(BS!CD33-BS!CC33)+CC35</f>
        <v>-73.099999999999994</v>
      </c>
      <c r="CE35" s="61">
        <f>(BS!CE27-BS!CD27)+(BS!CE28-BS!CD28)+(BS!CE33-BS!CD33)+CD35</f>
        <v>-76.199999999999989</v>
      </c>
      <c r="CF35" s="61">
        <f>(BS!CF27-BS!CE27)+(BS!CF28-BS!CE28)+(BS!CF33-BS!CE33)+CE35</f>
        <v>-41.500000000000007</v>
      </c>
      <c r="CG35" s="1125">
        <f t="shared" si="49"/>
        <v>-41.500000000000007</v>
      </c>
      <c r="CH35" s="61"/>
      <c r="CI35" s="61">
        <f>(BS!CI27-BS!CG27)+(BS!CI28-BS!CG28)+(BS!CI33-BS!CG33)</f>
        <v>-25.899999999999977</v>
      </c>
      <c r="CJ35" s="61">
        <f>(BS!CJ27-BS!CI27)+(BS!CJ28-BS!CI28)+(BS!CJ33-BS!CI33)+CI35</f>
        <v>-5.0999999999999801</v>
      </c>
      <c r="CK35" s="61">
        <f>(BS!CK27-BS!CJ27)+(BS!CK28-BS!CJ28)+(BS!CK33-BS!CJ33)+CJ35</f>
        <v>25.400000000000013</v>
      </c>
      <c r="CL35" s="473">
        <f>(BS!CL27-BS!CK27)+(BS!CL28-BS!CK28)+(BS!CL33-BS!CK33)+CK35</f>
        <v>94</v>
      </c>
      <c r="CM35" s="1125">
        <f t="shared" si="50"/>
        <v>94</v>
      </c>
      <c r="CN35" s="61"/>
      <c r="CO35" s="61">
        <f>(BS!CO27-BS!CM27)+(BS!CO28-BS!CM28)+(BS!CO33-BS!CM33)</f>
        <v>-68.59999999999998</v>
      </c>
      <c r="CP35" s="61">
        <f>(BS!CP27-BS!CO27)+(BS!CP28-BS!CO28)+(BS!CP33-BS!CO33)+CO35</f>
        <v>-58.499999999999986</v>
      </c>
      <c r="CQ35" s="61">
        <f>(BS!CQ27-BS!CP27)+(BS!CQ28-BS!CP28)+(BS!CQ33-BS!CP33)+CP35</f>
        <v>-53.599999999999966</v>
      </c>
      <c r="CR35" s="61">
        <f>(BS!CR27-BS!CQ27)+(BS!CR28-BS!CQ28)+(BS!CR33-BS!CQ33)+CQ35</f>
        <v>12.40000000000002</v>
      </c>
      <c r="CS35" s="1125">
        <f t="shared" si="51"/>
        <v>12.40000000000002</v>
      </c>
      <c r="CT35" s="61"/>
      <c r="CU35" s="61">
        <f>(BS!CU27-BS!CS27)+(BS!CU28-BS!CS28)+(BS!CU33-BS!CS33)</f>
        <v>-84</v>
      </c>
      <c r="CV35" s="61">
        <f>(BS!CV27-BS!CU27)+(BS!CV28-BS!CU28)+(BS!CV33-BS!CU33)+CU35</f>
        <v>-63.900000000000006</v>
      </c>
      <c r="CW35" s="61">
        <f>(BS!CW27-BS!CV27)+(BS!CW28-BS!CV28)+(BS!CW33-BS!CV33)+CV35</f>
        <v>-54.300000000000011</v>
      </c>
      <c r="CX35" s="61">
        <f>(BS!CX27-BS!CW27)+(BS!CX28-BS!CW28)+(BS!CX33-BS!CW33)+CW35</f>
        <v>25.399999999999991</v>
      </c>
      <c r="CY35" s="1125">
        <f t="shared" si="52"/>
        <v>25.399999999999991</v>
      </c>
      <c r="CZ35" s="61"/>
      <c r="DA35" s="61">
        <f>(BS!DA27-BS!CY27)+(BS!DA28-BS!CY28)+(BS!DA33-BS!CY33)</f>
        <v>-102.1</v>
      </c>
      <c r="DB35" s="61">
        <f>(BS!DB27-BS!DA27)+(BS!DB28-BS!DA28)+(BS!DB33-BS!DA33)+DA35</f>
        <v>-106.29999999999998</v>
      </c>
      <c r="DC35" s="61">
        <f>(BS!DC27-BS!DB27)+(BS!DC28-BS!DB28)+(BS!DC33-BS!DB33)+DB35</f>
        <v>-82.700000000000017</v>
      </c>
      <c r="DD35" s="61">
        <f>(BS!DD27-BS!DC27)+(BS!DD28-BS!DC28)+(BS!DD33-BS!DC33)+DC35</f>
        <v>-31.800000000000011</v>
      </c>
      <c r="DE35" s="1125">
        <f t="shared" si="53"/>
        <v>-31.800000000000011</v>
      </c>
      <c r="DF35" s="61"/>
      <c r="DG35" s="61">
        <f>(BS!DG27-BS!DE27)+(BS!DG28-BS!DE28)+(BS!DG33-BS!DE33)</f>
        <v>-18.399999999999991</v>
      </c>
      <c r="DH35" s="61">
        <f>(BS!DH27-BS!DG27)+(BS!DH28-BS!DG28)+(BS!DH33-BS!DG33)+DG35</f>
        <v>6.0000000000000142</v>
      </c>
      <c r="DI35" s="61">
        <f>(BS!DI27-BS!DH27)+(BS!DI28-BS!DH28)+(BS!DI33-BS!DH33)+DH35</f>
        <v>28.90000000000002</v>
      </c>
      <c r="DJ35" s="61">
        <f>(BS!DJ27-BS!DI27)+(BS!DJ28-BS!DI28)+(BS!DJ33-BS!DI33)+DI35</f>
        <v>120.10000000000002</v>
      </c>
      <c r="DK35" s="1125">
        <f t="shared" si="54"/>
        <v>120.10000000000002</v>
      </c>
      <c r="DL35" s="61"/>
      <c r="DM35" s="61">
        <f>(BS!DM27-BS!DK27)+(BS!DM28-BS!DK28)+(BS!DM33-BS!DK33)</f>
        <v>-123.20000000000002</v>
      </c>
      <c r="DN35" s="61">
        <f>(BS!DN27-BS!DM27)+(BS!DN28-BS!DM28)+(BS!DN33-BS!DM33)+DM35</f>
        <v>-91.200000000000017</v>
      </c>
      <c r="DO35" s="61">
        <v>-75.099999999999994</v>
      </c>
      <c r="DP35" s="61">
        <v>24.9</v>
      </c>
      <c r="DQ35" s="1125">
        <f t="shared" si="55"/>
        <v>24.9</v>
      </c>
      <c r="DR35" s="61"/>
      <c r="DS35" s="61">
        <v>-197.2</v>
      </c>
      <c r="DT35" s="61">
        <v>-44.6</v>
      </c>
      <c r="DU35" s="61">
        <v>-71.900000000000006</v>
      </c>
      <c r="DV35" s="61">
        <v>2.7</v>
      </c>
      <c r="DW35" s="1125">
        <f t="shared" si="56"/>
        <v>2.7</v>
      </c>
      <c r="DX35" s="61"/>
      <c r="DY35" s="61">
        <v>-133.1</v>
      </c>
      <c r="DZ35" s="61">
        <v>-95.8</v>
      </c>
      <c r="EA35" s="61">
        <v>-69.3</v>
      </c>
      <c r="EB35" s="61">
        <v>-13.9</v>
      </c>
      <c r="EC35" s="1125">
        <f t="shared" si="57"/>
        <v>-13.9</v>
      </c>
      <c r="ED35" s="61"/>
      <c r="EE35" s="473">
        <f>(BS!EE27-BS!EC27)+(BS!EE28-BS!EC28)+(BS!EE33-BS!EC33)</f>
        <v>-197.74136263776163</v>
      </c>
      <c r="EF35" s="473">
        <f>(BS!EF27-BS!EE27)+(BS!EF28-BS!EE28)+(BS!EF33-BS!EE33)+EE35</f>
        <v>-150.27158043267789</v>
      </c>
      <c r="EG35" s="473">
        <f>(BS!EG27-BS!EF27)+(BS!EG28-BS!EF28)+(BS!EG33-BS!EF33)+EF35</f>
        <v>-110.89143532000483</v>
      </c>
      <c r="EH35" s="473">
        <f>(BS!EH27-BS!EG27)+(BS!EH28-BS!EG28)+(BS!EH33-BS!EG33)+EG35</f>
        <v>115.04064299528667</v>
      </c>
      <c r="EI35" s="1125">
        <f t="shared" si="58"/>
        <v>115.04064299528667</v>
      </c>
      <c r="EJ35" s="61"/>
      <c r="EK35" s="473">
        <f>(BS!EK27-BS!EI27)+(BS!EK28-BS!EI28)+(BS!EK33-BS!EI33)</f>
        <v>-390.68579778311351</v>
      </c>
      <c r="EL35" s="473">
        <f>(BS!EL27-BS!EK27)+(BS!EL28-BS!EK28)+(BS!EL33-BS!EK33)+EK35</f>
        <v>-339.13828055109616</v>
      </c>
      <c r="EM35" s="473">
        <f>(BS!EM27-BS!EL27)+(BS!EM28-BS!EL28)+(BS!EM33-BS!EL33)+EL35</f>
        <v>-275.45743569261219</v>
      </c>
      <c r="EN35" s="473">
        <f>(BS!EN27-BS!EM27)+(BS!EN28-BS!EM28)+(BS!EN33-BS!EM33)+EM35</f>
        <v>-47.126911536398893</v>
      </c>
      <c r="EO35" s="1125">
        <f t="shared" si="59"/>
        <v>-47.126911536398893</v>
      </c>
      <c r="EP35" s="61"/>
      <c r="EQ35" s="473">
        <f>(BS!EQ27-BS!EO27)+(BS!EQ28-BS!EO28)+(BS!EQ33-BS!EO33)</f>
        <v>-364.88735254180006</v>
      </c>
      <c r="ER35" s="473">
        <f>(BS!ER27-BS!EQ27)+(BS!ER28-BS!EQ28)+(BS!ER33-BS!EQ33)+EQ35</f>
        <v>-297.36749846047871</v>
      </c>
      <c r="ES35" s="473">
        <f>(BS!ES27-BS!ER27)+(BS!ES28-BS!ER28)+(BS!ES33-BS!ER33)+ER35</f>
        <v>-214.98419065356805</v>
      </c>
      <c r="ET35" s="473">
        <f>(BS!ET27-BS!ES27)+(BS!ET28-BS!ES28)+(BS!ET33-BS!ES33)+ES35</f>
        <v>-1.0037371963029216</v>
      </c>
      <c r="EU35" s="1125">
        <f t="shared" si="60"/>
        <v>-1.0037371963029216</v>
      </c>
      <c r="EV35" s="45"/>
      <c r="EW35" s="45"/>
      <c r="FD35" s="45"/>
      <c r="FE35" s="45"/>
      <c r="FF35" s="45"/>
      <c r="FG35" s="45"/>
      <c r="FH35" s="45"/>
      <c r="FI35" s="45"/>
      <c r="FJ35" s="45"/>
      <c r="FK35" s="45"/>
      <c r="FL35" s="45"/>
      <c r="FM35" s="45"/>
      <c r="FN35" s="45"/>
      <c r="FO35" s="45"/>
      <c r="FP35" s="45"/>
    </row>
    <row r="36" spans="1:172" hidden="1" outlineLevel="1">
      <c r="A36" s="232" t="s">
        <v>1436</v>
      </c>
      <c r="B36" s="61"/>
      <c r="C36" s="62"/>
      <c r="D36" s="62"/>
      <c r="E36" s="62"/>
      <c r="F36" s="62"/>
      <c r="G36" s="62"/>
      <c r="H36" s="61"/>
      <c r="I36" s="62"/>
      <c r="J36" s="62"/>
      <c r="K36" s="62"/>
      <c r="L36" s="62"/>
      <c r="M36" s="62"/>
      <c r="N36" s="61"/>
      <c r="O36" s="62"/>
      <c r="P36" s="62"/>
      <c r="Q36" s="62"/>
      <c r="R36" s="62"/>
      <c r="S36" s="62"/>
      <c r="T36" s="61"/>
      <c r="U36" s="62"/>
      <c r="V36" s="62"/>
      <c r="W36" s="62"/>
      <c r="X36" s="62"/>
      <c r="Y36" s="62"/>
      <c r="Z36" s="61"/>
      <c r="AA36" s="62"/>
      <c r="AB36" s="62"/>
      <c r="AC36" s="62"/>
      <c r="AD36" s="62"/>
      <c r="AE36" s="62"/>
      <c r="AF36" s="61"/>
      <c r="AG36" s="62"/>
      <c r="AH36" s="62"/>
      <c r="AI36" s="62"/>
      <c r="AJ36" s="62"/>
      <c r="AK36" s="62"/>
      <c r="AL36" s="61"/>
      <c r="AM36" s="62"/>
      <c r="AN36" s="62"/>
      <c r="AO36" s="62"/>
      <c r="AP36" s="62">
        <v>27.05</v>
      </c>
      <c r="AQ36" s="62">
        <f t="shared" si="19"/>
        <v>27.05</v>
      </c>
      <c r="AR36" s="61"/>
      <c r="AS36" s="62"/>
      <c r="AT36" s="62"/>
      <c r="AU36" s="62"/>
      <c r="AV36" s="62">
        <v>34.034999999999997</v>
      </c>
      <c r="AW36" s="62">
        <f t="shared" si="40"/>
        <v>34.034999999999997</v>
      </c>
      <c r="AX36" s="61"/>
      <c r="AY36" s="473"/>
      <c r="AZ36" s="473"/>
      <c r="BA36" s="473"/>
      <c r="BB36" s="412">
        <v>61.9</v>
      </c>
      <c r="BC36" s="412">
        <f t="shared" si="63"/>
        <v>61.9</v>
      </c>
      <c r="BD36" s="61"/>
      <c r="BE36" s="473"/>
      <c r="BF36" s="473"/>
      <c r="BG36" s="473"/>
      <c r="BH36" s="61">
        <v>71.7</v>
      </c>
      <c r="BI36" s="61">
        <f t="shared" si="61"/>
        <v>71.7</v>
      </c>
      <c r="BJ36" s="61"/>
      <c r="BK36" s="63"/>
      <c r="BL36" s="473"/>
      <c r="BM36" s="473"/>
      <c r="BN36" s="61">
        <v>107.1</v>
      </c>
      <c r="BO36" s="1125">
        <f t="shared" si="62"/>
        <v>107.1</v>
      </c>
      <c r="BP36" s="61"/>
      <c r="BQ36" s="473"/>
      <c r="BR36" s="473"/>
      <c r="BS36" s="473"/>
      <c r="BT36" s="61">
        <v>125.6</v>
      </c>
      <c r="BU36" s="1125">
        <f t="shared" si="47"/>
        <v>125.6</v>
      </c>
      <c r="BV36" s="61"/>
      <c r="BW36" s="61">
        <f>(BS!BW30-BS!BU30)+(BS!BW37-BS!BU37)</f>
        <v>43.600000000000023</v>
      </c>
      <c r="BX36" s="61">
        <f>(BS!BX30-BS!BW30)+(BS!BX37-BS!BW37)+BW36</f>
        <v>56.5</v>
      </c>
      <c r="BY36" s="61">
        <f>(BS!BY30-BS!BX30)+(BS!BY37-BS!BX37)+BX36</f>
        <v>-6.6999999999999886</v>
      </c>
      <c r="BZ36" s="61">
        <f>(BS!BZ30-BS!BY30)+(BS!BZ37-BS!BY37)+BY36</f>
        <v>46.000000000000014</v>
      </c>
      <c r="CA36" s="1125">
        <f t="shared" si="48"/>
        <v>46.000000000000014</v>
      </c>
      <c r="CB36" s="61"/>
      <c r="CC36" s="61">
        <f>(BS!CC30-BS!CA30)+(BS!CC37-BS!CA37)</f>
        <v>-18.09999999999998</v>
      </c>
      <c r="CD36" s="61">
        <f>(BS!CD30-BS!CC30)+(BS!CD37-BS!CC37)+CC36</f>
        <v>-50.200000000000031</v>
      </c>
      <c r="CE36" s="61">
        <f>(BS!CE30-BS!CD30)+(BS!CE37-BS!CD37)+CD36</f>
        <v>-82.600000000000023</v>
      </c>
      <c r="CF36" s="61">
        <f>(BS!CF30-BS!CE30)+(BS!CF37-BS!CE37)+CE36</f>
        <v>-35.59999999999998</v>
      </c>
      <c r="CG36" s="1125">
        <f t="shared" si="49"/>
        <v>-35.59999999999998</v>
      </c>
      <c r="CH36" s="61"/>
      <c r="CI36" s="61">
        <f>(BS!CI30-BS!CG30)+(BS!CI37-BS!CG37)</f>
        <v>27.199999999999989</v>
      </c>
      <c r="CJ36" s="61">
        <f>(BS!CJ30-BS!CI30)+(BS!CJ37-BS!CI37)+CI36</f>
        <v>9.5999999999999659</v>
      </c>
      <c r="CK36" s="61">
        <f>(BS!CK30-BS!CJ30)+(BS!CK37-BS!CJ37)+CJ36</f>
        <v>-9.4000000000000341</v>
      </c>
      <c r="CL36" s="473">
        <f>(BS!CL30-BS!CK30)+(BS!CL37-BS!CK37)+CK36</f>
        <v>71.399999999999963</v>
      </c>
      <c r="CM36" s="1125">
        <f t="shared" si="50"/>
        <v>71.399999999999963</v>
      </c>
      <c r="CN36" s="61"/>
      <c r="CO36" s="61">
        <f>(BS!CO30-BS!CM30)+(BS!CO37-BS!CM37)</f>
        <v>34.499999999999986</v>
      </c>
      <c r="CP36" s="61">
        <f>(BS!CP30-BS!CO30)+(BS!CP37-BS!CO37)+CO36</f>
        <v>54.499999999999957</v>
      </c>
      <c r="CQ36" s="61">
        <f>(BS!CQ30-BS!CP30)+(BS!CQ37-BS!CP37)+CP36</f>
        <v>31.999999999999986</v>
      </c>
      <c r="CR36" s="61">
        <f>(BS!CR30-BS!CQ30)+(BS!CR37-BS!CQ37)+CQ36</f>
        <v>131.29999999999995</v>
      </c>
      <c r="CS36" s="1125">
        <f t="shared" si="51"/>
        <v>131.29999999999995</v>
      </c>
      <c r="CT36" s="61"/>
      <c r="CU36" s="61">
        <f>(BS!CU30-BS!CS30)+(BS!CU37-BS!CS37)</f>
        <v>7.7000000000000739</v>
      </c>
      <c r="CV36" s="61">
        <f>(BS!CV30-BS!CU30)+(BS!CV37-BS!CU37)+CU36</f>
        <v>32.800000000000011</v>
      </c>
      <c r="CW36" s="61">
        <f>(BS!CW30-BS!CV30)+(BS!CW37-BS!CV37)+CV36</f>
        <v>-5.4999999999999432</v>
      </c>
      <c r="CX36" s="61">
        <f>(BS!CX30-BS!CW30)+(BS!CX37-BS!CW37)+CW36</f>
        <v>115.40000000000003</v>
      </c>
      <c r="CY36" s="1125">
        <f t="shared" si="52"/>
        <v>115.40000000000003</v>
      </c>
      <c r="CZ36" s="61"/>
      <c r="DA36" s="61">
        <f>(BS!DA30-BS!CY30)+(BS!DA37-BS!CY37)</f>
        <v>16.80000000000004</v>
      </c>
      <c r="DB36" s="61">
        <f>(BS!DB30-BS!DA30)+(BS!DB37-BS!DA37)+DA36</f>
        <v>-29.100000000000023</v>
      </c>
      <c r="DC36" s="61">
        <f>(BS!DC30-BS!DB30)+(BS!DC37-BS!DB37)+DB36</f>
        <v>-68.900000000000034</v>
      </c>
      <c r="DD36" s="61">
        <f>(BS!DD30-BS!DC30)+(BS!DD37-BS!DC37)+DC36</f>
        <v>66.000000000000057</v>
      </c>
      <c r="DE36" s="1125">
        <f t="shared" si="53"/>
        <v>66.000000000000057</v>
      </c>
      <c r="DF36" s="61"/>
      <c r="DG36" s="61">
        <f>(BS!DG30-BS!DE30)+(BS!DG37-BS!DE37)</f>
        <v>62.900000000000006</v>
      </c>
      <c r="DH36" s="61">
        <f>(BS!DH30-BS!DG30)+(BS!DH37-BS!DG37)+DG36</f>
        <v>80.19999999999996</v>
      </c>
      <c r="DI36" s="61">
        <f>(BS!DI30-BS!DH30)+(BS!DI37-BS!DH37)+DH36</f>
        <v>105.59999999999997</v>
      </c>
      <c r="DJ36" s="61">
        <f>(BS!DJ30-BS!DI30)+(BS!DJ37-BS!DI37)+DI36</f>
        <v>256.49999999999989</v>
      </c>
      <c r="DK36" s="1125">
        <f t="shared" si="54"/>
        <v>256.49999999999989</v>
      </c>
      <c r="DL36" s="61"/>
      <c r="DM36" s="61">
        <f>(BS!DM30-BS!DK30)+(BS!DM37-BS!DK37)</f>
        <v>-3.3999999999999773</v>
      </c>
      <c r="DN36" s="61">
        <f>(BS!DN30-BS!DM30)+(BS!DN37-BS!DM37)+DM36</f>
        <v>79.200000000000045</v>
      </c>
      <c r="DO36" s="61">
        <v>54.5</v>
      </c>
      <c r="DP36" s="61">
        <v>360.5</v>
      </c>
      <c r="DQ36" s="1125">
        <f t="shared" si="55"/>
        <v>360.5</v>
      </c>
      <c r="DR36" s="61"/>
      <c r="DS36" s="61">
        <v>4</v>
      </c>
      <c r="DT36" s="61">
        <v>-1.4</v>
      </c>
      <c r="DU36" s="61">
        <v>15.6</v>
      </c>
      <c r="DV36" s="61">
        <v>267</v>
      </c>
      <c r="DW36" s="1125">
        <f t="shared" si="56"/>
        <v>267</v>
      </c>
      <c r="DX36" s="61"/>
      <c r="DY36" s="61">
        <v>13.3</v>
      </c>
      <c r="DZ36" s="61">
        <v>-9.9</v>
      </c>
      <c r="EA36" s="61">
        <v>-21.8</v>
      </c>
      <c r="EB36" s="61">
        <v>168.3</v>
      </c>
      <c r="EC36" s="1125">
        <f t="shared" si="57"/>
        <v>168.3</v>
      </c>
      <c r="ED36" s="61"/>
      <c r="EE36" s="473">
        <f>(BS!EE30-BS!EC30)+(BS!EE37-BS!EC37)</f>
        <v>62.413394910233194</v>
      </c>
      <c r="EF36" s="473">
        <f>(BS!EF30-BS!EE30)+(BS!EF37-BS!EE37)+EE36</f>
        <v>115.02866296455875</v>
      </c>
      <c r="EG36" s="473">
        <f>(BS!EG30-BS!EF30)+(BS!EG37-BS!EF37)+EF36</f>
        <v>98.351467056568708</v>
      </c>
      <c r="EH36" s="473">
        <f>(BS!EH30-BS!EG30)+(BS!EH37-BS!EG37)+EG36</f>
        <v>314.22354674562257</v>
      </c>
      <c r="EI36" s="1125">
        <f t="shared" si="58"/>
        <v>314.22354674562257</v>
      </c>
      <c r="EJ36" s="61"/>
      <c r="EK36" s="473">
        <f>(BS!EK30-BS!EI30)+(BS!EK37-BS!EI37)</f>
        <v>92.969749423736118</v>
      </c>
      <c r="EL36" s="473">
        <f>(BS!EL30-BS!EK30)+(BS!EL37-BS!EK37)+EK36</f>
        <v>179.35861831477126</v>
      </c>
      <c r="EM36" s="473">
        <f>(BS!EM30-BS!EL30)+(BS!EM37-BS!EL37)+EL36</f>
        <v>175.88464646316663</v>
      </c>
      <c r="EN36" s="473">
        <f>(BS!EN30-BS!EM30)+(BS!EN37-BS!EM37)+EM36</f>
        <v>456.12219671483217</v>
      </c>
      <c r="EO36" s="1125">
        <f t="shared" si="59"/>
        <v>456.12219671483217</v>
      </c>
      <c r="EP36" s="61"/>
      <c r="EQ36" s="473">
        <f>(BS!EQ30-BS!EO30)+(BS!EQ37-BS!EO37)</f>
        <v>140.73630200245634</v>
      </c>
      <c r="ER36" s="473">
        <f>(BS!ER30-BS!EQ30)+(BS!ER37-BS!EQ37)+EQ36</f>
        <v>224.94555958032913</v>
      </c>
      <c r="ES36" s="473">
        <f>(BS!ES30-BS!ER30)+(BS!ES37-BS!ER37)+ER36</f>
        <v>166.50655301333131</v>
      </c>
      <c r="ET36" s="473">
        <f>(BS!ET30-BS!ES30)+(BS!ET37-BS!ES37)+ES36</f>
        <v>394.19542217163951</v>
      </c>
      <c r="EU36" s="1125">
        <f t="shared" si="60"/>
        <v>394.19542217163951</v>
      </c>
      <c r="EV36" s="45"/>
      <c r="EW36" s="45"/>
      <c r="FD36" s="45"/>
      <c r="FE36" s="45"/>
      <c r="FF36" s="45"/>
      <c r="FG36" s="45"/>
      <c r="FH36" s="45"/>
      <c r="FI36" s="45"/>
      <c r="FJ36" s="45"/>
      <c r="FK36" s="45"/>
      <c r="FL36" s="45"/>
      <c r="FM36" s="45"/>
      <c r="FN36" s="45"/>
      <c r="FO36" s="45"/>
      <c r="FP36" s="45"/>
    </row>
    <row r="37" spans="1:172" hidden="1" outlineLevel="1">
      <c r="A37" s="232" t="s">
        <v>2387</v>
      </c>
      <c r="B37" s="61"/>
      <c r="C37" s="62"/>
      <c r="D37" s="62"/>
      <c r="E37" s="62"/>
      <c r="F37" s="62"/>
      <c r="G37" s="62"/>
      <c r="H37" s="61"/>
      <c r="I37" s="62"/>
      <c r="J37" s="62"/>
      <c r="K37" s="62"/>
      <c r="L37" s="62"/>
      <c r="M37" s="62"/>
      <c r="N37" s="61"/>
      <c r="O37" s="62"/>
      <c r="P37" s="62"/>
      <c r="Q37" s="62"/>
      <c r="R37" s="62"/>
      <c r="S37" s="62"/>
      <c r="T37" s="61"/>
      <c r="U37" s="62"/>
      <c r="V37" s="62"/>
      <c r="W37" s="62"/>
      <c r="X37" s="62"/>
      <c r="Y37" s="62"/>
      <c r="Z37" s="61"/>
      <c r="AA37" s="62"/>
      <c r="AB37" s="62"/>
      <c r="AC37" s="62"/>
      <c r="AD37" s="62"/>
      <c r="AE37" s="62"/>
      <c r="AF37" s="61"/>
      <c r="AG37" s="62"/>
      <c r="AH37" s="62"/>
      <c r="AI37" s="62"/>
      <c r="AJ37" s="62"/>
      <c r="AK37" s="62"/>
      <c r="AL37" s="61"/>
      <c r="AM37" s="62"/>
      <c r="AN37" s="62"/>
      <c r="AO37" s="62"/>
      <c r="AP37" s="62">
        <v>-52.12</v>
      </c>
      <c r="AQ37" s="62">
        <f t="shared" si="19"/>
        <v>-52.12</v>
      </c>
      <c r="AR37" s="61"/>
      <c r="AS37" s="62"/>
      <c r="AT37" s="62"/>
      <c r="AU37" s="62"/>
      <c r="AV37" s="62">
        <v>10.893000000000001</v>
      </c>
      <c r="AW37" s="62">
        <f t="shared" si="40"/>
        <v>10.893000000000001</v>
      </c>
      <c r="AX37" s="61"/>
      <c r="AY37" s="473"/>
      <c r="AZ37" s="473"/>
      <c r="BA37" s="473"/>
      <c r="BB37" s="412">
        <v>-9.1</v>
      </c>
      <c r="BC37" s="412">
        <f t="shared" si="63"/>
        <v>-9.1</v>
      </c>
      <c r="BD37" s="61"/>
      <c r="BE37" s="473"/>
      <c r="BF37" s="473"/>
      <c r="BG37" s="473"/>
      <c r="BH37" s="61">
        <v>-27.3</v>
      </c>
      <c r="BI37" s="61">
        <f t="shared" si="61"/>
        <v>-27.3</v>
      </c>
      <c r="BJ37" s="61"/>
      <c r="BK37" s="63"/>
      <c r="BL37" s="473"/>
      <c r="BM37" s="473"/>
      <c r="BN37" s="61">
        <v>12.1</v>
      </c>
      <c r="BO37" s="1125">
        <f t="shared" si="62"/>
        <v>12.1</v>
      </c>
      <c r="BP37" s="61"/>
      <c r="BQ37" s="61"/>
      <c r="BR37" s="63"/>
      <c r="BS37" s="63"/>
      <c r="BT37" s="61">
        <v>14.6</v>
      </c>
      <c r="BU37" s="1125">
        <f t="shared" si="47"/>
        <v>14.6</v>
      </c>
      <c r="BV37" s="61"/>
      <c r="BW37" s="61">
        <f>BW30-SUM(BW31:BW36)</f>
        <v>-14.000000000000021</v>
      </c>
      <c r="BX37" s="61">
        <f>BX30-SUM(BX31:BX36)</f>
        <v>66.900000000000006</v>
      </c>
      <c r="BY37" s="61">
        <f>BY30-SUM(BY31:BY36)</f>
        <v>63.099999999999966</v>
      </c>
      <c r="BZ37" s="61">
        <f>BZ30-SUM(BZ31:BZ36)</f>
        <v>19.500000000000007</v>
      </c>
      <c r="CA37" s="1125">
        <f t="shared" si="48"/>
        <v>19.500000000000007</v>
      </c>
      <c r="CB37" s="61"/>
      <c r="CC37" s="61">
        <f>CC30-SUM(CC31:CC36)</f>
        <v>-25.200000000000035</v>
      </c>
      <c r="CD37" s="61">
        <f>CD30-SUM(CD31:CD36)</f>
        <v>-55.699999999999974</v>
      </c>
      <c r="CE37" s="61">
        <f>CE30-SUM(CE31:CE36)</f>
        <v>-78.600000000000009</v>
      </c>
      <c r="CF37" s="61">
        <f>CF30-SUM(CF31:CF36)</f>
        <v>-73.200000000000045</v>
      </c>
      <c r="CG37" s="1125">
        <f t="shared" si="49"/>
        <v>-73.200000000000045</v>
      </c>
      <c r="CH37" s="61"/>
      <c r="CI37" s="61">
        <f>CI30-SUM(CI31:CI36)</f>
        <v>0.80000000000001137</v>
      </c>
      <c r="CJ37" s="61">
        <f>CJ30-SUM(CJ31:CJ36)</f>
        <v>0</v>
      </c>
      <c r="CK37" s="61">
        <f>CK30-SUM(CK31:CK36)</f>
        <v>3.8000000000000469</v>
      </c>
      <c r="CL37" s="61">
        <f>CL30-SUM(CL31:CL36)</f>
        <v>2.9000000000000341</v>
      </c>
      <c r="CM37" s="1125">
        <f t="shared" si="50"/>
        <v>2.9000000000000341</v>
      </c>
      <c r="CN37" s="61"/>
      <c r="CO37" s="61">
        <f>CO30-SUM(CO31:CO36)</f>
        <v>26.100000000000026</v>
      </c>
      <c r="CP37" s="61">
        <f>CP30-SUM(CP31:CP36)</f>
        <v>45.800000000000054</v>
      </c>
      <c r="CQ37" s="61">
        <f>CQ30-SUM(CQ31:CQ36)</f>
        <v>76.399999999999977</v>
      </c>
      <c r="CR37" s="61">
        <f>CR30-SUM(CR31:CR36)</f>
        <v>80.300000000000097</v>
      </c>
      <c r="CS37" s="1125">
        <f t="shared" si="51"/>
        <v>80.300000000000097</v>
      </c>
      <c r="CT37" s="61"/>
      <c r="CU37" s="61">
        <f>CU30-SUM(CU31:CU36)</f>
        <v>-9.0000000000000746</v>
      </c>
      <c r="CV37" s="61">
        <f>CV30-SUM(CV31:CV36)</f>
        <v>24.39999999999992</v>
      </c>
      <c r="CW37" s="61">
        <f>CW30-SUM(CW31:CW36)</f>
        <v>-4.7000000000000739</v>
      </c>
      <c r="CX37" s="61">
        <f>CX30-SUM(CX31:CX36)</f>
        <v>-15.800000000000047</v>
      </c>
      <c r="CY37" s="1125">
        <f t="shared" si="52"/>
        <v>-15.800000000000047</v>
      </c>
      <c r="CZ37" s="61"/>
      <c r="DA37" s="61">
        <f>DA30-SUM(DA31:DA36)</f>
        <v>24.399999999999963</v>
      </c>
      <c r="DB37" s="61">
        <f>DB30-SUM(DB31:DB36)</f>
        <v>11.899999999999949</v>
      </c>
      <c r="DC37" s="61">
        <f>DC30-SUM(DC31:DC36)</f>
        <v>11.900000000000068</v>
      </c>
      <c r="DD37" s="61">
        <f>DD30-SUM(DD31:DD36)</f>
        <v>18.499999999999943</v>
      </c>
      <c r="DE37" s="1125">
        <f t="shared" si="53"/>
        <v>18.499999999999943</v>
      </c>
      <c r="DF37" s="61"/>
      <c r="DG37" s="61">
        <f>DG30-SUM(DG31:DG36)</f>
        <v>-15.500000000000028</v>
      </c>
      <c r="DH37" s="61">
        <f>DH30-SUM(DH31:DH36)</f>
        <v>6.2000000000000455</v>
      </c>
      <c r="DI37" s="61">
        <f>DI30-SUM(DI31:DI36)</f>
        <v>8</v>
      </c>
      <c r="DJ37" s="61">
        <f>DJ30-SUM(DJ31:DJ36)</f>
        <v>-15.39999999999992</v>
      </c>
      <c r="DK37" s="1125">
        <f t="shared" si="54"/>
        <v>-15.39999999999992</v>
      </c>
      <c r="DL37" s="61"/>
      <c r="DM37" s="61">
        <f>DM30-SUM(DM31:DM36)</f>
        <v>-10.799999999999981</v>
      </c>
      <c r="DN37" s="61">
        <f>DN30-SUM(DN31:DN36)</f>
        <v>-212.60000000000002</v>
      </c>
      <c r="DO37" s="61">
        <v>4</v>
      </c>
      <c r="DP37" s="61">
        <v>3.5</v>
      </c>
      <c r="DQ37" s="1125">
        <f t="shared" si="55"/>
        <v>3.5</v>
      </c>
      <c r="DR37" s="61"/>
      <c r="DS37" s="61">
        <v>-13.1</v>
      </c>
      <c r="DT37" s="61">
        <v>-94.5</v>
      </c>
      <c r="DU37" s="61">
        <v>-64.3</v>
      </c>
      <c r="DV37" s="61">
        <v>-104.1</v>
      </c>
      <c r="DW37" s="1125">
        <f t="shared" si="56"/>
        <v>-104.1</v>
      </c>
      <c r="DX37" s="61"/>
      <c r="DY37" s="61">
        <v>-34.299999999999997</v>
      </c>
      <c r="DZ37" s="61">
        <v>-36</v>
      </c>
      <c r="EA37" s="61">
        <v>-37.299999999999997</v>
      </c>
      <c r="EB37" s="61">
        <v>-22.1</v>
      </c>
      <c r="EC37" s="1125">
        <f t="shared" si="57"/>
        <v>-22.1</v>
      </c>
      <c r="ED37" s="61"/>
      <c r="EE37" s="473">
        <f>(BS!EE29-BS!EC29)</f>
        <v>0</v>
      </c>
      <c r="EF37" s="473">
        <f>(BS!EF29-BS!EE29)+EE37</f>
        <v>0</v>
      </c>
      <c r="EG37" s="473">
        <f>(BS!EG29-BS!EF29)+EF37</f>
        <v>0</v>
      </c>
      <c r="EH37" s="473">
        <f>(BS!EH29-BS!EG29)+EG37</f>
        <v>0</v>
      </c>
      <c r="EI37" s="1125">
        <f t="shared" si="58"/>
        <v>0</v>
      </c>
      <c r="EJ37" s="61"/>
      <c r="EK37" s="473">
        <f>(BS!EK29-BS!EI29)</f>
        <v>0</v>
      </c>
      <c r="EL37" s="473">
        <f>(BS!EL29-BS!EK29)+EK37</f>
        <v>0</v>
      </c>
      <c r="EM37" s="473">
        <f>(BS!EM29-BS!EL29)+EL37</f>
        <v>0</v>
      </c>
      <c r="EN37" s="473">
        <f>(BS!EN29-BS!EM29)+EM37</f>
        <v>0</v>
      </c>
      <c r="EO37" s="1125">
        <f t="shared" si="59"/>
        <v>0</v>
      </c>
      <c r="EP37" s="61"/>
      <c r="EQ37" s="473">
        <f>(BS!EQ29-BS!EO29)</f>
        <v>0</v>
      </c>
      <c r="ER37" s="473">
        <f>(BS!ER29-BS!EQ29)+EQ37</f>
        <v>0</v>
      </c>
      <c r="ES37" s="473">
        <f>(BS!ES29-BS!ER29)+ER37</f>
        <v>0</v>
      </c>
      <c r="ET37" s="473">
        <f>(BS!ET29-BS!ES29)+ES37</f>
        <v>0</v>
      </c>
      <c r="EU37" s="1125">
        <f t="shared" si="60"/>
        <v>0</v>
      </c>
      <c r="EV37" s="45"/>
      <c r="EW37" s="45"/>
      <c r="FD37" s="45"/>
      <c r="FE37" s="45"/>
      <c r="FF37" s="45"/>
      <c r="FG37" s="45"/>
      <c r="FH37" s="45"/>
      <c r="FI37" s="45"/>
      <c r="FJ37" s="45"/>
      <c r="FK37" s="45"/>
      <c r="FL37" s="45"/>
      <c r="FM37" s="45"/>
      <c r="FN37" s="45"/>
      <c r="FO37" s="45"/>
      <c r="FP37" s="45"/>
    </row>
    <row r="38" spans="1:172" ht="6" customHeight="1" collapsed="1" thickBot="1">
      <c r="A38" s="232"/>
      <c r="B38" s="61"/>
      <c r="C38" s="62"/>
      <c r="D38" s="62"/>
      <c r="E38" s="62"/>
      <c r="F38" s="62"/>
      <c r="G38" s="62"/>
      <c r="H38" s="61"/>
      <c r="I38" s="62"/>
      <c r="J38" s="62"/>
      <c r="K38" s="62"/>
      <c r="L38" s="62"/>
      <c r="M38" s="62"/>
      <c r="N38" s="61"/>
      <c r="O38" s="62"/>
      <c r="P38" s="62"/>
      <c r="Q38" s="62"/>
      <c r="R38" s="62"/>
      <c r="S38" s="62"/>
      <c r="T38" s="61"/>
      <c r="U38" s="62"/>
      <c r="V38" s="62"/>
      <c r="W38" s="62"/>
      <c r="X38" s="62"/>
      <c r="Y38" s="62"/>
      <c r="Z38" s="61"/>
      <c r="AA38" s="62"/>
      <c r="AB38" s="62"/>
      <c r="AC38" s="62"/>
      <c r="AD38" s="62"/>
      <c r="AE38" s="62"/>
      <c r="AF38" s="61"/>
      <c r="AG38" s="62"/>
      <c r="AH38" s="62"/>
      <c r="AI38" s="62"/>
      <c r="AJ38" s="62"/>
      <c r="AK38" s="62"/>
      <c r="AL38" s="61"/>
      <c r="AM38" s="62"/>
      <c r="AN38" s="62"/>
      <c r="AO38" s="62"/>
      <c r="AP38" s="62"/>
      <c r="AQ38" s="62"/>
      <c r="AR38" s="61"/>
      <c r="AS38" s="62"/>
      <c r="AT38" s="62"/>
      <c r="AU38" s="62"/>
      <c r="AV38" s="62"/>
      <c r="AW38" s="62"/>
      <c r="AX38" s="61"/>
      <c r="AY38" s="473"/>
      <c r="AZ38" s="473"/>
      <c r="BA38" s="473"/>
      <c r="BB38" s="412"/>
      <c r="BC38" s="412"/>
      <c r="BD38" s="61"/>
      <c r="BE38" s="473"/>
      <c r="BF38" s="473"/>
      <c r="BG38" s="473"/>
      <c r="BH38" s="473"/>
      <c r="BI38" s="61"/>
      <c r="BJ38" s="61"/>
      <c r="BK38" s="473"/>
      <c r="BL38" s="473"/>
      <c r="BM38" s="473"/>
      <c r="BN38" s="473"/>
      <c r="BO38" s="1125"/>
      <c r="BP38" s="61"/>
      <c r="BQ38" s="473"/>
      <c r="BR38" s="473"/>
      <c r="BS38" s="473"/>
      <c r="BT38" s="473"/>
      <c r="BU38" s="1125"/>
      <c r="BV38" s="61"/>
      <c r="BW38" s="61"/>
      <c r="BX38" s="61"/>
      <c r="BY38" s="61"/>
      <c r="BZ38" s="473"/>
      <c r="CA38" s="1125"/>
      <c r="CB38" s="61"/>
      <c r="CC38" s="61"/>
      <c r="CD38" s="61"/>
      <c r="CE38" s="61"/>
      <c r="CF38" s="61"/>
      <c r="CG38" s="1125"/>
      <c r="CH38" s="61"/>
      <c r="CI38" s="61"/>
      <c r="CJ38" s="61"/>
      <c r="CK38" s="61"/>
      <c r="CL38" s="473"/>
      <c r="CM38" s="1125"/>
      <c r="CN38" s="61"/>
      <c r="CO38" s="61"/>
      <c r="CP38" s="473"/>
      <c r="CQ38" s="473"/>
      <c r="CR38" s="473"/>
      <c r="CS38" s="1125"/>
      <c r="CT38" s="61"/>
      <c r="CU38" s="61"/>
      <c r="CV38" s="473"/>
      <c r="CW38" s="61"/>
      <c r="CX38" s="473"/>
      <c r="CY38" s="1125"/>
      <c r="CZ38" s="61"/>
      <c r="DA38" s="61"/>
      <c r="DB38" s="61"/>
      <c r="DC38" s="473"/>
      <c r="DD38" s="473"/>
      <c r="DE38" s="1125"/>
      <c r="DF38" s="61"/>
      <c r="DG38" s="61"/>
      <c r="DH38" s="61"/>
      <c r="DI38" s="473"/>
      <c r="DJ38" s="473"/>
      <c r="DK38" s="1125"/>
      <c r="DL38" s="61"/>
      <c r="DM38" s="61"/>
      <c r="DN38" s="61"/>
      <c r="DO38" s="61"/>
      <c r="DP38" s="473"/>
      <c r="DQ38" s="1125"/>
      <c r="DR38" s="61"/>
      <c r="DS38" s="61"/>
      <c r="DT38" s="61"/>
      <c r="DU38" s="61"/>
      <c r="DV38" s="473"/>
      <c r="DW38" s="1125"/>
      <c r="DX38" s="61"/>
      <c r="DY38" s="61"/>
      <c r="DZ38" s="61"/>
      <c r="EA38" s="61"/>
      <c r="EB38" s="473"/>
      <c r="EC38" s="1125"/>
      <c r="ED38" s="61"/>
      <c r="EE38" s="473"/>
      <c r="EF38" s="473"/>
      <c r="EG38" s="473"/>
      <c r="EH38" s="473"/>
      <c r="EI38" s="1125"/>
      <c r="EJ38" s="61"/>
      <c r="EK38" s="473"/>
      <c r="EL38" s="473"/>
      <c r="EM38" s="473"/>
      <c r="EN38" s="473"/>
      <c r="EO38" s="1125"/>
      <c r="EP38" s="61"/>
      <c r="EQ38" s="473"/>
      <c r="ER38" s="473"/>
      <c r="ES38" s="473"/>
      <c r="ET38" s="473"/>
      <c r="EU38" s="1125"/>
      <c r="EV38" s="45"/>
      <c r="EW38" s="45"/>
      <c r="FD38" s="45"/>
      <c r="FE38" s="45"/>
      <c r="FF38" s="45"/>
      <c r="FG38" s="45"/>
      <c r="FH38" s="45"/>
      <c r="FI38" s="45"/>
      <c r="FJ38" s="45"/>
      <c r="FK38" s="45"/>
      <c r="FL38" s="45"/>
      <c r="FM38" s="45"/>
      <c r="FN38" s="45"/>
      <c r="FO38" s="45"/>
      <c r="FP38" s="45"/>
    </row>
    <row r="39" spans="1:172" ht="10.5" customHeight="1" thickBot="1">
      <c r="A39" s="1367" t="s">
        <v>1861</v>
      </c>
      <c r="B39" s="1328"/>
      <c r="C39" s="1328"/>
      <c r="D39" s="1328"/>
      <c r="E39" s="1328"/>
      <c r="F39" s="1328"/>
      <c r="G39" s="1328"/>
      <c r="H39" s="1328"/>
      <c r="I39" s="1328"/>
      <c r="J39" s="1328"/>
      <c r="K39" s="1328"/>
      <c r="L39" s="1328"/>
      <c r="M39" s="1328"/>
      <c r="N39" s="1328"/>
      <c r="O39" s="1328">
        <f>SUM(O10:O31)</f>
        <v>43.260000000000026</v>
      </c>
      <c r="P39" s="1328">
        <f>SUM(P10:P31)</f>
        <v>79.031000000000034</v>
      </c>
      <c r="Q39" s="1328">
        <f>SUM(Q10:Q31)</f>
        <v>108.20300000000006</v>
      </c>
      <c r="R39" s="1328">
        <f>SUM(R10:R31)</f>
        <v>188.02200000000005</v>
      </c>
      <c r="S39" s="1328">
        <f>R39</f>
        <v>188.02200000000005</v>
      </c>
      <c r="T39" s="1328"/>
      <c r="U39" s="1328">
        <f>SUM(U10:U30)</f>
        <v>-11.722999999999994</v>
      </c>
      <c r="V39" s="1328">
        <f>SUM(V10:V30)</f>
        <v>3.830999999999996</v>
      </c>
      <c r="W39" s="1328">
        <f>SUM(W10:W30)</f>
        <v>29.696000000000012</v>
      </c>
      <c r="X39" s="1328">
        <f>SUM(X10:X30)</f>
        <v>107.92900000000003</v>
      </c>
      <c r="Y39" s="1328">
        <f>SUM(Y10:Y30)</f>
        <v>107.92800000000008</v>
      </c>
      <c r="Z39" s="1328"/>
      <c r="AA39" s="1328">
        <f>SUM(AA10:AA30)</f>
        <v>38.501999999999974</v>
      </c>
      <c r="AB39" s="1328">
        <f>SUM(AB10:AB30)</f>
        <v>92.204999999999998</v>
      </c>
      <c r="AC39" s="1328">
        <f>SUM(AC10:AC30)</f>
        <v>128.53899999999999</v>
      </c>
      <c r="AD39" s="1328">
        <f>SUM(AD10:AD30)</f>
        <v>196.12</v>
      </c>
      <c r="AE39" s="1328">
        <f>AD39</f>
        <v>196.12</v>
      </c>
      <c r="AF39" s="1328"/>
      <c r="AG39" s="1328">
        <f>SUM(AG10:AG30)</f>
        <v>43.076999999999956</v>
      </c>
      <c r="AH39" s="1328">
        <f>SUM(AH10:AH30)</f>
        <v>96.294999999999945</v>
      </c>
      <c r="AI39" s="1328">
        <f>SUM(AI10:AI30)</f>
        <v>129.48599999999993</v>
      </c>
      <c r="AJ39" s="1328">
        <f>SUM(AJ10:AJ30)</f>
        <v>210.15599999999998</v>
      </c>
      <c r="AK39" s="1328">
        <f>AJ39</f>
        <v>210.15599999999998</v>
      </c>
      <c r="AL39" s="1328"/>
      <c r="AM39" s="1328">
        <f>SUM(AM10:AM30)</f>
        <v>15.204000000000018</v>
      </c>
      <c r="AN39" s="1328">
        <f>SUM(AN10:AN30)</f>
        <v>37.214000000000027</v>
      </c>
      <c r="AO39" s="1328">
        <f>SUM(AO10:AO30)</f>
        <v>43.186000000000007</v>
      </c>
      <c r="AP39" s="1328">
        <f>SUM(AP10:AP30)</f>
        <v>85.635000000000019</v>
      </c>
      <c r="AQ39" s="1328">
        <f>AP39</f>
        <v>85.635000000000019</v>
      </c>
      <c r="AR39" s="1328"/>
      <c r="AS39" s="1328">
        <f>SUM(AS10:AS30)</f>
        <v>17.405999999999999</v>
      </c>
      <c r="AT39" s="1328">
        <f>SUM(AT10:AT30)</f>
        <v>47.57099999999997</v>
      </c>
      <c r="AU39" s="1328">
        <f>SUM(AU10:AU30)</f>
        <v>100.94999999999996</v>
      </c>
      <c r="AV39" s="1328">
        <f>SUM(AV10:AV30)</f>
        <v>220.08300000000006</v>
      </c>
      <c r="AW39" s="1328">
        <f>AV39</f>
        <v>220.08300000000006</v>
      </c>
      <c r="AX39" s="1328"/>
      <c r="AY39" s="1328">
        <f>SUM(AY10:AY30)</f>
        <v>54.816000000000031</v>
      </c>
      <c r="AZ39" s="1328">
        <f>SUM(AZ10:AZ30)</f>
        <v>138.31600000000003</v>
      </c>
      <c r="BA39" s="1328">
        <f>SUM(BA10:BA30)</f>
        <v>229.29400000000004</v>
      </c>
      <c r="BB39" s="1328">
        <f>SUM(BB10:BB30)</f>
        <v>373.08299999999997</v>
      </c>
      <c r="BC39" s="1328">
        <f>SUM(BC10:BC30)</f>
        <v>373.08299999999997</v>
      </c>
      <c r="BD39" s="1328"/>
      <c r="BE39" s="1328">
        <f>SUM(BE10:BE30)</f>
        <v>63.310999999999964</v>
      </c>
      <c r="BF39" s="1328">
        <f>SUM(BF10:BF30)</f>
        <v>176.52699999999993</v>
      </c>
      <c r="BG39" s="1328">
        <f>SUM(BG10:BG30)</f>
        <v>301.45199999999994</v>
      </c>
      <c r="BH39" s="1328">
        <f>SUM(BH10:BH30)</f>
        <v>415.30000000000007</v>
      </c>
      <c r="BI39" s="1328">
        <f>SUM(BI10:BI30)</f>
        <v>415.30000000000007</v>
      </c>
      <c r="BJ39" s="1328"/>
      <c r="BK39" s="1328">
        <f>SUM(BK10:BK30)</f>
        <v>90.199999999999974</v>
      </c>
      <c r="BL39" s="1328">
        <f>SUM(BL10:BL30)</f>
        <v>252.89999999999998</v>
      </c>
      <c r="BM39" s="1328">
        <f>SUM(BM10:BM30)</f>
        <v>385.79999999999995</v>
      </c>
      <c r="BN39" s="1328">
        <f>SUM(BN10:BN30)</f>
        <v>576.59999999999991</v>
      </c>
      <c r="BO39" s="1329">
        <f>SUM(BO10:BO30)</f>
        <v>576.59999999999991</v>
      </c>
      <c r="BP39" s="1328"/>
      <c r="BQ39" s="1328">
        <f>SUM(BQ10:BQ30)</f>
        <v>191.60000000000002</v>
      </c>
      <c r="BR39" s="1328">
        <f>SUM(BR10:BR30)</f>
        <v>328.2000000000001</v>
      </c>
      <c r="BS39" s="1328">
        <f>SUM(BS10:BS30)</f>
        <v>489.50000000000011</v>
      </c>
      <c r="BT39" s="1328">
        <f>SUM(BT10:BT30)</f>
        <v>708.5</v>
      </c>
      <c r="BU39" s="1329">
        <f>SUM(BU10:BU30)</f>
        <v>708.5</v>
      </c>
      <c r="BV39" s="1328"/>
      <c r="BW39" s="1328">
        <f>SUM(BW10:BW30)</f>
        <v>185.29999999999998</v>
      </c>
      <c r="BX39" s="1328">
        <f>SUM(BX10:BX30)</f>
        <v>400.29999999999995</v>
      </c>
      <c r="BY39" s="1328">
        <f>SUM(BY10:BY30)</f>
        <v>507.5</v>
      </c>
      <c r="BZ39" s="1328">
        <f>SUM(BZ10:BZ30)</f>
        <v>593.88</v>
      </c>
      <c r="CA39" s="1329">
        <f>SUM(CA10:CA30)</f>
        <v>593.88</v>
      </c>
      <c r="CB39" s="1328"/>
      <c r="CC39" s="1328">
        <f>SUM(CC10:CC30)</f>
        <v>27.2</v>
      </c>
      <c r="CD39" s="1328">
        <f>SUM(CD10:CD30)</f>
        <v>74.499999999999986</v>
      </c>
      <c r="CE39" s="1328">
        <f>SUM(CE10:CE30)</f>
        <v>121.2</v>
      </c>
      <c r="CF39" s="1328">
        <f>SUM(CF10:CF30)</f>
        <v>246.8</v>
      </c>
      <c r="CG39" s="1329">
        <f>SUM(CG10:CG30)</f>
        <v>246.7999999999999</v>
      </c>
      <c r="CH39" s="1328"/>
      <c r="CI39" s="1328">
        <f>SUM(CI10:CI30)</f>
        <v>139.1</v>
      </c>
      <c r="CJ39" s="1328">
        <f>SUM(CJ10:CJ30)</f>
        <v>250.60000000000002</v>
      </c>
      <c r="CK39" s="1328">
        <f>SUM(CK10:CK30)</f>
        <v>364.90000000000003</v>
      </c>
      <c r="CL39" s="1328">
        <f>SUM(CL10:CL30)</f>
        <v>540.79999999999995</v>
      </c>
      <c r="CM39" s="1330">
        <f>SUM(CM10:CM30)</f>
        <v>540.79999999999995</v>
      </c>
      <c r="CN39" s="1328"/>
      <c r="CO39" s="1328">
        <f>SUM(CO10:CO30)</f>
        <v>128.39999999999998</v>
      </c>
      <c r="CP39" s="1328">
        <f>SUM(CP10:CP30)</f>
        <v>260.59999999999997</v>
      </c>
      <c r="CQ39" s="1328">
        <f>SUM(CQ10:CQ30)</f>
        <v>398.3</v>
      </c>
      <c r="CR39" s="1328">
        <f>SUM(CR10:CR30)</f>
        <v>573.5</v>
      </c>
      <c r="CS39" s="1330">
        <f>SUM(CS10:CS30)</f>
        <v>573.49999999999989</v>
      </c>
      <c r="CT39" s="1328"/>
      <c r="CU39" s="1328">
        <f>SUM(CU10:CU30)</f>
        <v>139.29999999999998</v>
      </c>
      <c r="CV39" s="1328">
        <f>SUM(CV10:CV30)</f>
        <v>246.4</v>
      </c>
      <c r="CW39" s="1328">
        <f>SUM(CW10:CW30)</f>
        <v>403.5</v>
      </c>
      <c r="CX39" s="1328">
        <f>SUM(CX10:CX30)</f>
        <v>559.1</v>
      </c>
      <c r="CY39" s="1330">
        <f>SUM(CY10:CY30)</f>
        <v>559.1</v>
      </c>
      <c r="CZ39" s="1328"/>
      <c r="DA39" s="1328">
        <f>SUM(DA10:DA30)</f>
        <v>224.10000000000002</v>
      </c>
      <c r="DB39" s="1328">
        <f>SUM(DB10:DB30)</f>
        <v>289.39999999999998</v>
      </c>
      <c r="DC39" s="1328">
        <f>SUM(DC10:DC30)</f>
        <v>380.00000000000006</v>
      </c>
      <c r="DD39" s="1328">
        <f>SUM(DD10:DD30)</f>
        <v>563.5</v>
      </c>
      <c r="DE39" s="1330">
        <f>SUM(DE10:DE30)</f>
        <v>563.5</v>
      </c>
      <c r="DF39" s="1328"/>
      <c r="DG39" s="1328">
        <f>SUM(DG10:DG30)</f>
        <v>218.7</v>
      </c>
      <c r="DH39" s="1328">
        <f>SUM(DH10:DH30)</f>
        <v>314.89999999999998</v>
      </c>
      <c r="DI39" s="1328">
        <f>SUM(DI10:DI30)</f>
        <v>450.9</v>
      </c>
      <c r="DJ39" s="1328">
        <f>SUM(DJ10:DJ30)</f>
        <v>708.09999999999991</v>
      </c>
      <c r="DK39" s="1330">
        <f>SUM(DK10:DK30)</f>
        <v>708.09999999999991</v>
      </c>
      <c r="DL39" s="1328"/>
      <c r="DM39" s="1328">
        <f>SUM(DM10:DM30)</f>
        <v>86.499999999999986</v>
      </c>
      <c r="DN39" s="1328">
        <f>SUM(DN10:DN30)</f>
        <v>163.69999999999999</v>
      </c>
      <c r="DO39" s="1328">
        <f>SUM(DO10:DO30)</f>
        <v>244.10000000000002</v>
      </c>
      <c r="DP39" s="1328">
        <f>SUM(DP10:DP30)</f>
        <v>414</v>
      </c>
      <c r="DQ39" s="1330">
        <f>SUM(DQ10:DQ30)</f>
        <v>414</v>
      </c>
      <c r="DR39" s="1328"/>
      <c r="DS39" s="1328">
        <f>SUM(DS10:DS30)</f>
        <v>164.40000000000003</v>
      </c>
      <c r="DT39" s="1328">
        <f>SUM(DT10:DT30)</f>
        <v>146.39999999999998</v>
      </c>
      <c r="DU39" s="1328">
        <f>SUM(DU10:DU30)</f>
        <v>154.10000000000008</v>
      </c>
      <c r="DV39" s="1328">
        <f>SUM(DV10:DV30)</f>
        <v>169.7</v>
      </c>
      <c r="DW39" s="1330">
        <f>SUM(DW10:DW30)</f>
        <v>169.70440000000013</v>
      </c>
      <c r="DX39" s="1328"/>
      <c r="DY39" s="1328">
        <f>SUM(DY10:DY30)</f>
        <v>45.20000000000006</v>
      </c>
      <c r="DZ39" s="1328">
        <f>SUM(DZ10:DZ30)</f>
        <v>-27.300000000000011</v>
      </c>
      <c r="EA39" s="1328">
        <f>SUM(EA10:EA30)</f>
        <v>-78.3</v>
      </c>
      <c r="EB39" s="1328">
        <f>SUM(EB10:EB30)</f>
        <v>0.89999999999999147</v>
      </c>
      <c r="EC39" s="1330">
        <f>SUM(EC10:EC30)</f>
        <v>0.89999999999987779</v>
      </c>
      <c r="ED39" s="1328"/>
      <c r="EE39" s="1328">
        <f>SUM(EE10:EE30)</f>
        <v>35.690683692496513</v>
      </c>
      <c r="EF39" s="1328">
        <f>SUM(EF10:EF30)</f>
        <v>118.72270042291555</v>
      </c>
      <c r="EG39" s="1328">
        <f>SUM(EG10:EG30)</f>
        <v>176.8715440345382</v>
      </c>
      <c r="EH39" s="1328">
        <f>SUM(EH10:EH30)</f>
        <v>587.31542166364216</v>
      </c>
      <c r="EI39" s="1330">
        <f>SUM(EI10:EI30)</f>
        <v>587.31542166364216</v>
      </c>
      <c r="EJ39" s="1328"/>
      <c r="EK39" s="1328">
        <f>SUM(EK10:EK30)</f>
        <v>1.6572372510924254</v>
      </c>
      <c r="EL39" s="1328">
        <f>SUM(EL10:EL30)</f>
        <v>251.92508863364702</v>
      </c>
      <c r="EM39" s="1328">
        <f>SUM(EM10:EM30)</f>
        <v>480.8471386847707</v>
      </c>
      <c r="EN39" s="1328">
        <f>SUM(EN10:EN30)</f>
        <v>1168.95575427527</v>
      </c>
      <c r="EO39" s="1330">
        <f>SUM(EO10:EO30)</f>
        <v>1168.95575427527</v>
      </c>
      <c r="EP39" s="1328"/>
      <c r="EQ39" s="1328">
        <f>SUM(EQ10:EQ30)</f>
        <v>168.76037550784588</v>
      </c>
      <c r="ER39" s="1328">
        <f>SUM(ER10:ER30)</f>
        <v>498.87844201458199</v>
      </c>
      <c r="ES39" s="1328">
        <f>SUM(ES10:ES30)</f>
        <v>772.56734073333473</v>
      </c>
      <c r="ET39" s="1328">
        <f>SUM(ET10:ET30)</f>
        <v>1458.220926027225</v>
      </c>
      <c r="EU39" s="1330">
        <f>SUM(EU10:EU30)</f>
        <v>1458.220926027225</v>
      </c>
      <c r="EV39" s="1368"/>
      <c r="EW39" s="1368"/>
      <c r="FD39" s="1368"/>
      <c r="FE39" s="1368"/>
      <c r="FF39" s="1368"/>
      <c r="FG39" s="1368"/>
      <c r="FH39" s="1368"/>
      <c r="FI39" s="1368"/>
      <c r="FJ39" s="1368"/>
      <c r="FK39" s="1368"/>
      <c r="FL39" s="1368"/>
      <c r="FM39" s="1368"/>
      <c r="FN39" s="1368"/>
      <c r="FO39" s="1368"/>
      <c r="FP39" s="1368"/>
    </row>
    <row r="40" spans="1:172" ht="10.5" customHeight="1">
      <c r="A40" s="1369" t="s">
        <v>6140</v>
      </c>
      <c r="B40" s="831"/>
      <c r="C40" s="831"/>
      <c r="D40" s="831"/>
      <c r="E40" s="831"/>
      <c r="F40" s="831"/>
      <c r="G40" s="831"/>
      <c r="H40" s="831"/>
      <c r="I40" s="831"/>
      <c r="J40" s="831"/>
      <c r="K40" s="831"/>
      <c r="L40" s="831"/>
      <c r="M40" s="831"/>
      <c r="N40" s="831"/>
      <c r="O40" s="831"/>
      <c r="P40" s="831"/>
      <c r="Q40" s="831"/>
      <c r="R40" s="831"/>
      <c r="S40" s="831"/>
      <c r="T40" s="831"/>
      <c r="U40" s="831"/>
      <c r="V40" s="831"/>
      <c r="W40" s="831"/>
      <c r="X40" s="831"/>
      <c r="Y40" s="831"/>
      <c r="Z40" s="831"/>
      <c r="AA40" s="831"/>
      <c r="AB40" s="831"/>
      <c r="AC40" s="831"/>
      <c r="AD40" s="831"/>
      <c r="AE40" s="831"/>
      <c r="AF40" s="831"/>
      <c r="AG40" s="831"/>
      <c r="AH40" s="831"/>
      <c r="AI40" s="831"/>
      <c r="AJ40" s="831"/>
      <c r="AK40" s="831"/>
      <c r="AL40" s="831"/>
      <c r="AM40" s="831"/>
      <c r="AN40" s="831"/>
      <c r="AO40" s="831"/>
      <c r="AP40" s="831"/>
      <c r="AQ40" s="831"/>
      <c r="AR40" s="831"/>
      <c r="AS40" s="831"/>
      <c r="AT40" s="831"/>
      <c r="AU40" s="831"/>
      <c r="AV40" s="831"/>
      <c r="AW40" s="831"/>
      <c r="AX40" s="831"/>
      <c r="AY40" s="832">
        <f>AY39-AY15</f>
        <v>31.116000000000032</v>
      </c>
      <c r="AZ40" s="832">
        <f>AZ39-AZ15</f>
        <v>114.61600000000003</v>
      </c>
      <c r="BA40" s="832">
        <f>BA39-BA15</f>
        <v>142.09400000000005</v>
      </c>
      <c r="BB40" s="832">
        <f>BB39-BB15</f>
        <v>260.58299999999997</v>
      </c>
      <c r="BC40" s="832">
        <f>BC39-BC15</f>
        <v>260.58299999999997</v>
      </c>
      <c r="BD40" s="831"/>
      <c r="BE40" s="832">
        <f>BE39-BE15</f>
        <v>39.610999999999962</v>
      </c>
      <c r="BF40" s="832">
        <f>BF39-BF15</f>
        <v>126.12699999999992</v>
      </c>
      <c r="BG40" s="832">
        <f>BG39-BG15</f>
        <v>196.45199999999994</v>
      </c>
      <c r="BH40" s="832">
        <f>BH39-BH15</f>
        <v>290.70000000000005</v>
      </c>
      <c r="BI40" s="832">
        <f>BI39-BI15</f>
        <v>290.70000000000005</v>
      </c>
      <c r="BJ40" s="831"/>
      <c r="BK40" s="832">
        <f>BK39-BK15</f>
        <v>90.199999999999974</v>
      </c>
      <c r="BL40" s="832">
        <f>BL39-BL15</f>
        <v>252.89999999999998</v>
      </c>
      <c r="BM40" s="832">
        <f>BM39-BM15</f>
        <v>385.79999999999995</v>
      </c>
      <c r="BN40" s="832">
        <f>BN39-BN15</f>
        <v>571.49999999999989</v>
      </c>
      <c r="BO40" s="1324">
        <f>BO39-BO15</f>
        <v>571.49999999999989</v>
      </c>
      <c r="BP40" s="831"/>
      <c r="BQ40" s="832">
        <f>BQ39-BQ15</f>
        <v>191.60000000000002</v>
      </c>
      <c r="BR40" s="832">
        <f>BR39-BR15</f>
        <v>328.2000000000001</v>
      </c>
      <c r="BS40" s="832">
        <f>BS39-BS15</f>
        <v>489.50000000000011</v>
      </c>
      <c r="BT40" s="832">
        <f>BT39-BT15</f>
        <v>708.5</v>
      </c>
      <c r="BU40" s="1324">
        <f>BU39-BU15</f>
        <v>708.5</v>
      </c>
      <c r="BV40" s="831"/>
      <c r="BW40" s="832">
        <f>BW39-BW15</f>
        <v>185.29999999999998</v>
      </c>
      <c r="BX40" s="832">
        <f>BX39-BX15</f>
        <v>400.29999999999995</v>
      </c>
      <c r="BY40" s="832">
        <f>BY39-BY15</f>
        <v>507.5</v>
      </c>
      <c r="BZ40" s="832">
        <f>BZ39-BZ15</f>
        <v>593.88</v>
      </c>
      <c r="CA40" s="1324">
        <f>CA39-CA15</f>
        <v>593.88</v>
      </c>
      <c r="CB40" s="831"/>
      <c r="CC40" s="832">
        <f>CC39-CC15</f>
        <v>27.2</v>
      </c>
      <c r="CD40" s="832">
        <f>CD39-CD15</f>
        <v>74.499999999999986</v>
      </c>
      <c r="CE40" s="832">
        <f>CE39-CE15</f>
        <v>121.2</v>
      </c>
      <c r="CF40" s="832">
        <f>CF39-CF15</f>
        <v>246.8</v>
      </c>
      <c r="CG40" s="1324">
        <f>CG39-CG15</f>
        <v>246.7999999999999</v>
      </c>
      <c r="CH40" s="831"/>
      <c r="CI40" s="832">
        <f>CI39-CI15</f>
        <v>139.1</v>
      </c>
      <c r="CJ40" s="832">
        <f>CJ39-CJ15</f>
        <v>250.60000000000002</v>
      </c>
      <c r="CK40" s="832">
        <f>CK39-CK15</f>
        <v>364.90000000000003</v>
      </c>
      <c r="CL40" s="832">
        <f>CL39-CL15</f>
        <v>540.79999999999995</v>
      </c>
      <c r="CM40" s="1324">
        <f>CM39-CM15</f>
        <v>540.79999999999995</v>
      </c>
      <c r="CN40" s="831"/>
      <c r="CO40" s="832">
        <f>CO39-CO15</f>
        <v>128.39999999999998</v>
      </c>
      <c r="CP40" s="832">
        <f>CP39-CP15</f>
        <v>274.09999999999997</v>
      </c>
      <c r="CQ40" s="832">
        <f>CQ39-CQ15</f>
        <v>431.3</v>
      </c>
      <c r="CR40" s="832">
        <f>CR39-CR15</f>
        <v>605</v>
      </c>
      <c r="CS40" s="1324">
        <f>CS39-CS15</f>
        <v>604.99999999999989</v>
      </c>
      <c r="CT40" s="831"/>
      <c r="CU40" s="832">
        <f>CU39-CU15</f>
        <v>149.19999999999999</v>
      </c>
      <c r="CV40" s="832">
        <f>CV39-CV15</f>
        <v>274.5</v>
      </c>
      <c r="CW40" s="832">
        <f>CW39-CW15</f>
        <v>430.9</v>
      </c>
      <c r="CX40" s="832">
        <f>CX39-CX15</f>
        <v>572</v>
      </c>
      <c r="CY40" s="1324">
        <f>CY39-CY15</f>
        <v>572</v>
      </c>
      <c r="CZ40" s="831"/>
      <c r="DA40" s="832">
        <f>DA39-DA15</f>
        <v>233.10000000000002</v>
      </c>
      <c r="DB40" s="832">
        <f>DB39-DB15</f>
        <v>292.59999999999997</v>
      </c>
      <c r="DC40" s="832">
        <f>DC39-DC15</f>
        <v>379.20000000000005</v>
      </c>
      <c r="DD40" s="832">
        <f>DD39-DD15</f>
        <v>572.6</v>
      </c>
      <c r="DE40" s="1324">
        <f>DE39-DE15</f>
        <v>572.6</v>
      </c>
      <c r="DF40" s="831"/>
      <c r="DG40" s="832">
        <f>DG39-DG15</f>
        <v>218.7</v>
      </c>
      <c r="DH40" s="832">
        <f>DH39-DH15</f>
        <v>314.89999999999998</v>
      </c>
      <c r="DI40" s="832">
        <f>DI39-DI15</f>
        <v>450.9</v>
      </c>
      <c r="DJ40" s="832">
        <f>DJ39-DJ15</f>
        <v>708.59999999999991</v>
      </c>
      <c r="DK40" s="1324">
        <f>DK39-DK15</f>
        <v>708.59999999999991</v>
      </c>
      <c r="DL40" s="831"/>
      <c r="DM40" s="832">
        <f>DM39-DM15</f>
        <v>91.799999999999983</v>
      </c>
      <c r="DN40" s="832">
        <f>DN39-DN15</f>
        <v>-34.200000000000017</v>
      </c>
      <c r="DO40" s="832">
        <f>DO39-DO15</f>
        <v>244.10000000000002</v>
      </c>
      <c r="DP40" s="832">
        <f>DP39-DP15</f>
        <v>414</v>
      </c>
      <c r="DQ40" s="1324">
        <f>DQ39-DQ15</f>
        <v>414</v>
      </c>
      <c r="DR40" s="831"/>
      <c r="DS40" s="832">
        <f>DS39-DS15</f>
        <v>158.20000000000005</v>
      </c>
      <c r="DT40" s="832">
        <f>DT39-DT15</f>
        <v>155.59999999999997</v>
      </c>
      <c r="DU40" s="832">
        <f>DU39-DU15</f>
        <v>193.70000000000007</v>
      </c>
      <c r="DV40" s="832">
        <f>DV39-DV15</f>
        <v>169.7</v>
      </c>
      <c r="DW40" s="1324">
        <f>DW39-DW15</f>
        <v>169.70440000000013</v>
      </c>
      <c r="DX40" s="831"/>
      <c r="DY40" s="832">
        <f>DY39-DY15</f>
        <v>45.20000000000006</v>
      </c>
      <c r="DZ40" s="832">
        <f>DZ39-DZ15</f>
        <v>-33.100000000000009</v>
      </c>
      <c r="EA40" s="832">
        <f>EA39-EA15</f>
        <v>-85.6</v>
      </c>
      <c r="EB40" s="832">
        <f>EB39-EB15</f>
        <v>0.89999999999999147</v>
      </c>
      <c r="EC40" s="1324">
        <f>EC39-EC15</f>
        <v>0.89999999999987779</v>
      </c>
      <c r="ED40" s="831"/>
      <c r="EE40" s="832">
        <f>EE39-EE15</f>
        <v>35.690683692496513</v>
      </c>
      <c r="EF40" s="832">
        <f>EF39-EF15</f>
        <v>118.72270042291555</v>
      </c>
      <c r="EG40" s="832">
        <f>EG39-EG15</f>
        <v>176.8715440345382</v>
      </c>
      <c r="EH40" s="832">
        <f>EH39-EH15</f>
        <v>587.31542166364216</v>
      </c>
      <c r="EI40" s="1324">
        <f>EI39-EI15</f>
        <v>587.31542166364216</v>
      </c>
      <c r="EJ40" s="831"/>
      <c r="EK40" s="832">
        <f>EK39-EK15</f>
        <v>1.6572372510924254</v>
      </c>
      <c r="EL40" s="832">
        <f>EL39-EL15</f>
        <v>251.92508863364702</v>
      </c>
      <c r="EM40" s="832">
        <f>EM39-EM15</f>
        <v>480.8471386847707</v>
      </c>
      <c r="EN40" s="832">
        <f>EN39-EN15</f>
        <v>1168.95575427527</v>
      </c>
      <c r="EO40" s="1324">
        <f>EO39-EO15</f>
        <v>1168.95575427527</v>
      </c>
      <c r="EP40" s="831"/>
      <c r="EQ40" s="832">
        <f>EQ39-EQ15</f>
        <v>168.76037550784588</v>
      </c>
      <c r="ER40" s="832">
        <f>ER39-ER15</f>
        <v>498.87844201458199</v>
      </c>
      <c r="ES40" s="832">
        <f>ES39-ES15</f>
        <v>772.56734073333473</v>
      </c>
      <c r="ET40" s="832">
        <f>ET39-ET15</f>
        <v>1458.220926027225</v>
      </c>
      <c r="EU40" s="1324">
        <f>EU39-EU15</f>
        <v>1458.220926027225</v>
      </c>
      <c r="EV40" s="554"/>
      <c r="EW40" s="554"/>
      <c r="FD40" s="554"/>
      <c r="FE40" s="554"/>
      <c r="FF40" s="554"/>
      <c r="FG40" s="554"/>
      <c r="FH40" s="554"/>
      <c r="FI40" s="554"/>
      <c r="FJ40" s="554"/>
      <c r="FK40" s="554"/>
      <c r="FL40" s="554"/>
      <c r="FM40" s="554"/>
      <c r="FN40" s="554"/>
      <c r="FO40" s="554"/>
      <c r="FP40" s="554"/>
    </row>
    <row r="41" spans="1:172">
      <c r="A41" s="241"/>
      <c r="B41" s="1370"/>
      <c r="C41" s="1371"/>
      <c r="D41" s="578"/>
      <c r="E41" s="578"/>
      <c r="F41" s="578"/>
      <c r="G41" s="578"/>
      <c r="H41" s="578"/>
      <c r="I41" s="1371"/>
      <c r="J41" s="578"/>
      <c r="K41" s="578"/>
      <c r="L41" s="578"/>
      <c r="M41" s="578"/>
      <c r="N41" s="578"/>
      <c r="O41" s="1371"/>
      <c r="P41" s="578"/>
      <c r="Q41" s="578"/>
      <c r="R41" s="578"/>
      <c r="S41" s="609"/>
      <c r="T41" s="578"/>
      <c r="U41" s="578"/>
      <c r="V41" s="578"/>
      <c r="W41" s="1372"/>
      <c r="X41" s="1372"/>
      <c r="Y41" s="609"/>
      <c r="Z41" s="578"/>
      <c r="AA41" s="644"/>
      <c r="AB41" s="644"/>
      <c r="AC41" s="644"/>
      <c r="AD41" s="644"/>
      <c r="AE41" s="646"/>
      <c r="AF41" s="578"/>
      <c r="AG41" s="644"/>
      <c r="AH41" s="644"/>
      <c r="AI41" s="644"/>
      <c r="AJ41" s="644"/>
      <c r="AK41" s="646"/>
      <c r="AL41" s="578"/>
      <c r="AM41" s="644"/>
      <c r="AN41" s="644"/>
      <c r="AO41" s="644"/>
      <c r="AP41" s="644"/>
      <c r="AQ41" s="646"/>
      <c r="AR41" s="578"/>
      <c r="AS41" s="644"/>
      <c r="AT41" s="644"/>
      <c r="AU41" s="644"/>
      <c r="AV41" s="644"/>
      <c r="AW41" s="647"/>
      <c r="AX41" s="647"/>
      <c r="AY41" s="644"/>
      <c r="AZ41" s="644"/>
      <c r="BA41" s="644"/>
      <c r="BB41" s="644"/>
      <c r="BC41" s="644"/>
      <c r="BD41" s="578"/>
      <c r="BE41" s="644"/>
      <c r="BF41" s="644"/>
      <c r="BG41" s="644"/>
      <c r="BH41" s="644"/>
      <c r="BI41" s="609"/>
      <c r="BJ41" s="578"/>
      <c r="BK41" s="578"/>
      <c r="BL41" s="578"/>
      <c r="BM41" s="578"/>
      <c r="BN41" s="578"/>
      <c r="BO41" s="1325"/>
      <c r="BP41" s="578"/>
      <c r="BQ41" s="578"/>
      <c r="BR41" s="578"/>
      <c r="BS41" s="578"/>
      <c r="BT41" s="578"/>
      <c r="BU41" s="1325"/>
      <c r="BV41" s="578"/>
      <c r="BW41" s="241"/>
      <c r="BX41" s="241"/>
      <c r="BY41" s="241"/>
      <c r="BZ41" s="578"/>
      <c r="CA41" s="1325"/>
      <c r="CB41" s="578"/>
      <c r="CC41" s="241"/>
      <c r="CD41" s="241"/>
      <c r="CE41" s="241"/>
      <c r="CF41" s="241"/>
      <c r="CG41" s="1325"/>
      <c r="CH41" s="578"/>
      <c r="CI41" s="241"/>
      <c r="CJ41" s="241"/>
      <c r="CK41" s="241"/>
      <c r="CL41" s="578"/>
      <c r="CM41" s="1325"/>
      <c r="CN41" s="578"/>
      <c r="CO41" s="241"/>
      <c r="CP41" s="578"/>
      <c r="CQ41" s="1548"/>
      <c r="CR41" s="1548"/>
      <c r="CS41" s="1680"/>
      <c r="CT41" s="1548"/>
      <c r="CU41" s="241"/>
      <c r="CV41" s="1371"/>
      <c r="CW41" s="1548"/>
      <c r="CX41" s="1548"/>
      <c r="CY41" s="1680"/>
      <c r="CZ41" s="1548"/>
      <c r="DA41" s="241"/>
      <c r="DB41" s="241"/>
      <c r="DC41" s="1548"/>
      <c r="DD41" s="1548"/>
      <c r="DE41" s="1716"/>
      <c r="DF41" s="1548"/>
      <c r="DG41" s="241"/>
      <c r="DH41" s="241"/>
      <c r="DI41" s="1548"/>
      <c r="DJ41" s="1548"/>
      <c r="DK41" s="1680"/>
      <c r="DL41" s="1548"/>
      <c r="DM41" s="241"/>
      <c r="DN41" s="241"/>
      <c r="DO41" s="241"/>
      <c r="DP41" s="1548"/>
      <c r="DQ41" s="1680"/>
      <c r="DR41" s="1548"/>
      <c r="DS41" s="241"/>
      <c r="DT41" s="1548"/>
      <c r="DU41" s="1548"/>
      <c r="DV41" s="1548"/>
      <c r="DW41" s="1680"/>
      <c r="DX41" s="1548"/>
      <c r="DY41" s="241"/>
      <c r="DZ41" s="1548"/>
      <c r="EA41" s="1548"/>
      <c r="EB41" s="1548"/>
      <c r="EC41" s="1680"/>
      <c r="ED41" s="1548"/>
      <c r="EE41" s="1548"/>
      <c r="EF41" s="1548"/>
      <c r="EG41" s="1548"/>
      <c r="EH41" s="1548"/>
      <c r="EI41" s="1680"/>
      <c r="EJ41" s="1548"/>
      <c r="EK41" s="1548"/>
      <c r="EL41" s="1548"/>
      <c r="EM41" s="1548"/>
      <c r="EN41" s="1548"/>
      <c r="EO41" s="1680"/>
      <c r="EP41" s="1548"/>
      <c r="EQ41" s="1548"/>
      <c r="ER41" s="1548"/>
      <c r="ES41" s="1548"/>
      <c r="ET41" s="1548"/>
      <c r="EU41" s="1680"/>
      <c r="EV41" s="578"/>
      <c r="EW41" s="578"/>
      <c r="FD41" s="578"/>
      <c r="FE41" s="578"/>
      <c r="FF41" s="578"/>
      <c r="FG41" s="578"/>
      <c r="FH41" s="578"/>
      <c r="FI41" s="578"/>
      <c r="FJ41" s="578"/>
      <c r="FK41" s="578"/>
      <c r="FL41" s="578"/>
      <c r="FM41" s="578"/>
      <c r="FN41" s="578"/>
      <c r="FO41" s="578"/>
      <c r="FP41" s="578"/>
    </row>
    <row r="42" spans="1:172" ht="10.5" customHeight="1">
      <c r="A42" s="1373" t="s">
        <v>4676</v>
      </c>
      <c r="B42" s="1370"/>
      <c r="C42" s="1374"/>
      <c r="D42" s="1374"/>
      <c r="E42" s="1374"/>
      <c r="F42" s="1374"/>
      <c r="G42" s="1374"/>
      <c r="H42" s="1375"/>
      <c r="I42" s="1374"/>
      <c r="J42" s="1374"/>
      <c r="K42" s="1374"/>
      <c r="L42" s="1374"/>
      <c r="M42" s="1374"/>
      <c r="N42" s="1375"/>
      <c r="O42" s="1376"/>
      <c r="P42" s="1376"/>
      <c r="Q42" s="1376"/>
      <c r="R42" s="1376"/>
      <c r="S42" s="1376"/>
      <c r="T42" s="1375"/>
      <c r="U42" s="1375"/>
      <c r="V42" s="1375"/>
      <c r="W42" s="1377"/>
      <c r="X42" s="1377"/>
      <c r="Y42" s="1374"/>
      <c r="Z42" s="1375"/>
      <c r="AA42" s="1378"/>
      <c r="AB42" s="1378"/>
      <c r="AC42" s="1378"/>
      <c r="AD42" s="1378"/>
      <c r="AE42" s="1379"/>
      <c r="AF42" s="1375"/>
      <c r="AG42" s="1378"/>
      <c r="AH42" s="1378"/>
      <c r="AI42" s="1378"/>
      <c r="AJ42" s="1378"/>
      <c r="AK42" s="1379"/>
      <c r="AL42" s="1375"/>
      <c r="AM42" s="1378"/>
      <c r="AN42" s="1378"/>
      <c r="AO42" s="1378"/>
      <c r="AP42" s="1378"/>
      <c r="AQ42" s="1379"/>
      <c r="AR42" s="1375"/>
      <c r="AS42" s="1378"/>
      <c r="AT42" s="1378"/>
      <c r="AU42" s="1378"/>
      <c r="AV42" s="1378"/>
      <c r="AW42" s="1379"/>
      <c r="AX42" s="1375"/>
      <c r="AY42" s="1378"/>
      <c r="AZ42" s="1378"/>
      <c r="BA42" s="1378"/>
      <c r="BB42" s="1378"/>
      <c r="BC42" s="1379"/>
      <c r="BD42" s="1375"/>
      <c r="BE42" s="1378"/>
      <c r="BF42" s="1378"/>
      <c r="BG42" s="1378"/>
      <c r="BH42" s="1378"/>
      <c r="BI42" s="1376"/>
      <c r="BJ42" s="1380"/>
      <c r="BK42" s="1378"/>
      <c r="BL42" s="1378"/>
      <c r="BM42" s="1378"/>
      <c r="BN42" s="1378"/>
      <c r="BO42" s="1381"/>
      <c r="BP42" s="1380"/>
      <c r="BQ42" s="1378"/>
      <c r="BR42" s="1378"/>
      <c r="BS42" s="1378"/>
      <c r="BT42" s="1378"/>
      <c r="BU42" s="1381"/>
      <c r="BV42" s="1380"/>
      <c r="BW42" s="1380"/>
      <c r="BX42" s="1380"/>
      <c r="BY42" s="1380"/>
      <c r="BZ42" s="1378"/>
      <c r="CA42" s="1381"/>
      <c r="CB42" s="1380"/>
      <c r="CC42" s="1380"/>
      <c r="CD42" s="1380"/>
      <c r="CE42" s="1380"/>
      <c r="CF42" s="1380"/>
      <c r="CG42" s="1381"/>
      <c r="CH42" s="1380"/>
      <c r="CI42" s="1380"/>
      <c r="CJ42" s="1380"/>
      <c r="CK42" s="1380"/>
      <c r="CL42" s="1378"/>
      <c r="CM42" s="1381"/>
      <c r="CN42" s="1380"/>
      <c r="CO42" s="1380"/>
      <c r="CP42" s="1378"/>
      <c r="CQ42" s="1378"/>
      <c r="CR42" s="1378"/>
      <c r="CS42" s="1381"/>
      <c r="CT42" s="1380"/>
      <c r="CU42" s="1380"/>
      <c r="CV42" s="1378"/>
      <c r="CW42" s="1380"/>
      <c r="CX42" s="1378"/>
      <c r="CY42" s="1681"/>
      <c r="CZ42" s="1380"/>
      <c r="DA42" s="1380"/>
      <c r="DB42" s="1380"/>
      <c r="DC42" s="1378"/>
      <c r="DD42" s="1378"/>
      <c r="DE42" s="1681"/>
      <c r="DF42" s="1380"/>
      <c r="DG42" s="1380"/>
      <c r="DH42" s="1380"/>
      <c r="DI42" s="1378"/>
      <c r="DJ42" s="1378"/>
      <c r="DK42" s="1681"/>
      <c r="DL42" s="1380"/>
      <c r="DM42" s="1380"/>
      <c r="DN42" s="1380"/>
      <c r="DO42" s="1380"/>
      <c r="DP42" s="1378"/>
      <c r="DQ42" s="1681"/>
      <c r="DR42" s="1380"/>
      <c r="DS42" s="1380"/>
      <c r="DT42" s="1380"/>
      <c r="DU42" s="1380"/>
      <c r="DV42" s="1378"/>
      <c r="DW42" s="1681"/>
      <c r="DX42" s="1380"/>
      <c r="DY42" s="1380"/>
      <c r="DZ42" s="1378"/>
      <c r="EA42" s="1380"/>
      <c r="EB42" s="1378"/>
      <c r="EC42" s="1681"/>
      <c r="ED42" s="1380"/>
      <c r="EE42" s="1378"/>
      <c r="EF42" s="1378"/>
      <c r="EG42" s="1378"/>
      <c r="EH42" s="1378"/>
      <c r="EI42" s="1681"/>
      <c r="EJ42" s="1380"/>
      <c r="EK42" s="1378"/>
      <c r="EL42" s="1378"/>
      <c r="EM42" s="1378"/>
      <c r="EN42" s="1378"/>
      <c r="EO42" s="1681"/>
      <c r="EP42" s="1380"/>
      <c r="EQ42" s="1378"/>
      <c r="ER42" s="1378"/>
      <c r="ES42" s="1378"/>
      <c r="ET42" s="1378"/>
      <c r="EU42" s="1681"/>
      <c r="EV42" s="554"/>
      <c r="EW42" s="554"/>
      <c r="FD42" s="554"/>
      <c r="FE42" s="554"/>
      <c r="FF42" s="554"/>
      <c r="FG42" s="554"/>
      <c r="FH42" s="554"/>
      <c r="FI42" s="554"/>
      <c r="FJ42" s="554"/>
      <c r="FK42" s="554"/>
      <c r="FL42" s="554"/>
      <c r="FM42" s="554"/>
      <c r="FN42" s="554"/>
      <c r="FO42" s="554"/>
      <c r="FP42" s="554"/>
    </row>
    <row r="43" spans="1:172" ht="10.5" customHeight="1">
      <c r="A43" s="265" t="s">
        <v>4690</v>
      </c>
      <c r="B43" s="1370"/>
      <c r="C43" s="1374"/>
      <c r="D43" s="1374"/>
      <c r="E43" s="1374"/>
      <c r="F43" s="1374"/>
      <c r="G43" s="1374"/>
      <c r="H43" s="1375"/>
      <c r="I43" s="1374"/>
      <c r="J43" s="1374"/>
      <c r="K43" s="1374"/>
      <c r="L43" s="1374"/>
      <c r="M43" s="1374"/>
      <c r="N43" s="1375"/>
      <c r="O43" s="1374">
        <v>-37.570999999999998</v>
      </c>
      <c r="P43" s="1374">
        <v>-44.768000000000001</v>
      </c>
      <c r="Q43" s="1374">
        <v>-55.802</v>
      </c>
      <c r="R43" s="1374">
        <f>874.8-838.591</f>
        <v>36.208999999999946</v>
      </c>
      <c r="S43" s="1374">
        <f>R43</f>
        <v>36.208999999999946</v>
      </c>
      <c r="T43" s="1375"/>
      <c r="U43" s="1374">
        <v>-150.316</v>
      </c>
      <c r="V43" s="1374">
        <v>-178.40799999999999</v>
      </c>
      <c r="W43" s="1374">
        <v>-197.67500000000001</v>
      </c>
      <c r="X43" s="1374">
        <f>-3791.568+3528.305</f>
        <v>-263.26300000000037</v>
      </c>
      <c r="Y43" s="1374">
        <f>X43</f>
        <v>-263.26300000000037</v>
      </c>
      <c r="Z43" s="1375"/>
      <c r="AA43" s="1374">
        <v>103.741</v>
      </c>
      <c r="AB43" s="1374">
        <v>80.808000000000007</v>
      </c>
      <c r="AC43" s="1374">
        <v>96.206000000000003</v>
      </c>
      <c r="AD43" s="1374">
        <f>2708.404-2578.504</f>
        <v>129.90000000000009</v>
      </c>
      <c r="AE43" s="554">
        <f>AD43</f>
        <v>129.90000000000009</v>
      </c>
      <c r="AF43" s="1375"/>
      <c r="AG43" s="1374">
        <v>37.676000000000002</v>
      </c>
      <c r="AH43" s="1374">
        <v>-15.58</v>
      </c>
      <c r="AI43" s="1374">
        <v>-6.5460000000000003</v>
      </c>
      <c r="AJ43" s="1374">
        <v>-56.817</v>
      </c>
      <c r="AK43" s="1374">
        <f>AJ43</f>
        <v>-56.817</v>
      </c>
      <c r="AL43" s="1375"/>
      <c r="AM43" s="1374">
        <v>61.365000000000002</v>
      </c>
      <c r="AN43" s="1374">
        <v>85.512</v>
      </c>
      <c r="AO43" s="1374">
        <v>115.291</v>
      </c>
      <c r="AP43" s="1374">
        <f>960.565-837.56</f>
        <v>123.00500000000011</v>
      </c>
      <c r="AQ43" s="1374">
        <f>AP43</f>
        <v>123.00500000000011</v>
      </c>
      <c r="AR43" s="1375"/>
      <c r="AS43" s="1374">
        <v>1.8759999999999999</v>
      </c>
      <c r="AT43" s="1374">
        <v>30.838999999999999</v>
      </c>
      <c r="AU43" s="1374">
        <v>4.9269999999999996</v>
      </c>
      <c r="AV43" s="1374">
        <v>-24.039000000000001</v>
      </c>
      <c r="AW43" s="1374">
        <f>AV43</f>
        <v>-24.039000000000001</v>
      </c>
      <c r="AX43" s="1375"/>
      <c r="AY43" s="1374">
        <v>30.8</v>
      </c>
      <c r="AZ43" s="1374">
        <f>AY43-10.6</f>
        <v>20.200000000000003</v>
      </c>
      <c r="BA43" s="1374">
        <f>AZ43+85</f>
        <v>105.2</v>
      </c>
      <c r="BB43" s="1374">
        <f>BA43+125.5</f>
        <v>230.7</v>
      </c>
      <c r="BC43" s="1374">
        <f>BB43</f>
        <v>230.7</v>
      </c>
      <c r="BD43" s="1375"/>
      <c r="BE43" s="1375">
        <v>-4.7</v>
      </c>
      <c r="BF43" s="1375">
        <f>BE43-23.1</f>
        <v>-27.8</v>
      </c>
      <c r="BG43" s="1375">
        <f>BF43-114.2</f>
        <v>-142</v>
      </c>
      <c r="BH43" s="1375">
        <f>BG43+66.7</f>
        <v>-75.3</v>
      </c>
      <c r="BI43" s="1374">
        <f>BH43</f>
        <v>-75.3</v>
      </c>
      <c r="BJ43" s="1375"/>
      <c r="BK43" s="1375">
        <v>-36.4</v>
      </c>
      <c r="BL43" s="1375">
        <f>BK43+99.5</f>
        <v>63.1</v>
      </c>
      <c r="BM43" s="1375">
        <f>BL43-53.4</f>
        <v>9.7000000000000028</v>
      </c>
      <c r="BN43" s="1375">
        <f>BM43-29.5</f>
        <v>-19.799999999999997</v>
      </c>
      <c r="BO43" s="1382">
        <f>BN43</f>
        <v>-19.799999999999997</v>
      </c>
      <c r="BP43" s="1375"/>
      <c r="BQ43" s="1375">
        <f>358-447.7</f>
        <v>-89.699999999999989</v>
      </c>
      <c r="BR43" s="1375">
        <f>765.7-705.7</f>
        <v>60</v>
      </c>
      <c r="BS43" s="1375">
        <f>-727.9+795.5</f>
        <v>67.600000000000023</v>
      </c>
      <c r="BT43" s="1375">
        <f>799.1-727</f>
        <v>72.100000000000023</v>
      </c>
      <c r="BU43" s="1382">
        <f>BT43</f>
        <v>72.100000000000023</v>
      </c>
      <c r="BV43" s="1375"/>
      <c r="BW43" s="1375">
        <f>-2.1+0.8</f>
        <v>-1.3</v>
      </c>
      <c r="BX43" s="1375">
        <f>-5.6+4.7</f>
        <v>-0.89999999999999947</v>
      </c>
      <c r="BY43" s="1375">
        <f>-111.2+5.2</f>
        <v>-106</v>
      </c>
      <c r="BZ43" s="1375">
        <f>-118.6+83.4</f>
        <v>-35.199999999999989</v>
      </c>
      <c r="CA43" s="1382">
        <f>BZ43</f>
        <v>-35.199999999999989</v>
      </c>
      <c r="CB43" s="1375"/>
      <c r="CC43" s="1375">
        <f>-26.6+11.7</f>
        <v>-14.900000000000002</v>
      </c>
      <c r="CD43" s="1375">
        <f>-298.2+1.4+14.3</f>
        <v>-282.5</v>
      </c>
      <c r="CE43" s="1375">
        <f>-409.9+8.1+126.5</f>
        <v>-275.29999999999995</v>
      </c>
      <c r="CF43" s="1375">
        <f>-568.9+26.4+328.7</f>
        <v>-213.8</v>
      </c>
      <c r="CG43" s="1382">
        <f>CF43</f>
        <v>-213.8</v>
      </c>
      <c r="CH43" s="1375"/>
      <c r="CI43" s="1375">
        <f>-134.5+29.7+94.1</f>
        <v>-10.700000000000003</v>
      </c>
      <c r="CJ43" s="1375">
        <f>-318.7+52.8+135.8</f>
        <v>-130.09999999999997</v>
      </c>
      <c r="CK43" s="1375">
        <f>-425.8+85.9+201.3</f>
        <v>-138.59999999999997</v>
      </c>
      <c r="CL43" s="1375">
        <f>-507.2+135.3+275.4</f>
        <v>-96.5</v>
      </c>
      <c r="CM43" s="1382">
        <f>CL43</f>
        <v>-96.5</v>
      </c>
      <c r="CN43" s="1375"/>
      <c r="CO43" s="1375">
        <f>-169.7+34.6+96.5</f>
        <v>-38.599999999999994</v>
      </c>
      <c r="CP43" s="1375">
        <f>-307.8+61.6+220.7</f>
        <v>-25.500000000000028</v>
      </c>
      <c r="CQ43" s="1375">
        <f>-456+110.8+307</f>
        <v>-38.199999999999989</v>
      </c>
      <c r="CR43" s="1375">
        <f>-614.2+149.5+409.6</f>
        <v>-55.100000000000023</v>
      </c>
      <c r="CS43" s="1382">
        <f>CR43</f>
        <v>-55.100000000000023</v>
      </c>
      <c r="CT43" s="1375"/>
      <c r="CU43" s="1375">
        <f>-447.8+48.8+128.5</f>
        <v>-270.5</v>
      </c>
      <c r="CV43" s="1375">
        <f>-725.3+138.9+250.5</f>
        <v>-335.9</v>
      </c>
      <c r="CW43" s="1375">
        <f>-1103.1+207+436.6</f>
        <v>-459.49999999999989</v>
      </c>
      <c r="CX43" s="1375">
        <f>-1397.7+332.9+764.8</f>
        <v>-300.00000000000023</v>
      </c>
      <c r="CY43" s="1382">
        <f>CX43</f>
        <v>-300.00000000000023</v>
      </c>
      <c r="CZ43" s="1375"/>
      <c r="DA43" s="1375">
        <f>-264.6+128.1+68.9</f>
        <v>-67.600000000000023</v>
      </c>
      <c r="DB43" s="1375">
        <f>-697.3+215.1+231.9</f>
        <v>-250.29999999999993</v>
      </c>
      <c r="DC43" s="1375">
        <f>-969.8+329.9+395.1</f>
        <v>-244.79999999999995</v>
      </c>
      <c r="DD43" s="1375">
        <f>-1214.2+537+742.1</f>
        <v>64.899999999999977</v>
      </c>
      <c r="DE43" s="1382">
        <f>DD43</f>
        <v>64.899999999999977</v>
      </c>
      <c r="DF43" s="1375"/>
      <c r="DG43" s="1375">
        <f>-306.4+59.2+163.1</f>
        <v>-84.1</v>
      </c>
      <c r="DH43" s="1375">
        <f>-684.2+127.3+407.1</f>
        <v>-149.80000000000007</v>
      </c>
      <c r="DI43" s="1375">
        <f>-899+160.7+623.2</f>
        <v>-115.09999999999991</v>
      </c>
      <c r="DJ43" s="1375">
        <f>-1355.1+190+969</f>
        <v>-196.09999999999991</v>
      </c>
      <c r="DK43" s="1382">
        <f>DJ43</f>
        <v>-196.09999999999991</v>
      </c>
      <c r="DL43" s="1375"/>
      <c r="DM43" s="1375">
        <f>-485.2+97.5+192.4</f>
        <v>-195.29999999999998</v>
      </c>
      <c r="DN43" s="1375">
        <f>-1314.2+187+541</f>
        <v>-586.20000000000005</v>
      </c>
      <c r="DO43" s="1375">
        <f>-1827.9+263+970.7</f>
        <v>-594.20000000000005</v>
      </c>
      <c r="DP43" s="1375">
        <f>-2250.1+329.4+1376.6</f>
        <v>-544.09999999999991</v>
      </c>
      <c r="DQ43" s="1382">
        <f>DP43</f>
        <v>-544.09999999999991</v>
      </c>
      <c r="DR43" s="1375"/>
      <c r="DS43" s="1375">
        <f>-577.5+107.6+322.6</f>
        <v>-147.29999999999995</v>
      </c>
      <c r="DT43" s="1375">
        <f>-810.9+354.7+791.3</f>
        <v>335.09999999999997</v>
      </c>
      <c r="DU43" s="1375">
        <f>-1106.4+544.7+1012.6</f>
        <v>450.9</v>
      </c>
      <c r="DV43" s="1375">
        <f>-1867.9+1257.7+1057.2</f>
        <v>447</v>
      </c>
      <c r="DW43" s="1382">
        <f>DV43</f>
        <v>447</v>
      </c>
      <c r="DX43" s="1375"/>
      <c r="DY43" s="1375">
        <f>-119.4+100+282.6</f>
        <v>263.20000000000005</v>
      </c>
      <c r="DZ43" s="1375">
        <f>-299.7+110.8+420.3</f>
        <v>231.40000000000003</v>
      </c>
      <c r="EA43" s="1375">
        <f>-419.6+199.2+530.1</f>
        <v>309.7</v>
      </c>
      <c r="EB43" s="1375">
        <f>-514+489+594.3</f>
        <v>569.29999999999995</v>
      </c>
      <c r="EC43" s="1382">
        <f>EB43</f>
        <v>569.29999999999995</v>
      </c>
      <c r="ED43" s="1375"/>
      <c r="EE43" s="1383">
        <v>0</v>
      </c>
      <c r="EF43" s="1383">
        <f>EE43</f>
        <v>0</v>
      </c>
      <c r="EG43" s="1383">
        <f>EF43</f>
        <v>0</v>
      </c>
      <c r="EH43" s="1383">
        <f>EG43</f>
        <v>0</v>
      </c>
      <c r="EI43" s="1382">
        <f>EH43</f>
        <v>0</v>
      </c>
      <c r="EJ43" s="1375"/>
      <c r="EK43" s="1383">
        <v>0</v>
      </c>
      <c r="EL43" s="1383">
        <f>EK43</f>
        <v>0</v>
      </c>
      <c r="EM43" s="1383">
        <f>EL43</f>
        <v>0</v>
      </c>
      <c r="EN43" s="1383">
        <f>EM43</f>
        <v>0</v>
      </c>
      <c r="EO43" s="1382">
        <f>EN43</f>
        <v>0</v>
      </c>
      <c r="EP43" s="1375"/>
      <c r="EQ43" s="1383">
        <v>0</v>
      </c>
      <c r="ER43" s="1383">
        <f>EQ43</f>
        <v>0</v>
      </c>
      <c r="ES43" s="1383">
        <f>ER43</f>
        <v>0</v>
      </c>
      <c r="ET43" s="1383">
        <f>ES43</f>
        <v>0</v>
      </c>
      <c r="EU43" s="1382">
        <f>ET43</f>
        <v>0</v>
      </c>
      <c r="EV43" s="554"/>
      <c r="EW43" s="554"/>
      <c r="FD43" s="554"/>
      <c r="FE43" s="554"/>
      <c r="FF43" s="554"/>
      <c r="FG43" s="554"/>
      <c r="FH43" s="554"/>
      <c r="FI43" s="554"/>
      <c r="FJ43" s="554"/>
      <c r="FK43" s="554"/>
      <c r="FL43" s="554"/>
      <c r="FM43" s="554"/>
      <c r="FN43" s="554"/>
      <c r="FO43" s="554"/>
      <c r="FP43" s="554"/>
    </row>
    <row r="44" spans="1:172" ht="10.5" customHeight="1">
      <c r="A44" s="265" t="s">
        <v>6814</v>
      </c>
      <c r="B44" s="1370"/>
      <c r="C44" s="1374"/>
      <c r="D44" s="1374"/>
      <c r="E44" s="1374"/>
      <c r="F44" s="1374"/>
      <c r="G44" s="1374"/>
      <c r="H44" s="1375"/>
      <c r="I44" s="1374"/>
      <c r="J44" s="1374"/>
      <c r="K44" s="1374"/>
      <c r="L44" s="1374"/>
      <c r="M44" s="1374"/>
      <c r="N44" s="1375"/>
      <c r="O44" s="1374">
        <v>-8.2880000000000003</v>
      </c>
      <c r="P44" s="1374">
        <v>-15.01</v>
      </c>
      <c r="Q44" s="1374">
        <v>-17.495999999999999</v>
      </c>
      <c r="R44" s="1374">
        <v>-42.808999999999997</v>
      </c>
      <c r="S44" s="1374">
        <f t="shared" ref="S44:S51" si="64">R44</f>
        <v>-42.808999999999997</v>
      </c>
      <c r="T44" s="1375"/>
      <c r="U44" s="1374">
        <v>-3.548</v>
      </c>
      <c r="V44" s="1374">
        <v>-13.845000000000001</v>
      </c>
      <c r="W44" s="1374">
        <v>-16.395</v>
      </c>
      <c r="X44" s="1374">
        <v>-14.932</v>
      </c>
      <c r="Y44" s="1374">
        <f t="shared" ref="Y44:Y51" si="65">X44</f>
        <v>-14.932</v>
      </c>
      <c r="Z44" s="1375"/>
      <c r="AA44" s="1374">
        <v>-10.481</v>
      </c>
      <c r="AB44" s="1374">
        <v>-18.265000000000001</v>
      </c>
      <c r="AC44" s="1374">
        <v>-24.911000000000001</v>
      </c>
      <c r="AD44" s="1374">
        <v>-32.411999999999999</v>
      </c>
      <c r="AE44" s="554">
        <f t="shared" ref="AE44:AE51" si="66">AD44</f>
        <v>-32.411999999999999</v>
      </c>
      <c r="AF44" s="1375"/>
      <c r="AG44" s="1374">
        <v>-13.179</v>
      </c>
      <c r="AH44" s="1374">
        <v>-26.297000000000001</v>
      </c>
      <c r="AI44" s="1374">
        <v>-36.706000000000003</v>
      </c>
      <c r="AJ44" s="1374">
        <v>-45.067999999999998</v>
      </c>
      <c r="AK44" s="1374">
        <f t="shared" ref="AK44:AK51" si="67">AJ44</f>
        <v>-45.067999999999998</v>
      </c>
      <c r="AL44" s="1375"/>
      <c r="AM44" s="1374">
        <v>-9.9009999999999998</v>
      </c>
      <c r="AN44" s="1374">
        <v>-22.553000000000001</v>
      </c>
      <c r="AO44" s="1374">
        <v>-29.004999999999999</v>
      </c>
      <c r="AP44" s="1374">
        <v>-36.103000000000002</v>
      </c>
      <c r="AQ44" s="1374">
        <f>AP44</f>
        <v>-36.103000000000002</v>
      </c>
      <c r="AR44" s="1375"/>
      <c r="AS44" s="1374">
        <v>-4.0830000000000002</v>
      </c>
      <c r="AT44" s="1374">
        <v>-13.865</v>
      </c>
      <c r="AU44" s="1374">
        <v>-18.716000000000001</v>
      </c>
      <c r="AV44" s="1374">
        <v>-25.852</v>
      </c>
      <c r="AW44" s="1374">
        <f t="shared" ref="AW44:AW51" si="68">AV44</f>
        <v>-25.852</v>
      </c>
      <c r="AX44" s="1375"/>
      <c r="AY44" s="1374">
        <v>-5.9</v>
      </c>
      <c r="AZ44" s="1374">
        <f>AY44-9.8</f>
        <v>-15.700000000000001</v>
      </c>
      <c r="BA44" s="1374">
        <f>AZ44-13.6</f>
        <v>-29.3</v>
      </c>
      <c r="BB44" s="1374">
        <f>BA44-11.5</f>
        <v>-40.799999999999997</v>
      </c>
      <c r="BC44" s="1374">
        <f>BB44</f>
        <v>-40.799999999999997</v>
      </c>
      <c r="BD44" s="1375"/>
      <c r="BE44" s="1375">
        <v>-5.5</v>
      </c>
      <c r="BF44" s="1375">
        <f>BE44-4.4</f>
        <v>-9.9</v>
      </c>
      <c r="BG44" s="1375">
        <f>BF44-5.4</f>
        <v>-15.3</v>
      </c>
      <c r="BH44" s="1375">
        <f>BG44-5.2</f>
        <v>-20.5</v>
      </c>
      <c r="BI44" s="1374">
        <f>BH44</f>
        <v>-20.5</v>
      </c>
      <c r="BJ44" s="1375"/>
      <c r="BK44" s="1375">
        <v>-11.4</v>
      </c>
      <c r="BL44" s="1375">
        <f>BK44-7</f>
        <v>-18.399999999999999</v>
      </c>
      <c r="BM44" s="1375">
        <f>BL44-7</f>
        <v>-25.4</v>
      </c>
      <c r="BN44" s="1375">
        <f>BM44-9.9</f>
        <v>-35.299999999999997</v>
      </c>
      <c r="BO44" s="1382">
        <f>BN44</f>
        <v>-35.299999999999997</v>
      </c>
      <c r="BP44" s="1375"/>
      <c r="BQ44" s="1375">
        <v>-6.8</v>
      </c>
      <c r="BR44" s="1375">
        <v>-18.2</v>
      </c>
      <c r="BS44" s="1375">
        <v>-29.1</v>
      </c>
      <c r="BT44" s="1375">
        <v>-43.3</v>
      </c>
      <c r="BU44" s="1382">
        <f>BT44</f>
        <v>-43.3</v>
      </c>
      <c r="BV44" s="1375"/>
      <c r="BW44" s="1375">
        <v>-13.4</v>
      </c>
      <c r="BX44" s="1375">
        <v>-39.9</v>
      </c>
      <c r="BY44" s="1375">
        <v>-59.1</v>
      </c>
      <c r="BZ44" s="1375">
        <v>-78.400000000000006</v>
      </c>
      <c r="CA44" s="1382">
        <f>BZ44</f>
        <v>-78.400000000000006</v>
      </c>
      <c r="CB44" s="1375"/>
      <c r="CC44" s="1375">
        <v>-13.6</v>
      </c>
      <c r="CD44" s="1375">
        <v>-24.3</v>
      </c>
      <c r="CE44" s="1375">
        <v>-30.2</v>
      </c>
      <c r="CF44" s="1375">
        <v>-39</v>
      </c>
      <c r="CG44" s="1382">
        <f>CF44</f>
        <v>-39</v>
      </c>
      <c r="CH44" s="1375"/>
      <c r="CI44" s="1375">
        <v>-5.8</v>
      </c>
      <c r="CJ44" s="1375">
        <v>-11.1</v>
      </c>
      <c r="CK44" s="1375">
        <v>-18.100000000000001</v>
      </c>
      <c r="CL44" s="1375">
        <v>-28.3</v>
      </c>
      <c r="CM44" s="1382">
        <f>CL44</f>
        <v>-28.3</v>
      </c>
      <c r="CN44" s="1375"/>
      <c r="CO44" s="1375">
        <v>-23.4</v>
      </c>
      <c r="CP44" s="1375">
        <v>-39.799999999999997</v>
      </c>
      <c r="CQ44" s="1375">
        <v>-48.7</v>
      </c>
      <c r="CR44" s="1375">
        <v>-63</v>
      </c>
      <c r="CS44" s="1382">
        <f>CR44</f>
        <v>-63</v>
      </c>
      <c r="CT44" s="1375"/>
      <c r="CU44" s="1375">
        <v>-11.5</v>
      </c>
      <c r="CV44" s="1375">
        <v>-28.2</v>
      </c>
      <c r="CW44" s="1375">
        <f>-44.7</f>
        <v>-44.7</v>
      </c>
      <c r="CX44" s="1375">
        <v>-56.4</v>
      </c>
      <c r="CY44" s="1382">
        <f>CX44</f>
        <v>-56.4</v>
      </c>
      <c r="CZ44" s="1375"/>
      <c r="DA44" s="1375">
        <f>-25.8</f>
        <v>-25.8</v>
      </c>
      <c r="DB44" s="1375">
        <v>-42.6</v>
      </c>
      <c r="DC44" s="1375">
        <v>-55</v>
      </c>
      <c r="DD44" s="1375">
        <v>-64.2</v>
      </c>
      <c r="DE44" s="1382">
        <f>DD44</f>
        <v>-64.2</v>
      </c>
      <c r="DF44" s="1375"/>
      <c r="DG44" s="1375">
        <v>-14.5</v>
      </c>
      <c r="DH44" s="1375">
        <v>-31.6</v>
      </c>
      <c r="DI44" s="1375">
        <v>-60</v>
      </c>
      <c r="DJ44" s="1375">
        <v>-75.5</v>
      </c>
      <c r="DK44" s="1382">
        <f>DJ44</f>
        <v>-75.5</v>
      </c>
      <c r="DL44" s="1375"/>
      <c r="DM44" s="1375">
        <v>-12.5</v>
      </c>
      <c r="DN44" s="1375">
        <v>-29.8</v>
      </c>
      <c r="DO44" s="1375">
        <v>-41.8</v>
      </c>
      <c r="DP44" s="1375">
        <v>-72.400000000000006</v>
      </c>
      <c r="DQ44" s="1382">
        <f>DP44</f>
        <v>-72.400000000000006</v>
      </c>
      <c r="DR44" s="1375"/>
      <c r="DS44" s="1375">
        <v>-22.3</v>
      </c>
      <c r="DT44" s="1375">
        <v>-42.6</v>
      </c>
      <c r="DU44" s="1375">
        <v>-65.099999999999994</v>
      </c>
      <c r="DV44" s="1375">
        <v>-76</v>
      </c>
      <c r="DW44" s="1382">
        <f>DV44</f>
        <v>-76</v>
      </c>
      <c r="DX44" s="1375"/>
      <c r="DY44" s="1375">
        <v>-8.6</v>
      </c>
      <c r="DZ44" s="1375">
        <v>-26.4</v>
      </c>
      <c r="EA44" s="1375">
        <v>-39.299999999999997</v>
      </c>
      <c r="EB44" s="1375">
        <v>-50.7</v>
      </c>
      <c r="EC44" s="1382">
        <f>EB44</f>
        <v>-50.7</v>
      </c>
      <c r="ED44" s="1375"/>
      <c r="EE44" s="1383">
        <f>-BS!EE118</f>
        <v>-6.9989241647235581</v>
      </c>
      <c r="EF44" s="1383">
        <f>EE44-BS!EF118</f>
        <v>-24.984705345033806</v>
      </c>
      <c r="EG44" s="1383">
        <f>EF44-BS!EG118</f>
        <v>-37.881692549425836</v>
      </c>
      <c r="EH44" s="1383">
        <f>EG44-BS!EH118</f>
        <v>-49.237610952587602</v>
      </c>
      <c r="EI44" s="1382">
        <f>EH44</f>
        <v>-49.237610952587602</v>
      </c>
      <c r="EJ44" s="1375"/>
      <c r="EK44" s="1383">
        <f>-BS!EK118</f>
        <v>-6.0301229030329022</v>
      </c>
      <c r="EL44" s="1383">
        <f>EK44-BS!EL118</f>
        <v>-25.712072063839479</v>
      </c>
      <c r="EM44" s="1383">
        <f>EL44-BS!EM118</f>
        <v>-38.895374431887362</v>
      </c>
      <c r="EN44" s="1383">
        <f>EM44-BS!EN118</f>
        <v>-49.899155359764947</v>
      </c>
      <c r="EO44" s="1382">
        <f>EN44</f>
        <v>-49.899155359764947</v>
      </c>
      <c r="EP44" s="1375"/>
      <c r="EQ44" s="1383">
        <f>-BS!EQ118</f>
        <v>-4.1053202584998507</v>
      </c>
      <c r="ER44" s="1383">
        <f>EQ44-BS!ER118</f>
        <v>-24.336769427394294</v>
      </c>
      <c r="ES44" s="1383">
        <f>ER44-BS!ES118</f>
        <v>-36.609028599843036</v>
      </c>
      <c r="ET44" s="1383">
        <f>ES44-BS!ET118</f>
        <v>-46.112442852545513</v>
      </c>
      <c r="EU44" s="1382">
        <f>ET44</f>
        <v>-46.112442852545513</v>
      </c>
      <c r="EV44" s="554"/>
      <c r="EW44" s="554"/>
      <c r="FD44" s="554"/>
      <c r="FE44" s="554"/>
      <c r="FF44" s="554"/>
      <c r="FG44" s="554"/>
      <c r="FH44" s="554"/>
      <c r="FI44" s="554"/>
      <c r="FJ44" s="554"/>
      <c r="FK44" s="554"/>
      <c r="FL44" s="554"/>
      <c r="FM44" s="554"/>
      <c r="FN44" s="554"/>
      <c r="FO44" s="554"/>
      <c r="FP44" s="554"/>
    </row>
    <row r="45" spans="1:172" ht="10.5" customHeight="1">
      <c r="A45" s="265" t="s">
        <v>3793</v>
      </c>
      <c r="B45" s="1370"/>
      <c r="C45" s="1374"/>
      <c r="D45" s="1374"/>
      <c r="E45" s="1374"/>
      <c r="F45" s="1374"/>
      <c r="G45" s="1374"/>
      <c r="H45" s="1375"/>
      <c r="I45" s="1374"/>
      <c r="J45" s="1374"/>
      <c r="K45" s="1374"/>
      <c r="L45" s="1374"/>
      <c r="M45" s="1374"/>
      <c r="N45" s="1375"/>
      <c r="O45" s="1374">
        <v>3.7770000000000001</v>
      </c>
      <c r="P45" s="1374">
        <v>0.112</v>
      </c>
      <c r="Q45" s="1374">
        <v>-7.6319999999999997</v>
      </c>
      <c r="R45" s="1374">
        <v>-5.9790000000000001</v>
      </c>
      <c r="S45" s="1374">
        <f t="shared" si="64"/>
        <v>-5.9790000000000001</v>
      </c>
      <c r="T45" s="1375"/>
      <c r="U45" s="1374">
        <v>-0.91300000000000003</v>
      </c>
      <c r="V45" s="1374">
        <v>0</v>
      </c>
      <c r="W45" s="1374">
        <v>0</v>
      </c>
      <c r="X45" s="1374">
        <v>-5.15</v>
      </c>
      <c r="Y45" s="1374">
        <f t="shared" si="65"/>
        <v>-5.15</v>
      </c>
      <c r="Z45" s="1375"/>
      <c r="AA45" s="1374">
        <v>2.56</v>
      </c>
      <c r="AB45" s="1374">
        <v>0</v>
      </c>
      <c r="AC45" s="1374">
        <v>0</v>
      </c>
      <c r="AD45" s="1374">
        <v>-3.0939999999999999</v>
      </c>
      <c r="AE45" s="554">
        <f t="shared" si="66"/>
        <v>-3.0939999999999999</v>
      </c>
      <c r="AF45" s="1375"/>
      <c r="AG45" s="1374">
        <v>0</v>
      </c>
      <c r="AH45" s="1374">
        <v>0</v>
      </c>
      <c r="AI45" s="1374">
        <v>0</v>
      </c>
      <c r="AJ45" s="1374">
        <v>0</v>
      </c>
      <c r="AK45" s="1374">
        <f t="shared" si="67"/>
        <v>0</v>
      </c>
      <c r="AL45" s="1375"/>
      <c r="AM45" s="1374">
        <v>0</v>
      </c>
      <c r="AN45" s="1374">
        <v>0</v>
      </c>
      <c r="AO45" s="1374">
        <v>0</v>
      </c>
      <c r="AP45" s="1374">
        <v>-3.6560000000000001</v>
      </c>
      <c r="AQ45" s="1374">
        <f t="shared" ref="AQ45:AQ51" si="69">AP45</f>
        <v>-3.6560000000000001</v>
      </c>
      <c r="AR45" s="1375"/>
      <c r="AS45" s="1374">
        <v>0</v>
      </c>
      <c r="AT45" s="1374">
        <v>0</v>
      </c>
      <c r="AU45" s="1374">
        <v>0</v>
      </c>
      <c r="AV45" s="1374">
        <v>-4.2300000000000004</v>
      </c>
      <c r="AW45" s="1374">
        <f t="shared" si="68"/>
        <v>-4.2300000000000004</v>
      </c>
      <c r="AX45" s="1375"/>
      <c r="AY45" s="1374">
        <v>0</v>
      </c>
      <c r="AZ45" s="1374">
        <v>0</v>
      </c>
      <c r="BA45" s="1374">
        <v>0</v>
      </c>
      <c r="BB45" s="1374">
        <v>0</v>
      </c>
      <c r="BC45" s="1374">
        <f>BB45</f>
        <v>0</v>
      </c>
      <c r="BD45" s="1375"/>
      <c r="BE45" s="1375">
        <v>0</v>
      </c>
      <c r="BF45" s="1375">
        <v>0</v>
      </c>
      <c r="BG45" s="1375">
        <v>0</v>
      </c>
      <c r="BH45" s="1375">
        <v>0</v>
      </c>
      <c r="BI45" s="1374">
        <f t="shared" ref="BI45:BI51" si="70">BH45</f>
        <v>0</v>
      </c>
      <c r="BJ45" s="1375"/>
      <c r="BK45" s="1375">
        <v>0</v>
      </c>
      <c r="BL45" s="1375">
        <v>0</v>
      </c>
      <c r="BM45" s="1375">
        <v>0</v>
      </c>
      <c r="BN45" s="1375">
        <v>0</v>
      </c>
      <c r="BO45" s="1382">
        <f t="shared" ref="BO45:BO51" si="71">BN45</f>
        <v>0</v>
      </c>
      <c r="BP45" s="1375"/>
      <c r="BQ45" s="1375">
        <v>0</v>
      </c>
      <c r="BR45" s="1375">
        <v>0</v>
      </c>
      <c r="BS45" s="1375">
        <v>0</v>
      </c>
      <c r="BT45" s="1375">
        <v>0</v>
      </c>
      <c r="BU45" s="1382">
        <f t="shared" ref="BU45:BU51" si="72">BT45</f>
        <v>0</v>
      </c>
      <c r="BV45" s="1375"/>
      <c r="BW45" s="1375">
        <v>-1</v>
      </c>
      <c r="BX45" s="1375">
        <v>0</v>
      </c>
      <c r="BY45" s="1375">
        <v>0</v>
      </c>
      <c r="BZ45" s="1375">
        <v>0</v>
      </c>
      <c r="CA45" s="1382">
        <f t="shared" ref="CA45:CA51" si="73">BZ45</f>
        <v>0</v>
      </c>
      <c r="CB45" s="1375"/>
      <c r="CC45" s="1375">
        <v>0</v>
      </c>
      <c r="CD45" s="1375">
        <v>0</v>
      </c>
      <c r="CE45" s="1375">
        <f>-10</f>
        <v>-10</v>
      </c>
      <c r="CF45" s="1375">
        <f>-11.4</f>
        <v>-11.4</v>
      </c>
      <c r="CG45" s="1382">
        <f t="shared" ref="CG45:CG51" si="74">CF45</f>
        <v>-11.4</v>
      </c>
      <c r="CH45" s="1375"/>
      <c r="CI45" s="1375">
        <v>0</v>
      </c>
      <c r="CJ45" s="1375">
        <v>0</v>
      </c>
      <c r="CK45" s="1375">
        <v>0</v>
      </c>
      <c r="CL45" s="1375">
        <v>-4</v>
      </c>
      <c r="CM45" s="1382">
        <f t="shared" ref="CM45:CM51" si="75">CL45</f>
        <v>-4</v>
      </c>
      <c r="CN45" s="1375"/>
      <c r="CO45" s="1375">
        <v>0</v>
      </c>
      <c r="CP45" s="1375">
        <v>0</v>
      </c>
      <c r="CQ45" s="1375">
        <v>0</v>
      </c>
      <c r="CR45" s="1375">
        <v>0</v>
      </c>
      <c r="CS45" s="1382">
        <f t="shared" ref="CS45:CS51" si="76">CR45</f>
        <v>0</v>
      </c>
      <c r="CT45" s="1375"/>
      <c r="CU45" s="1375">
        <v>0</v>
      </c>
      <c r="CV45" s="1375">
        <v>0</v>
      </c>
      <c r="CW45" s="1375">
        <v>0</v>
      </c>
      <c r="CX45" s="1375">
        <v>0</v>
      </c>
      <c r="CY45" s="1382">
        <f t="shared" ref="CY45:CY51" si="77">CX45</f>
        <v>0</v>
      </c>
      <c r="CZ45" s="1375"/>
      <c r="DA45" s="1375">
        <v>0</v>
      </c>
      <c r="DB45" s="1375">
        <v>0</v>
      </c>
      <c r="DC45" s="1375">
        <v>0</v>
      </c>
      <c r="DD45" s="1375">
        <v>0</v>
      </c>
      <c r="DE45" s="1382">
        <f t="shared" ref="DE45:DE51" si="78">DD45</f>
        <v>0</v>
      </c>
      <c r="DF45" s="1375"/>
      <c r="DG45" s="1375">
        <v>0</v>
      </c>
      <c r="DH45" s="1375">
        <v>0</v>
      </c>
      <c r="DI45" s="1375">
        <v>0</v>
      </c>
      <c r="DJ45" s="1375">
        <v>0</v>
      </c>
      <c r="DK45" s="1382">
        <f t="shared" ref="DK45:DK51" si="79">DJ45</f>
        <v>0</v>
      </c>
      <c r="DL45" s="1375"/>
      <c r="DM45" s="1375">
        <v>0</v>
      </c>
      <c r="DN45" s="1375">
        <v>0</v>
      </c>
      <c r="DO45" s="1375">
        <v>0</v>
      </c>
      <c r="DP45" s="1375">
        <v>0</v>
      </c>
      <c r="DQ45" s="1382">
        <f t="shared" ref="DQ45:DQ51" si="80">DP45</f>
        <v>0</v>
      </c>
      <c r="DR45" s="1375"/>
      <c r="DS45" s="1375">
        <v>0</v>
      </c>
      <c r="DT45" s="1375">
        <v>0</v>
      </c>
      <c r="DU45" s="1375">
        <v>0</v>
      </c>
      <c r="DV45" s="1375">
        <v>0</v>
      </c>
      <c r="DW45" s="1382">
        <f t="shared" ref="DW45:DW51" si="81">DV45</f>
        <v>0</v>
      </c>
      <c r="DX45" s="1375"/>
      <c r="DY45" s="1375">
        <v>0</v>
      </c>
      <c r="DZ45" s="1375">
        <v>0</v>
      </c>
      <c r="EA45" s="1375">
        <v>0</v>
      </c>
      <c r="EB45" s="1375">
        <v>0</v>
      </c>
      <c r="EC45" s="1382">
        <f t="shared" ref="EC45:EC51" si="82">EB45</f>
        <v>0</v>
      </c>
      <c r="ED45" s="1375"/>
      <c r="EE45" s="1383">
        <f>BS!EE115-BS!EB115</f>
        <v>1.1000000000000227</v>
      </c>
      <c r="EF45" s="1383">
        <f>EE45+BS!EF115-BS!EE115</f>
        <v>2.2000000000000455</v>
      </c>
      <c r="EG45" s="1383">
        <f>EF45+BS!EG115-BS!EF115</f>
        <v>3.3000000000000682</v>
      </c>
      <c r="EH45" s="1383">
        <f>EG45+BS!EH115-BS!EG115</f>
        <v>4.4000000000000909</v>
      </c>
      <c r="EI45" s="1382">
        <f t="shared" ref="EI45:EI51" si="83">EH45</f>
        <v>4.4000000000000909</v>
      </c>
      <c r="EJ45" s="1375"/>
      <c r="EK45" s="1383">
        <f>BS!EK115-BS!EH115</f>
        <v>1.1000000000000227</v>
      </c>
      <c r="EL45" s="1383">
        <f>EK45+BS!EL115-BS!EK115</f>
        <v>2.2000000000000455</v>
      </c>
      <c r="EM45" s="1383">
        <f>EL45+BS!EM115-BS!EL115</f>
        <v>3.3000000000000682</v>
      </c>
      <c r="EN45" s="1383">
        <f>EM45+BS!EN115-BS!EM115</f>
        <v>4.4000000000000909</v>
      </c>
      <c r="EO45" s="1382">
        <f t="shared" ref="EO45:EO51" si="84">EN45</f>
        <v>4.4000000000000909</v>
      </c>
      <c r="EP45" s="1375"/>
      <c r="EQ45" s="1383">
        <f>BS!EQ115-BS!EN115</f>
        <v>1.1000000000000227</v>
      </c>
      <c r="ER45" s="1383">
        <f>EQ45+BS!ER115-BS!EQ115</f>
        <v>2.2000000000000455</v>
      </c>
      <c r="ES45" s="1383">
        <f>ER45+BS!ES115-BS!ER115</f>
        <v>3.3000000000000682</v>
      </c>
      <c r="ET45" s="1383">
        <f>ES45+BS!ET115-BS!ES115</f>
        <v>4.4000000000000909</v>
      </c>
      <c r="EU45" s="1382">
        <f t="shared" ref="EU45:EU51" si="85">ET45</f>
        <v>4.4000000000000909</v>
      </c>
      <c r="EV45" s="554"/>
      <c r="EW45" s="554"/>
      <c r="FD45" s="554"/>
      <c r="FE45" s="554"/>
      <c r="FF45" s="554"/>
      <c r="FG45" s="554"/>
      <c r="FH45" s="554"/>
      <c r="FI45" s="554"/>
      <c r="FJ45" s="554"/>
      <c r="FK45" s="554"/>
      <c r="FL45" s="554"/>
      <c r="FM45" s="554"/>
      <c r="FN45" s="554"/>
      <c r="FO45" s="554"/>
      <c r="FP45" s="554"/>
    </row>
    <row r="46" spans="1:172" ht="10.5" customHeight="1">
      <c r="A46" s="265" t="s">
        <v>5231</v>
      </c>
      <c r="B46" s="1370"/>
      <c r="C46" s="1374"/>
      <c r="D46" s="1374"/>
      <c r="E46" s="1374"/>
      <c r="F46" s="1374"/>
      <c r="G46" s="1374"/>
      <c r="H46" s="1375"/>
      <c r="I46" s="1374"/>
      <c r="J46" s="1374"/>
      <c r="K46" s="1374"/>
      <c r="L46" s="1374"/>
      <c r="M46" s="1374"/>
      <c r="N46" s="1375"/>
      <c r="O46" s="1374">
        <v>0</v>
      </c>
      <c r="P46" s="1374">
        <v>-69.278999999999996</v>
      </c>
      <c r="Q46" s="1374">
        <v>-69.278999999999996</v>
      </c>
      <c r="R46" s="1374">
        <v>-69.278999999999996</v>
      </c>
      <c r="S46" s="1374">
        <f t="shared" si="64"/>
        <v>-69.278999999999996</v>
      </c>
      <c r="T46" s="1375"/>
      <c r="U46" s="1374">
        <v>-25.641999999999999</v>
      </c>
      <c r="V46" s="1374">
        <v>-25.641999999999999</v>
      </c>
      <c r="W46" s="1374">
        <v>-25.641999999999999</v>
      </c>
      <c r="X46" s="1374">
        <v>-26.596</v>
      </c>
      <c r="Y46" s="1374">
        <f t="shared" si="65"/>
        <v>-26.596</v>
      </c>
      <c r="Z46" s="1375"/>
      <c r="AA46" s="1374">
        <v>0</v>
      </c>
      <c r="AB46" s="1374">
        <v>0</v>
      </c>
      <c r="AC46" s="1374">
        <v>0</v>
      </c>
      <c r="AD46" s="1374">
        <v>0</v>
      </c>
      <c r="AE46" s="554">
        <f t="shared" si="66"/>
        <v>0</v>
      </c>
      <c r="AF46" s="1375"/>
      <c r="AG46" s="1374">
        <v>0</v>
      </c>
      <c r="AH46" s="1374">
        <v>0</v>
      </c>
      <c r="AI46" s="1374">
        <v>-34.271000000000001</v>
      </c>
      <c r="AJ46" s="1374">
        <v>-34.271000000000001</v>
      </c>
      <c r="AK46" s="1374">
        <f t="shared" si="67"/>
        <v>-34.271000000000001</v>
      </c>
      <c r="AL46" s="1375"/>
      <c r="AM46" s="1374">
        <v>-133.53100000000001</v>
      </c>
      <c r="AN46" s="1374">
        <v>-133.53100000000001</v>
      </c>
      <c r="AO46" s="1374">
        <v>-143.53100000000001</v>
      </c>
      <c r="AP46" s="1374">
        <v>-145.23099999999999</v>
      </c>
      <c r="AQ46" s="1374">
        <f t="shared" si="69"/>
        <v>-145.23099999999999</v>
      </c>
      <c r="AR46" s="1375"/>
      <c r="AS46" s="1374">
        <v>-5.15</v>
      </c>
      <c r="AT46" s="1374">
        <v>-5.15</v>
      </c>
      <c r="AU46" s="1374">
        <v>-5.15</v>
      </c>
      <c r="AV46" s="1374">
        <v>-5.15</v>
      </c>
      <c r="AW46" s="1374">
        <f t="shared" si="68"/>
        <v>-5.15</v>
      </c>
      <c r="AX46" s="1375"/>
      <c r="AY46" s="1374">
        <v>-6.5</v>
      </c>
      <c r="AZ46" s="1374">
        <f>AY46-5.2</f>
        <v>-11.7</v>
      </c>
      <c r="BA46" s="1374">
        <f>AZ46-0.1</f>
        <v>-11.799999999999999</v>
      </c>
      <c r="BB46" s="1374">
        <f>BA46</f>
        <v>-11.799999999999999</v>
      </c>
      <c r="BC46" s="1374">
        <f t="shared" ref="BC46:BC51" si="86">BB46</f>
        <v>-11.799999999999999</v>
      </c>
      <c r="BD46" s="1375"/>
      <c r="BE46" s="1375">
        <v>-14.6</v>
      </c>
      <c r="BF46" s="1375">
        <f>BE46-28.7</f>
        <v>-43.3</v>
      </c>
      <c r="BG46" s="1375">
        <f>BF46-9.4</f>
        <v>-52.699999999999996</v>
      </c>
      <c r="BH46" s="1375">
        <f>BG46-189.4</f>
        <v>-242.1</v>
      </c>
      <c r="BI46" s="1374">
        <f t="shared" si="70"/>
        <v>-242.1</v>
      </c>
      <c r="BJ46" s="1375"/>
      <c r="BK46" s="1375">
        <v>-43.5</v>
      </c>
      <c r="BL46" s="1375">
        <f>BK46+0</f>
        <v>-43.5</v>
      </c>
      <c r="BM46" s="1375">
        <f>BL46-9</f>
        <v>-52.5</v>
      </c>
      <c r="BN46" s="1375">
        <f t="shared" ref="BL46:BN51" si="87">BM46</f>
        <v>-52.5</v>
      </c>
      <c r="BO46" s="1382">
        <f t="shared" si="71"/>
        <v>-52.5</v>
      </c>
      <c r="BP46" s="1375"/>
      <c r="BQ46" s="1375">
        <v>0</v>
      </c>
      <c r="BR46" s="1375">
        <v>-21.3</v>
      </c>
      <c r="BS46" s="1375">
        <v>-66</v>
      </c>
      <c r="BT46" s="1375">
        <v>-114.5</v>
      </c>
      <c r="BU46" s="1382">
        <f t="shared" si="72"/>
        <v>-114.5</v>
      </c>
      <c r="BV46" s="1375"/>
      <c r="BW46" s="1375">
        <v>0.2</v>
      </c>
      <c r="BX46" s="1375">
        <v>-263.89999999999998</v>
      </c>
      <c r="BY46" s="1375">
        <v>-297.3</v>
      </c>
      <c r="BZ46" s="1375">
        <v>-364.5</v>
      </c>
      <c r="CA46" s="1382">
        <f t="shared" si="73"/>
        <v>-364.5</v>
      </c>
      <c r="CB46" s="1375"/>
      <c r="CC46" s="1375">
        <v>-10</v>
      </c>
      <c r="CD46" s="1375">
        <v>-10</v>
      </c>
      <c r="CE46" s="1375">
        <v>-3.6</v>
      </c>
      <c r="CF46" s="1375">
        <f>-18.8</f>
        <v>-18.8</v>
      </c>
      <c r="CG46" s="1382">
        <f t="shared" si="74"/>
        <v>-18.8</v>
      </c>
      <c r="CH46" s="1375"/>
      <c r="CI46" s="1375">
        <v>0</v>
      </c>
      <c r="CJ46" s="1375">
        <f>-0.5+-8.5</f>
        <v>-9</v>
      </c>
      <c r="CK46" s="1375">
        <v>-8.5</v>
      </c>
      <c r="CL46" s="1375">
        <v>-13.5</v>
      </c>
      <c r="CM46" s="1382">
        <f t="shared" si="75"/>
        <v>-13.5</v>
      </c>
      <c r="CN46" s="1375"/>
      <c r="CO46" s="1375">
        <v>-76.2</v>
      </c>
      <c r="CP46" s="1375">
        <v>-94.4</v>
      </c>
      <c r="CQ46" s="1375">
        <v>-182.7</v>
      </c>
      <c r="CR46" s="1375">
        <v>-221.7</v>
      </c>
      <c r="CS46" s="1382">
        <f t="shared" si="76"/>
        <v>-221.7</v>
      </c>
      <c r="CT46" s="1375"/>
      <c r="CU46" s="1375">
        <v>0</v>
      </c>
      <c r="CV46" s="1375">
        <v>-69.2</v>
      </c>
      <c r="CW46" s="1375">
        <f>-204.2</f>
        <v>-204.2</v>
      </c>
      <c r="CX46" s="1375">
        <v>-263.7</v>
      </c>
      <c r="CY46" s="1382">
        <f t="shared" si="77"/>
        <v>-263.7</v>
      </c>
      <c r="CZ46" s="1375"/>
      <c r="DA46" s="1375">
        <f>-34.7</f>
        <v>-34.700000000000003</v>
      </c>
      <c r="DB46" s="1375">
        <v>-47.2</v>
      </c>
      <c r="DC46" s="1375">
        <v>-68</v>
      </c>
      <c r="DD46" s="1375">
        <v>-176.1</v>
      </c>
      <c r="DE46" s="1382">
        <f t="shared" si="78"/>
        <v>-176.1</v>
      </c>
      <c r="DF46" s="1375"/>
      <c r="DG46" s="1375">
        <v>-322.3</v>
      </c>
      <c r="DH46" s="1375">
        <v>-548.29999999999995</v>
      </c>
      <c r="DI46" s="1375">
        <v>-603.79999999999995</v>
      </c>
      <c r="DJ46" s="1375">
        <v>-630</v>
      </c>
      <c r="DK46" s="1382">
        <f t="shared" si="79"/>
        <v>-630</v>
      </c>
      <c r="DL46" s="1375"/>
      <c r="DM46" s="1375">
        <v>-34.5</v>
      </c>
      <c r="DN46" s="1375">
        <v>-37.5</v>
      </c>
      <c r="DO46" s="1375">
        <v>-104.6</v>
      </c>
      <c r="DP46" s="1375">
        <v>-148.5</v>
      </c>
      <c r="DQ46" s="1382">
        <f t="shared" si="80"/>
        <v>-148.5</v>
      </c>
      <c r="DR46" s="1375"/>
      <c r="DS46" s="1375">
        <v>-59.6</v>
      </c>
      <c r="DT46" s="1375">
        <v>-85.2</v>
      </c>
      <c r="DU46" s="1375">
        <v>-85.2</v>
      </c>
      <c r="DV46" s="1375">
        <v>-85.2</v>
      </c>
      <c r="DW46" s="1382">
        <f t="shared" si="81"/>
        <v>-85.2</v>
      </c>
      <c r="DX46" s="1375"/>
      <c r="DY46" s="1375">
        <v>0</v>
      </c>
      <c r="DZ46" s="1375">
        <v>0</v>
      </c>
      <c r="EA46" s="1375">
        <v>0</v>
      </c>
      <c r="EB46" s="1375">
        <v>0</v>
      </c>
      <c r="EC46" s="1382">
        <f t="shared" si="82"/>
        <v>0</v>
      </c>
      <c r="ED46" s="1375"/>
      <c r="EE46" s="1383">
        <v>0</v>
      </c>
      <c r="EF46" s="1383">
        <f t="shared" ref="EF46:EF51" si="88">EE46</f>
        <v>0</v>
      </c>
      <c r="EG46" s="1383">
        <f t="shared" ref="EG46:EG51" si="89">EF46</f>
        <v>0</v>
      </c>
      <c r="EH46" s="1383">
        <f t="shared" ref="EH46:EH51" si="90">EG46</f>
        <v>0</v>
      </c>
      <c r="EI46" s="1382">
        <f t="shared" si="83"/>
        <v>0</v>
      </c>
      <c r="EJ46" s="1375"/>
      <c r="EK46" s="1383">
        <v>0</v>
      </c>
      <c r="EL46" s="1383">
        <f t="shared" ref="EL46:EL51" si="91">EK46</f>
        <v>0</v>
      </c>
      <c r="EM46" s="1383">
        <f t="shared" ref="EM46:EM51" si="92">EL46</f>
        <v>0</v>
      </c>
      <c r="EN46" s="1383">
        <f t="shared" ref="EN46:EN51" si="93">EM46</f>
        <v>0</v>
      </c>
      <c r="EO46" s="1382">
        <f t="shared" si="84"/>
        <v>0</v>
      </c>
      <c r="EP46" s="1375"/>
      <c r="EQ46" s="1383">
        <v>0</v>
      </c>
      <c r="ER46" s="1383">
        <f t="shared" ref="ER46:ER51" si="94">EQ46</f>
        <v>0</v>
      </c>
      <c r="ES46" s="1383">
        <f t="shared" ref="ES46:ES51" si="95">ER46</f>
        <v>0</v>
      </c>
      <c r="ET46" s="1383">
        <f t="shared" ref="ET46:ET51" si="96">ES46</f>
        <v>0</v>
      </c>
      <c r="EU46" s="1382">
        <f t="shared" si="85"/>
        <v>0</v>
      </c>
      <c r="EV46" s="554"/>
      <c r="EW46" s="554"/>
      <c r="FD46" s="554"/>
      <c r="FE46" s="554"/>
      <c r="FF46" s="554"/>
      <c r="FG46" s="554"/>
      <c r="FH46" s="554"/>
      <c r="FI46" s="554"/>
      <c r="FJ46" s="554"/>
      <c r="FK46" s="554"/>
      <c r="FL46" s="554"/>
      <c r="FM46" s="554"/>
      <c r="FN46" s="554"/>
      <c r="FO46" s="554"/>
      <c r="FP46" s="554"/>
    </row>
    <row r="47" spans="1:172" ht="10.5" customHeight="1">
      <c r="A47" s="265" t="s">
        <v>5572</v>
      </c>
      <c r="B47" s="1370"/>
      <c r="C47" s="1374"/>
      <c r="D47" s="1374"/>
      <c r="E47" s="1374"/>
      <c r="F47" s="1374"/>
      <c r="G47" s="1374"/>
      <c r="H47" s="1375"/>
      <c r="I47" s="1374"/>
      <c r="J47" s="1374"/>
      <c r="K47" s="1374"/>
      <c r="L47" s="1374"/>
      <c r="M47" s="1374"/>
      <c r="N47" s="1375"/>
      <c r="O47" s="1374">
        <v>0</v>
      </c>
      <c r="P47" s="1374">
        <v>0</v>
      </c>
      <c r="Q47" s="1374">
        <v>0</v>
      </c>
      <c r="R47" s="1374">
        <v>0</v>
      </c>
      <c r="S47" s="1374">
        <f t="shared" si="64"/>
        <v>0</v>
      </c>
      <c r="T47" s="1375"/>
      <c r="U47" s="1374">
        <v>0</v>
      </c>
      <c r="V47" s="1374">
        <v>0</v>
      </c>
      <c r="W47" s="1374">
        <v>0</v>
      </c>
      <c r="X47" s="1374">
        <v>0</v>
      </c>
      <c r="Y47" s="1374">
        <f t="shared" si="65"/>
        <v>0</v>
      </c>
      <c r="Z47" s="1375"/>
      <c r="AA47" s="1374">
        <v>-19.5</v>
      </c>
      <c r="AB47" s="1374">
        <v>-22.8</v>
      </c>
      <c r="AC47" s="1374">
        <v>-23.8</v>
      </c>
      <c r="AD47" s="1374">
        <v>-25.798999999999999</v>
      </c>
      <c r="AE47" s="554">
        <f t="shared" si="66"/>
        <v>-25.798999999999999</v>
      </c>
      <c r="AF47" s="1375"/>
      <c r="AG47" s="1374">
        <v>0</v>
      </c>
      <c r="AH47" s="1374">
        <v>0</v>
      </c>
      <c r="AI47" s="1374">
        <v>0</v>
      </c>
      <c r="AJ47" s="1374">
        <v>0</v>
      </c>
      <c r="AK47" s="1374">
        <f t="shared" si="67"/>
        <v>0</v>
      </c>
      <c r="AL47" s="1375"/>
      <c r="AM47" s="1374">
        <v>0</v>
      </c>
      <c r="AN47" s="1374">
        <v>0</v>
      </c>
      <c r="AO47" s="1374">
        <v>0</v>
      </c>
      <c r="AP47" s="1374">
        <v>0</v>
      </c>
      <c r="AQ47" s="1374">
        <f t="shared" si="69"/>
        <v>0</v>
      </c>
      <c r="AR47" s="1375"/>
      <c r="AS47" s="1374">
        <v>0</v>
      </c>
      <c r="AT47" s="1374">
        <v>0</v>
      </c>
      <c r="AU47" s="1374">
        <v>0</v>
      </c>
      <c r="AV47" s="1374">
        <v>0</v>
      </c>
      <c r="AW47" s="1374">
        <f t="shared" si="68"/>
        <v>0</v>
      </c>
      <c r="AX47" s="1375"/>
      <c r="AY47" s="1374">
        <v>0</v>
      </c>
      <c r="AZ47" s="1374">
        <v>0</v>
      </c>
      <c r="BA47" s="1374">
        <v>0</v>
      </c>
      <c r="BB47" s="1374">
        <v>0</v>
      </c>
      <c r="BC47" s="1374">
        <f t="shared" si="86"/>
        <v>0</v>
      </c>
      <c r="BD47" s="1375"/>
      <c r="BE47" s="1375">
        <v>0</v>
      </c>
      <c r="BF47" s="1375">
        <v>0</v>
      </c>
      <c r="BG47" s="1375">
        <f t="shared" ref="BG47:BH50" si="97">BF47</f>
        <v>0</v>
      </c>
      <c r="BH47" s="1375">
        <f t="shared" si="97"/>
        <v>0</v>
      </c>
      <c r="BI47" s="1374">
        <f t="shared" si="70"/>
        <v>0</v>
      </c>
      <c r="BJ47" s="1375"/>
      <c r="BK47" s="1375">
        <v>0</v>
      </c>
      <c r="BL47" s="1375">
        <f t="shared" si="87"/>
        <v>0</v>
      </c>
      <c r="BM47" s="1375">
        <f t="shared" si="87"/>
        <v>0</v>
      </c>
      <c r="BN47" s="1375">
        <f t="shared" si="87"/>
        <v>0</v>
      </c>
      <c r="BO47" s="1382">
        <f t="shared" si="71"/>
        <v>0</v>
      </c>
      <c r="BP47" s="1375"/>
      <c r="BQ47" s="1375">
        <v>0</v>
      </c>
      <c r="BR47" s="1375">
        <v>0</v>
      </c>
      <c r="BS47" s="1375">
        <v>0</v>
      </c>
      <c r="BT47" s="1375">
        <v>0</v>
      </c>
      <c r="BU47" s="1382">
        <f t="shared" si="72"/>
        <v>0</v>
      </c>
      <c r="BV47" s="1375"/>
      <c r="BW47" s="1375">
        <v>0</v>
      </c>
      <c r="BX47" s="1375">
        <f t="shared" ref="BX47:BZ51" si="98">BW47</f>
        <v>0</v>
      </c>
      <c r="BY47" s="1375">
        <f t="shared" si="98"/>
        <v>0</v>
      </c>
      <c r="BZ47" s="1383">
        <f t="shared" si="98"/>
        <v>0</v>
      </c>
      <c r="CA47" s="1382">
        <f t="shared" si="73"/>
        <v>0</v>
      </c>
      <c r="CB47" s="1375"/>
      <c r="CC47" s="1375">
        <v>0</v>
      </c>
      <c r="CD47" s="1375">
        <f t="shared" ref="CD47:CF51" si="99">CC47</f>
        <v>0</v>
      </c>
      <c r="CE47" s="1375">
        <f t="shared" si="99"/>
        <v>0</v>
      </c>
      <c r="CF47" s="1375">
        <f t="shared" si="99"/>
        <v>0</v>
      </c>
      <c r="CG47" s="1382">
        <f t="shared" si="74"/>
        <v>0</v>
      </c>
      <c r="CH47" s="1375"/>
      <c r="CI47" s="1375">
        <v>0</v>
      </c>
      <c r="CJ47" s="1375">
        <f t="shared" ref="CJ47:CL51" si="100">CI47</f>
        <v>0</v>
      </c>
      <c r="CK47" s="1375">
        <v>-3.5</v>
      </c>
      <c r="CL47" s="1375">
        <v>0</v>
      </c>
      <c r="CM47" s="1382">
        <f t="shared" si="75"/>
        <v>0</v>
      </c>
      <c r="CN47" s="1375"/>
      <c r="CO47" s="1375">
        <v>0</v>
      </c>
      <c r="CP47" s="1375">
        <v>0</v>
      </c>
      <c r="CQ47" s="1375">
        <v>0</v>
      </c>
      <c r="CR47" s="1375">
        <v>0</v>
      </c>
      <c r="CS47" s="1382">
        <f t="shared" si="76"/>
        <v>0</v>
      </c>
      <c r="CT47" s="1375"/>
      <c r="CU47" s="1375">
        <v>0</v>
      </c>
      <c r="CV47" s="1375">
        <v>0</v>
      </c>
      <c r="CW47" s="1375">
        <v>0</v>
      </c>
      <c r="CX47" s="1375">
        <v>0</v>
      </c>
      <c r="CY47" s="1382">
        <f t="shared" si="77"/>
        <v>0</v>
      </c>
      <c r="CZ47" s="1375"/>
      <c r="DA47" s="1375">
        <v>0</v>
      </c>
      <c r="DB47" s="1375">
        <f t="shared" ref="DB47:DD50" si="101">DA47</f>
        <v>0</v>
      </c>
      <c r="DC47" s="1375">
        <v>0</v>
      </c>
      <c r="DD47" s="1375">
        <v>0</v>
      </c>
      <c r="DE47" s="1382">
        <f t="shared" si="78"/>
        <v>0</v>
      </c>
      <c r="DF47" s="1375"/>
      <c r="DG47" s="1375">
        <v>0</v>
      </c>
      <c r="DH47" s="1375">
        <v>0</v>
      </c>
      <c r="DI47" s="1375">
        <v>0</v>
      </c>
      <c r="DJ47" s="1375">
        <v>0</v>
      </c>
      <c r="DK47" s="1382">
        <f t="shared" si="79"/>
        <v>0</v>
      </c>
      <c r="DL47" s="1375"/>
      <c r="DM47" s="1375">
        <v>0</v>
      </c>
      <c r="DN47" s="1375">
        <v>0</v>
      </c>
      <c r="DO47" s="1375">
        <f t="shared" ref="DN47:DO50" si="102">DN47</f>
        <v>0</v>
      </c>
      <c r="DP47" s="1375">
        <v>0</v>
      </c>
      <c r="DQ47" s="1382">
        <f t="shared" si="80"/>
        <v>0</v>
      </c>
      <c r="DR47" s="1375"/>
      <c r="DS47" s="1375">
        <v>0</v>
      </c>
      <c r="DT47" s="1375">
        <v>0</v>
      </c>
      <c r="DU47" s="1375">
        <v>0</v>
      </c>
      <c r="DV47" s="1375">
        <v>0</v>
      </c>
      <c r="DW47" s="1382">
        <f t="shared" si="81"/>
        <v>0</v>
      </c>
      <c r="DX47" s="1375"/>
      <c r="DY47" s="1375">
        <v>0</v>
      </c>
      <c r="DZ47" s="1375">
        <v>0</v>
      </c>
      <c r="EA47" s="1375">
        <v>0</v>
      </c>
      <c r="EB47" s="1375">
        <v>0</v>
      </c>
      <c r="EC47" s="1382">
        <f t="shared" si="82"/>
        <v>0</v>
      </c>
      <c r="ED47" s="1375"/>
      <c r="EE47" s="1383">
        <v>0</v>
      </c>
      <c r="EF47" s="1383">
        <f t="shared" si="88"/>
        <v>0</v>
      </c>
      <c r="EG47" s="1383">
        <f t="shared" si="89"/>
        <v>0</v>
      </c>
      <c r="EH47" s="1383">
        <f t="shared" si="90"/>
        <v>0</v>
      </c>
      <c r="EI47" s="1382">
        <f t="shared" si="83"/>
        <v>0</v>
      </c>
      <c r="EJ47" s="1375"/>
      <c r="EK47" s="1383">
        <v>0</v>
      </c>
      <c r="EL47" s="1383">
        <f t="shared" si="91"/>
        <v>0</v>
      </c>
      <c r="EM47" s="1383">
        <f t="shared" si="92"/>
        <v>0</v>
      </c>
      <c r="EN47" s="1383">
        <f t="shared" si="93"/>
        <v>0</v>
      </c>
      <c r="EO47" s="1382">
        <f t="shared" si="84"/>
        <v>0</v>
      </c>
      <c r="EP47" s="1375"/>
      <c r="EQ47" s="1383">
        <v>0</v>
      </c>
      <c r="ER47" s="1383">
        <f t="shared" si="94"/>
        <v>0</v>
      </c>
      <c r="ES47" s="1383">
        <f t="shared" si="95"/>
        <v>0</v>
      </c>
      <c r="ET47" s="1383">
        <f t="shared" si="96"/>
        <v>0</v>
      </c>
      <c r="EU47" s="1382">
        <f t="shared" si="85"/>
        <v>0</v>
      </c>
      <c r="EV47" s="554"/>
      <c r="EW47" s="554"/>
      <c r="FD47" s="554"/>
      <c r="FE47" s="554"/>
      <c r="FF47" s="554"/>
      <c r="FG47" s="554"/>
      <c r="FH47" s="554"/>
      <c r="FI47" s="554"/>
      <c r="FJ47" s="554"/>
      <c r="FK47" s="554"/>
      <c r="FL47" s="554"/>
      <c r="FM47" s="554"/>
      <c r="FN47" s="554"/>
      <c r="FO47" s="554"/>
      <c r="FP47" s="554"/>
    </row>
    <row r="48" spans="1:172" ht="10.5" customHeight="1">
      <c r="A48" s="265" t="s">
        <v>6431</v>
      </c>
      <c r="B48" s="1370"/>
      <c r="C48" s="1374"/>
      <c r="D48" s="1374"/>
      <c r="E48" s="1374"/>
      <c r="F48" s="1374"/>
      <c r="G48" s="1374"/>
      <c r="H48" s="1375"/>
      <c r="I48" s="1374"/>
      <c r="J48" s="1374"/>
      <c r="K48" s="1374"/>
      <c r="L48" s="1374"/>
      <c r="M48" s="1374"/>
      <c r="N48" s="1375"/>
      <c r="O48" s="1374">
        <v>0</v>
      </c>
      <c r="P48" s="1374">
        <v>0</v>
      </c>
      <c r="Q48" s="1374">
        <v>0</v>
      </c>
      <c r="R48" s="1374">
        <v>2.7189999999999999</v>
      </c>
      <c r="S48" s="1374">
        <f t="shared" si="64"/>
        <v>2.7189999999999999</v>
      </c>
      <c r="T48" s="1375"/>
      <c r="U48" s="1374">
        <v>0</v>
      </c>
      <c r="V48" s="1374">
        <v>0</v>
      </c>
      <c r="W48" s="1374">
        <v>0</v>
      </c>
      <c r="X48" s="1374">
        <v>5.5869999999999997</v>
      </c>
      <c r="Y48" s="1374">
        <f t="shared" si="65"/>
        <v>5.5869999999999997</v>
      </c>
      <c r="Z48" s="1375"/>
      <c r="AA48" s="1374">
        <v>0</v>
      </c>
      <c r="AB48" s="1374">
        <v>0</v>
      </c>
      <c r="AC48" s="1374">
        <v>0</v>
      </c>
      <c r="AD48" s="1374">
        <v>0</v>
      </c>
      <c r="AE48" s="554">
        <f t="shared" si="66"/>
        <v>0</v>
      </c>
      <c r="AF48" s="1375"/>
      <c r="AG48" s="1374">
        <v>0</v>
      </c>
      <c r="AH48" s="1374">
        <v>0</v>
      </c>
      <c r="AI48" s="1374">
        <v>0</v>
      </c>
      <c r="AJ48" s="1374">
        <v>0</v>
      </c>
      <c r="AK48" s="1374">
        <f t="shared" si="67"/>
        <v>0</v>
      </c>
      <c r="AL48" s="1375"/>
      <c r="AM48" s="1374">
        <v>0</v>
      </c>
      <c r="AN48" s="1374">
        <v>0</v>
      </c>
      <c r="AO48" s="1374">
        <v>0</v>
      </c>
      <c r="AP48" s="1374">
        <v>0</v>
      </c>
      <c r="AQ48" s="1374">
        <f t="shared" si="69"/>
        <v>0</v>
      </c>
      <c r="AR48" s="1375"/>
      <c r="AS48" s="1374">
        <v>0</v>
      </c>
      <c r="AT48" s="1374">
        <v>0</v>
      </c>
      <c r="AU48" s="1374">
        <v>0</v>
      </c>
      <c r="AV48" s="1374">
        <v>0</v>
      </c>
      <c r="AW48" s="1374">
        <f t="shared" si="68"/>
        <v>0</v>
      </c>
      <c r="AX48" s="1375"/>
      <c r="AY48" s="1374">
        <v>0</v>
      </c>
      <c r="AZ48" s="1374">
        <v>0</v>
      </c>
      <c r="BA48" s="1374">
        <v>0</v>
      </c>
      <c r="BB48" s="1374">
        <v>0</v>
      </c>
      <c r="BC48" s="1374">
        <f t="shared" si="86"/>
        <v>0</v>
      </c>
      <c r="BD48" s="1375"/>
      <c r="BE48" s="1375">
        <v>0</v>
      </c>
      <c r="BF48" s="1375">
        <v>0</v>
      </c>
      <c r="BG48" s="1375">
        <f t="shared" si="97"/>
        <v>0</v>
      </c>
      <c r="BH48" s="1375">
        <f t="shared" si="97"/>
        <v>0</v>
      </c>
      <c r="BI48" s="1374">
        <f t="shared" si="70"/>
        <v>0</v>
      </c>
      <c r="BJ48" s="1375"/>
      <c r="BK48" s="1375">
        <v>0</v>
      </c>
      <c r="BL48" s="1375">
        <f t="shared" si="87"/>
        <v>0</v>
      </c>
      <c r="BM48" s="1375">
        <f t="shared" si="87"/>
        <v>0</v>
      </c>
      <c r="BN48" s="1375">
        <f t="shared" si="87"/>
        <v>0</v>
      </c>
      <c r="BO48" s="1382">
        <f t="shared" si="71"/>
        <v>0</v>
      </c>
      <c r="BP48" s="1375"/>
      <c r="BQ48" s="1375">
        <v>0</v>
      </c>
      <c r="BR48" s="1375">
        <v>0</v>
      </c>
      <c r="BS48" s="1375">
        <v>0</v>
      </c>
      <c r="BT48" s="1375">
        <v>0</v>
      </c>
      <c r="BU48" s="1382">
        <f t="shared" si="72"/>
        <v>0</v>
      </c>
      <c r="BV48" s="1375"/>
      <c r="BW48" s="1375">
        <v>0</v>
      </c>
      <c r="BX48" s="1375">
        <f t="shared" si="98"/>
        <v>0</v>
      </c>
      <c r="BY48" s="1375">
        <f t="shared" si="98"/>
        <v>0</v>
      </c>
      <c r="BZ48" s="1383">
        <f t="shared" si="98"/>
        <v>0</v>
      </c>
      <c r="CA48" s="1382">
        <f t="shared" si="73"/>
        <v>0</v>
      </c>
      <c r="CB48" s="1375"/>
      <c r="CC48" s="1375">
        <v>0</v>
      </c>
      <c r="CD48" s="1375">
        <f t="shared" si="99"/>
        <v>0</v>
      </c>
      <c r="CE48" s="1375">
        <f t="shared" si="99"/>
        <v>0</v>
      </c>
      <c r="CF48" s="1375">
        <f t="shared" si="99"/>
        <v>0</v>
      </c>
      <c r="CG48" s="1382">
        <f t="shared" si="74"/>
        <v>0</v>
      </c>
      <c r="CH48" s="1375"/>
      <c r="CI48" s="1375">
        <v>0</v>
      </c>
      <c r="CJ48" s="1375">
        <f t="shared" si="100"/>
        <v>0</v>
      </c>
      <c r="CK48" s="1375">
        <f t="shared" si="100"/>
        <v>0</v>
      </c>
      <c r="CL48" s="1375">
        <f t="shared" si="100"/>
        <v>0</v>
      </c>
      <c r="CM48" s="1382">
        <f t="shared" si="75"/>
        <v>0</v>
      </c>
      <c r="CN48" s="1375"/>
      <c r="CO48" s="1375">
        <v>0</v>
      </c>
      <c r="CP48" s="1375">
        <f t="shared" ref="CP48:CR50" si="103">CO48</f>
        <v>0</v>
      </c>
      <c r="CQ48" s="1375">
        <f t="shared" si="103"/>
        <v>0</v>
      </c>
      <c r="CR48" s="1375">
        <f t="shared" si="103"/>
        <v>0</v>
      </c>
      <c r="CS48" s="1382">
        <f t="shared" si="76"/>
        <v>0</v>
      </c>
      <c r="CT48" s="1375"/>
      <c r="CU48" s="1375">
        <v>0</v>
      </c>
      <c r="CV48" s="1375">
        <f t="shared" ref="CV48:CX50" si="104">CU48</f>
        <v>0</v>
      </c>
      <c r="CW48" s="1375">
        <f t="shared" si="104"/>
        <v>0</v>
      </c>
      <c r="CX48" s="1375">
        <f t="shared" si="104"/>
        <v>0</v>
      </c>
      <c r="CY48" s="1382">
        <f t="shared" si="77"/>
        <v>0</v>
      </c>
      <c r="CZ48" s="1375"/>
      <c r="DA48" s="1375">
        <v>0</v>
      </c>
      <c r="DB48" s="1375">
        <f t="shared" si="101"/>
        <v>0</v>
      </c>
      <c r="DC48" s="1375">
        <f t="shared" si="101"/>
        <v>0</v>
      </c>
      <c r="DD48" s="1375">
        <f t="shared" si="101"/>
        <v>0</v>
      </c>
      <c r="DE48" s="1382">
        <f t="shared" si="78"/>
        <v>0</v>
      </c>
      <c r="DF48" s="1375"/>
      <c r="DG48" s="1375">
        <v>0</v>
      </c>
      <c r="DH48" s="1375">
        <f t="shared" ref="DH48:DJ50" si="105">DG48</f>
        <v>0</v>
      </c>
      <c r="DI48" s="1375">
        <f t="shared" si="105"/>
        <v>0</v>
      </c>
      <c r="DJ48" s="1375">
        <f t="shared" si="105"/>
        <v>0</v>
      </c>
      <c r="DK48" s="1382">
        <f t="shared" si="79"/>
        <v>0</v>
      </c>
      <c r="DL48" s="1375"/>
      <c r="DM48" s="1375">
        <v>0</v>
      </c>
      <c r="DN48" s="1375">
        <f t="shared" si="102"/>
        <v>0</v>
      </c>
      <c r="DO48" s="1375">
        <f t="shared" si="102"/>
        <v>0</v>
      </c>
      <c r="DP48" s="1375">
        <v>0</v>
      </c>
      <c r="DQ48" s="1382">
        <f t="shared" si="80"/>
        <v>0</v>
      </c>
      <c r="DR48" s="1375"/>
      <c r="DS48" s="1375">
        <v>0</v>
      </c>
      <c r="DT48" s="1375">
        <v>0</v>
      </c>
      <c r="DU48" s="1375">
        <v>0</v>
      </c>
      <c r="DV48" s="1375">
        <v>0</v>
      </c>
      <c r="DW48" s="1382">
        <f t="shared" si="81"/>
        <v>0</v>
      </c>
      <c r="DX48" s="1375"/>
      <c r="DY48" s="1375">
        <v>0</v>
      </c>
      <c r="DZ48" s="1375">
        <v>0</v>
      </c>
      <c r="EA48" s="1375">
        <v>0</v>
      </c>
      <c r="EB48" s="1375">
        <v>0</v>
      </c>
      <c r="EC48" s="1382">
        <f t="shared" si="82"/>
        <v>0</v>
      </c>
      <c r="ED48" s="1375"/>
      <c r="EE48" s="1383">
        <v>0</v>
      </c>
      <c r="EF48" s="1383">
        <f t="shared" si="88"/>
        <v>0</v>
      </c>
      <c r="EG48" s="1383">
        <f t="shared" si="89"/>
        <v>0</v>
      </c>
      <c r="EH48" s="1383">
        <f t="shared" si="90"/>
        <v>0</v>
      </c>
      <c r="EI48" s="1382">
        <f t="shared" si="83"/>
        <v>0</v>
      </c>
      <c r="EJ48" s="1375"/>
      <c r="EK48" s="1383">
        <v>0</v>
      </c>
      <c r="EL48" s="1383">
        <f t="shared" si="91"/>
        <v>0</v>
      </c>
      <c r="EM48" s="1383">
        <f t="shared" si="92"/>
        <v>0</v>
      </c>
      <c r="EN48" s="1383">
        <f t="shared" si="93"/>
        <v>0</v>
      </c>
      <c r="EO48" s="1382">
        <f t="shared" si="84"/>
        <v>0</v>
      </c>
      <c r="EP48" s="1375"/>
      <c r="EQ48" s="1383">
        <v>0</v>
      </c>
      <c r="ER48" s="1383">
        <f t="shared" si="94"/>
        <v>0</v>
      </c>
      <c r="ES48" s="1383">
        <f t="shared" si="95"/>
        <v>0</v>
      </c>
      <c r="ET48" s="1383">
        <f t="shared" si="96"/>
        <v>0</v>
      </c>
      <c r="EU48" s="1382">
        <f t="shared" si="85"/>
        <v>0</v>
      </c>
      <c r="EV48" s="554"/>
      <c r="EW48" s="554"/>
      <c r="FD48" s="554"/>
      <c r="FE48" s="554"/>
      <c r="FF48" s="554"/>
      <c r="FG48" s="554"/>
      <c r="FH48" s="554"/>
      <c r="FI48" s="554"/>
      <c r="FJ48" s="554"/>
      <c r="FK48" s="554"/>
      <c r="FL48" s="554"/>
      <c r="FM48" s="554"/>
      <c r="FN48" s="554"/>
      <c r="FO48" s="554"/>
      <c r="FP48" s="554"/>
    </row>
    <row r="49" spans="1:172" ht="10.5" customHeight="1">
      <c r="A49" s="265" t="s">
        <v>6432</v>
      </c>
      <c r="B49" s="1370"/>
      <c r="C49" s="1374"/>
      <c r="D49" s="1374"/>
      <c r="E49" s="1374"/>
      <c r="F49" s="1374"/>
      <c r="G49" s="1374"/>
      <c r="H49" s="1375"/>
      <c r="I49" s="1374"/>
      <c r="J49" s="1374"/>
      <c r="K49" s="1374"/>
      <c r="L49" s="1374"/>
      <c r="M49" s="1374"/>
      <c r="N49" s="1375"/>
      <c r="O49" s="1374">
        <v>0</v>
      </c>
      <c r="P49" s="1374">
        <v>5.1369999999999996</v>
      </c>
      <c r="Q49" s="1374">
        <v>5.1369999999999996</v>
      </c>
      <c r="R49" s="1374">
        <v>5.1369999999999996</v>
      </c>
      <c r="S49" s="1374">
        <f t="shared" si="64"/>
        <v>5.1369999999999996</v>
      </c>
      <c r="T49" s="1375"/>
      <c r="U49" s="1374">
        <v>0</v>
      </c>
      <c r="V49" s="1374">
        <v>0</v>
      </c>
      <c r="W49" s="1374">
        <v>0</v>
      </c>
      <c r="X49" s="1374">
        <v>0</v>
      </c>
      <c r="Y49" s="1374">
        <f t="shared" si="65"/>
        <v>0</v>
      </c>
      <c r="Z49" s="1375"/>
      <c r="AA49" s="1374">
        <v>0</v>
      </c>
      <c r="AB49" s="1374">
        <v>0</v>
      </c>
      <c r="AC49" s="1374">
        <v>0</v>
      </c>
      <c r="AD49" s="1374">
        <v>0</v>
      </c>
      <c r="AE49" s="554">
        <f t="shared" si="66"/>
        <v>0</v>
      </c>
      <c r="AF49" s="1375"/>
      <c r="AG49" s="1374">
        <v>0</v>
      </c>
      <c r="AH49" s="1374">
        <v>0</v>
      </c>
      <c r="AI49" s="1374">
        <v>0</v>
      </c>
      <c r="AJ49" s="1374">
        <v>0</v>
      </c>
      <c r="AK49" s="1374">
        <f t="shared" si="67"/>
        <v>0</v>
      </c>
      <c r="AL49" s="1375"/>
      <c r="AM49" s="1374">
        <v>0</v>
      </c>
      <c r="AN49" s="1374">
        <v>0</v>
      </c>
      <c r="AO49" s="1374">
        <v>0</v>
      </c>
      <c r="AP49" s="1374">
        <v>0</v>
      </c>
      <c r="AQ49" s="1374">
        <f t="shared" si="69"/>
        <v>0</v>
      </c>
      <c r="AR49" s="1375"/>
      <c r="AS49" s="1374">
        <v>0</v>
      </c>
      <c r="AT49" s="1374">
        <v>0</v>
      </c>
      <c r="AU49" s="1374">
        <v>0</v>
      </c>
      <c r="AV49" s="1374">
        <v>0</v>
      </c>
      <c r="AW49" s="1374">
        <f t="shared" si="68"/>
        <v>0</v>
      </c>
      <c r="AX49" s="1375"/>
      <c r="AY49" s="1374">
        <v>0</v>
      </c>
      <c r="AZ49" s="1374">
        <v>0</v>
      </c>
      <c r="BA49" s="1374">
        <v>0</v>
      </c>
      <c r="BB49" s="1374">
        <v>0</v>
      </c>
      <c r="BC49" s="1374">
        <f t="shared" si="86"/>
        <v>0</v>
      </c>
      <c r="BD49" s="1375"/>
      <c r="BE49" s="1375">
        <v>0</v>
      </c>
      <c r="BF49" s="1375">
        <v>0</v>
      </c>
      <c r="BG49" s="1375">
        <f t="shared" si="97"/>
        <v>0</v>
      </c>
      <c r="BH49" s="1375">
        <f t="shared" si="97"/>
        <v>0</v>
      </c>
      <c r="BI49" s="1374">
        <f t="shared" si="70"/>
        <v>0</v>
      </c>
      <c r="BJ49" s="1375"/>
      <c r="BK49" s="1375">
        <v>0</v>
      </c>
      <c r="BL49" s="1375">
        <f t="shared" si="87"/>
        <v>0</v>
      </c>
      <c r="BM49" s="1375">
        <f t="shared" si="87"/>
        <v>0</v>
      </c>
      <c r="BN49" s="1375">
        <f t="shared" si="87"/>
        <v>0</v>
      </c>
      <c r="BO49" s="1382">
        <f t="shared" si="71"/>
        <v>0</v>
      </c>
      <c r="BP49" s="1375"/>
      <c r="BQ49" s="1375">
        <v>0</v>
      </c>
      <c r="BR49" s="1375">
        <v>0</v>
      </c>
      <c r="BS49" s="1375">
        <v>0</v>
      </c>
      <c r="BT49" s="1375">
        <v>0</v>
      </c>
      <c r="BU49" s="1382">
        <f t="shared" si="72"/>
        <v>0</v>
      </c>
      <c r="BV49" s="1375"/>
      <c r="BW49" s="1375">
        <v>0</v>
      </c>
      <c r="BX49" s="1375">
        <f t="shared" si="98"/>
        <v>0</v>
      </c>
      <c r="BY49" s="1375">
        <f t="shared" si="98"/>
        <v>0</v>
      </c>
      <c r="BZ49" s="1383">
        <f t="shared" si="98"/>
        <v>0</v>
      </c>
      <c r="CA49" s="1382">
        <f t="shared" si="73"/>
        <v>0</v>
      </c>
      <c r="CB49" s="1375"/>
      <c r="CC49" s="1375">
        <v>0</v>
      </c>
      <c r="CD49" s="1375">
        <f t="shared" si="99"/>
        <v>0</v>
      </c>
      <c r="CE49" s="1375">
        <f t="shared" si="99"/>
        <v>0</v>
      </c>
      <c r="CF49" s="1375">
        <f t="shared" si="99"/>
        <v>0</v>
      </c>
      <c r="CG49" s="1382">
        <f t="shared" si="74"/>
        <v>0</v>
      </c>
      <c r="CH49" s="1375"/>
      <c r="CI49" s="1375">
        <v>0</v>
      </c>
      <c r="CJ49" s="1375">
        <f t="shared" si="100"/>
        <v>0</v>
      </c>
      <c r="CK49" s="1375">
        <f t="shared" si="100"/>
        <v>0</v>
      </c>
      <c r="CL49" s="1375">
        <f t="shared" si="100"/>
        <v>0</v>
      </c>
      <c r="CM49" s="1382">
        <f t="shared" si="75"/>
        <v>0</v>
      </c>
      <c r="CN49" s="1375"/>
      <c r="CO49" s="1375">
        <v>0</v>
      </c>
      <c r="CP49" s="1375">
        <f t="shared" si="103"/>
        <v>0</v>
      </c>
      <c r="CQ49" s="1375">
        <f t="shared" si="103"/>
        <v>0</v>
      </c>
      <c r="CR49" s="1375">
        <f t="shared" si="103"/>
        <v>0</v>
      </c>
      <c r="CS49" s="1382">
        <f t="shared" si="76"/>
        <v>0</v>
      </c>
      <c r="CT49" s="1375"/>
      <c r="CU49" s="1375">
        <v>0</v>
      </c>
      <c r="CV49" s="1375">
        <f t="shared" si="104"/>
        <v>0</v>
      </c>
      <c r="CW49" s="1375">
        <f t="shared" si="104"/>
        <v>0</v>
      </c>
      <c r="CX49" s="1375">
        <f t="shared" si="104"/>
        <v>0</v>
      </c>
      <c r="CY49" s="1382">
        <f t="shared" si="77"/>
        <v>0</v>
      </c>
      <c r="CZ49" s="1375"/>
      <c r="DA49" s="1375">
        <v>0</v>
      </c>
      <c r="DB49" s="1375">
        <f t="shared" si="101"/>
        <v>0</v>
      </c>
      <c r="DC49" s="1375">
        <f t="shared" si="101"/>
        <v>0</v>
      </c>
      <c r="DD49" s="1375">
        <f t="shared" si="101"/>
        <v>0</v>
      </c>
      <c r="DE49" s="1382">
        <f t="shared" si="78"/>
        <v>0</v>
      </c>
      <c r="DF49" s="1375"/>
      <c r="DG49" s="1375">
        <v>0</v>
      </c>
      <c r="DH49" s="1375">
        <f t="shared" si="105"/>
        <v>0</v>
      </c>
      <c r="DI49" s="1375">
        <f t="shared" si="105"/>
        <v>0</v>
      </c>
      <c r="DJ49" s="1375">
        <f t="shared" si="105"/>
        <v>0</v>
      </c>
      <c r="DK49" s="1382">
        <f t="shared" si="79"/>
        <v>0</v>
      </c>
      <c r="DL49" s="1375"/>
      <c r="DM49" s="1375">
        <v>0</v>
      </c>
      <c r="DN49" s="1375">
        <f t="shared" si="102"/>
        <v>0</v>
      </c>
      <c r="DO49" s="1375">
        <f t="shared" si="102"/>
        <v>0</v>
      </c>
      <c r="DP49" s="1375">
        <v>0</v>
      </c>
      <c r="DQ49" s="1382">
        <f t="shared" si="80"/>
        <v>0</v>
      </c>
      <c r="DR49" s="1375"/>
      <c r="DS49" s="1375">
        <v>0</v>
      </c>
      <c r="DT49" s="1375">
        <v>0</v>
      </c>
      <c r="DU49" s="1375">
        <v>0</v>
      </c>
      <c r="DV49" s="1375">
        <v>0</v>
      </c>
      <c r="DW49" s="1382">
        <f t="shared" si="81"/>
        <v>0</v>
      </c>
      <c r="DX49" s="1375"/>
      <c r="DY49" s="1375">
        <v>0</v>
      </c>
      <c r="DZ49" s="1375">
        <v>0</v>
      </c>
      <c r="EA49" s="1375">
        <v>0</v>
      </c>
      <c r="EB49" s="1375">
        <v>0</v>
      </c>
      <c r="EC49" s="1382">
        <f t="shared" si="82"/>
        <v>0</v>
      </c>
      <c r="ED49" s="1375"/>
      <c r="EE49" s="1383">
        <v>0</v>
      </c>
      <c r="EF49" s="1383">
        <f t="shared" si="88"/>
        <v>0</v>
      </c>
      <c r="EG49" s="1383">
        <f t="shared" si="89"/>
        <v>0</v>
      </c>
      <c r="EH49" s="1383">
        <f t="shared" si="90"/>
        <v>0</v>
      </c>
      <c r="EI49" s="1382">
        <f t="shared" si="83"/>
        <v>0</v>
      </c>
      <c r="EJ49" s="1375"/>
      <c r="EK49" s="1383">
        <v>0</v>
      </c>
      <c r="EL49" s="1383">
        <f t="shared" si="91"/>
        <v>0</v>
      </c>
      <c r="EM49" s="1383">
        <f t="shared" si="92"/>
        <v>0</v>
      </c>
      <c r="EN49" s="1383">
        <f t="shared" si="93"/>
        <v>0</v>
      </c>
      <c r="EO49" s="1382">
        <f t="shared" si="84"/>
        <v>0</v>
      </c>
      <c r="EP49" s="1375"/>
      <c r="EQ49" s="1383">
        <v>0</v>
      </c>
      <c r="ER49" s="1383">
        <f t="shared" si="94"/>
        <v>0</v>
      </c>
      <c r="ES49" s="1383">
        <f t="shared" si="95"/>
        <v>0</v>
      </c>
      <c r="ET49" s="1383">
        <f t="shared" si="96"/>
        <v>0</v>
      </c>
      <c r="EU49" s="1382">
        <f t="shared" si="85"/>
        <v>0</v>
      </c>
      <c r="EV49" s="554"/>
      <c r="EW49" s="554"/>
      <c r="FD49" s="554"/>
      <c r="FE49" s="554"/>
      <c r="FF49" s="554"/>
      <c r="FG49" s="554"/>
      <c r="FH49" s="554"/>
      <c r="FI49" s="554"/>
      <c r="FJ49" s="554"/>
      <c r="FK49" s="554"/>
      <c r="FL49" s="554"/>
      <c r="FM49" s="554"/>
      <c r="FN49" s="554"/>
      <c r="FO49" s="554"/>
      <c r="FP49" s="554"/>
    </row>
    <row r="50" spans="1:172" ht="10.5" customHeight="1">
      <c r="A50" s="265" t="s">
        <v>1927</v>
      </c>
      <c r="B50" s="1370"/>
      <c r="C50" s="1374"/>
      <c r="D50" s="1374"/>
      <c r="E50" s="1374"/>
      <c r="F50" s="1374"/>
      <c r="G50" s="1374"/>
      <c r="H50" s="1375"/>
      <c r="I50" s="1374"/>
      <c r="J50" s="1374"/>
      <c r="K50" s="1374"/>
      <c r="L50" s="1374"/>
      <c r="M50" s="1374"/>
      <c r="N50" s="1375"/>
      <c r="O50" s="1374">
        <v>0</v>
      </c>
      <c r="P50" s="1374">
        <v>2.5</v>
      </c>
      <c r="Q50" s="1374">
        <v>2.5</v>
      </c>
      <c r="R50" s="1374">
        <v>2.5</v>
      </c>
      <c r="S50" s="1374">
        <f t="shared" si="64"/>
        <v>2.5</v>
      </c>
      <c r="T50" s="1375"/>
      <c r="U50" s="1374">
        <v>0</v>
      </c>
      <c r="V50" s="1374">
        <v>0</v>
      </c>
      <c r="W50" s="1374">
        <v>0</v>
      </c>
      <c r="X50" s="1374">
        <v>0</v>
      </c>
      <c r="Y50" s="1374">
        <f t="shared" si="65"/>
        <v>0</v>
      </c>
      <c r="Z50" s="1375"/>
      <c r="AA50" s="1374">
        <v>0</v>
      </c>
      <c r="AB50" s="1374">
        <v>0</v>
      </c>
      <c r="AC50" s="1374">
        <v>0</v>
      </c>
      <c r="AD50" s="1374">
        <v>0</v>
      </c>
      <c r="AE50" s="554">
        <f t="shared" si="66"/>
        <v>0</v>
      </c>
      <c r="AF50" s="1375"/>
      <c r="AG50" s="1374">
        <v>0</v>
      </c>
      <c r="AH50" s="1374">
        <v>0</v>
      </c>
      <c r="AI50" s="1374">
        <v>0</v>
      </c>
      <c r="AJ50" s="1374">
        <v>0</v>
      </c>
      <c r="AK50" s="1374">
        <f t="shared" si="67"/>
        <v>0</v>
      </c>
      <c r="AL50" s="1375"/>
      <c r="AM50" s="1374">
        <v>0</v>
      </c>
      <c r="AN50" s="1374">
        <v>0</v>
      </c>
      <c r="AO50" s="1374">
        <v>0</v>
      </c>
      <c r="AP50" s="1374">
        <v>0</v>
      </c>
      <c r="AQ50" s="1374">
        <f t="shared" si="69"/>
        <v>0</v>
      </c>
      <c r="AR50" s="1375"/>
      <c r="AS50" s="1374">
        <v>0</v>
      </c>
      <c r="AT50" s="1374">
        <v>0</v>
      </c>
      <c r="AU50" s="1374">
        <v>0</v>
      </c>
      <c r="AV50" s="1374">
        <v>0</v>
      </c>
      <c r="AW50" s="1374">
        <f t="shared" si="68"/>
        <v>0</v>
      </c>
      <c r="AX50" s="1375"/>
      <c r="AY50" s="1374">
        <v>0</v>
      </c>
      <c r="AZ50" s="1374">
        <v>0</v>
      </c>
      <c r="BA50" s="1374">
        <v>0</v>
      </c>
      <c r="BB50" s="1374">
        <v>0</v>
      </c>
      <c r="BC50" s="1374">
        <f t="shared" si="86"/>
        <v>0</v>
      </c>
      <c r="BD50" s="1375"/>
      <c r="BE50" s="1375">
        <v>0</v>
      </c>
      <c r="BF50" s="1375">
        <v>0</v>
      </c>
      <c r="BG50" s="1375">
        <f t="shared" si="97"/>
        <v>0</v>
      </c>
      <c r="BH50" s="1375">
        <f t="shared" si="97"/>
        <v>0</v>
      </c>
      <c r="BI50" s="1374">
        <f t="shared" si="70"/>
        <v>0</v>
      </c>
      <c r="BJ50" s="1375"/>
      <c r="BK50" s="1375">
        <v>0</v>
      </c>
      <c r="BL50" s="1375">
        <f t="shared" si="87"/>
        <v>0</v>
      </c>
      <c r="BM50" s="1375">
        <f t="shared" si="87"/>
        <v>0</v>
      </c>
      <c r="BN50" s="1375">
        <f t="shared" si="87"/>
        <v>0</v>
      </c>
      <c r="BO50" s="1382">
        <f t="shared" si="71"/>
        <v>0</v>
      </c>
      <c r="BP50" s="1375"/>
      <c r="BQ50" s="1375">
        <v>0</v>
      </c>
      <c r="BR50" s="1375">
        <v>0</v>
      </c>
      <c r="BS50" s="1375">
        <v>0</v>
      </c>
      <c r="BT50" s="1375">
        <v>0</v>
      </c>
      <c r="BU50" s="1382">
        <f t="shared" si="72"/>
        <v>0</v>
      </c>
      <c r="BV50" s="1375"/>
      <c r="BW50" s="1375">
        <v>0</v>
      </c>
      <c r="BX50" s="1375">
        <f t="shared" si="98"/>
        <v>0</v>
      </c>
      <c r="BY50" s="1375">
        <f t="shared" si="98"/>
        <v>0</v>
      </c>
      <c r="BZ50" s="1383">
        <f t="shared" si="98"/>
        <v>0</v>
      </c>
      <c r="CA50" s="1382">
        <f t="shared" si="73"/>
        <v>0</v>
      </c>
      <c r="CB50" s="1375"/>
      <c r="CC50" s="1375">
        <v>0</v>
      </c>
      <c r="CD50" s="1375">
        <f t="shared" si="99"/>
        <v>0</v>
      </c>
      <c r="CE50" s="1375">
        <f t="shared" si="99"/>
        <v>0</v>
      </c>
      <c r="CF50" s="1375">
        <f t="shared" si="99"/>
        <v>0</v>
      </c>
      <c r="CG50" s="1382">
        <f t="shared" si="74"/>
        <v>0</v>
      </c>
      <c r="CH50" s="1375"/>
      <c r="CI50" s="1375">
        <v>0</v>
      </c>
      <c r="CJ50" s="1375">
        <f t="shared" si="100"/>
        <v>0</v>
      </c>
      <c r="CK50" s="1375">
        <f t="shared" si="100"/>
        <v>0</v>
      </c>
      <c r="CL50" s="1375">
        <f t="shared" si="100"/>
        <v>0</v>
      </c>
      <c r="CM50" s="1382">
        <f t="shared" si="75"/>
        <v>0</v>
      </c>
      <c r="CN50" s="1375"/>
      <c r="CO50" s="1375">
        <v>0</v>
      </c>
      <c r="CP50" s="1375">
        <f t="shared" si="103"/>
        <v>0</v>
      </c>
      <c r="CQ50" s="1375">
        <f t="shared" si="103"/>
        <v>0</v>
      </c>
      <c r="CR50" s="1375">
        <f t="shared" si="103"/>
        <v>0</v>
      </c>
      <c r="CS50" s="1382">
        <f t="shared" si="76"/>
        <v>0</v>
      </c>
      <c r="CT50" s="1375"/>
      <c r="CU50" s="1375">
        <v>0</v>
      </c>
      <c r="CV50" s="1375">
        <f t="shared" si="104"/>
        <v>0</v>
      </c>
      <c r="CW50" s="1375">
        <f t="shared" si="104"/>
        <v>0</v>
      </c>
      <c r="CX50" s="1375">
        <f t="shared" si="104"/>
        <v>0</v>
      </c>
      <c r="CY50" s="1382">
        <f t="shared" si="77"/>
        <v>0</v>
      </c>
      <c r="CZ50" s="1375"/>
      <c r="DA50" s="1375">
        <v>0</v>
      </c>
      <c r="DB50" s="1375">
        <f t="shared" si="101"/>
        <v>0</v>
      </c>
      <c r="DC50" s="1375">
        <f t="shared" si="101"/>
        <v>0</v>
      </c>
      <c r="DD50" s="1375">
        <f t="shared" si="101"/>
        <v>0</v>
      </c>
      <c r="DE50" s="1382">
        <f t="shared" si="78"/>
        <v>0</v>
      </c>
      <c r="DF50" s="1375"/>
      <c r="DG50" s="1375">
        <v>0</v>
      </c>
      <c r="DH50" s="1375">
        <f t="shared" si="105"/>
        <v>0</v>
      </c>
      <c r="DI50" s="1375">
        <f t="shared" si="105"/>
        <v>0</v>
      </c>
      <c r="DJ50" s="1375">
        <f t="shared" si="105"/>
        <v>0</v>
      </c>
      <c r="DK50" s="1382">
        <f t="shared" si="79"/>
        <v>0</v>
      </c>
      <c r="DL50" s="1375"/>
      <c r="DM50" s="1375">
        <v>0</v>
      </c>
      <c r="DN50" s="1375">
        <f t="shared" si="102"/>
        <v>0</v>
      </c>
      <c r="DO50" s="1375">
        <f t="shared" si="102"/>
        <v>0</v>
      </c>
      <c r="DP50" s="1375">
        <v>0</v>
      </c>
      <c r="DQ50" s="1382">
        <f t="shared" si="80"/>
        <v>0</v>
      </c>
      <c r="DR50" s="1375"/>
      <c r="DS50" s="1375">
        <v>0</v>
      </c>
      <c r="DT50" s="1375">
        <v>0</v>
      </c>
      <c r="DU50" s="1375">
        <v>0</v>
      </c>
      <c r="DV50" s="1375">
        <v>0</v>
      </c>
      <c r="DW50" s="1382">
        <f t="shared" si="81"/>
        <v>0</v>
      </c>
      <c r="DX50" s="1375"/>
      <c r="DY50" s="1375">
        <v>0</v>
      </c>
      <c r="DZ50" s="1375">
        <v>0</v>
      </c>
      <c r="EA50" s="1375">
        <v>0</v>
      </c>
      <c r="EB50" s="1375">
        <v>0</v>
      </c>
      <c r="EC50" s="1382">
        <f t="shared" si="82"/>
        <v>0</v>
      </c>
      <c r="ED50" s="1375"/>
      <c r="EE50" s="1383">
        <v>0</v>
      </c>
      <c r="EF50" s="1383">
        <f t="shared" si="88"/>
        <v>0</v>
      </c>
      <c r="EG50" s="1383">
        <f t="shared" si="89"/>
        <v>0</v>
      </c>
      <c r="EH50" s="1383">
        <f t="shared" si="90"/>
        <v>0</v>
      </c>
      <c r="EI50" s="1382">
        <f t="shared" si="83"/>
        <v>0</v>
      </c>
      <c r="EJ50" s="1375"/>
      <c r="EK50" s="1383">
        <v>0</v>
      </c>
      <c r="EL50" s="1383">
        <f t="shared" si="91"/>
        <v>0</v>
      </c>
      <c r="EM50" s="1383">
        <f t="shared" si="92"/>
        <v>0</v>
      </c>
      <c r="EN50" s="1383">
        <f t="shared" si="93"/>
        <v>0</v>
      </c>
      <c r="EO50" s="1382">
        <f t="shared" si="84"/>
        <v>0</v>
      </c>
      <c r="EP50" s="1375"/>
      <c r="EQ50" s="1383">
        <v>0</v>
      </c>
      <c r="ER50" s="1383">
        <f t="shared" si="94"/>
        <v>0</v>
      </c>
      <c r="ES50" s="1383">
        <f t="shared" si="95"/>
        <v>0</v>
      </c>
      <c r="ET50" s="1383">
        <f t="shared" si="96"/>
        <v>0</v>
      </c>
      <c r="EU50" s="1382">
        <f t="shared" si="85"/>
        <v>0</v>
      </c>
      <c r="EV50" s="554"/>
      <c r="EW50" s="554"/>
      <c r="FD50" s="554"/>
      <c r="FE50" s="554"/>
      <c r="FF50" s="554"/>
      <c r="FG50" s="554"/>
      <c r="FH50" s="554"/>
      <c r="FI50" s="554"/>
      <c r="FJ50" s="554"/>
      <c r="FK50" s="554"/>
      <c r="FL50" s="554"/>
      <c r="FM50" s="554"/>
      <c r="FN50" s="554"/>
      <c r="FO50" s="554"/>
      <c r="FP50" s="554"/>
    </row>
    <row r="51" spans="1:172" ht="10.5" customHeight="1" thickBot="1">
      <c r="A51" s="265" t="s">
        <v>6815</v>
      </c>
      <c r="B51" s="1370"/>
      <c r="C51" s="1374"/>
      <c r="D51" s="1374"/>
      <c r="E51" s="1374"/>
      <c r="F51" s="1374"/>
      <c r="G51" s="1374"/>
      <c r="H51" s="1375"/>
      <c r="I51" s="1374"/>
      <c r="J51" s="1374"/>
      <c r="K51" s="1374"/>
      <c r="L51" s="1374"/>
      <c r="M51" s="1374"/>
      <c r="N51" s="1375"/>
      <c r="O51" s="1374">
        <v>0</v>
      </c>
      <c r="P51" s="1374">
        <v>0</v>
      </c>
      <c r="Q51" s="1374">
        <v>0</v>
      </c>
      <c r="R51" s="1374">
        <v>-7.5369999999999999</v>
      </c>
      <c r="S51" s="1374">
        <f t="shared" si="64"/>
        <v>-7.5369999999999999</v>
      </c>
      <c r="T51" s="1375"/>
      <c r="U51" s="1374">
        <v>0</v>
      </c>
      <c r="V51" s="1374">
        <v>2.81</v>
      </c>
      <c r="W51" s="1374">
        <v>5.3449999999999998</v>
      </c>
      <c r="X51" s="1374">
        <v>0</v>
      </c>
      <c r="Y51" s="1374">
        <f t="shared" si="65"/>
        <v>0</v>
      </c>
      <c r="Z51" s="1375"/>
      <c r="AA51" s="1374">
        <v>0</v>
      </c>
      <c r="AB51" s="1374">
        <v>3.6160000000000001</v>
      </c>
      <c r="AC51" s="1374">
        <v>6.7690000000000001</v>
      </c>
      <c r="AD51" s="1374">
        <v>0</v>
      </c>
      <c r="AE51" s="554">
        <f t="shared" si="66"/>
        <v>0</v>
      </c>
      <c r="AF51" s="1375"/>
      <c r="AG51" s="1374">
        <v>-1.988</v>
      </c>
      <c r="AH51" s="1374">
        <v>-3.9609999999999999</v>
      </c>
      <c r="AI51" s="1374">
        <v>-4.6020000000000003</v>
      </c>
      <c r="AJ51" s="1374">
        <v>-9.3949999999999996</v>
      </c>
      <c r="AK51" s="1374">
        <f t="shared" si="67"/>
        <v>-9.3949999999999996</v>
      </c>
      <c r="AL51" s="1375"/>
      <c r="AM51" s="1374">
        <v>-0.63500000000000001</v>
      </c>
      <c r="AN51" s="1374">
        <v>-2.8460000000000001</v>
      </c>
      <c r="AO51" s="1374">
        <v>-1.8740000000000001</v>
      </c>
      <c r="AP51" s="1374">
        <v>-3.0329999999999999</v>
      </c>
      <c r="AQ51" s="1374">
        <f t="shared" si="69"/>
        <v>-3.0329999999999999</v>
      </c>
      <c r="AR51" s="1375"/>
      <c r="AS51" s="1374">
        <v>5.1999999999999998E-2</v>
      </c>
      <c r="AT51" s="1374">
        <v>1.448</v>
      </c>
      <c r="AU51" s="1374">
        <v>-5.0999999999999997E-2</v>
      </c>
      <c r="AV51" s="1374">
        <v>0.27900000000000003</v>
      </c>
      <c r="AW51" s="1374">
        <f t="shared" si="68"/>
        <v>0.27900000000000003</v>
      </c>
      <c r="AX51" s="1375"/>
      <c r="AY51" s="1374">
        <v>-0.8</v>
      </c>
      <c r="AZ51" s="1374">
        <f>AY51-0.7</f>
        <v>-1.5</v>
      </c>
      <c r="BA51" s="1374">
        <f>AZ51+0</f>
        <v>-1.5</v>
      </c>
      <c r="BB51" s="1374">
        <f>BA51-1</f>
        <v>-2.5</v>
      </c>
      <c r="BC51" s="1374">
        <f t="shared" si="86"/>
        <v>-2.5</v>
      </c>
      <c r="BD51" s="1375"/>
      <c r="BE51" s="1375">
        <v>0</v>
      </c>
      <c r="BF51" s="1375">
        <v>0</v>
      </c>
      <c r="BG51" s="1375">
        <v>7.9000000000000001E-2</v>
      </c>
      <c r="BH51" s="1375">
        <f>BG51-0.1</f>
        <v>-2.1000000000000005E-2</v>
      </c>
      <c r="BI51" s="1374">
        <f t="shared" si="70"/>
        <v>-2.1000000000000005E-2</v>
      </c>
      <c r="BJ51" s="1375"/>
      <c r="BK51" s="1375">
        <v>-12.5</v>
      </c>
      <c r="BL51" s="1375">
        <f>BK51+0-0.3</f>
        <v>-12.8</v>
      </c>
      <c r="BM51" s="1375">
        <f>BL51+2.6</f>
        <v>-10.200000000000001</v>
      </c>
      <c r="BN51" s="1375">
        <f t="shared" si="87"/>
        <v>-10.200000000000001</v>
      </c>
      <c r="BO51" s="1382">
        <f t="shared" si="71"/>
        <v>-10.200000000000001</v>
      </c>
      <c r="BP51" s="1375"/>
      <c r="BQ51" s="1375">
        <v>0</v>
      </c>
      <c r="BR51" s="1375">
        <v>0</v>
      </c>
      <c r="BS51" s="1375">
        <v>0</v>
      </c>
      <c r="BT51" s="1375">
        <v>0</v>
      </c>
      <c r="BU51" s="1382">
        <f t="shared" si="72"/>
        <v>0</v>
      </c>
      <c r="BV51" s="1375"/>
      <c r="BW51" s="1375">
        <v>0</v>
      </c>
      <c r="BX51" s="1375">
        <f t="shared" si="98"/>
        <v>0</v>
      </c>
      <c r="BY51" s="1375">
        <f t="shared" si="98"/>
        <v>0</v>
      </c>
      <c r="BZ51" s="1383">
        <f t="shared" si="98"/>
        <v>0</v>
      </c>
      <c r="CA51" s="1382">
        <f t="shared" si="73"/>
        <v>0</v>
      </c>
      <c r="CB51" s="1375"/>
      <c r="CC51" s="1375">
        <v>0</v>
      </c>
      <c r="CD51" s="1375">
        <f t="shared" si="99"/>
        <v>0</v>
      </c>
      <c r="CE51" s="1375">
        <f t="shared" si="99"/>
        <v>0</v>
      </c>
      <c r="CF51" s="1375">
        <f t="shared" si="99"/>
        <v>0</v>
      </c>
      <c r="CG51" s="1382">
        <f t="shared" si="74"/>
        <v>0</v>
      </c>
      <c r="CH51" s="1375"/>
      <c r="CI51" s="1375">
        <v>0</v>
      </c>
      <c r="CJ51" s="1375">
        <f t="shared" si="100"/>
        <v>0</v>
      </c>
      <c r="CK51" s="1375">
        <v>-0.5</v>
      </c>
      <c r="CL51" s="1375">
        <v>0</v>
      </c>
      <c r="CM51" s="1382">
        <f t="shared" si="75"/>
        <v>0</v>
      </c>
      <c r="CN51" s="1375"/>
      <c r="CO51" s="1375">
        <v>-14.5</v>
      </c>
      <c r="CP51" s="1375">
        <v>-15.1</v>
      </c>
      <c r="CQ51" s="1375">
        <v>-23.5</v>
      </c>
      <c r="CR51" s="1375">
        <f>-30.5</f>
        <v>-30.5</v>
      </c>
      <c r="CS51" s="1382">
        <f t="shared" si="76"/>
        <v>-30.5</v>
      </c>
      <c r="CT51" s="1375"/>
      <c r="CU51" s="1375">
        <v>-5</v>
      </c>
      <c r="CV51" s="1375">
        <v>-18</v>
      </c>
      <c r="CW51" s="1375">
        <v>-22.1</v>
      </c>
      <c r="CX51" s="1375">
        <v>-27.1</v>
      </c>
      <c r="CY51" s="1382">
        <f t="shared" si="77"/>
        <v>-27.1</v>
      </c>
      <c r="CZ51" s="1375"/>
      <c r="DA51" s="1375">
        <v>-3.6</v>
      </c>
      <c r="DB51" s="1375">
        <v>-5.4</v>
      </c>
      <c r="DC51" s="1375">
        <v>-15.7</v>
      </c>
      <c r="DD51" s="1375">
        <v>-18.600000000000001</v>
      </c>
      <c r="DE51" s="1382">
        <f t="shared" si="78"/>
        <v>-18.600000000000001</v>
      </c>
      <c r="DF51" s="1375"/>
      <c r="DG51" s="1375">
        <v>-0.8</v>
      </c>
      <c r="DH51" s="1375">
        <v>-0.7</v>
      </c>
      <c r="DI51" s="1375">
        <v>1.2</v>
      </c>
      <c r="DJ51" s="1375">
        <v>-4</v>
      </c>
      <c r="DK51" s="1382">
        <f t="shared" si="79"/>
        <v>-4</v>
      </c>
      <c r="DL51" s="1375"/>
      <c r="DM51" s="1375">
        <v>-10.6</v>
      </c>
      <c r="DN51" s="1375">
        <v>-13.1</v>
      </c>
      <c r="DO51" s="1375">
        <v>-15.5</v>
      </c>
      <c r="DP51" s="1375">
        <v>-44.5</v>
      </c>
      <c r="DQ51" s="1382">
        <f t="shared" si="80"/>
        <v>-44.5</v>
      </c>
      <c r="DR51" s="1375"/>
      <c r="DS51" s="1375">
        <v>-1</v>
      </c>
      <c r="DT51" s="1375">
        <v>-6.7</v>
      </c>
      <c r="DU51" s="1375">
        <v>-14.8</v>
      </c>
      <c r="DV51" s="1375">
        <v>-13.8</v>
      </c>
      <c r="DW51" s="1382">
        <f t="shared" si="81"/>
        <v>-13.8</v>
      </c>
      <c r="DX51" s="1375"/>
      <c r="DY51" s="1375">
        <v>3.9</v>
      </c>
      <c r="DZ51" s="1375">
        <v>-4.3</v>
      </c>
      <c r="EA51" s="1375">
        <v>-11.5</v>
      </c>
      <c r="EB51" s="1375">
        <v>-12.2</v>
      </c>
      <c r="EC51" s="1382">
        <f t="shared" si="82"/>
        <v>-12.2</v>
      </c>
      <c r="ED51" s="1375"/>
      <c r="EE51" s="1383">
        <v>0</v>
      </c>
      <c r="EF51" s="1383">
        <f t="shared" si="88"/>
        <v>0</v>
      </c>
      <c r="EG51" s="1383">
        <f t="shared" si="89"/>
        <v>0</v>
      </c>
      <c r="EH51" s="1383">
        <f t="shared" si="90"/>
        <v>0</v>
      </c>
      <c r="EI51" s="1382">
        <f t="shared" si="83"/>
        <v>0</v>
      </c>
      <c r="EJ51" s="1375"/>
      <c r="EK51" s="1383">
        <v>0</v>
      </c>
      <c r="EL51" s="1383">
        <f t="shared" si="91"/>
        <v>0</v>
      </c>
      <c r="EM51" s="1383">
        <f t="shared" si="92"/>
        <v>0</v>
      </c>
      <c r="EN51" s="1383">
        <f t="shared" si="93"/>
        <v>0</v>
      </c>
      <c r="EO51" s="1382">
        <f t="shared" si="84"/>
        <v>0</v>
      </c>
      <c r="EP51" s="1375"/>
      <c r="EQ51" s="1383">
        <v>0</v>
      </c>
      <c r="ER51" s="1383">
        <f t="shared" si="94"/>
        <v>0</v>
      </c>
      <c r="ES51" s="1383">
        <f t="shared" si="95"/>
        <v>0</v>
      </c>
      <c r="ET51" s="1383">
        <f t="shared" si="96"/>
        <v>0</v>
      </c>
      <c r="EU51" s="1382">
        <f t="shared" si="85"/>
        <v>0</v>
      </c>
      <c r="EV51" s="554"/>
      <c r="EW51" s="554"/>
      <c r="FD51" s="554"/>
      <c r="FE51" s="554"/>
      <c r="FF51" s="554"/>
      <c r="FG51" s="554"/>
      <c r="FH51" s="554"/>
      <c r="FI51" s="554"/>
      <c r="FJ51" s="554"/>
      <c r="FK51" s="554"/>
      <c r="FL51" s="554"/>
      <c r="FM51" s="554"/>
      <c r="FN51" s="554"/>
      <c r="FO51" s="554"/>
      <c r="FP51" s="554"/>
    </row>
    <row r="52" spans="1:172" ht="13.5" thickBot="1">
      <c r="A52" s="1367" t="s">
        <v>4689</v>
      </c>
      <c r="B52" s="1384"/>
      <c r="C52" s="1384"/>
      <c r="D52" s="1384"/>
      <c r="E52" s="1384"/>
      <c r="F52" s="1384"/>
      <c r="G52" s="1384"/>
      <c r="H52" s="1384"/>
      <c r="I52" s="1384"/>
      <c r="J52" s="1384"/>
      <c r="K52" s="1384"/>
      <c r="L52" s="1384"/>
      <c r="M52" s="1384"/>
      <c r="N52" s="1384"/>
      <c r="O52" s="1384">
        <f>SUM(O43:O51)</f>
        <v>-42.081999999999994</v>
      </c>
      <c r="P52" s="1384">
        <f>SUM(P43:P51)</f>
        <v>-121.30799999999999</v>
      </c>
      <c r="Q52" s="1384">
        <f>SUM(Q43:Q51)</f>
        <v>-142.572</v>
      </c>
      <c r="R52" s="1384">
        <f>SUM(R43:R51)</f>
        <v>-79.039000000000058</v>
      </c>
      <c r="S52" s="1385">
        <f>R52</f>
        <v>-79.039000000000058</v>
      </c>
      <c r="T52" s="1328"/>
      <c r="U52" s="1385">
        <f>SUM(U43:U51)</f>
        <v>-180.41900000000001</v>
      </c>
      <c r="V52" s="1385">
        <f>SUM(V43:V51)</f>
        <v>-215.08499999999998</v>
      </c>
      <c r="W52" s="1385">
        <f>SUM(W43:W51)</f>
        <v>-234.36700000000002</v>
      </c>
      <c r="X52" s="1385">
        <f>SUM(X43:X51)</f>
        <v>-304.35400000000038</v>
      </c>
      <c r="Y52" s="1385">
        <f>X52</f>
        <v>-304.35400000000038</v>
      </c>
      <c r="Z52" s="1385"/>
      <c r="AA52" s="1385">
        <f>SUM(AA43:AA51)</f>
        <v>76.320000000000007</v>
      </c>
      <c r="AB52" s="1385">
        <f>SUM(AB43:AB51)</f>
        <v>43.359000000000009</v>
      </c>
      <c r="AC52" s="1385">
        <f>SUM(AC43:AC51)</f>
        <v>54.264000000000003</v>
      </c>
      <c r="AD52" s="1385">
        <f>SUM(AD43:AD51)</f>
        <v>68.595000000000084</v>
      </c>
      <c r="AE52" s="1385">
        <f>SUM(AE43:AE51)</f>
        <v>68.595000000000084</v>
      </c>
      <c r="AF52" s="1385"/>
      <c r="AG52" s="1385">
        <f>SUM(AG43:AG51)</f>
        <v>22.509</v>
      </c>
      <c r="AH52" s="1385">
        <f>SUM(AH43:AH51)</f>
        <v>-45.838000000000001</v>
      </c>
      <c r="AI52" s="1385">
        <f>SUM(AI43:AI51)</f>
        <v>-82.125</v>
      </c>
      <c r="AJ52" s="1385">
        <f>SUM(AJ43:AJ51)</f>
        <v>-145.55100000000002</v>
      </c>
      <c r="AK52" s="1385">
        <f>SUM(AK43:AK51)</f>
        <v>-145.55100000000002</v>
      </c>
      <c r="AL52" s="1385"/>
      <c r="AM52" s="1385">
        <f>SUM(AM43:AM51)</f>
        <v>-82.702000000000012</v>
      </c>
      <c r="AN52" s="1385">
        <f>SUM(AN43:AN51)</f>
        <v>-73.418000000000006</v>
      </c>
      <c r="AO52" s="1385">
        <f>SUM(AO43:AO51)</f>
        <v>-59.119000000000007</v>
      </c>
      <c r="AP52" s="1385">
        <f>SUM(AP43:AP51)</f>
        <v>-65.017999999999901</v>
      </c>
      <c r="AQ52" s="1385">
        <f>AP52</f>
        <v>-65.017999999999901</v>
      </c>
      <c r="AR52" s="1385"/>
      <c r="AS52" s="1385">
        <f>SUM(AS43:AS51)</f>
        <v>-7.3050000000000015</v>
      </c>
      <c r="AT52" s="1385">
        <f>SUM(AT43:AT51)</f>
        <v>13.271999999999997</v>
      </c>
      <c r="AU52" s="1385">
        <f>SUM(AU43:AU51)</f>
        <v>-18.989999999999998</v>
      </c>
      <c r="AV52" s="1385">
        <f>SUM(AV43:AV51)</f>
        <v>-58.992000000000004</v>
      </c>
      <c r="AW52" s="1385">
        <f>AV52</f>
        <v>-58.992000000000004</v>
      </c>
      <c r="AX52" s="1328"/>
      <c r="AY52" s="1385">
        <f>SUM(AY43:AY51)</f>
        <v>17.599999999999998</v>
      </c>
      <c r="AZ52" s="1385">
        <f>SUM(AZ43:AZ51)</f>
        <v>-8.6999999999999975</v>
      </c>
      <c r="BA52" s="1385">
        <f>SUM(BA43:BA51)</f>
        <v>62.600000000000009</v>
      </c>
      <c r="BB52" s="1385">
        <f>SUM(BB43:BB51)</f>
        <v>175.59999999999997</v>
      </c>
      <c r="BC52" s="1385">
        <f>BB52</f>
        <v>175.59999999999997</v>
      </c>
      <c r="BD52" s="1328"/>
      <c r="BE52" s="1385">
        <f>SUM(BE43:BE51)</f>
        <v>-24.799999999999997</v>
      </c>
      <c r="BF52" s="1385">
        <f>SUM(BF43:BF51)</f>
        <v>-81</v>
      </c>
      <c r="BG52" s="1385">
        <f>SUM(BG43:BG51)</f>
        <v>-209.92099999999999</v>
      </c>
      <c r="BH52" s="1385">
        <f>SUM(BH43:BH51)</f>
        <v>-337.92099999999999</v>
      </c>
      <c r="BI52" s="1385">
        <f>BH52</f>
        <v>-337.92099999999999</v>
      </c>
      <c r="BJ52" s="1384"/>
      <c r="BK52" s="1385">
        <f>SUM(BK43:BK51)</f>
        <v>-103.8</v>
      </c>
      <c r="BL52" s="1385">
        <f>SUM(BL43:BL51)</f>
        <v>-11.599999999999998</v>
      </c>
      <c r="BM52" s="1385">
        <f>SUM(BM43:BM51)</f>
        <v>-78.399999999999991</v>
      </c>
      <c r="BN52" s="1385">
        <f>SUM(BN43:BN51)</f>
        <v>-117.8</v>
      </c>
      <c r="BO52" s="1386">
        <f>BN52</f>
        <v>-117.8</v>
      </c>
      <c r="BP52" s="1384"/>
      <c r="BQ52" s="1385">
        <f>SUM(BQ43:BQ51)</f>
        <v>-96.499999999999986</v>
      </c>
      <c r="BR52" s="1385">
        <f>SUM(BR43:BR51)</f>
        <v>20.499999999999996</v>
      </c>
      <c r="BS52" s="1385">
        <f>SUM(BS43:BS51)</f>
        <v>-27.499999999999979</v>
      </c>
      <c r="BT52" s="1385">
        <f>SUM(BT43:BT51)</f>
        <v>-85.699999999999974</v>
      </c>
      <c r="BU52" s="1386">
        <f>BT52</f>
        <v>-85.699999999999974</v>
      </c>
      <c r="BV52" s="1384"/>
      <c r="BW52" s="1385">
        <f>SUM(BW43:BW51)</f>
        <v>-15.500000000000002</v>
      </c>
      <c r="BX52" s="1385">
        <f>SUM(BX43:BX51)</f>
        <v>-304.7</v>
      </c>
      <c r="BY52" s="1385">
        <f>SUM(BY43:BY51)</f>
        <v>-462.4</v>
      </c>
      <c r="BZ52" s="1385">
        <f>SUM(BZ43:BZ51)</f>
        <v>-478.1</v>
      </c>
      <c r="CA52" s="1386">
        <f>BZ52</f>
        <v>-478.1</v>
      </c>
      <c r="CB52" s="1384"/>
      <c r="CC52" s="1385">
        <f>SUM(CC43:CC51)</f>
        <v>-38.5</v>
      </c>
      <c r="CD52" s="1385">
        <f>SUM(CD43:CD51)</f>
        <v>-316.8</v>
      </c>
      <c r="CE52" s="1385">
        <f>SUM(CE43:CE51)</f>
        <v>-319.09999999999997</v>
      </c>
      <c r="CF52" s="1385">
        <f>SUM(CF43:CF51)</f>
        <v>-283</v>
      </c>
      <c r="CG52" s="1386">
        <f>CF52</f>
        <v>-283</v>
      </c>
      <c r="CH52" s="1384"/>
      <c r="CI52" s="1385">
        <f>SUM(CI43:CI51)</f>
        <v>-16.500000000000004</v>
      </c>
      <c r="CJ52" s="1385">
        <f>SUM(CJ43:CJ51)</f>
        <v>-150.19999999999996</v>
      </c>
      <c r="CK52" s="1385">
        <f>SUM(CK43:CK51)</f>
        <v>-169.19999999999996</v>
      </c>
      <c r="CL52" s="1385">
        <f>SUM(CL43:CL51)</f>
        <v>-142.30000000000001</v>
      </c>
      <c r="CM52" s="1387">
        <f>CL52</f>
        <v>-142.30000000000001</v>
      </c>
      <c r="CN52" s="1384"/>
      <c r="CO52" s="1385">
        <f>SUM(CO43:CO51)</f>
        <v>-152.69999999999999</v>
      </c>
      <c r="CP52" s="1385">
        <f>SUM(CP43:CP51)</f>
        <v>-174.80000000000004</v>
      </c>
      <c r="CQ52" s="1385">
        <f>SUM(CQ43:CQ51)</f>
        <v>-293.09999999999997</v>
      </c>
      <c r="CR52" s="1385">
        <f>SUM(CR43:CR51)</f>
        <v>-370.3</v>
      </c>
      <c r="CS52" s="1387">
        <f>CR52</f>
        <v>-370.3</v>
      </c>
      <c r="CT52" s="1384"/>
      <c r="CU52" s="1385">
        <f>SUM(CU43:CU51)</f>
        <v>-287</v>
      </c>
      <c r="CV52" s="1385">
        <f>SUM(CV43:CV51)</f>
        <v>-451.29999999999995</v>
      </c>
      <c r="CW52" s="1385">
        <f>SUM(CW43:CW51)</f>
        <v>-730.49999999999989</v>
      </c>
      <c r="CX52" s="1385">
        <f>SUM(CX43:CX51)</f>
        <v>-647.20000000000016</v>
      </c>
      <c r="CY52" s="1387">
        <f>CX52</f>
        <v>-647.20000000000016</v>
      </c>
      <c r="CZ52" s="1384"/>
      <c r="DA52" s="1385">
        <f>SUM(DA43:DA51)</f>
        <v>-131.70000000000002</v>
      </c>
      <c r="DB52" s="1385">
        <f>SUM(DB43:DB51)</f>
        <v>-345.49999999999989</v>
      </c>
      <c r="DC52" s="1385">
        <f>SUM(DC43:DC51)</f>
        <v>-383.49999999999994</v>
      </c>
      <c r="DD52" s="1385">
        <f>SUM(DD43:DD51)</f>
        <v>-194.00000000000003</v>
      </c>
      <c r="DE52" s="1387">
        <f>DD52</f>
        <v>-194.00000000000003</v>
      </c>
      <c r="DF52" s="1384"/>
      <c r="DG52" s="1385">
        <f>SUM(DG43:DG51)</f>
        <v>-421.7</v>
      </c>
      <c r="DH52" s="1385">
        <f>SUM(DH43:DH51)</f>
        <v>-730.40000000000009</v>
      </c>
      <c r="DI52" s="1385">
        <f>SUM(DI43:DI51)</f>
        <v>-777.69999999999982</v>
      </c>
      <c r="DJ52" s="1385">
        <f>SUM(DJ43:DJ51)</f>
        <v>-905.59999999999991</v>
      </c>
      <c r="DK52" s="1387">
        <f>DJ52</f>
        <v>-905.59999999999991</v>
      </c>
      <c r="DL52" s="1384"/>
      <c r="DM52" s="1385">
        <f>SUM(DM43:DM51)</f>
        <v>-252.89999999999998</v>
      </c>
      <c r="DN52" s="1385">
        <f>SUM(DN43:DN51)</f>
        <v>-666.6</v>
      </c>
      <c r="DO52" s="1385">
        <f>SUM(DO43:DO51)</f>
        <v>-756.1</v>
      </c>
      <c r="DP52" s="1385">
        <f>SUM(DP43:DP51)</f>
        <v>-809.49999999999989</v>
      </c>
      <c r="DQ52" s="1387">
        <f>DP52</f>
        <v>-809.49999999999989</v>
      </c>
      <c r="DR52" s="1384"/>
      <c r="DS52" s="1385">
        <f>SUM(DS43:DS51)</f>
        <v>-230.19999999999996</v>
      </c>
      <c r="DT52" s="1385">
        <f>SUM(DT43:DT51)</f>
        <v>200.59999999999997</v>
      </c>
      <c r="DU52" s="1385">
        <f>SUM(DU43:DU51)</f>
        <v>285.79999999999995</v>
      </c>
      <c r="DV52" s="1385">
        <f>SUM(DV43:DV51)</f>
        <v>272</v>
      </c>
      <c r="DW52" s="1387">
        <f>DV52</f>
        <v>272</v>
      </c>
      <c r="DX52" s="1384"/>
      <c r="DY52" s="1385">
        <f>SUM(DY43:DY51)</f>
        <v>258.50000000000006</v>
      </c>
      <c r="DZ52" s="1385">
        <f>SUM(DZ43:DZ51)</f>
        <v>200.70000000000002</v>
      </c>
      <c r="EA52" s="1385">
        <f>SUM(EA43:EA51)</f>
        <v>258.89999999999998</v>
      </c>
      <c r="EB52" s="1385">
        <f>SUM(EB43:EB51)</f>
        <v>506.39999999999992</v>
      </c>
      <c r="EC52" s="1387">
        <f>EB52</f>
        <v>506.39999999999992</v>
      </c>
      <c r="ED52" s="1384"/>
      <c r="EE52" s="1385">
        <f>SUM(EE43:EE51)</f>
        <v>-5.8989241647235353</v>
      </c>
      <c r="EF52" s="1385">
        <f>SUM(EF43:EF51)</f>
        <v>-22.78470534503376</v>
      </c>
      <c r="EG52" s="1385">
        <f>SUM(EG43:EG51)</f>
        <v>-34.581692549425767</v>
      </c>
      <c r="EH52" s="1385">
        <f>SUM(EH43:EH51)</f>
        <v>-44.837610952587511</v>
      </c>
      <c r="EI52" s="1387">
        <f>EH52</f>
        <v>-44.837610952587511</v>
      </c>
      <c r="EJ52" s="1384"/>
      <c r="EK52" s="1385">
        <f>SUM(EK43:EK51)</f>
        <v>-4.9301229030328795</v>
      </c>
      <c r="EL52" s="1385">
        <f>SUM(EL43:EL51)</f>
        <v>-23.512072063839433</v>
      </c>
      <c r="EM52" s="1385">
        <f>SUM(EM43:EM51)</f>
        <v>-35.595374431887294</v>
      </c>
      <c r="EN52" s="1385">
        <f>SUM(EN43:EN51)</f>
        <v>-45.499155359764856</v>
      </c>
      <c r="EO52" s="1387">
        <f>EN52</f>
        <v>-45.499155359764856</v>
      </c>
      <c r="EP52" s="1384"/>
      <c r="EQ52" s="1385">
        <f>SUM(EQ43:EQ51)</f>
        <v>-3.005320258499828</v>
      </c>
      <c r="ER52" s="1385">
        <f>SUM(ER43:ER51)</f>
        <v>-22.136769427394249</v>
      </c>
      <c r="ES52" s="1385">
        <f>SUM(ES43:ES51)</f>
        <v>-33.309028599842968</v>
      </c>
      <c r="ET52" s="1385">
        <f>SUM(ET43:ET51)</f>
        <v>-41.712442852545422</v>
      </c>
      <c r="EU52" s="1387">
        <f>ET52</f>
        <v>-41.712442852545422</v>
      </c>
      <c r="EV52" s="1368"/>
      <c r="EW52" s="1368"/>
      <c r="FD52" s="1368"/>
      <c r="FE52" s="1368"/>
      <c r="FF52" s="1368"/>
      <c r="FG52" s="1368"/>
      <c r="FH52" s="1368"/>
      <c r="FI52" s="1368"/>
      <c r="FJ52" s="1368"/>
      <c r="FK52" s="1368"/>
      <c r="FL52" s="1368"/>
      <c r="FM52" s="1368"/>
      <c r="FN52" s="1368"/>
      <c r="FO52" s="1368"/>
      <c r="FP52" s="1368"/>
    </row>
    <row r="53" spans="1:172">
      <c r="A53" s="241"/>
      <c r="B53" s="1370"/>
      <c r="C53" s="1371"/>
      <c r="D53" s="578"/>
      <c r="E53" s="578"/>
      <c r="F53" s="578"/>
      <c r="G53" s="578"/>
      <c r="H53" s="578"/>
      <c r="I53" s="1371"/>
      <c r="J53" s="578"/>
      <c r="K53" s="578"/>
      <c r="L53" s="578"/>
      <c r="M53" s="578"/>
      <c r="N53" s="578"/>
      <c r="O53" s="1371"/>
      <c r="P53" s="578"/>
      <c r="Q53" s="578"/>
      <c r="R53" s="578"/>
      <c r="S53" s="578"/>
      <c r="T53" s="578"/>
      <c r="U53" s="578"/>
      <c r="V53" s="578"/>
      <c r="W53" s="1372"/>
      <c r="X53" s="1372"/>
      <c r="Y53" s="578"/>
      <c r="Z53" s="578"/>
      <c r="AA53" s="1372"/>
      <c r="AB53" s="1372"/>
      <c r="AC53" s="1372"/>
      <c r="AD53" s="1372"/>
      <c r="AE53" s="578"/>
      <c r="AF53" s="578"/>
      <c r="AG53" s="1372"/>
      <c r="AH53" s="1372"/>
      <c r="AI53" s="1372"/>
      <c r="AJ53" s="1372"/>
      <c r="AK53" s="578"/>
      <c r="AL53" s="578"/>
      <c r="AM53" s="1372"/>
      <c r="AN53" s="1372"/>
      <c r="AO53" s="1372"/>
      <c r="AP53" s="1372"/>
      <c r="AQ53" s="1372"/>
      <c r="AR53" s="578"/>
      <c r="AS53" s="1372"/>
      <c r="AT53" s="1372"/>
      <c r="AU53" s="1372"/>
      <c r="AV53" s="1372"/>
      <c r="AW53" s="578"/>
      <c r="AX53" s="578"/>
      <c r="AY53" s="1372"/>
      <c r="AZ53" s="1372"/>
      <c r="BA53" s="1372"/>
      <c r="BB53" s="1372"/>
      <c r="BC53" s="578"/>
      <c r="BD53" s="578"/>
      <c r="BE53" s="578"/>
      <c r="BF53" s="578"/>
      <c r="BG53" s="578"/>
      <c r="BH53" s="241"/>
      <c r="BI53" s="578"/>
      <c r="BJ53" s="578"/>
      <c r="BK53" s="578"/>
      <c r="BL53" s="578"/>
      <c r="BM53" s="578"/>
      <c r="BN53" s="578"/>
      <c r="BO53" s="1388"/>
      <c r="BP53" s="578"/>
      <c r="BQ53" s="241"/>
      <c r="BR53" s="241"/>
      <c r="BS53" s="241"/>
      <c r="BT53" s="578"/>
      <c r="BU53" s="1388"/>
      <c r="BV53" s="578"/>
      <c r="BW53" s="241"/>
      <c r="BX53" s="241"/>
      <c r="BY53" s="241"/>
      <c r="BZ53" s="578"/>
      <c r="CA53" s="1388"/>
      <c r="CB53" s="578"/>
      <c r="CC53" s="241"/>
      <c r="CD53" s="241"/>
      <c r="CE53" s="241"/>
      <c r="CF53" s="241"/>
      <c r="CG53" s="1388"/>
      <c r="CH53" s="578"/>
      <c r="CI53" s="241"/>
      <c r="CJ53" s="241"/>
      <c r="CK53" s="241"/>
      <c r="CL53" s="578"/>
      <c r="CM53" s="1388"/>
      <c r="CN53" s="578"/>
      <c r="CO53" s="241"/>
      <c r="CP53" s="578"/>
      <c r="CQ53" s="578"/>
      <c r="CR53" s="578"/>
      <c r="CS53" s="1388"/>
      <c r="CT53" s="578"/>
      <c r="CU53" s="241"/>
      <c r="CV53" s="1371"/>
      <c r="CW53" s="241"/>
      <c r="CX53" s="578"/>
      <c r="CY53" s="1388"/>
      <c r="CZ53" s="578"/>
      <c r="DA53" s="241"/>
      <c r="DB53" s="241"/>
      <c r="DC53" s="241"/>
      <c r="DD53" s="241"/>
      <c r="DE53" s="1388"/>
      <c r="DF53" s="578"/>
      <c r="DG53" s="241"/>
      <c r="DH53" s="241"/>
      <c r="DI53" s="241"/>
      <c r="DJ53" s="241"/>
      <c r="DK53" s="1388"/>
      <c r="DL53" s="578"/>
      <c r="DM53" s="241"/>
      <c r="DN53" s="241"/>
      <c r="DO53" s="241"/>
      <c r="DP53" s="241"/>
      <c r="DQ53" s="1388"/>
      <c r="DR53" s="578"/>
      <c r="DS53" s="241"/>
      <c r="DT53" s="241"/>
      <c r="DU53" s="241"/>
      <c r="DV53" s="241"/>
      <c r="DW53" s="1388"/>
      <c r="DX53" s="578"/>
      <c r="DY53" s="241"/>
      <c r="DZ53" s="578"/>
      <c r="EA53" s="241"/>
      <c r="EB53" s="241"/>
      <c r="EC53" s="1388"/>
      <c r="ED53" s="578"/>
      <c r="EE53" s="578"/>
      <c r="EF53" s="578"/>
      <c r="EG53" s="578"/>
      <c r="EH53" s="578"/>
      <c r="EI53" s="1388"/>
      <c r="EJ53" s="578"/>
      <c r="EK53" s="578"/>
      <c r="EL53" s="578"/>
      <c r="EM53" s="578"/>
      <c r="EN53" s="578"/>
      <c r="EO53" s="1388"/>
      <c r="EP53" s="578"/>
      <c r="EQ53" s="578"/>
      <c r="ER53" s="578"/>
      <c r="ES53" s="578"/>
      <c r="ET53" s="578"/>
      <c r="EU53" s="1388"/>
      <c r="EV53" s="578"/>
      <c r="EW53" s="578"/>
      <c r="FD53" s="578"/>
      <c r="FE53" s="578"/>
      <c r="FF53" s="578"/>
      <c r="FG53" s="578"/>
      <c r="FH53" s="578"/>
      <c r="FI53" s="578"/>
      <c r="FJ53" s="578"/>
      <c r="FK53" s="578"/>
      <c r="FL53" s="578"/>
      <c r="FM53" s="578"/>
      <c r="FN53" s="578"/>
      <c r="FO53" s="578"/>
      <c r="FP53" s="578"/>
    </row>
    <row r="54" spans="1:172" ht="10.5" customHeight="1">
      <c r="A54" s="1373" t="s">
        <v>4677</v>
      </c>
      <c r="B54" s="1370"/>
      <c r="C54" s="1374"/>
      <c r="D54" s="1374"/>
      <c r="E54" s="1374"/>
      <c r="F54" s="1374"/>
      <c r="G54" s="1374"/>
      <c r="H54" s="1375"/>
      <c r="I54" s="1374"/>
      <c r="J54" s="1374"/>
      <c r="K54" s="1374"/>
      <c r="L54" s="1374"/>
      <c r="M54" s="1374"/>
      <c r="N54" s="1375"/>
      <c r="O54" s="1376"/>
      <c r="P54" s="1376"/>
      <c r="Q54" s="1376"/>
      <c r="R54" s="1376"/>
      <c r="S54" s="1376"/>
      <c r="T54" s="1375"/>
      <c r="U54" s="1375"/>
      <c r="V54" s="1375"/>
      <c r="W54" s="1377"/>
      <c r="X54" s="1377"/>
      <c r="Y54" s="1374"/>
      <c r="Z54" s="1375"/>
      <c r="AA54" s="1377"/>
      <c r="AB54" s="1377"/>
      <c r="AC54" s="1377"/>
      <c r="AD54" s="1377"/>
      <c r="AE54" s="1376"/>
      <c r="AF54" s="1375"/>
      <c r="AG54" s="1377"/>
      <c r="AH54" s="1377"/>
      <c r="AI54" s="1377"/>
      <c r="AJ54" s="1377"/>
      <c r="AK54" s="1376"/>
      <c r="AL54" s="1375"/>
      <c r="AM54" s="1377"/>
      <c r="AN54" s="1377"/>
      <c r="AO54" s="1377"/>
      <c r="AP54" s="1377"/>
      <c r="AQ54" s="1379"/>
      <c r="AR54" s="1375"/>
      <c r="AS54" s="1377"/>
      <c r="AT54" s="1377"/>
      <c r="AU54" s="1377"/>
      <c r="AV54" s="1377"/>
      <c r="AW54" s="1376"/>
      <c r="AX54" s="1375"/>
      <c r="AY54" s="1377"/>
      <c r="AZ54" s="1377"/>
      <c r="BA54" s="1377"/>
      <c r="BB54" s="1377"/>
      <c r="BC54" s="1376"/>
      <c r="BD54" s="1375"/>
      <c r="BE54" s="1378"/>
      <c r="BF54" s="1378"/>
      <c r="BG54" s="1378"/>
      <c r="BH54" s="1380"/>
      <c r="BI54" s="1376"/>
      <c r="BJ54" s="1380"/>
      <c r="BK54" s="1378"/>
      <c r="BL54" s="1378"/>
      <c r="BM54" s="1378"/>
      <c r="BN54" s="1378"/>
      <c r="BO54" s="1381"/>
      <c r="BP54" s="1380"/>
      <c r="BQ54" s="1380"/>
      <c r="BR54" s="1380"/>
      <c r="BS54" s="1380"/>
      <c r="BT54" s="1378"/>
      <c r="BU54" s="1381"/>
      <c r="BV54" s="1380"/>
      <c r="BW54" s="1380"/>
      <c r="BX54" s="1380"/>
      <c r="BY54" s="1380"/>
      <c r="BZ54" s="1378"/>
      <c r="CA54" s="1381"/>
      <c r="CB54" s="1380"/>
      <c r="CC54" s="1380"/>
      <c r="CD54" s="1380"/>
      <c r="CE54" s="1380"/>
      <c r="CF54" s="1380"/>
      <c r="CG54" s="1381"/>
      <c r="CH54" s="1380"/>
      <c r="CI54" s="1380"/>
      <c r="CJ54" s="1380"/>
      <c r="CK54" s="1380"/>
      <c r="CL54" s="1378"/>
      <c r="CM54" s="1381"/>
      <c r="CN54" s="1380"/>
      <c r="CO54" s="1380"/>
      <c r="CP54" s="1378"/>
      <c r="CQ54" s="1378"/>
      <c r="CR54" s="1378"/>
      <c r="CS54" s="1381"/>
      <c r="CT54" s="1380"/>
      <c r="CU54" s="1380"/>
      <c r="CV54" s="1378"/>
      <c r="CW54" s="1380"/>
      <c r="CX54" s="1378"/>
      <c r="CY54" s="1381"/>
      <c r="CZ54" s="1380"/>
      <c r="DA54" s="1380"/>
      <c r="DB54" s="1380"/>
      <c r="DC54" s="1380"/>
      <c r="DD54" s="1380"/>
      <c r="DE54" s="1381"/>
      <c r="DF54" s="1380"/>
      <c r="DG54" s="1380"/>
      <c r="DH54" s="1380"/>
      <c r="DI54" s="1380"/>
      <c r="DJ54" s="1380"/>
      <c r="DK54" s="1381"/>
      <c r="DL54" s="1380"/>
      <c r="DM54" s="1380"/>
      <c r="DN54" s="1380"/>
      <c r="DO54" s="1380"/>
      <c r="DP54" s="1380"/>
      <c r="DQ54" s="1381"/>
      <c r="DR54" s="1380"/>
      <c r="DS54" s="1380"/>
      <c r="DT54" s="1380"/>
      <c r="DU54" s="1380"/>
      <c r="DV54" s="1380"/>
      <c r="DW54" s="1381"/>
      <c r="DX54" s="1380"/>
      <c r="DY54" s="1380"/>
      <c r="DZ54" s="1378"/>
      <c r="EA54" s="1380"/>
      <c r="EB54" s="1380"/>
      <c r="EC54" s="1381"/>
      <c r="ED54" s="1380"/>
      <c r="EE54" s="1378"/>
      <c r="EF54" s="1378"/>
      <c r="EG54" s="1378"/>
      <c r="EH54" s="1378"/>
      <c r="EI54" s="1381"/>
      <c r="EJ54" s="1380"/>
      <c r="EK54" s="1378"/>
      <c r="EL54" s="1378"/>
      <c r="EM54" s="1378"/>
      <c r="EN54" s="1378"/>
      <c r="EO54" s="1381"/>
      <c r="EP54" s="1380"/>
      <c r="EQ54" s="1378"/>
      <c r="ER54" s="1378"/>
      <c r="ES54" s="1378"/>
      <c r="ET54" s="1378"/>
      <c r="EU54" s="1381"/>
      <c r="EV54" s="554"/>
      <c r="EW54" s="554"/>
      <c r="FD54" s="554"/>
      <c r="FE54" s="554"/>
      <c r="FF54" s="554"/>
      <c r="FG54" s="554"/>
      <c r="FH54" s="554"/>
      <c r="FI54" s="554"/>
      <c r="FJ54" s="554"/>
      <c r="FK54" s="554"/>
      <c r="FL54" s="554"/>
      <c r="FM54" s="554"/>
      <c r="FN54" s="554"/>
      <c r="FO54" s="554"/>
      <c r="FP54" s="554"/>
    </row>
    <row r="55" spans="1:172" ht="10.5" customHeight="1">
      <c r="A55" s="265" t="s">
        <v>3794</v>
      </c>
      <c r="B55" s="1370"/>
      <c r="C55" s="1374"/>
      <c r="D55" s="1374"/>
      <c r="E55" s="1374"/>
      <c r="F55" s="1374"/>
      <c r="G55" s="1374"/>
      <c r="H55" s="1375"/>
      <c r="I55" s="1374"/>
      <c r="J55" s="1374"/>
      <c r="K55" s="1374"/>
      <c r="L55" s="1374"/>
      <c r="M55" s="1374"/>
      <c r="N55" s="1375"/>
      <c r="O55" s="1374">
        <v>57.036000000000001</v>
      </c>
      <c r="P55" s="1374">
        <v>80.637</v>
      </c>
      <c r="Q55" s="1374">
        <v>90.227000000000004</v>
      </c>
      <c r="R55" s="1374">
        <v>90.962000000000003</v>
      </c>
      <c r="S55" s="1374">
        <f t="shared" ref="S55:S61" si="106">R55</f>
        <v>90.962000000000003</v>
      </c>
      <c r="T55" s="1375"/>
      <c r="U55" s="1374">
        <v>133.96700000000001</v>
      </c>
      <c r="V55" s="1374">
        <v>137.376</v>
      </c>
      <c r="W55" s="1374">
        <v>146.239</v>
      </c>
      <c r="X55" s="1374">
        <v>160.58000000000001</v>
      </c>
      <c r="Y55" s="1374">
        <f t="shared" ref="Y55:Y61" si="107">X55</f>
        <v>160.58000000000001</v>
      </c>
      <c r="Z55" s="1375"/>
      <c r="AA55" s="1374">
        <v>83.614999999999995</v>
      </c>
      <c r="AB55" s="1374">
        <v>92.244</v>
      </c>
      <c r="AC55" s="1374">
        <v>107.029</v>
      </c>
      <c r="AD55" s="1374">
        <v>114.036</v>
      </c>
      <c r="AE55" s="1374">
        <f>AD55</f>
        <v>114.036</v>
      </c>
      <c r="AF55" s="1375"/>
      <c r="AG55" s="1374">
        <v>20.376000000000001</v>
      </c>
      <c r="AH55" s="1374">
        <v>31.952999999999999</v>
      </c>
      <c r="AI55" s="1374">
        <v>53.604999999999997</v>
      </c>
      <c r="AJ55" s="1374">
        <v>80.495000000000005</v>
      </c>
      <c r="AK55" s="1374">
        <f>AJ55</f>
        <v>80.495000000000005</v>
      </c>
      <c r="AL55" s="1375"/>
      <c r="AM55" s="1374">
        <v>58.107999999999997</v>
      </c>
      <c r="AN55" s="1374">
        <v>59.713999999999999</v>
      </c>
      <c r="AO55" s="1374">
        <v>71.283000000000001</v>
      </c>
      <c r="AP55" s="1374">
        <v>74.686999999999998</v>
      </c>
      <c r="AQ55" s="1374">
        <f>AP55</f>
        <v>74.686999999999998</v>
      </c>
      <c r="AR55" s="1375"/>
      <c r="AS55" s="1374">
        <v>15.122999999999999</v>
      </c>
      <c r="AT55" s="1374">
        <v>21.466999999999999</v>
      </c>
      <c r="AU55" s="1374">
        <v>50.454000000000001</v>
      </c>
      <c r="AV55" s="1374">
        <v>115.401</v>
      </c>
      <c r="AW55" s="1374">
        <f>AV55</f>
        <v>115.401</v>
      </c>
      <c r="AX55" s="1375"/>
      <c r="AY55" s="1374">
        <v>104.9</v>
      </c>
      <c r="AZ55" s="1374">
        <f>AY55+56</f>
        <v>160.9</v>
      </c>
      <c r="BA55" s="1374">
        <f>AZ55+50.6</f>
        <v>211.5</v>
      </c>
      <c r="BB55" s="1374">
        <f>BA55+30.7</f>
        <v>242.2</v>
      </c>
      <c r="BC55" s="1374">
        <f t="shared" ref="BC55:BC61" si="108">BB55</f>
        <v>242.2</v>
      </c>
      <c r="BD55" s="1375"/>
      <c r="BE55" s="1375">
        <v>40.1</v>
      </c>
      <c r="BF55" s="1375">
        <f>BE55+32.7</f>
        <v>72.800000000000011</v>
      </c>
      <c r="BG55" s="1375">
        <f>BF55+54.2</f>
        <v>127.00000000000001</v>
      </c>
      <c r="BH55" s="1375">
        <f>BG55+17.6</f>
        <v>144.60000000000002</v>
      </c>
      <c r="BI55" s="1374">
        <f t="shared" ref="BI55:BI61" si="109">BH55</f>
        <v>144.60000000000002</v>
      </c>
      <c r="BJ55" s="1380"/>
      <c r="BK55" s="1380">
        <v>49.2</v>
      </c>
      <c r="BL55" s="1375">
        <f>BK55+15</f>
        <v>64.2</v>
      </c>
      <c r="BM55" s="1375">
        <f>BL55+9.9</f>
        <v>74.100000000000009</v>
      </c>
      <c r="BN55" s="1375">
        <f>BM55+0.1</f>
        <v>74.2</v>
      </c>
      <c r="BO55" s="1381">
        <f t="shared" ref="BO55:BO61" si="110">BN55</f>
        <v>74.2</v>
      </c>
      <c r="BP55" s="1380"/>
      <c r="BQ55" s="1380">
        <v>0</v>
      </c>
      <c r="BR55" s="1375">
        <v>83.8</v>
      </c>
      <c r="BS55" s="1375">
        <v>160.69999999999999</v>
      </c>
      <c r="BT55" s="1375">
        <v>187.3</v>
      </c>
      <c r="BU55" s="1381">
        <f t="shared" ref="BU55:BU61" si="111">BT55</f>
        <v>187.3</v>
      </c>
      <c r="BV55" s="1380"/>
      <c r="BW55" s="1380">
        <v>35.299999999999997</v>
      </c>
      <c r="BX55" s="1375">
        <v>50.1</v>
      </c>
      <c r="BY55" s="1375">
        <v>89.1</v>
      </c>
      <c r="BZ55" s="1375">
        <v>90.1</v>
      </c>
      <c r="CA55" s="1381">
        <f t="shared" ref="CA55:CA61" si="112">BZ55</f>
        <v>90.1</v>
      </c>
      <c r="CB55" s="1380"/>
      <c r="CC55" s="1380">
        <v>25.4</v>
      </c>
      <c r="CD55" s="1375">
        <v>44.1</v>
      </c>
      <c r="CE55" s="1375">
        <v>67.5</v>
      </c>
      <c r="CF55" s="1375">
        <v>70</v>
      </c>
      <c r="CG55" s="1381">
        <f t="shared" ref="CG55:CG61" si="113">CF55</f>
        <v>70</v>
      </c>
      <c r="CH55" s="1380"/>
      <c r="CI55" s="1380">
        <v>36.200000000000003</v>
      </c>
      <c r="CJ55" s="1375">
        <v>40.1</v>
      </c>
      <c r="CK55" s="1375">
        <v>76.400000000000006</v>
      </c>
      <c r="CL55" s="1375">
        <v>120.9</v>
      </c>
      <c r="CM55" s="1381">
        <f t="shared" ref="CM55:CM61" si="114">CL55</f>
        <v>120.9</v>
      </c>
      <c r="CN55" s="1380"/>
      <c r="CO55" s="1380">
        <v>111.3</v>
      </c>
      <c r="CP55" s="1375">
        <v>129.6</v>
      </c>
      <c r="CQ55" s="1375">
        <v>156.30000000000001</v>
      </c>
      <c r="CR55" s="1375">
        <v>176.1</v>
      </c>
      <c r="CS55" s="1381">
        <f t="shared" ref="CS55:CS61" si="115">CR55</f>
        <v>176.1</v>
      </c>
      <c r="CT55" s="1380"/>
      <c r="CU55" s="1380">
        <v>153</v>
      </c>
      <c r="CV55" s="1375">
        <v>158.80000000000001</v>
      </c>
      <c r="CW55" s="1375">
        <v>199.6</v>
      </c>
      <c r="CX55" s="1375">
        <f>220.2-6.1</f>
        <v>214.1</v>
      </c>
      <c r="CY55" s="1381">
        <f t="shared" ref="CY55:CY61" si="116">CX55</f>
        <v>214.1</v>
      </c>
      <c r="CZ55" s="1380"/>
      <c r="DA55" s="1380">
        <v>70</v>
      </c>
      <c r="DB55" s="1380">
        <v>79.8</v>
      </c>
      <c r="DC55" s="1380">
        <v>183.4</v>
      </c>
      <c r="DD55" s="1380">
        <v>288.2</v>
      </c>
      <c r="DE55" s="1381">
        <f t="shared" ref="DE55:DE61" si="117">DD55</f>
        <v>288.2</v>
      </c>
      <c r="DF55" s="1380"/>
      <c r="DG55" s="1380">
        <v>62.2</v>
      </c>
      <c r="DH55" s="1380">
        <v>91.3</v>
      </c>
      <c r="DI55" s="1380">
        <v>129.6</v>
      </c>
      <c r="DJ55" s="1380">
        <v>135.4</v>
      </c>
      <c r="DK55" s="1381">
        <f t="shared" ref="DK55:DK61" si="118">DJ55</f>
        <v>135.4</v>
      </c>
      <c r="DL55" s="1380"/>
      <c r="DM55" s="1380">
        <v>34.1</v>
      </c>
      <c r="DN55" s="1380">
        <v>33.200000000000003</v>
      </c>
      <c r="DO55" s="1380">
        <v>57</v>
      </c>
      <c r="DP55" s="1380">
        <v>110.8</v>
      </c>
      <c r="DQ55" s="1381">
        <f t="shared" ref="DQ55:DQ61" si="119">DP55</f>
        <v>110.8</v>
      </c>
      <c r="DR55" s="1380"/>
      <c r="DS55" s="1380">
        <v>51.2</v>
      </c>
      <c r="DT55" s="1375">
        <v>54.2</v>
      </c>
      <c r="DU55" s="1375">
        <v>102.2</v>
      </c>
      <c r="DV55" s="1380">
        <v>119.6</v>
      </c>
      <c r="DW55" s="1381">
        <f t="shared" ref="DW55:DW61" si="120">DV55</f>
        <v>119.6</v>
      </c>
      <c r="DX55" s="1380"/>
      <c r="DY55" s="1380">
        <v>50.1</v>
      </c>
      <c r="DZ55" s="1375">
        <v>55.9</v>
      </c>
      <c r="EA55" s="1375">
        <v>93.2</v>
      </c>
      <c r="EB55" s="1380">
        <v>94.4</v>
      </c>
      <c r="EC55" s="1381">
        <f t="shared" ref="EC55:EC61" si="121">EB55</f>
        <v>94.4</v>
      </c>
      <c r="ED55" s="1380"/>
      <c r="EE55" s="1383">
        <f>BS!EE131-BS!EE136</f>
        <v>55.11</v>
      </c>
      <c r="EF55" s="1383">
        <f>EE55+BS!EF131-BS!EF136</f>
        <v>61.489999999999995</v>
      </c>
      <c r="EG55" s="1383">
        <f>EF55+BS!EG131-BS!EG136</f>
        <v>102.52000000000001</v>
      </c>
      <c r="EH55" s="1383">
        <f>EG55+BS!EH131-BS!EH136</f>
        <v>103.84000000000002</v>
      </c>
      <c r="EI55" s="1381">
        <f t="shared" ref="EI55:EI61" si="122">EH55</f>
        <v>103.84000000000002</v>
      </c>
      <c r="EJ55" s="1380"/>
      <c r="EK55" s="1383">
        <f>BS!EK131-BS!EK136</f>
        <v>60.621000000000009</v>
      </c>
      <c r="EL55" s="1383">
        <f>EK55+BS!EL131-BS!EL136</f>
        <v>67.63900000000001</v>
      </c>
      <c r="EM55" s="1383">
        <f>EL55+BS!EM131-BS!EM136</f>
        <v>112.77200000000002</v>
      </c>
      <c r="EN55" s="1383">
        <f>EM55+BS!EN131-BS!EN136</f>
        <v>114.22400000000002</v>
      </c>
      <c r="EO55" s="1381">
        <f t="shared" ref="EO55:EO61" si="123">EN55</f>
        <v>114.22400000000002</v>
      </c>
      <c r="EP55" s="1380"/>
      <c r="EQ55" s="1383">
        <f>BS!EQ131-BS!EQ136</f>
        <v>66.683100000000024</v>
      </c>
      <c r="ER55" s="1383">
        <f>EQ55+BS!ER131-BS!ER136</f>
        <v>74.402900000000017</v>
      </c>
      <c r="ES55" s="1383">
        <f>ER55+BS!ES131-BS!ES136</f>
        <v>124.04920000000004</v>
      </c>
      <c r="ET55" s="1383">
        <f>ES55+BS!ET131-BS!ET136</f>
        <v>125.64640000000004</v>
      </c>
      <c r="EU55" s="1381">
        <f t="shared" ref="EU55:EU61" si="124">ET55</f>
        <v>125.64640000000004</v>
      </c>
      <c r="EV55" s="554"/>
      <c r="EW55" s="554"/>
      <c r="FD55" s="554"/>
      <c r="FE55" s="554"/>
      <c r="FF55" s="554"/>
      <c r="FG55" s="554"/>
      <c r="FH55" s="554"/>
      <c r="FI55" s="554"/>
      <c r="FJ55" s="554"/>
      <c r="FK55" s="554"/>
      <c r="FL55" s="554"/>
      <c r="FM55" s="554"/>
      <c r="FN55" s="554"/>
      <c r="FO55" s="554"/>
      <c r="FP55" s="554"/>
    </row>
    <row r="56" spans="1:172" ht="10.5" customHeight="1">
      <c r="A56" s="265" t="s">
        <v>1935</v>
      </c>
      <c r="B56" s="1370"/>
      <c r="C56" s="1374"/>
      <c r="D56" s="1374"/>
      <c r="E56" s="1374"/>
      <c r="F56" s="1374"/>
      <c r="G56" s="1374"/>
      <c r="H56" s="1375"/>
      <c r="I56" s="1374"/>
      <c r="J56" s="1374"/>
      <c r="K56" s="1374"/>
      <c r="L56" s="1374"/>
      <c r="M56" s="1374"/>
      <c r="N56" s="1375"/>
      <c r="O56" s="1374">
        <v>0</v>
      </c>
      <c r="P56" s="1374">
        <v>-48.866</v>
      </c>
      <c r="Q56" s="1374">
        <v>-48.866</v>
      </c>
      <c r="R56" s="1374">
        <v>-48.866</v>
      </c>
      <c r="S56" s="1374">
        <f t="shared" si="106"/>
        <v>-48.866</v>
      </c>
      <c r="T56" s="1375"/>
      <c r="U56" s="1374">
        <v>0</v>
      </c>
      <c r="V56" s="1374">
        <v>0</v>
      </c>
      <c r="W56" s="1374">
        <v>0</v>
      </c>
      <c r="X56" s="1374">
        <v>-90.072000000000003</v>
      </c>
      <c r="Y56" s="1374">
        <f t="shared" si="107"/>
        <v>-90.072000000000003</v>
      </c>
      <c r="Z56" s="1375"/>
      <c r="AA56" s="1374">
        <v>-192.96100000000001</v>
      </c>
      <c r="AB56" s="1374">
        <v>-233.52799999999999</v>
      </c>
      <c r="AC56" s="1374">
        <v>-292.74400000000003</v>
      </c>
      <c r="AD56" s="1374">
        <v>-359.29300000000001</v>
      </c>
      <c r="AE56" s="1374">
        <f>AD56</f>
        <v>-359.29300000000001</v>
      </c>
      <c r="AF56" s="1375"/>
      <c r="AG56" s="1374">
        <v>-68.290000000000006</v>
      </c>
      <c r="AH56" s="1374">
        <v>-74.965999999999994</v>
      </c>
      <c r="AI56" s="1374">
        <v>-87.287000000000006</v>
      </c>
      <c r="AJ56" s="1374">
        <v>-97.293000000000006</v>
      </c>
      <c r="AK56" s="1374">
        <f>AJ56</f>
        <v>-97.293000000000006</v>
      </c>
      <c r="AL56" s="1375"/>
      <c r="AM56" s="1374">
        <v>-9.9960000000000004</v>
      </c>
      <c r="AN56" s="1374">
        <v>-36.792999999999999</v>
      </c>
      <c r="AO56" s="1374">
        <v>-45.399000000000001</v>
      </c>
      <c r="AP56" s="1374">
        <v>-64.816999999999993</v>
      </c>
      <c r="AQ56" s="1374">
        <f>AP56</f>
        <v>-64.816999999999993</v>
      </c>
      <c r="AR56" s="1375"/>
      <c r="AS56" s="1374">
        <v>-29.881</v>
      </c>
      <c r="AT56" s="1374">
        <v>-45.670999999999999</v>
      </c>
      <c r="AU56" s="1374">
        <v>-81.061999999999998</v>
      </c>
      <c r="AV56" s="1374">
        <v>-178.46299999999999</v>
      </c>
      <c r="AW56" s="1374">
        <f>AV56</f>
        <v>-178.46299999999999</v>
      </c>
      <c r="AX56" s="1375"/>
      <c r="AY56" s="1374">
        <v>-149</v>
      </c>
      <c r="AZ56" s="1374">
        <f>AY56-67.4</f>
        <v>-216.4</v>
      </c>
      <c r="BA56" s="1374">
        <f>AZ56-183.7</f>
        <v>-400.1</v>
      </c>
      <c r="BB56" s="1374">
        <f>BA56-146.2</f>
        <v>-546.29999999999995</v>
      </c>
      <c r="BC56" s="1374">
        <f t="shared" si="108"/>
        <v>-546.29999999999995</v>
      </c>
      <c r="BD56" s="1375"/>
      <c r="BE56" s="1375">
        <v>-73.599999999999994</v>
      </c>
      <c r="BF56" s="1375">
        <f>BE56-128.5</f>
        <v>-202.1</v>
      </c>
      <c r="BG56" s="1375">
        <f>BF56-137.7</f>
        <v>-339.79999999999995</v>
      </c>
      <c r="BH56" s="1375">
        <f>BG56-106.8</f>
        <v>-446.59999999999997</v>
      </c>
      <c r="BI56" s="1374">
        <f t="shared" si="109"/>
        <v>-446.59999999999997</v>
      </c>
      <c r="BJ56" s="1380"/>
      <c r="BK56" s="1380">
        <v>-65.8</v>
      </c>
      <c r="BL56" s="1375">
        <f>BK56-88.6</f>
        <v>-154.39999999999998</v>
      </c>
      <c r="BM56" s="1375">
        <f>BL56</f>
        <v>-154.39999999999998</v>
      </c>
      <c r="BN56" s="1375">
        <f>BM56</f>
        <v>-154.39999999999998</v>
      </c>
      <c r="BO56" s="1381">
        <f t="shared" si="110"/>
        <v>-154.39999999999998</v>
      </c>
      <c r="BP56" s="1380"/>
      <c r="BQ56" s="1380">
        <v>0</v>
      </c>
      <c r="BR56" s="1375">
        <v>-325.10000000000002</v>
      </c>
      <c r="BS56" s="1375">
        <v>-463.5</v>
      </c>
      <c r="BT56" s="1375">
        <v>-563</v>
      </c>
      <c r="BU56" s="1381">
        <f t="shared" si="111"/>
        <v>-563</v>
      </c>
      <c r="BV56" s="1380"/>
      <c r="BW56" s="1380">
        <v>-256.5</v>
      </c>
      <c r="BX56" s="1375">
        <v>-256.60000000000002</v>
      </c>
      <c r="BY56" s="1375">
        <v>-256.60000000000002</v>
      </c>
      <c r="BZ56" s="1375">
        <v>-256.60000000000002</v>
      </c>
      <c r="CA56" s="1381">
        <f t="shared" si="112"/>
        <v>-256.60000000000002</v>
      </c>
      <c r="CB56" s="1380"/>
      <c r="CC56" s="1380">
        <v>0</v>
      </c>
      <c r="CD56" s="1375">
        <f>-BS!CD148+CC56</f>
        <v>0</v>
      </c>
      <c r="CE56" s="1375">
        <v>-39.4</v>
      </c>
      <c r="CF56" s="1375">
        <v>-63.2</v>
      </c>
      <c r="CG56" s="1381">
        <f t="shared" si="113"/>
        <v>-63.2</v>
      </c>
      <c r="CH56" s="1380"/>
      <c r="CI56" s="1380">
        <v>-58.8</v>
      </c>
      <c r="CJ56" s="1375">
        <v>-129.19999999999999</v>
      </c>
      <c r="CK56" s="1375">
        <v>-204.1</v>
      </c>
      <c r="CL56" s="1375">
        <v>-280.3</v>
      </c>
      <c r="CM56" s="1381">
        <f t="shared" si="114"/>
        <v>-280.3</v>
      </c>
      <c r="CN56" s="1380"/>
      <c r="CO56" s="1380">
        <v>-68.599999999999994</v>
      </c>
      <c r="CP56" s="1375">
        <v>-169.4</v>
      </c>
      <c r="CQ56" s="1375">
        <v>-263.7</v>
      </c>
      <c r="CR56" s="1375">
        <v>-327.39999999999998</v>
      </c>
      <c r="CS56" s="1381">
        <f t="shared" si="115"/>
        <v>-327.39999999999998</v>
      </c>
      <c r="CT56" s="1380"/>
      <c r="CU56" s="1380">
        <v>-99.2</v>
      </c>
      <c r="CV56" s="1375">
        <v>-210.3</v>
      </c>
      <c r="CW56" s="1375">
        <v>-340.5</v>
      </c>
      <c r="CX56" s="1375">
        <v>-431.2</v>
      </c>
      <c r="CY56" s="1381">
        <f t="shared" si="116"/>
        <v>-431.2</v>
      </c>
      <c r="CZ56" s="1380"/>
      <c r="DA56" s="1380">
        <v>-129.19999999999999</v>
      </c>
      <c r="DB56" s="1380">
        <v>-239.8</v>
      </c>
      <c r="DC56" s="1380">
        <v>-318.7</v>
      </c>
      <c r="DD56" s="1380">
        <v>-423.8</v>
      </c>
      <c r="DE56" s="1381">
        <f t="shared" si="117"/>
        <v>-423.8</v>
      </c>
      <c r="DF56" s="1380"/>
      <c r="DG56" s="1380">
        <v>-102.5</v>
      </c>
      <c r="DH56" s="1380">
        <v>-204.3</v>
      </c>
      <c r="DI56" s="1380">
        <v>-307.60000000000002</v>
      </c>
      <c r="DJ56" s="1380">
        <v>-372.4</v>
      </c>
      <c r="DK56" s="1381">
        <f t="shared" si="118"/>
        <v>-372.4</v>
      </c>
      <c r="DL56" s="1380"/>
      <c r="DM56" s="1380">
        <v>-95.4</v>
      </c>
      <c r="DN56" s="1380">
        <v>-207.7</v>
      </c>
      <c r="DO56" s="1380">
        <v>-357.7</v>
      </c>
      <c r="DP56" s="1380">
        <f>-51.6-458</f>
        <v>-509.6</v>
      </c>
      <c r="DQ56" s="1381">
        <f t="shared" si="119"/>
        <v>-509.6</v>
      </c>
      <c r="DR56" s="1380"/>
      <c r="DS56" s="1380">
        <f>-18.3-100.1</f>
        <v>-118.39999999999999</v>
      </c>
      <c r="DT56" s="1375">
        <v>-270</v>
      </c>
      <c r="DU56" s="1375">
        <v>-397.6</v>
      </c>
      <c r="DV56" s="1380">
        <f>-76.2+-621.7</f>
        <v>-697.90000000000009</v>
      </c>
      <c r="DW56" s="1381">
        <f t="shared" si="120"/>
        <v>-697.90000000000009</v>
      </c>
      <c r="DX56" s="1380"/>
      <c r="DY56" s="1380">
        <v>-195.9</v>
      </c>
      <c r="DZ56" s="1375">
        <v>-315.2</v>
      </c>
      <c r="EA56" s="1375">
        <v>-437.9</v>
      </c>
      <c r="EB56" s="1380">
        <v>-699</v>
      </c>
      <c r="EC56" s="1381">
        <f t="shared" si="121"/>
        <v>-699</v>
      </c>
      <c r="ED56" s="1380"/>
      <c r="EE56" s="1375">
        <f>-BS!EE148</f>
        <v>-200.35227272727272</v>
      </c>
      <c r="EF56" s="1375">
        <f>-BS!EF148+EE56</f>
        <v>-400.70454545454544</v>
      </c>
      <c r="EG56" s="1375">
        <f>-BS!EG148+EF56</f>
        <v>-601.05681818181813</v>
      </c>
      <c r="EH56" s="1375">
        <f>-BS!EH148+EG56</f>
        <v>-801.40909090909088</v>
      </c>
      <c r="EI56" s="1381">
        <f t="shared" si="122"/>
        <v>-801.40909090909088</v>
      </c>
      <c r="EJ56" s="1380"/>
      <c r="EK56" s="1375">
        <f>-BS!EK148</f>
        <v>-225.39630681818181</v>
      </c>
      <c r="EL56" s="1375">
        <f>-BS!EL148+EK56</f>
        <v>-450.79261363636363</v>
      </c>
      <c r="EM56" s="1375">
        <f>-BS!EM148+EL56</f>
        <v>-676.1889204545455</v>
      </c>
      <c r="EN56" s="1375">
        <f>-BS!EN148+EM56</f>
        <v>-901.58522727272725</v>
      </c>
      <c r="EO56" s="1381">
        <f t="shared" si="123"/>
        <v>-901.58522727272725</v>
      </c>
      <c r="EP56" s="1380"/>
      <c r="EQ56" s="1375">
        <f>-BS!EQ148</f>
        <v>-253.57084517045453</v>
      </c>
      <c r="ER56" s="1375">
        <f>-BS!ER148+EQ56</f>
        <v>-507.14169034090907</v>
      </c>
      <c r="ES56" s="1375">
        <f>-BS!ES148+ER56</f>
        <v>-760.71253551136363</v>
      </c>
      <c r="ET56" s="1375">
        <f>-BS!ET148+ES56</f>
        <v>-1014.2833806818181</v>
      </c>
      <c r="EU56" s="1381">
        <f t="shared" si="124"/>
        <v>-1014.2833806818181</v>
      </c>
      <c r="EV56" s="554"/>
      <c r="EW56" s="554"/>
      <c r="FD56" s="554"/>
      <c r="FE56" s="554"/>
      <c r="FF56" s="554"/>
      <c r="FG56" s="554"/>
      <c r="FH56" s="554"/>
      <c r="FI56" s="554"/>
      <c r="FJ56" s="554"/>
      <c r="FK56" s="554"/>
      <c r="FL56" s="554"/>
      <c r="FM56" s="554"/>
      <c r="FN56" s="554"/>
      <c r="FO56" s="554"/>
      <c r="FP56" s="554"/>
    </row>
    <row r="57" spans="1:172" ht="10.5" customHeight="1">
      <c r="A57" s="265" t="s">
        <v>4685</v>
      </c>
      <c r="B57" s="1370"/>
      <c r="C57" s="1374"/>
      <c r="D57" s="1374"/>
      <c r="E57" s="1374"/>
      <c r="F57" s="1374"/>
      <c r="G57" s="1374"/>
      <c r="H57" s="1375"/>
      <c r="I57" s="1374"/>
      <c r="J57" s="1374"/>
      <c r="K57" s="1374"/>
      <c r="L57" s="1374"/>
      <c r="M57" s="1374"/>
      <c r="N57" s="1375"/>
      <c r="O57" s="1374"/>
      <c r="P57" s="1374"/>
      <c r="Q57" s="1374"/>
      <c r="R57" s="1374"/>
      <c r="S57" s="1374"/>
      <c r="T57" s="1375"/>
      <c r="U57" s="1374"/>
      <c r="V57" s="1374"/>
      <c r="W57" s="1374"/>
      <c r="X57" s="1374"/>
      <c r="Y57" s="1374"/>
      <c r="Z57" s="1375"/>
      <c r="AA57" s="1374"/>
      <c r="AB57" s="1374"/>
      <c r="AC57" s="1374"/>
      <c r="AD57" s="1374"/>
      <c r="AE57" s="1374"/>
      <c r="AF57" s="1375"/>
      <c r="AG57" s="1374"/>
      <c r="AH57" s="1374"/>
      <c r="AI57" s="1374"/>
      <c r="AJ57" s="1374"/>
      <c r="AK57" s="1374"/>
      <c r="AL57" s="1375"/>
      <c r="AM57" s="1374"/>
      <c r="AN57" s="1374"/>
      <c r="AO57" s="1374"/>
      <c r="AP57" s="1374"/>
      <c r="AQ57" s="1374"/>
      <c r="AR57" s="1375"/>
      <c r="AS57" s="1374"/>
      <c r="AT57" s="1374"/>
      <c r="AU57" s="1374"/>
      <c r="AV57" s="1374"/>
      <c r="AW57" s="1374"/>
      <c r="AX57" s="1375"/>
      <c r="AY57" s="1374">
        <v>0</v>
      </c>
      <c r="AZ57" s="1374">
        <v>0</v>
      </c>
      <c r="BA57" s="1374">
        <v>0</v>
      </c>
      <c r="BB57" s="1374">
        <v>0</v>
      </c>
      <c r="BC57" s="1374">
        <f t="shared" si="108"/>
        <v>0</v>
      </c>
      <c r="BD57" s="1375"/>
      <c r="BE57" s="1374">
        <v>0</v>
      </c>
      <c r="BF57" s="1374">
        <v>0</v>
      </c>
      <c r="BG57" s="1374">
        <f>BF57</f>
        <v>0</v>
      </c>
      <c r="BH57" s="1374">
        <v>0</v>
      </c>
      <c r="BI57" s="1374">
        <f t="shared" si="109"/>
        <v>0</v>
      </c>
      <c r="BJ57" s="1380"/>
      <c r="BK57" s="1380">
        <v>0</v>
      </c>
      <c r="BL57" s="1375">
        <v>0</v>
      </c>
      <c r="BM57" s="1375">
        <v>0</v>
      </c>
      <c r="BN57" s="1375">
        <f>BM57</f>
        <v>0</v>
      </c>
      <c r="BO57" s="1381">
        <f t="shared" si="110"/>
        <v>0</v>
      </c>
      <c r="BP57" s="1380"/>
      <c r="BQ57" s="1380">
        <v>0</v>
      </c>
      <c r="BR57" s="1380">
        <v>0</v>
      </c>
      <c r="BS57" s="1380">
        <v>0</v>
      </c>
      <c r="BT57" s="1380">
        <v>0</v>
      </c>
      <c r="BU57" s="1381">
        <f t="shared" si="111"/>
        <v>0</v>
      </c>
      <c r="BV57" s="1380"/>
      <c r="BW57" s="1380">
        <v>0</v>
      </c>
      <c r="BX57" s="1375">
        <v>0</v>
      </c>
      <c r="BY57" s="1375">
        <v>0</v>
      </c>
      <c r="BZ57" s="1375">
        <v>0</v>
      </c>
      <c r="CA57" s="1389">
        <f t="shared" si="112"/>
        <v>0</v>
      </c>
      <c r="CB57" s="1380"/>
      <c r="CC57" s="1380">
        <v>0</v>
      </c>
      <c r="CD57" s="1375">
        <f>CC57+BS!CD136</f>
        <v>0</v>
      </c>
      <c r="CE57" s="1375">
        <v>0</v>
      </c>
      <c r="CF57" s="1375">
        <v>0</v>
      </c>
      <c r="CG57" s="1389">
        <f t="shared" si="113"/>
        <v>0</v>
      </c>
      <c r="CH57" s="1380"/>
      <c r="CI57" s="1380">
        <v>0</v>
      </c>
      <c r="CJ57" s="1375">
        <f>CI57+BS!CJ136</f>
        <v>0</v>
      </c>
      <c r="CK57" s="1375">
        <v>0</v>
      </c>
      <c r="CL57" s="1375">
        <v>0</v>
      </c>
      <c r="CM57" s="1381">
        <f t="shared" si="114"/>
        <v>0</v>
      </c>
      <c r="CN57" s="1380"/>
      <c r="CO57" s="1380">
        <v>0</v>
      </c>
      <c r="CP57" s="1375">
        <v>13.5</v>
      </c>
      <c r="CQ57" s="1375">
        <v>33</v>
      </c>
      <c r="CR57" s="1375">
        <v>31.5</v>
      </c>
      <c r="CS57" s="1389">
        <f t="shared" si="115"/>
        <v>31.5</v>
      </c>
      <c r="CT57" s="1380"/>
      <c r="CU57" s="1380">
        <v>9.9</v>
      </c>
      <c r="CV57" s="1375">
        <v>28.1</v>
      </c>
      <c r="CW57" s="1375">
        <v>27.4</v>
      </c>
      <c r="CX57" s="1375">
        <v>12.9</v>
      </c>
      <c r="CY57" s="1389">
        <f t="shared" si="116"/>
        <v>12.9</v>
      </c>
      <c r="CZ57" s="1380"/>
      <c r="DA57" s="1380">
        <v>9</v>
      </c>
      <c r="DB57" s="1380">
        <v>3.2</v>
      </c>
      <c r="DC57" s="1380">
        <v>-0.8</v>
      </c>
      <c r="DD57" s="1380">
        <v>9.1</v>
      </c>
      <c r="DE57" s="1389">
        <f t="shared" si="117"/>
        <v>9.1</v>
      </c>
      <c r="DF57" s="1380"/>
      <c r="DG57" s="1380">
        <v>0</v>
      </c>
      <c r="DH57" s="1380">
        <v>-1.7</v>
      </c>
      <c r="DI57" s="1380">
        <v>-1.7</v>
      </c>
      <c r="DJ57" s="1380">
        <v>0.5</v>
      </c>
      <c r="DK57" s="1389">
        <f t="shared" si="118"/>
        <v>0.5</v>
      </c>
      <c r="DL57" s="1380"/>
      <c r="DM57" s="1380">
        <v>0</v>
      </c>
      <c r="DN57" s="1380">
        <f>DM57+BS!DN136</f>
        <v>0</v>
      </c>
      <c r="DO57" s="1380">
        <f>DN57+BS!DO136</f>
        <v>0</v>
      </c>
      <c r="DP57" s="1380">
        <f>DO57+BS!DP136</f>
        <v>0</v>
      </c>
      <c r="DQ57" s="1389">
        <f t="shared" si="119"/>
        <v>0</v>
      </c>
      <c r="DR57" s="1380"/>
      <c r="DS57" s="1380">
        <f>BS!DS136</f>
        <v>0</v>
      </c>
      <c r="DT57" s="1375">
        <v>-19.899999999999999</v>
      </c>
      <c r="DU57" s="1375">
        <v>-58.9</v>
      </c>
      <c r="DV57" s="1380">
        <v>0</v>
      </c>
      <c r="DW57" s="1389">
        <f t="shared" si="120"/>
        <v>0</v>
      </c>
      <c r="DX57" s="1380"/>
      <c r="DY57" s="1380">
        <v>-33</v>
      </c>
      <c r="DZ57" s="1375">
        <v>-49.8</v>
      </c>
      <c r="EA57" s="1375">
        <v>-120.6</v>
      </c>
      <c r="EB57" s="1380">
        <v>-143.1</v>
      </c>
      <c r="EC57" s="1389">
        <f t="shared" si="121"/>
        <v>-143.1</v>
      </c>
      <c r="ED57" s="1380"/>
      <c r="EE57" s="1383">
        <f>BS!EE136</f>
        <v>0</v>
      </c>
      <c r="EF57" s="1383">
        <f>EE57+BS!EF136</f>
        <v>0</v>
      </c>
      <c r="EG57" s="1383">
        <f>EF57+BS!EG136</f>
        <v>0</v>
      </c>
      <c r="EH57" s="1383">
        <f>EG57+BS!EH136</f>
        <v>0</v>
      </c>
      <c r="EI57" s="1389">
        <f t="shared" si="122"/>
        <v>0</v>
      </c>
      <c r="EJ57" s="1380"/>
      <c r="EK57" s="1383">
        <f>BS!EK136</f>
        <v>0</v>
      </c>
      <c r="EL57" s="1383">
        <f>EK57+BS!EL136</f>
        <v>0</v>
      </c>
      <c r="EM57" s="1383">
        <f>EL57+BS!EM136</f>
        <v>0</v>
      </c>
      <c r="EN57" s="1383">
        <f>EM57+BS!EN136</f>
        <v>0</v>
      </c>
      <c r="EO57" s="1389">
        <f t="shared" si="123"/>
        <v>0</v>
      </c>
      <c r="EP57" s="1380"/>
      <c r="EQ57" s="1383">
        <f>BS!EQ136</f>
        <v>0</v>
      </c>
      <c r="ER57" s="1383">
        <f>EQ57+BS!ER136</f>
        <v>0</v>
      </c>
      <c r="ES57" s="1383">
        <f>ER57+BS!ES136</f>
        <v>0</v>
      </c>
      <c r="ET57" s="1383">
        <f>ES57+BS!ET136</f>
        <v>0</v>
      </c>
      <c r="EU57" s="1389">
        <f t="shared" si="124"/>
        <v>0</v>
      </c>
      <c r="EV57" s="554"/>
      <c r="EW57" s="554"/>
      <c r="FD57" s="554"/>
      <c r="FE57" s="554"/>
      <c r="FF57" s="554"/>
      <c r="FG57" s="554"/>
      <c r="FH57" s="554"/>
      <c r="FI57" s="554"/>
      <c r="FJ57" s="554"/>
      <c r="FK57" s="554"/>
      <c r="FL57" s="554"/>
      <c r="FM57" s="554"/>
      <c r="FN57" s="554"/>
      <c r="FO57" s="554"/>
      <c r="FP57" s="554"/>
    </row>
    <row r="58" spans="1:172" ht="10.5" hidden="1" customHeight="1">
      <c r="A58" s="265" t="s">
        <v>6816</v>
      </c>
      <c r="B58" s="1370"/>
      <c r="C58" s="1374"/>
      <c r="D58" s="1374"/>
      <c r="E58" s="1374"/>
      <c r="F58" s="1374"/>
      <c r="G58" s="1374"/>
      <c r="H58" s="1375"/>
      <c r="I58" s="1374"/>
      <c r="J58" s="1374"/>
      <c r="K58" s="1374"/>
      <c r="L58" s="1374"/>
      <c r="M58" s="1374"/>
      <c r="N58" s="1375"/>
      <c r="O58" s="1374">
        <v>-2.81</v>
      </c>
      <c r="P58" s="1374">
        <v>-5.59</v>
      </c>
      <c r="Q58" s="1374">
        <v>-8.3940000000000001</v>
      </c>
      <c r="R58" s="1374">
        <v>-11.722</v>
      </c>
      <c r="S58" s="1374">
        <f t="shared" si="106"/>
        <v>-11.722</v>
      </c>
      <c r="T58" s="1375"/>
      <c r="U58" s="1374">
        <v>-3.593</v>
      </c>
      <c r="V58" s="1374">
        <v>-7.0880000000000001</v>
      </c>
      <c r="W58" s="1374">
        <v>-11</v>
      </c>
      <c r="X58" s="1374">
        <v>-14.581</v>
      </c>
      <c r="Y58" s="1374">
        <f t="shared" si="107"/>
        <v>-14.581</v>
      </c>
      <c r="Z58" s="1375"/>
      <c r="AA58" s="1374">
        <v>-3.5009999999999999</v>
      </c>
      <c r="AB58" s="1374">
        <v>-6.952</v>
      </c>
      <c r="AC58" s="1374">
        <v>-10.333</v>
      </c>
      <c r="AD58" s="1374">
        <v>-13.58</v>
      </c>
      <c r="AE58" s="1374">
        <f>AD58</f>
        <v>-13.58</v>
      </c>
      <c r="AF58" s="1375"/>
      <c r="AG58" s="1374">
        <v>-3.23</v>
      </c>
      <c r="AH58" s="1374">
        <v>-6.4770000000000003</v>
      </c>
      <c r="AI58" s="1374">
        <v>-9.7530000000000001</v>
      </c>
      <c r="AJ58" s="1374">
        <v>-13.092000000000001</v>
      </c>
      <c r="AK58" s="1374">
        <f>AJ58</f>
        <v>-13.092000000000001</v>
      </c>
      <c r="AL58" s="1375"/>
      <c r="AM58" s="1374">
        <v>-3.423</v>
      </c>
      <c r="AN58" s="1374">
        <v>-6.806</v>
      </c>
      <c r="AO58" s="1374">
        <v>-10.223000000000001</v>
      </c>
      <c r="AP58" s="1374">
        <v>-13.566000000000001</v>
      </c>
      <c r="AQ58" s="1374">
        <f>AP58</f>
        <v>-13.566000000000001</v>
      </c>
      <c r="AR58" s="1375"/>
      <c r="AS58" s="1374">
        <v>-3.347</v>
      </c>
      <c r="AT58" s="1374">
        <v>-6.68</v>
      </c>
      <c r="AU58" s="1374">
        <v>-10.076000000000001</v>
      </c>
      <c r="AV58" s="1374">
        <v>-13.407999999999999</v>
      </c>
      <c r="AW58" s="1374">
        <f>AV58</f>
        <v>-13.407999999999999</v>
      </c>
      <c r="AX58" s="1375"/>
      <c r="AY58" s="1374">
        <v>-3.3</v>
      </c>
      <c r="AZ58" s="1374">
        <f>AY58-3.4</f>
        <v>-6.6999999999999993</v>
      </c>
      <c r="BA58" s="1374">
        <f>AZ58-3.4</f>
        <v>-10.1</v>
      </c>
      <c r="BB58" s="1374">
        <f>BA58-3.4</f>
        <v>-13.5</v>
      </c>
      <c r="BC58" s="1374">
        <f t="shared" si="108"/>
        <v>-13.5</v>
      </c>
      <c r="BD58" s="1375"/>
      <c r="BE58" s="1375">
        <v>-3.4</v>
      </c>
      <c r="BF58" s="1375">
        <f>BE58</f>
        <v>-3.4</v>
      </c>
      <c r="BG58" s="1375">
        <f>BF58</f>
        <v>-3.4</v>
      </c>
      <c r="BH58" s="1375">
        <v>-3.4</v>
      </c>
      <c r="BI58" s="1374">
        <f>BH58</f>
        <v>-3.4</v>
      </c>
      <c r="BJ58" s="1380"/>
      <c r="BK58" s="1380">
        <v>0</v>
      </c>
      <c r="BL58" s="1375">
        <f>BK58+Model!BK194</f>
        <v>0</v>
      </c>
      <c r="BM58" s="1375">
        <f>BL58+Model!BL194</f>
        <v>0</v>
      </c>
      <c r="BN58" s="1375">
        <f>BM58+Model!BM194</f>
        <v>0</v>
      </c>
      <c r="BO58" s="1381">
        <f>BN58</f>
        <v>0</v>
      </c>
      <c r="BP58" s="1380"/>
      <c r="BQ58" s="1380">
        <v>0</v>
      </c>
      <c r="BR58" s="1380">
        <v>0</v>
      </c>
      <c r="BS58" s="1380">
        <v>0</v>
      </c>
      <c r="BT58" s="1380">
        <v>0</v>
      </c>
      <c r="BU58" s="1381">
        <f t="shared" si="111"/>
        <v>0</v>
      </c>
      <c r="BV58" s="1380"/>
      <c r="BW58" s="1380">
        <f>Model!BT194</f>
        <v>0</v>
      </c>
      <c r="BX58" s="1375">
        <f>BW58+Model!BW194</f>
        <v>0</v>
      </c>
      <c r="BY58" s="1375">
        <f>BX58+Model!BX194</f>
        <v>0</v>
      </c>
      <c r="BZ58" s="1375">
        <f>BY58+Model!BY194</f>
        <v>0</v>
      </c>
      <c r="CA58" s="1381">
        <f t="shared" si="112"/>
        <v>0</v>
      </c>
      <c r="CB58" s="1380"/>
      <c r="CC58" s="1380">
        <f>Model!BZ194</f>
        <v>0</v>
      </c>
      <c r="CD58" s="1375">
        <f>CC58+Model!CC194</f>
        <v>0</v>
      </c>
      <c r="CE58" s="1375">
        <f>CD58+Model!CD194</f>
        <v>0</v>
      </c>
      <c r="CF58" s="1375">
        <f>CE58+Model!CE194</f>
        <v>0</v>
      </c>
      <c r="CG58" s="1381">
        <f t="shared" si="113"/>
        <v>0</v>
      </c>
      <c r="CH58" s="1380"/>
      <c r="CI58" s="1380">
        <f>Model!CF194</f>
        <v>0</v>
      </c>
      <c r="CJ58" s="1375">
        <f>CI58+Model!CI194</f>
        <v>0</v>
      </c>
      <c r="CK58" s="1375">
        <f>CJ58+Model!CJ194</f>
        <v>0</v>
      </c>
      <c r="CL58" s="1375">
        <f>CK58+Model!CK194</f>
        <v>0</v>
      </c>
      <c r="CM58" s="1381">
        <f t="shared" si="114"/>
        <v>0</v>
      </c>
      <c r="CN58" s="1380"/>
      <c r="CO58" s="1380">
        <f>Model!CL194</f>
        <v>0</v>
      </c>
      <c r="CP58" s="1375">
        <f>CO58+Model!CO194</f>
        <v>0</v>
      </c>
      <c r="CQ58" s="1375">
        <f>CP58+Model!CP194</f>
        <v>0</v>
      </c>
      <c r="CR58" s="1375">
        <f>CQ58+Model!CQ194</f>
        <v>0</v>
      </c>
      <c r="CS58" s="1381">
        <f t="shared" si="115"/>
        <v>0</v>
      </c>
      <c r="CT58" s="1380"/>
      <c r="CU58" s="1380">
        <f>Model!CR194</f>
        <v>0</v>
      </c>
      <c r="CV58" s="1375">
        <f>CU58+Model!CU194</f>
        <v>0</v>
      </c>
      <c r="CW58" s="1375">
        <f>CV58+Model!CV194</f>
        <v>0</v>
      </c>
      <c r="CX58" s="1375">
        <f>CW58+Model!CW194</f>
        <v>0</v>
      </c>
      <c r="CY58" s="1381">
        <f t="shared" si="116"/>
        <v>0</v>
      </c>
      <c r="CZ58" s="1380"/>
      <c r="DA58" s="1380">
        <f>Model!CX194</f>
        <v>0</v>
      </c>
      <c r="DB58" s="1380">
        <f>DA58+Model!DA194</f>
        <v>0</v>
      </c>
      <c r="DC58" s="1380">
        <f>DB58+Model!DB194</f>
        <v>0</v>
      </c>
      <c r="DD58" s="1380">
        <f>DC58+Model!DC194</f>
        <v>0</v>
      </c>
      <c r="DE58" s="1381">
        <f t="shared" si="117"/>
        <v>0</v>
      </c>
      <c r="DF58" s="1380"/>
      <c r="DG58" s="1380">
        <f>Model!DD194</f>
        <v>0</v>
      </c>
      <c r="DH58" s="1380">
        <f>DG58+Model!DG194</f>
        <v>0</v>
      </c>
      <c r="DI58" s="1380">
        <f>DH58+Model!DH194</f>
        <v>0</v>
      </c>
      <c r="DJ58" s="1380">
        <f>DI58+Model!DI194</f>
        <v>0</v>
      </c>
      <c r="DK58" s="1381">
        <f t="shared" si="118"/>
        <v>0</v>
      </c>
      <c r="DL58" s="1380"/>
      <c r="DM58" s="1380">
        <f>Model!DJ194</f>
        <v>0</v>
      </c>
      <c r="DN58" s="1380">
        <f>DM58+Model!DM194</f>
        <v>0</v>
      </c>
      <c r="DO58" s="1380">
        <f>DN58+Model!DN194</f>
        <v>0</v>
      </c>
      <c r="DP58" s="1380">
        <f>DO58+Model!DO194</f>
        <v>0</v>
      </c>
      <c r="DQ58" s="1381">
        <f t="shared" si="119"/>
        <v>0</v>
      </c>
      <c r="DR58" s="1380"/>
      <c r="DS58" s="1380">
        <f>Model!DP194</f>
        <v>0</v>
      </c>
      <c r="DT58" s="1375">
        <f>DS58+Model!DS194</f>
        <v>0</v>
      </c>
      <c r="DU58" s="1375">
        <v>0</v>
      </c>
      <c r="DV58" s="1380">
        <f>DU58+Model!DU194</f>
        <v>0</v>
      </c>
      <c r="DW58" s="1381">
        <f t="shared" si="120"/>
        <v>0</v>
      </c>
      <c r="DX58" s="1380"/>
      <c r="DY58" s="1380">
        <f>Model!DV194</f>
        <v>0</v>
      </c>
      <c r="DZ58" s="1375">
        <f>DY58+Model!DY194</f>
        <v>0</v>
      </c>
      <c r="EA58" s="1375">
        <v>0</v>
      </c>
      <c r="EB58" s="1380">
        <f>EA58+Model!EA194</f>
        <v>0</v>
      </c>
      <c r="EC58" s="1381">
        <f t="shared" si="121"/>
        <v>0</v>
      </c>
      <c r="ED58" s="1380"/>
      <c r="EE58" s="1375">
        <f>Model!EB194</f>
        <v>0</v>
      </c>
      <c r="EF58" s="1375">
        <f>EE58+Model!EE194</f>
        <v>0</v>
      </c>
      <c r="EG58" s="1375">
        <f>EF58+Model!EF194</f>
        <v>0</v>
      </c>
      <c r="EH58" s="1375">
        <f>EG58+Model!EG194</f>
        <v>0</v>
      </c>
      <c r="EI58" s="1381">
        <f t="shared" si="122"/>
        <v>0</v>
      </c>
      <c r="EJ58" s="1380"/>
      <c r="EK58" s="1375">
        <f>Model!EH194</f>
        <v>0</v>
      </c>
      <c r="EL58" s="1375">
        <f>EK58+Model!EK194</f>
        <v>0</v>
      </c>
      <c r="EM58" s="1375">
        <f>EL58+Model!EL194</f>
        <v>0</v>
      </c>
      <c r="EN58" s="1375">
        <f>EM58+Model!EM194</f>
        <v>0</v>
      </c>
      <c r="EO58" s="1381">
        <f t="shared" si="123"/>
        <v>0</v>
      </c>
      <c r="EP58" s="1380"/>
      <c r="EQ58" s="1375">
        <f>Model!EN194</f>
        <v>0</v>
      </c>
      <c r="ER58" s="1375">
        <f>EQ58+Model!EQ194</f>
        <v>0</v>
      </c>
      <c r="ES58" s="1375">
        <f>ER58+Model!ER194</f>
        <v>0</v>
      </c>
      <c r="ET58" s="1375">
        <f>ES58+Model!ES194</f>
        <v>0</v>
      </c>
      <c r="EU58" s="1381">
        <f t="shared" si="124"/>
        <v>0</v>
      </c>
      <c r="EV58" s="554"/>
      <c r="EW58" s="554"/>
      <c r="FD58" s="554"/>
      <c r="FE58" s="554"/>
      <c r="FF58" s="554"/>
      <c r="FG58" s="554"/>
      <c r="FH58" s="554"/>
      <c r="FI58" s="554"/>
      <c r="FJ58" s="554"/>
      <c r="FK58" s="554"/>
      <c r="FL58" s="554"/>
      <c r="FM58" s="554"/>
      <c r="FN58" s="554"/>
      <c r="FO58" s="554"/>
      <c r="FP58" s="554"/>
    </row>
    <row r="59" spans="1:172" ht="10.5" customHeight="1" thickBot="1">
      <c r="A59" s="265" t="s">
        <v>5980</v>
      </c>
      <c r="B59" s="1370"/>
      <c r="C59" s="1374"/>
      <c r="D59" s="1374"/>
      <c r="E59" s="1374"/>
      <c r="F59" s="1374"/>
      <c r="G59" s="1374"/>
      <c r="H59" s="1375"/>
      <c r="I59" s="1374"/>
      <c r="J59" s="1374"/>
      <c r="K59" s="1374"/>
      <c r="L59" s="1374"/>
      <c r="M59" s="1374"/>
      <c r="N59" s="1375"/>
      <c r="O59" s="1374">
        <v>0</v>
      </c>
      <c r="P59" s="1374">
        <v>2.7130000000000001</v>
      </c>
      <c r="Q59" s="1374">
        <v>4.8639999999999999</v>
      </c>
      <c r="R59" s="1374">
        <f>2.643+1.828</f>
        <v>4.4710000000000001</v>
      </c>
      <c r="S59" s="1374">
        <f t="shared" si="106"/>
        <v>4.4710000000000001</v>
      </c>
      <c r="T59" s="1375"/>
      <c r="U59" s="1374">
        <v>-1.589</v>
      </c>
      <c r="V59" s="1374">
        <v>-0.58699999999999997</v>
      </c>
      <c r="W59" s="1374">
        <v>-0.58699999999999997</v>
      </c>
      <c r="X59" s="1374">
        <f>-1.921-0.704</f>
        <v>-2.625</v>
      </c>
      <c r="Y59" s="1374">
        <f t="shared" si="107"/>
        <v>-2.625</v>
      </c>
      <c r="Z59" s="1375"/>
      <c r="AA59" s="1374">
        <v>-2E-3</v>
      </c>
      <c r="AB59" s="1374">
        <v>-0.214</v>
      </c>
      <c r="AC59" s="1374">
        <v>-0.221</v>
      </c>
      <c r="AD59" s="1374">
        <v>-0.42699999999999999</v>
      </c>
      <c r="AE59" s="1374">
        <f>AD59</f>
        <v>-0.42699999999999999</v>
      </c>
      <c r="AF59" s="1375"/>
      <c r="AG59" s="1374">
        <v>-4.0000000000000001E-3</v>
      </c>
      <c r="AH59" s="1374">
        <v>-0.27600000000000002</v>
      </c>
      <c r="AI59" s="1374">
        <v>-0.27600000000000002</v>
      </c>
      <c r="AJ59" s="1374">
        <v>-0.48599999999999999</v>
      </c>
      <c r="AK59" s="1374">
        <f>AJ59</f>
        <v>-0.48599999999999999</v>
      </c>
      <c r="AL59" s="1375"/>
      <c r="AM59" s="1374">
        <v>0</v>
      </c>
      <c r="AN59" s="1374">
        <v>-0.21</v>
      </c>
      <c r="AO59" s="1374">
        <v>-0.21</v>
      </c>
      <c r="AP59" s="1374">
        <v>-0.21</v>
      </c>
      <c r="AQ59" s="1374">
        <f>AP59</f>
        <v>-0.21</v>
      </c>
      <c r="AR59" s="1375"/>
      <c r="AS59" s="1374">
        <v>0</v>
      </c>
      <c r="AT59" s="1374">
        <v>0</v>
      </c>
      <c r="AU59" s="1374">
        <v>0</v>
      </c>
      <c r="AV59" s="1374">
        <v>0</v>
      </c>
      <c r="AW59" s="1374">
        <f>AV59</f>
        <v>0</v>
      </c>
      <c r="AX59" s="1375"/>
      <c r="AY59" s="1374">
        <v>0</v>
      </c>
      <c r="AZ59" s="1374">
        <v>0</v>
      </c>
      <c r="BA59" s="1374">
        <v>0</v>
      </c>
      <c r="BB59" s="1374">
        <f>-0.2</f>
        <v>-0.2</v>
      </c>
      <c r="BC59" s="1374">
        <f t="shared" si="108"/>
        <v>-0.2</v>
      </c>
      <c r="BD59" s="1375"/>
      <c r="BE59" s="1375">
        <v>0</v>
      </c>
      <c r="BF59" s="1375">
        <v>0</v>
      </c>
      <c r="BG59" s="1375">
        <f>BF59</f>
        <v>0</v>
      </c>
      <c r="BH59" s="1375">
        <v>-0.2</v>
      </c>
      <c r="BI59" s="1374">
        <f>BH59</f>
        <v>-0.2</v>
      </c>
      <c r="BJ59" s="1380"/>
      <c r="BK59" s="1383">
        <v>0</v>
      </c>
      <c r="BL59" s="1383">
        <f t="shared" ref="BL59:BN60" si="125">BK59</f>
        <v>0</v>
      </c>
      <c r="BM59" s="1383">
        <f t="shared" si="125"/>
        <v>0</v>
      </c>
      <c r="BN59" s="1383">
        <f t="shared" si="125"/>
        <v>0</v>
      </c>
      <c r="BO59" s="1381">
        <f>BN59</f>
        <v>0</v>
      </c>
      <c r="BP59" s="1380"/>
      <c r="BQ59" s="1383">
        <v>0</v>
      </c>
      <c r="BR59" s="1383">
        <f t="shared" ref="BR59:BT60" si="126">BQ59</f>
        <v>0</v>
      </c>
      <c r="BS59" s="1383">
        <f t="shared" si="126"/>
        <v>0</v>
      </c>
      <c r="BT59" s="1383">
        <f t="shared" si="126"/>
        <v>0</v>
      </c>
      <c r="BU59" s="1381">
        <f t="shared" si="111"/>
        <v>0</v>
      </c>
      <c r="BV59" s="1380"/>
      <c r="BW59" s="1375">
        <v>39.9</v>
      </c>
      <c r="BX59" s="1375">
        <f>690-570</f>
        <v>120</v>
      </c>
      <c r="BY59" s="1375">
        <f>800-796</f>
        <v>4</v>
      </c>
      <c r="BZ59" s="1375">
        <f>912.4-860.3</f>
        <v>52.100000000000023</v>
      </c>
      <c r="CA59" s="1381">
        <f t="shared" si="112"/>
        <v>52.100000000000023</v>
      </c>
      <c r="CB59" s="1380"/>
      <c r="CC59" s="1375">
        <f>2.2-52.2</f>
        <v>-50</v>
      </c>
      <c r="CD59" s="1375">
        <f>2.2-54.3</f>
        <v>-52.099999999999994</v>
      </c>
      <c r="CE59" s="1375">
        <f>2.2+-54.3</f>
        <v>-52.099999999999994</v>
      </c>
      <c r="CF59" s="1375">
        <f>2.2+-54.3</f>
        <v>-52.099999999999994</v>
      </c>
      <c r="CG59" s="1381">
        <f t="shared" si="113"/>
        <v>-52.099999999999994</v>
      </c>
      <c r="CH59" s="1380"/>
      <c r="CI59" s="1375">
        <v>0</v>
      </c>
      <c r="CJ59" s="1375">
        <f>CI59+BS!CJ32-BS!CI32</f>
        <v>0</v>
      </c>
      <c r="CK59" s="1375">
        <v>0</v>
      </c>
      <c r="CL59" s="1375">
        <v>0</v>
      </c>
      <c r="CM59" s="1381">
        <f t="shared" si="114"/>
        <v>0</v>
      </c>
      <c r="CN59" s="1380"/>
      <c r="CO59" s="1375">
        <v>0</v>
      </c>
      <c r="CP59" s="1375">
        <v>0</v>
      </c>
      <c r="CQ59" s="1375">
        <f>CP59+BS!CQ32-BS!CP32</f>
        <v>0</v>
      </c>
      <c r="CR59" s="1375">
        <v>0</v>
      </c>
      <c r="CS59" s="1381">
        <f t="shared" si="115"/>
        <v>0</v>
      </c>
      <c r="CT59" s="1380"/>
      <c r="CU59" s="1375">
        <f>BS!CU32-BS!CR32</f>
        <v>0</v>
      </c>
      <c r="CV59" s="1375">
        <f>CU59+BS!CV32-BS!CU32</f>
        <v>0</v>
      </c>
      <c r="CW59" s="1375">
        <v>110</v>
      </c>
      <c r="CX59" s="1375">
        <f>-110+110+745.6</f>
        <v>745.6</v>
      </c>
      <c r="CY59" s="1381">
        <f t="shared" si="116"/>
        <v>745.6</v>
      </c>
      <c r="CZ59" s="1380"/>
      <c r="DA59" s="1375">
        <v>0</v>
      </c>
      <c r="DB59" s="1375">
        <v>0</v>
      </c>
      <c r="DC59" s="1375">
        <f>DB59+BS!DC32-BS!DB32</f>
        <v>0</v>
      </c>
      <c r="DD59" s="1375">
        <f>DC59</f>
        <v>0</v>
      </c>
      <c r="DE59" s="1381">
        <f t="shared" si="117"/>
        <v>0</v>
      </c>
      <c r="DF59" s="1380"/>
      <c r="DG59" s="1375">
        <v>0</v>
      </c>
      <c r="DH59" s="1375">
        <v>0</v>
      </c>
      <c r="DI59" s="1375">
        <v>0</v>
      </c>
      <c r="DJ59" s="1375">
        <v>-3.4</v>
      </c>
      <c r="DK59" s="1381">
        <f t="shared" si="118"/>
        <v>-3.4</v>
      </c>
      <c r="DL59" s="1380"/>
      <c r="DM59" s="1375">
        <v>0</v>
      </c>
      <c r="DN59" s="1375">
        <f>-6.3+748.3</f>
        <v>742</v>
      </c>
      <c r="DO59" s="1375">
        <f>-6.3+748.3</f>
        <v>742</v>
      </c>
      <c r="DP59" s="1375">
        <f>748.3-6.3</f>
        <v>742</v>
      </c>
      <c r="DQ59" s="1381">
        <f t="shared" si="119"/>
        <v>742</v>
      </c>
      <c r="DR59" s="1380"/>
      <c r="DS59" s="1375">
        <f>BS!DS32-BS!DP32</f>
        <v>0</v>
      </c>
      <c r="DT59" s="1375">
        <v>0</v>
      </c>
      <c r="DU59" s="1375">
        <v>0</v>
      </c>
      <c r="DV59" s="1375">
        <v>0</v>
      </c>
      <c r="DW59" s="1381">
        <f t="shared" si="120"/>
        <v>0</v>
      </c>
      <c r="DX59" s="1380"/>
      <c r="DY59" s="1375">
        <v>0</v>
      </c>
      <c r="DZ59" s="1375">
        <f>496.9-400-5.8</f>
        <v>91.09999999999998</v>
      </c>
      <c r="EA59" s="1375">
        <f>496.9-400-5.8</f>
        <v>91.09999999999998</v>
      </c>
      <c r="EB59" s="1375">
        <f>496.9-400-5.8</f>
        <v>91.09999999999998</v>
      </c>
      <c r="EC59" s="1381">
        <f t="shared" si="121"/>
        <v>91.09999999999998</v>
      </c>
      <c r="ED59" s="1380"/>
      <c r="EE59" s="1383">
        <f>BS!EE32-BS!EB32</f>
        <v>0</v>
      </c>
      <c r="EF59" s="1383">
        <f>EE59+BS!EF32-BS!EE32</f>
        <v>0</v>
      </c>
      <c r="EG59" s="1383">
        <f>EF59+BS!EG32-BS!EF32</f>
        <v>0</v>
      </c>
      <c r="EH59" s="1383">
        <f>EG59</f>
        <v>0</v>
      </c>
      <c r="EI59" s="1381">
        <f t="shared" si="122"/>
        <v>0</v>
      </c>
      <c r="EJ59" s="1380"/>
      <c r="EK59" s="1383">
        <f>BS!EK32-BS!EH32</f>
        <v>0</v>
      </c>
      <c r="EL59" s="1383">
        <f>EK59+BS!EL32-BS!EK32</f>
        <v>0</v>
      </c>
      <c r="EM59" s="1383">
        <f>EL59+BS!EM32-BS!EL32</f>
        <v>0</v>
      </c>
      <c r="EN59" s="1383">
        <f>EM59</f>
        <v>0</v>
      </c>
      <c r="EO59" s="1381">
        <f t="shared" si="123"/>
        <v>0</v>
      </c>
      <c r="EP59" s="1380"/>
      <c r="EQ59" s="1383">
        <f>BS!EQ32-BS!EN32</f>
        <v>0</v>
      </c>
      <c r="ER59" s="1383">
        <f>EQ59+BS!ER32-BS!EQ32</f>
        <v>0</v>
      </c>
      <c r="ES59" s="1383">
        <f>ER59+BS!ES32-BS!ER32</f>
        <v>0</v>
      </c>
      <c r="ET59" s="1383">
        <f>ES59</f>
        <v>0</v>
      </c>
      <c r="EU59" s="1381">
        <f t="shared" si="124"/>
        <v>0</v>
      </c>
      <c r="EV59" s="554"/>
      <c r="EW59" s="554"/>
      <c r="FD59" s="554"/>
      <c r="FE59" s="554"/>
      <c r="FF59" s="554"/>
      <c r="FG59" s="554"/>
      <c r="FH59" s="554"/>
      <c r="FI59" s="554"/>
      <c r="FJ59" s="554"/>
      <c r="FK59" s="554"/>
      <c r="FL59" s="554"/>
      <c r="FM59" s="554"/>
      <c r="FN59" s="554"/>
      <c r="FO59" s="554"/>
      <c r="FP59" s="554"/>
    </row>
    <row r="60" spans="1:172" ht="10.5" hidden="1" customHeight="1">
      <c r="A60" s="265" t="s">
        <v>6817</v>
      </c>
      <c r="B60" s="1370"/>
      <c r="C60" s="1374"/>
      <c r="D60" s="1374"/>
      <c r="E60" s="1374"/>
      <c r="F60" s="1374"/>
      <c r="G60" s="1374"/>
      <c r="H60" s="1375"/>
      <c r="I60" s="1374"/>
      <c r="J60" s="1374"/>
      <c r="K60" s="1374"/>
      <c r="L60" s="1374"/>
      <c r="M60" s="1374"/>
      <c r="N60" s="1375"/>
      <c r="O60" s="1374">
        <v>0</v>
      </c>
      <c r="P60" s="1374">
        <v>0</v>
      </c>
      <c r="Q60" s="1374">
        <v>0</v>
      </c>
      <c r="R60" s="1374">
        <v>0</v>
      </c>
      <c r="S60" s="1374">
        <f t="shared" si="106"/>
        <v>0</v>
      </c>
      <c r="T60" s="1375"/>
      <c r="U60" s="1374">
        <v>0</v>
      </c>
      <c r="V60" s="1374">
        <v>0</v>
      </c>
      <c r="W60" s="1374">
        <v>0</v>
      </c>
      <c r="X60" s="1374">
        <v>0</v>
      </c>
      <c r="Y60" s="1374">
        <f t="shared" si="107"/>
        <v>0</v>
      </c>
      <c r="Z60" s="1375"/>
      <c r="AA60" s="1374">
        <v>0</v>
      </c>
      <c r="AB60" s="1374">
        <v>0</v>
      </c>
      <c r="AC60" s="1374">
        <v>13.957000000000001</v>
      </c>
      <c r="AD60" s="1374">
        <v>13.957000000000001</v>
      </c>
      <c r="AE60" s="1374">
        <f>AD60</f>
        <v>13.957000000000001</v>
      </c>
      <c r="AF60" s="1375"/>
      <c r="AG60" s="1374">
        <v>-0.754</v>
      </c>
      <c r="AH60" s="1374">
        <v>-1.415</v>
      </c>
      <c r="AI60" s="1374">
        <v>-2.6560000000000001</v>
      </c>
      <c r="AJ60" s="1374">
        <v>-2.6560000000000001</v>
      </c>
      <c r="AK60" s="1374">
        <f>AJ60</f>
        <v>-2.6560000000000001</v>
      </c>
      <c r="AL60" s="1375"/>
      <c r="AM60" s="1374">
        <v>0</v>
      </c>
      <c r="AN60" s="1374">
        <v>0</v>
      </c>
      <c r="AO60" s="1374">
        <v>0</v>
      </c>
      <c r="AP60" s="1374">
        <v>0</v>
      </c>
      <c r="AQ60" s="1374">
        <f>SUM(AM60:AP60)</f>
        <v>0</v>
      </c>
      <c r="AR60" s="1375"/>
      <c r="AS60" s="1374">
        <v>0</v>
      </c>
      <c r="AT60" s="1374">
        <v>0</v>
      </c>
      <c r="AU60" s="1374">
        <v>0</v>
      </c>
      <c r="AV60" s="1374">
        <v>0</v>
      </c>
      <c r="AW60" s="1374">
        <f>AV60</f>
        <v>0</v>
      </c>
      <c r="AX60" s="1375"/>
      <c r="AY60" s="1374">
        <v>0</v>
      </c>
      <c r="AZ60" s="1374">
        <v>0</v>
      </c>
      <c r="BA60" s="1374">
        <v>0</v>
      </c>
      <c r="BB60" s="1374">
        <v>0</v>
      </c>
      <c r="BC60" s="1374">
        <f t="shared" si="108"/>
        <v>0</v>
      </c>
      <c r="BD60" s="1375"/>
      <c r="BE60" s="1375">
        <v>0</v>
      </c>
      <c r="BF60" s="1375">
        <v>0</v>
      </c>
      <c r="BG60" s="1375">
        <f>BF60</f>
        <v>0</v>
      </c>
      <c r="BH60" s="1375">
        <f>BG60</f>
        <v>0</v>
      </c>
      <c r="BI60" s="1374">
        <f t="shared" si="109"/>
        <v>0</v>
      </c>
      <c r="BJ60" s="1380"/>
      <c r="BK60" s="1378">
        <v>0</v>
      </c>
      <c r="BL60" s="1383">
        <f t="shared" si="125"/>
        <v>0</v>
      </c>
      <c r="BM60" s="1383">
        <f t="shared" si="125"/>
        <v>0</v>
      </c>
      <c r="BN60" s="1383">
        <f t="shared" si="125"/>
        <v>0</v>
      </c>
      <c r="BO60" s="1381">
        <f t="shared" si="110"/>
        <v>0</v>
      </c>
      <c r="BP60" s="1380"/>
      <c r="BQ60" s="1378">
        <v>0</v>
      </c>
      <c r="BR60" s="1383">
        <f t="shared" si="126"/>
        <v>0</v>
      </c>
      <c r="BS60" s="1383">
        <f t="shared" si="126"/>
        <v>0</v>
      </c>
      <c r="BT60" s="1383">
        <f t="shared" si="126"/>
        <v>0</v>
      </c>
      <c r="BU60" s="1381">
        <f t="shared" si="111"/>
        <v>0</v>
      </c>
      <c r="BV60" s="1380"/>
      <c r="BW60" s="1380">
        <v>0</v>
      </c>
      <c r="BX60" s="1375">
        <f>BW60</f>
        <v>0</v>
      </c>
      <c r="BY60" s="1375">
        <f>BX60</f>
        <v>0</v>
      </c>
      <c r="BZ60" s="1375">
        <f>BY60</f>
        <v>0</v>
      </c>
      <c r="CA60" s="1381">
        <f t="shared" si="112"/>
        <v>0</v>
      </c>
      <c r="CB60" s="1380"/>
      <c r="CC60" s="1380">
        <v>0</v>
      </c>
      <c r="CD60" s="1375">
        <f>CC60</f>
        <v>0</v>
      </c>
      <c r="CE60" s="1375">
        <f>CD60</f>
        <v>0</v>
      </c>
      <c r="CF60" s="1375">
        <f>CE60</f>
        <v>0</v>
      </c>
      <c r="CG60" s="1381">
        <f t="shared" si="113"/>
        <v>0</v>
      </c>
      <c r="CH60" s="1380"/>
      <c r="CI60" s="1380">
        <v>0</v>
      </c>
      <c r="CJ60" s="1375">
        <f>CI60</f>
        <v>0</v>
      </c>
      <c r="CK60" s="1375">
        <f>CJ60</f>
        <v>0</v>
      </c>
      <c r="CL60" s="1383">
        <f>CK60</f>
        <v>0</v>
      </c>
      <c r="CM60" s="1381">
        <f t="shared" si="114"/>
        <v>0</v>
      </c>
      <c r="CN60" s="1380"/>
      <c r="CO60" s="1380">
        <v>0</v>
      </c>
      <c r="CP60" s="1383">
        <f>CO60</f>
        <v>0</v>
      </c>
      <c r="CQ60" s="1383">
        <f>CP60</f>
        <v>0</v>
      </c>
      <c r="CR60" s="1383">
        <f>CQ60</f>
        <v>0</v>
      </c>
      <c r="CS60" s="1381">
        <f t="shared" si="115"/>
        <v>0</v>
      </c>
      <c r="CT60" s="1380"/>
      <c r="CU60" s="1380">
        <v>0</v>
      </c>
      <c r="CV60" s="1383">
        <f>CU60</f>
        <v>0</v>
      </c>
      <c r="CW60" s="1375">
        <f>CV60</f>
        <v>0</v>
      </c>
      <c r="CX60" s="1383">
        <f>CW60</f>
        <v>0</v>
      </c>
      <c r="CY60" s="1381">
        <f t="shared" si="116"/>
        <v>0</v>
      </c>
      <c r="CZ60" s="1380"/>
      <c r="DA60" s="1380">
        <v>0</v>
      </c>
      <c r="DB60" s="1380">
        <f>DA60</f>
        <v>0</v>
      </c>
      <c r="DC60" s="1380">
        <f>DB60</f>
        <v>0</v>
      </c>
      <c r="DD60" s="1380">
        <f>DC60</f>
        <v>0</v>
      </c>
      <c r="DE60" s="1381">
        <f t="shared" si="117"/>
        <v>0</v>
      </c>
      <c r="DF60" s="1380"/>
      <c r="DG60" s="1380">
        <v>0</v>
      </c>
      <c r="DH60" s="1380">
        <f>DG60</f>
        <v>0</v>
      </c>
      <c r="DI60" s="1380">
        <f>DH60</f>
        <v>0</v>
      </c>
      <c r="DJ60" s="1380">
        <f>DI60</f>
        <v>0</v>
      </c>
      <c r="DK60" s="1381">
        <f t="shared" si="118"/>
        <v>0</v>
      </c>
      <c r="DL60" s="1380"/>
      <c r="DM60" s="1380">
        <v>0</v>
      </c>
      <c r="DN60" s="1380">
        <f>DM60</f>
        <v>0</v>
      </c>
      <c r="DO60" s="1380">
        <f>DN60</f>
        <v>0</v>
      </c>
      <c r="DP60" s="1380">
        <f>DO60</f>
        <v>0</v>
      </c>
      <c r="DQ60" s="1381">
        <f t="shared" si="119"/>
        <v>0</v>
      </c>
      <c r="DR60" s="1380"/>
      <c r="DS60" s="1380">
        <v>0</v>
      </c>
      <c r="DT60" s="1375">
        <f>DS60</f>
        <v>0</v>
      </c>
      <c r="DU60" s="1375">
        <f>DT60</f>
        <v>0</v>
      </c>
      <c r="DV60" s="1380">
        <f>DU60</f>
        <v>0</v>
      </c>
      <c r="DW60" s="1381">
        <f t="shared" si="120"/>
        <v>0</v>
      </c>
      <c r="DX60" s="1380"/>
      <c r="DY60" s="1380">
        <v>0</v>
      </c>
      <c r="DZ60" s="1375">
        <f>DY60</f>
        <v>0</v>
      </c>
      <c r="EA60" s="1375">
        <f>DZ60</f>
        <v>0</v>
      </c>
      <c r="EB60" s="1380">
        <f>EA60</f>
        <v>0</v>
      </c>
      <c r="EC60" s="1381">
        <f t="shared" si="121"/>
        <v>0</v>
      </c>
      <c r="ED60" s="1380"/>
      <c r="EE60" s="1383">
        <v>0</v>
      </c>
      <c r="EF60" s="1383">
        <f>EE60</f>
        <v>0</v>
      </c>
      <c r="EG60" s="1383">
        <f>EF60</f>
        <v>0</v>
      </c>
      <c r="EH60" s="1383">
        <f>EG60</f>
        <v>0</v>
      </c>
      <c r="EI60" s="1381">
        <f t="shared" si="122"/>
        <v>0</v>
      </c>
      <c r="EJ60" s="1380"/>
      <c r="EK60" s="1383">
        <v>0</v>
      </c>
      <c r="EL60" s="1383">
        <f>EK60</f>
        <v>0</v>
      </c>
      <c r="EM60" s="1383">
        <f>EL60</f>
        <v>0</v>
      </c>
      <c r="EN60" s="1383">
        <f>EM60</f>
        <v>0</v>
      </c>
      <c r="EO60" s="1381">
        <f t="shared" si="123"/>
        <v>0</v>
      </c>
      <c r="EP60" s="1380"/>
      <c r="EQ60" s="1383">
        <v>0</v>
      </c>
      <c r="ER60" s="1383">
        <f>EQ60</f>
        <v>0</v>
      </c>
      <c r="ES60" s="1383">
        <f>ER60</f>
        <v>0</v>
      </c>
      <c r="ET60" s="1383">
        <f>ES60</f>
        <v>0</v>
      </c>
      <c r="EU60" s="1381">
        <f t="shared" si="124"/>
        <v>0</v>
      </c>
      <c r="EV60" s="554"/>
      <c r="EW60" s="554"/>
      <c r="FD60" s="554"/>
      <c r="FE60" s="554"/>
      <c r="FF60" s="554"/>
      <c r="FG60" s="554"/>
      <c r="FH60" s="554"/>
      <c r="FI60" s="554"/>
      <c r="FJ60" s="554"/>
      <c r="FK60" s="554"/>
      <c r="FL60" s="554"/>
      <c r="FM60" s="554"/>
      <c r="FN60" s="554"/>
      <c r="FO60" s="554"/>
      <c r="FP60" s="554"/>
    </row>
    <row r="61" spans="1:172" ht="10.5" customHeight="1" thickBot="1">
      <c r="A61" s="1367" t="s">
        <v>4237</v>
      </c>
      <c r="B61" s="1384"/>
      <c r="C61" s="1384"/>
      <c r="D61" s="1384"/>
      <c r="E61" s="1384"/>
      <c r="F61" s="1384"/>
      <c r="G61" s="1384"/>
      <c r="H61" s="1384"/>
      <c r="I61" s="1384"/>
      <c r="J61" s="1384"/>
      <c r="K61" s="1384"/>
      <c r="L61" s="1384"/>
      <c r="M61" s="1384"/>
      <c r="N61" s="1384"/>
      <c r="O61" s="1385">
        <f>SUM(O55:O60)</f>
        <v>54.225999999999999</v>
      </c>
      <c r="P61" s="1385">
        <f>SUM(P55:P60)</f>
        <v>28.894000000000002</v>
      </c>
      <c r="Q61" s="1385">
        <f>SUM(Q55:Q60)</f>
        <v>37.831000000000003</v>
      </c>
      <c r="R61" s="1385">
        <f>SUM(R55:R60)</f>
        <v>34.844999999999999</v>
      </c>
      <c r="S61" s="1385">
        <f t="shared" si="106"/>
        <v>34.844999999999999</v>
      </c>
      <c r="T61" s="1328"/>
      <c r="U61" s="1384">
        <f>SUM(U55:U60)</f>
        <v>128.78500000000003</v>
      </c>
      <c r="V61" s="1384">
        <f>SUM(V55:V60)</f>
        <v>129.70100000000002</v>
      </c>
      <c r="W61" s="1384">
        <f>SUM(W55:W60)</f>
        <v>134.65200000000002</v>
      </c>
      <c r="X61" s="1384">
        <f>SUM(X55:X60)</f>
        <v>53.302000000000007</v>
      </c>
      <c r="Y61" s="1384">
        <f t="shared" si="107"/>
        <v>53.302000000000007</v>
      </c>
      <c r="Z61" s="1384"/>
      <c r="AA61" s="1384">
        <f>SUM(AA55:AA60)</f>
        <v>-112.84900000000002</v>
      </c>
      <c r="AB61" s="1384">
        <f>SUM(AB55:AB60)</f>
        <v>-148.44999999999999</v>
      </c>
      <c r="AC61" s="1384">
        <f>SUM(AC55:AC60)</f>
        <v>-182.31200000000004</v>
      </c>
      <c r="AD61" s="1384">
        <f>SUM(AD55:AD60)</f>
        <v>-245.30700000000002</v>
      </c>
      <c r="AE61" s="1384">
        <f>SUM(AE55:AE60)</f>
        <v>-245.30700000000002</v>
      </c>
      <c r="AF61" s="1384"/>
      <c r="AG61" s="1384">
        <f>SUM(AG55:AG60)</f>
        <v>-51.901999999999994</v>
      </c>
      <c r="AH61" s="1384">
        <f>SUM(AH55:AH60)</f>
        <v>-51.180999999999997</v>
      </c>
      <c r="AI61" s="1384">
        <f>SUM(AI55:AI60)</f>
        <v>-46.367000000000012</v>
      </c>
      <c r="AJ61" s="1384">
        <f>SUM(AJ55:AJ60)</f>
        <v>-33.032000000000004</v>
      </c>
      <c r="AK61" s="1384">
        <f>SUM(AK55:AK60)</f>
        <v>-33.032000000000004</v>
      </c>
      <c r="AL61" s="1384"/>
      <c r="AM61" s="1384">
        <f>SUM(AM55:AM60)</f>
        <v>44.688999999999993</v>
      </c>
      <c r="AN61" s="1384">
        <f>SUM(AN55:AN60)</f>
        <v>15.904999999999998</v>
      </c>
      <c r="AO61" s="1384">
        <f>SUM(AO55:AO60)</f>
        <v>15.450999999999999</v>
      </c>
      <c r="AP61" s="1384">
        <f>SUM(AP55:AP60)</f>
        <v>-3.9059999999999961</v>
      </c>
      <c r="AQ61" s="1384">
        <f>SUM(AQ55:AQ60)</f>
        <v>-3.9059999999999961</v>
      </c>
      <c r="AR61" s="1384"/>
      <c r="AS61" s="1384">
        <f>SUM(AS55:AS60)</f>
        <v>-18.105</v>
      </c>
      <c r="AT61" s="1384">
        <f>SUM(AT55:AT60)</f>
        <v>-30.884</v>
      </c>
      <c r="AU61" s="1384">
        <f>SUM(AU55:AU60)</f>
        <v>-40.683999999999997</v>
      </c>
      <c r="AV61" s="1384">
        <f>SUM(AV55:AV60)</f>
        <v>-76.47</v>
      </c>
      <c r="AW61" s="1384">
        <f>SUM(AW55:AW60)</f>
        <v>-76.47</v>
      </c>
      <c r="AX61" s="1328"/>
      <c r="AY61" s="1384">
        <f>SUM(AY55:AY60)</f>
        <v>-47.399999999999991</v>
      </c>
      <c r="AZ61" s="1384">
        <f>SUM(AZ55:AZ60)</f>
        <v>-62.2</v>
      </c>
      <c r="BA61" s="1384">
        <f>SUM(BA55:BA60)</f>
        <v>-198.70000000000002</v>
      </c>
      <c r="BB61" s="1384">
        <f>SUM(BB55:BB60)</f>
        <v>-317.79999999999995</v>
      </c>
      <c r="BC61" s="1384">
        <f t="shared" si="108"/>
        <v>-317.79999999999995</v>
      </c>
      <c r="BD61" s="1328"/>
      <c r="BE61" s="1385">
        <f>SUM(BE55:BE60)</f>
        <v>-36.899999999999991</v>
      </c>
      <c r="BF61" s="1385">
        <f>SUM(BF55:BF60)</f>
        <v>-132.69999999999999</v>
      </c>
      <c r="BG61" s="1385">
        <f>SUM(BG55:BG60)</f>
        <v>-216.19999999999996</v>
      </c>
      <c r="BH61" s="1385">
        <f>SUM(BH55:BH60)</f>
        <v>-305.59999999999991</v>
      </c>
      <c r="BI61" s="1385">
        <f t="shared" si="109"/>
        <v>-305.59999999999991</v>
      </c>
      <c r="BJ61" s="1384"/>
      <c r="BK61" s="1385">
        <f>SUM(BK55:BK60)</f>
        <v>-16.599999999999994</v>
      </c>
      <c r="BL61" s="1385">
        <f>SUM(BL55:BL60)</f>
        <v>-90.199999999999974</v>
      </c>
      <c r="BM61" s="1385">
        <f>SUM(BM55:BM60)</f>
        <v>-80.299999999999969</v>
      </c>
      <c r="BN61" s="1385">
        <f>SUM(BN55:BN60)</f>
        <v>-80.199999999999974</v>
      </c>
      <c r="BO61" s="1386">
        <f t="shared" si="110"/>
        <v>-80.199999999999974</v>
      </c>
      <c r="BP61" s="1384"/>
      <c r="BQ61" s="1385">
        <f>SUM(BQ55:BQ60)</f>
        <v>0</v>
      </c>
      <c r="BR61" s="1385">
        <f>SUM(BR55:BR60)</f>
        <v>-241.3</v>
      </c>
      <c r="BS61" s="1385">
        <f>SUM(BS55:BS60)</f>
        <v>-302.8</v>
      </c>
      <c r="BT61" s="1385">
        <f>SUM(BT55:BT60)</f>
        <v>-375.7</v>
      </c>
      <c r="BU61" s="1386">
        <f t="shared" si="111"/>
        <v>-375.7</v>
      </c>
      <c r="BV61" s="1384"/>
      <c r="BW61" s="1385">
        <f>SUM(BW55:BW60)</f>
        <v>-181.29999999999998</v>
      </c>
      <c r="BX61" s="1385">
        <f>SUM(BX55:BX60)</f>
        <v>-86.500000000000028</v>
      </c>
      <c r="BY61" s="1385">
        <f>SUM(BY55:BY60)</f>
        <v>-163.50000000000003</v>
      </c>
      <c r="BZ61" s="1385">
        <f>SUM(BZ55:BZ60)</f>
        <v>-114.4</v>
      </c>
      <c r="CA61" s="1386">
        <f t="shared" si="112"/>
        <v>-114.4</v>
      </c>
      <c r="CB61" s="1384"/>
      <c r="CC61" s="1385">
        <f>SUM(CC55:CC60)</f>
        <v>-24.6</v>
      </c>
      <c r="CD61" s="1385">
        <f>SUM(CD55:CD60)</f>
        <v>-7.9999999999999929</v>
      </c>
      <c r="CE61" s="1385">
        <f>SUM(CE55:CE60)</f>
        <v>-23.999999999999993</v>
      </c>
      <c r="CF61" s="1385">
        <f>SUM(CF55:CF60)</f>
        <v>-45.3</v>
      </c>
      <c r="CG61" s="1386">
        <f t="shared" si="113"/>
        <v>-45.3</v>
      </c>
      <c r="CH61" s="1384"/>
      <c r="CI61" s="1385">
        <f>SUM(CI55:CI60)</f>
        <v>-22.599999999999994</v>
      </c>
      <c r="CJ61" s="1385">
        <f>SUM(CJ55:CJ60)</f>
        <v>-89.1</v>
      </c>
      <c r="CK61" s="1385">
        <f>SUM(CK55:CK60)</f>
        <v>-127.69999999999999</v>
      </c>
      <c r="CL61" s="1385">
        <f>SUM(CL55:CL60)</f>
        <v>-159.4</v>
      </c>
      <c r="CM61" s="1387">
        <f t="shared" si="114"/>
        <v>-159.4</v>
      </c>
      <c r="CN61" s="1384"/>
      <c r="CO61" s="1385">
        <f>SUM(CO55:CO60)</f>
        <v>42.7</v>
      </c>
      <c r="CP61" s="1385">
        <f>SUM(CP55:CP60)</f>
        <v>-26.300000000000011</v>
      </c>
      <c r="CQ61" s="1385">
        <f>SUM(CQ55:CQ60)</f>
        <v>-74.399999999999977</v>
      </c>
      <c r="CR61" s="1385">
        <f>SUM(CR55:CR60)</f>
        <v>-119.79999999999998</v>
      </c>
      <c r="CS61" s="1387">
        <f t="shared" si="115"/>
        <v>-119.79999999999998</v>
      </c>
      <c r="CT61" s="1384"/>
      <c r="CU61" s="1709">
        <f>SUM(CU55:CU60)</f>
        <v>63.699999999999996</v>
      </c>
      <c r="CV61" s="1385">
        <f>SUM(CV55:CV60)</f>
        <v>-23.4</v>
      </c>
      <c r="CW61" s="1385">
        <f>SUM(CW55:CW60)</f>
        <v>-3.5</v>
      </c>
      <c r="CX61" s="1385">
        <f>SUM(CX55:CX60)</f>
        <v>541.40000000000009</v>
      </c>
      <c r="CY61" s="1387">
        <f t="shared" si="116"/>
        <v>541.40000000000009</v>
      </c>
      <c r="CZ61" s="1384"/>
      <c r="DA61" s="1709">
        <f>SUM(DA55:DA60)</f>
        <v>-50.199999999999989</v>
      </c>
      <c r="DB61" s="1709">
        <f>SUM(DB55:DB60)</f>
        <v>-156.80000000000001</v>
      </c>
      <c r="DC61" s="1709">
        <f>SUM(DC55:DC60)</f>
        <v>-136.1</v>
      </c>
      <c r="DD61" s="1709">
        <f>SUM(DD55:DD60)</f>
        <v>-126.50000000000003</v>
      </c>
      <c r="DE61" s="1387">
        <f t="shared" si="117"/>
        <v>-126.50000000000003</v>
      </c>
      <c r="DF61" s="1384"/>
      <c r="DG61" s="1709">
        <f>SUM(DG55:DG60)</f>
        <v>-40.299999999999997</v>
      </c>
      <c r="DH61" s="1709">
        <f>SUM(DH55:DH60)</f>
        <v>-114.70000000000002</v>
      </c>
      <c r="DI61" s="1709">
        <f>SUM(DI55:DI60)</f>
        <v>-179.70000000000002</v>
      </c>
      <c r="DJ61" s="1709">
        <f>SUM(DJ55:DJ60)</f>
        <v>-239.89999999999998</v>
      </c>
      <c r="DK61" s="1387">
        <f t="shared" si="118"/>
        <v>-239.89999999999998</v>
      </c>
      <c r="DL61" s="1384"/>
      <c r="DM61" s="1709">
        <f>SUM(DM55:DM60)</f>
        <v>-61.300000000000004</v>
      </c>
      <c r="DN61" s="1709">
        <f>SUM(DN55:DN60)</f>
        <v>567.5</v>
      </c>
      <c r="DO61" s="1709">
        <f>SUM(DO55:DO60)</f>
        <v>441.3</v>
      </c>
      <c r="DP61" s="1709">
        <f>SUM(DP55:DP60)</f>
        <v>343.2</v>
      </c>
      <c r="DQ61" s="1387">
        <f t="shared" si="119"/>
        <v>343.2</v>
      </c>
      <c r="DR61" s="1384"/>
      <c r="DS61" s="1709">
        <f>SUM(DS55:DS60)</f>
        <v>-67.199999999999989</v>
      </c>
      <c r="DT61" s="1385">
        <f>SUM(DT55:DT60)</f>
        <v>-235.70000000000002</v>
      </c>
      <c r="DU61" s="1385">
        <f>SUM(DU55:DU60)</f>
        <v>-354.3</v>
      </c>
      <c r="DV61" s="1709">
        <f>SUM(DV55:DV60)</f>
        <v>-578.30000000000007</v>
      </c>
      <c r="DW61" s="1387">
        <f t="shared" si="120"/>
        <v>-578.30000000000007</v>
      </c>
      <c r="DX61" s="1384"/>
      <c r="DY61" s="1709">
        <f>SUM(DY55:DY60)</f>
        <v>-178.8</v>
      </c>
      <c r="DZ61" s="1385">
        <f>SUM(DZ55:DZ60)</f>
        <v>-218.00000000000006</v>
      </c>
      <c r="EA61" s="1385">
        <f>SUM(EA55:EA60)</f>
        <v>-374.2</v>
      </c>
      <c r="EB61" s="1709">
        <f>SUM(EB55:EB60)</f>
        <v>-656.6</v>
      </c>
      <c r="EC61" s="1387">
        <f t="shared" si="121"/>
        <v>-656.6</v>
      </c>
      <c r="ED61" s="1384"/>
      <c r="EE61" s="1385">
        <f>SUM(EE55:EE60)</f>
        <v>-145.24227272727273</v>
      </c>
      <c r="EF61" s="1385">
        <f>SUM(EF55:EF60)</f>
        <v>-339.21454545454543</v>
      </c>
      <c r="EG61" s="1385">
        <f>SUM(EG55:EG60)</f>
        <v>-498.53681818181815</v>
      </c>
      <c r="EH61" s="1385">
        <f>SUM(EH55:EH60)</f>
        <v>-697.56909090909085</v>
      </c>
      <c r="EI61" s="1387">
        <f t="shared" si="122"/>
        <v>-697.56909090909085</v>
      </c>
      <c r="EJ61" s="1384"/>
      <c r="EK61" s="1385">
        <f>SUM(EK55:EK60)</f>
        <v>-164.7753068181818</v>
      </c>
      <c r="EL61" s="1385">
        <f>SUM(EL55:EL60)</f>
        <v>-383.15361363636362</v>
      </c>
      <c r="EM61" s="1385">
        <f>SUM(EM55:EM60)</f>
        <v>-563.41692045454545</v>
      </c>
      <c r="EN61" s="1385">
        <f>SUM(EN55:EN60)</f>
        <v>-787.36122727272721</v>
      </c>
      <c r="EO61" s="1387">
        <f t="shared" si="123"/>
        <v>-787.36122727272721</v>
      </c>
      <c r="EP61" s="1384"/>
      <c r="EQ61" s="1385">
        <f>SUM(EQ55:EQ60)</f>
        <v>-186.88774517045451</v>
      </c>
      <c r="ER61" s="1385">
        <f>SUM(ER55:ER60)</f>
        <v>-432.73879034090908</v>
      </c>
      <c r="ES61" s="1385">
        <f>SUM(ES55:ES60)</f>
        <v>-636.66333551136358</v>
      </c>
      <c r="ET61" s="1385">
        <f>SUM(ET55:ET60)</f>
        <v>-888.63698068181805</v>
      </c>
      <c r="EU61" s="1387">
        <f t="shared" si="124"/>
        <v>-888.63698068181805</v>
      </c>
      <c r="EV61" s="1368"/>
      <c r="EW61" s="1368"/>
      <c r="FD61" s="1368"/>
      <c r="FE61" s="1368"/>
      <c r="FF61" s="1368"/>
      <c r="FG61" s="1368"/>
      <c r="FH61" s="1368"/>
      <c r="FI61" s="1368"/>
      <c r="FJ61" s="1368"/>
      <c r="FK61" s="1368"/>
      <c r="FL61" s="1368"/>
      <c r="FM61" s="1368"/>
      <c r="FN61" s="1368"/>
      <c r="FO61" s="1368"/>
      <c r="FP61" s="1368"/>
    </row>
    <row r="62" spans="1:172" ht="6" customHeight="1">
      <c r="A62" s="241"/>
      <c r="B62" s="1370"/>
      <c r="C62" s="1371"/>
      <c r="D62" s="578"/>
      <c r="E62" s="578"/>
      <c r="F62" s="578"/>
      <c r="G62" s="578"/>
      <c r="H62" s="578"/>
      <c r="I62" s="1371"/>
      <c r="J62" s="578"/>
      <c r="K62" s="578"/>
      <c r="L62" s="578"/>
      <c r="M62" s="578"/>
      <c r="N62" s="578"/>
      <c r="O62" s="1371"/>
      <c r="P62" s="578"/>
      <c r="Q62" s="578"/>
      <c r="R62" s="578"/>
      <c r="S62" s="578"/>
      <c r="T62" s="578"/>
      <c r="U62" s="578"/>
      <c r="V62" s="578"/>
      <c r="W62" s="578"/>
      <c r="X62" s="578"/>
      <c r="Y62" s="578"/>
      <c r="Z62" s="578"/>
      <c r="AA62" s="1372"/>
      <c r="AB62" s="1372"/>
      <c r="AC62" s="1372"/>
      <c r="AD62" s="1372"/>
      <c r="AE62" s="578"/>
      <c r="AF62" s="578"/>
      <c r="AG62" s="1372"/>
      <c r="AH62" s="1390"/>
      <c r="AI62" s="1372"/>
      <c r="AJ62" s="1372"/>
      <c r="AK62" s="578"/>
      <c r="AL62" s="578"/>
      <c r="AM62" s="1372"/>
      <c r="AN62" s="1372"/>
      <c r="AO62" s="1372"/>
      <c r="AP62" s="1372"/>
      <c r="AQ62" s="1372"/>
      <c r="AR62" s="578"/>
      <c r="AS62" s="1372"/>
      <c r="AT62" s="1372"/>
      <c r="AU62" s="1372"/>
      <c r="AV62" s="1372"/>
      <c r="AW62" s="578"/>
      <c r="AX62" s="578"/>
      <c r="AY62" s="578"/>
      <c r="AZ62" s="578"/>
      <c r="BA62" s="578"/>
      <c r="BB62" s="578"/>
      <c r="BC62" s="578"/>
      <c r="BD62" s="578"/>
      <c r="BE62" s="578"/>
      <c r="BF62" s="578"/>
      <c r="BG62" s="578"/>
      <c r="BH62" s="241"/>
      <c r="BI62" s="578"/>
      <c r="BJ62" s="578"/>
      <c r="BK62" s="578"/>
      <c r="BL62" s="578"/>
      <c r="BM62" s="578"/>
      <c r="BN62" s="578"/>
      <c r="BO62" s="1388"/>
      <c r="BP62" s="578"/>
      <c r="BQ62" s="578"/>
      <c r="BR62" s="578"/>
      <c r="BS62" s="578"/>
      <c r="BT62" s="578"/>
      <c r="BU62" s="1388"/>
      <c r="BV62" s="578"/>
      <c r="BW62" s="241"/>
      <c r="BX62" s="241"/>
      <c r="BY62" s="241"/>
      <c r="BZ62" s="578"/>
      <c r="CA62" s="1388"/>
      <c r="CB62" s="578"/>
      <c r="CC62" s="241"/>
      <c r="CD62" s="241"/>
      <c r="CE62" s="241"/>
      <c r="CF62" s="241"/>
      <c r="CG62" s="1388"/>
      <c r="CH62" s="578"/>
      <c r="CI62" s="241"/>
      <c r="CJ62" s="241"/>
      <c r="CK62" s="241"/>
      <c r="CL62" s="578"/>
      <c r="CM62" s="1388"/>
      <c r="CN62" s="578"/>
      <c r="CO62" s="241"/>
      <c r="CP62" s="578"/>
      <c r="CQ62" s="578"/>
      <c r="CR62" s="578"/>
      <c r="CS62" s="1388"/>
      <c r="CT62" s="578"/>
      <c r="CU62" s="241"/>
      <c r="CV62" s="578"/>
      <c r="CW62" s="241"/>
      <c r="CX62" s="578"/>
      <c r="CY62" s="1388"/>
      <c r="CZ62" s="578"/>
      <c r="DA62" s="241"/>
      <c r="DB62" s="241"/>
      <c r="DC62" s="241"/>
      <c r="DD62" s="241"/>
      <c r="DE62" s="1388"/>
      <c r="DF62" s="578"/>
      <c r="DG62" s="241"/>
      <c r="DH62" s="241"/>
      <c r="DI62" s="241"/>
      <c r="DJ62" s="241"/>
      <c r="DK62" s="1388"/>
      <c r="DL62" s="578"/>
      <c r="DM62" s="241"/>
      <c r="DN62" s="241"/>
      <c r="DO62" s="241"/>
      <c r="DP62" s="241"/>
      <c r="DQ62" s="1388"/>
      <c r="DR62" s="578"/>
      <c r="DS62" s="241"/>
      <c r="DT62" s="241"/>
      <c r="DU62" s="241"/>
      <c r="DV62" s="241"/>
      <c r="DW62" s="1388"/>
      <c r="DX62" s="578"/>
      <c r="DY62" s="241"/>
      <c r="DZ62" s="578"/>
      <c r="EA62" s="241"/>
      <c r="EB62" s="241"/>
      <c r="EC62" s="1388"/>
      <c r="ED62" s="578"/>
      <c r="EE62" s="578"/>
      <c r="EF62" s="578"/>
      <c r="EG62" s="578"/>
      <c r="EH62" s="578"/>
      <c r="EI62" s="1388"/>
      <c r="EJ62" s="578"/>
      <c r="EK62" s="578"/>
      <c r="EL62" s="578"/>
      <c r="EM62" s="578"/>
      <c r="EN62" s="578"/>
      <c r="EO62" s="1388"/>
      <c r="EP62" s="578"/>
      <c r="EQ62" s="578"/>
      <c r="ER62" s="578"/>
      <c r="ES62" s="578"/>
      <c r="ET62" s="578"/>
      <c r="EU62" s="1388"/>
      <c r="EV62" s="578"/>
      <c r="EW62" s="578"/>
      <c r="FD62" s="578"/>
      <c r="FE62" s="578"/>
      <c r="FF62" s="578"/>
      <c r="FG62" s="578"/>
      <c r="FH62" s="578"/>
      <c r="FI62" s="578"/>
      <c r="FJ62" s="578"/>
      <c r="FK62" s="578"/>
      <c r="FL62" s="578"/>
      <c r="FM62" s="578"/>
      <c r="FN62" s="578"/>
      <c r="FO62" s="578"/>
      <c r="FP62" s="578"/>
    </row>
    <row r="63" spans="1:172" ht="10.5" customHeight="1">
      <c r="A63" s="265" t="s">
        <v>6591</v>
      </c>
      <c r="B63" s="1370"/>
      <c r="C63" s="1374"/>
      <c r="D63" s="1374"/>
      <c r="E63" s="1374"/>
      <c r="F63" s="1374"/>
      <c r="G63" s="1374"/>
      <c r="H63" s="1375"/>
      <c r="I63" s="1374"/>
      <c r="J63" s="1374"/>
      <c r="K63" s="1374"/>
      <c r="L63" s="1374"/>
      <c r="M63" s="1374"/>
      <c r="N63" s="1375"/>
      <c r="O63" s="1374">
        <v>-3.9569999999999999</v>
      </c>
      <c r="P63" s="1374">
        <v>-5.4939999999999998</v>
      </c>
      <c r="Q63" s="1374">
        <v>11.278</v>
      </c>
      <c r="R63" s="1374">
        <v>6.375</v>
      </c>
      <c r="S63" s="1374">
        <f>R63</f>
        <v>6.375</v>
      </c>
      <c r="T63" s="1375"/>
      <c r="U63" s="1374">
        <v>-2.5710000000000002</v>
      </c>
      <c r="V63" s="1374">
        <v>-5.1689999999999996</v>
      </c>
      <c r="W63" s="1374">
        <v>-6.048</v>
      </c>
      <c r="X63" s="1374">
        <v>-7.4950000000000001</v>
      </c>
      <c r="Y63" s="1374">
        <f>X63</f>
        <v>-7.4950000000000001</v>
      </c>
      <c r="Z63" s="1375"/>
      <c r="AA63" s="1374">
        <v>-5.2530000000000001</v>
      </c>
      <c r="AB63" s="1374">
        <v>-6.1559999999999997</v>
      </c>
      <c r="AC63" s="1374">
        <v>-13.231999999999999</v>
      </c>
      <c r="AD63" s="1374">
        <v>-11.657</v>
      </c>
      <c r="AE63" s="554">
        <f>AD63</f>
        <v>-11.657</v>
      </c>
      <c r="AF63" s="1375"/>
      <c r="AG63" s="1374">
        <v>-2.9449999999999998</v>
      </c>
      <c r="AH63" s="1374">
        <v>-3.528</v>
      </c>
      <c r="AI63" s="1374">
        <v>-2.5470000000000002</v>
      </c>
      <c r="AJ63" s="1374">
        <v>-6.1680000000000001</v>
      </c>
      <c r="AK63" s="1374">
        <f>AJ63</f>
        <v>-6.1680000000000001</v>
      </c>
      <c r="AL63" s="1375"/>
      <c r="AM63" s="1374">
        <v>2.7490000000000001</v>
      </c>
      <c r="AN63" s="1374">
        <v>7.4470000000000001</v>
      </c>
      <c r="AO63" s="1374">
        <v>7.2350000000000003</v>
      </c>
      <c r="AP63" s="1374">
        <v>11.978999999999999</v>
      </c>
      <c r="AQ63" s="1374">
        <f>AP63</f>
        <v>11.978999999999999</v>
      </c>
      <c r="AR63" s="1375"/>
      <c r="AS63" s="1374">
        <v>1.07</v>
      </c>
      <c r="AT63" s="1374">
        <v>3.0880000000000001</v>
      </c>
      <c r="AU63" s="1374">
        <v>7.0570000000000004</v>
      </c>
      <c r="AV63" s="1374">
        <v>11.250999999999999</v>
      </c>
      <c r="AW63" s="1374">
        <f>AV63</f>
        <v>11.250999999999999</v>
      </c>
      <c r="AX63" s="1375"/>
      <c r="AY63" s="1375">
        <v>-3.4</v>
      </c>
      <c r="AZ63" s="1375">
        <f>AY63-0.4</f>
        <v>-3.8</v>
      </c>
      <c r="BA63" s="1375">
        <f>AZ63+5.3</f>
        <v>1.5</v>
      </c>
      <c r="BB63" s="1375">
        <f>BA63+2.9</f>
        <v>4.4000000000000004</v>
      </c>
      <c r="BC63" s="1374">
        <f>SUM(AY63:BB63)</f>
        <v>-1.2999999999999989</v>
      </c>
      <c r="BD63" s="1375"/>
      <c r="BE63" s="1375">
        <v>-1.2</v>
      </c>
      <c r="BF63" s="1375">
        <f>BE63-0.6</f>
        <v>-1.7999999999999998</v>
      </c>
      <c r="BG63" s="1375">
        <f>BF63-0.2</f>
        <v>-1.9999999999999998</v>
      </c>
      <c r="BH63" s="1375">
        <f>BG63-0.1</f>
        <v>-2.0999999999999996</v>
      </c>
      <c r="BI63" s="1374">
        <f>BH63</f>
        <v>-2.0999999999999996</v>
      </c>
      <c r="BJ63" s="1375"/>
      <c r="BK63" s="1375">
        <v>0.3</v>
      </c>
      <c r="BL63" s="1375">
        <f>BK63+0.5</f>
        <v>0.8</v>
      </c>
      <c r="BM63" s="1375">
        <f>BL63-0.2</f>
        <v>0.60000000000000009</v>
      </c>
      <c r="BN63" s="1375">
        <f>BM63-0.5</f>
        <v>0.10000000000000009</v>
      </c>
      <c r="BO63" s="1382">
        <f>BN63</f>
        <v>0.10000000000000009</v>
      </c>
      <c r="BP63" s="1375"/>
      <c r="BQ63" s="1375">
        <v>1.3</v>
      </c>
      <c r="BR63" s="1375">
        <v>1.6</v>
      </c>
      <c r="BS63" s="1375">
        <f>BR63</f>
        <v>1.6</v>
      </c>
      <c r="BT63" s="1375">
        <v>4.9000000000000004</v>
      </c>
      <c r="BU63" s="1382">
        <f>BT63</f>
        <v>4.9000000000000004</v>
      </c>
      <c r="BV63" s="1375"/>
      <c r="BW63" s="1375">
        <v>2.7</v>
      </c>
      <c r="BX63" s="1375">
        <v>2.6</v>
      </c>
      <c r="BY63" s="1375">
        <v>-3.1</v>
      </c>
      <c r="BZ63" s="1375">
        <v>-1.7</v>
      </c>
      <c r="CA63" s="1382">
        <f>BZ63</f>
        <v>-1.7</v>
      </c>
      <c r="CB63" s="1375"/>
      <c r="CC63" s="1375">
        <v>-1.2</v>
      </c>
      <c r="CD63" s="1375">
        <v>1.2</v>
      </c>
      <c r="CE63" s="1375">
        <v>2.8</v>
      </c>
      <c r="CF63" s="1375">
        <v>2.6</v>
      </c>
      <c r="CG63" s="1382">
        <f>CF63</f>
        <v>2.6</v>
      </c>
      <c r="CH63" s="1375"/>
      <c r="CI63" s="1375">
        <v>-0.6</v>
      </c>
      <c r="CJ63" s="1375">
        <v>0</v>
      </c>
      <c r="CK63" s="1375">
        <v>-2.4</v>
      </c>
      <c r="CL63" s="1375">
        <v>-2.7</v>
      </c>
      <c r="CM63" s="1382">
        <f>CL63</f>
        <v>-2.7</v>
      </c>
      <c r="CN63" s="1375"/>
      <c r="CO63" s="1375">
        <v>-2.1</v>
      </c>
      <c r="CP63" s="1375">
        <v>-3.1</v>
      </c>
      <c r="CQ63" s="1375">
        <v>-2.6</v>
      </c>
      <c r="CR63" s="1375">
        <v>-1.6</v>
      </c>
      <c r="CS63" s="1382">
        <f>CR63</f>
        <v>-1.6</v>
      </c>
      <c r="CT63" s="1375"/>
      <c r="CU63" s="1375">
        <v>1.6</v>
      </c>
      <c r="CV63" s="1375">
        <v>1.6</v>
      </c>
      <c r="CW63" s="1375">
        <v>0.6</v>
      </c>
      <c r="CX63" s="1375">
        <v>2</v>
      </c>
      <c r="CY63" s="1382">
        <f>CX63</f>
        <v>2</v>
      </c>
      <c r="CZ63" s="1375"/>
      <c r="DA63" s="1375">
        <v>1.4</v>
      </c>
      <c r="DB63" s="1375">
        <f>DA63</f>
        <v>1.4</v>
      </c>
      <c r="DC63" s="1375">
        <v>0.8</v>
      </c>
      <c r="DD63" s="1375">
        <v>-2.2000000000000002</v>
      </c>
      <c r="DE63" s="1382">
        <f>DD63</f>
        <v>-2.2000000000000002</v>
      </c>
      <c r="DF63" s="1375"/>
      <c r="DG63" s="1375">
        <v>-0.1</v>
      </c>
      <c r="DH63" s="1375">
        <v>0.3</v>
      </c>
      <c r="DI63" s="1375">
        <v>-1.5</v>
      </c>
      <c r="DJ63" s="1375">
        <v>-5</v>
      </c>
      <c r="DK63" s="1382">
        <f>DJ63</f>
        <v>-5</v>
      </c>
      <c r="DL63" s="1375"/>
      <c r="DM63" s="1375">
        <v>-0.2</v>
      </c>
      <c r="DN63" s="1375">
        <v>-2.1</v>
      </c>
      <c r="DO63" s="1375">
        <v>-2.4</v>
      </c>
      <c r="DP63" s="1375">
        <v>-5.3</v>
      </c>
      <c r="DQ63" s="1382">
        <f>DP63</f>
        <v>-5.3</v>
      </c>
      <c r="DR63" s="1375"/>
      <c r="DS63" s="1375">
        <v>3.4</v>
      </c>
      <c r="DT63" s="1375">
        <f>3+0.009</f>
        <v>3.0089999999999999</v>
      </c>
      <c r="DU63" s="1375">
        <f>-2.1+0.009</f>
        <v>-2.0910000000000002</v>
      </c>
      <c r="DV63" s="1375">
        <v>-3.3</v>
      </c>
      <c r="DW63" s="1382">
        <f>DV63</f>
        <v>-3.3</v>
      </c>
      <c r="DX63" s="1375"/>
      <c r="DY63" s="1375">
        <v>2.2000000000000002</v>
      </c>
      <c r="DZ63" s="1383">
        <v>5.6</v>
      </c>
      <c r="EA63" s="1375">
        <f>5.8-0.091</f>
        <v>5.7089999999999996</v>
      </c>
      <c r="EB63" s="1375">
        <v>14.21</v>
      </c>
      <c r="EC63" s="1382">
        <f>EB63</f>
        <v>14.21</v>
      </c>
      <c r="ED63" s="1375"/>
      <c r="EE63" s="1383">
        <v>0</v>
      </c>
      <c r="EF63" s="1383">
        <f>EE63</f>
        <v>0</v>
      </c>
      <c r="EG63" s="1383">
        <f>EF63</f>
        <v>0</v>
      </c>
      <c r="EH63" s="1383">
        <f>EG63</f>
        <v>0</v>
      </c>
      <c r="EI63" s="1382">
        <f>EH63</f>
        <v>0</v>
      </c>
      <c r="EJ63" s="1375"/>
      <c r="EK63" s="1383">
        <v>0</v>
      </c>
      <c r="EL63" s="1383">
        <f>EK63</f>
        <v>0</v>
      </c>
      <c r="EM63" s="1383">
        <f>EL63</f>
        <v>0</v>
      </c>
      <c r="EN63" s="1383">
        <f>EM63</f>
        <v>0</v>
      </c>
      <c r="EO63" s="1382">
        <f>EN63</f>
        <v>0</v>
      </c>
      <c r="EP63" s="1375"/>
      <c r="EQ63" s="1383">
        <v>0</v>
      </c>
      <c r="ER63" s="1383">
        <f>EQ63</f>
        <v>0</v>
      </c>
      <c r="ES63" s="1383">
        <f>ER63</f>
        <v>0</v>
      </c>
      <c r="ET63" s="1383">
        <f>ES63</f>
        <v>0</v>
      </c>
      <c r="EU63" s="1382">
        <f>ET63</f>
        <v>0</v>
      </c>
      <c r="EV63" s="554"/>
      <c r="EW63" s="554"/>
      <c r="FD63" s="554"/>
      <c r="FE63" s="554"/>
      <c r="FF63" s="554"/>
      <c r="FG63" s="554"/>
      <c r="FH63" s="554"/>
      <c r="FI63" s="554"/>
      <c r="FJ63" s="554"/>
      <c r="FK63" s="554"/>
      <c r="FL63" s="554"/>
      <c r="FM63" s="554"/>
      <c r="FN63" s="554"/>
      <c r="FO63" s="554"/>
      <c r="FP63" s="554"/>
    </row>
    <row r="64" spans="1:172" ht="10.5" hidden="1" customHeight="1">
      <c r="A64" s="265" t="s">
        <v>6020</v>
      </c>
      <c r="B64" s="1370"/>
      <c r="C64" s="1374"/>
      <c r="D64" s="1374"/>
      <c r="E64" s="1374"/>
      <c r="F64" s="1374"/>
      <c r="G64" s="1374"/>
      <c r="H64" s="1375"/>
      <c r="I64" s="1374"/>
      <c r="J64" s="1374"/>
      <c r="K64" s="1374"/>
      <c r="L64" s="1374"/>
      <c r="M64" s="1374"/>
      <c r="N64" s="1375"/>
      <c r="O64" s="1374">
        <v>0</v>
      </c>
      <c r="P64" s="1374">
        <v>0</v>
      </c>
      <c r="Q64" s="1374">
        <v>0</v>
      </c>
      <c r="R64" s="1374">
        <v>-33.81</v>
      </c>
      <c r="S64" s="1374">
        <v>0</v>
      </c>
      <c r="T64" s="1375"/>
      <c r="U64" s="1374">
        <v>0.32</v>
      </c>
      <c r="V64" s="1374">
        <v>0.32</v>
      </c>
      <c r="W64" s="1374">
        <v>0.32</v>
      </c>
      <c r="X64" s="1374">
        <v>0.32</v>
      </c>
      <c r="Y64" s="1374">
        <f>X64</f>
        <v>0.32</v>
      </c>
      <c r="Z64" s="1375"/>
      <c r="AA64" s="1374">
        <v>0</v>
      </c>
      <c r="AB64" s="1374">
        <v>0</v>
      </c>
      <c r="AC64" s="1374">
        <v>0</v>
      </c>
      <c r="AD64" s="1374">
        <v>0</v>
      </c>
      <c r="AE64" s="1374">
        <v>0</v>
      </c>
      <c r="AF64" s="1375"/>
      <c r="AG64" s="1374">
        <v>0</v>
      </c>
      <c r="AH64" s="1374">
        <v>0</v>
      </c>
      <c r="AI64" s="1374">
        <v>0</v>
      </c>
      <c r="AJ64" s="1374">
        <v>0</v>
      </c>
      <c r="AK64" s="1374">
        <v>0</v>
      </c>
      <c r="AL64" s="1375"/>
      <c r="AM64" s="1374">
        <v>0</v>
      </c>
      <c r="AN64" s="1374">
        <v>0</v>
      </c>
      <c r="AO64" s="1374">
        <v>0</v>
      </c>
      <c r="AP64" s="1374">
        <v>0</v>
      </c>
      <c r="AQ64" s="1374">
        <v>0</v>
      </c>
      <c r="AR64" s="1375"/>
      <c r="AS64" s="1374">
        <v>0</v>
      </c>
      <c r="AT64" s="1374">
        <v>0</v>
      </c>
      <c r="AU64" s="1374">
        <v>0</v>
      </c>
      <c r="AV64" s="1374">
        <v>0</v>
      </c>
      <c r="AW64" s="1374">
        <v>0</v>
      </c>
      <c r="AX64" s="1375"/>
      <c r="AY64" s="1374">
        <v>0</v>
      </c>
      <c r="AZ64" s="1374">
        <v>0</v>
      </c>
      <c r="BA64" s="1374">
        <v>0</v>
      </c>
      <c r="BB64" s="1374">
        <v>0</v>
      </c>
      <c r="BC64" s="1374">
        <v>0</v>
      </c>
      <c r="BD64" s="1375"/>
      <c r="BE64" s="1375">
        <v>0</v>
      </c>
      <c r="BF64" s="1383">
        <v>0</v>
      </c>
      <c r="BG64" s="1383">
        <v>0</v>
      </c>
      <c r="BH64" s="1375">
        <v>0</v>
      </c>
      <c r="BI64" s="1374">
        <f>BH64</f>
        <v>0</v>
      </c>
      <c r="BJ64" s="1375"/>
      <c r="BK64" s="1383"/>
      <c r="BL64" s="1383"/>
      <c r="BM64" s="1383"/>
      <c r="BN64" s="1383"/>
      <c r="BO64" s="1382"/>
      <c r="BP64" s="1375"/>
      <c r="BQ64" s="1383"/>
      <c r="BR64" s="1383"/>
      <c r="BS64" s="1383"/>
      <c r="BT64" s="1383"/>
      <c r="BU64" s="1382"/>
      <c r="BV64" s="1375"/>
      <c r="BW64" s="1375"/>
      <c r="BX64" s="1375"/>
      <c r="BY64" s="1375"/>
      <c r="BZ64" s="1383"/>
      <c r="CA64" s="1382"/>
      <c r="CB64" s="1375"/>
      <c r="CC64" s="1375"/>
      <c r="CD64" s="1375"/>
      <c r="CE64" s="1375"/>
      <c r="CF64" s="1375"/>
      <c r="CG64" s="1382"/>
      <c r="CH64" s="1375"/>
      <c r="CI64" s="1375"/>
      <c r="CJ64" s="1375"/>
      <c r="CK64" s="1375"/>
      <c r="CL64" s="1383"/>
      <c r="CM64" s="1382"/>
      <c r="CN64" s="1375"/>
      <c r="CO64" s="1375"/>
      <c r="CP64" s="1383"/>
      <c r="CQ64" s="1383"/>
      <c r="CR64" s="1383"/>
      <c r="CS64" s="1382"/>
      <c r="CT64" s="1375"/>
      <c r="CU64" s="1375"/>
      <c r="CV64" s="1383"/>
      <c r="CW64" s="1383"/>
      <c r="CX64" s="1383"/>
      <c r="CY64" s="1382"/>
      <c r="CZ64" s="1375"/>
      <c r="DA64" s="1375"/>
      <c r="DB64" s="1375"/>
      <c r="DC64" s="1383"/>
      <c r="DD64" s="1383"/>
      <c r="DE64" s="1382"/>
      <c r="DF64" s="1375"/>
      <c r="DG64" s="1375"/>
      <c r="DH64" s="1375"/>
      <c r="DI64" s="1383"/>
      <c r="DJ64" s="1383"/>
      <c r="DK64" s="1382"/>
      <c r="DL64" s="1375"/>
      <c r="DM64" s="1375"/>
      <c r="DN64" s="1375"/>
      <c r="DO64" s="1375"/>
      <c r="DP64" s="1383"/>
      <c r="DQ64" s="1382"/>
      <c r="DR64" s="1375"/>
      <c r="DS64" s="1375"/>
      <c r="DT64" s="1375"/>
      <c r="DU64" s="1375"/>
      <c r="DV64" s="1383"/>
      <c r="DW64" s="1382"/>
      <c r="DX64" s="1375"/>
      <c r="DY64" s="1375"/>
      <c r="DZ64" s="1383"/>
      <c r="EA64" s="1375"/>
      <c r="EB64" s="1383"/>
      <c r="EC64" s="1382"/>
      <c r="ED64" s="1375"/>
      <c r="EE64" s="1383"/>
      <c r="EF64" s="1383"/>
      <c r="EG64" s="1383"/>
      <c r="EH64" s="1383"/>
      <c r="EI64" s="1382"/>
      <c r="EJ64" s="1375"/>
      <c r="EK64" s="1383"/>
      <c r="EL64" s="1383"/>
      <c r="EM64" s="1383"/>
      <c r="EN64" s="1383"/>
      <c r="EO64" s="1382"/>
      <c r="EP64" s="1375"/>
      <c r="EQ64" s="1383"/>
      <c r="ER64" s="1383"/>
      <c r="ES64" s="1383"/>
      <c r="ET64" s="1383"/>
      <c r="EU64" s="1382"/>
      <c r="EV64" s="554"/>
      <c r="EW64" s="554"/>
      <c r="FD64" s="554"/>
      <c r="FE64" s="554"/>
      <c r="FF64" s="554"/>
      <c r="FG64" s="554"/>
      <c r="FH64" s="554"/>
      <c r="FI64" s="554"/>
      <c r="FJ64" s="554"/>
      <c r="FK64" s="554"/>
      <c r="FL64" s="554"/>
      <c r="FM64" s="554"/>
      <c r="FN64" s="554"/>
      <c r="FO64" s="554"/>
      <c r="FP64" s="554"/>
    </row>
    <row r="65" spans="1:172" ht="4.5" customHeight="1">
      <c r="A65" s="241"/>
      <c r="B65" s="1370"/>
      <c r="C65" s="1371"/>
      <c r="D65" s="578"/>
      <c r="E65" s="578"/>
      <c r="F65" s="578"/>
      <c r="G65" s="578"/>
      <c r="H65" s="578"/>
      <c r="I65" s="1371"/>
      <c r="J65" s="578"/>
      <c r="K65" s="578"/>
      <c r="L65" s="578"/>
      <c r="M65" s="578"/>
      <c r="N65" s="578"/>
      <c r="O65" s="1371"/>
      <c r="P65" s="578"/>
      <c r="Q65" s="578"/>
      <c r="R65" s="578"/>
      <c r="S65" s="578"/>
      <c r="T65" s="578"/>
      <c r="U65" s="578"/>
      <c r="V65" s="578"/>
      <c r="W65" s="578"/>
      <c r="X65" s="578"/>
      <c r="Y65" s="578"/>
      <c r="Z65" s="578"/>
      <c r="AA65" s="578"/>
      <c r="AB65" s="578"/>
      <c r="AC65" s="578"/>
      <c r="AD65" s="578"/>
      <c r="AE65" s="578"/>
      <c r="AF65" s="578"/>
      <c r="AG65" s="578"/>
      <c r="AH65" s="578"/>
      <c r="AI65" s="578"/>
      <c r="AJ65" s="578"/>
      <c r="AK65" s="578"/>
      <c r="AL65" s="578"/>
      <c r="AM65" s="578"/>
      <c r="AN65" s="578"/>
      <c r="AO65" s="578"/>
      <c r="AP65" s="578"/>
      <c r="AQ65" s="578"/>
      <c r="AR65" s="578"/>
      <c r="AS65" s="578"/>
      <c r="AT65" s="578"/>
      <c r="AU65" s="578"/>
      <c r="AV65" s="578"/>
      <c r="AW65" s="578"/>
      <c r="AX65" s="578"/>
      <c r="AY65" s="578"/>
      <c r="AZ65" s="578"/>
      <c r="BA65" s="578"/>
      <c r="BB65" s="578"/>
      <c r="BC65" s="578"/>
      <c r="BD65" s="578"/>
      <c r="BE65" s="578"/>
      <c r="BF65" s="578"/>
      <c r="BG65" s="578"/>
      <c r="BH65" s="241"/>
      <c r="BI65" s="578"/>
      <c r="BJ65" s="578"/>
      <c r="BK65" s="578">
        <v>0.3</v>
      </c>
      <c r="BL65" s="578"/>
      <c r="BM65" s="578"/>
      <c r="BN65" s="578"/>
      <c r="BO65" s="1388"/>
      <c r="BP65" s="578"/>
      <c r="BQ65" s="578"/>
      <c r="BR65" s="578"/>
      <c r="BS65" s="578"/>
      <c r="BT65" s="578"/>
      <c r="BU65" s="1388"/>
      <c r="BV65" s="578"/>
      <c r="BW65" s="241"/>
      <c r="BX65" s="241"/>
      <c r="BY65" s="241"/>
      <c r="BZ65" s="578"/>
      <c r="CA65" s="1388"/>
      <c r="CB65" s="578"/>
      <c r="CC65" s="241"/>
      <c r="CD65" s="241"/>
      <c r="CE65" s="241"/>
      <c r="CF65" s="241"/>
      <c r="CG65" s="1388"/>
      <c r="CH65" s="578"/>
      <c r="CI65" s="241"/>
      <c r="CJ65" s="241"/>
      <c r="CK65" s="241"/>
      <c r="CL65" s="578"/>
      <c r="CM65" s="1388"/>
      <c r="CN65" s="578"/>
      <c r="CO65" s="241"/>
      <c r="CP65" s="578"/>
      <c r="CQ65" s="578"/>
      <c r="CR65" s="578"/>
      <c r="CS65" s="1388"/>
      <c r="CT65" s="578"/>
      <c r="CU65" s="241"/>
      <c r="CV65" s="578"/>
      <c r="CW65" s="578"/>
      <c r="CX65" s="578"/>
      <c r="CY65" s="1388"/>
      <c r="CZ65" s="578"/>
      <c r="DA65" s="241"/>
      <c r="DB65" s="241"/>
      <c r="DC65" s="578"/>
      <c r="DD65" s="578"/>
      <c r="DE65" s="1388"/>
      <c r="DF65" s="578"/>
      <c r="DG65" s="241"/>
      <c r="DH65" s="241"/>
      <c r="DI65" s="578"/>
      <c r="DJ65" s="578"/>
      <c r="DK65" s="1388"/>
      <c r="DL65" s="578"/>
      <c r="DM65" s="241"/>
      <c r="DN65" s="241"/>
      <c r="DO65" s="241"/>
      <c r="DP65" s="578"/>
      <c r="DQ65" s="1388"/>
      <c r="DR65" s="578"/>
      <c r="DS65" s="241"/>
      <c r="DT65" s="241"/>
      <c r="DU65" s="241"/>
      <c r="DV65" s="578"/>
      <c r="DW65" s="1388"/>
      <c r="DX65" s="578"/>
      <c r="DY65" s="241"/>
      <c r="DZ65" s="578"/>
      <c r="EA65" s="241"/>
      <c r="EB65" s="578"/>
      <c r="EC65" s="1388"/>
      <c r="ED65" s="578"/>
      <c r="EE65" s="578"/>
      <c r="EF65" s="578"/>
      <c r="EG65" s="578"/>
      <c r="EH65" s="578"/>
      <c r="EI65" s="1388"/>
      <c r="EJ65" s="578"/>
      <c r="EK65" s="578"/>
      <c r="EL65" s="578"/>
      <c r="EM65" s="578"/>
      <c r="EN65" s="578"/>
      <c r="EO65" s="1388"/>
      <c r="EP65" s="578"/>
      <c r="EQ65" s="578"/>
      <c r="ER65" s="578"/>
      <c r="ES65" s="578"/>
      <c r="ET65" s="578"/>
      <c r="EU65" s="1388"/>
      <c r="EV65" s="578"/>
      <c r="EW65" s="578"/>
      <c r="FD65" s="578"/>
      <c r="FE65" s="578"/>
      <c r="FF65" s="578"/>
      <c r="FG65" s="578"/>
      <c r="FH65" s="578"/>
      <c r="FI65" s="578"/>
      <c r="FJ65" s="578"/>
      <c r="FK65" s="578"/>
      <c r="FL65" s="578"/>
      <c r="FM65" s="578"/>
      <c r="FN65" s="578"/>
      <c r="FO65" s="578"/>
      <c r="FP65" s="578"/>
    </row>
    <row r="66" spans="1:172" ht="10.5" customHeight="1">
      <c r="A66" s="1391" t="s">
        <v>831</v>
      </c>
      <c r="B66" s="1392"/>
      <c r="C66" s="1393"/>
      <c r="D66" s="1393"/>
      <c r="E66" s="1393"/>
      <c r="F66" s="1393"/>
      <c r="G66" s="1394"/>
      <c r="H66" s="1393"/>
      <c r="I66" s="1393"/>
      <c r="J66" s="1393"/>
      <c r="K66" s="1393"/>
      <c r="L66" s="1393"/>
      <c r="M66" s="1394"/>
      <c r="N66" s="1393"/>
      <c r="O66" s="1393">
        <f>O39+O52+O61+O63+O64</f>
        <v>51.447000000000031</v>
      </c>
      <c r="P66" s="1393">
        <f>P39+P52+P61+P63+P64</f>
        <v>-18.876999999999956</v>
      </c>
      <c r="Q66" s="1393">
        <f>Q39+Q52+Q61+Q63+Q64</f>
        <v>14.740000000000061</v>
      </c>
      <c r="R66" s="1393">
        <f>R39+R52+R61+R63+R64</f>
        <v>116.39299999999997</v>
      </c>
      <c r="S66" s="1394">
        <f>R66</f>
        <v>116.39299999999997</v>
      </c>
      <c r="T66" s="1393"/>
      <c r="U66" s="1394">
        <f>U39+U52+U61+U63+U64</f>
        <v>-65.607999999999976</v>
      </c>
      <c r="V66" s="1394">
        <f>V39+V52+V61+V63+V64</f>
        <v>-86.401999999999973</v>
      </c>
      <c r="W66" s="1393">
        <f>W39+W52+W61+W63+W64</f>
        <v>-75.746999999999986</v>
      </c>
      <c r="X66" s="1393">
        <f>X39+X52+X61+X63+X64</f>
        <v>-150.29800000000034</v>
      </c>
      <c r="Y66" s="1393">
        <f>X66</f>
        <v>-150.29800000000034</v>
      </c>
      <c r="Z66" s="1393"/>
      <c r="AA66" s="1393">
        <f>AA39+AA52+AA61+AA63+AA64</f>
        <v>-3.2800000000000438</v>
      </c>
      <c r="AB66" s="1393">
        <f>AB39+AB52+AB61+AB63+AB64</f>
        <v>-19.041999999999966</v>
      </c>
      <c r="AC66" s="1393">
        <f>AC39+AC52+AC61+AC63+AC64</f>
        <v>-12.741000000000042</v>
      </c>
      <c r="AD66" s="1393">
        <f>AD39+AD52+AD61+AD63+AD64</f>
        <v>7.7510000000000723</v>
      </c>
      <c r="AE66" s="1394">
        <f>AD66</f>
        <v>7.7510000000000723</v>
      </c>
      <c r="AF66" s="1393"/>
      <c r="AG66" s="1393">
        <f>AG39+AG52+AG61+AG63+AG64</f>
        <v>10.738999999999962</v>
      </c>
      <c r="AH66" s="1393">
        <f>AH39+AH52+AH61+AH63+AH64</f>
        <v>-4.252000000000054</v>
      </c>
      <c r="AI66" s="1393">
        <f>AI39+AI52+AI61+AI63+AI64</f>
        <v>-1.5530000000000785</v>
      </c>
      <c r="AJ66" s="1393">
        <f>AJ39+AJ52+AJ61+AJ63+AJ64</f>
        <v>25.404999999999959</v>
      </c>
      <c r="AK66" s="1393">
        <f>AK39+AK52+AK61+AK63+AK64</f>
        <v>25.404999999999959</v>
      </c>
      <c r="AL66" s="1393"/>
      <c r="AM66" s="1393">
        <f>AM39+AM52+AM61+AM63+AM64</f>
        <v>-20.059999999999999</v>
      </c>
      <c r="AN66" s="1393">
        <f>AN39+AN52+AN61+AN63+AN64</f>
        <v>-12.851999999999983</v>
      </c>
      <c r="AO66" s="1393">
        <f>AO39+AO52+AO61+AO63+AO64</f>
        <v>6.7529999999999992</v>
      </c>
      <c r="AP66" s="1393">
        <f>AP39+AP52+AP61+AP63+AP64</f>
        <v>28.690000000000122</v>
      </c>
      <c r="AQ66" s="1394">
        <f>AP66</f>
        <v>28.690000000000122</v>
      </c>
      <c r="AR66" s="1393"/>
      <c r="AS66" s="1393">
        <f>AS39+AS52+AS61+AS63+AS64</f>
        <v>-6.9340000000000028</v>
      </c>
      <c r="AT66" s="1393">
        <f>AT39+AT52+AT61+AT63+AT64</f>
        <v>33.046999999999969</v>
      </c>
      <c r="AU66" s="1393">
        <f>AU39+AU52+AU61+AU63+AU64</f>
        <v>48.33299999999997</v>
      </c>
      <c r="AV66" s="1393">
        <f>AV39+AV52+AV61+AV63+AV64</f>
        <v>95.872000000000071</v>
      </c>
      <c r="AW66" s="1394">
        <f>AV66</f>
        <v>95.872000000000071</v>
      </c>
      <c r="AX66" s="1393"/>
      <c r="AY66" s="1393">
        <f>AY39+AY52+AY61+AY63+AY64</f>
        <v>21.616000000000035</v>
      </c>
      <c r="AZ66" s="1393">
        <f>AZ39+AZ52+AZ61+AZ63+AZ64</f>
        <v>63.616000000000042</v>
      </c>
      <c r="BA66" s="1393">
        <f>BA39+BA52+BA61+BA63+BA64</f>
        <v>94.694000000000045</v>
      </c>
      <c r="BB66" s="1393">
        <f>BB39+BB52+BB61+BB63+BB64</f>
        <v>235.28300000000004</v>
      </c>
      <c r="BC66" s="1394">
        <f>BB66</f>
        <v>235.28300000000004</v>
      </c>
      <c r="BD66" s="1393"/>
      <c r="BE66" s="1393">
        <f>BE39+BE52+BE61+BE63+BE64</f>
        <v>0.41099999999997583</v>
      </c>
      <c r="BF66" s="1393">
        <f>BF39+BF52+BF61+BF63</f>
        <v>-38.973000000000056</v>
      </c>
      <c r="BG66" s="1393">
        <f>BG39+BG52+BG61+BG63</f>
        <v>-126.66900000000001</v>
      </c>
      <c r="BH66" s="1393">
        <f>BH39+BH52+BH61+BH63</f>
        <v>-230.32099999999983</v>
      </c>
      <c r="BI66" s="1394">
        <f>BH66</f>
        <v>-230.32099999999983</v>
      </c>
      <c r="BJ66" s="1393"/>
      <c r="BK66" s="1393">
        <f>BK39+BK52+BK61+BK63+BK64</f>
        <v>-29.900000000000016</v>
      </c>
      <c r="BL66" s="1393">
        <f>BL39+BL52+BL61+BL63</f>
        <v>151.90000000000003</v>
      </c>
      <c r="BM66" s="1393">
        <f>BM39+BM52+BM61+BM63</f>
        <v>227.70000000000002</v>
      </c>
      <c r="BN66" s="1393">
        <f>BN39+BN52+BN61+BN63</f>
        <v>378.69999999999993</v>
      </c>
      <c r="BO66" s="1395">
        <f>BN66</f>
        <v>378.69999999999993</v>
      </c>
      <c r="BP66" s="1393"/>
      <c r="BQ66" s="1393">
        <f>BQ39+BQ52+BQ61+BQ63+BQ64</f>
        <v>96.400000000000034</v>
      </c>
      <c r="BR66" s="1393">
        <f>BR39+BR52+BR61+BR63</f>
        <v>109.00000000000009</v>
      </c>
      <c r="BS66" s="1393">
        <f>BS39+BS52+BS61+BS63</f>
        <v>160.8000000000001</v>
      </c>
      <c r="BT66" s="1393">
        <f>BT39+BT52+BT61+BT63</f>
        <v>252.00000000000009</v>
      </c>
      <c r="BU66" s="1395">
        <f>BT66</f>
        <v>252.00000000000009</v>
      </c>
      <c r="BV66" s="1393"/>
      <c r="BW66" s="1393">
        <f>BW39+BW52+BW61+BW63+BW64</f>
        <v>-8.8000000000000007</v>
      </c>
      <c r="BX66" s="1393">
        <f>BX39+BX52+BX61+BX63</f>
        <v>11.699999999999937</v>
      </c>
      <c r="BY66" s="1393">
        <f>BY39+BY52+BY61+BY63</f>
        <v>-121.5</v>
      </c>
      <c r="BZ66" s="1393">
        <f>BZ39+BZ52+BZ61+BZ63</f>
        <v>-0.32000000000003292</v>
      </c>
      <c r="CA66" s="1395">
        <f>BZ66</f>
        <v>-0.32000000000003292</v>
      </c>
      <c r="CB66" s="1393"/>
      <c r="CC66" s="1393">
        <f>CC39+CC52+CC61+CC63+CC64</f>
        <v>-37.100000000000009</v>
      </c>
      <c r="CD66" s="1393">
        <f>CD39+CD52+CD61+CD63</f>
        <v>-249.10000000000002</v>
      </c>
      <c r="CE66" s="1393">
        <f>CE39+CE52+CE61+CE63</f>
        <v>-219.09999999999997</v>
      </c>
      <c r="CF66" s="1393">
        <f>CF39+CF52+CF61+CF63</f>
        <v>-78.899999999999991</v>
      </c>
      <c r="CG66" s="1395">
        <f>CF66</f>
        <v>-78.899999999999991</v>
      </c>
      <c r="CH66" s="1393"/>
      <c r="CI66" s="1393">
        <f>CI39+CI52+CI61+CI63+CI64</f>
        <v>99.4</v>
      </c>
      <c r="CJ66" s="1393">
        <f>CJ39+CJ52+CJ61+CJ63</f>
        <v>11.300000000000068</v>
      </c>
      <c r="CK66" s="1393">
        <f>CK39+CK52+CK61+CK63</f>
        <v>65.60000000000008</v>
      </c>
      <c r="CL66" s="1393">
        <f>CL39+CL52+CL61+CL63</f>
        <v>236.39999999999995</v>
      </c>
      <c r="CM66" s="1395">
        <f>CL66</f>
        <v>236.39999999999995</v>
      </c>
      <c r="CN66" s="1393"/>
      <c r="CO66" s="1393">
        <f>CO39+CO52+CO61+CO63+CO64</f>
        <v>16.29999999999999</v>
      </c>
      <c r="CP66" s="1393">
        <f>CP39+CP52+CP61+CP63</f>
        <v>56.399999999999913</v>
      </c>
      <c r="CQ66" s="1393">
        <f>CQ39+CQ52+CQ61+CQ63</f>
        <v>28.200000000000067</v>
      </c>
      <c r="CR66" s="1393">
        <f>CR39+CR52+CR61+CR63</f>
        <v>81.800000000000011</v>
      </c>
      <c r="CS66" s="1395">
        <f>CR66</f>
        <v>81.800000000000011</v>
      </c>
      <c r="CT66" s="1393"/>
      <c r="CU66" s="1710">
        <f>CU39+CU52+CU61+CU63+CU64</f>
        <v>-82.400000000000034</v>
      </c>
      <c r="CV66" s="1393">
        <f>CV39+CV52+CV61+CV63</f>
        <v>-226.69999999999996</v>
      </c>
      <c r="CW66" s="1393">
        <f>CW39+CW52+CW61+CW63</f>
        <v>-329.89999999999986</v>
      </c>
      <c r="CX66" s="1393">
        <f>CX39+CX52+CX61+CX63</f>
        <v>455.29999999999995</v>
      </c>
      <c r="CY66" s="1395">
        <f>CX66</f>
        <v>455.29999999999995</v>
      </c>
      <c r="CZ66" s="1393"/>
      <c r="DA66" s="1710">
        <f>DA39+DA52+DA61+DA63+DA64</f>
        <v>43.600000000000016</v>
      </c>
      <c r="DB66" s="1710">
        <f>DB39+DB52+DB61+DB63</f>
        <v>-211.49999999999991</v>
      </c>
      <c r="DC66" s="1393">
        <f>DC39+DC52+DC61+DC63</f>
        <v>-138.79999999999987</v>
      </c>
      <c r="DD66" s="1393">
        <f>DD39+DD52+DD61+DD63</f>
        <v>240.79999999999998</v>
      </c>
      <c r="DE66" s="1395">
        <f>DD66</f>
        <v>240.79999999999998</v>
      </c>
      <c r="DF66" s="1393"/>
      <c r="DG66" s="1710">
        <f>DG39+DG52+DG61+DG63+DG64</f>
        <v>-243.4</v>
      </c>
      <c r="DH66" s="1710">
        <f>DH39+DH52+DH61+DH63</f>
        <v>-529.9000000000002</v>
      </c>
      <c r="DI66" s="1393">
        <f>DI39+DI52+DI61+DI63</f>
        <v>-507.99999999999989</v>
      </c>
      <c r="DJ66" s="1393">
        <f>DJ39+DJ52+DJ61+DJ63</f>
        <v>-442.4</v>
      </c>
      <c r="DK66" s="1395">
        <f>DJ66</f>
        <v>-442.4</v>
      </c>
      <c r="DL66" s="1393"/>
      <c r="DM66" s="1710">
        <f>DM39+DM52+DM61+DM63+DM64</f>
        <v>-227.89999999999998</v>
      </c>
      <c r="DN66" s="1710">
        <f>DN39+DN52+DN61+DN63</f>
        <v>62.499999999999964</v>
      </c>
      <c r="DO66" s="1710">
        <f>DO39+DO52+DO61+DO63</f>
        <v>-73.099999999999994</v>
      </c>
      <c r="DP66" s="1393">
        <f>DP39+DP52+DP61+DP63</f>
        <v>-57.599999999999895</v>
      </c>
      <c r="DQ66" s="1395">
        <f>DP66</f>
        <v>-57.599999999999895</v>
      </c>
      <c r="DR66" s="1393"/>
      <c r="DS66" s="1710">
        <f>DS39+DS52+DS61+DS63+DS64</f>
        <v>-129.59999999999991</v>
      </c>
      <c r="DT66" s="1393">
        <f>DT39+DT52+DT61+DT63</f>
        <v>114.30899999999993</v>
      </c>
      <c r="DU66" s="1393">
        <f>DU39+DU52+DU61+DU63</f>
        <v>83.509000000000029</v>
      </c>
      <c r="DV66" s="1393">
        <f>DV39+DV52+DV61+DV63</f>
        <v>-139.90000000000009</v>
      </c>
      <c r="DW66" s="1395">
        <f>DV66</f>
        <v>-139.90000000000009</v>
      </c>
      <c r="DX66" s="1393"/>
      <c r="DY66" s="1710">
        <f>DY39+DY52+DY61+DY63+DY64</f>
        <v>127.10000000000009</v>
      </c>
      <c r="DZ66" s="1393">
        <f>DZ39+DZ52+DZ61+DZ63</f>
        <v>-39.00000000000005</v>
      </c>
      <c r="EA66" s="1393">
        <f>EA39+EA52+EA61+EA63</f>
        <v>-187.89100000000002</v>
      </c>
      <c r="EB66" s="1393">
        <f>EB39+EB52+EB61+EB63</f>
        <v>-135.09000000000012</v>
      </c>
      <c r="EC66" s="1395">
        <f>EB66</f>
        <v>-135.09000000000012</v>
      </c>
      <c r="ED66" s="1393"/>
      <c r="EE66" s="1393">
        <f>EE39+EE52+EE61+EE63+EE64</f>
        <v>-115.45051319949975</v>
      </c>
      <c r="EF66" s="1393">
        <f>EF39+EF52+EF61+EF63</f>
        <v>-243.27655037666364</v>
      </c>
      <c r="EG66" s="1393">
        <f>EG39+EG52+EG61+EG63</f>
        <v>-356.24696669670573</v>
      </c>
      <c r="EH66" s="1393">
        <f>EH39+EH52+EH61+EH63</f>
        <v>-155.0912801980362</v>
      </c>
      <c r="EI66" s="1395">
        <f>EH66</f>
        <v>-155.0912801980362</v>
      </c>
      <c r="EJ66" s="1393"/>
      <c r="EK66" s="1393">
        <f>EK39+EK52+EK61+EK63+EK64</f>
        <v>-168.04819247012225</v>
      </c>
      <c r="EL66" s="1393">
        <f>EL39+EL52+EL61+EL63</f>
        <v>-154.74059706655603</v>
      </c>
      <c r="EM66" s="1393">
        <f>EM39+EM52+EM61+EM63</f>
        <v>-118.16515620166206</v>
      </c>
      <c r="EN66" s="1393">
        <f>EN39+EN52+EN61+EN63</f>
        <v>336.09537164277788</v>
      </c>
      <c r="EO66" s="1395">
        <f>EN66</f>
        <v>336.09537164277788</v>
      </c>
      <c r="EP66" s="1393"/>
      <c r="EQ66" s="1393">
        <f>EQ39+EQ52+EQ61+EQ63+EQ64</f>
        <v>-21.132689921108465</v>
      </c>
      <c r="ER66" s="1393">
        <f>ER39+ER52+ER61+ER63</f>
        <v>44.002882246278659</v>
      </c>
      <c r="ES66" s="1393">
        <f>ES39+ES52+ES61+ES63</f>
        <v>102.59497662212823</v>
      </c>
      <c r="ET66" s="1393">
        <f>ET39+ET52+ET61+ET63</f>
        <v>527.87150249286162</v>
      </c>
      <c r="EU66" s="1395">
        <f>ET66</f>
        <v>527.87150249286162</v>
      </c>
      <c r="EV66" s="1368"/>
      <c r="EW66" s="1368"/>
      <c r="FD66" s="1368"/>
      <c r="FE66" s="1368"/>
      <c r="FF66" s="1368"/>
      <c r="FG66" s="1368"/>
      <c r="FH66" s="1368"/>
      <c r="FI66" s="1368"/>
      <c r="FJ66" s="1368"/>
      <c r="FK66" s="1368"/>
      <c r="FL66" s="1368"/>
      <c r="FM66" s="1368"/>
      <c r="FN66" s="1368"/>
      <c r="FO66" s="1368"/>
      <c r="FP66" s="1368"/>
    </row>
    <row r="67" spans="1:172" ht="6" customHeight="1">
      <c r="A67" s="241"/>
      <c r="B67" s="1370"/>
      <c r="C67" s="1371"/>
      <c r="D67" s="578"/>
      <c r="E67" s="578"/>
      <c r="F67" s="578"/>
      <c r="G67" s="578"/>
      <c r="H67" s="578"/>
      <c r="I67" s="1371"/>
      <c r="J67" s="578"/>
      <c r="K67" s="578"/>
      <c r="L67" s="578"/>
      <c r="M67" s="578"/>
      <c r="N67" s="578"/>
      <c r="O67" s="1371"/>
      <c r="P67" s="578"/>
      <c r="Q67" s="578"/>
      <c r="R67" s="578"/>
      <c r="S67" s="578"/>
      <c r="T67" s="578"/>
      <c r="U67" s="578"/>
      <c r="V67" s="578"/>
      <c r="W67" s="578"/>
      <c r="X67" s="578"/>
      <c r="Y67" s="578"/>
      <c r="Z67" s="578"/>
      <c r="AA67" s="578"/>
      <c r="AB67" s="578"/>
      <c r="AC67" s="578"/>
      <c r="AD67" s="578"/>
      <c r="AE67" s="578"/>
      <c r="AF67" s="578"/>
      <c r="AG67" s="578"/>
      <c r="AH67" s="578"/>
      <c r="AI67" s="578"/>
      <c r="AJ67" s="578"/>
      <c r="AK67" s="578"/>
      <c r="AL67" s="578"/>
      <c r="AM67" s="578"/>
      <c r="AN67" s="578"/>
      <c r="AO67" s="578"/>
      <c r="AP67" s="578"/>
      <c r="AQ67" s="578"/>
      <c r="AR67" s="578"/>
      <c r="AS67" s="578"/>
      <c r="AT67" s="578"/>
      <c r="AU67" s="578"/>
      <c r="AV67" s="578"/>
      <c r="AW67" s="578"/>
      <c r="AX67" s="578"/>
      <c r="AY67" s="578"/>
      <c r="AZ67" s="578"/>
      <c r="BA67" s="578"/>
      <c r="BB67" s="578"/>
      <c r="BC67" s="578"/>
      <c r="BD67" s="578"/>
      <c r="BE67" s="578"/>
      <c r="BF67" s="578"/>
      <c r="BG67" s="578"/>
      <c r="BH67" s="241"/>
      <c r="BI67" s="578"/>
      <c r="BJ67" s="578"/>
      <c r="BK67" s="578"/>
      <c r="BL67" s="578"/>
      <c r="BM67" s="578"/>
      <c r="BN67" s="578"/>
      <c r="BO67" s="1388"/>
      <c r="BP67" s="578"/>
      <c r="BQ67" s="578"/>
      <c r="BR67" s="578"/>
      <c r="BS67" s="578"/>
      <c r="BT67" s="578"/>
      <c r="BU67" s="1388"/>
      <c r="BV67" s="578"/>
      <c r="BW67" s="241"/>
      <c r="BX67" s="241"/>
      <c r="BY67" s="241"/>
      <c r="BZ67" s="578"/>
      <c r="CA67" s="1388"/>
      <c r="CB67" s="578"/>
      <c r="CC67" s="241"/>
      <c r="CD67" s="241"/>
      <c r="CE67" s="241"/>
      <c r="CF67" s="241"/>
      <c r="CG67" s="1388"/>
      <c r="CH67" s="578"/>
      <c r="CI67" s="241"/>
      <c r="CJ67" s="241"/>
      <c r="CK67" s="241"/>
      <c r="CL67" s="578"/>
      <c r="CM67" s="1388"/>
      <c r="CN67" s="578"/>
      <c r="CO67" s="578"/>
      <c r="CP67" s="578"/>
      <c r="CQ67" s="578"/>
      <c r="CR67" s="578"/>
      <c r="CS67" s="1388"/>
      <c r="CT67" s="578"/>
      <c r="CU67" s="578"/>
      <c r="CV67" s="578"/>
      <c r="CW67" s="578"/>
      <c r="CX67" s="578"/>
      <c r="CY67" s="1388"/>
      <c r="CZ67" s="578"/>
      <c r="DA67" s="578"/>
      <c r="DB67" s="578"/>
      <c r="DC67" s="578"/>
      <c r="DD67" s="578"/>
      <c r="DE67" s="1388"/>
      <c r="DF67" s="578"/>
      <c r="DG67" s="578"/>
      <c r="DH67" s="578"/>
      <c r="DI67" s="578"/>
      <c r="DJ67" s="578"/>
      <c r="DK67" s="1388"/>
      <c r="DL67" s="578"/>
      <c r="DM67" s="578"/>
      <c r="DN67" s="578"/>
      <c r="DO67" s="578"/>
      <c r="DP67" s="578"/>
      <c r="DQ67" s="1388"/>
      <c r="DR67" s="578"/>
      <c r="DS67" s="578"/>
      <c r="DT67" s="241"/>
      <c r="DU67" s="241"/>
      <c r="DV67" s="578"/>
      <c r="DW67" s="1388"/>
      <c r="DX67" s="578"/>
      <c r="DY67" s="578"/>
      <c r="DZ67" s="578"/>
      <c r="EA67" s="241"/>
      <c r="EB67" s="578"/>
      <c r="EC67" s="1388"/>
      <c r="ED67" s="578"/>
      <c r="EE67" s="578"/>
      <c r="EF67" s="578"/>
      <c r="EG67" s="578"/>
      <c r="EH67" s="578"/>
      <c r="EI67" s="1388"/>
      <c r="EJ67" s="578"/>
      <c r="EK67" s="578"/>
      <c r="EL67" s="578"/>
      <c r="EM67" s="578"/>
      <c r="EN67" s="578"/>
      <c r="EO67" s="1388"/>
      <c r="EP67" s="578"/>
      <c r="EQ67" s="578"/>
      <c r="ER67" s="578"/>
      <c r="ES67" s="578"/>
      <c r="ET67" s="578"/>
      <c r="EU67" s="1388"/>
      <c r="EV67" s="578"/>
      <c r="EW67" s="578"/>
      <c r="FD67" s="578"/>
      <c r="FE67" s="578"/>
      <c r="FF67" s="578"/>
      <c r="FG67" s="578"/>
      <c r="FH67" s="578"/>
      <c r="FI67" s="578"/>
      <c r="FJ67" s="578"/>
      <c r="FK67" s="578"/>
      <c r="FL67" s="578"/>
      <c r="FM67" s="578"/>
      <c r="FN67" s="578"/>
      <c r="FO67" s="578"/>
      <c r="FP67" s="578"/>
    </row>
    <row r="68" spans="1:172" ht="10.5" customHeight="1">
      <c r="A68" s="1391" t="s">
        <v>5544</v>
      </c>
      <c r="B68" s="1392"/>
      <c r="C68" s="1393"/>
      <c r="D68" s="1393"/>
      <c r="E68" s="1393"/>
      <c r="F68" s="1393"/>
      <c r="G68" s="1394"/>
      <c r="H68" s="1393"/>
      <c r="I68" s="1393"/>
      <c r="J68" s="1393"/>
      <c r="K68" s="1393"/>
      <c r="L68" s="1394"/>
      <c r="M68" s="1394"/>
      <c r="N68" s="1393"/>
      <c r="O68" s="1393">
        <f>M70</f>
        <v>0</v>
      </c>
      <c r="P68" s="1393">
        <f>O68</f>
        <v>0</v>
      </c>
      <c r="Q68" s="1393">
        <f>P68</f>
        <v>0</v>
      </c>
      <c r="R68" s="1393">
        <f>Q68</f>
        <v>0</v>
      </c>
      <c r="S68" s="1394">
        <f>M68</f>
        <v>0</v>
      </c>
      <c r="T68" s="1393"/>
      <c r="U68" s="1394">
        <f>R70</f>
        <v>116.39299999999997</v>
      </c>
      <c r="V68" s="1394">
        <f>U68</f>
        <v>116.39299999999997</v>
      </c>
      <c r="W68" s="1393">
        <f>V68</f>
        <v>116.39299999999997</v>
      </c>
      <c r="X68" s="1393">
        <f>W68</f>
        <v>116.39299999999997</v>
      </c>
      <c r="Y68" s="1394">
        <f>S68</f>
        <v>0</v>
      </c>
      <c r="Z68" s="1393"/>
      <c r="AA68" s="1393">
        <f>X70</f>
        <v>-33.905000000000371</v>
      </c>
      <c r="AB68" s="1393">
        <f>AA68</f>
        <v>-33.905000000000371</v>
      </c>
      <c r="AC68" s="1393">
        <f>AA68</f>
        <v>-33.905000000000371</v>
      </c>
      <c r="AD68" s="1393">
        <f>AC68</f>
        <v>-33.905000000000371</v>
      </c>
      <c r="AE68" s="1394">
        <f>AD68</f>
        <v>-33.905000000000371</v>
      </c>
      <c r="AF68" s="1393"/>
      <c r="AG68" s="1393">
        <v>132.28200000000001</v>
      </c>
      <c r="AH68" s="1393">
        <f>AG70</f>
        <v>143.02099999999996</v>
      </c>
      <c r="AI68" s="1393">
        <f>AH70</f>
        <v>128.02999999999994</v>
      </c>
      <c r="AJ68" s="1393">
        <f>AI70</f>
        <v>130.72899999999993</v>
      </c>
      <c r="AK68" s="1394">
        <f>AG68</f>
        <v>132.28200000000001</v>
      </c>
      <c r="AL68" s="1393"/>
      <c r="AM68" s="1393">
        <f>AJ70</f>
        <v>157.68699999999995</v>
      </c>
      <c r="AN68" s="1393">
        <f>AM68</f>
        <v>157.68699999999995</v>
      </c>
      <c r="AO68" s="1393">
        <f>AN68</f>
        <v>157.68699999999995</v>
      </c>
      <c r="AP68" s="1393">
        <f>AO68</f>
        <v>157.68699999999995</v>
      </c>
      <c r="AQ68" s="1394">
        <f>AK70</f>
        <v>157.68699999999995</v>
      </c>
      <c r="AR68" s="1393"/>
      <c r="AS68" s="1393">
        <f>AP70</f>
        <v>186.37700000000007</v>
      </c>
      <c r="AT68" s="1393">
        <f>AS70</f>
        <v>179.44300000000007</v>
      </c>
      <c r="AU68" s="1393">
        <f>AT70</f>
        <v>219.42400000000004</v>
      </c>
      <c r="AV68" s="1393">
        <f>AU70</f>
        <v>234.71000000000004</v>
      </c>
      <c r="AW68" s="1394">
        <f>AQ70</f>
        <v>186.37700000000007</v>
      </c>
      <c r="AX68" s="1393"/>
      <c r="AY68" s="1393">
        <f>AV70</f>
        <v>282.24900000000014</v>
      </c>
      <c r="AZ68" s="1393">
        <f>AY70</f>
        <v>303.86500000000018</v>
      </c>
      <c r="BA68" s="1393">
        <f>AZ70</f>
        <v>345.86500000000018</v>
      </c>
      <c r="BB68" s="1393">
        <f>BA70</f>
        <v>376.94300000000021</v>
      </c>
      <c r="BC68" s="1394">
        <f>AW70</f>
        <v>282.24900000000014</v>
      </c>
      <c r="BD68" s="1393"/>
      <c r="BE68" s="1393">
        <f>BB70</f>
        <v>517.53200000000015</v>
      </c>
      <c r="BF68" s="1393">
        <f>BE68</f>
        <v>517.53200000000015</v>
      </c>
      <c r="BG68" s="1393">
        <f>BF68</f>
        <v>517.53200000000015</v>
      </c>
      <c r="BH68" s="1393">
        <f>BG68</f>
        <v>517.53200000000015</v>
      </c>
      <c r="BI68" s="1394">
        <f>BH68</f>
        <v>517.53200000000015</v>
      </c>
      <c r="BJ68" s="1393"/>
      <c r="BK68" s="1393">
        <f>BH70</f>
        <v>287.21100000000035</v>
      </c>
      <c r="BL68" s="1393">
        <f>BK68</f>
        <v>287.21100000000035</v>
      </c>
      <c r="BM68" s="1393">
        <f>BL68</f>
        <v>287.21100000000035</v>
      </c>
      <c r="BN68" s="1393">
        <f>BM68</f>
        <v>287.21100000000035</v>
      </c>
      <c r="BO68" s="1395">
        <f>BN68</f>
        <v>287.21100000000035</v>
      </c>
      <c r="BP68" s="1393"/>
      <c r="BQ68" s="1393">
        <f>BN70</f>
        <v>665.91100000000029</v>
      </c>
      <c r="BR68" s="1393">
        <f>BQ68</f>
        <v>665.91100000000029</v>
      </c>
      <c r="BS68" s="1393">
        <f>BR68</f>
        <v>665.91100000000029</v>
      </c>
      <c r="BT68" s="1393">
        <f>BS68</f>
        <v>665.91100000000029</v>
      </c>
      <c r="BU68" s="1395">
        <f>BT68</f>
        <v>665.91100000000029</v>
      </c>
      <c r="BV68" s="1393"/>
      <c r="BW68" s="1393">
        <f>BT70</f>
        <v>917.9110000000004</v>
      </c>
      <c r="BX68" s="1393">
        <f>BW68</f>
        <v>917.9110000000004</v>
      </c>
      <c r="BY68" s="1393">
        <f>BX68</f>
        <v>917.9110000000004</v>
      </c>
      <c r="BZ68" s="1393">
        <f>BY68</f>
        <v>917.9110000000004</v>
      </c>
      <c r="CA68" s="1395">
        <f>BZ68</f>
        <v>917.9110000000004</v>
      </c>
      <c r="CB68" s="1393"/>
      <c r="CC68" s="1393">
        <f>BZ70</f>
        <v>917.59100000000035</v>
      </c>
      <c r="CD68" s="1393">
        <f>CC68</f>
        <v>917.59100000000035</v>
      </c>
      <c r="CE68" s="1393">
        <f>CD68</f>
        <v>917.59100000000035</v>
      </c>
      <c r="CF68" s="1393">
        <f>CE68</f>
        <v>917.59100000000035</v>
      </c>
      <c r="CG68" s="1395">
        <f>CF68</f>
        <v>917.59100000000035</v>
      </c>
      <c r="CH68" s="1393"/>
      <c r="CI68" s="1393">
        <f>CF70</f>
        <v>838.69100000000037</v>
      </c>
      <c r="CJ68" s="1393">
        <f>CI68</f>
        <v>838.69100000000037</v>
      </c>
      <c r="CK68" s="1393">
        <f>CJ68</f>
        <v>838.69100000000037</v>
      </c>
      <c r="CL68" s="1393">
        <f>CK68</f>
        <v>838.69100000000037</v>
      </c>
      <c r="CM68" s="1395">
        <f>CL68</f>
        <v>838.69100000000037</v>
      </c>
      <c r="CN68" s="1393"/>
      <c r="CO68" s="1393">
        <f>CL70</f>
        <v>1075.0910000000003</v>
      </c>
      <c r="CP68" s="1393">
        <f>CO68</f>
        <v>1075.0910000000003</v>
      </c>
      <c r="CQ68" s="1393">
        <f>CP68</f>
        <v>1075.0910000000003</v>
      </c>
      <c r="CR68" s="1393">
        <f>CQ68</f>
        <v>1075.0910000000003</v>
      </c>
      <c r="CS68" s="1395">
        <f>CR68</f>
        <v>1075.0910000000003</v>
      </c>
      <c r="CT68" s="1393"/>
      <c r="CU68" s="1393">
        <f>CR70</f>
        <v>1156.8910000000003</v>
      </c>
      <c r="CV68" s="1393">
        <f>CU68</f>
        <v>1156.8910000000003</v>
      </c>
      <c r="CW68" s="1393">
        <f>CV68</f>
        <v>1156.8910000000003</v>
      </c>
      <c r="CX68" s="1393">
        <f>CW68</f>
        <v>1156.8910000000003</v>
      </c>
      <c r="CY68" s="1395">
        <f>CX68</f>
        <v>1156.8910000000003</v>
      </c>
      <c r="CZ68" s="1393"/>
      <c r="DA68" s="1393">
        <f>CX70</f>
        <v>1612.1910000000003</v>
      </c>
      <c r="DB68" s="1393">
        <f>DA68</f>
        <v>1612.1910000000003</v>
      </c>
      <c r="DC68" s="1393">
        <f>DB68</f>
        <v>1612.1910000000003</v>
      </c>
      <c r="DD68" s="1393">
        <f>DC68</f>
        <v>1612.1910000000003</v>
      </c>
      <c r="DE68" s="1395">
        <f>DD68</f>
        <v>1612.1910000000003</v>
      </c>
      <c r="DF68" s="1393"/>
      <c r="DG68" s="1393">
        <f>DD70</f>
        <v>1852.9910000000002</v>
      </c>
      <c r="DH68" s="1393">
        <f>DG68</f>
        <v>1852.9910000000002</v>
      </c>
      <c r="DI68" s="1393">
        <f>DH68</f>
        <v>1852.9910000000002</v>
      </c>
      <c r="DJ68" s="1393">
        <f>DI68</f>
        <v>1852.9910000000002</v>
      </c>
      <c r="DK68" s="1395">
        <f>DJ68</f>
        <v>1852.9910000000002</v>
      </c>
      <c r="DL68" s="1393"/>
      <c r="DM68" s="1393">
        <f>DJ70</f>
        <v>1410.5910000000003</v>
      </c>
      <c r="DN68" s="1393">
        <f>DM68</f>
        <v>1410.5910000000003</v>
      </c>
      <c r="DO68" s="1393">
        <f>DN68</f>
        <v>1410.5910000000003</v>
      </c>
      <c r="DP68" s="1393">
        <f>DO68</f>
        <v>1410.5910000000003</v>
      </c>
      <c r="DQ68" s="1395">
        <f>DP68</f>
        <v>1410.5910000000003</v>
      </c>
      <c r="DR68" s="1393"/>
      <c r="DS68" s="1393">
        <f>DP70</f>
        <v>1352.9910000000004</v>
      </c>
      <c r="DT68" s="1393">
        <f>DS68</f>
        <v>1352.9910000000004</v>
      </c>
      <c r="DU68" s="1393">
        <f>DT68</f>
        <v>1352.9910000000004</v>
      </c>
      <c r="DV68" s="1393">
        <f>DU68</f>
        <v>1352.9910000000004</v>
      </c>
      <c r="DW68" s="1395">
        <f>DV68</f>
        <v>1352.9910000000004</v>
      </c>
      <c r="DX68" s="1393"/>
      <c r="DY68" s="1393">
        <f>DV70</f>
        <v>1213.0910000000003</v>
      </c>
      <c r="DZ68" s="1393">
        <f>DY68</f>
        <v>1213.0910000000003</v>
      </c>
      <c r="EA68" s="1393">
        <f>DZ68</f>
        <v>1213.0910000000003</v>
      </c>
      <c r="EB68" s="1393">
        <f>EA68</f>
        <v>1213.0910000000003</v>
      </c>
      <c r="EC68" s="1395">
        <f>EB68</f>
        <v>1213.0910000000003</v>
      </c>
      <c r="ED68" s="1393"/>
      <c r="EE68" s="1393">
        <f>EB70</f>
        <v>1078.0010000000002</v>
      </c>
      <c r="EF68" s="1393">
        <f>EE68</f>
        <v>1078.0010000000002</v>
      </c>
      <c r="EG68" s="1393">
        <f>EF68</f>
        <v>1078.0010000000002</v>
      </c>
      <c r="EH68" s="1393">
        <f>EG68</f>
        <v>1078.0010000000002</v>
      </c>
      <c r="EI68" s="1395">
        <f>EH68</f>
        <v>1078.0010000000002</v>
      </c>
      <c r="EJ68" s="1393"/>
      <c r="EK68" s="1393">
        <f>EH70</f>
        <v>922.909719801964</v>
      </c>
      <c r="EL68" s="1393">
        <f>EK68</f>
        <v>922.909719801964</v>
      </c>
      <c r="EM68" s="1393">
        <f>EL68</f>
        <v>922.909719801964</v>
      </c>
      <c r="EN68" s="1393">
        <f>EM68</f>
        <v>922.909719801964</v>
      </c>
      <c r="EO68" s="1395">
        <f>EN68</f>
        <v>922.909719801964</v>
      </c>
      <c r="EP68" s="1393"/>
      <c r="EQ68" s="1393">
        <f>EN70</f>
        <v>1259.005091444742</v>
      </c>
      <c r="ER68" s="1393">
        <f>EQ68</f>
        <v>1259.005091444742</v>
      </c>
      <c r="ES68" s="1393">
        <f>ER68</f>
        <v>1259.005091444742</v>
      </c>
      <c r="ET68" s="1393">
        <f>ES68</f>
        <v>1259.005091444742</v>
      </c>
      <c r="EU68" s="1395">
        <f>ET68</f>
        <v>1259.005091444742</v>
      </c>
      <c r="EV68" s="1368"/>
      <c r="EW68" s="1368"/>
      <c r="FD68" s="1368"/>
      <c r="FE68" s="1368"/>
      <c r="FF68" s="1368"/>
      <c r="FG68" s="1368"/>
      <c r="FH68" s="1368"/>
      <c r="FI68" s="1368"/>
      <c r="FJ68" s="1368"/>
      <c r="FK68" s="1368"/>
      <c r="FL68" s="1368"/>
      <c r="FM68" s="1368"/>
      <c r="FN68" s="1368"/>
      <c r="FO68" s="1368"/>
      <c r="FP68" s="1368"/>
    </row>
    <row r="69" spans="1:172" ht="6" customHeight="1" thickBot="1">
      <c r="A69" s="241"/>
      <c r="B69" s="1370"/>
      <c r="C69" s="1371"/>
      <c r="D69" s="578"/>
      <c r="E69" s="578"/>
      <c r="F69" s="578"/>
      <c r="G69" s="578"/>
      <c r="H69" s="578"/>
      <c r="I69" s="1371"/>
      <c r="J69" s="578"/>
      <c r="K69" s="578"/>
      <c r="L69" s="578"/>
      <c r="M69" s="578"/>
      <c r="N69" s="578"/>
      <c r="O69" s="1371"/>
      <c r="P69" s="578"/>
      <c r="Q69" s="578"/>
      <c r="R69" s="578"/>
      <c r="S69" s="578"/>
      <c r="T69" s="578"/>
      <c r="U69" s="578"/>
      <c r="V69" s="578"/>
      <c r="W69" s="578"/>
      <c r="X69" s="578"/>
      <c r="Y69" s="578"/>
      <c r="Z69" s="578"/>
      <c r="AA69" s="1372"/>
      <c r="AB69" s="1372"/>
      <c r="AC69" s="1372"/>
      <c r="AD69" s="1372"/>
      <c r="AE69" s="578"/>
      <c r="AF69" s="578"/>
      <c r="AG69" s="1372"/>
      <c r="AH69" s="1372"/>
      <c r="AI69" s="1372"/>
      <c r="AJ69" s="1372"/>
      <c r="AK69" s="578"/>
      <c r="AL69" s="578"/>
      <c r="AM69" s="1372"/>
      <c r="AN69" s="1372"/>
      <c r="AO69" s="1372"/>
      <c r="AP69" s="1372"/>
      <c r="AQ69" s="1372"/>
      <c r="AR69" s="578"/>
      <c r="AS69" s="1372"/>
      <c r="AT69" s="1372"/>
      <c r="AU69" s="1372"/>
      <c r="AV69" s="1372"/>
      <c r="AW69" s="578"/>
      <c r="AX69" s="578"/>
      <c r="AY69" s="578"/>
      <c r="AZ69" s="578"/>
      <c r="BA69" s="578"/>
      <c r="BB69" s="578"/>
      <c r="BC69" s="578"/>
      <c r="BD69" s="578"/>
      <c r="BE69" s="578"/>
      <c r="BF69" s="578"/>
      <c r="BG69" s="578"/>
      <c r="BH69" s="241"/>
      <c r="BI69" s="578"/>
      <c r="BJ69" s="578"/>
      <c r="BK69" s="578"/>
      <c r="BL69" s="578"/>
      <c r="BM69" s="578"/>
      <c r="BN69" s="578"/>
      <c r="BO69" s="1388"/>
      <c r="BP69" s="578"/>
      <c r="BQ69" s="578"/>
      <c r="BR69" s="578"/>
      <c r="BS69" s="578"/>
      <c r="BT69" s="578"/>
      <c r="BU69" s="1388"/>
      <c r="BV69" s="578"/>
      <c r="BW69" s="241"/>
      <c r="BX69" s="241"/>
      <c r="BY69" s="241"/>
      <c r="BZ69" s="578"/>
      <c r="CA69" s="1388"/>
      <c r="CB69" s="578"/>
      <c r="CC69" s="241"/>
      <c r="CD69" s="241"/>
      <c r="CE69" s="241"/>
      <c r="CF69" s="241"/>
      <c r="CG69" s="1388"/>
      <c r="CH69" s="578"/>
      <c r="CI69" s="241"/>
      <c r="CJ69" s="241"/>
      <c r="CK69" s="241"/>
      <c r="CL69" s="578"/>
      <c r="CM69" s="1388"/>
      <c r="CN69" s="578"/>
      <c r="CO69" s="578"/>
      <c r="CP69" s="578"/>
      <c r="CQ69" s="578"/>
      <c r="CR69" s="578"/>
      <c r="CS69" s="1388"/>
      <c r="CT69" s="578"/>
      <c r="CU69" s="578"/>
      <c r="CV69" s="578"/>
      <c r="CW69" s="578"/>
      <c r="CX69" s="578"/>
      <c r="CY69" s="1388"/>
      <c r="CZ69" s="578"/>
      <c r="DA69" s="578"/>
      <c r="DB69" s="578"/>
      <c r="DC69" s="578"/>
      <c r="DD69" s="578"/>
      <c r="DE69" s="1388"/>
      <c r="DF69" s="578"/>
      <c r="DG69" s="578"/>
      <c r="DH69" s="578"/>
      <c r="DI69" s="578"/>
      <c r="DJ69" s="578"/>
      <c r="DK69" s="1388"/>
      <c r="DL69" s="578"/>
      <c r="DM69" s="578"/>
      <c r="DN69" s="578"/>
      <c r="DO69" s="578"/>
      <c r="DP69" s="578"/>
      <c r="DQ69" s="1388"/>
      <c r="DR69" s="578"/>
      <c r="DS69" s="578"/>
      <c r="DT69" s="241"/>
      <c r="DU69" s="241"/>
      <c r="DV69" s="578"/>
      <c r="DW69" s="1388"/>
      <c r="DX69" s="578"/>
      <c r="DY69" s="578"/>
      <c r="DZ69" s="578"/>
      <c r="EA69" s="241"/>
      <c r="EB69" s="578"/>
      <c r="EC69" s="1388"/>
      <c r="ED69" s="578"/>
      <c r="EE69" s="578"/>
      <c r="EF69" s="578"/>
      <c r="EG69" s="578"/>
      <c r="EH69" s="578"/>
      <c r="EI69" s="1388"/>
      <c r="EJ69" s="578"/>
      <c r="EK69" s="578"/>
      <c r="EL69" s="578"/>
      <c r="EM69" s="578"/>
      <c r="EN69" s="578"/>
      <c r="EO69" s="1388"/>
      <c r="EP69" s="578"/>
      <c r="EQ69" s="578"/>
      <c r="ER69" s="578"/>
      <c r="ES69" s="578"/>
      <c r="ET69" s="578"/>
      <c r="EU69" s="1388"/>
      <c r="EV69" s="578"/>
      <c r="EW69" s="578"/>
      <c r="FD69" s="578"/>
      <c r="FE69" s="578"/>
      <c r="FF69" s="578"/>
      <c r="FG69" s="578"/>
      <c r="FH69" s="578"/>
      <c r="FI69" s="578"/>
      <c r="FJ69" s="578"/>
      <c r="FK69" s="578"/>
      <c r="FL69" s="578"/>
      <c r="FM69" s="578"/>
      <c r="FN69" s="578"/>
      <c r="FO69" s="578"/>
      <c r="FP69" s="578"/>
    </row>
    <row r="70" spans="1:172" ht="12" customHeight="1" thickBot="1">
      <c r="A70" s="1367" t="s">
        <v>4675</v>
      </c>
      <c r="B70" s="1384"/>
      <c r="C70" s="1384"/>
      <c r="D70" s="1384"/>
      <c r="E70" s="1384"/>
      <c r="F70" s="1384"/>
      <c r="G70" s="1384"/>
      <c r="H70" s="1384"/>
      <c r="I70" s="1384"/>
      <c r="J70" s="1384"/>
      <c r="K70" s="1384"/>
      <c r="L70" s="1384"/>
      <c r="M70" s="1384"/>
      <c r="N70" s="1384"/>
      <c r="O70" s="1384">
        <f>O66+O68</f>
        <v>51.447000000000031</v>
      </c>
      <c r="P70" s="1384">
        <f>P66+P68</f>
        <v>-18.876999999999956</v>
      </c>
      <c r="Q70" s="1384">
        <f>Q66+Q68</f>
        <v>14.740000000000061</v>
      </c>
      <c r="R70" s="1384">
        <f>R66+R68</f>
        <v>116.39299999999997</v>
      </c>
      <c r="S70" s="1384">
        <f>S66+S68</f>
        <v>116.39299999999997</v>
      </c>
      <c r="T70" s="1328"/>
      <c r="U70" s="1385">
        <f>U66+U68</f>
        <v>50.784999999999997</v>
      </c>
      <c r="V70" s="1385">
        <f>V66+V68</f>
        <v>29.991</v>
      </c>
      <c r="W70" s="1385">
        <f>W66+W68</f>
        <v>40.645999999999987</v>
      </c>
      <c r="X70" s="1385">
        <f>X68+X66</f>
        <v>-33.905000000000371</v>
      </c>
      <c r="Y70" s="1385">
        <f>X70</f>
        <v>-33.905000000000371</v>
      </c>
      <c r="Z70" s="1328"/>
      <c r="AA70" s="1385">
        <f>AA66+AA68</f>
        <v>-37.185000000000414</v>
      </c>
      <c r="AB70" s="1385">
        <f>AB66+AB68</f>
        <v>-52.947000000000337</v>
      </c>
      <c r="AC70" s="1385">
        <f>AC66+AC68</f>
        <v>-46.646000000000413</v>
      </c>
      <c r="AD70" s="1385">
        <f>AD66+AD68</f>
        <v>-26.154000000000298</v>
      </c>
      <c r="AE70" s="1385">
        <f>AE66+AE68</f>
        <v>-26.154000000000298</v>
      </c>
      <c r="AF70" s="1385"/>
      <c r="AG70" s="1385">
        <f>AG66+AG68</f>
        <v>143.02099999999996</v>
      </c>
      <c r="AH70" s="1385">
        <f>AH66+AG68</f>
        <v>128.02999999999994</v>
      </c>
      <c r="AI70" s="1385">
        <f>AI66+AG68</f>
        <v>130.72899999999993</v>
      </c>
      <c r="AJ70" s="1385">
        <f>AJ66+AG68</f>
        <v>157.68699999999995</v>
      </c>
      <c r="AK70" s="1385">
        <f>AK66+AK68</f>
        <v>157.68699999999995</v>
      </c>
      <c r="AL70" s="1385"/>
      <c r="AM70" s="1385">
        <f>AM66+AM68</f>
        <v>137.62699999999995</v>
      </c>
      <c r="AN70" s="1385">
        <f>AN66+AM68</f>
        <v>144.83499999999998</v>
      </c>
      <c r="AO70" s="1385">
        <f>AO66+AM68</f>
        <v>164.43999999999994</v>
      </c>
      <c r="AP70" s="1385">
        <f>AP66+AM68</f>
        <v>186.37700000000007</v>
      </c>
      <c r="AQ70" s="1385">
        <f>AQ66+AQ68</f>
        <v>186.37700000000007</v>
      </c>
      <c r="AR70" s="1385"/>
      <c r="AS70" s="1385">
        <f>AS66+AS68</f>
        <v>179.44300000000007</v>
      </c>
      <c r="AT70" s="1385">
        <f>AT66+AS68</f>
        <v>219.42400000000004</v>
      </c>
      <c r="AU70" s="1385">
        <f>AU66+AS68</f>
        <v>234.71000000000004</v>
      </c>
      <c r="AV70" s="1385">
        <f>AV66+AS68</f>
        <v>282.24900000000014</v>
      </c>
      <c r="AW70" s="1385">
        <f>AW66+AW68</f>
        <v>282.24900000000014</v>
      </c>
      <c r="AX70" s="1328"/>
      <c r="AY70" s="1385">
        <f>AY66+AY68</f>
        <v>303.86500000000018</v>
      </c>
      <c r="AZ70" s="1385">
        <f>AZ66+AY68</f>
        <v>345.86500000000018</v>
      </c>
      <c r="BA70" s="1385">
        <f>BA66+AY68</f>
        <v>376.94300000000021</v>
      </c>
      <c r="BB70" s="1385">
        <f>BB66+AY68</f>
        <v>517.53200000000015</v>
      </c>
      <c r="BC70" s="1385">
        <f>BC66+BC68</f>
        <v>517.53200000000015</v>
      </c>
      <c r="BD70" s="1328"/>
      <c r="BE70" s="1385">
        <f>BE66+BE68</f>
        <v>517.9430000000001</v>
      </c>
      <c r="BF70" s="1385">
        <f>BF66+BE68</f>
        <v>478.55900000000008</v>
      </c>
      <c r="BG70" s="1385">
        <f>BG66+BE68</f>
        <v>390.86300000000017</v>
      </c>
      <c r="BH70" s="1385">
        <f>BH66+BE68</f>
        <v>287.21100000000035</v>
      </c>
      <c r="BI70" s="1385">
        <f>BI66+BI68</f>
        <v>287.21100000000035</v>
      </c>
      <c r="BJ70" s="1384"/>
      <c r="BK70" s="1385">
        <f>BK66+BK68</f>
        <v>257.31100000000032</v>
      </c>
      <c r="BL70" s="1385">
        <f>BL66+BK68</f>
        <v>439.11100000000039</v>
      </c>
      <c r="BM70" s="1385">
        <f>BM66+BK68</f>
        <v>514.9110000000004</v>
      </c>
      <c r="BN70" s="1385">
        <f>BN66+BK68</f>
        <v>665.91100000000029</v>
      </c>
      <c r="BO70" s="1386">
        <f>BO66+BO68</f>
        <v>665.91100000000029</v>
      </c>
      <c r="BP70" s="1384"/>
      <c r="BQ70" s="1385">
        <f>BQ66+BQ68</f>
        <v>762.31100000000038</v>
      </c>
      <c r="BR70" s="1385">
        <f>BR66+BQ68</f>
        <v>774.9110000000004</v>
      </c>
      <c r="BS70" s="1385">
        <f>BS66+BQ68</f>
        <v>826.71100000000035</v>
      </c>
      <c r="BT70" s="1385">
        <f>BT66+BQ68</f>
        <v>917.9110000000004</v>
      </c>
      <c r="BU70" s="1386">
        <f>BU66+BU68</f>
        <v>917.9110000000004</v>
      </c>
      <c r="BV70" s="1384"/>
      <c r="BW70" s="1385">
        <f>BW66+BW68</f>
        <v>909.11100000000044</v>
      </c>
      <c r="BX70" s="1385">
        <f>BX66+BW68</f>
        <v>929.61100000000033</v>
      </c>
      <c r="BY70" s="1385">
        <f>BY66+BW68</f>
        <v>796.4110000000004</v>
      </c>
      <c r="BZ70" s="1385">
        <f>BZ66+BW68</f>
        <v>917.59100000000035</v>
      </c>
      <c r="CA70" s="1386">
        <f>CA66+CA68</f>
        <v>917.59100000000035</v>
      </c>
      <c r="CB70" s="1384"/>
      <c r="CC70" s="1385">
        <f>CC66+CC68</f>
        <v>880.49100000000033</v>
      </c>
      <c r="CD70" s="1385">
        <f>CD66+CC68</f>
        <v>668.49100000000033</v>
      </c>
      <c r="CE70" s="1385">
        <f>CE66+CC68</f>
        <v>698.49100000000044</v>
      </c>
      <c r="CF70" s="1385">
        <f>CF66+CC68</f>
        <v>838.69100000000037</v>
      </c>
      <c r="CG70" s="1386">
        <f>CG66+CG68</f>
        <v>838.69100000000037</v>
      </c>
      <c r="CH70" s="1384"/>
      <c r="CI70" s="1385">
        <f>CI66+CI68</f>
        <v>938.09100000000035</v>
      </c>
      <c r="CJ70" s="1385">
        <f>CJ66+CI68</f>
        <v>849.99100000000044</v>
      </c>
      <c r="CK70" s="1385">
        <f>CK66+CI68</f>
        <v>904.29100000000039</v>
      </c>
      <c r="CL70" s="1385">
        <f>CL66+CI68</f>
        <v>1075.0910000000003</v>
      </c>
      <c r="CM70" s="1387">
        <f>CM66+CM68</f>
        <v>1075.0910000000003</v>
      </c>
      <c r="CN70" s="1384"/>
      <c r="CO70" s="1385">
        <f>CO66+CO68</f>
        <v>1091.3910000000003</v>
      </c>
      <c r="CP70" s="1385">
        <f>CP66+CO68</f>
        <v>1131.4910000000002</v>
      </c>
      <c r="CQ70" s="1385">
        <f>CQ66+CO68</f>
        <v>1103.2910000000004</v>
      </c>
      <c r="CR70" s="1385">
        <f>CR66+CO68</f>
        <v>1156.8910000000003</v>
      </c>
      <c r="CS70" s="1387">
        <f>CS66+CS68</f>
        <v>1156.8910000000003</v>
      </c>
      <c r="CT70" s="1384"/>
      <c r="CU70" s="1385">
        <f>CU66+CU68</f>
        <v>1074.4910000000002</v>
      </c>
      <c r="CV70" s="1385">
        <f>CV66+CU68</f>
        <v>930.19100000000037</v>
      </c>
      <c r="CW70" s="1385">
        <f>CW66+CU68</f>
        <v>826.99100000000044</v>
      </c>
      <c r="CX70" s="1385">
        <f>CX66+CU68</f>
        <v>1612.1910000000003</v>
      </c>
      <c r="CY70" s="1387">
        <f>CY66+CY68</f>
        <v>1612.1910000000003</v>
      </c>
      <c r="CZ70" s="1384"/>
      <c r="DA70" s="1385">
        <f>DA66+DA68</f>
        <v>1655.7910000000002</v>
      </c>
      <c r="DB70" s="1385">
        <f>DB66+DA68</f>
        <v>1400.6910000000003</v>
      </c>
      <c r="DC70" s="1385">
        <f>DC66+DA68</f>
        <v>1473.3910000000003</v>
      </c>
      <c r="DD70" s="1385">
        <f>DD66+DA68</f>
        <v>1852.9910000000002</v>
      </c>
      <c r="DE70" s="1387">
        <f>DE66+DE68</f>
        <v>1852.9910000000002</v>
      </c>
      <c r="DF70" s="1384"/>
      <c r="DG70" s="1385">
        <f>DG66+DG68</f>
        <v>1609.5910000000001</v>
      </c>
      <c r="DH70" s="1385">
        <f>DH66+DG68</f>
        <v>1323.0909999999999</v>
      </c>
      <c r="DI70" s="1385">
        <f>DI66+DG68</f>
        <v>1344.9910000000004</v>
      </c>
      <c r="DJ70" s="1385">
        <f>DJ66+DG68</f>
        <v>1410.5910000000003</v>
      </c>
      <c r="DK70" s="1387">
        <f>DK66+DK68</f>
        <v>1410.5910000000003</v>
      </c>
      <c r="DL70" s="1384"/>
      <c r="DM70" s="1385">
        <f>DM66+DM68</f>
        <v>1182.6910000000003</v>
      </c>
      <c r="DN70" s="1385">
        <f>DN66+DM68</f>
        <v>1473.0910000000003</v>
      </c>
      <c r="DO70" s="1385">
        <f>DO66+DM68</f>
        <v>1337.4910000000004</v>
      </c>
      <c r="DP70" s="1385">
        <f>DP66+DM68</f>
        <v>1352.9910000000004</v>
      </c>
      <c r="DQ70" s="1387">
        <f>DQ66+DQ68</f>
        <v>1352.9910000000004</v>
      </c>
      <c r="DR70" s="1384"/>
      <c r="DS70" s="1385">
        <f>DS66+DS68</f>
        <v>1223.3910000000005</v>
      </c>
      <c r="DT70" s="1709">
        <f>DT66+DS68</f>
        <v>1467.3000000000004</v>
      </c>
      <c r="DU70" s="1385">
        <f>DU66+DS68</f>
        <v>1436.5000000000005</v>
      </c>
      <c r="DV70" s="1385">
        <f>DV66+DS68</f>
        <v>1213.0910000000003</v>
      </c>
      <c r="DW70" s="1387">
        <f>DW66+DW68</f>
        <v>1213.0910000000003</v>
      </c>
      <c r="DX70" s="1384"/>
      <c r="DY70" s="1385">
        <f>DY66+DY68</f>
        <v>1340.1910000000005</v>
      </c>
      <c r="DZ70" s="1385">
        <f>DZ66+DY68</f>
        <v>1174.0910000000003</v>
      </c>
      <c r="EA70" s="1385">
        <f>EA66+DY68</f>
        <v>1025.2000000000003</v>
      </c>
      <c r="EB70" s="1385">
        <f>EB66+DY68</f>
        <v>1078.0010000000002</v>
      </c>
      <c r="EC70" s="1387">
        <f>EC66+EC68</f>
        <v>1078.0010000000002</v>
      </c>
      <c r="ED70" s="1384"/>
      <c r="EE70" s="1385">
        <f>EE66+EE68</f>
        <v>962.55048680050049</v>
      </c>
      <c r="EF70" s="1385">
        <f>EF66+EE68</f>
        <v>834.72444962333657</v>
      </c>
      <c r="EG70" s="1385">
        <f>EG66+EE68</f>
        <v>721.75403330329448</v>
      </c>
      <c r="EH70" s="1385">
        <f>EH66+EE68</f>
        <v>922.909719801964</v>
      </c>
      <c r="EI70" s="1387">
        <f>EI66+EI68</f>
        <v>922.909719801964</v>
      </c>
      <c r="EJ70" s="1384"/>
      <c r="EK70" s="1385">
        <f>EK66+EK68</f>
        <v>754.86152733184178</v>
      </c>
      <c r="EL70" s="1385">
        <f>EL66+EK68</f>
        <v>768.169122735408</v>
      </c>
      <c r="EM70" s="1385">
        <f>EM66+EK68</f>
        <v>804.74456360030194</v>
      </c>
      <c r="EN70" s="1385">
        <f>EN66+EK68</f>
        <v>1259.005091444742</v>
      </c>
      <c r="EO70" s="1387">
        <f>EO66+EO68</f>
        <v>1259.005091444742</v>
      </c>
      <c r="EP70" s="1384"/>
      <c r="EQ70" s="1385">
        <f>EQ66+EQ68</f>
        <v>1237.8724015236335</v>
      </c>
      <c r="ER70" s="1385">
        <f>ER66+EQ68</f>
        <v>1303.0079736910207</v>
      </c>
      <c r="ES70" s="1385">
        <f>ES66+EQ68</f>
        <v>1361.6000680668703</v>
      </c>
      <c r="ET70" s="1385">
        <f>ET66+EQ68</f>
        <v>1786.8765939376035</v>
      </c>
      <c r="EU70" s="1387">
        <f>EU66+EU68</f>
        <v>1786.8765939376035</v>
      </c>
      <c r="EV70" s="1368"/>
      <c r="EW70" s="1368"/>
      <c r="FD70" s="1368"/>
      <c r="FE70" s="1368"/>
      <c r="FF70" s="1368"/>
      <c r="FG70" s="1368"/>
      <c r="FH70" s="1368"/>
      <c r="FI70" s="1368"/>
      <c r="FJ70" s="1368"/>
      <c r="FK70" s="1368"/>
      <c r="FL70" s="1368"/>
      <c r="FM70" s="1368"/>
      <c r="FN70" s="1368"/>
      <c r="FO70" s="1368"/>
      <c r="FP70" s="1368"/>
    </row>
    <row r="71" spans="1:172" ht="5.25" customHeight="1">
      <c r="A71" s="1396"/>
      <c r="B71" s="1397"/>
      <c r="C71" s="637"/>
      <c r="D71" s="637"/>
      <c r="E71" s="637"/>
      <c r="F71" s="637"/>
      <c r="G71" s="637"/>
      <c r="H71" s="637"/>
      <c r="I71" s="637"/>
      <c r="J71" s="637"/>
      <c r="K71" s="637"/>
      <c r="L71" s="637"/>
      <c r="M71" s="637"/>
      <c r="N71" s="637"/>
      <c r="O71" s="637"/>
      <c r="P71" s="637"/>
      <c r="Q71" s="637"/>
      <c r="R71" s="637"/>
      <c r="S71" s="637"/>
      <c r="T71" s="637"/>
      <c r="U71" s="637"/>
      <c r="V71" s="637"/>
      <c r="W71" s="637"/>
      <c r="X71" s="637"/>
      <c r="Y71" s="637"/>
      <c r="Z71" s="637"/>
      <c r="AA71" s="637"/>
      <c r="AB71" s="637"/>
      <c r="AC71" s="637"/>
      <c r="AD71" s="637"/>
      <c r="AE71" s="637"/>
      <c r="AF71" s="637"/>
      <c r="AG71" s="637"/>
      <c r="AH71" s="637"/>
      <c r="AI71" s="637"/>
      <c r="AJ71" s="637"/>
      <c r="AK71" s="637"/>
      <c r="AL71" s="637"/>
      <c r="AM71" s="637"/>
      <c r="AN71" s="637"/>
      <c r="AO71" s="637"/>
      <c r="AP71" s="637"/>
      <c r="AQ71" s="637"/>
      <c r="AR71" s="637"/>
      <c r="AS71" s="637"/>
      <c r="AT71" s="637"/>
      <c r="AU71" s="637"/>
      <c r="AV71" s="637"/>
      <c r="AW71" s="637"/>
      <c r="AX71" s="637"/>
      <c r="AY71" s="637"/>
      <c r="AZ71" s="637"/>
      <c r="BA71" s="637"/>
      <c r="BB71" s="637"/>
      <c r="BC71" s="637"/>
      <c r="BD71" s="637"/>
      <c r="BE71" s="637"/>
      <c r="BF71" s="637"/>
      <c r="BG71" s="637"/>
      <c r="BH71" s="637"/>
      <c r="BI71" s="637"/>
      <c r="BJ71" s="637"/>
      <c r="BK71" s="637"/>
      <c r="BL71" s="637"/>
      <c r="BM71" s="637"/>
      <c r="BN71" s="637"/>
      <c r="BO71" s="1398"/>
      <c r="BP71" s="637"/>
      <c r="BQ71" s="637"/>
      <c r="BR71" s="637"/>
      <c r="BS71" s="637"/>
      <c r="BT71" s="637"/>
      <c r="BU71" s="1398"/>
      <c r="BV71" s="637"/>
      <c r="BW71" s="1399"/>
      <c r="BX71" s="1399"/>
      <c r="BY71" s="637"/>
      <c r="BZ71" s="637"/>
      <c r="CA71" s="1398"/>
      <c r="CB71" s="637"/>
      <c r="CC71" s="637"/>
      <c r="CD71" s="637"/>
      <c r="CE71" s="637"/>
      <c r="CF71" s="637"/>
      <c r="CG71" s="1398"/>
      <c r="CH71" s="637"/>
      <c r="CI71" s="637"/>
      <c r="CJ71" s="637"/>
      <c r="CK71" s="637"/>
      <c r="CL71" s="637"/>
      <c r="CM71" s="1398"/>
      <c r="CN71" s="637"/>
      <c r="CO71" s="637"/>
      <c r="CP71" s="637"/>
      <c r="CQ71" s="637"/>
      <c r="CR71" s="637"/>
      <c r="CS71" s="1398"/>
      <c r="CT71" s="637"/>
      <c r="CU71" s="637"/>
      <c r="CV71" s="637"/>
      <c r="CW71" s="637"/>
      <c r="CX71" s="637"/>
      <c r="CY71" s="1398"/>
      <c r="CZ71" s="637"/>
      <c r="DA71" s="637"/>
      <c r="DB71" s="637"/>
      <c r="DC71" s="637"/>
      <c r="DD71" s="637"/>
      <c r="DE71" s="1398"/>
      <c r="DF71" s="637"/>
      <c r="DG71" s="637"/>
      <c r="DH71" s="637"/>
      <c r="DI71" s="637"/>
      <c r="DJ71" s="637"/>
      <c r="DK71" s="1398"/>
      <c r="DL71" s="637"/>
      <c r="DM71" s="637"/>
      <c r="DN71" s="637"/>
      <c r="DO71" s="637"/>
      <c r="DP71" s="637"/>
      <c r="DQ71" s="1398"/>
      <c r="DR71" s="637"/>
      <c r="DS71" s="637"/>
      <c r="DT71" s="1399"/>
      <c r="DU71" s="637"/>
      <c r="DV71" s="637"/>
      <c r="DW71" s="1398"/>
      <c r="DX71" s="637"/>
      <c r="DY71" s="637"/>
      <c r="DZ71" s="637"/>
      <c r="EA71" s="637"/>
      <c r="EB71" s="637"/>
      <c r="EC71" s="1398"/>
      <c r="ED71" s="637"/>
      <c r="EE71" s="637"/>
      <c r="EF71" s="637"/>
      <c r="EG71" s="637"/>
      <c r="EH71" s="637"/>
      <c r="EI71" s="1398"/>
      <c r="EJ71" s="637"/>
      <c r="EK71" s="637"/>
      <c r="EL71" s="637"/>
      <c r="EM71" s="637"/>
      <c r="EN71" s="637"/>
      <c r="EO71" s="1398"/>
      <c r="EP71" s="637"/>
      <c r="EQ71" s="637"/>
      <c r="ER71" s="637"/>
      <c r="ES71" s="637"/>
      <c r="ET71" s="637"/>
      <c r="EU71" s="1398"/>
      <c r="EV71" s="637"/>
      <c r="EW71" s="637"/>
      <c r="FD71" s="637"/>
      <c r="FE71" s="637"/>
      <c r="FF71" s="637"/>
      <c r="FG71" s="637"/>
      <c r="FH71" s="637"/>
      <c r="FI71" s="637"/>
      <c r="FJ71" s="637"/>
      <c r="FK71" s="637"/>
      <c r="FL71" s="637"/>
      <c r="FM71" s="637"/>
      <c r="FN71" s="637"/>
      <c r="FO71" s="637"/>
      <c r="FP71" s="637"/>
    </row>
    <row r="72" spans="1:172" ht="10.5" customHeight="1">
      <c r="A72" s="28" t="s">
        <v>6059</v>
      </c>
      <c r="B72" s="648"/>
      <c r="C72" s="649"/>
      <c r="D72" s="649"/>
      <c r="E72" s="649"/>
      <c r="F72" s="649"/>
      <c r="G72" s="649"/>
      <c r="H72" s="650"/>
      <c r="I72" s="649"/>
      <c r="J72" s="649"/>
      <c r="K72" s="649"/>
      <c r="L72" s="649"/>
      <c r="M72" s="649"/>
      <c r="N72" s="650"/>
      <c r="O72" s="651" t="str">
        <f>IF(ROUND(O70,2)=ROUND(BS!O9,2),"cool","not cool")</f>
        <v>not cool</v>
      </c>
      <c r="P72" s="651" t="str">
        <f>IF(ROUND(P70,2)=ROUND(BS!P9,2),"cool","not cool")</f>
        <v>not cool</v>
      </c>
      <c r="Q72" s="651" t="str">
        <f>IF(ROUND(Q70,2)=ROUND(BS!Q9,2),"cool","not cool")</f>
        <v>not cool</v>
      </c>
      <c r="R72" s="651" t="str">
        <f>IF(ROUND(R70,2)=ROUND(BS!R9,2),"cool","not cool")</f>
        <v>not cool</v>
      </c>
      <c r="S72" s="651" t="str">
        <f>IF(ROUND(S70,2)=ROUND(BS!S9,2),"cool","not cool")</f>
        <v>not cool</v>
      </c>
      <c r="T72" s="650"/>
      <c r="U72" s="651" t="str">
        <f>IF(ROUND(U70,2)=ROUND(BS!U9,2),"cool","not cool")</f>
        <v>not cool</v>
      </c>
      <c r="V72" s="651" t="str">
        <f>IF(ROUND(V70,2)=ROUND(BS!V9,2),"cool","not cool")</f>
        <v>not cool</v>
      </c>
      <c r="W72" s="651" t="str">
        <f>IF(ROUND(W70,2)=ROUND(BS!W9,2),"cool","not cool")</f>
        <v>not cool</v>
      </c>
      <c r="X72" s="651" t="str">
        <f>IF(ROUND(X70,2)=ROUND(BS!X9,2),"cool","not cool")</f>
        <v>not cool</v>
      </c>
      <c r="Y72" s="651" t="str">
        <f>IF(ROUND(Y70,2)=ROUND(BS!Y9,2),"cool","not cool")</f>
        <v>not cool</v>
      </c>
      <c r="Z72" s="650"/>
      <c r="AA72" s="651" t="str">
        <f>IF(ROUND(AA70,2)=ROUND(BS!AA9,2),"cool","not cool")</f>
        <v>not cool</v>
      </c>
      <c r="AB72" s="651" t="str">
        <f>IF(ROUND(AB70,2)=ROUND(BS!AB9,2),"cool","not cool")</f>
        <v>not cool</v>
      </c>
      <c r="AC72" s="651" t="str">
        <f>IF(ROUND(AC70,2)=ROUND(BS!AC9,2),"cool","not cool")</f>
        <v>not cool</v>
      </c>
      <c r="AD72" s="651" t="str">
        <f>IF(ROUND(AD70,2)=ROUND(BS!AD9,2),"cool","not cool")</f>
        <v>not cool</v>
      </c>
      <c r="AE72" s="651" t="str">
        <f>IF(ROUND(AE70,2)=ROUND(BS!AE9,2),"cool","not cool")</f>
        <v>not cool</v>
      </c>
      <c r="AF72" s="650"/>
      <c r="AG72" s="651" t="str">
        <f>IF(ROUND(AG70,2)=ROUND(BS!AG9,2),"cool","not cool")</f>
        <v>cool</v>
      </c>
      <c r="AH72" s="651" t="str">
        <f>IF(ROUND(AH70,2)=ROUND(BS!AH9,2),"cool","not cool")</f>
        <v>cool</v>
      </c>
      <c r="AI72" s="651" t="str">
        <f>IF(ROUND(AI70,2)=ROUND(BS!AI9,2),"cool","not cool")</f>
        <v>cool</v>
      </c>
      <c r="AJ72" s="651" t="str">
        <f>IF(ROUND(AJ70,2)=ROUND(BS!AJ9,2),"cool","not cool")</f>
        <v>cool</v>
      </c>
      <c r="AK72" s="651" t="str">
        <f>IF(ROUND(AK70,2)=ROUND(BS!AK9,2),"cool","not cool")</f>
        <v>cool</v>
      </c>
      <c r="AL72" s="650"/>
      <c r="AM72" s="651" t="str">
        <f>IF(ROUND(AM70,2)=ROUND(BS!AM9,2),"cool","not cool")</f>
        <v>cool</v>
      </c>
      <c r="AN72" s="651" t="str">
        <f>IF(ROUND(AN70,2)=ROUND(BS!AN9,2),"cool","not cool")</f>
        <v>cool</v>
      </c>
      <c r="AO72" s="651" t="str">
        <f>IF(ROUND(AO70,2)=ROUND(BS!AO9,2),"cool","not cool")</f>
        <v>cool</v>
      </c>
      <c r="AP72" s="651" t="str">
        <f>IF(ROUND(AP70,2)=ROUND(BS!AP9,2),"cool","not cool")</f>
        <v>cool</v>
      </c>
      <c r="AQ72" s="651" t="str">
        <f>IF(ROUND(AQ70,2)=ROUND(BS!AQ9,2),"cool","not cool")</f>
        <v>cool</v>
      </c>
      <c r="AR72" s="650"/>
      <c r="AS72" s="651" t="str">
        <f>IF(ROUND(AS70,2)=ROUND(BS!AS9,2),"cool","not cool")</f>
        <v>cool</v>
      </c>
      <c r="AT72" s="651" t="str">
        <f>IF(ROUND(AT70,2)=ROUND(BS!AT9,2),"cool","not cool")</f>
        <v>cool</v>
      </c>
      <c r="AU72" s="651" t="str">
        <f>IF(ROUND(AU70,2)=ROUND(BS!AU9,2),"cool","not cool")</f>
        <v>cool</v>
      </c>
      <c r="AV72" s="651" t="str">
        <f>IF(ROUND(AV70,2)=ROUND(BS!AV9,2),"cool","not cool")</f>
        <v>cool</v>
      </c>
      <c r="AW72" s="651" t="str">
        <f>IF(ROUND(AW70,2)=ROUND(BS!AW9,2),"cool","not cool")</f>
        <v>cool</v>
      </c>
      <c r="AX72" s="650"/>
      <c r="AY72" s="651" t="str">
        <f>IF(ROUND(AY70,2)=ROUND(BS!AY9,2),"cool","not cool")</f>
        <v>not cool</v>
      </c>
      <c r="AZ72" s="651" t="str">
        <f>IF(ROUND(AZ70,2)=ROUND(BS!AZ9,2),"cool","not cool")</f>
        <v>not cool</v>
      </c>
      <c r="BA72" s="651" t="str">
        <f>IF(ROUND(BA70,2)=ROUND(BS!BA9,2),"cool","not cool")</f>
        <v>not cool</v>
      </c>
      <c r="BB72" s="651" t="str">
        <f>IF(ROUND(BB70,2)=ROUND(BS!BB9,2),"cool","not cool")</f>
        <v>not cool</v>
      </c>
      <c r="BC72" s="651" t="str">
        <f>IF(ROUND(BC70,2)=ROUND(BS!BC9,2),"cool","not cool")</f>
        <v>not cool</v>
      </c>
      <c r="BD72" s="650"/>
      <c r="BE72" s="651" t="str">
        <f>IF(ROUND(BE70,2)=ROUND(BS!BE9,2),"cool","not cool")</f>
        <v>not cool</v>
      </c>
      <c r="BF72" s="651" t="str">
        <f>IF(ROUND(BF70,2)=ROUND(BS!BF9,2),"cool","not cool")</f>
        <v>not cool</v>
      </c>
      <c r="BG72" s="651" t="str">
        <f>IF(ROUND(BG70,2)=ROUND(BS!BG9,2),"cool","not cool")</f>
        <v>not cool</v>
      </c>
      <c r="BH72" s="651" t="str">
        <f>IF(ROUND(BH70,2)=ROUND(BS!BH9,2),"cool","not cool")</f>
        <v>not cool</v>
      </c>
      <c r="BI72" s="651" t="str">
        <f>IF(ROUND(BI70,2)=ROUND(BS!BI9,2),"cool","not cool")</f>
        <v>not cool</v>
      </c>
      <c r="BJ72" s="652"/>
      <c r="BK72" s="651" t="str">
        <f>IF(ROUND(BK70,2)=ROUND(BS!BK9,2),"cool","not cool")</f>
        <v>not cool</v>
      </c>
      <c r="BL72" s="651" t="str">
        <f>IF(ROUND(BL70,2)=ROUND(BS!BL9,2),"cool","not cool")</f>
        <v>not cool</v>
      </c>
      <c r="BM72" s="651" t="str">
        <f>IF(ROUND(BM70,2)=ROUND(BS!BM9,2),"cool","not cool")</f>
        <v>not cool</v>
      </c>
      <c r="BN72" s="651" t="str">
        <f>IF(ROUND(BN70,2)=ROUND(BS!BN9,2),"cool","not cool")</f>
        <v>not cool</v>
      </c>
      <c r="BO72" s="651" t="str">
        <f>IF(ROUND(BO70,2)=ROUND(BS!BO9,2),"cool","not cool")</f>
        <v>not cool</v>
      </c>
      <c r="BP72" s="652"/>
      <c r="BQ72" s="651" t="str">
        <f>IF(ROUND(BQ70,2)=ROUND(BS!BQ9,2),"cool","not cool")</f>
        <v>not cool</v>
      </c>
      <c r="BR72" s="651" t="str">
        <f>IF(ROUND(BR70,2)=ROUND(BS!BR9,2),"cool","not cool")</f>
        <v>not cool</v>
      </c>
      <c r="BS72" s="651" t="str">
        <f>IF(ROUND(BS70,2)=ROUND(BS!BS9,2),"cool","not cool")</f>
        <v>not cool</v>
      </c>
      <c r="BT72" s="651" t="str">
        <f>IF(ROUND(BT70,2)=ROUND(BS!BT9,2),"cool","not cool")</f>
        <v>not cool</v>
      </c>
      <c r="BU72" s="651" t="str">
        <f>IF(ROUND(BU70,2)=ROUND(BS!BU9,2),"cool","not cool")</f>
        <v>not cool</v>
      </c>
      <c r="BV72" s="652"/>
      <c r="BW72" s="1196" t="str">
        <f>IF(ROUND(BW70,1)=ROUND(BS!BW9,1),"cool","not cool")</f>
        <v>cool</v>
      </c>
      <c r="BX72" s="1196" t="str">
        <f>IF(ROUND(BX70,1)=ROUND(BS!BX9,1),"cool","not cool")</f>
        <v>cool</v>
      </c>
      <c r="BY72" s="651" t="str">
        <f>IF(ROUND(BY70,2)=ROUND(BS!BY9,2),"cool","not cool")</f>
        <v>not cool</v>
      </c>
      <c r="BZ72" s="651" t="str">
        <f>IF(ROUND(BZ70,2)=ROUND(BS!BZ9,2),"cool","not cool")</f>
        <v>not cool</v>
      </c>
      <c r="CA72" s="651" t="str">
        <f>IF(ROUND(CA70,2)=ROUND(BS!CA9,2),"cool","not cool")</f>
        <v>not cool</v>
      </c>
      <c r="CB72" s="652"/>
      <c r="CC72" s="651" t="str">
        <f>IF(ROUND(CC70,2)=ROUND(BS!CC9,2),"cool","not cool")</f>
        <v>not cool</v>
      </c>
      <c r="CD72" s="651" t="str">
        <f>IF(ROUND(CD70,2)=ROUND(BS!CD9,2),"cool","not cool")</f>
        <v>not cool</v>
      </c>
      <c r="CE72" s="651" t="str">
        <f>IF(ROUND(CE70,2)=ROUND(BS!CE9,2),"cool","not cool")</f>
        <v>not cool</v>
      </c>
      <c r="CF72" s="651" t="str">
        <f>IF(ROUND(CF70,2)=ROUND(BS!CF9,2),"cool","not cool")</f>
        <v>not cool</v>
      </c>
      <c r="CG72" s="651" t="str">
        <f>IF(ROUND(CG70,2)=ROUND(BS!CG9,2),"cool","not cool")</f>
        <v>not cool</v>
      </c>
      <c r="CH72" s="652"/>
      <c r="CI72" s="651" t="str">
        <f>IF(ROUND(CI70,2)=ROUND(BS!CI9,2),"cool","not cool")</f>
        <v>not cool</v>
      </c>
      <c r="CJ72" s="651" t="str">
        <f>IF(ROUND(CJ70,2)=ROUND(BS!CJ9,2),"cool","not cool")</f>
        <v>not cool</v>
      </c>
      <c r="CK72" s="651" t="str">
        <f>IF(ROUND(CK70,2)=ROUND(BS!CK9,2),"cool","not cool")</f>
        <v>not cool</v>
      </c>
      <c r="CL72" s="651" t="str">
        <f>IF(ROUND(CL70,2)=ROUND(BS!CL9,2),"cool","not cool")</f>
        <v>not cool</v>
      </c>
      <c r="CM72" s="651" t="str">
        <f>IF(ROUND(CM70,2)=ROUND(BS!CM9,2),"cool","not cool")</f>
        <v>not cool</v>
      </c>
      <c r="CN72" s="652"/>
      <c r="CO72" s="651" t="str">
        <f>IF(ROUND(CO70,2)=ROUND(BS!CO9,2),"cool","not cool")</f>
        <v>not cool</v>
      </c>
      <c r="CP72" s="651" t="str">
        <f>IF(ROUND(CP70,2)=ROUND(BS!CP9,2),"cool","not cool")</f>
        <v>not cool</v>
      </c>
      <c r="CQ72" s="651" t="str">
        <f>IF(ROUND(CQ70,2)=ROUND(BS!CQ9,2),"cool","not cool")</f>
        <v>not cool</v>
      </c>
      <c r="CR72" s="651" t="str">
        <f>IF(ROUND(CR70,2)=ROUND(BS!CR9,2),"cool","not cool")</f>
        <v>not cool</v>
      </c>
      <c r="CS72" s="651" t="str">
        <f>IF(ROUND(CS70,2)=ROUND(BS!CS9,2),"cool","not cool")</f>
        <v>not cool</v>
      </c>
      <c r="CT72" s="652"/>
      <c r="CU72" s="651" t="str">
        <f>IF(ROUND(CU70,2)=ROUND(BS!CU9,2),"cool","not cool")</f>
        <v>not cool</v>
      </c>
      <c r="CV72" s="1714"/>
      <c r="CW72" s="651" t="str">
        <f>IF(ROUND(CW70,2)=ROUND(BS!CW9,2),"cool","not cool")</f>
        <v>not cool</v>
      </c>
      <c r="CX72" s="651" t="str">
        <f>IF(ROUND(CX70,2)=ROUND(BS!CX9,2),"cool","not cool")</f>
        <v>not cool</v>
      </c>
      <c r="CY72" s="651" t="str">
        <f>IF(ROUND(CY70,2)=ROUND(BS!CY9,2),"cool","not cool")</f>
        <v>not cool</v>
      </c>
      <c r="CZ72" s="652"/>
      <c r="DA72" s="651" t="str">
        <f>IF(ROUND(DA70,2)=ROUND(BS!DA9,2),"cool","not cool")</f>
        <v>not cool</v>
      </c>
      <c r="DB72" s="651" t="str">
        <f>IF(ROUND(DB70,2)=ROUND(BS!DB9,2),"cool","not cool")</f>
        <v>not cool</v>
      </c>
      <c r="DC72" s="651" t="str">
        <f>IF(ROUND(DC70,2)=ROUND(BS!DC9,2),"cool","not cool")</f>
        <v>not cool</v>
      </c>
      <c r="DD72" s="651" t="str">
        <f>IF(ROUND(DD70,2)=ROUND(BS!DD9,2),"cool","not cool")</f>
        <v>not cool</v>
      </c>
      <c r="DE72" s="651" t="str">
        <f>IF(ROUND(DE70,2)=ROUND(BS!DE9,2),"cool","not cool")</f>
        <v>not cool</v>
      </c>
      <c r="DF72" s="652"/>
      <c r="DG72" s="651" t="str">
        <f>IF(ROUND(DG70,2)=ROUND(BS!DG9,2),"cool","not cool")</f>
        <v>not cool</v>
      </c>
      <c r="DH72" s="651" t="str">
        <f>IF(ROUND(DH70,2)=ROUND(BS!DH9,2),"cool","not cool")</f>
        <v>not cool</v>
      </c>
      <c r="DI72" s="651" t="str">
        <f>IF(ROUND(DI70,2)=ROUND(BS!DI9,2),"cool","not cool")</f>
        <v>not cool</v>
      </c>
      <c r="DJ72" s="651" t="str">
        <f>IF(ROUND(DJ70,2)=ROUND(BS!DJ9,2),"cool","not cool")</f>
        <v>not cool</v>
      </c>
      <c r="DK72" s="651" t="str">
        <f>IF(ROUND(DK70,2)=ROUND(BS!DK9,2),"cool","not cool")</f>
        <v>not cool</v>
      </c>
      <c r="DL72" s="652"/>
      <c r="DM72" s="651" t="str">
        <f>IF(ROUND(DM70,2)=ROUND(BS!DM9,2),"cool","not cool")</f>
        <v>not cool</v>
      </c>
      <c r="DN72" s="651" t="str">
        <f>IF(ROUND(DN70,2)=ROUND(BS!DN9,2),"cool","not cool")</f>
        <v>not cool</v>
      </c>
      <c r="DO72" s="651" t="str">
        <f>IF(ROUND(DO70,2)=ROUND(BS!DO9,2),"cool","not cool")</f>
        <v>not cool</v>
      </c>
      <c r="DP72" s="651" t="str">
        <f>IF(ROUND(DP70,2)=ROUND(BS!DP9,2),"cool","not cool")</f>
        <v>not cool</v>
      </c>
      <c r="DQ72" s="651" t="str">
        <f>IF(ROUND(DQ70,2)=ROUND(BS!DQ9,2),"cool","not cool")</f>
        <v>not cool</v>
      </c>
      <c r="DR72" s="652"/>
      <c r="DS72" s="651" t="str">
        <f>IF(ROUND(DS70,2)=ROUND(BS!DS9,2),"cool","not cool")</f>
        <v>not cool</v>
      </c>
      <c r="DT72" s="2077" t="str">
        <f>IF(ROUND(DT70,2)=ROUND(BS!DT9,2),"cool","not cool")</f>
        <v>cool</v>
      </c>
      <c r="DU72" s="2077" t="str">
        <f>IF(ROUND(DU70,2)=ROUND(BS!DU9,2),"cool","not cool")</f>
        <v>cool</v>
      </c>
      <c r="DV72" s="651" t="str">
        <f>IF(ROUND(DV70,2)=ROUND(BS!DV9,2),"cool","not cool")</f>
        <v>not cool</v>
      </c>
      <c r="DW72" s="651" t="str">
        <f>IF(ROUND(DW70,2)=ROUND(BS!DW9,2),"cool","not cool")</f>
        <v>not cool</v>
      </c>
      <c r="DX72" s="652"/>
      <c r="DY72" s="651" t="str">
        <f>IF(ROUND(DY70,2)=ROUND(BS!DY9,2),"cool","not cool")</f>
        <v>not cool</v>
      </c>
      <c r="DZ72" s="651" t="str">
        <f>IF(ROUND(DZ70,2)=ROUND(BS!DZ9,2),"cool","not cool")</f>
        <v>not cool</v>
      </c>
      <c r="EA72" s="651" t="str">
        <f>IF(ROUND(EA70,2)=ROUND(BS!EA9,2),"cool","not cool")</f>
        <v>cool</v>
      </c>
      <c r="EB72" s="2077" t="str">
        <f>IF(ROUND(EB70,2)=ROUND(BS!EB9,2),"cool","not cool")</f>
        <v>cool</v>
      </c>
      <c r="EC72" s="651" t="str">
        <f>IF(ROUND(EC70,2)=ROUND(BS!EC9,2),"cool","not cool")</f>
        <v>cool</v>
      </c>
      <c r="ED72" s="652"/>
      <c r="EE72" s="651" t="str">
        <f>IF(ROUND(EE70,2)=ROUND(BS!EE9,2),"cool","not cool")</f>
        <v>cool</v>
      </c>
      <c r="EF72" s="651" t="str">
        <f>IF(ROUND(EF70,2)=ROUND(BS!EF9,2),"cool","not cool")</f>
        <v>cool</v>
      </c>
      <c r="EG72" s="651" t="str">
        <f>IF(ROUND(EG70,2)=ROUND(BS!EG9,2),"cool","not cool")</f>
        <v>cool</v>
      </c>
      <c r="EH72" s="651" t="str">
        <f>IF(ROUND(EH70,2)=ROUND(BS!EH9,2),"cool","not cool")</f>
        <v>cool</v>
      </c>
      <c r="EI72" s="651" t="str">
        <f>IF(ROUND(EI70,2)=ROUND(BS!EI9,2),"cool","not cool")</f>
        <v>cool</v>
      </c>
      <c r="EJ72" s="652"/>
      <c r="EK72" s="651" t="str">
        <f>IF(ROUND(EK70,2)=ROUND(BS!EK9,2),"cool","not cool")</f>
        <v>cool</v>
      </c>
      <c r="EL72" s="651" t="str">
        <f>IF(ROUND(EL70,2)=ROUND(BS!EL9,2),"cool","not cool")</f>
        <v>cool</v>
      </c>
      <c r="EM72" s="651" t="str">
        <f>IF(ROUND(EM70,2)=ROUND(BS!EM9,2),"cool","not cool")</f>
        <v>cool</v>
      </c>
      <c r="EN72" s="651" t="str">
        <f>IF(ROUND(EN70,2)=ROUND(BS!EN9,2),"cool","not cool")</f>
        <v>cool</v>
      </c>
      <c r="EO72" s="651" t="str">
        <f>IF(ROUND(EO70,2)=ROUND(BS!EO9,2),"cool","not cool")</f>
        <v>cool</v>
      </c>
      <c r="EP72" s="652"/>
      <c r="EQ72" s="651" t="str">
        <f>IF(ROUND(EQ70,2)=ROUND(BS!EQ9,2),"cool","not cool")</f>
        <v>cool</v>
      </c>
      <c r="ER72" s="651" t="str">
        <f>IF(ROUND(ER70,2)=ROUND(BS!ER9,2),"cool","not cool")</f>
        <v>cool</v>
      </c>
      <c r="ES72" s="651" t="str">
        <f>IF(ROUND(ES70,2)=ROUND(BS!ES9,2),"cool","not cool")</f>
        <v>cool</v>
      </c>
      <c r="ET72" s="651" t="str">
        <f>IF(ROUND(ET70,2)=ROUND(BS!ET9,2),"cool","not cool")</f>
        <v>cool</v>
      </c>
      <c r="EU72" s="651" t="str">
        <f>IF(ROUND(EU70,2)=ROUND(BS!EU9,2),"cool","not cool")</f>
        <v>cool</v>
      </c>
      <c r="EV72" s="53"/>
      <c r="EW72" s="53"/>
      <c r="FD72" s="53"/>
      <c r="FE72" s="53"/>
      <c r="FF72" s="53"/>
      <c r="FG72" s="53"/>
      <c r="FH72" s="53"/>
      <c r="FI72" s="53"/>
      <c r="FJ72" s="53"/>
      <c r="FK72" s="53"/>
      <c r="FL72" s="53"/>
      <c r="FM72" s="53"/>
      <c r="FN72" s="53"/>
      <c r="FO72" s="53"/>
      <c r="FP72" s="53"/>
    </row>
    <row r="73" spans="1:172">
      <c r="A73" s="28" t="s">
        <v>5185</v>
      </c>
      <c r="B73" s="157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68"/>
      <c r="AG73" s="128"/>
      <c r="AH73" s="128"/>
      <c r="AI73" s="128"/>
      <c r="AJ73" s="128"/>
      <c r="AK73" s="128"/>
      <c r="AL73" s="168"/>
      <c r="AM73" s="128"/>
      <c r="AN73" s="128"/>
      <c r="AO73" s="128"/>
      <c r="AP73" s="128"/>
      <c r="AQ73" s="128"/>
      <c r="AR73" s="168"/>
      <c r="AS73" s="128"/>
      <c r="AT73" s="128"/>
      <c r="AU73" s="128"/>
      <c r="AV73" s="128"/>
      <c r="AW73" s="128"/>
      <c r="AX73" s="168"/>
      <c r="AY73" s="128"/>
      <c r="AZ73" s="128"/>
      <c r="BA73" s="128"/>
      <c r="BB73" s="128"/>
      <c r="BC73" s="128"/>
      <c r="BD73" s="16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  <c r="BO73" s="852"/>
      <c r="BP73" s="128"/>
      <c r="BQ73" s="128"/>
      <c r="BR73" s="128"/>
      <c r="BS73" s="128"/>
      <c r="BT73" s="128"/>
      <c r="BU73" s="852"/>
      <c r="BV73" s="128"/>
      <c r="BW73" s="128"/>
      <c r="BX73" s="128"/>
      <c r="BY73" s="128"/>
      <c r="BZ73" s="128"/>
      <c r="CA73" s="128"/>
      <c r="CB73" s="128"/>
      <c r="CC73" s="128"/>
      <c r="CD73" s="128"/>
      <c r="CE73" s="128"/>
      <c r="CF73" s="128"/>
      <c r="CG73" s="128"/>
      <c r="CH73" s="128"/>
      <c r="CI73" s="128"/>
      <c r="CJ73" s="128"/>
      <c r="CK73" s="128"/>
      <c r="CL73" s="128"/>
      <c r="CM73" s="128"/>
      <c r="CN73" s="128"/>
      <c r="CO73" s="128"/>
      <c r="CP73" s="128"/>
      <c r="CQ73" s="128"/>
      <c r="CR73" s="128"/>
      <c r="CS73" s="128"/>
      <c r="CT73" s="128"/>
      <c r="CU73" s="128"/>
      <c r="CV73" s="128"/>
      <c r="CW73" s="128"/>
      <c r="CX73" s="128"/>
      <c r="CY73" s="128"/>
      <c r="CZ73" s="128"/>
      <c r="DA73" s="128"/>
      <c r="DB73" s="128"/>
      <c r="DC73" s="128"/>
      <c r="DD73" s="128"/>
      <c r="DE73" s="128"/>
      <c r="DF73" s="128"/>
      <c r="DG73" s="128"/>
      <c r="DH73" s="128"/>
      <c r="DI73" s="128"/>
      <c r="DJ73" s="128"/>
      <c r="DK73" s="128"/>
      <c r="DL73" s="128"/>
      <c r="DM73" s="128"/>
      <c r="DN73" s="128"/>
      <c r="DO73" s="128"/>
      <c r="DP73" s="128"/>
      <c r="DQ73" s="128"/>
      <c r="DR73" s="128"/>
      <c r="DS73" s="128"/>
      <c r="DT73" s="128"/>
      <c r="DU73" s="128"/>
      <c r="DV73" s="128"/>
      <c r="DW73" s="128"/>
      <c r="DX73" s="128"/>
      <c r="DY73" s="128"/>
      <c r="DZ73" s="128"/>
      <c r="EA73" s="128"/>
      <c r="EB73" s="128"/>
      <c r="EC73" s="128"/>
      <c r="ED73" s="128"/>
      <c r="EE73" s="128"/>
      <c r="EF73" s="128"/>
      <c r="EG73" s="128"/>
      <c r="EH73" s="128"/>
      <c r="EI73" s="128"/>
      <c r="EJ73" s="128"/>
      <c r="EK73" s="128"/>
      <c r="EL73" s="128"/>
      <c r="EM73" s="128"/>
      <c r="EN73" s="128"/>
      <c r="EO73" s="128"/>
      <c r="EP73" s="128"/>
      <c r="EQ73" s="128"/>
      <c r="ER73" s="128"/>
      <c r="ES73" s="128"/>
      <c r="ET73" s="128"/>
      <c r="EU73" s="128"/>
      <c r="EV73" s="168"/>
      <c r="EW73" s="168"/>
      <c r="FD73" s="168"/>
      <c r="FE73" s="168"/>
      <c r="FF73" s="168"/>
      <c r="FG73" s="168"/>
      <c r="FH73" s="168"/>
      <c r="FI73" s="168"/>
      <c r="FJ73" s="168"/>
      <c r="FK73" s="168"/>
      <c r="FL73" s="168"/>
      <c r="FM73" s="168"/>
      <c r="FN73" s="168"/>
      <c r="FO73" s="168"/>
      <c r="FP73" s="168"/>
    </row>
    <row r="74" spans="1:172">
      <c r="A74" s="28" t="s">
        <v>4566</v>
      </c>
      <c r="B74" s="157"/>
      <c r="C74" s="168"/>
      <c r="D74" s="168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28"/>
      <c r="P74" s="128"/>
      <c r="Q74" s="128"/>
      <c r="R74" s="128"/>
      <c r="S74" s="128"/>
      <c r="T74" s="168"/>
      <c r="U74" s="168"/>
      <c r="V74" s="128"/>
      <c r="W74" s="168"/>
      <c r="X74" s="128"/>
      <c r="Y74" s="168"/>
      <c r="Z74" s="168"/>
      <c r="AA74" s="128"/>
      <c r="AB74" s="128"/>
      <c r="AC74" s="128"/>
      <c r="AD74" s="128"/>
      <c r="AE74" s="128"/>
      <c r="AF74" s="168"/>
      <c r="AG74" s="128"/>
      <c r="AH74" s="128"/>
      <c r="AI74" s="128"/>
      <c r="AJ74" s="128"/>
      <c r="AK74" s="128"/>
      <c r="AL74" s="168"/>
      <c r="AM74" s="223"/>
      <c r="AN74" s="223"/>
      <c r="AO74" s="223"/>
      <c r="AP74" s="223"/>
      <c r="AQ74" s="223"/>
      <c r="AR74" s="168"/>
      <c r="AS74" s="223"/>
      <c r="AT74" s="223"/>
      <c r="AU74" s="223"/>
      <c r="AV74" s="128"/>
      <c r="AW74" s="128"/>
      <c r="AX74" s="168"/>
      <c r="AY74" s="128"/>
      <c r="AZ74" s="128"/>
      <c r="BA74" s="128"/>
      <c r="BB74" s="128"/>
      <c r="BC74" s="128"/>
      <c r="BD74" s="16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  <c r="BO74" s="128"/>
      <c r="BP74" s="128"/>
      <c r="BQ74" s="128"/>
      <c r="BR74" s="128"/>
      <c r="BS74" s="128"/>
      <c r="BT74" s="128"/>
      <c r="BU74" s="128"/>
      <c r="BV74" s="128"/>
      <c r="BW74" s="128"/>
      <c r="BX74" s="128"/>
      <c r="BY74" s="128"/>
      <c r="BZ74" s="128"/>
      <c r="CA74" s="128"/>
      <c r="CB74" s="128"/>
      <c r="CC74" s="128"/>
      <c r="CD74" s="128"/>
      <c r="CE74" s="128"/>
      <c r="CF74" s="128"/>
      <c r="CG74" s="128"/>
      <c r="CH74" s="128"/>
      <c r="CI74" s="128"/>
      <c r="CJ74" s="128"/>
      <c r="CK74" s="128"/>
      <c r="CL74" s="128"/>
      <c r="CM74" s="128"/>
      <c r="CN74" s="128"/>
      <c r="CO74" s="128"/>
      <c r="CP74" s="128"/>
      <c r="CQ74" s="128"/>
      <c r="CR74" s="128"/>
      <c r="CS74" s="128"/>
      <c r="CT74" s="128"/>
      <c r="CU74" s="128"/>
      <c r="CV74" s="128"/>
      <c r="CW74" s="128"/>
      <c r="CX74" s="128"/>
      <c r="CY74" s="128"/>
      <c r="CZ74" s="128"/>
      <c r="DA74" s="128"/>
      <c r="DB74" s="128"/>
      <c r="DC74" s="128"/>
      <c r="DD74" s="128"/>
      <c r="DE74" s="128"/>
      <c r="DF74" s="128"/>
      <c r="DG74" s="128"/>
      <c r="DH74" s="128"/>
      <c r="DI74" s="128"/>
      <c r="DJ74" s="128"/>
      <c r="DK74" s="128"/>
      <c r="DL74" s="128"/>
      <c r="DM74" s="128"/>
      <c r="DN74" s="128"/>
      <c r="DO74" s="128"/>
      <c r="DP74" s="128"/>
      <c r="DQ74" s="128"/>
      <c r="DR74" s="128"/>
      <c r="DS74" s="128"/>
      <c r="DT74" s="128"/>
      <c r="DU74" s="128"/>
      <c r="DV74" s="128"/>
      <c r="DW74" s="128"/>
      <c r="DX74" s="128"/>
      <c r="DY74" s="128"/>
      <c r="DZ74" s="128"/>
      <c r="EA74" s="128"/>
      <c r="EB74" s="128"/>
      <c r="EC74" s="128"/>
      <c r="ED74" s="128"/>
      <c r="EE74" s="128"/>
      <c r="EF74" s="128"/>
      <c r="EG74" s="128"/>
      <c r="EH74" s="128"/>
      <c r="EI74" s="128"/>
      <c r="EJ74" s="128"/>
      <c r="EK74" s="128"/>
      <c r="EL74" s="128"/>
      <c r="EM74" s="128"/>
      <c r="EN74" s="128"/>
      <c r="EO74" s="128"/>
      <c r="EP74" s="128"/>
      <c r="EQ74" s="128"/>
      <c r="ER74" s="128"/>
      <c r="ES74" s="128"/>
      <c r="ET74" s="128"/>
      <c r="EU74" s="128"/>
      <c r="EV74" s="168"/>
      <c r="EW74" s="168"/>
      <c r="FD74" s="168"/>
      <c r="FE74" s="168"/>
      <c r="FF74" s="168"/>
      <c r="FG74" s="168"/>
      <c r="FH74" s="168"/>
      <c r="FI74" s="168"/>
      <c r="FJ74" s="168"/>
      <c r="FK74" s="168"/>
      <c r="FL74" s="168"/>
      <c r="FM74" s="168"/>
      <c r="FN74" s="168"/>
      <c r="FO74" s="168"/>
      <c r="FP74" s="168"/>
    </row>
    <row r="75" spans="1:172" ht="5.25" customHeight="1">
      <c r="A75" s="298"/>
      <c r="B75" s="157"/>
      <c r="C75" s="297"/>
      <c r="D75" s="169"/>
      <c r="E75" s="169"/>
      <c r="F75" s="169"/>
      <c r="G75" s="169"/>
      <c r="H75" s="169"/>
      <c r="I75" s="297"/>
      <c r="J75" s="169"/>
      <c r="K75" s="169"/>
      <c r="L75" s="169"/>
      <c r="M75" s="169"/>
      <c r="N75" s="169"/>
      <c r="O75" s="297"/>
      <c r="P75" s="169"/>
      <c r="Q75" s="169"/>
      <c r="R75" s="169"/>
      <c r="S75" s="169"/>
      <c r="T75" s="169"/>
      <c r="U75" s="297"/>
      <c r="V75" s="169"/>
      <c r="W75" s="169"/>
      <c r="X75" s="169"/>
      <c r="Y75" s="169"/>
      <c r="Z75" s="169"/>
      <c r="AA75" s="297"/>
      <c r="AB75" s="169"/>
      <c r="AC75" s="169"/>
      <c r="AD75" s="169"/>
      <c r="AE75" s="169"/>
      <c r="AF75" s="169"/>
      <c r="AG75" s="169"/>
      <c r="AH75" s="169"/>
      <c r="AI75" s="169"/>
      <c r="AJ75" s="169"/>
      <c r="AK75" s="169"/>
      <c r="AL75" s="169"/>
      <c r="AM75" s="221"/>
      <c r="AN75" s="221"/>
      <c r="AO75" s="221"/>
      <c r="AP75" s="221"/>
      <c r="AQ75" s="221"/>
      <c r="AR75" s="169"/>
      <c r="AS75" s="221"/>
      <c r="AT75" s="221"/>
      <c r="AU75" s="221"/>
      <c r="AV75" s="169"/>
      <c r="AW75" s="169"/>
      <c r="AX75" s="169"/>
      <c r="AY75" s="169"/>
      <c r="AZ75" s="169"/>
      <c r="BA75" s="169"/>
      <c r="BB75" s="169"/>
      <c r="BC75" s="169"/>
      <c r="BD75" s="169"/>
      <c r="BE75" s="169"/>
      <c r="BF75" s="169"/>
      <c r="BG75" s="169"/>
      <c r="BH75" s="169"/>
      <c r="BI75" s="169"/>
      <c r="BJ75" s="169"/>
      <c r="BK75" s="169"/>
      <c r="BL75" s="169"/>
      <c r="BM75" s="169"/>
      <c r="BN75" s="169"/>
      <c r="BO75" s="169"/>
      <c r="BP75" s="169"/>
      <c r="BQ75" s="169"/>
      <c r="BR75" s="169"/>
      <c r="BS75" s="169"/>
      <c r="BT75" s="169"/>
      <c r="BU75" s="169"/>
      <c r="BV75" s="169"/>
      <c r="BW75" s="169"/>
      <c r="BX75" s="298"/>
      <c r="BY75" s="169"/>
      <c r="BZ75" s="169"/>
      <c r="CA75" s="169"/>
      <c r="CB75" s="169"/>
      <c r="CC75" s="169"/>
      <c r="CD75" s="169"/>
      <c r="CE75" s="169"/>
      <c r="CF75" s="169"/>
      <c r="CG75" s="169"/>
      <c r="CH75" s="169"/>
      <c r="CI75" s="169"/>
      <c r="CJ75" s="169"/>
      <c r="CK75" s="169"/>
      <c r="CL75" s="169"/>
      <c r="CM75" s="169"/>
      <c r="CN75" s="169"/>
      <c r="CO75" s="169"/>
      <c r="CP75" s="169"/>
      <c r="CQ75" s="169"/>
      <c r="CR75" s="169"/>
      <c r="CS75" s="169"/>
      <c r="CT75" s="169"/>
      <c r="CU75" s="169"/>
      <c r="CV75" s="169"/>
      <c r="CW75" s="169"/>
      <c r="CX75" s="169"/>
      <c r="CY75" s="169"/>
      <c r="CZ75" s="169"/>
      <c r="DA75" s="169"/>
      <c r="DB75" s="169"/>
      <c r="DC75" s="169"/>
      <c r="DD75" s="169"/>
      <c r="DE75" s="169"/>
      <c r="DF75" s="169"/>
      <c r="DG75" s="169"/>
      <c r="DH75" s="169"/>
      <c r="DI75" s="169"/>
      <c r="DJ75" s="169"/>
      <c r="DK75" s="169"/>
      <c r="DL75" s="169"/>
      <c r="DM75" s="169"/>
      <c r="DN75" s="169"/>
      <c r="DO75" s="169"/>
      <c r="DP75" s="169"/>
      <c r="DQ75" s="169"/>
      <c r="DR75" s="169"/>
      <c r="DS75" s="169"/>
      <c r="DT75" s="298"/>
      <c r="DU75" s="169"/>
      <c r="DV75" s="169"/>
      <c r="DW75" s="169"/>
      <c r="DX75" s="169"/>
      <c r="DY75" s="169"/>
      <c r="DZ75" s="169"/>
      <c r="EA75" s="169"/>
      <c r="EB75" s="169"/>
      <c r="EC75" s="169"/>
      <c r="ED75" s="169"/>
      <c r="EE75" s="169"/>
      <c r="EF75" s="169"/>
      <c r="EG75" s="169"/>
      <c r="EH75" s="169"/>
      <c r="EI75" s="169"/>
      <c r="EJ75" s="169"/>
      <c r="EK75" s="169"/>
      <c r="EL75" s="169"/>
      <c r="EM75" s="169"/>
      <c r="EN75" s="169"/>
      <c r="EO75" s="169"/>
      <c r="EP75" s="169"/>
      <c r="EQ75" s="169"/>
      <c r="ER75" s="169"/>
      <c r="ES75" s="169"/>
      <c r="ET75" s="169"/>
      <c r="EU75" s="169"/>
      <c r="EV75" s="169"/>
      <c r="EW75" s="169"/>
      <c r="FD75" s="169"/>
      <c r="FE75" s="169"/>
      <c r="FF75" s="169"/>
      <c r="FG75" s="169"/>
      <c r="FH75" s="169"/>
      <c r="FI75" s="169"/>
      <c r="FJ75" s="169"/>
      <c r="FK75" s="169"/>
      <c r="FL75" s="169"/>
      <c r="FM75" s="169"/>
      <c r="FN75" s="169"/>
      <c r="FO75" s="169"/>
      <c r="FP75" s="169"/>
    </row>
    <row r="76" spans="1:172" ht="20.100000000000001" customHeight="1">
      <c r="A76" s="638" t="str">
        <f>A1</f>
        <v>Autodesk</v>
      </c>
      <c r="B76" s="157"/>
      <c r="C76" s="301"/>
      <c r="D76" s="302"/>
      <c r="E76" s="301"/>
      <c r="F76" s="301"/>
      <c r="G76" s="302"/>
      <c r="H76" s="302"/>
      <c r="I76" s="301"/>
      <c r="J76" s="302"/>
      <c r="K76" s="301"/>
      <c r="L76" s="301"/>
      <c r="M76" s="302"/>
      <c r="N76" s="302"/>
      <c r="O76" s="301"/>
      <c r="P76" s="302"/>
      <c r="Q76" s="301"/>
      <c r="R76" s="301"/>
      <c r="S76" s="302"/>
      <c r="T76" s="302"/>
      <c r="U76" s="301"/>
      <c r="V76" s="302"/>
      <c r="W76" s="301"/>
      <c r="X76" s="301"/>
      <c r="Y76" s="302"/>
      <c r="Z76" s="302"/>
      <c r="AA76" s="301"/>
      <c r="AB76" s="302"/>
      <c r="AC76" s="301"/>
      <c r="AD76" s="301"/>
      <c r="AE76" s="302"/>
      <c r="AF76" s="302"/>
      <c r="AG76" s="302"/>
      <c r="AH76" s="302"/>
      <c r="AI76" s="301"/>
      <c r="AJ76" s="301"/>
      <c r="AK76" s="302"/>
      <c r="AL76" s="302"/>
      <c r="AM76" s="303"/>
      <c r="AN76" s="303"/>
      <c r="AO76" s="303"/>
      <c r="AP76" s="303"/>
      <c r="AQ76" s="303"/>
      <c r="AR76" s="302"/>
      <c r="AS76" s="303"/>
      <c r="AT76" s="303"/>
      <c r="AU76" s="303"/>
      <c r="AV76" s="302"/>
      <c r="AW76" s="302"/>
      <c r="AX76" s="302"/>
      <c r="AY76" s="302"/>
      <c r="AZ76" s="302"/>
      <c r="BA76" s="302"/>
      <c r="BB76" s="302"/>
      <c r="BC76" s="302"/>
      <c r="BD76" s="302"/>
      <c r="BE76" s="302"/>
      <c r="BF76" s="302"/>
      <c r="BG76" s="302"/>
      <c r="BH76" s="302"/>
      <c r="BI76" s="302"/>
      <c r="BJ76" s="302"/>
      <c r="BK76" s="302"/>
      <c r="BL76" s="302"/>
      <c r="BM76" s="302"/>
      <c r="BN76" s="302"/>
      <c r="BO76" s="302"/>
      <c r="BP76" s="302"/>
      <c r="BQ76" s="302"/>
      <c r="BR76" s="302"/>
      <c r="BS76" s="302"/>
      <c r="BT76" s="302"/>
      <c r="BU76" s="302"/>
      <c r="BV76" s="302"/>
      <c r="BW76" s="302"/>
      <c r="BX76" s="1195"/>
      <c r="BY76" s="302"/>
      <c r="BZ76" s="302"/>
      <c r="CA76" s="302"/>
      <c r="CB76" s="302"/>
      <c r="CC76" s="302"/>
      <c r="CD76" s="302"/>
      <c r="CE76" s="302"/>
      <c r="CF76" s="302"/>
      <c r="CG76" s="302"/>
      <c r="CH76" s="302"/>
      <c r="CI76" s="302"/>
      <c r="CJ76" s="302"/>
      <c r="CK76" s="302"/>
      <c r="CL76" s="302"/>
      <c r="CM76" s="302"/>
      <c r="CN76" s="302"/>
      <c r="CO76" s="302"/>
      <c r="CP76" s="302"/>
      <c r="CQ76" s="302"/>
      <c r="CR76" s="302"/>
      <c r="CS76" s="302"/>
      <c r="CT76" s="302"/>
      <c r="CU76" s="302"/>
      <c r="CV76" s="302"/>
      <c r="CW76" s="302"/>
      <c r="CX76" s="302"/>
      <c r="CY76" s="302"/>
      <c r="CZ76" s="302"/>
      <c r="DA76" s="302"/>
      <c r="DB76" s="302"/>
      <c r="DC76" s="302"/>
      <c r="DD76" s="302"/>
      <c r="DE76" s="302"/>
      <c r="DF76" s="302"/>
      <c r="DG76" s="302"/>
      <c r="DH76" s="302"/>
      <c r="DI76" s="302"/>
      <c r="DJ76" s="302"/>
      <c r="DK76" s="302"/>
      <c r="DL76" s="302"/>
      <c r="DM76" s="302"/>
      <c r="DN76" s="302"/>
      <c r="DO76" s="302"/>
      <c r="DP76" s="302"/>
      <c r="DQ76" s="302"/>
      <c r="DR76" s="302"/>
      <c r="DS76" s="302"/>
      <c r="DT76" s="2061"/>
      <c r="DU76" s="302"/>
      <c r="DV76" s="302"/>
      <c r="DW76" s="302"/>
      <c r="DX76" s="302"/>
      <c r="DY76" s="302"/>
      <c r="DZ76" s="302"/>
      <c r="EA76" s="302"/>
      <c r="EB76" s="302"/>
      <c r="EC76" s="302"/>
      <c r="ED76" s="302"/>
      <c r="EE76" s="302"/>
      <c r="EF76" s="302"/>
      <c r="EG76" s="302"/>
      <c r="EH76" s="302"/>
      <c r="EI76" s="302"/>
      <c r="EJ76" s="302"/>
      <c r="EK76" s="302"/>
      <c r="EL76" s="302"/>
      <c r="EM76" s="302"/>
      <c r="EN76" s="302"/>
      <c r="EO76" s="302"/>
      <c r="EP76" s="302"/>
      <c r="EQ76" s="302"/>
      <c r="ER76" s="302"/>
      <c r="ES76" s="302"/>
      <c r="ET76" s="302"/>
      <c r="EU76" s="302"/>
      <c r="EV76" s="311"/>
      <c r="EW76" s="311"/>
      <c r="FD76" s="311"/>
      <c r="FE76" s="311"/>
      <c r="FF76" s="311"/>
      <c r="FG76" s="311"/>
      <c r="FH76" s="311"/>
      <c r="FI76" s="311"/>
      <c r="FJ76" s="311"/>
      <c r="FK76" s="311"/>
      <c r="FL76" s="311"/>
      <c r="FM76" s="311"/>
      <c r="FN76" s="311"/>
      <c r="FO76" s="311"/>
      <c r="FP76" s="311"/>
    </row>
    <row r="77" spans="1:172" ht="20.100000000000001" customHeight="1">
      <c r="A77" s="639" t="s">
        <v>5981</v>
      </c>
      <c r="B77" s="157"/>
      <c r="C77" s="304"/>
      <c r="D77" s="304"/>
      <c r="E77" s="304"/>
      <c r="F77" s="304"/>
      <c r="G77" s="304"/>
      <c r="H77" s="305"/>
      <c r="I77" s="304"/>
      <c r="J77" s="304"/>
      <c r="K77" s="304"/>
      <c r="L77" s="304"/>
      <c r="M77" s="304"/>
      <c r="N77" s="305"/>
      <c r="O77" s="304"/>
      <c r="P77" s="304"/>
      <c r="Q77" s="304"/>
      <c r="R77" s="304"/>
      <c r="S77" s="304"/>
      <c r="T77" s="305"/>
      <c r="U77" s="304"/>
      <c r="V77" s="304"/>
      <c r="W77" s="304"/>
      <c r="X77" s="304"/>
      <c r="Y77" s="304"/>
      <c r="Z77" s="305"/>
      <c r="AA77" s="304"/>
      <c r="AB77" s="304"/>
      <c r="AC77" s="304"/>
      <c r="AD77" s="304"/>
      <c r="AE77" s="304"/>
      <c r="AF77" s="305"/>
      <c r="AG77" s="304"/>
      <c r="AH77" s="304"/>
      <c r="AI77" s="304"/>
      <c r="AJ77" s="304"/>
      <c r="AK77" s="304"/>
      <c r="AL77" s="305"/>
      <c r="AM77" s="306"/>
      <c r="AN77" s="307"/>
      <c r="AO77" s="308"/>
      <c r="AP77" s="307"/>
      <c r="AQ77" s="308"/>
      <c r="AR77" s="305"/>
      <c r="AS77" s="306"/>
      <c r="AT77" s="307"/>
      <c r="AU77" s="308"/>
      <c r="AV77" s="305"/>
      <c r="AW77" s="304"/>
      <c r="AX77" s="305"/>
      <c r="AY77" s="309"/>
      <c r="AZ77" s="305"/>
      <c r="BA77" s="304"/>
      <c r="BB77" s="305"/>
      <c r="BC77" s="304"/>
      <c r="BD77" s="305"/>
      <c r="BE77" s="305"/>
      <c r="BF77" s="305"/>
      <c r="BG77" s="305"/>
      <c r="BH77" s="305"/>
      <c r="BI77" s="305"/>
      <c r="BJ77" s="305"/>
      <c r="BK77" s="305"/>
      <c r="BL77" s="305"/>
      <c r="BM77" s="305"/>
      <c r="BN77" s="305"/>
      <c r="BO77" s="305"/>
      <c r="BP77" s="305"/>
      <c r="BQ77" s="305"/>
      <c r="BR77" s="305"/>
      <c r="BS77" s="305"/>
      <c r="BT77" s="305"/>
      <c r="BU77" s="305"/>
      <c r="BV77" s="305"/>
      <c r="BW77" s="305"/>
      <c r="BX77" s="309"/>
      <c r="BY77" s="305"/>
      <c r="BZ77" s="305"/>
      <c r="CA77" s="305"/>
      <c r="CB77" s="305"/>
      <c r="CC77" s="305"/>
      <c r="CD77" s="305"/>
      <c r="CE77" s="305"/>
      <c r="CF77" s="305"/>
      <c r="CG77" s="305"/>
      <c r="CH77" s="305"/>
      <c r="CI77" s="305"/>
      <c r="CJ77" s="305"/>
      <c r="CK77" s="305"/>
      <c r="CL77" s="305"/>
      <c r="CM77" s="305"/>
      <c r="CN77" s="305"/>
      <c r="CO77" s="305"/>
      <c r="CP77" s="305"/>
      <c r="CQ77" s="305"/>
      <c r="CR77" s="305"/>
      <c r="CS77" s="305"/>
      <c r="CT77" s="305"/>
      <c r="CU77" s="305"/>
      <c r="CV77" s="305"/>
      <c r="CW77" s="305"/>
      <c r="CX77" s="305"/>
      <c r="CY77" s="305"/>
      <c r="CZ77" s="305"/>
      <c r="DA77" s="305"/>
      <c r="DB77" s="305"/>
      <c r="DC77" s="305"/>
      <c r="DD77" s="305"/>
      <c r="DE77" s="305"/>
      <c r="DF77" s="305"/>
      <c r="DG77" s="305"/>
      <c r="DH77" s="305"/>
      <c r="DI77" s="305"/>
      <c r="DJ77" s="305"/>
      <c r="DK77" s="305"/>
      <c r="DL77" s="305"/>
      <c r="DM77" s="305"/>
      <c r="DN77" s="305"/>
      <c r="DO77" s="305"/>
      <c r="DP77" s="305"/>
      <c r="DQ77" s="305"/>
      <c r="DR77" s="305"/>
      <c r="DS77" s="305"/>
      <c r="DT77" s="1806"/>
      <c r="DU77" s="305"/>
      <c r="DV77" s="305"/>
      <c r="DW77" s="305"/>
      <c r="DX77" s="305"/>
      <c r="DY77" s="305"/>
      <c r="DZ77" s="305"/>
      <c r="EA77" s="305"/>
      <c r="EB77" s="305"/>
      <c r="EC77" s="305"/>
      <c r="ED77" s="305"/>
      <c r="EE77" s="305"/>
      <c r="EF77" s="305"/>
      <c r="EG77" s="305"/>
      <c r="EH77" s="305"/>
      <c r="EI77" s="305"/>
      <c r="EJ77" s="305"/>
      <c r="EK77" s="305"/>
      <c r="EL77" s="305"/>
      <c r="EM77" s="305"/>
      <c r="EN77" s="305"/>
      <c r="EO77" s="305"/>
      <c r="EP77" s="305"/>
      <c r="EQ77" s="305"/>
      <c r="ER77" s="305"/>
      <c r="ES77" s="305"/>
      <c r="ET77" s="305"/>
      <c r="EU77" s="305"/>
      <c r="EV77" s="311"/>
      <c r="EW77" s="311"/>
      <c r="FD77" s="311"/>
      <c r="FE77" s="311"/>
      <c r="FF77" s="311"/>
      <c r="FG77" s="311"/>
      <c r="FH77" s="311"/>
      <c r="FI77" s="311"/>
      <c r="FJ77" s="311"/>
      <c r="FK77" s="311"/>
      <c r="FL77" s="311"/>
      <c r="FM77" s="311"/>
      <c r="FN77" s="311"/>
      <c r="FO77" s="311"/>
      <c r="FP77" s="311"/>
    </row>
    <row r="78" spans="1:172" ht="5.25" customHeight="1">
      <c r="A78" s="640"/>
      <c r="B78" s="294"/>
      <c r="C78" s="310"/>
      <c r="D78" s="311"/>
      <c r="E78" s="311"/>
      <c r="F78" s="311"/>
      <c r="G78" s="311"/>
      <c r="H78" s="311"/>
      <c r="I78" s="310"/>
      <c r="J78" s="311"/>
      <c r="K78" s="311"/>
      <c r="L78" s="311"/>
      <c r="M78" s="311"/>
      <c r="N78" s="311"/>
      <c r="O78" s="310"/>
      <c r="P78" s="311"/>
      <c r="Q78" s="311"/>
      <c r="R78" s="311"/>
      <c r="S78" s="311"/>
      <c r="T78" s="311"/>
      <c r="U78" s="310"/>
      <c r="V78" s="311"/>
      <c r="W78" s="311"/>
      <c r="X78" s="311"/>
      <c r="Y78" s="311"/>
      <c r="Z78" s="311"/>
      <c r="AA78" s="310"/>
      <c r="AB78" s="311"/>
      <c r="AC78" s="311"/>
      <c r="AD78" s="311"/>
      <c r="AE78" s="311"/>
      <c r="AF78" s="311"/>
      <c r="AG78" s="311"/>
      <c r="AH78" s="311"/>
      <c r="AI78" s="311"/>
      <c r="AJ78" s="311"/>
      <c r="AK78" s="311"/>
      <c r="AL78" s="311"/>
      <c r="AM78" s="312"/>
      <c r="AN78" s="312"/>
      <c r="AO78" s="312"/>
      <c r="AP78" s="312"/>
      <c r="AQ78" s="312"/>
      <c r="AR78" s="311"/>
      <c r="AS78" s="312"/>
      <c r="AT78" s="312"/>
      <c r="AU78" s="312"/>
      <c r="AV78" s="311"/>
      <c r="AW78" s="311"/>
      <c r="AX78" s="311"/>
      <c r="AY78" s="311"/>
      <c r="AZ78" s="311"/>
      <c r="BA78" s="311"/>
      <c r="BB78" s="311"/>
      <c r="BC78" s="311"/>
      <c r="BD78" s="311"/>
      <c r="BE78" s="311"/>
      <c r="BF78" s="311"/>
      <c r="BG78" s="311"/>
      <c r="BH78" s="311"/>
      <c r="BI78" s="311"/>
      <c r="BJ78" s="311"/>
      <c r="BK78" s="311"/>
      <c r="BL78" s="311"/>
      <c r="BM78" s="311"/>
      <c r="BN78" s="311"/>
      <c r="BO78" s="311"/>
      <c r="BP78" s="311"/>
      <c r="BQ78" s="311"/>
      <c r="BR78" s="311"/>
      <c r="BS78" s="311"/>
      <c r="BT78" s="311"/>
      <c r="BU78" s="311"/>
      <c r="BV78" s="311"/>
      <c r="BW78" s="311"/>
      <c r="BX78" s="640"/>
      <c r="BY78" s="311"/>
      <c r="BZ78" s="311"/>
      <c r="CA78" s="311"/>
      <c r="CB78" s="311"/>
      <c r="CC78" s="311"/>
      <c r="CD78" s="311"/>
      <c r="CE78" s="311"/>
      <c r="CF78" s="311"/>
      <c r="CG78" s="311"/>
      <c r="CH78" s="311"/>
      <c r="CI78" s="311"/>
      <c r="CJ78" s="311"/>
      <c r="CK78" s="311"/>
      <c r="CL78" s="311"/>
      <c r="CM78" s="311"/>
      <c r="CN78" s="311"/>
      <c r="CO78" s="311"/>
      <c r="CP78" s="311"/>
      <c r="CQ78" s="311"/>
      <c r="CR78" s="311"/>
      <c r="CS78" s="311"/>
      <c r="CT78" s="311"/>
      <c r="CU78" s="311"/>
      <c r="CV78" s="311"/>
      <c r="CW78" s="311"/>
      <c r="CX78" s="311"/>
      <c r="CY78" s="311"/>
      <c r="CZ78" s="311"/>
      <c r="DA78" s="311"/>
      <c r="DB78" s="311"/>
      <c r="DC78" s="311"/>
      <c r="DD78" s="311"/>
      <c r="DE78" s="311"/>
      <c r="DF78" s="311"/>
      <c r="DG78" s="311"/>
      <c r="DH78" s="311"/>
      <c r="DI78" s="311"/>
      <c r="DJ78" s="311"/>
      <c r="DK78" s="311"/>
      <c r="DL78" s="311"/>
      <c r="DM78" s="311"/>
      <c r="DN78" s="311"/>
      <c r="DO78" s="311"/>
      <c r="DP78" s="311"/>
      <c r="DQ78" s="311"/>
      <c r="DR78" s="311"/>
      <c r="DS78" s="311"/>
      <c r="DT78" s="1796"/>
      <c r="DU78" s="311"/>
      <c r="DV78" s="311"/>
      <c r="DW78" s="311"/>
      <c r="DX78" s="311"/>
      <c r="DY78" s="311"/>
      <c r="DZ78" s="311"/>
      <c r="EA78" s="311"/>
      <c r="EB78" s="311"/>
      <c r="EC78" s="311"/>
      <c r="ED78" s="311"/>
      <c r="EE78" s="311"/>
      <c r="EF78" s="311"/>
      <c r="EG78" s="311"/>
      <c r="EH78" s="311"/>
      <c r="EI78" s="311"/>
      <c r="EJ78" s="311"/>
      <c r="EK78" s="311"/>
      <c r="EL78" s="311"/>
      <c r="EM78" s="311"/>
      <c r="EN78" s="311"/>
      <c r="EO78" s="311"/>
      <c r="EP78" s="311"/>
      <c r="EQ78" s="311"/>
      <c r="ER78" s="311"/>
      <c r="ES78" s="311"/>
      <c r="ET78" s="311"/>
      <c r="EU78" s="311"/>
      <c r="EV78" s="311"/>
      <c r="EW78" s="311"/>
      <c r="FD78" s="311"/>
      <c r="FE78" s="311"/>
      <c r="FF78" s="311"/>
      <c r="FG78" s="311"/>
      <c r="FH78" s="311"/>
      <c r="FI78" s="311"/>
      <c r="FJ78" s="311"/>
      <c r="FK78" s="311"/>
      <c r="FL78" s="311"/>
      <c r="FM78" s="311"/>
      <c r="FN78" s="311"/>
      <c r="FO78" s="311"/>
      <c r="FP78" s="311"/>
    </row>
    <row r="79" spans="1:172" ht="11.25" customHeight="1">
      <c r="A79" s="641" t="s">
        <v>651</v>
      </c>
      <c r="B79" s="294"/>
      <c r="C79" s="313"/>
      <c r="D79" s="313"/>
      <c r="E79" s="313"/>
      <c r="F79" s="313"/>
      <c r="G79" s="314"/>
      <c r="H79" s="314"/>
      <c r="I79" s="313"/>
      <c r="J79" s="313"/>
      <c r="K79" s="313"/>
      <c r="L79" s="313"/>
      <c r="M79" s="314"/>
      <c r="N79" s="314"/>
      <c r="O79" s="313"/>
      <c r="P79" s="313"/>
      <c r="Q79" s="313"/>
      <c r="R79" s="313"/>
      <c r="S79" s="314"/>
      <c r="T79" s="314"/>
      <c r="U79" s="313"/>
      <c r="V79" s="314"/>
      <c r="W79" s="313"/>
      <c r="X79" s="313"/>
      <c r="Y79" s="314"/>
      <c r="Z79" s="314"/>
      <c r="AA79" s="313"/>
      <c r="AB79" s="313"/>
      <c r="AC79" s="313"/>
      <c r="AD79" s="313"/>
      <c r="AE79" s="314"/>
      <c r="AF79" s="314"/>
      <c r="AG79" s="313"/>
      <c r="AH79" s="313"/>
      <c r="AI79" s="313"/>
      <c r="AJ79" s="313"/>
      <c r="AK79" s="314"/>
      <c r="AL79" s="314"/>
      <c r="AM79" s="315"/>
      <c r="AN79" s="315"/>
      <c r="AO79" s="315"/>
      <c r="AP79" s="315"/>
      <c r="AQ79" s="316"/>
      <c r="AR79" s="314"/>
      <c r="AS79" s="315"/>
      <c r="AT79" s="315"/>
      <c r="AU79" s="315"/>
      <c r="AV79" s="313"/>
      <c r="AW79" s="314"/>
      <c r="AX79" s="314"/>
      <c r="AY79" s="313"/>
      <c r="AZ79" s="313"/>
      <c r="BA79" s="313"/>
      <c r="BB79" s="313"/>
      <c r="BC79" s="314"/>
      <c r="BD79" s="314"/>
      <c r="BE79" s="314"/>
      <c r="BF79" s="314"/>
      <c r="BG79" s="314"/>
      <c r="BH79" s="314"/>
      <c r="BI79" s="314"/>
      <c r="BJ79" s="314"/>
      <c r="BK79" s="314"/>
      <c r="BL79" s="314"/>
      <c r="BM79" s="314"/>
      <c r="BN79" s="314"/>
      <c r="BO79" s="314"/>
      <c r="BP79" s="314"/>
      <c r="BQ79" s="314"/>
      <c r="BR79" s="314"/>
      <c r="BS79" s="314"/>
      <c r="BT79" s="314"/>
      <c r="BU79" s="314"/>
      <c r="BV79" s="314"/>
      <c r="BW79" s="314"/>
      <c r="BX79" s="314"/>
      <c r="BY79" s="314"/>
      <c r="BZ79" s="314"/>
      <c r="CA79" s="314"/>
      <c r="CB79" s="314"/>
      <c r="CC79" s="314"/>
      <c r="CD79" s="314"/>
      <c r="CE79" s="314"/>
      <c r="CF79" s="314"/>
      <c r="CG79" s="314"/>
      <c r="CH79" s="314"/>
      <c r="CI79" s="314"/>
      <c r="CJ79" s="314"/>
      <c r="CK79" s="314"/>
      <c r="CL79" s="314"/>
      <c r="CM79" s="314"/>
      <c r="CN79" s="314"/>
      <c r="CO79" s="314"/>
      <c r="CP79" s="314"/>
      <c r="CQ79" s="314"/>
      <c r="CR79" s="314"/>
      <c r="CS79" s="314"/>
      <c r="CT79" s="314"/>
      <c r="CU79" s="314"/>
      <c r="CV79" s="314"/>
      <c r="CW79" s="314"/>
      <c r="CX79" s="314"/>
      <c r="CY79" s="314"/>
      <c r="CZ79" s="314"/>
      <c r="DA79" s="314"/>
      <c r="DB79" s="314"/>
      <c r="DC79" s="314"/>
      <c r="DD79" s="314"/>
      <c r="DE79" s="314"/>
      <c r="DF79" s="314"/>
      <c r="DG79" s="314"/>
      <c r="DH79" s="314"/>
      <c r="DI79" s="314"/>
      <c r="DJ79" s="314"/>
      <c r="DK79" s="314"/>
      <c r="DL79" s="314"/>
      <c r="DM79" s="314"/>
      <c r="DN79" s="314"/>
      <c r="DO79" s="314"/>
      <c r="DP79" s="314"/>
      <c r="DQ79" s="314"/>
      <c r="DR79" s="314"/>
      <c r="DS79" s="314"/>
      <c r="DT79" s="2062"/>
      <c r="DU79" s="314"/>
      <c r="DV79" s="314"/>
      <c r="DW79" s="314"/>
      <c r="DX79" s="314"/>
      <c r="DY79" s="314"/>
      <c r="DZ79" s="314"/>
      <c r="EA79" s="314"/>
      <c r="EB79" s="314"/>
      <c r="EC79" s="314"/>
      <c r="ED79" s="314"/>
      <c r="EE79" s="314"/>
      <c r="EF79" s="314"/>
      <c r="EG79" s="314"/>
      <c r="EH79" s="314"/>
      <c r="EI79" s="314"/>
      <c r="EJ79" s="314"/>
      <c r="EK79" s="314"/>
      <c r="EL79" s="314"/>
      <c r="EM79" s="314"/>
      <c r="EN79" s="314"/>
      <c r="EO79" s="314"/>
      <c r="EP79" s="314"/>
      <c r="EQ79" s="314"/>
      <c r="ER79" s="314"/>
      <c r="ES79" s="314"/>
      <c r="ET79" s="314"/>
      <c r="EU79" s="314"/>
      <c r="EV79" s="313"/>
      <c r="EW79" s="313"/>
      <c r="FD79" s="313"/>
      <c r="FE79" s="313"/>
      <c r="FF79" s="313"/>
      <c r="FG79" s="313"/>
      <c r="FH79" s="313"/>
      <c r="FI79" s="313"/>
      <c r="FJ79" s="313"/>
      <c r="FK79" s="313"/>
      <c r="FL79" s="313"/>
      <c r="FM79" s="313"/>
      <c r="FN79" s="313"/>
      <c r="FO79" s="313"/>
      <c r="FP79" s="313"/>
    </row>
    <row r="80" spans="1:172" ht="11.25" hidden="1" customHeight="1">
      <c r="A80" s="642"/>
      <c r="B80" s="294"/>
      <c r="C80" s="313"/>
      <c r="D80" s="313"/>
      <c r="E80" s="313"/>
      <c r="F80" s="313"/>
      <c r="G80" s="314"/>
      <c r="H80" s="314"/>
      <c r="I80" s="313"/>
      <c r="J80" s="313"/>
      <c r="K80" s="313"/>
      <c r="L80" s="313"/>
      <c r="M80" s="314"/>
      <c r="N80" s="314"/>
      <c r="O80" s="317"/>
      <c r="P80" s="317"/>
      <c r="Q80" s="317"/>
      <c r="R80" s="317"/>
      <c r="S80" s="318"/>
      <c r="T80" s="314"/>
      <c r="U80" s="313"/>
      <c r="V80" s="318"/>
      <c r="W80" s="313"/>
      <c r="X80" s="317"/>
      <c r="Y80" s="314"/>
      <c r="Z80" s="314"/>
      <c r="AA80" s="317"/>
      <c r="AB80" s="317"/>
      <c r="AC80" s="317"/>
      <c r="AD80" s="317"/>
      <c r="AE80" s="318"/>
      <c r="AF80" s="314"/>
      <c r="AG80" s="317"/>
      <c r="AH80" s="317"/>
      <c r="AI80" s="317"/>
      <c r="AJ80" s="317"/>
      <c r="AK80" s="318"/>
      <c r="AL80" s="314"/>
      <c r="AM80" s="315"/>
      <c r="AN80" s="315"/>
      <c r="AO80" s="315"/>
      <c r="AP80" s="315"/>
      <c r="AQ80" s="316"/>
      <c r="AR80" s="314"/>
      <c r="AS80" s="315"/>
      <c r="AT80" s="315"/>
      <c r="AU80" s="315"/>
      <c r="AV80" s="317"/>
      <c r="AW80" s="318"/>
      <c r="AX80" s="314"/>
      <c r="AY80" s="317"/>
      <c r="AZ80" s="317"/>
      <c r="BA80" s="317"/>
      <c r="BB80" s="317"/>
      <c r="BC80" s="318"/>
      <c r="BD80" s="314"/>
      <c r="BE80" s="318"/>
      <c r="BF80" s="318"/>
      <c r="BG80" s="318"/>
      <c r="BH80" s="318"/>
      <c r="BI80" s="318"/>
      <c r="BJ80" s="318"/>
      <c r="BK80" s="318"/>
      <c r="BL80" s="318"/>
      <c r="BM80" s="318"/>
      <c r="BN80" s="318"/>
      <c r="BO80" s="318"/>
      <c r="BP80" s="318"/>
      <c r="BQ80" s="318"/>
      <c r="BR80" s="318"/>
      <c r="BS80" s="318"/>
      <c r="BT80" s="318"/>
      <c r="BU80" s="318"/>
      <c r="BV80" s="318"/>
      <c r="BW80" s="318"/>
      <c r="BX80" s="318"/>
      <c r="BY80" s="318"/>
      <c r="BZ80" s="318"/>
      <c r="CA80" s="318"/>
      <c r="CB80" s="318"/>
      <c r="CC80" s="318"/>
      <c r="CD80" s="318"/>
      <c r="CE80" s="318"/>
      <c r="CF80" s="318"/>
      <c r="CG80" s="318"/>
      <c r="CH80" s="318"/>
      <c r="CI80" s="318"/>
      <c r="CJ80" s="318"/>
      <c r="CK80" s="318"/>
      <c r="CL80" s="318"/>
      <c r="CM80" s="318"/>
      <c r="CN80" s="318"/>
      <c r="CO80" s="318"/>
      <c r="CP80" s="318"/>
      <c r="CQ80" s="318"/>
      <c r="CR80" s="318"/>
      <c r="CS80" s="318"/>
      <c r="CT80" s="318"/>
      <c r="CU80" s="318"/>
      <c r="CV80" s="318"/>
      <c r="CW80" s="318"/>
      <c r="CX80" s="318"/>
      <c r="CY80" s="318"/>
      <c r="CZ80" s="318"/>
      <c r="DA80" s="318"/>
      <c r="DB80" s="318"/>
      <c r="DC80" s="318"/>
      <c r="DD80" s="318"/>
      <c r="DE80" s="318"/>
      <c r="DF80" s="318"/>
      <c r="DG80" s="318"/>
      <c r="DH80" s="318"/>
      <c r="DI80" s="318"/>
      <c r="DJ80" s="318"/>
      <c r="DK80" s="318"/>
      <c r="DL80" s="318"/>
      <c r="DM80" s="318"/>
      <c r="DN80" s="318"/>
      <c r="DO80" s="318"/>
      <c r="DP80" s="318"/>
      <c r="DQ80" s="318"/>
      <c r="DR80" s="318"/>
      <c r="DS80" s="318"/>
      <c r="DT80" s="2063"/>
      <c r="DU80" s="318"/>
      <c r="DV80" s="318"/>
      <c r="DW80" s="318"/>
      <c r="DX80" s="318"/>
      <c r="DY80" s="318"/>
      <c r="DZ80" s="318"/>
      <c r="EA80" s="318"/>
      <c r="EB80" s="318"/>
      <c r="EC80" s="318"/>
      <c r="ED80" s="318"/>
      <c r="EE80" s="318"/>
      <c r="EF80" s="318"/>
      <c r="EG80" s="318"/>
      <c r="EH80" s="318"/>
      <c r="EI80" s="318"/>
      <c r="EJ80" s="318"/>
      <c r="EK80" s="318"/>
      <c r="EL80" s="318"/>
      <c r="EM80" s="318"/>
      <c r="EN80" s="318"/>
      <c r="EO80" s="318"/>
      <c r="EP80" s="318"/>
      <c r="EQ80" s="318"/>
      <c r="ER80" s="318"/>
      <c r="ES80" s="318"/>
      <c r="ET80" s="318"/>
      <c r="EU80" s="318"/>
      <c r="EV80" s="313"/>
      <c r="EW80" s="313"/>
      <c r="FD80" s="313"/>
      <c r="FE80" s="313"/>
      <c r="FF80" s="313"/>
      <c r="FG80" s="313"/>
      <c r="FH80" s="313"/>
      <c r="FI80" s="313"/>
      <c r="FJ80" s="313"/>
      <c r="FK80" s="313"/>
      <c r="FL80" s="313"/>
      <c r="FM80" s="313"/>
      <c r="FN80" s="313"/>
      <c r="FO80" s="313"/>
      <c r="FP80" s="313"/>
    </row>
    <row r="81" spans="1:172" ht="11.25" customHeight="1">
      <c r="A81" s="643"/>
      <c r="B81" s="294"/>
      <c r="C81" s="841"/>
      <c r="D81" s="841"/>
      <c r="E81" s="1245"/>
      <c r="F81" s="841"/>
      <c r="G81" s="841"/>
      <c r="H81" s="18"/>
      <c r="I81" s="841"/>
      <c r="J81" s="841"/>
      <c r="K81" s="1245"/>
      <c r="L81" s="841"/>
      <c r="M81" s="841"/>
      <c r="N81" s="18"/>
      <c r="O81" s="841">
        <f>O6</f>
        <v>1999</v>
      </c>
      <c r="P81" s="841"/>
      <c r="Q81" s="1245"/>
      <c r="R81" s="841"/>
      <c r="S81" s="841"/>
      <c r="T81" s="18"/>
      <c r="U81" s="841">
        <f>U6</f>
        <v>2000</v>
      </c>
      <c r="V81" s="841"/>
      <c r="W81" s="1245"/>
      <c r="X81" s="841"/>
      <c r="Y81" s="841"/>
      <c r="Z81" s="18"/>
      <c r="AA81" s="841">
        <f>AA6</f>
        <v>2001</v>
      </c>
      <c r="AB81" s="841"/>
      <c r="AC81" s="1245"/>
      <c r="AD81" s="841"/>
      <c r="AE81" s="841"/>
      <c r="AF81" s="18"/>
      <c r="AG81" s="841">
        <f>AG6</f>
        <v>2002</v>
      </c>
      <c r="AH81" s="841"/>
      <c r="AI81" s="1245"/>
      <c r="AJ81" s="841"/>
      <c r="AK81" s="841"/>
      <c r="AL81" s="18"/>
      <c r="AM81" s="1318">
        <f>AM6</f>
        <v>2003</v>
      </c>
      <c r="AN81" s="1318"/>
      <c r="AO81" s="1319"/>
      <c r="AP81" s="1318"/>
      <c r="AQ81" s="1318"/>
      <c r="AR81" s="18"/>
      <c r="AS81" s="1318" t="str">
        <f>AS6</f>
        <v>2004</v>
      </c>
      <c r="AT81" s="1318"/>
      <c r="AU81" s="1319"/>
      <c r="AV81" s="841"/>
      <c r="AW81" s="841"/>
      <c r="AX81" s="18"/>
      <c r="AY81" s="841" t="str">
        <f>AY6</f>
        <v>2005</v>
      </c>
      <c r="AZ81" s="841"/>
      <c r="BA81" s="1245"/>
      <c r="BB81" s="841"/>
      <c r="BC81" s="841"/>
      <c r="BD81" s="18"/>
      <c r="BE81" s="841" t="str">
        <f>BE6</f>
        <v>2006</v>
      </c>
      <c r="BF81" s="841"/>
      <c r="BG81" s="1245"/>
      <c r="BH81" s="841"/>
      <c r="BI81" s="841"/>
      <c r="BJ81" s="18"/>
      <c r="BK81" s="841" t="str">
        <f>BK6</f>
        <v>2007</v>
      </c>
      <c r="BL81" s="841"/>
      <c r="BM81" s="1245"/>
      <c r="BN81" s="841"/>
      <c r="BO81" s="841"/>
      <c r="BP81" s="18"/>
      <c r="BQ81" s="841" t="str">
        <f>BQ6</f>
        <v>2008</v>
      </c>
      <c r="BR81" s="841"/>
      <c r="BS81" s="1245"/>
      <c r="BT81" s="841"/>
      <c r="BU81" s="841"/>
      <c r="BV81" s="18"/>
      <c r="BW81" s="841" t="str">
        <f>BW6</f>
        <v>2009</v>
      </c>
      <c r="BX81" s="841"/>
      <c r="BY81" s="1245"/>
      <c r="BZ81" s="841"/>
      <c r="CA81" s="841"/>
      <c r="CB81" s="18"/>
      <c r="CC81" s="841" t="str">
        <f>CC6</f>
        <v>2010</v>
      </c>
      <c r="CD81" s="841"/>
      <c r="CE81" s="841"/>
      <c r="CF81" s="841"/>
      <c r="CG81" s="841"/>
      <c r="CH81" s="18"/>
      <c r="CI81" s="841" t="str">
        <f>CI6</f>
        <v>2011</v>
      </c>
      <c r="CJ81" s="841"/>
      <c r="CK81" s="1245"/>
      <c r="CL81" s="841"/>
      <c r="CM81" s="841"/>
      <c r="CN81" s="18"/>
      <c r="CO81" s="841" t="str">
        <f>CO6</f>
        <v>2012</v>
      </c>
      <c r="CP81" s="841"/>
      <c r="CQ81" s="1245"/>
      <c r="CR81" s="841"/>
      <c r="CS81" s="841"/>
      <c r="CT81" s="18"/>
      <c r="CU81" s="841" t="str">
        <f>CU6</f>
        <v>2013</v>
      </c>
      <c r="CV81" s="841"/>
      <c r="CW81" s="1245"/>
      <c r="CX81" s="841"/>
      <c r="CY81" s="841"/>
      <c r="CZ81" s="18"/>
      <c r="DA81" s="841" t="str">
        <f>DA6</f>
        <v>2014</v>
      </c>
      <c r="DB81" s="841"/>
      <c r="DC81" s="1245"/>
      <c r="DD81" s="841"/>
      <c r="DE81" s="841"/>
      <c r="DF81" s="18"/>
      <c r="DG81" s="841" t="str">
        <f>DG6</f>
        <v>2015</v>
      </c>
      <c r="DH81" s="841"/>
      <c r="DI81" s="1245"/>
      <c r="DJ81" s="841"/>
      <c r="DK81" s="841"/>
      <c r="DL81" s="18"/>
      <c r="DM81" s="841" t="str">
        <f>DM6</f>
        <v>2016</v>
      </c>
      <c r="DN81" s="841"/>
      <c r="DO81" s="1245"/>
      <c r="DP81" s="841"/>
      <c r="DQ81" s="841"/>
      <c r="DR81" s="18"/>
      <c r="DS81" s="841" t="str">
        <f>DS6</f>
        <v>2017</v>
      </c>
      <c r="DT81" s="841"/>
      <c r="DU81" s="1245"/>
      <c r="DV81" s="841"/>
      <c r="DW81" s="841"/>
      <c r="DX81" s="18"/>
      <c r="DY81" s="841" t="str">
        <f>DY6</f>
        <v>2018</v>
      </c>
      <c r="DZ81" s="841"/>
      <c r="EA81" s="1245"/>
      <c r="EB81" s="1245"/>
      <c r="EC81" s="841"/>
      <c r="ED81" s="18"/>
      <c r="EE81" s="841" t="str">
        <f>EE6</f>
        <v>2019e</v>
      </c>
      <c r="EF81" s="841"/>
      <c r="EG81" s="1245"/>
      <c r="EH81" s="841"/>
      <c r="EI81" s="841"/>
      <c r="EJ81" s="18"/>
      <c r="EK81" s="841" t="str">
        <f>EK6</f>
        <v>2020e</v>
      </c>
      <c r="EL81" s="841"/>
      <c r="EM81" s="1245"/>
      <c r="EN81" s="841"/>
      <c r="EO81" s="841"/>
      <c r="EP81" s="18"/>
      <c r="EQ81" s="841" t="str">
        <f>EQ6</f>
        <v>2021e</v>
      </c>
      <c r="ER81" s="841"/>
      <c r="ES81" s="1245"/>
      <c r="ET81" s="841"/>
      <c r="EU81" s="841"/>
      <c r="EV81" s="18"/>
      <c r="EW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</row>
    <row r="82" spans="1:172">
      <c r="A82" s="1332"/>
      <c r="B82" s="1333"/>
      <c r="C82" s="842"/>
      <c r="D82" s="842"/>
      <c r="E82" s="842"/>
      <c r="F82" s="842"/>
      <c r="G82" s="842"/>
      <c r="H82" s="842"/>
      <c r="I82" s="842"/>
      <c r="J82" s="842"/>
      <c r="K82" s="842"/>
      <c r="L82" s="842"/>
      <c r="M82" s="842"/>
      <c r="N82" s="842"/>
      <c r="O82" s="842" t="str">
        <f>O7</f>
        <v>4/98</v>
      </c>
      <c r="P82" s="842" t="str">
        <f>P7</f>
        <v>7/98</v>
      </c>
      <c r="Q82" s="842" t="str">
        <f>Q7</f>
        <v>10/98</v>
      </c>
      <c r="R82" s="842" t="str">
        <f>R7</f>
        <v>1/99</v>
      </c>
      <c r="S82" s="842" t="str">
        <f>S7</f>
        <v>FY99</v>
      </c>
      <c r="T82" s="842"/>
      <c r="U82" s="842" t="str">
        <f>U7</f>
        <v>4/99</v>
      </c>
      <c r="V82" s="842" t="str">
        <f>V7</f>
        <v>7/99</v>
      </c>
      <c r="W82" s="842" t="str">
        <f>W7</f>
        <v>10/99</v>
      </c>
      <c r="X82" s="842" t="str">
        <f>X7</f>
        <v>1/00</v>
      </c>
      <c r="Y82" s="842" t="str">
        <f>Y7</f>
        <v>FY00</v>
      </c>
      <c r="Z82" s="842"/>
      <c r="AA82" s="842" t="str">
        <f>AA7</f>
        <v>4/00</v>
      </c>
      <c r="AB82" s="842" t="str">
        <f>AB7</f>
        <v>7/00</v>
      </c>
      <c r="AC82" s="842" t="str">
        <f>AC7</f>
        <v>10/00</v>
      </c>
      <c r="AD82" s="842" t="str">
        <f>AD7</f>
        <v>1/01</v>
      </c>
      <c r="AE82" s="842" t="str">
        <f>AE7</f>
        <v>FY01</v>
      </c>
      <c r="AF82" s="842"/>
      <c r="AG82" s="842" t="str">
        <f>AG7</f>
        <v>4/01</v>
      </c>
      <c r="AH82" s="842" t="str">
        <f>AH7</f>
        <v>7/01</v>
      </c>
      <c r="AI82" s="842" t="str">
        <f>AI7</f>
        <v>10/01</v>
      </c>
      <c r="AJ82" s="842" t="str">
        <f>AJ7</f>
        <v>1/02</v>
      </c>
      <c r="AK82" s="842" t="str">
        <f>AK7</f>
        <v>FY02</v>
      </c>
      <c r="AL82" s="842"/>
      <c r="AM82" s="1322" t="str">
        <f>AM7</f>
        <v>4/02</v>
      </c>
      <c r="AN82" s="1322" t="str">
        <f>AN7</f>
        <v>7/02</v>
      </c>
      <c r="AO82" s="1322" t="str">
        <f>AO7</f>
        <v>10/02</v>
      </c>
      <c r="AP82" s="1322" t="str">
        <f>AP7</f>
        <v>1/03</v>
      </c>
      <c r="AQ82" s="1322" t="str">
        <f>AQ7</f>
        <v>FY03</v>
      </c>
      <c r="AR82" s="842"/>
      <c r="AS82" s="1322" t="str">
        <f>AS7</f>
        <v>4/03</v>
      </c>
      <c r="AT82" s="1322" t="str">
        <f>AT7</f>
        <v>7/03</v>
      </c>
      <c r="AU82" s="1322" t="str">
        <f>AU7</f>
        <v>10/03</v>
      </c>
      <c r="AV82" s="842" t="str">
        <f>AV7</f>
        <v xml:space="preserve"> 1/04</v>
      </c>
      <c r="AW82" s="842" t="str">
        <f>AW7</f>
        <v>FY04</v>
      </c>
      <c r="AX82" s="842"/>
      <c r="AY82" s="842" t="str">
        <f>AY7</f>
        <v xml:space="preserve"> 4/04</v>
      </c>
      <c r="AZ82" s="842" t="str">
        <f>AZ7</f>
        <v xml:space="preserve"> 07/04</v>
      </c>
      <c r="BA82" s="842" t="str">
        <f>BA7</f>
        <v>10/04</v>
      </c>
      <c r="BB82" s="842" t="str">
        <f>BB7</f>
        <v>1/05</v>
      </c>
      <c r="BC82" s="842" t="str">
        <f>BC7</f>
        <v>FY05</v>
      </c>
      <c r="BD82" s="842"/>
      <c r="BE82" s="842" t="str">
        <f>BE7</f>
        <v>4/05</v>
      </c>
      <c r="BF82" s="842" t="str">
        <f>BF7</f>
        <v>7/05</v>
      </c>
      <c r="BG82" s="842" t="str">
        <f>BG7</f>
        <v>10/05</v>
      </c>
      <c r="BH82" s="842" t="str">
        <f>BH7</f>
        <v>1/06</v>
      </c>
      <c r="BI82" s="842" t="str">
        <f>BI7</f>
        <v>FY06</v>
      </c>
      <c r="BJ82" s="842"/>
      <c r="BK82" s="842" t="str">
        <f>BK7</f>
        <v>4/06</v>
      </c>
      <c r="BL82" s="842" t="str">
        <f>BL7</f>
        <v>7/06</v>
      </c>
      <c r="BM82" s="842" t="str">
        <f>BM7</f>
        <v>10/06</v>
      </c>
      <c r="BN82" s="842" t="str">
        <f>BN7</f>
        <v>1/07</v>
      </c>
      <c r="BO82" s="1249" t="str">
        <f>BO7</f>
        <v>FY07</v>
      </c>
      <c r="BP82" s="842"/>
      <c r="BQ82" s="842" t="str">
        <f>BQ7</f>
        <v>4/07</v>
      </c>
      <c r="BR82" s="842" t="str">
        <f>BR7</f>
        <v>7/07</v>
      </c>
      <c r="BS82" s="842" t="str">
        <f>BS7</f>
        <v>10/07</v>
      </c>
      <c r="BT82" s="842" t="str">
        <f>BT7</f>
        <v>1/08</v>
      </c>
      <c r="BU82" s="1249" t="str">
        <f>BU7</f>
        <v>FY08</v>
      </c>
      <c r="BV82" s="842"/>
      <c r="BW82" s="842" t="str">
        <f>BW7</f>
        <v>4/08</v>
      </c>
      <c r="BX82" s="842" t="str">
        <f>BX7</f>
        <v>7/08</v>
      </c>
      <c r="BY82" s="842" t="str">
        <f>BY7</f>
        <v>10/08</v>
      </c>
      <c r="BZ82" s="842" t="str">
        <f>BZ7</f>
        <v>1/09</v>
      </c>
      <c r="CA82" s="1249" t="str">
        <f>CA7</f>
        <v>FY09</v>
      </c>
      <c r="CB82" s="842"/>
      <c r="CC82" s="842" t="str">
        <f>CC7</f>
        <v>4/09</v>
      </c>
      <c r="CD82" s="842" t="str">
        <f>CD7</f>
        <v>7/09</v>
      </c>
      <c r="CE82" s="842" t="str">
        <f>CE7</f>
        <v>10/09</v>
      </c>
      <c r="CF82" s="842" t="str">
        <f>CF7</f>
        <v>1/10</v>
      </c>
      <c r="CG82" s="1249" t="str">
        <f>CG7</f>
        <v>FY10</v>
      </c>
      <c r="CH82" s="842"/>
      <c r="CI82" s="842" t="str">
        <f>CI7</f>
        <v>4/10</v>
      </c>
      <c r="CJ82" s="842" t="str">
        <f>CJ7</f>
        <v>7/10</v>
      </c>
      <c r="CK82" s="842" t="str">
        <f>CK7</f>
        <v>10/10</v>
      </c>
      <c r="CL82" s="842" t="str">
        <f>CL7</f>
        <v>1/11</v>
      </c>
      <c r="CM82" s="1249" t="str">
        <f>CM7</f>
        <v>FY11</v>
      </c>
      <c r="CN82" s="842"/>
      <c r="CO82" s="842" t="str">
        <f>CO7</f>
        <v>4/11</v>
      </c>
      <c r="CP82" s="842" t="str">
        <f>CP7</f>
        <v>7/11</v>
      </c>
      <c r="CQ82" s="842" t="str">
        <f>CQ7</f>
        <v>10/11</v>
      </c>
      <c r="CR82" s="842" t="str">
        <f>CR7</f>
        <v>1/12</v>
      </c>
      <c r="CS82" s="1249" t="str">
        <f>CS7</f>
        <v>FY12</v>
      </c>
      <c r="CT82" s="842"/>
      <c r="CU82" s="842" t="str">
        <f>CU7</f>
        <v>4/12</v>
      </c>
      <c r="CV82" s="842" t="str">
        <f>CV7</f>
        <v>7/12</v>
      </c>
      <c r="CW82" s="842" t="str">
        <f>CW7</f>
        <v>10/12</v>
      </c>
      <c r="CX82" s="842" t="str">
        <f>CX7</f>
        <v>1/13</v>
      </c>
      <c r="CY82" s="1249" t="str">
        <f>CY7</f>
        <v>FY13</v>
      </c>
      <c r="CZ82" s="842"/>
      <c r="DA82" s="842" t="str">
        <f>DA7</f>
        <v>4/13</v>
      </c>
      <c r="DB82" s="842" t="str">
        <f>DB7</f>
        <v>7/13</v>
      </c>
      <c r="DC82" s="842" t="str">
        <f>DC7</f>
        <v>10/13</v>
      </c>
      <c r="DD82" s="842" t="str">
        <f>DD7</f>
        <v>1/14</v>
      </c>
      <c r="DE82" s="1249" t="str">
        <f>DE7</f>
        <v>FY14</v>
      </c>
      <c r="DF82" s="842"/>
      <c r="DG82" s="842" t="str">
        <f>DG7</f>
        <v>4/14</v>
      </c>
      <c r="DH82" s="842" t="str">
        <f>DH7</f>
        <v>7/14</v>
      </c>
      <c r="DI82" s="842" t="str">
        <f>DI7</f>
        <v>10/14</v>
      </c>
      <c r="DJ82" s="842" t="str">
        <f>DJ7</f>
        <v>1/15</v>
      </c>
      <c r="DK82" s="1249" t="str">
        <f>DK7</f>
        <v>FY15</v>
      </c>
      <c r="DL82" s="842"/>
      <c r="DM82" s="842" t="str">
        <f>DM7</f>
        <v>4/15</v>
      </c>
      <c r="DN82" s="842" t="str">
        <f>DN7</f>
        <v>7/15</v>
      </c>
      <c r="DO82" s="842" t="str">
        <f>DO7</f>
        <v>10/15</v>
      </c>
      <c r="DP82" s="842" t="str">
        <f>DP7</f>
        <v>1/16</v>
      </c>
      <c r="DQ82" s="1249" t="str">
        <f>DQ7</f>
        <v>FY16</v>
      </c>
      <c r="DR82" s="842"/>
      <c r="DS82" s="842" t="str">
        <f>DS7</f>
        <v>4/16</v>
      </c>
      <c r="DT82" s="842" t="str">
        <f>DT7</f>
        <v>7/16</v>
      </c>
      <c r="DU82" s="842" t="str">
        <f>DU7</f>
        <v>10/16</v>
      </c>
      <c r="DV82" s="842" t="str">
        <f>DV7</f>
        <v>1/17</v>
      </c>
      <c r="DW82" s="1249" t="str">
        <f>DW7</f>
        <v>FY17</v>
      </c>
      <c r="DX82" s="842"/>
      <c r="DY82" s="842" t="str">
        <f>DY7</f>
        <v>4/17</v>
      </c>
      <c r="DZ82" s="842" t="str">
        <f>DZ7</f>
        <v>7/17</v>
      </c>
      <c r="EA82" s="842" t="str">
        <f>EA7</f>
        <v>10/17</v>
      </c>
      <c r="EB82" s="842" t="str">
        <f>EB7</f>
        <v>1/18</v>
      </c>
      <c r="EC82" s="1249" t="str">
        <f>EC7</f>
        <v>FY18</v>
      </c>
      <c r="ED82" s="842"/>
      <c r="EE82" s="842" t="str">
        <f>EE7</f>
        <v>4/18e</v>
      </c>
      <c r="EF82" s="842" t="str">
        <f>EF7</f>
        <v>7/18e</v>
      </c>
      <c r="EG82" s="842" t="str">
        <f>EG7</f>
        <v>10/18e</v>
      </c>
      <c r="EH82" s="842" t="str">
        <f>EH7</f>
        <v>1/19e</v>
      </c>
      <c r="EI82" s="1249" t="str">
        <f>EI7</f>
        <v>FY19e</v>
      </c>
      <c r="EJ82" s="842"/>
      <c r="EK82" s="842" t="str">
        <f>EK7</f>
        <v>4/19e</v>
      </c>
      <c r="EL82" s="842" t="str">
        <f>EL7</f>
        <v>7/19e</v>
      </c>
      <c r="EM82" s="842" t="str">
        <f>EM7</f>
        <v>10/19e</v>
      </c>
      <c r="EN82" s="842" t="str">
        <f>EN7</f>
        <v>1/20e</v>
      </c>
      <c r="EO82" s="1249" t="str">
        <f>EO7</f>
        <v>FY20e</v>
      </c>
      <c r="EP82" s="842"/>
      <c r="EQ82" s="842" t="str">
        <f>EQ7</f>
        <v>4/20e</v>
      </c>
      <c r="ER82" s="842" t="str">
        <f>ER7</f>
        <v>7/20e</v>
      </c>
      <c r="ES82" s="842" t="str">
        <f>ES7</f>
        <v>10/20e</v>
      </c>
      <c r="ET82" s="842" t="str">
        <f>ET7</f>
        <v>1/21e</v>
      </c>
      <c r="EU82" s="1249" t="str">
        <f>EU7</f>
        <v>FY21e</v>
      </c>
      <c r="EV82" s="18"/>
      <c r="EW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</row>
    <row r="83" spans="1:172" ht="5.25" customHeight="1">
      <c r="A83" s="298"/>
      <c r="B83" s="294"/>
      <c r="C83" s="297"/>
      <c r="D83" s="169"/>
      <c r="E83" s="169"/>
      <c r="F83" s="169"/>
      <c r="G83" s="169"/>
      <c r="H83" s="169"/>
      <c r="I83" s="297"/>
      <c r="J83" s="169"/>
      <c r="K83" s="169"/>
      <c r="L83" s="169"/>
      <c r="M83" s="169"/>
      <c r="N83" s="169"/>
      <c r="O83" s="297"/>
      <c r="P83" s="169"/>
      <c r="Q83" s="169"/>
      <c r="R83" s="169"/>
      <c r="S83" s="169"/>
      <c r="T83" s="169"/>
      <c r="U83" s="297"/>
      <c r="V83" s="169"/>
      <c r="W83" s="169"/>
      <c r="X83" s="169"/>
      <c r="Y83" s="169"/>
      <c r="Z83" s="169"/>
      <c r="AA83" s="297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221"/>
      <c r="AN83" s="221"/>
      <c r="AO83" s="221"/>
      <c r="AP83" s="221"/>
      <c r="AQ83" s="221"/>
      <c r="AR83" s="169"/>
      <c r="AS83" s="221"/>
      <c r="AT83" s="221"/>
      <c r="AU83" s="221"/>
      <c r="AV83" s="169"/>
      <c r="AW83" s="169"/>
      <c r="AX83" s="169"/>
      <c r="AY83" s="169"/>
      <c r="AZ83" s="169"/>
      <c r="BA83" s="169"/>
      <c r="BB83" s="169"/>
      <c r="BC83" s="169"/>
      <c r="BD83" s="169"/>
      <c r="BE83" s="169"/>
      <c r="BF83" s="169"/>
      <c r="BG83" s="169"/>
      <c r="BH83" s="169"/>
      <c r="BI83" s="169"/>
      <c r="BJ83" s="169"/>
      <c r="BK83" s="169"/>
      <c r="BL83" s="169"/>
      <c r="BM83" s="169"/>
      <c r="BN83" s="169"/>
      <c r="BO83" s="1336"/>
      <c r="BP83" s="169"/>
      <c r="BQ83" s="169"/>
      <c r="BR83" s="169"/>
      <c r="BS83" s="169"/>
      <c r="BT83" s="169"/>
      <c r="BU83" s="1336"/>
      <c r="BV83" s="169"/>
      <c r="BW83" s="169"/>
      <c r="BX83" s="298"/>
      <c r="BY83" s="169"/>
      <c r="BZ83" s="169"/>
      <c r="CA83" s="1336"/>
      <c r="CB83" s="169"/>
      <c r="CC83" s="169"/>
      <c r="CD83" s="169"/>
      <c r="CE83" s="169"/>
      <c r="CF83" s="169"/>
      <c r="CG83" s="1336"/>
      <c r="CH83" s="169"/>
      <c r="CI83" s="169"/>
      <c r="CJ83" s="169"/>
      <c r="CK83" s="169"/>
      <c r="CL83" s="169"/>
      <c r="CM83" s="1336"/>
      <c r="CN83" s="169"/>
      <c r="CO83" s="169"/>
      <c r="CP83" s="169"/>
      <c r="CQ83" s="169"/>
      <c r="CR83" s="169"/>
      <c r="CS83" s="1336"/>
      <c r="CT83" s="169"/>
      <c r="CU83" s="169"/>
      <c r="CV83" s="169"/>
      <c r="CW83" s="169"/>
      <c r="CX83" s="169"/>
      <c r="CY83" s="1336"/>
      <c r="CZ83" s="169"/>
      <c r="DA83" s="169"/>
      <c r="DB83" s="169"/>
      <c r="DC83" s="169"/>
      <c r="DD83" s="169"/>
      <c r="DE83" s="1336"/>
      <c r="DF83" s="169"/>
      <c r="DG83" s="169"/>
      <c r="DH83" s="169"/>
      <c r="DI83" s="169"/>
      <c r="DJ83" s="169"/>
      <c r="DK83" s="1336"/>
      <c r="DL83" s="169"/>
      <c r="DM83" s="169"/>
      <c r="DN83" s="169"/>
      <c r="DO83" s="169"/>
      <c r="DP83" s="169"/>
      <c r="DQ83" s="1336"/>
      <c r="DR83" s="169"/>
      <c r="DS83" s="169"/>
      <c r="DT83" s="298"/>
      <c r="DU83" s="169"/>
      <c r="DV83" s="169"/>
      <c r="DW83" s="1336"/>
      <c r="DX83" s="169"/>
      <c r="DY83" s="169"/>
      <c r="DZ83" s="169"/>
      <c r="EA83" s="169"/>
      <c r="EB83" s="169"/>
      <c r="EC83" s="1336"/>
      <c r="ED83" s="169"/>
      <c r="EE83" s="169"/>
      <c r="EF83" s="169"/>
      <c r="EG83" s="169"/>
      <c r="EH83" s="169"/>
      <c r="EI83" s="1336"/>
      <c r="EJ83" s="169"/>
      <c r="EK83" s="169"/>
      <c r="EL83" s="169"/>
      <c r="EM83" s="169"/>
      <c r="EN83" s="169"/>
      <c r="EO83" s="1336"/>
      <c r="EP83" s="169"/>
      <c r="EQ83" s="169"/>
      <c r="ER83" s="169"/>
      <c r="ES83" s="169"/>
      <c r="ET83" s="169"/>
      <c r="EU83" s="1336"/>
      <c r="EV83" s="169"/>
      <c r="EW83" s="169"/>
      <c r="FD83" s="169"/>
      <c r="FE83" s="169"/>
      <c r="FF83" s="169"/>
      <c r="FG83" s="169"/>
      <c r="FH83" s="169"/>
      <c r="FI83" s="169"/>
      <c r="FJ83" s="169"/>
      <c r="FK83" s="169"/>
      <c r="FL83" s="169"/>
      <c r="FM83" s="169"/>
      <c r="FN83" s="169"/>
      <c r="FO83" s="169"/>
      <c r="FP83" s="169"/>
    </row>
    <row r="84" spans="1:172">
      <c r="A84" s="31" t="s">
        <v>6590</v>
      </c>
      <c r="B84" s="294"/>
      <c r="C84" s="208"/>
      <c r="D84" s="208"/>
      <c r="E84" s="208"/>
      <c r="F84" s="208"/>
      <c r="G84" s="208"/>
      <c r="H84" s="168"/>
      <c r="I84" s="208"/>
      <c r="J84" s="208"/>
      <c r="K84" s="208"/>
      <c r="L84" s="208"/>
      <c r="M84" s="208"/>
      <c r="N84" s="168"/>
      <c r="O84" s="85"/>
      <c r="P84" s="85"/>
      <c r="Q84" s="85"/>
      <c r="R84" s="85"/>
      <c r="S84" s="85"/>
      <c r="T84" s="168"/>
      <c r="U84" s="168"/>
      <c r="V84" s="85"/>
      <c r="W84" s="168"/>
      <c r="X84" s="128"/>
      <c r="Y84" s="319"/>
      <c r="Z84" s="168"/>
      <c r="AA84" s="128"/>
      <c r="AB84" s="128"/>
      <c r="AC84" s="128"/>
      <c r="AD84" s="128"/>
      <c r="AE84" s="128"/>
      <c r="AF84" s="168"/>
      <c r="AG84" s="128"/>
      <c r="AH84" s="128"/>
      <c r="AI84" s="128"/>
      <c r="AJ84" s="128"/>
      <c r="AK84" s="128"/>
      <c r="AL84" s="168"/>
      <c r="AM84" s="223"/>
      <c r="AN84" s="223"/>
      <c r="AO84" s="223"/>
      <c r="AP84" s="223"/>
      <c r="AQ84" s="223"/>
      <c r="AR84" s="168"/>
      <c r="AS84" s="223"/>
      <c r="AT84" s="223"/>
      <c r="AU84" s="223"/>
      <c r="AV84" s="128"/>
      <c r="AW84" s="128"/>
      <c r="AX84" s="168"/>
      <c r="AY84" s="128"/>
      <c r="AZ84" s="128"/>
      <c r="BA84" s="299"/>
      <c r="BB84" s="299"/>
      <c r="BC84" s="128"/>
      <c r="BD84" s="168"/>
      <c r="BE84" s="299"/>
      <c r="BF84" s="299"/>
      <c r="BG84" s="299"/>
      <c r="BH84" s="299"/>
      <c r="BI84" s="128"/>
      <c r="BJ84" s="128"/>
      <c r="BK84" s="299"/>
      <c r="BL84" s="299"/>
      <c r="BM84" s="299"/>
      <c r="BN84" s="299"/>
      <c r="BO84" s="1323"/>
      <c r="BP84" s="128"/>
      <c r="BQ84" s="299"/>
      <c r="BR84" s="299"/>
      <c r="BS84" s="299"/>
      <c r="BT84" s="299"/>
      <c r="BU84" s="1323"/>
      <c r="BV84" s="128"/>
      <c r="BW84" s="299"/>
      <c r="BX84" s="128"/>
      <c r="BY84" s="299"/>
      <c r="BZ84" s="299"/>
      <c r="CA84" s="1323"/>
      <c r="CB84" s="128"/>
      <c r="CC84" s="299"/>
      <c r="CD84" s="299"/>
      <c r="CE84" s="299"/>
      <c r="CF84" s="299"/>
      <c r="CG84" s="1323"/>
      <c r="CH84" s="128"/>
      <c r="CI84" s="299"/>
      <c r="CJ84" s="299"/>
      <c r="CK84" s="299"/>
      <c r="CL84" s="299"/>
      <c r="CM84" s="1323"/>
      <c r="CN84" s="128"/>
      <c r="CO84" s="1704"/>
      <c r="CP84" s="299"/>
      <c r="CQ84" s="299"/>
      <c r="CR84" s="299"/>
      <c r="CS84" s="1323"/>
      <c r="CT84" s="128"/>
      <c r="CU84" s="1704"/>
      <c r="CV84" s="299"/>
      <c r="CW84" s="299"/>
      <c r="CX84" s="299"/>
      <c r="CY84" s="1323"/>
      <c r="CZ84" s="128"/>
      <c r="DA84" s="1704"/>
      <c r="DB84" s="299"/>
      <c r="DC84" s="299"/>
      <c r="DD84" s="299"/>
      <c r="DE84" s="1323"/>
      <c r="DF84" s="128"/>
      <c r="DG84" s="299"/>
      <c r="DH84" s="299"/>
      <c r="DI84" s="299"/>
      <c r="DJ84" s="299"/>
      <c r="DK84" s="1323"/>
      <c r="DL84" s="128"/>
      <c r="DM84" s="299"/>
      <c r="DN84" s="299"/>
      <c r="DO84" s="299"/>
      <c r="DP84" s="299"/>
      <c r="DQ84" s="1323"/>
      <c r="DR84" s="128"/>
      <c r="DS84" s="299"/>
      <c r="DT84" s="128"/>
      <c r="DU84" s="299"/>
      <c r="DV84" s="299"/>
      <c r="DW84" s="1323"/>
      <c r="DX84" s="128"/>
      <c r="DY84" s="299"/>
      <c r="DZ84" s="299"/>
      <c r="EA84" s="299"/>
      <c r="EB84" s="299"/>
      <c r="EC84" s="1323"/>
      <c r="ED84" s="128"/>
      <c r="EE84" s="299"/>
      <c r="EF84" s="299"/>
      <c r="EG84" s="299"/>
      <c r="EH84" s="299"/>
      <c r="EI84" s="1323"/>
      <c r="EJ84" s="128"/>
      <c r="EK84" s="299"/>
      <c r="EL84" s="299"/>
      <c r="EM84" s="299"/>
      <c r="EN84" s="299"/>
      <c r="EO84" s="1323"/>
      <c r="EP84" s="128"/>
      <c r="EQ84" s="299"/>
      <c r="ER84" s="299"/>
      <c r="ES84" s="299"/>
      <c r="ET84" s="299"/>
      <c r="EU84" s="1323"/>
      <c r="EV84" s="27"/>
      <c r="EW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</row>
    <row r="85" spans="1:172">
      <c r="A85" s="78" t="s">
        <v>4674</v>
      </c>
      <c r="B85" s="42"/>
      <c r="C85" s="363"/>
      <c r="D85" s="363"/>
      <c r="E85" s="363"/>
      <c r="F85" s="363"/>
      <c r="G85" s="363"/>
      <c r="H85" s="64"/>
      <c r="I85" s="363"/>
      <c r="J85" s="363"/>
      <c r="K85" s="363"/>
      <c r="L85" s="363"/>
      <c r="M85" s="363"/>
      <c r="N85" s="64"/>
      <c r="O85" s="64">
        <f>O10</f>
        <v>28.733000000000025</v>
      </c>
      <c r="P85" s="64">
        <f>IF(P10="-","-",SUM(P10)-SUM(O10))</f>
        <v>27.530000000000008</v>
      </c>
      <c r="Q85" s="64">
        <f>IF(Q10="-","-",SUM(Q10)-SUM(P10))</f>
        <v>17.624000000000009</v>
      </c>
      <c r="R85" s="64">
        <f>IF(R10="-","-",SUM(R10)-SUM(Q10))</f>
        <v>23.245000000000005</v>
      </c>
      <c r="S85" s="64">
        <f>SUM(O85:R85)</f>
        <v>97.132000000000048</v>
      </c>
      <c r="T85" s="64"/>
      <c r="U85" s="64">
        <f>U10</f>
        <v>-17.143999999999995</v>
      </c>
      <c r="V85" s="64">
        <f>IF(V10="-","-",SUM(V10)-SUM(U10))</f>
        <v>0.38899999999998869</v>
      </c>
      <c r="W85" s="64">
        <f>IF(W10="-","-",SUM(W10)-SUM(V10))</f>
        <v>1.393000000000022</v>
      </c>
      <c r="X85" s="64">
        <f>IF(X10="-","-",SUM(X10)-SUM(W10))</f>
        <v>25.172000000000011</v>
      </c>
      <c r="Y85" s="64">
        <f>SUM(U85:X85)</f>
        <v>9.8100000000000271</v>
      </c>
      <c r="Z85" s="64"/>
      <c r="AA85" s="64">
        <f>AA10</f>
        <v>25.605999999999973</v>
      </c>
      <c r="AB85" s="64">
        <f>IF(AB10="-","-",SUM(AB10)-SUM(AA10))</f>
        <v>20.753000000000021</v>
      </c>
      <c r="AC85" s="64">
        <f>IF(AC10="-","-",SUM(AC10)-SUM(AB10))</f>
        <v>18.51100000000001</v>
      </c>
      <c r="AD85" s="64">
        <f>IF(AD10="-","-",SUM(AD10)-SUM(AC10))</f>
        <v>28.363</v>
      </c>
      <c r="AE85" s="64">
        <f>SUM(AA85:AD85)</f>
        <v>93.233000000000004</v>
      </c>
      <c r="AF85" s="64"/>
      <c r="AG85" s="64">
        <f>AG10</f>
        <v>27.899999999999956</v>
      </c>
      <c r="AH85" s="64">
        <f>IF(AH10="-","-",SUM(AH10)-SUM(AG10))</f>
        <v>19.172999999999988</v>
      </c>
      <c r="AI85" s="64">
        <f>IF(AI10="-","-",SUM(AI10)-SUM(AH10))</f>
        <v>21.470999999999982</v>
      </c>
      <c r="AJ85" s="64">
        <f>IF(AJ10="-","-",SUM(AJ10)-SUM(AI10))</f>
        <v>21.769000000000034</v>
      </c>
      <c r="AK85" s="64">
        <f>SUM(AG85:AJ85)</f>
        <v>90.31299999999996</v>
      </c>
      <c r="AL85" s="64"/>
      <c r="AM85" s="64">
        <f>AM10</f>
        <v>17.64100000000002</v>
      </c>
      <c r="AN85" s="64">
        <f>IF(AN10="-","-",SUM(AN10)-SUM(AM10))</f>
        <v>11.760000000000016</v>
      </c>
      <c r="AO85" s="64">
        <f>IF(AO10="-","-",SUM(AO10)-SUM(AN10))</f>
        <v>-3.910000000000025</v>
      </c>
      <c r="AP85" s="64">
        <f>IF(AP10="-","-",SUM(AP10)-SUM(AO10))</f>
        <v>6.4130000000000109</v>
      </c>
      <c r="AQ85" s="64">
        <f>SUM(AM85:AP85)</f>
        <v>31.904000000000021</v>
      </c>
      <c r="AR85" s="64"/>
      <c r="AS85" s="64">
        <f>AS10</f>
        <v>7.5079999999999991</v>
      </c>
      <c r="AT85" s="64">
        <f>IF(AT10="-","-",SUM(AT10)-SUM(AS10))</f>
        <v>32.601999999999975</v>
      </c>
      <c r="AU85" s="64">
        <f>IF(AU10="-","-",SUM(AU10)-SUM(AT10))</f>
        <v>22.605999999999995</v>
      </c>
      <c r="AV85" s="64">
        <f>IF(AV10="-","-",SUM(AV10)-SUM(AU10))</f>
        <v>57.60000000000008</v>
      </c>
      <c r="AW85" s="64">
        <f>SUM(AS85:AV85)</f>
        <v>120.31600000000005</v>
      </c>
      <c r="AX85" s="64"/>
      <c r="AY85" s="64">
        <f>AY10</f>
        <v>42.116000000000035</v>
      </c>
      <c r="AZ85" s="64">
        <f>IF(AZ10="-","-",SUM(AZ10)-SUM(AY10))</f>
        <v>39.000000000000007</v>
      </c>
      <c r="BA85" s="64">
        <f>IF(BA10="-","-",SUM(BA10)-SUM(AZ10))</f>
        <v>74.877999999999986</v>
      </c>
      <c r="BB85" s="64">
        <f>IF(BB10="-","-",SUM(BB10)-SUM(BA10))</f>
        <v>65.188999999999936</v>
      </c>
      <c r="BC85" s="64">
        <f>SUM(AY85:BB85)</f>
        <v>221.18299999999996</v>
      </c>
      <c r="BD85" s="64"/>
      <c r="BE85" s="64">
        <f>BE10</f>
        <v>77.799999999999969</v>
      </c>
      <c r="BF85" s="64">
        <f>IF(BF10="-","-",SUM(BF10)-SUM(BE10))</f>
        <v>76.699999999999974</v>
      </c>
      <c r="BG85" s="64">
        <f>IF(BG10="-","-",SUM(BG10)-SUM(BF10))</f>
        <v>95.700000000000017</v>
      </c>
      <c r="BH85" s="64">
        <f>IF(BH10="-","-",SUM(BH10)-SUM(BG10))</f>
        <v>83.4</v>
      </c>
      <c r="BI85" s="64">
        <f>SUM(BE85:BH85)</f>
        <v>333.59999999999997</v>
      </c>
      <c r="BJ85" s="64"/>
      <c r="BK85" s="64">
        <f>BK10</f>
        <v>48.499999999999979</v>
      </c>
      <c r="BL85" s="64">
        <f>IF(BL10="-","-",SUM(BL10)-SUM(BK10))</f>
        <v>86.800000000000011</v>
      </c>
      <c r="BM85" s="64">
        <f>IF(BM10="-","-",SUM(BM10)-SUM(BL10))</f>
        <v>57.999999999999972</v>
      </c>
      <c r="BN85" s="64">
        <f>IF(BN10="-","-",SUM(BN10)-SUM(BM10))</f>
        <v>96.399999999999977</v>
      </c>
      <c r="BO85" s="1251">
        <f>SUM(BK85:BN85)</f>
        <v>289.69999999999993</v>
      </c>
      <c r="BP85" s="64"/>
      <c r="BQ85" s="64">
        <f>BQ10</f>
        <v>83.30000000000004</v>
      </c>
      <c r="BR85" s="64">
        <f>IF(BR10="-","-",SUM(BR10)-SUM(BQ10))</f>
        <v>91.600000000000051</v>
      </c>
      <c r="BS85" s="64">
        <f>IF(BS10="-","-",SUM(BS10)-SUM(BR10))</f>
        <v>84.799999999999955</v>
      </c>
      <c r="BT85" s="64">
        <f>IF(BT10="-","-",SUM(BT10)-SUM(BS10))</f>
        <v>96.5</v>
      </c>
      <c r="BU85" s="1251">
        <f>SUM(BQ85:BT85)</f>
        <v>356.20000000000005</v>
      </c>
      <c r="BV85" s="64"/>
      <c r="BW85" s="64">
        <f>BW10</f>
        <v>94.6</v>
      </c>
      <c r="BX85" s="64">
        <f>IF(BX10="-","-",SUM(BX10)-SUM(BW10))</f>
        <v>89.800000000000011</v>
      </c>
      <c r="BY85" s="64">
        <f>IF(BY10="-","-",SUM(BY10)-SUM(BX10))</f>
        <v>104.6</v>
      </c>
      <c r="BZ85" s="64">
        <f>IF(BZ10="-","-",SUM(BZ10)-SUM(BY10))</f>
        <v>-105.4</v>
      </c>
      <c r="CA85" s="1281">
        <f>SUM(BW85:BZ85)</f>
        <v>183.6</v>
      </c>
      <c r="CB85" s="64"/>
      <c r="CC85" s="64">
        <f>CC10</f>
        <v>-32.1</v>
      </c>
      <c r="CD85" s="64">
        <f>IF(CD10="-","-",SUM(CD10)-SUM(CC10))</f>
        <v>10.400000000000002</v>
      </c>
      <c r="CE85" s="64">
        <f>IF(CE10="-","-",SUM(CE10)-SUM(CD10))</f>
        <v>29.6</v>
      </c>
      <c r="CF85" s="64">
        <f>IF(CF10="-","-",SUM(CF10)-SUM(CE10))</f>
        <v>50.1</v>
      </c>
      <c r="CG85" s="1251">
        <f>SUM(CC85:CF85)</f>
        <v>58</v>
      </c>
      <c r="CH85" s="64"/>
      <c r="CI85" s="64">
        <f>CI10</f>
        <v>36.9</v>
      </c>
      <c r="CJ85" s="64">
        <f>IF(CJ10="-","-",SUM(CJ10)-SUM(CI10))</f>
        <v>59.9</v>
      </c>
      <c r="CK85" s="64">
        <f>IF(CK10="-","-",SUM(CK10)-SUM(CJ10))</f>
        <v>53.600000000000009</v>
      </c>
      <c r="CL85" s="64">
        <f>IF(CL10="-","-",SUM(CL10)-SUM(CK10))</f>
        <v>61.599999999999994</v>
      </c>
      <c r="CM85" s="1251">
        <f>SUM(CI85:CL85)</f>
        <v>212</v>
      </c>
      <c r="CN85" s="64"/>
      <c r="CO85" s="64">
        <f>CO10</f>
        <v>69.3</v>
      </c>
      <c r="CP85" s="64">
        <f>IF(CP10="-","-",SUM(CP10)-SUM(CO10))</f>
        <v>71.2</v>
      </c>
      <c r="CQ85" s="64">
        <f>IF(CQ10="-","-",SUM(CQ10)-SUM(CP10))</f>
        <v>72.800000000000011</v>
      </c>
      <c r="CR85" s="64">
        <f>IF(CR10="-","-",SUM(CR10)-SUM(CQ10))</f>
        <v>72</v>
      </c>
      <c r="CS85" s="1251">
        <f>SUM(CO85:CR85)</f>
        <v>285.3</v>
      </c>
      <c r="CT85" s="64"/>
      <c r="CU85" s="64">
        <f>CU10</f>
        <v>78.900000000000006</v>
      </c>
      <c r="CV85" s="64">
        <f>IF(CV10="-","-",SUM(CV10)-SUM(CU10))</f>
        <v>64.599999999999994</v>
      </c>
      <c r="CW85" s="64">
        <f>IF(CW10="-","-",SUM(CW10)-SUM(CV10))</f>
        <v>29.300000000000011</v>
      </c>
      <c r="CX85" s="64">
        <f>IF(CX10="-","-",SUM(CX10)-SUM(CW10))</f>
        <v>74.599999999999994</v>
      </c>
      <c r="CY85" s="1251">
        <f>SUM(CU85:CX85)</f>
        <v>247.4</v>
      </c>
      <c r="CZ85" s="64"/>
      <c r="DA85" s="64">
        <f>DA10</f>
        <v>55.6</v>
      </c>
      <c r="DB85" s="64">
        <f>IF(DB10="-","-",SUM(DB10)-SUM(DA10))</f>
        <v>61.699999999999996</v>
      </c>
      <c r="DC85" s="64">
        <f>IF(DC10="-","-",SUM(DC10)-SUM(DB10))</f>
        <v>57.600000000000009</v>
      </c>
      <c r="DD85" s="64">
        <f>IF(DD10="-","-",SUM(DD10)-SUM(DC10))</f>
        <v>53.900000000000006</v>
      </c>
      <c r="DE85" s="1251">
        <f>SUM(DA85:DD85)</f>
        <v>228.8</v>
      </c>
      <c r="DF85" s="64"/>
      <c r="DG85" s="64">
        <f>DG10</f>
        <v>28.3</v>
      </c>
      <c r="DH85" s="64">
        <f>IF(DH10="-","-",SUM(DH10)-SUM(DG10))</f>
        <v>31.3</v>
      </c>
      <c r="DI85" s="64">
        <f>IF(DI10="-","-",SUM(DI10)-SUM(DH10))</f>
        <v>10.699999999999996</v>
      </c>
      <c r="DJ85" s="64">
        <f>IF(DJ10="-","-",SUM(DJ10)-SUM(DI10))</f>
        <v>11.5</v>
      </c>
      <c r="DK85" s="1251">
        <f>SUM(DG85:DJ85)</f>
        <v>81.8</v>
      </c>
      <c r="DL85" s="64"/>
      <c r="DM85" s="64">
        <f>DM10</f>
        <v>19.100000000000001</v>
      </c>
      <c r="DN85" s="64">
        <f>IF(DN10="-","-",SUM(DN10)-SUM(DM10))</f>
        <v>-235.5</v>
      </c>
      <c r="DO85" s="64">
        <f>IF(DO10="-","-",SUM(DO10)-SUM(DN10))</f>
        <v>-76.900000000000006</v>
      </c>
      <c r="DP85" s="64">
        <f>IF(DP10="-","-",SUM(DP10)-SUM(DO10))</f>
        <v>-32.699999999999989</v>
      </c>
      <c r="DQ85" s="1251">
        <f>SUM(DM85:DP85)</f>
        <v>-326</v>
      </c>
      <c r="DR85" s="64"/>
      <c r="DS85" s="64">
        <f>DS10</f>
        <v>-173</v>
      </c>
      <c r="DT85" s="64">
        <f>IF(DT10="-","-",SUM(DT10)-SUM(DS10))</f>
        <v>-92.899999999999977</v>
      </c>
      <c r="DU85" s="64">
        <f>IF(DU10="-","-",SUM(DU10)-SUM(DT10))</f>
        <v>-142.80000000000001</v>
      </c>
      <c r="DV85" s="64">
        <f>IF(DV10="-","-",SUM(DV10)-SUM(DU10))</f>
        <v>-170.50000000000006</v>
      </c>
      <c r="DW85" s="1251">
        <f>SUM(DS85:DV85)</f>
        <v>-579.20000000000005</v>
      </c>
      <c r="DX85" s="64"/>
      <c r="DY85" s="64">
        <f>DY10</f>
        <v>-129.59999999999994</v>
      </c>
      <c r="DZ85" s="64">
        <f>IF(DZ10="-","-",SUM(DZ10)-SUM(DY10))</f>
        <v>-144.00000000000009</v>
      </c>
      <c r="EA85" s="64">
        <f>IF(EA10="-","-",SUM(EA10)-SUM(DZ10))</f>
        <v>-119.69999999999999</v>
      </c>
      <c r="EB85" s="64">
        <f>IF(EB10="-","-",SUM(EB10)-SUM(EA10))</f>
        <v>-173.59999999999997</v>
      </c>
      <c r="EC85" s="1251">
        <f>SUM(DY85:EB85)</f>
        <v>-566.9</v>
      </c>
      <c r="ED85" s="64"/>
      <c r="EE85" s="64">
        <f>EE10</f>
        <v>-93.744532072822508</v>
      </c>
      <c r="EF85" s="64">
        <f>IF(EF10="-","-",SUM(EF10)-SUM(EE10))</f>
        <v>-62.286700538381197</v>
      </c>
      <c r="EG85" s="64">
        <f>IF(EG10="-","-",SUM(EG10)-SUM(EF10))</f>
        <v>-1.2896330770866484</v>
      </c>
      <c r="EH85" s="64">
        <f>IF(EH10="-","-",SUM(EH10)-SUM(EG10))</f>
        <v>-6.354423345204026</v>
      </c>
      <c r="EI85" s="1251">
        <f>SUM(EE85:EH85)</f>
        <v>-163.67528903349438</v>
      </c>
      <c r="EJ85" s="64"/>
      <c r="EK85" s="64">
        <f>EK10</f>
        <v>90.584982806752407</v>
      </c>
      <c r="EL85" s="64">
        <f>IF(EL10="-","-",SUM(EL10)-SUM(EK10))</f>
        <v>148.6906769854553</v>
      </c>
      <c r="EM85" s="64">
        <f>IF(EM10="-","-",SUM(EM10)-SUM(EL10))</f>
        <v>124.28039805067596</v>
      </c>
      <c r="EN85" s="64">
        <f>IF(EN10="-","-",SUM(EN10)-SUM(EM10))</f>
        <v>169.39584214846673</v>
      </c>
      <c r="EO85" s="1251">
        <f>SUM(EK85:EN85)</f>
        <v>532.95189999135039</v>
      </c>
      <c r="EP85" s="64"/>
      <c r="EQ85" s="64">
        <f>EQ10</f>
        <v>137.11201352819981</v>
      </c>
      <c r="ER85" s="64">
        <f>IF(ER10="-","-",SUM(ER10)-SUM(EQ10))</f>
        <v>255.13382510602267</v>
      </c>
      <c r="ES85" s="64">
        <f>IF(ES10="-","-",SUM(ES10)-SUM(ER10))</f>
        <v>232.16590604897141</v>
      </c>
      <c r="ET85" s="64">
        <f>IF(ET10="-","-",SUM(ET10)-SUM(ES10))</f>
        <v>331.20822163541322</v>
      </c>
      <c r="EU85" s="1251">
        <f>SUM(EQ85:ET85)</f>
        <v>955.61996631860711</v>
      </c>
      <c r="EV85" s="81"/>
      <c r="EW85" s="81"/>
      <c r="FD85" s="81"/>
      <c r="FE85" s="81"/>
      <c r="FF85" s="81"/>
      <c r="FG85" s="81"/>
      <c r="FH85" s="81"/>
      <c r="FI85" s="81"/>
      <c r="FJ85" s="81"/>
      <c r="FK85" s="81"/>
      <c r="FL85" s="81"/>
      <c r="FM85" s="81"/>
      <c r="FN85" s="81"/>
      <c r="FO85" s="81"/>
      <c r="FP85" s="81"/>
    </row>
    <row r="86" spans="1:172" ht="6" customHeight="1">
      <c r="A86" s="75"/>
      <c r="B86" s="42"/>
      <c r="C86" s="75"/>
      <c r="D86" s="75"/>
      <c r="E86" s="75"/>
      <c r="F86" s="75"/>
      <c r="G86" s="75"/>
      <c r="H86" s="77"/>
      <c r="I86" s="75"/>
      <c r="J86" s="75"/>
      <c r="K86" s="75"/>
      <c r="L86" s="75"/>
      <c r="M86" s="75"/>
      <c r="N86" s="77"/>
      <c r="O86" s="76"/>
      <c r="P86" s="76"/>
      <c r="Q86" s="76"/>
      <c r="R86" s="76"/>
      <c r="S86" s="76"/>
      <c r="T86" s="77"/>
      <c r="U86" s="76"/>
      <c r="V86" s="76"/>
      <c r="W86" s="76"/>
      <c r="X86" s="76"/>
      <c r="Y86" s="76"/>
      <c r="Z86" s="75"/>
      <c r="AA86" s="76"/>
      <c r="AB86" s="76"/>
      <c r="AC86" s="76"/>
      <c r="AD86" s="76"/>
      <c r="AE86" s="76"/>
      <c r="AF86" s="77"/>
      <c r="AG86" s="76"/>
      <c r="AH86" s="76"/>
      <c r="AI86" s="76"/>
      <c r="AJ86" s="76"/>
      <c r="AK86" s="76"/>
      <c r="AL86" s="77"/>
      <c r="AM86" s="76"/>
      <c r="AN86" s="76"/>
      <c r="AO86" s="76"/>
      <c r="AP86" s="76"/>
      <c r="AQ86" s="76"/>
      <c r="AR86" s="77"/>
      <c r="AS86" s="76"/>
      <c r="AT86" s="76"/>
      <c r="AU86" s="76"/>
      <c r="AV86" s="76"/>
      <c r="AW86" s="76"/>
      <c r="AX86" s="77"/>
      <c r="AY86" s="76"/>
      <c r="AZ86" s="76"/>
      <c r="BA86" s="76"/>
      <c r="BB86" s="76"/>
      <c r="BC86" s="76"/>
      <c r="BD86" s="77"/>
      <c r="BE86" s="76"/>
      <c r="BF86" s="76"/>
      <c r="BG86" s="76"/>
      <c r="BH86" s="76"/>
      <c r="BI86" s="76"/>
      <c r="BJ86" s="75"/>
      <c r="BK86" s="76"/>
      <c r="BL86" s="76"/>
      <c r="BM86" s="76"/>
      <c r="BN86" s="76"/>
      <c r="BO86" s="1337"/>
      <c r="BP86" s="75"/>
      <c r="BQ86" s="76"/>
      <c r="BR86" s="76"/>
      <c r="BS86" s="76"/>
      <c r="BT86" s="76"/>
      <c r="BU86" s="1337"/>
      <c r="BV86" s="75"/>
      <c r="BW86" s="76"/>
      <c r="BX86" s="75"/>
      <c r="BY86" s="76"/>
      <c r="BZ86" s="76"/>
      <c r="CA86" s="1415"/>
      <c r="CB86" s="75"/>
      <c r="CC86" s="76"/>
      <c r="CD86" s="76"/>
      <c r="CE86" s="76"/>
      <c r="CF86" s="76"/>
      <c r="CG86" s="1337"/>
      <c r="CH86" s="75"/>
      <c r="CI86" s="76"/>
      <c r="CJ86" s="76"/>
      <c r="CK86" s="76"/>
      <c r="CL86" s="76"/>
      <c r="CM86" s="1337"/>
      <c r="CN86" s="75"/>
      <c r="CO86" s="76"/>
      <c r="CP86" s="76"/>
      <c r="CQ86" s="76"/>
      <c r="CR86" s="76"/>
      <c r="CS86" s="1337"/>
      <c r="CT86" s="75"/>
      <c r="CU86" s="76"/>
      <c r="CV86" s="76"/>
      <c r="CW86" s="76"/>
      <c r="CX86" s="76"/>
      <c r="CY86" s="1337"/>
      <c r="CZ86" s="75"/>
      <c r="DA86" s="76"/>
      <c r="DB86" s="76"/>
      <c r="DC86" s="76"/>
      <c r="DD86" s="76"/>
      <c r="DE86" s="1337"/>
      <c r="DF86" s="75"/>
      <c r="DG86" s="76"/>
      <c r="DH86" s="76"/>
      <c r="DI86" s="76"/>
      <c r="DJ86" s="76"/>
      <c r="DK86" s="1337"/>
      <c r="DL86" s="75"/>
      <c r="DM86" s="76"/>
      <c r="DN86" s="76"/>
      <c r="DO86" s="76"/>
      <c r="DP86" s="76"/>
      <c r="DQ86" s="1337"/>
      <c r="DR86" s="75"/>
      <c r="DS86" s="76"/>
      <c r="DT86" s="75"/>
      <c r="DU86" s="76"/>
      <c r="DV86" s="76"/>
      <c r="DW86" s="1337"/>
      <c r="DX86" s="75"/>
      <c r="DY86" s="76"/>
      <c r="DZ86" s="76"/>
      <c r="EA86" s="76"/>
      <c r="EB86" s="76"/>
      <c r="EC86" s="1337"/>
      <c r="ED86" s="75"/>
      <c r="EE86" s="76"/>
      <c r="EF86" s="76"/>
      <c r="EG86" s="76"/>
      <c r="EH86" s="76"/>
      <c r="EI86" s="1337"/>
      <c r="EJ86" s="75"/>
      <c r="EK86" s="76"/>
      <c r="EL86" s="76"/>
      <c r="EM86" s="76"/>
      <c r="EN86" s="76"/>
      <c r="EO86" s="1337"/>
      <c r="EP86" s="75"/>
      <c r="EQ86" s="76"/>
      <c r="ER86" s="76"/>
      <c r="ES86" s="76"/>
      <c r="ET86" s="76"/>
      <c r="EU86" s="1337"/>
      <c r="EV86" s="75"/>
      <c r="EW86" s="75"/>
      <c r="FD86" s="75"/>
      <c r="FE86" s="75"/>
      <c r="FF86" s="75"/>
      <c r="FG86" s="75"/>
      <c r="FH86" s="75"/>
      <c r="FI86" s="75"/>
      <c r="FJ86" s="75"/>
      <c r="FK86" s="75"/>
      <c r="FL86" s="75"/>
      <c r="FM86" s="75"/>
      <c r="FN86" s="75"/>
      <c r="FO86" s="75"/>
      <c r="FP86" s="75"/>
    </row>
    <row r="87" spans="1:172">
      <c r="A87" s="82" t="str">
        <f>A12</f>
        <v>Adjustments to reconcile net income to net cash provided by operating activities:</v>
      </c>
      <c r="B87" s="42"/>
      <c r="C87" s="61"/>
      <c r="D87" s="61"/>
      <c r="E87" s="61"/>
      <c r="F87" s="61"/>
      <c r="G87" s="363"/>
      <c r="H87" s="61"/>
      <c r="I87" s="61"/>
      <c r="J87" s="61"/>
      <c r="K87" s="61"/>
      <c r="L87" s="61"/>
      <c r="M87" s="363"/>
      <c r="N87" s="61"/>
      <c r="O87" s="62"/>
      <c r="P87" s="62"/>
      <c r="Q87" s="62"/>
      <c r="R87" s="62"/>
      <c r="S87" s="62"/>
      <c r="T87" s="61"/>
      <c r="U87" s="62"/>
      <c r="V87" s="62"/>
      <c r="W87" s="62"/>
      <c r="X87" s="62"/>
      <c r="Y87" s="62"/>
      <c r="Z87" s="61"/>
      <c r="AA87" s="62"/>
      <c r="AB87" s="62"/>
      <c r="AC87" s="62"/>
      <c r="AD87" s="62"/>
      <c r="AE87" s="62"/>
      <c r="AF87" s="61"/>
      <c r="AG87" s="62"/>
      <c r="AH87" s="62"/>
      <c r="AI87" s="62"/>
      <c r="AJ87" s="62"/>
      <c r="AK87" s="62"/>
      <c r="AL87" s="61"/>
      <c r="AM87" s="62"/>
      <c r="AN87" s="62"/>
      <c r="AO87" s="62"/>
      <c r="AP87" s="62"/>
      <c r="AQ87" s="62"/>
      <c r="AR87" s="61"/>
      <c r="AS87" s="62"/>
      <c r="AT87" s="62"/>
      <c r="AU87" s="62"/>
      <c r="AV87" s="62"/>
      <c r="AW87" s="62"/>
      <c r="AX87" s="61"/>
      <c r="AY87" s="62"/>
      <c r="AZ87" s="62"/>
      <c r="BA87" s="62"/>
      <c r="BB87" s="62"/>
      <c r="BC87" s="62"/>
      <c r="BD87" s="61"/>
      <c r="BE87" s="62"/>
      <c r="BF87" s="62"/>
      <c r="BG87" s="62"/>
      <c r="BH87" s="62"/>
      <c r="BI87" s="62"/>
      <c r="BJ87" s="61"/>
      <c r="BK87" s="62"/>
      <c r="BL87" s="62"/>
      <c r="BM87" s="62"/>
      <c r="BN87" s="62"/>
      <c r="BO87" s="1166"/>
      <c r="BP87" s="61"/>
      <c r="BQ87" s="62"/>
      <c r="BR87" s="62"/>
      <c r="BS87" s="62"/>
      <c r="BT87" s="62"/>
      <c r="BU87" s="1166"/>
      <c r="BV87" s="61"/>
      <c r="BW87" s="62"/>
      <c r="BX87" s="62"/>
      <c r="BY87" s="62"/>
      <c r="BZ87" s="62"/>
      <c r="CA87" s="1416"/>
      <c r="CB87" s="61"/>
      <c r="CC87" s="62"/>
      <c r="CD87" s="62"/>
      <c r="CE87" s="62"/>
      <c r="CF87" s="62"/>
      <c r="CG87" s="1166"/>
      <c r="CH87" s="61"/>
      <c r="CI87" s="62"/>
      <c r="CJ87" s="62"/>
      <c r="CK87" s="62"/>
      <c r="CL87" s="62"/>
      <c r="CM87" s="1166"/>
      <c r="CN87" s="61"/>
      <c r="CO87" s="62"/>
      <c r="CP87" s="62"/>
      <c r="CQ87" s="62"/>
      <c r="CR87" s="62"/>
      <c r="CS87" s="1166"/>
      <c r="CT87" s="61"/>
      <c r="CU87" s="62"/>
      <c r="CV87" s="62"/>
      <c r="CW87" s="62"/>
      <c r="CX87" s="62"/>
      <c r="CY87" s="1132"/>
      <c r="CZ87" s="61"/>
      <c r="DA87" s="62"/>
      <c r="DB87" s="62"/>
      <c r="DC87" s="62"/>
      <c r="DD87" s="62"/>
      <c r="DE87" s="1166"/>
      <c r="DF87" s="61"/>
      <c r="DG87" s="62"/>
      <c r="DH87" s="62"/>
      <c r="DI87" s="62"/>
      <c r="DJ87" s="62"/>
      <c r="DK87" s="1166"/>
      <c r="DL87" s="61"/>
      <c r="DM87" s="62"/>
      <c r="DN87" s="62"/>
      <c r="DO87" s="62"/>
      <c r="DP87" s="62"/>
      <c r="DQ87" s="1166"/>
      <c r="DR87" s="61"/>
      <c r="DS87" s="62"/>
      <c r="DT87" s="62"/>
      <c r="DU87" s="62"/>
      <c r="DV87" s="62"/>
      <c r="DW87" s="1166"/>
      <c r="DX87" s="61"/>
      <c r="DY87" s="62"/>
      <c r="DZ87" s="62"/>
      <c r="EA87" s="62"/>
      <c r="EB87" s="62"/>
      <c r="EC87" s="1166"/>
      <c r="ED87" s="61"/>
      <c r="EE87" s="62"/>
      <c r="EF87" s="62"/>
      <c r="EG87" s="62"/>
      <c r="EH87" s="62"/>
      <c r="EI87" s="1166"/>
      <c r="EJ87" s="61"/>
      <c r="EK87" s="62"/>
      <c r="EL87" s="62"/>
      <c r="EM87" s="62"/>
      <c r="EN87" s="62"/>
      <c r="EO87" s="1166"/>
      <c r="EP87" s="61"/>
      <c r="EQ87" s="62"/>
      <c r="ER87" s="62"/>
      <c r="ES87" s="62"/>
      <c r="ET87" s="62"/>
      <c r="EU87" s="1166"/>
      <c r="EV87" s="45"/>
      <c r="EW87" s="45"/>
      <c r="FD87" s="45"/>
      <c r="FE87" s="45"/>
      <c r="FF87" s="45"/>
      <c r="FG87" s="45"/>
      <c r="FH87" s="45"/>
      <c r="FI87" s="45"/>
      <c r="FJ87" s="45"/>
      <c r="FK87" s="45"/>
      <c r="FL87" s="45"/>
      <c r="FM87" s="45"/>
      <c r="FN87" s="45"/>
      <c r="FO87" s="45"/>
      <c r="FP87" s="45"/>
    </row>
    <row r="88" spans="1:172">
      <c r="A88" s="41" t="s">
        <v>1787</v>
      </c>
      <c r="B88" s="42"/>
      <c r="C88" s="61"/>
      <c r="D88" s="61"/>
      <c r="E88" s="61"/>
      <c r="F88" s="61"/>
      <c r="G88" s="363"/>
      <c r="H88" s="61"/>
      <c r="I88" s="61"/>
      <c r="J88" s="61"/>
      <c r="K88" s="61"/>
      <c r="L88" s="61"/>
      <c r="M88" s="363"/>
      <c r="N88" s="61"/>
      <c r="O88" s="62">
        <f t="shared" ref="O88:O102" si="127">O13</f>
        <v>18.492999999999999</v>
      </c>
      <c r="P88" s="62">
        <f t="shared" ref="P88:R97" si="128">IF(P13="-","-",SUM(P13)-SUM(O13))</f>
        <v>19.013999999999999</v>
      </c>
      <c r="Q88" s="62">
        <f t="shared" si="128"/>
        <v>15.798000000000002</v>
      </c>
      <c r="R88" s="62">
        <f t="shared" si="128"/>
        <v>27.476999999999997</v>
      </c>
      <c r="S88" s="62">
        <f t="shared" ref="S88:S105" si="129">SUM(O88:R88)</f>
        <v>80.781999999999996</v>
      </c>
      <c r="T88" s="61"/>
      <c r="U88" s="62">
        <f t="shared" ref="U88:U102" si="130">U13</f>
        <v>16.794</v>
      </c>
      <c r="V88" s="62">
        <f t="shared" ref="V88:X97" si="131">IF(V13="-","-",SUM(V13)-SUM(U13))</f>
        <v>26.348000000000003</v>
      </c>
      <c r="W88" s="62">
        <f t="shared" si="131"/>
        <v>18.028999999999996</v>
      </c>
      <c r="X88" s="62">
        <f t="shared" si="131"/>
        <v>18.577000000000005</v>
      </c>
      <c r="Y88" s="62">
        <f t="shared" ref="Y88:Y105" si="132">SUM(U88:X88)</f>
        <v>79.748000000000005</v>
      </c>
      <c r="Z88" s="61"/>
      <c r="AA88" s="62">
        <f t="shared" ref="AA88:AA102" si="133">AA13</f>
        <v>19.006</v>
      </c>
      <c r="AB88" s="62">
        <f t="shared" ref="AB88:AD97" si="134">IF(AB13="-","-",SUM(AB13)-SUM(AA13))</f>
        <v>17.295999999999999</v>
      </c>
      <c r="AC88" s="62">
        <f t="shared" si="134"/>
        <v>16.195999999999998</v>
      </c>
      <c r="AD88" s="62">
        <f t="shared" si="134"/>
        <v>16.345999999999997</v>
      </c>
      <c r="AE88" s="62">
        <f t="shared" ref="AE88:AE105" si="135">SUM(AA88:AD88)</f>
        <v>68.843999999999994</v>
      </c>
      <c r="AF88" s="61"/>
      <c r="AG88" s="62">
        <f t="shared" ref="AG88:AG102" si="136">AG13</f>
        <v>15.865</v>
      </c>
      <c r="AH88" s="62">
        <f t="shared" ref="AH88:AJ97" si="137">IF(AH13="-","-",SUM(AH13)-SUM(AG13))</f>
        <v>15.819999999999999</v>
      </c>
      <c r="AI88" s="62">
        <f t="shared" si="137"/>
        <v>15.543000000000003</v>
      </c>
      <c r="AJ88" s="62">
        <f t="shared" si="137"/>
        <v>15.678999999999995</v>
      </c>
      <c r="AK88" s="62">
        <f t="shared" ref="AK88:AK105" si="138">SUM(AG88:AJ88)</f>
        <v>62.906999999999996</v>
      </c>
      <c r="AL88" s="61"/>
      <c r="AM88" s="62">
        <f t="shared" ref="AM88:AM102" si="139">AM13</f>
        <v>12.637</v>
      </c>
      <c r="AN88" s="62">
        <f t="shared" ref="AN88:AP97" si="140">IF(AN13="-","-",SUM(AN13)-SUM(AM13))</f>
        <v>12.082000000000001</v>
      </c>
      <c r="AO88" s="62">
        <f t="shared" si="140"/>
        <v>11.978999999999999</v>
      </c>
      <c r="AP88" s="62">
        <f t="shared" si="140"/>
        <v>12.146000000000001</v>
      </c>
      <c r="AQ88" s="62">
        <f t="shared" ref="AQ88:AQ112" si="141">SUM(AM88:AP88)</f>
        <v>48.844000000000001</v>
      </c>
      <c r="AR88" s="61"/>
      <c r="AS88" s="62">
        <f t="shared" ref="AS88:AS102" si="142">AS13</f>
        <v>12.307</v>
      </c>
      <c r="AT88" s="62">
        <f t="shared" ref="AT88:AV97" si="143">IF(AT13="-","-",SUM(AT13)-SUM(AS13))</f>
        <v>11.822000000000001</v>
      </c>
      <c r="AU88" s="62">
        <f t="shared" si="143"/>
        <v>11.837</v>
      </c>
      <c r="AV88" s="62">
        <f t="shared" si="143"/>
        <v>14.326000000000001</v>
      </c>
      <c r="AW88" s="62">
        <f t="shared" ref="AW88:AW105" si="144">SUM(AS88:AV88)</f>
        <v>50.292000000000002</v>
      </c>
      <c r="AX88" s="61"/>
      <c r="AY88" s="62">
        <f t="shared" ref="AY88:AY102" si="145">AY13</f>
        <v>12.5</v>
      </c>
      <c r="AZ88" s="62">
        <f t="shared" ref="AZ88:BA97" si="146">IF(AZ13="-","-",SUM(AZ13)-SUM(AY13))</f>
        <v>12.8</v>
      </c>
      <c r="BA88" s="62">
        <f t="shared" si="146"/>
        <v>13.3</v>
      </c>
      <c r="BB88" s="62">
        <f t="shared" ref="BB88:BB102" si="147">IF(BB13="-","-",SUM(BB13)-SUM(BA13))</f>
        <v>13.300000000000004</v>
      </c>
      <c r="BC88" s="62">
        <f t="shared" ref="BC88:BC105" si="148">SUM(AY88:BB88)</f>
        <v>51.900000000000006</v>
      </c>
      <c r="BD88" s="61"/>
      <c r="BE88" s="62">
        <f t="shared" ref="BE88:BE102" si="149">BE13</f>
        <v>12.6</v>
      </c>
      <c r="BF88" s="62">
        <f t="shared" ref="BF88:BH97" si="150">IF(BF13="-","-",SUM(BF13)-SUM(BE13))</f>
        <v>11.699999999999998</v>
      </c>
      <c r="BG88" s="62">
        <f t="shared" si="150"/>
        <v>9.5</v>
      </c>
      <c r="BH88" s="62">
        <f t="shared" si="150"/>
        <v>9.8999999999999986</v>
      </c>
      <c r="BI88" s="62">
        <f t="shared" ref="BI88:BI102" si="151">SUM(BE88:BH88)</f>
        <v>43.699999999999996</v>
      </c>
      <c r="BJ88" s="61"/>
      <c r="BK88" s="62">
        <f t="shared" ref="BK88:BK102" si="152">BK13</f>
        <v>12.5</v>
      </c>
      <c r="BL88" s="62">
        <f t="shared" ref="BL88:BN97" si="153">IF(BL13="-","-",SUM(BL13)-SUM(BK13))</f>
        <v>13.5</v>
      </c>
      <c r="BM88" s="62">
        <f t="shared" si="153"/>
        <v>13.200000000000003</v>
      </c>
      <c r="BN88" s="62">
        <f t="shared" si="153"/>
        <v>14.299999999999997</v>
      </c>
      <c r="BO88" s="1166">
        <f t="shared" ref="BO88:BO102" si="154">SUM(BK88:BN88)</f>
        <v>53.5</v>
      </c>
      <c r="BP88" s="61"/>
      <c r="BQ88" s="62">
        <f t="shared" ref="BQ88:BQ102" si="155">BQ13</f>
        <v>14.2</v>
      </c>
      <c r="BR88" s="62">
        <f t="shared" ref="BR88:BT97" si="156">IF(BR13="-","-",SUM(BR13)-SUM(BQ13))</f>
        <v>14.400000000000002</v>
      </c>
      <c r="BS88" s="62">
        <f t="shared" si="156"/>
        <v>15.5</v>
      </c>
      <c r="BT88" s="62">
        <f t="shared" si="156"/>
        <v>17.199999999999996</v>
      </c>
      <c r="BU88" s="1166">
        <f t="shared" ref="BU88:BU102" si="157">SUM(BQ88:BT88)</f>
        <v>61.3</v>
      </c>
      <c r="BV88" s="61"/>
      <c r="BW88" s="62">
        <f t="shared" ref="BW88:BW102" si="158">BW13</f>
        <v>16.899999999999999</v>
      </c>
      <c r="BX88" s="62">
        <f t="shared" ref="BX88:BX102" si="159">IF(BX13="-","-",SUM(BX13)-SUM(BW13))</f>
        <v>22.200000000000003</v>
      </c>
      <c r="BY88" s="62">
        <f t="shared" ref="BY88:BY102" si="160">IF(BY13="-","-",SUM(BY13)-SUM(BX13))</f>
        <v>25.4</v>
      </c>
      <c r="BZ88" s="62">
        <f t="shared" ref="BZ88:BZ102" si="161">IF(BZ13="-","-",SUM(BZ13)-SUM(BY13))</f>
        <v>27.299999999999997</v>
      </c>
      <c r="CA88" s="1416">
        <f t="shared" ref="CA88:CA96" si="162">SUM(BW88:BZ88)</f>
        <v>91.8</v>
      </c>
      <c r="CB88" s="61"/>
      <c r="CC88" s="62">
        <f t="shared" ref="CC88:CC102" si="163">CC13</f>
        <v>27</v>
      </c>
      <c r="CD88" s="62">
        <f t="shared" ref="CD88:CD102" si="164">IF(CD13="-","-",SUM(CD13)-SUM(CC13))</f>
        <v>28.5</v>
      </c>
      <c r="CE88" s="62">
        <f t="shared" ref="CE88:CE102" si="165">IF(CE13="-","-",SUM(CE13)-SUM(CD13))</f>
        <v>28.900000000000006</v>
      </c>
      <c r="CF88" s="62">
        <f t="shared" ref="CF88:CF102" si="166">IF(CF13="-","-",SUM(CF13)-SUM(CE13))</f>
        <v>27.099999999999994</v>
      </c>
      <c r="CG88" s="1166">
        <f t="shared" ref="CG88:CG112" si="167">SUM(CC88:CF88)</f>
        <v>111.5</v>
      </c>
      <c r="CH88" s="61"/>
      <c r="CI88" s="62">
        <f t="shared" ref="CI88:CI102" si="168">CI13</f>
        <v>26.7</v>
      </c>
      <c r="CJ88" s="62">
        <f t="shared" ref="CJ88:CJ102" si="169">IF(CJ13="-","-",SUM(CJ13)-SUM(CI13))</f>
        <v>26.3</v>
      </c>
      <c r="CK88" s="62">
        <f t="shared" ref="CK88:CK102" si="170">IF(CK13="-","-",SUM(CK13)-SUM(CJ13))</f>
        <v>26.599999999999994</v>
      </c>
      <c r="CL88" s="62">
        <f t="shared" ref="CL88:CL102" si="171">IF(CL13="-","-",SUM(CL13)-SUM(CK13))</f>
        <v>25.800000000000011</v>
      </c>
      <c r="CM88" s="1166">
        <f t="shared" ref="CM88:CM112" si="172">SUM(CI88:CL88)</f>
        <v>105.4</v>
      </c>
      <c r="CN88" s="61"/>
      <c r="CO88" s="62">
        <f t="shared" ref="CO88:CO102" si="173">CO13</f>
        <v>24.5</v>
      </c>
      <c r="CP88" s="62">
        <f t="shared" ref="CP88:CP102" si="174">IF(CP13="-","-",SUM(CP13)-SUM(CO13))</f>
        <v>29.700000000000003</v>
      </c>
      <c r="CQ88" s="62">
        <f t="shared" ref="CQ88:CQ102" si="175">IF(CQ13="-","-",SUM(CQ13)-SUM(CP13))</f>
        <v>31</v>
      </c>
      <c r="CR88" s="62">
        <f t="shared" ref="CR88:CR102" si="176">IF(CR13="-","-",SUM(CR13)-SUM(CQ13))</f>
        <v>30.299999999999997</v>
      </c>
      <c r="CS88" s="1166">
        <f t="shared" ref="CS88:CS112" si="177">SUM(CO88:CR88)</f>
        <v>115.5</v>
      </c>
      <c r="CT88" s="61"/>
      <c r="CU88" s="62">
        <f t="shared" ref="CU88:CU103" si="178">CU13</f>
        <v>29.2</v>
      </c>
      <c r="CV88" s="62">
        <f>IF(CV13="-","-",SUM(CV13)-SUM(CU13))</f>
        <v>28.900000000000002</v>
      </c>
      <c r="CW88" s="62">
        <f t="shared" ref="CW88:CW103" si="179">IF(CW13="-","-",SUM(CW13)-SUM(CV13))</f>
        <v>34.999999999999993</v>
      </c>
      <c r="CX88" s="62">
        <f t="shared" ref="CX88:CX103" si="180">IF(CX13="-","-",SUM(CX13)-SUM(CW13))</f>
        <v>34.700000000000003</v>
      </c>
      <c r="CY88" s="1166">
        <f t="shared" ref="CY88:CY103" si="181">SUM(CU88:CX88)</f>
        <v>127.8</v>
      </c>
      <c r="CZ88" s="61"/>
      <c r="DA88" s="62">
        <f t="shared" ref="DA88:DA103" si="182">DA13</f>
        <v>33.1</v>
      </c>
      <c r="DB88" s="62">
        <f t="shared" ref="DB88:DB102" si="183">IF(DB13="-","-",SUM(DB13)-SUM(DA13))</f>
        <v>31.999999999999993</v>
      </c>
      <c r="DC88" s="62">
        <f t="shared" ref="DC88:DC102" si="184">IF(DC13="-","-",SUM(DC13)-SUM(DB13))</f>
        <v>30.600000000000009</v>
      </c>
      <c r="DD88" s="62">
        <f t="shared" ref="DD88:DD102" si="185">IF(DD13="-","-",SUM(DD13)-SUM(DC13))</f>
        <v>33.200000000000003</v>
      </c>
      <c r="DE88" s="1166">
        <f t="shared" ref="DE88:DE103" si="186">SUM(DA88:DD88)</f>
        <v>128.9</v>
      </c>
      <c r="DF88" s="61"/>
      <c r="DG88" s="62">
        <f t="shared" ref="DG88:DG103" si="187">DG13</f>
        <v>36.1</v>
      </c>
      <c r="DH88" s="62">
        <f t="shared" ref="DH88:DH103" si="188">IF(DH13="-","-",SUM(DH13)-SUM(DG13))</f>
        <v>37.199999999999996</v>
      </c>
      <c r="DI88" s="62">
        <f t="shared" ref="DI88:DI103" si="189">IF(DI13="-","-",SUM(DI13)-SUM(DH13))</f>
        <v>36.600000000000009</v>
      </c>
      <c r="DJ88" s="62">
        <f t="shared" ref="DJ88:DJ103" si="190">IF(DJ13="-","-",SUM(DJ13)-SUM(DI13))</f>
        <v>36</v>
      </c>
      <c r="DK88" s="1166">
        <f t="shared" ref="DK88:DK103" si="191">SUM(DG88:DJ88)</f>
        <v>145.9</v>
      </c>
      <c r="DL88" s="61"/>
      <c r="DM88" s="62">
        <f t="shared" ref="DM88:DM103" si="192">DM13</f>
        <v>37.799999999999997</v>
      </c>
      <c r="DN88" s="62">
        <f t="shared" ref="DN88:DN103" si="193">IF(DN13="-","-",SUM(DN13)-SUM(DM13))</f>
        <v>36.200000000000003</v>
      </c>
      <c r="DO88" s="62">
        <f t="shared" ref="DO88:DO103" si="194">IF(DO13="-","-",SUM(DO13)-SUM(DN13))</f>
        <v>35.700000000000003</v>
      </c>
      <c r="DP88" s="62">
        <f t="shared" ref="DP88:DP103" si="195">IF(DP13="-","-",SUM(DP13)-SUM(DO13))</f>
        <v>36.100000000000009</v>
      </c>
      <c r="DQ88" s="1166">
        <f t="shared" ref="DQ88:DQ103" si="196">SUM(DM88:DP88)</f>
        <v>145.80000000000001</v>
      </c>
      <c r="DR88" s="61"/>
      <c r="DS88" s="62">
        <f t="shared" ref="DS88:DS103" si="197">DS13</f>
        <v>37.4</v>
      </c>
      <c r="DT88" s="62">
        <f t="shared" ref="DT88:DT103" si="198">IF(DT13="-","-",SUM(DT13)-SUM(DS13))</f>
        <v>33.000000000000007</v>
      </c>
      <c r="DU88" s="62">
        <f t="shared" ref="DU88:DU103" si="199">IF(DU13="-","-",SUM(DU13)-SUM(DT13))</f>
        <v>34.099999999999994</v>
      </c>
      <c r="DV88" s="62">
        <f t="shared" ref="DV88:DV103" si="200">IF(DV13="-","-",SUM(DV13)-SUM(DU13))</f>
        <v>34.699999999999989</v>
      </c>
      <c r="DW88" s="1166">
        <f t="shared" ref="DW88:DW103" si="201">SUM(DS88:DV88)</f>
        <v>139.19999999999999</v>
      </c>
      <c r="DX88" s="61"/>
      <c r="DY88" s="62">
        <f t="shared" ref="DY88:DY103" si="202">DY13</f>
        <v>28.4</v>
      </c>
      <c r="DZ88" s="62">
        <f t="shared" ref="DZ88:DZ103" si="203">IF(DZ13="-","-",SUM(DZ13)-SUM(DY13))</f>
        <v>28.4</v>
      </c>
      <c r="EA88" s="62">
        <f t="shared" ref="EA88:EA103" si="204">IF(EA13="-","-",SUM(EA13)-SUM(DZ13))</f>
        <v>24.700000000000003</v>
      </c>
      <c r="EB88" s="62">
        <f t="shared" ref="EB88:EB103" si="205">IF(EB13="-","-",SUM(EB13)-SUM(EA13))</f>
        <v>26.900000000000006</v>
      </c>
      <c r="EC88" s="1166">
        <f t="shared" ref="EC88:EC103" si="206">SUM(DY88:EB88)</f>
        <v>108.4</v>
      </c>
      <c r="ED88" s="61"/>
      <c r="EE88" s="62">
        <f t="shared" ref="EE88:EE103" si="207">EE13</f>
        <v>20.549851737259189</v>
      </c>
      <c r="EF88" s="62">
        <f t="shared" ref="EF88:EF103" si="208">IF(EF13="-","-",SUM(EF13)-SUM(EE13))</f>
        <v>19.265381640551915</v>
      </c>
      <c r="EG88" s="62">
        <f t="shared" ref="EG88:EG103" si="209">IF(EG13="-","-",SUM(EG13)-SUM(EF13))</f>
        <v>19.331791029473912</v>
      </c>
      <c r="EH88" s="62">
        <f t="shared" ref="EH88:EH103" si="210">IF(EH13="-","-",SUM(EH13)-SUM(EG13))</f>
        <v>19.841008081585471</v>
      </c>
      <c r="EI88" s="1166">
        <f t="shared" ref="EI88:EI103" si="211">SUM(EE88:EH88)</f>
        <v>78.988032488870488</v>
      </c>
      <c r="EJ88" s="61"/>
      <c r="EK88" s="62">
        <f t="shared" ref="EK88:EK103" si="212">EK13</f>
        <v>21.390988309473663</v>
      </c>
      <c r="EL88" s="62">
        <f t="shared" ref="EL88:EL103" si="213">IF(EL13="-","-",SUM(EL13)-SUM(EK13))</f>
        <v>20.112792822628606</v>
      </c>
      <c r="EM88" s="62">
        <f t="shared" ref="EM88:EM103" si="214">IF(EM13="-","-",SUM(EM13)-SUM(EL13))</f>
        <v>20.196304050233024</v>
      </c>
      <c r="EN88" s="62">
        <f t="shared" ref="EN88:EN103" si="215">IF(EN13="-","-",SUM(EN13)-SUM(EM13))</f>
        <v>20.704953287905148</v>
      </c>
      <c r="EO88" s="1166">
        <f t="shared" ref="EO88:EO103" si="216">SUM(EK88:EN88)</f>
        <v>82.405038470240441</v>
      </c>
      <c r="EP88" s="61"/>
      <c r="EQ88" s="62">
        <f t="shared" ref="EQ88:EQ103" si="217">EQ13</f>
        <v>22.235291551757733</v>
      </c>
      <c r="ER88" s="62">
        <f t="shared" ref="ER88:ER103" si="218">IF(ER13="-","-",SUM(ER13)-SUM(EQ13))</f>
        <v>20.945232052904622</v>
      </c>
      <c r="ES88" s="62">
        <f t="shared" ref="ES88:ES103" si="219">IF(ES13="-","-",SUM(ES13)-SUM(ER13))</f>
        <v>21.025624437714441</v>
      </c>
      <c r="ET88" s="62">
        <f t="shared" ref="ET88:ET103" si="220">IF(ET13="-","-",SUM(ET13)-SUM(ES13))</f>
        <v>21.513471711582326</v>
      </c>
      <c r="EU88" s="1166">
        <f t="shared" ref="EU88:EU103" si="221">SUM(EQ88:ET88)</f>
        <v>85.719619753959122</v>
      </c>
      <c r="EV88" s="45"/>
      <c r="EW88" s="45"/>
      <c r="FD88" s="45"/>
      <c r="FE88" s="45"/>
      <c r="FF88" s="45"/>
      <c r="FG88" s="45"/>
      <c r="FH88" s="45"/>
      <c r="FI88" s="45"/>
      <c r="FJ88" s="45"/>
      <c r="FK88" s="45"/>
      <c r="FL88" s="45"/>
      <c r="FM88" s="45"/>
      <c r="FN88" s="45"/>
      <c r="FO88" s="45"/>
      <c r="FP88" s="45"/>
    </row>
    <row r="89" spans="1:172">
      <c r="A89" s="41" t="s">
        <v>485</v>
      </c>
      <c r="B89" s="42"/>
      <c r="C89" s="61"/>
      <c r="D89" s="61"/>
      <c r="E89" s="61"/>
      <c r="F89" s="61"/>
      <c r="G89" s="363"/>
      <c r="H89" s="61"/>
      <c r="I89" s="61"/>
      <c r="J89" s="61"/>
      <c r="K89" s="61"/>
      <c r="L89" s="61"/>
      <c r="M89" s="363"/>
      <c r="N89" s="61"/>
      <c r="O89" s="62">
        <f t="shared" si="127"/>
        <v>0</v>
      </c>
      <c r="P89" s="62">
        <f t="shared" si="128"/>
        <v>0</v>
      </c>
      <c r="Q89" s="62">
        <f t="shared" si="128"/>
        <v>0</v>
      </c>
      <c r="R89" s="62">
        <f t="shared" si="128"/>
        <v>0</v>
      </c>
      <c r="S89" s="62">
        <f t="shared" si="129"/>
        <v>0</v>
      </c>
      <c r="T89" s="61"/>
      <c r="U89" s="62">
        <f t="shared" si="130"/>
        <v>0</v>
      </c>
      <c r="V89" s="62">
        <f t="shared" si="131"/>
        <v>0</v>
      </c>
      <c r="W89" s="62">
        <f t="shared" si="131"/>
        <v>0</v>
      </c>
      <c r="X89" s="62">
        <f t="shared" si="131"/>
        <v>0</v>
      </c>
      <c r="Y89" s="62">
        <f t="shared" si="132"/>
        <v>0</v>
      </c>
      <c r="Z89" s="61"/>
      <c r="AA89" s="62">
        <f t="shared" si="133"/>
        <v>0</v>
      </c>
      <c r="AB89" s="62">
        <f t="shared" si="134"/>
        <v>0</v>
      </c>
      <c r="AC89" s="62">
        <f t="shared" si="134"/>
        <v>0</v>
      </c>
      <c r="AD89" s="62">
        <f t="shared" si="134"/>
        <v>0</v>
      </c>
      <c r="AE89" s="62">
        <f t="shared" si="135"/>
        <v>0</v>
      </c>
      <c r="AF89" s="61"/>
      <c r="AG89" s="62">
        <f t="shared" si="136"/>
        <v>0</v>
      </c>
      <c r="AH89" s="62">
        <f t="shared" si="137"/>
        <v>0</v>
      </c>
      <c r="AI89" s="62">
        <f t="shared" si="137"/>
        <v>0</v>
      </c>
      <c r="AJ89" s="62">
        <f t="shared" si="137"/>
        <v>0</v>
      </c>
      <c r="AK89" s="62">
        <f t="shared" si="138"/>
        <v>0</v>
      </c>
      <c r="AL89" s="61"/>
      <c r="AM89" s="62">
        <f t="shared" si="139"/>
        <v>0</v>
      </c>
      <c r="AN89" s="62">
        <f t="shared" si="140"/>
        <v>0</v>
      </c>
      <c r="AO89" s="62">
        <f t="shared" si="140"/>
        <v>0</v>
      </c>
      <c r="AP89" s="62">
        <f t="shared" si="140"/>
        <v>2.7530000000000001</v>
      </c>
      <c r="AQ89" s="62">
        <f t="shared" si="141"/>
        <v>2.7530000000000001</v>
      </c>
      <c r="AR89" s="61"/>
      <c r="AS89" s="62">
        <f t="shared" si="142"/>
        <v>0</v>
      </c>
      <c r="AT89" s="62">
        <f t="shared" si="143"/>
        <v>0</v>
      </c>
      <c r="AU89" s="62">
        <f t="shared" si="143"/>
        <v>0</v>
      </c>
      <c r="AV89" s="62">
        <f t="shared" si="143"/>
        <v>1.7749999999999999</v>
      </c>
      <c r="AW89" s="62">
        <f t="shared" si="144"/>
        <v>1.7749999999999999</v>
      </c>
      <c r="AX89" s="61"/>
      <c r="AY89" s="62">
        <f t="shared" si="145"/>
        <v>1.4</v>
      </c>
      <c r="AZ89" s="62">
        <f t="shared" si="146"/>
        <v>1.6999999999999997</v>
      </c>
      <c r="BA89" s="62">
        <f t="shared" si="146"/>
        <v>5.7999999999999989</v>
      </c>
      <c r="BB89" s="62">
        <f t="shared" si="147"/>
        <v>2.6999999999999993</v>
      </c>
      <c r="BC89" s="62">
        <f t="shared" si="148"/>
        <v>11.599999999999998</v>
      </c>
      <c r="BD89" s="61"/>
      <c r="BE89" s="62">
        <f t="shared" si="149"/>
        <v>1.4</v>
      </c>
      <c r="BF89" s="62">
        <f t="shared" si="150"/>
        <v>1.4</v>
      </c>
      <c r="BG89" s="62">
        <f t="shared" si="150"/>
        <v>1.1000000000000001</v>
      </c>
      <c r="BH89" s="62">
        <f t="shared" si="150"/>
        <v>0.69999999999999973</v>
      </c>
      <c r="BI89" s="62">
        <f t="shared" si="151"/>
        <v>4.5999999999999996</v>
      </c>
      <c r="BJ89" s="61"/>
      <c r="BK89" s="62">
        <f t="shared" si="152"/>
        <v>21.7</v>
      </c>
      <c r="BL89" s="62">
        <f t="shared" si="153"/>
        <v>20.000000000000004</v>
      </c>
      <c r="BM89" s="62">
        <f t="shared" si="153"/>
        <v>34.299999999999997</v>
      </c>
      <c r="BN89" s="62">
        <f t="shared" si="153"/>
        <v>18.299999999999997</v>
      </c>
      <c r="BO89" s="1166">
        <f t="shared" si="154"/>
        <v>94.3</v>
      </c>
      <c r="BP89" s="61"/>
      <c r="BQ89" s="62">
        <f t="shared" si="155"/>
        <v>14.8</v>
      </c>
      <c r="BR89" s="62">
        <f t="shared" si="156"/>
        <v>21.099999999999998</v>
      </c>
      <c r="BS89" s="62">
        <f t="shared" si="156"/>
        <v>37.199999999999996</v>
      </c>
      <c r="BT89" s="62">
        <f t="shared" si="156"/>
        <v>26.200000000000003</v>
      </c>
      <c r="BU89" s="1166">
        <f t="shared" si="157"/>
        <v>99.3</v>
      </c>
      <c r="BV89" s="61"/>
      <c r="BW89" s="62">
        <f t="shared" si="158"/>
        <v>25.2</v>
      </c>
      <c r="BX89" s="62">
        <f t="shared" si="159"/>
        <v>23.2</v>
      </c>
      <c r="BY89" s="62">
        <f t="shared" si="160"/>
        <v>22.500000000000007</v>
      </c>
      <c r="BZ89" s="62">
        <f t="shared" si="161"/>
        <v>18.599999999999994</v>
      </c>
      <c r="CA89" s="1416">
        <f t="shared" si="162"/>
        <v>89.5</v>
      </c>
      <c r="CB89" s="61"/>
      <c r="CC89" s="62">
        <f t="shared" si="163"/>
        <v>23</v>
      </c>
      <c r="CD89" s="62">
        <f t="shared" si="164"/>
        <v>21.4</v>
      </c>
      <c r="CE89" s="62">
        <f t="shared" si="165"/>
        <v>30.300000000000004</v>
      </c>
      <c r="CF89" s="62">
        <f t="shared" si="166"/>
        <v>18.899999999999991</v>
      </c>
      <c r="CG89" s="1166">
        <f t="shared" si="167"/>
        <v>93.6</v>
      </c>
      <c r="CH89" s="61"/>
      <c r="CI89" s="62">
        <f t="shared" si="168"/>
        <v>24.3</v>
      </c>
      <c r="CJ89" s="62">
        <f t="shared" si="169"/>
        <v>20.999999999999996</v>
      </c>
      <c r="CK89" s="62">
        <f t="shared" si="170"/>
        <v>17</v>
      </c>
      <c r="CL89" s="62">
        <f t="shared" si="171"/>
        <v>18.400000000000006</v>
      </c>
      <c r="CM89" s="1166">
        <f t="shared" si="172"/>
        <v>80.7</v>
      </c>
      <c r="CN89" s="61"/>
      <c r="CO89" s="62">
        <f t="shared" si="173"/>
        <v>25.9</v>
      </c>
      <c r="CP89" s="62">
        <f t="shared" si="174"/>
        <v>27.300000000000004</v>
      </c>
      <c r="CQ89" s="62">
        <f t="shared" si="175"/>
        <v>25.599999999999994</v>
      </c>
      <c r="CR89" s="62">
        <f t="shared" si="176"/>
        <v>30</v>
      </c>
      <c r="CS89" s="1166">
        <f t="shared" si="177"/>
        <v>108.8</v>
      </c>
      <c r="CT89" s="61"/>
      <c r="CU89" s="62">
        <f>CU14</f>
        <v>33.4</v>
      </c>
      <c r="CV89" s="62">
        <f t="shared" ref="CV89:CV102" si="222">IF(CV14="-","-",SUM(CV14)-SUM(CU14))</f>
        <v>33.500000000000007</v>
      </c>
      <c r="CW89" s="62">
        <f t="shared" si="179"/>
        <v>51.899999999999991</v>
      </c>
      <c r="CX89" s="62">
        <f t="shared" si="180"/>
        <v>37.500000000000014</v>
      </c>
      <c r="CY89" s="1166">
        <f t="shared" si="181"/>
        <v>156.30000000000001</v>
      </c>
      <c r="CZ89" s="61"/>
      <c r="DA89" s="62">
        <f t="shared" si="182"/>
        <v>33.5</v>
      </c>
      <c r="DB89" s="62">
        <f t="shared" si="183"/>
        <v>31.099999999999994</v>
      </c>
      <c r="DC89" s="62">
        <f t="shared" si="184"/>
        <v>31.5</v>
      </c>
      <c r="DD89" s="62">
        <f t="shared" si="185"/>
        <v>36.099999999999994</v>
      </c>
      <c r="DE89" s="1166">
        <f t="shared" si="186"/>
        <v>132.19999999999999</v>
      </c>
      <c r="DF89" s="61"/>
      <c r="DG89" s="62">
        <f t="shared" si="187"/>
        <v>33.6</v>
      </c>
      <c r="DH89" s="62">
        <f t="shared" si="188"/>
        <v>39.800000000000004</v>
      </c>
      <c r="DI89" s="62">
        <f t="shared" si="189"/>
        <v>43.099999999999994</v>
      </c>
      <c r="DJ89" s="62">
        <f t="shared" si="190"/>
        <v>49.099999999999994</v>
      </c>
      <c r="DK89" s="1166">
        <f t="shared" si="191"/>
        <v>165.6</v>
      </c>
      <c r="DL89" s="61"/>
      <c r="DM89" s="62">
        <f t="shared" si="192"/>
        <v>50.2</v>
      </c>
      <c r="DN89" s="62">
        <f t="shared" si="193"/>
        <v>40.700000000000003</v>
      </c>
      <c r="DO89" s="62">
        <f t="shared" si="194"/>
        <v>50.199999999999989</v>
      </c>
      <c r="DP89" s="62">
        <f t="shared" si="195"/>
        <v>56.099999999999994</v>
      </c>
      <c r="DQ89" s="1166">
        <f t="shared" si="196"/>
        <v>197.2</v>
      </c>
      <c r="DR89" s="61"/>
      <c r="DS89" s="62">
        <f t="shared" si="197"/>
        <v>56.9</v>
      </c>
      <c r="DT89" s="62">
        <f t="shared" si="198"/>
        <v>49.000000000000007</v>
      </c>
      <c r="DU89" s="62">
        <f t="shared" si="199"/>
        <v>56.599999999999994</v>
      </c>
      <c r="DV89" s="62">
        <f t="shared" si="200"/>
        <v>59.300000000000011</v>
      </c>
      <c r="DW89" s="1166">
        <f t="shared" si="201"/>
        <v>221.8</v>
      </c>
      <c r="DX89" s="61"/>
      <c r="DY89" s="62">
        <f t="shared" si="202"/>
        <v>66.8</v>
      </c>
      <c r="DZ89" s="62">
        <f t="shared" si="203"/>
        <v>67.600000000000009</v>
      </c>
      <c r="EA89" s="62">
        <f t="shared" si="204"/>
        <v>65.099999999999994</v>
      </c>
      <c r="EB89" s="62">
        <f t="shared" si="205"/>
        <v>61.899999999999977</v>
      </c>
      <c r="EC89" s="1166">
        <f t="shared" si="206"/>
        <v>261.39999999999998</v>
      </c>
      <c r="ED89" s="61"/>
      <c r="EE89" s="62">
        <f t="shared" si="207"/>
        <v>61</v>
      </c>
      <c r="EF89" s="62">
        <f t="shared" si="208"/>
        <v>61</v>
      </c>
      <c r="EG89" s="62">
        <f t="shared" si="209"/>
        <v>61</v>
      </c>
      <c r="EH89" s="62">
        <f t="shared" si="210"/>
        <v>61</v>
      </c>
      <c r="EI89" s="1166">
        <f t="shared" si="211"/>
        <v>244</v>
      </c>
      <c r="EJ89" s="61"/>
      <c r="EK89" s="62">
        <f t="shared" si="212"/>
        <v>61</v>
      </c>
      <c r="EL89" s="62">
        <f t="shared" si="213"/>
        <v>61</v>
      </c>
      <c r="EM89" s="62">
        <f t="shared" si="214"/>
        <v>61</v>
      </c>
      <c r="EN89" s="62">
        <f t="shared" si="215"/>
        <v>61</v>
      </c>
      <c r="EO89" s="1166">
        <f t="shared" si="216"/>
        <v>244</v>
      </c>
      <c r="EP89" s="61"/>
      <c r="EQ89" s="62">
        <f t="shared" si="217"/>
        <v>61</v>
      </c>
      <c r="ER89" s="62">
        <f t="shared" si="218"/>
        <v>61</v>
      </c>
      <c r="ES89" s="62">
        <f t="shared" si="219"/>
        <v>61</v>
      </c>
      <c r="ET89" s="62">
        <f t="shared" si="220"/>
        <v>61</v>
      </c>
      <c r="EU89" s="1166">
        <f t="shared" si="221"/>
        <v>244</v>
      </c>
      <c r="EV89" s="45"/>
      <c r="EW89" s="45"/>
      <c r="FD89" s="45"/>
      <c r="FE89" s="45"/>
      <c r="FF89" s="45"/>
      <c r="FG89" s="45"/>
      <c r="FH89" s="45"/>
      <c r="FI89" s="45"/>
      <c r="FJ89" s="45"/>
      <c r="FK89" s="45"/>
      <c r="FL89" s="45"/>
      <c r="FM89" s="45"/>
      <c r="FN89" s="45"/>
      <c r="FO89" s="45"/>
      <c r="FP89" s="45"/>
    </row>
    <row r="90" spans="1:172">
      <c r="A90" s="41" t="s">
        <v>4685</v>
      </c>
      <c r="B90" s="42"/>
      <c r="C90" s="61"/>
      <c r="D90" s="61"/>
      <c r="E90" s="61"/>
      <c r="F90" s="61"/>
      <c r="G90" s="363"/>
      <c r="H90" s="61"/>
      <c r="I90" s="61"/>
      <c r="J90" s="61"/>
      <c r="K90" s="61"/>
      <c r="L90" s="61"/>
      <c r="M90" s="363"/>
      <c r="N90" s="61"/>
      <c r="O90" s="62">
        <f t="shared" si="127"/>
        <v>0</v>
      </c>
      <c r="P90" s="62">
        <f t="shared" si="128"/>
        <v>0</v>
      </c>
      <c r="Q90" s="62">
        <f t="shared" si="128"/>
        <v>0</v>
      </c>
      <c r="R90" s="62">
        <f t="shared" si="128"/>
        <v>15.468999999999999</v>
      </c>
      <c r="S90" s="62">
        <f t="shared" si="129"/>
        <v>15.468999999999999</v>
      </c>
      <c r="T90" s="61"/>
      <c r="U90" s="62">
        <f t="shared" si="130"/>
        <v>0</v>
      </c>
      <c r="V90" s="62">
        <f t="shared" si="131"/>
        <v>0</v>
      </c>
      <c r="W90" s="62">
        <f t="shared" si="131"/>
        <v>0</v>
      </c>
      <c r="X90" s="62">
        <f t="shared" si="131"/>
        <v>4.6420000000000003</v>
      </c>
      <c r="Y90" s="62">
        <f t="shared" si="132"/>
        <v>4.6420000000000003</v>
      </c>
      <c r="Z90" s="61"/>
      <c r="AA90" s="62">
        <f t="shared" si="133"/>
        <v>0</v>
      </c>
      <c r="AB90" s="62">
        <f t="shared" si="134"/>
        <v>0</v>
      </c>
      <c r="AC90" s="62">
        <f t="shared" si="134"/>
        <v>0</v>
      </c>
      <c r="AD90" s="62">
        <f t="shared" si="134"/>
        <v>21.055</v>
      </c>
      <c r="AE90" s="62">
        <f t="shared" si="135"/>
        <v>21.055</v>
      </c>
      <c r="AF90" s="61"/>
      <c r="AG90" s="62">
        <f t="shared" si="136"/>
        <v>3.464</v>
      </c>
      <c r="AH90" s="62">
        <f t="shared" si="137"/>
        <v>2.0660000000000003</v>
      </c>
      <c r="AI90" s="62">
        <f t="shared" si="137"/>
        <v>2.7380000000000004</v>
      </c>
      <c r="AJ90" s="62">
        <f t="shared" si="137"/>
        <v>3.9079999999999995</v>
      </c>
      <c r="AK90" s="62">
        <f t="shared" si="138"/>
        <v>12.176</v>
      </c>
      <c r="AL90" s="61"/>
      <c r="AM90" s="62">
        <f t="shared" si="139"/>
        <v>7.8979999999999997</v>
      </c>
      <c r="AN90" s="62">
        <f t="shared" si="140"/>
        <v>0.25600000000000023</v>
      </c>
      <c r="AO90" s="62">
        <f t="shared" si="140"/>
        <v>0.40000000000000036</v>
      </c>
      <c r="AP90" s="62">
        <f>IF(AP15="-","-",SUM(AP15)-SUM(AO15))</f>
        <v>0</v>
      </c>
      <c r="AQ90" s="62">
        <f t="shared" si="141"/>
        <v>8.5540000000000003</v>
      </c>
      <c r="AR90" s="61"/>
      <c r="AS90" s="62">
        <f t="shared" si="142"/>
        <v>0</v>
      </c>
      <c r="AT90" s="62">
        <f t="shared" si="143"/>
        <v>0</v>
      </c>
      <c r="AU90" s="62">
        <f t="shared" si="143"/>
        <v>0</v>
      </c>
      <c r="AV90" s="62">
        <f t="shared" si="143"/>
        <v>0</v>
      </c>
      <c r="AW90" s="62">
        <f t="shared" si="144"/>
        <v>0</v>
      </c>
      <c r="AX90" s="61"/>
      <c r="AY90" s="62">
        <f t="shared" si="145"/>
        <v>23.7</v>
      </c>
      <c r="AZ90" s="62">
        <f t="shared" si="146"/>
        <v>0</v>
      </c>
      <c r="BA90" s="62">
        <f t="shared" si="146"/>
        <v>63.5</v>
      </c>
      <c r="BB90" s="62">
        <f t="shared" si="147"/>
        <v>25.299999999999997</v>
      </c>
      <c r="BC90" s="62">
        <f t="shared" si="148"/>
        <v>112.5</v>
      </c>
      <c r="BD90" s="61"/>
      <c r="BE90" s="62">
        <f t="shared" si="149"/>
        <v>23.7</v>
      </c>
      <c r="BF90" s="62">
        <f t="shared" si="150"/>
        <v>26.7</v>
      </c>
      <c r="BG90" s="62">
        <f t="shared" si="150"/>
        <v>54.6</v>
      </c>
      <c r="BH90" s="62">
        <f t="shared" si="150"/>
        <v>19.599999999999994</v>
      </c>
      <c r="BI90" s="62">
        <f t="shared" si="151"/>
        <v>124.6</v>
      </c>
      <c r="BJ90" s="61"/>
      <c r="BK90" s="62">
        <f t="shared" si="152"/>
        <v>0</v>
      </c>
      <c r="BL90" s="62">
        <f t="shared" si="153"/>
        <v>0</v>
      </c>
      <c r="BM90" s="62">
        <f t="shared" si="153"/>
        <v>0</v>
      </c>
      <c r="BN90" s="62">
        <f t="shared" si="153"/>
        <v>5.0999999999999996</v>
      </c>
      <c r="BO90" s="1166">
        <f t="shared" si="154"/>
        <v>5.0999999999999996</v>
      </c>
      <c r="BP90" s="61"/>
      <c r="BQ90" s="62">
        <f t="shared" si="155"/>
        <v>0</v>
      </c>
      <c r="BR90" s="62">
        <f t="shared" si="156"/>
        <v>0</v>
      </c>
      <c r="BS90" s="62">
        <f t="shared" si="156"/>
        <v>0</v>
      </c>
      <c r="BT90" s="62">
        <f t="shared" si="156"/>
        <v>0</v>
      </c>
      <c r="BU90" s="1166">
        <f t="shared" si="157"/>
        <v>0</v>
      </c>
      <c r="BV90" s="61"/>
      <c r="BW90" s="62">
        <f t="shared" si="158"/>
        <v>0</v>
      </c>
      <c r="BX90" s="62">
        <f t="shared" si="159"/>
        <v>0</v>
      </c>
      <c r="BY90" s="62">
        <f t="shared" si="160"/>
        <v>0</v>
      </c>
      <c r="BZ90" s="62">
        <f t="shared" si="161"/>
        <v>0</v>
      </c>
      <c r="CA90" s="1416">
        <f t="shared" si="162"/>
        <v>0</v>
      </c>
      <c r="CB90" s="61"/>
      <c r="CC90" s="62">
        <f t="shared" si="163"/>
        <v>0</v>
      </c>
      <c r="CD90" s="62">
        <f t="shared" si="164"/>
        <v>0</v>
      </c>
      <c r="CE90" s="62">
        <f t="shared" si="165"/>
        <v>0</v>
      </c>
      <c r="CF90" s="62">
        <f t="shared" si="166"/>
        <v>0</v>
      </c>
      <c r="CG90" s="1166">
        <f t="shared" si="167"/>
        <v>0</v>
      </c>
      <c r="CH90" s="61"/>
      <c r="CI90" s="62">
        <f t="shared" si="168"/>
        <v>0</v>
      </c>
      <c r="CJ90" s="62">
        <f t="shared" si="169"/>
        <v>0</v>
      </c>
      <c r="CK90" s="62">
        <f t="shared" si="170"/>
        <v>0</v>
      </c>
      <c r="CL90" s="62">
        <f t="shared" si="171"/>
        <v>0</v>
      </c>
      <c r="CM90" s="1166">
        <f t="shared" si="172"/>
        <v>0</v>
      </c>
      <c r="CN90" s="61"/>
      <c r="CO90" s="62">
        <f t="shared" si="173"/>
        <v>0</v>
      </c>
      <c r="CP90" s="62">
        <f t="shared" si="174"/>
        <v>-13.5</v>
      </c>
      <c r="CQ90" s="62">
        <f t="shared" si="175"/>
        <v>-19.5</v>
      </c>
      <c r="CR90" s="62">
        <f t="shared" si="176"/>
        <v>1.5</v>
      </c>
      <c r="CS90" s="1166">
        <f t="shared" si="177"/>
        <v>-31.5</v>
      </c>
      <c r="CT90" s="61"/>
      <c r="CU90" s="62">
        <f t="shared" si="178"/>
        <v>-9.9</v>
      </c>
      <c r="CV90" s="62">
        <f t="shared" si="222"/>
        <v>-18.200000000000003</v>
      </c>
      <c r="CW90" s="62">
        <f t="shared" si="179"/>
        <v>0.70000000000000284</v>
      </c>
      <c r="CX90" s="62">
        <f t="shared" si="180"/>
        <v>14.499999999999998</v>
      </c>
      <c r="CY90" s="1166">
        <f t="shared" si="181"/>
        <v>-12.9</v>
      </c>
      <c r="CZ90" s="61"/>
      <c r="DA90" s="62">
        <f t="shared" si="182"/>
        <v>-9</v>
      </c>
      <c r="DB90" s="62">
        <f t="shared" si="183"/>
        <v>5.8</v>
      </c>
      <c r="DC90" s="62">
        <f t="shared" si="184"/>
        <v>4</v>
      </c>
      <c r="DD90" s="62">
        <f t="shared" si="185"/>
        <v>-9.9</v>
      </c>
      <c r="DE90" s="1166">
        <f t="shared" si="186"/>
        <v>-9.1000000000000014</v>
      </c>
      <c r="DF90" s="61"/>
      <c r="DG90" s="62">
        <f t="shared" si="187"/>
        <v>0</v>
      </c>
      <c r="DH90" s="62">
        <f t="shared" si="188"/>
        <v>0</v>
      </c>
      <c r="DI90" s="62">
        <f t="shared" si="189"/>
        <v>0</v>
      </c>
      <c r="DJ90" s="62">
        <f t="shared" si="190"/>
        <v>-0.5</v>
      </c>
      <c r="DK90" s="1166">
        <f t="shared" si="191"/>
        <v>-0.5</v>
      </c>
      <c r="DL90" s="61"/>
      <c r="DM90" s="62">
        <f t="shared" si="192"/>
        <v>-5.3</v>
      </c>
      <c r="DN90" s="62">
        <f>IF(DN15="-","-",SUM(DN15)-SUM(DM15))</f>
        <v>203.20000000000002</v>
      </c>
      <c r="DO90" s="62">
        <f>IF(DO15="-","-",SUM(DO15)-SUM(DN15))</f>
        <v>-197.9</v>
      </c>
      <c r="DP90" s="62">
        <f t="shared" si="195"/>
        <v>0</v>
      </c>
      <c r="DQ90" s="1166">
        <f t="shared" si="196"/>
        <v>0</v>
      </c>
      <c r="DR90" s="61"/>
      <c r="DS90" s="62">
        <f t="shared" si="197"/>
        <v>6.2</v>
      </c>
      <c r="DT90" s="62">
        <f t="shared" si="198"/>
        <v>-15.399999999999999</v>
      </c>
      <c r="DU90" s="62">
        <f t="shared" si="199"/>
        <v>-30.400000000000002</v>
      </c>
      <c r="DV90" s="62">
        <f t="shared" si="200"/>
        <v>39.6</v>
      </c>
      <c r="DW90" s="1166">
        <f t="shared" si="201"/>
        <v>0</v>
      </c>
      <c r="DX90" s="61"/>
      <c r="DY90" s="62">
        <f t="shared" si="202"/>
        <v>0</v>
      </c>
      <c r="DZ90" s="62">
        <f t="shared" si="203"/>
        <v>5.8</v>
      </c>
      <c r="EA90" s="62">
        <f t="shared" si="204"/>
        <v>1.5</v>
      </c>
      <c r="EB90" s="62">
        <f t="shared" si="205"/>
        <v>-7.3</v>
      </c>
      <c r="EC90" s="1166">
        <f t="shared" si="206"/>
        <v>0</v>
      </c>
      <c r="ED90" s="61"/>
      <c r="EE90" s="62">
        <f t="shared" si="207"/>
        <v>0</v>
      </c>
      <c r="EF90" s="62">
        <f t="shared" si="208"/>
        <v>0</v>
      </c>
      <c r="EG90" s="62">
        <f t="shared" si="209"/>
        <v>0</v>
      </c>
      <c r="EH90" s="62">
        <f t="shared" si="210"/>
        <v>0</v>
      </c>
      <c r="EI90" s="1166">
        <f t="shared" si="211"/>
        <v>0</v>
      </c>
      <c r="EJ90" s="61"/>
      <c r="EK90" s="62">
        <f t="shared" si="212"/>
        <v>0</v>
      </c>
      <c r="EL90" s="62">
        <f t="shared" si="213"/>
        <v>0</v>
      </c>
      <c r="EM90" s="62">
        <f t="shared" si="214"/>
        <v>0</v>
      </c>
      <c r="EN90" s="62">
        <f t="shared" si="215"/>
        <v>0</v>
      </c>
      <c r="EO90" s="1166">
        <f t="shared" si="216"/>
        <v>0</v>
      </c>
      <c r="EP90" s="61"/>
      <c r="EQ90" s="62">
        <f t="shared" si="217"/>
        <v>0</v>
      </c>
      <c r="ER90" s="62">
        <f t="shared" si="218"/>
        <v>0</v>
      </c>
      <c r="ES90" s="62">
        <f t="shared" si="219"/>
        <v>0</v>
      </c>
      <c r="ET90" s="62">
        <f t="shared" si="220"/>
        <v>0</v>
      </c>
      <c r="EU90" s="1166">
        <f t="shared" si="221"/>
        <v>0</v>
      </c>
      <c r="EV90" s="45"/>
      <c r="EW90" s="45"/>
      <c r="FD90" s="45"/>
      <c r="FE90" s="45"/>
      <c r="FF90" s="45"/>
      <c r="FG90" s="45"/>
      <c r="FH90" s="45"/>
      <c r="FI90" s="45"/>
      <c r="FJ90" s="45"/>
      <c r="FK90" s="45"/>
      <c r="FL90" s="45"/>
      <c r="FM90" s="45"/>
      <c r="FN90" s="45"/>
      <c r="FO90" s="45"/>
      <c r="FP90" s="45"/>
    </row>
    <row r="91" spans="1:172">
      <c r="A91" s="41" t="s">
        <v>486</v>
      </c>
      <c r="B91" s="42"/>
      <c r="C91" s="61"/>
      <c r="D91" s="61"/>
      <c r="E91" s="61"/>
      <c r="F91" s="61"/>
      <c r="G91" s="363"/>
      <c r="H91" s="61"/>
      <c r="I91" s="61"/>
      <c r="J91" s="61"/>
      <c r="K91" s="61"/>
      <c r="L91" s="61"/>
      <c r="M91" s="363"/>
      <c r="N91" s="61"/>
      <c r="O91" s="62">
        <f t="shared" si="127"/>
        <v>0</v>
      </c>
      <c r="P91" s="62">
        <f t="shared" si="128"/>
        <v>0</v>
      </c>
      <c r="Q91" s="62">
        <f t="shared" si="128"/>
        <v>0</v>
      </c>
      <c r="R91" s="62">
        <f t="shared" si="128"/>
        <v>0</v>
      </c>
      <c r="S91" s="62">
        <f t="shared" si="129"/>
        <v>0</v>
      </c>
      <c r="T91" s="61"/>
      <c r="U91" s="62">
        <f t="shared" si="130"/>
        <v>0</v>
      </c>
      <c r="V91" s="62">
        <f t="shared" si="131"/>
        <v>0</v>
      </c>
      <c r="W91" s="62">
        <f t="shared" si="131"/>
        <v>0</v>
      </c>
      <c r="X91" s="62">
        <f t="shared" si="131"/>
        <v>0</v>
      </c>
      <c r="Y91" s="62">
        <f t="shared" si="132"/>
        <v>0</v>
      </c>
      <c r="Z91" s="61"/>
      <c r="AA91" s="62">
        <f t="shared" si="133"/>
        <v>0</v>
      </c>
      <c r="AB91" s="62">
        <f t="shared" si="134"/>
        <v>0</v>
      </c>
      <c r="AC91" s="62">
        <f t="shared" si="134"/>
        <v>0</v>
      </c>
      <c r="AD91" s="62">
        <f t="shared" si="134"/>
        <v>0</v>
      </c>
      <c r="AE91" s="62">
        <f t="shared" si="135"/>
        <v>0</v>
      </c>
      <c r="AF91" s="61"/>
      <c r="AG91" s="62">
        <f t="shared" si="136"/>
        <v>0</v>
      </c>
      <c r="AH91" s="62">
        <f t="shared" si="137"/>
        <v>0</v>
      </c>
      <c r="AI91" s="62">
        <f t="shared" si="137"/>
        <v>0</v>
      </c>
      <c r="AJ91" s="62">
        <f t="shared" si="137"/>
        <v>0</v>
      </c>
      <c r="AK91" s="62">
        <f t="shared" si="138"/>
        <v>0</v>
      </c>
      <c r="AL91" s="61"/>
      <c r="AM91" s="62">
        <f t="shared" si="139"/>
        <v>0</v>
      </c>
      <c r="AN91" s="62">
        <f t="shared" si="140"/>
        <v>0</v>
      </c>
      <c r="AO91" s="62">
        <f t="shared" si="140"/>
        <v>0</v>
      </c>
      <c r="AP91" s="62">
        <f>IF(AP16="-","-",SUM(AP16)-SUM(AO16))</f>
        <v>17.332999999999998</v>
      </c>
      <c r="AQ91" s="62">
        <f t="shared" si="141"/>
        <v>17.332999999999998</v>
      </c>
      <c r="AR91" s="61"/>
      <c r="AS91" s="62">
        <f t="shared" si="142"/>
        <v>0</v>
      </c>
      <c r="AT91" s="62">
        <f t="shared" si="143"/>
        <v>0</v>
      </c>
      <c r="AU91" s="62">
        <f t="shared" si="143"/>
        <v>0</v>
      </c>
      <c r="AV91" s="62">
        <f t="shared" si="143"/>
        <v>3.1829999999999998</v>
      </c>
      <c r="AW91" s="62">
        <f t="shared" si="144"/>
        <v>3.1829999999999998</v>
      </c>
      <c r="AX91" s="61"/>
      <c r="AY91" s="62">
        <f t="shared" si="145"/>
        <v>4.3</v>
      </c>
      <c r="AZ91" s="62">
        <f t="shared" si="146"/>
        <v>1.2999999999999998</v>
      </c>
      <c r="BA91" s="62">
        <f t="shared" si="146"/>
        <v>-0.79999999999999982</v>
      </c>
      <c r="BB91" s="62">
        <f t="shared" si="147"/>
        <v>4.3999999999999995</v>
      </c>
      <c r="BC91" s="62">
        <f t="shared" si="148"/>
        <v>9.1999999999999993</v>
      </c>
      <c r="BD91" s="61"/>
      <c r="BE91" s="62">
        <f t="shared" si="149"/>
        <v>0</v>
      </c>
      <c r="BF91" s="62">
        <f t="shared" si="150"/>
        <v>0</v>
      </c>
      <c r="BG91" s="62">
        <f t="shared" si="150"/>
        <v>0</v>
      </c>
      <c r="BH91" s="62">
        <f t="shared" si="150"/>
        <v>0</v>
      </c>
      <c r="BI91" s="62">
        <f t="shared" si="151"/>
        <v>0</v>
      </c>
      <c r="BJ91" s="61"/>
      <c r="BK91" s="62">
        <f t="shared" si="152"/>
        <v>0</v>
      </c>
      <c r="BL91" s="62">
        <f t="shared" si="153"/>
        <v>1.1000000000000001</v>
      </c>
      <c r="BM91" s="62">
        <f t="shared" si="153"/>
        <v>0</v>
      </c>
      <c r="BN91" s="62">
        <f t="shared" si="153"/>
        <v>0</v>
      </c>
      <c r="BO91" s="1166">
        <f t="shared" si="154"/>
        <v>1.1000000000000001</v>
      </c>
      <c r="BP91" s="61"/>
      <c r="BQ91" s="62">
        <f t="shared" si="155"/>
        <v>0</v>
      </c>
      <c r="BR91" s="62">
        <f t="shared" si="156"/>
        <v>0</v>
      </c>
      <c r="BS91" s="62">
        <f t="shared" si="156"/>
        <v>0</v>
      </c>
      <c r="BT91" s="62">
        <f t="shared" si="156"/>
        <v>0</v>
      </c>
      <c r="BU91" s="1166">
        <f t="shared" si="157"/>
        <v>0</v>
      </c>
      <c r="BV91" s="61"/>
      <c r="BW91" s="62">
        <f t="shared" si="158"/>
        <v>0</v>
      </c>
      <c r="BX91" s="62">
        <f t="shared" si="159"/>
        <v>0</v>
      </c>
      <c r="BY91" s="62">
        <f t="shared" si="160"/>
        <v>0</v>
      </c>
      <c r="BZ91" s="62">
        <f t="shared" si="161"/>
        <v>38.9</v>
      </c>
      <c r="CA91" s="1416">
        <f t="shared" si="162"/>
        <v>38.9</v>
      </c>
      <c r="CB91" s="61"/>
      <c r="CC91" s="62">
        <f t="shared" si="163"/>
        <v>16.5</v>
      </c>
      <c r="CD91" s="62">
        <f t="shared" si="164"/>
        <v>26.4</v>
      </c>
      <c r="CE91" s="62">
        <f t="shared" si="165"/>
        <v>4.8999999999999986</v>
      </c>
      <c r="CF91" s="62">
        <f t="shared" si="166"/>
        <v>0.40000000000000568</v>
      </c>
      <c r="CG91" s="1166">
        <f t="shared" si="167"/>
        <v>48.2</v>
      </c>
      <c r="CH91" s="61"/>
      <c r="CI91" s="62">
        <f t="shared" si="168"/>
        <v>7.1</v>
      </c>
      <c r="CJ91" s="62">
        <f t="shared" si="169"/>
        <v>1.9000000000000004</v>
      </c>
      <c r="CK91" s="62">
        <f t="shared" si="170"/>
        <v>0</v>
      </c>
      <c r="CL91" s="62">
        <f t="shared" si="171"/>
        <v>1.8000000000000007</v>
      </c>
      <c r="CM91" s="1166">
        <f t="shared" si="172"/>
        <v>10.8</v>
      </c>
      <c r="CN91" s="61"/>
      <c r="CO91" s="62">
        <f t="shared" si="173"/>
        <v>0</v>
      </c>
      <c r="CP91" s="62">
        <f t="shared" si="174"/>
        <v>-1.3</v>
      </c>
      <c r="CQ91" s="62">
        <f t="shared" si="175"/>
        <v>0</v>
      </c>
      <c r="CR91" s="62">
        <f t="shared" si="176"/>
        <v>0</v>
      </c>
      <c r="CS91" s="1166">
        <f t="shared" si="177"/>
        <v>-1.3</v>
      </c>
      <c r="CT91" s="61"/>
      <c r="CU91" s="62">
        <f t="shared" si="178"/>
        <v>0</v>
      </c>
      <c r="CV91" s="62">
        <f t="shared" si="222"/>
        <v>0</v>
      </c>
      <c r="CW91" s="62">
        <f t="shared" si="179"/>
        <v>35.200000000000003</v>
      </c>
      <c r="CX91" s="62">
        <f t="shared" si="180"/>
        <v>8.6999999999999957</v>
      </c>
      <c r="CY91" s="1166">
        <f t="shared" si="181"/>
        <v>43.9</v>
      </c>
      <c r="CZ91" s="61"/>
      <c r="DA91" s="62">
        <f t="shared" si="182"/>
        <v>0.4</v>
      </c>
      <c r="DB91" s="62">
        <f t="shared" si="183"/>
        <v>1.7000000000000002</v>
      </c>
      <c r="DC91" s="62">
        <f t="shared" si="184"/>
        <v>4.4000000000000004</v>
      </c>
      <c r="DD91" s="62">
        <f t="shared" si="185"/>
        <v>6.3000000000000007</v>
      </c>
      <c r="DE91" s="1166">
        <f t="shared" si="186"/>
        <v>12.8</v>
      </c>
      <c r="DF91" s="61"/>
      <c r="DG91" s="62">
        <f t="shared" si="187"/>
        <v>2.2999999999999998</v>
      </c>
      <c r="DH91" s="62">
        <f t="shared" si="188"/>
        <v>0.80000000000000027</v>
      </c>
      <c r="DI91" s="62">
        <f t="shared" si="189"/>
        <v>0</v>
      </c>
      <c r="DJ91" s="62">
        <f t="shared" si="190"/>
        <v>0</v>
      </c>
      <c r="DK91" s="1166">
        <f t="shared" si="191"/>
        <v>3.1</v>
      </c>
      <c r="DL91" s="61"/>
      <c r="DM91" s="62">
        <f t="shared" si="192"/>
        <v>0</v>
      </c>
      <c r="DN91" s="62">
        <f t="shared" si="193"/>
        <v>0</v>
      </c>
      <c r="DO91" s="62">
        <f t="shared" si="194"/>
        <v>0</v>
      </c>
      <c r="DP91" s="62">
        <f t="shared" si="195"/>
        <v>0</v>
      </c>
      <c r="DQ91" s="1166">
        <f t="shared" si="196"/>
        <v>0</v>
      </c>
      <c r="DR91" s="61"/>
      <c r="DS91" s="62">
        <f t="shared" si="197"/>
        <v>52.3</v>
      </c>
      <c r="DT91" s="62">
        <f t="shared" si="198"/>
        <v>16</v>
      </c>
      <c r="DU91" s="62">
        <f t="shared" si="199"/>
        <v>3.2000000000000028</v>
      </c>
      <c r="DV91" s="62">
        <f t="shared" si="200"/>
        <v>9</v>
      </c>
      <c r="DW91" s="1166">
        <f t="shared" si="201"/>
        <v>80.5</v>
      </c>
      <c r="DX91" s="61"/>
      <c r="DY91" s="62">
        <f t="shared" si="202"/>
        <v>-0.3</v>
      </c>
      <c r="DZ91" s="62">
        <f t="shared" si="203"/>
        <v>0.5</v>
      </c>
      <c r="EA91" s="62">
        <f t="shared" si="204"/>
        <v>0</v>
      </c>
      <c r="EB91" s="62">
        <f t="shared" si="205"/>
        <v>93.899999999999991</v>
      </c>
      <c r="EC91" s="1166">
        <f t="shared" si="206"/>
        <v>94.1</v>
      </c>
      <c r="ED91" s="61"/>
      <c r="EE91" s="62">
        <f t="shared" si="207"/>
        <v>18.259999999999998</v>
      </c>
      <c r="EF91" s="62">
        <f t="shared" si="208"/>
        <v>0</v>
      </c>
      <c r="EG91" s="62">
        <f t="shared" si="209"/>
        <v>17.600000000000001</v>
      </c>
      <c r="EH91" s="62">
        <f t="shared" si="210"/>
        <v>2.1499999999999986</v>
      </c>
      <c r="EI91" s="1166">
        <f t="shared" si="211"/>
        <v>38.01</v>
      </c>
      <c r="EJ91" s="61"/>
      <c r="EK91" s="62">
        <f t="shared" si="212"/>
        <v>0</v>
      </c>
      <c r="EL91" s="62">
        <f t="shared" si="213"/>
        <v>0</v>
      </c>
      <c r="EM91" s="62">
        <f t="shared" si="214"/>
        <v>0</v>
      </c>
      <c r="EN91" s="62">
        <f t="shared" si="215"/>
        <v>0</v>
      </c>
      <c r="EO91" s="1166">
        <f t="shared" si="216"/>
        <v>0</v>
      </c>
      <c r="EP91" s="61"/>
      <c r="EQ91" s="62">
        <f t="shared" si="217"/>
        <v>0</v>
      </c>
      <c r="ER91" s="62">
        <f t="shared" si="218"/>
        <v>0</v>
      </c>
      <c r="ES91" s="62">
        <f t="shared" si="219"/>
        <v>0</v>
      </c>
      <c r="ET91" s="62">
        <f t="shared" si="220"/>
        <v>0</v>
      </c>
      <c r="EU91" s="1166">
        <f t="shared" si="221"/>
        <v>0</v>
      </c>
      <c r="EV91" s="45"/>
      <c r="EW91" s="45"/>
      <c r="FD91" s="45"/>
      <c r="FE91" s="45"/>
      <c r="FF91" s="45"/>
      <c r="FG91" s="45"/>
      <c r="FH91" s="45"/>
      <c r="FI91" s="45"/>
      <c r="FJ91" s="45"/>
      <c r="FK91" s="45"/>
      <c r="FL91" s="45"/>
      <c r="FM91" s="45"/>
      <c r="FN91" s="45"/>
      <c r="FO91" s="45"/>
      <c r="FP91" s="45"/>
    </row>
    <row r="92" spans="1:172" hidden="1">
      <c r="A92" s="41" t="s">
        <v>6040</v>
      </c>
      <c r="B92" s="61"/>
      <c r="C92" s="61"/>
      <c r="D92" s="61"/>
      <c r="E92" s="61"/>
      <c r="F92" s="61"/>
      <c r="G92" s="363"/>
      <c r="H92" s="61"/>
      <c r="I92" s="61"/>
      <c r="J92" s="61"/>
      <c r="K92" s="61"/>
      <c r="L92" s="61"/>
      <c r="M92" s="363"/>
      <c r="N92" s="61"/>
      <c r="O92" s="62">
        <f t="shared" si="127"/>
        <v>0</v>
      </c>
      <c r="P92" s="62">
        <f t="shared" si="128"/>
        <v>0</v>
      </c>
      <c r="Q92" s="62">
        <f t="shared" si="128"/>
        <v>0</v>
      </c>
      <c r="R92" s="62">
        <f t="shared" si="128"/>
        <v>0</v>
      </c>
      <c r="S92" s="62">
        <f t="shared" si="129"/>
        <v>0</v>
      </c>
      <c r="T92" s="61"/>
      <c r="U92" s="62">
        <f t="shared" si="130"/>
        <v>0</v>
      </c>
      <c r="V92" s="62">
        <f t="shared" si="131"/>
        <v>0</v>
      </c>
      <c r="W92" s="62">
        <f t="shared" si="131"/>
        <v>0</v>
      </c>
      <c r="X92" s="62">
        <f t="shared" si="131"/>
        <v>0</v>
      </c>
      <c r="Y92" s="62">
        <f t="shared" si="132"/>
        <v>0</v>
      </c>
      <c r="Z92" s="61"/>
      <c r="AA92" s="62">
        <f t="shared" si="133"/>
        <v>2.2450000000000001</v>
      </c>
      <c r="AB92" s="62">
        <f t="shared" si="134"/>
        <v>5.3140000000000001</v>
      </c>
      <c r="AC92" s="62">
        <f t="shared" si="134"/>
        <v>5.8959999999999999</v>
      </c>
      <c r="AD92" s="62">
        <f t="shared" si="134"/>
        <v>2.8340000000000014</v>
      </c>
      <c r="AE92" s="62">
        <f t="shared" si="135"/>
        <v>16.289000000000001</v>
      </c>
      <c r="AF92" s="61"/>
      <c r="AG92" s="62">
        <f t="shared" si="136"/>
        <v>1.2110000000000001</v>
      </c>
      <c r="AH92" s="62">
        <f t="shared" si="137"/>
        <v>0</v>
      </c>
      <c r="AI92" s="62">
        <f t="shared" si="137"/>
        <v>0</v>
      </c>
      <c r="AJ92" s="62">
        <f t="shared" si="137"/>
        <v>0</v>
      </c>
      <c r="AK92" s="62">
        <f t="shared" si="138"/>
        <v>1.2110000000000001</v>
      </c>
      <c r="AL92" s="61"/>
      <c r="AM92" s="62">
        <f t="shared" si="139"/>
        <v>0</v>
      </c>
      <c r="AN92" s="62">
        <f t="shared" si="140"/>
        <v>0</v>
      </c>
      <c r="AO92" s="62">
        <f t="shared" si="140"/>
        <v>0</v>
      </c>
      <c r="AP92" s="62">
        <f t="shared" si="140"/>
        <v>0</v>
      </c>
      <c r="AQ92" s="62">
        <f t="shared" si="141"/>
        <v>0</v>
      </c>
      <c r="AR92" s="61"/>
      <c r="AS92" s="62">
        <f t="shared" si="142"/>
        <v>0</v>
      </c>
      <c r="AT92" s="62">
        <f t="shared" si="143"/>
        <v>0</v>
      </c>
      <c r="AU92" s="62">
        <f t="shared" si="143"/>
        <v>0</v>
      </c>
      <c r="AV92" s="62">
        <f t="shared" si="143"/>
        <v>0</v>
      </c>
      <c r="AW92" s="62">
        <f t="shared" si="144"/>
        <v>0</v>
      </c>
      <c r="AX92" s="61"/>
      <c r="AY92" s="62">
        <f t="shared" si="145"/>
        <v>0</v>
      </c>
      <c r="AZ92" s="62">
        <f t="shared" si="146"/>
        <v>0</v>
      </c>
      <c r="BA92" s="62">
        <f t="shared" si="146"/>
        <v>0</v>
      </c>
      <c r="BB92" s="62">
        <f t="shared" si="147"/>
        <v>0</v>
      </c>
      <c r="BC92" s="62">
        <f t="shared" si="148"/>
        <v>0</v>
      </c>
      <c r="BD92" s="61"/>
      <c r="BE92" s="62">
        <f t="shared" si="149"/>
        <v>0</v>
      </c>
      <c r="BF92" s="62">
        <f t="shared" si="150"/>
        <v>0</v>
      </c>
      <c r="BG92" s="62">
        <f t="shared" si="150"/>
        <v>0</v>
      </c>
      <c r="BH92" s="62">
        <f t="shared" si="150"/>
        <v>0</v>
      </c>
      <c r="BI92" s="62">
        <f t="shared" si="151"/>
        <v>0</v>
      </c>
      <c r="BJ92" s="61"/>
      <c r="BK92" s="62">
        <f t="shared" si="152"/>
        <v>0</v>
      </c>
      <c r="BL92" s="62">
        <f t="shared" si="153"/>
        <v>0</v>
      </c>
      <c r="BM92" s="62">
        <f t="shared" si="153"/>
        <v>0</v>
      </c>
      <c r="BN92" s="62">
        <f t="shared" si="153"/>
        <v>0</v>
      </c>
      <c r="BO92" s="1166">
        <f t="shared" si="154"/>
        <v>0</v>
      </c>
      <c r="BP92" s="61"/>
      <c r="BQ92" s="62">
        <f t="shared" si="155"/>
        <v>0</v>
      </c>
      <c r="BR92" s="62">
        <f t="shared" si="156"/>
        <v>0</v>
      </c>
      <c r="BS92" s="62">
        <f t="shared" si="156"/>
        <v>0</v>
      </c>
      <c r="BT92" s="62">
        <f t="shared" si="156"/>
        <v>0</v>
      </c>
      <c r="BU92" s="1166">
        <f t="shared" si="157"/>
        <v>0</v>
      </c>
      <c r="BV92" s="61"/>
      <c r="BW92" s="62">
        <f t="shared" si="158"/>
        <v>0</v>
      </c>
      <c r="BX92" s="62">
        <f t="shared" si="159"/>
        <v>0</v>
      </c>
      <c r="BY92" s="62">
        <f t="shared" si="160"/>
        <v>0</v>
      </c>
      <c r="BZ92" s="62">
        <f t="shared" si="161"/>
        <v>0</v>
      </c>
      <c r="CA92" s="1416">
        <f t="shared" si="162"/>
        <v>0</v>
      </c>
      <c r="CB92" s="61"/>
      <c r="CC92" s="62">
        <f t="shared" si="163"/>
        <v>0</v>
      </c>
      <c r="CD92" s="62">
        <f t="shared" si="164"/>
        <v>0</v>
      </c>
      <c r="CE92" s="62">
        <f t="shared" si="165"/>
        <v>0</v>
      </c>
      <c r="CF92" s="62">
        <f t="shared" si="166"/>
        <v>0</v>
      </c>
      <c r="CG92" s="1166">
        <f t="shared" si="167"/>
        <v>0</v>
      </c>
      <c r="CH92" s="61"/>
      <c r="CI92" s="62">
        <f t="shared" si="168"/>
        <v>0</v>
      </c>
      <c r="CJ92" s="62">
        <f t="shared" si="169"/>
        <v>0</v>
      </c>
      <c r="CK92" s="62">
        <f t="shared" si="170"/>
        <v>0</v>
      </c>
      <c r="CL92" s="62">
        <f t="shared" si="171"/>
        <v>0</v>
      </c>
      <c r="CM92" s="1166">
        <f t="shared" si="172"/>
        <v>0</v>
      </c>
      <c r="CN92" s="61"/>
      <c r="CO92" s="62">
        <f t="shared" si="173"/>
        <v>0</v>
      </c>
      <c r="CP92" s="62">
        <f t="shared" si="174"/>
        <v>0</v>
      </c>
      <c r="CQ92" s="62">
        <f t="shared" si="175"/>
        <v>0</v>
      </c>
      <c r="CR92" s="62">
        <f t="shared" si="176"/>
        <v>0</v>
      </c>
      <c r="CS92" s="1166">
        <f t="shared" si="177"/>
        <v>0</v>
      </c>
      <c r="CT92" s="61"/>
      <c r="CU92" s="62">
        <f t="shared" si="178"/>
        <v>0</v>
      </c>
      <c r="CV92" s="62">
        <f t="shared" si="222"/>
        <v>0</v>
      </c>
      <c r="CW92" s="62">
        <f t="shared" si="179"/>
        <v>0</v>
      </c>
      <c r="CX92" s="62">
        <f t="shared" si="180"/>
        <v>0</v>
      </c>
      <c r="CY92" s="1166">
        <f t="shared" si="181"/>
        <v>0</v>
      </c>
      <c r="CZ92" s="61"/>
      <c r="DA92" s="62">
        <f t="shared" si="182"/>
        <v>0</v>
      </c>
      <c r="DB92" s="62">
        <f t="shared" si="183"/>
        <v>0</v>
      </c>
      <c r="DC92" s="62">
        <f t="shared" si="184"/>
        <v>0</v>
      </c>
      <c r="DD92" s="62">
        <f t="shared" si="185"/>
        <v>0</v>
      </c>
      <c r="DE92" s="1166">
        <f t="shared" si="186"/>
        <v>0</v>
      </c>
      <c r="DF92" s="61"/>
      <c r="DG92" s="62">
        <f t="shared" si="187"/>
        <v>0</v>
      </c>
      <c r="DH92" s="62">
        <f t="shared" si="188"/>
        <v>0</v>
      </c>
      <c r="DI92" s="62">
        <f t="shared" si="189"/>
        <v>0</v>
      </c>
      <c r="DJ92" s="62">
        <f t="shared" si="190"/>
        <v>0</v>
      </c>
      <c r="DK92" s="1166">
        <f t="shared" si="191"/>
        <v>0</v>
      </c>
      <c r="DL92" s="61"/>
      <c r="DM92" s="62">
        <f t="shared" si="192"/>
        <v>0</v>
      </c>
      <c r="DN92" s="62">
        <f t="shared" si="193"/>
        <v>0</v>
      </c>
      <c r="DO92" s="62">
        <f t="shared" si="194"/>
        <v>0</v>
      </c>
      <c r="DP92" s="62">
        <f t="shared" si="195"/>
        <v>0</v>
      </c>
      <c r="DQ92" s="1166">
        <f t="shared" si="196"/>
        <v>0</v>
      </c>
      <c r="DR92" s="61"/>
      <c r="DS92" s="62">
        <f t="shared" si="197"/>
        <v>0</v>
      </c>
      <c r="DT92" s="62">
        <f t="shared" si="198"/>
        <v>0</v>
      </c>
      <c r="DU92" s="62">
        <f t="shared" si="199"/>
        <v>0</v>
      </c>
      <c r="DV92" s="62">
        <f t="shared" si="200"/>
        <v>0</v>
      </c>
      <c r="DW92" s="1166">
        <f t="shared" si="201"/>
        <v>0</v>
      </c>
      <c r="DX92" s="61"/>
      <c r="DY92" s="62">
        <f t="shared" si="202"/>
        <v>0</v>
      </c>
      <c r="DZ92" s="62">
        <f t="shared" si="203"/>
        <v>0</v>
      </c>
      <c r="EA92" s="62">
        <f t="shared" si="204"/>
        <v>0</v>
      </c>
      <c r="EB92" s="62">
        <f t="shared" si="205"/>
        <v>0</v>
      </c>
      <c r="EC92" s="1166">
        <f t="shared" si="206"/>
        <v>0</v>
      </c>
      <c r="ED92" s="61"/>
      <c r="EE92" s="62">
        <f t="shared" si="207"/>
        <v>0</v>
      </c>
      <c r="EF92" s="62">
        <f t="shared" si="208"/>
        <v>0</v>
      </c>
      <c r="EG92" s="62">
        <f t="shared" si="209"/>
        <v>0</v>
      </c>
      <c r="EH92" s="62">
        <f t="shared" si="210"/>
        <v>0</v>
      </c>
      <c r="EI92" s="1166">
        <f t="shared" si="211"/>
        <v>0</v>
      </c>
      <c r="EJ92" s="61"/>
      <c r="EK92" s="62">
        <f t="shared" si="212"/>
        <v>0</v>
      </c>
      <c r="EL92" s="62">
        <f t="shared" si="213"/>
        <v>0</v>
      </c>
      <c r="EM92" s="62">
        <f t="shared" si="214"/>
        <v>0</v>
      </c>
      <c r="EN92" s="62">
        <f t="shared" si="215"/>
        <v>0</v>
      </c>
      <c r="EO92" s="1166">
        <f t="shared" si="216"/>
        <v>0</v>
      </c>
      <c r="EP92" s="61"/>
      <c r="EQ92" s="62">
        <f t="shared" si="217"/>
        <v>0</v>
      </c>
      <c r="ER92" s="62">
        <f t="shared" si="218"/>
        <v>0</v>
      </c>
      <c r="ES92" s="62">
        <f t="shared" si="219"/>
        <v>0</v>
      </c>
      <c r="ET92" s="62">
        <f t="shared" si="220"/>
        <v>0</v>
      </c>
      <c r="EU92" s="1166">
        <f t="shared" si="221"/>
        <v>0</v>
      </c>
      <c r="EV92" s="45"/>
      <c r="EW92" s="45"/>
      <c r="FD92" s="45"/>
      <c r="FE92" s="45"/>
      <c r="FF92" s="45"/>
      <c r="FG92" s="45"/>
      <c r="FH92" s="45"/>
      <c r="FI92" s="45"/>
      <c r="FJ92" s="45"/>
      <c r="FK92" s="45"/>
      <c r="FL92" s="45"/>
      <c r="FM92" s="45"/>
      <c r="FN92" s="45"/>
      <c r="FO92" s="45"/>
      <c r="FP92" s="45"/>
    </row>
    <row r="93" spans="1:172" hidden="1">
      <c r="A93" s="41" t="s">
        <v>4684</v>
      </c>
      <c r="B93" s="42"/>
      <c r="C93" s="61"/>
      <c r="D93" s="61"/>
      <c r="E93" s="61"/>
      <c r="F93" s="61"/>
      <c r="G93" s="363"/>
      <c r="H93" s="61"/>
      <c r="I93" s="61"/>
      <c r="J93" s="61"/>
      <c r="K93" s="61"/>
      <c r="L93" s="61"/>
      <c r="M93" s="363"/>
      <c r="N93" s="61"/>
      <c r="O93" s="62">
        <f t="shared" si="127"/>
        <v>0</v>
      </c>
      <c r="P93" s="62">
        <f t="shared" si="128"/>
        <v>0</v>
      </c>
      <c r="Q93" s="62">
        <f t="shared" si="128"/>
        <v>0</v>
      </c>
      <c r="R93" s="62">
        <f t="shared" si="128"/>
        <v>0</v>
      </c>
      <c r="S93" s="62">
        <f t="shared" si="129"/>
        <v>0</v>
      </c>
      <c r="T93" s="61"/>
      <c r="U93" s="62">
        <f t="shared" si="130"/>
        <v>0</v>
      </c>
      <c r="V93" s="62">
        <f t="shared" si="131"/>
        <v>0</v>
      </c>
      <c r="W93" s="62">
        <f t="shared" si="131"/>
        <v>0</v>
      </c>
      <c r="X93" s="62">
        <f t="shared" si="131"/>
        <v>0</v>
      </c>
      <c r="Y93" s="62">
        <f t="shared" si="132"/>
        <v>0</v>
      </c>
      <c r="Z93" s="61"/>
      <c r="AA93" s="62">
        <f t="shared" si="133"/>
        <v>0</v>
      </c>
      <c r="AB93" s="62">
        <f t="shared" si="134"/>
        <v>0</v>
      </c>
      <c r="AC93" s="62">
        <f t="shared" si="134"/>
        <v>0</v>
      </c>
      <c r="AD93" s="62">
        <f t="shared" si="134"/>
        <v>0</v>
      </c>
      <c r="AE93" s="62">
        <f t="shared" si="135"/>
        <v>0</v>
      </c>
      <c r="AF93" s="61"/>
      <c r="AG93" s="62">
        <f t="shared" si="136"/>
        <v>0.71099999999999997</v>
      </c>
      <c r="AH93" s="62">
        <f t="shared" si="137"/>
        <v>0.70000000000000007</v>
      </c>
      <c r="AI93" s="62">
        <f t="shared" si="137"/>
        <v>0.60000000000000009</v>
      </c>
      <c r="AJ93" s="62">
        <f t="shared" si="137"/>
        <v>0.85000000000000009</v>
      </c>
      <c r="AK93" s="62">
        <f t="shared" si="138"/>
        <v>2.8610000000000002</v>
      </c>
      <c r="AL93" s="61"/>
      <c r="AM93" s="62">
        <f t="shared" si="139"/>
        <v>0.2</v>
      </c>
      <c r="AN93" s="62">
        <f t="shared" si="140"/>
        <v>0</v>
      </c>
      <c r="AO93" s="62">
        <f t="shared" si="140"/>
        <v>1.0920000000000001</v>
      </c>
      <c r="AP93" s="62">
        <f t="shared" si="140"/>
        <v>2.1440000000000001</v>
      </c>
      <c r="AQ93" s="62">
        <f t="shared" si="141"/>
        <v>3.4359999999999999</v>
      </c>
      <c r="AR93" s="61"/>
      <c r="AS93" s="62">
        <f t="shared" si="142"/>
        <v>2.5999999999999999E-2</v>
      </c>
      <c r="AT93" s="62">
        <f t="shared" si="143"/>
        <v>0</v>
      </c>
      <c r="AU93" s="62">
        <f t="shared" si="143"/>
        <v>3.5000000000000003E-2</v>
      </c>
      <c r="AV93" s="62">
        <f t="shared" si="143"/>
        <v>0.53499999999999992</v>
      </c>
      <c r="AW93" s="62">
        <f t="shared" si="144"/>
        <v>0.59599999999999986</v>
      </c>
      <c r="AX93" s="61"/>
      <c r="AY93" s="62">
        <f t="shared" si="145"/>
        <v>0</v>
      </c>
      <c r="AZ93" s="62">
        <f t="shared" si="146"/>
        <v>0</v>
      </c>
      <c r="BA93" s="62">
        <f t="shared" si="146"/>
        <v>0</v>
      </c>
      <c r="BB93" s="62">
        <f t="shared" si="147"/>
        <v>0</v>
      </c>
      <c r="BC93" s="62">
        <f t="shared" si="148"/>
        <v>0</v>
      </c>
      <c r="BD93" s="61"/>
      <c r="BE93" s="62">
        <f t="shared" si="149"/>
        <v>0</v>
      </c>
      <c r="BF93" s="62">
        <f t="shared" si="150"/>
        <v>0</v>
      </c>
      <c r="BG93" s="62">
        <f t="shared" si="150"/>
        <v>0</v>
      </c>
      <c r="BH93" s="62">
        <f t="shared" si="150"/>
        <v>0</v>
      </c>
      <c r="BI93" s="62">
        <f t="shared" si="151"/>
        <v>0</v>
      </c>
      <c r="BJ93" s="61"/>
      <c r="BK93" s="62">
        <f t="shared" si="152"/>
        <v>0</v>
      </c>
      <c r="BL93" s="62">
        <f t="shared" si="153"/>
        <v>0</v>
      </c>
      <c r="BM93" s="62">
        <f t="shared" si="153"/>
        <v>0</v>
      </c>
      <c r="BN93" s="62">
        <f t="shared" si="153"/>
        <v>0</v>
      </c>
      <c r="BO93" s="1166">
        <f t="shared" si="154"/>
        <v>0</v>
      </c>
      <c r="BP93" s="61"/>
      <c r="BQ93" s="62">
        <f t="shared" si="155"/>
        <v>0</v>
      </c>
      <c r="BR93" s="62">
        <f t="shared" si="156"/>
        <v>0</v>
      </c>
      <c r="BS93" s="62">
        <f t="shared" si="156"/>
        <v>0</v>
      </c>
      <c r="BT93" s="62">
        <f t="shared" si="156"/>
        <v>0</v>
      </c>
      <c r="BU93" s="1166">
        <f t="shared" si="157"/>
        <v>0</v>
      </c>
      <c r="BV93" s="61"/>
      <c r="BW93" s="62">
        <f t="shared" si="158"/>
        <v>0</v>
      </c>
      <c r="BX93" s="62">
        <f t="shared" si="159"/>
        <v>0</v>
      </c>
      <c r="BY93" s="62">
        <f t="shared" si="160"/>
        <v>0</v>
      </c>
      <c r="BZ93" s="62">
        <f t="shared" si="161"/>
        <v>0</v>
      </c>
      <c r="CA93" s="1416">
        <f t="shared" si="162"/>
        <v>0</v>
      </c>
      <c r="CB93" s="61"/>
      <c r="CC93" s="62">
        <f t="shared" si="163"/>
        <v>0</v>
      </c>
      <c r="CD93" s="62">
        <f t="shared" si="164"/>
        <v>0</v>
      </c>
      <c r="CE93" s="62">
        <f t="shared" si="165"/>
        <v>0</v>
      </c>
      <c r="CF93" s="62">
        <f t="shared" si="166"/>
        <v>0</v>
      </c>
      <c r="CG93" s="1166">
        <f t="shared" si="167"/>
        <v>0</v>
      </c>
      <c r="CH93" s="61"/>
      <c r="CI93" s="62">
        <f t="shared" si="168"/>
        <v>0</v>
      </c>
      <c r="CJ93" s="62">
        <f t="shared" si="169"/>
        <v>0</v>
      </c>
      <c r="CK93" s="62">
        <f t="shared" si="170"/>
        <v>0</v>
      </c>
      <c r="CL93" s="62">
        <f t="shared" si="171"/>
        <v>0</v>
      </c>
      <c r="CM93" s="1166">
        <f t="shared" si="172"/>
        <v>0</v>
      </c>
      <c r="CN93" s="61"/>
      <c r="CO93" s="62">
        <f t="shared" si="173"/>
        <v>0</v>
      </c>
      <c r="CP93" s="62">
        <f t="shared" si="174"/>
        <v>0</v>
      </c>
      <c r="CQ93" s="62">
        <f t="shared" si="175"/>
        <v>0</v>
      </c>
      <c r="CR93" s="62">
        <f t="shared" si="176"/>
        <v>0</v>
      </c>
      <c r="CS93" s="1166">
        <f t="shared" si="177"/>
        <v>0</v>
      </c>
      <c r="CT93" s="61"/>
      <c r="CU93" s="62">
        <f t="shared" si="178"/>
        <v>0</v>
      </c>
      <c r="CV93" s="62">
        <f t="shared" si="222"/>
        <v>0</v>
      </c>
      <c r="CW93" s="62">
        <f t="shared" si="179"/>
        <v>0</v>
      </c>
      <c r="CX93" s="62">
        <f t="shared" si="180"/>
        <v>0</v>
      </c>
      <c r="CY93" s="1166">
        <f t="shared" si="181"/>
        <v>0</v>
      </c>
      <c r="CZ93" s="61"/>
      <c r="DA93" s="62">
        <f t="shared" si="182"/>
        <v>0</v>
      </c>
      <c r="DB93" s="62">
        <f t="shared" si="183"/>
        <v>0</v>
      </c>
      <c r="DC93" s="62">
        <f t="shared" si="184"/>
        <v>0</v>
      </c>
      <c r="DD93" s="62">
        <f t="shared" si="185"/>
        <v>0</v>
      </c>
      <c r="DE93" s="1166">
        <f t="shared" si="186"/>
        <v>0</v>
      </c>
      <c r="DF93" s="61"/>
      <c r="DG93" s="62">
        <f t="shared" si="187"/>
        <v>0</v>
      </c>
      <c r="DH93" s="62">
        <f t="shared" si="188"/>
        <v>0</v>
      </c>
      <c r="DI93" s="62">
        <f t="shared" si="189"/>
        <v>0</v>
      </c>
      <c r="DJ93" s="62">
        <f t="shared" si="190"/>
        <v>0</v>
      </c>
      <c r="DK93" s="1166">
        <f t="shared" si="191"/>
        <v>0</v>
      </c>
      <c r="DL93" s="61"/>
      <c r="DM93" s="62">
        <f t="shared" si="192"/>
        <v>0</v>
      </c>
      <c r="DN93" s="62">
        <f t="shared" si="193"/>
        <v>0</v>
      </c>
      <c r="DO93" s="62">
        <f t="shared" si="194"/>
        <v>0</v>
      </c>
      <c r="DP93" s="62">
        <f t="shared" si="195"/>
        <v>0</v>
      </c>
      <c r="DQ93" s="1166">
        <f t="shared" si="196"/>
        <v>0</v>
      </c>
      <c r="DR93" s="61"/>
      <c r="DS93" s="62">
        <f t="shared" si="197"/>
        <v>0</v>
      </c>
      <c r="DT93" s="62">
        <f t="shared" si="198"/>
        <v>0</v>
      </c>
      <c r="DU93" s="62">
        <f t="shared" si="199"/>
        <v>0</v>
      </c>
      <c r="DV93" s="62">
        <f t="shared" si="200"/>
        <v>0</v>
      </c>
      <c r="DW93" s="1166">
        <f t="shared" si="201"/>
        <v>0</v>
      </c>
      <c r="DX93" s="61"/>
      <c r="DY93" s="62">
        <f t="shared" si="202"/>
        <v>0</v>
      </c>
      <c r="DZ93" s="62">
        <f t="shared" si="203"/>
        <v>0</v>
      </c>
      <c r="EA93" s="62">
        <f t="shared" si="204"/>
        <v>0</v>
      </c>
      <c r="EB93" s="62">
        <f t="shared" si="205"/>
        <v>0</v>
      </c>
      <c r="EC93" s="1166">
        <f t="shared" si="206"/>
        <v>0</v>
      </c>
      <c r="ED93" s="61"/>
      <c r="EE93" s="62">
        <f t="shared" si="207"/>
        <v>0</v>
      </c>
      <c r="EF93" s="62">
        <f t="shared" si="208"/>
        <v>0</v>
      </c>
      <c r="EG93" s="62">
        <f t="shared" si="209"/>
        <v>0</v>
      </c>
      <c r="EH93" s="62">
        <f t="shared" si="210"/>
        <v>0</v>
      </c>
      <c r="EI93" s="1166">
        <f t="shared" si="211"/>
        <v>0</v>
      </c>
      <c r="EJ93" s="61"/>
      <c r="EK93" s="62">
        <f t="shared" si="212"/>
        <v>0</v>
      </c>
      <c r="EL93" s="62">
        <f t="shared" si="213"/>
        <v>0</v>
      </c>
      <c r="EM93" s="62">
        <f t="shared" si="214"/>
        <v>0</v>
      </c>
      <c r="EN93" s="62">
        <f t="shared" si="215"/>
        <v>0</v>
      </c>
      <c r="EO93" s="1166">
        <f t="shared" si="216"/>
        <v>0</v>
      </c>
      <c r="EP93" s="61"/>
      <c r="EQ93" s="62">
        <f t="shared" si="217"/>
        <v>0</v>
      </c>
      <c r="ER93" s="62">
        <f t="shared" si="218"/>
        <v>0</v>
      </c>
      <c r="ES93" s="62">
        <f t="shared" si="219"/>
        <v>0</v>
      </c>
      <c r="ET93" s="62">
        <f t="shared" si="220"/>
        <v>0</v>
      </c>
      <c r="EU93" s="1166">
        <f t="shared" si="221"/>
        <v>0</v>
      </c>
      <c r="EV93" s="45"/>
      <c r="EW93" s="45"/>
      <c r="FD93" s="45"/>
      <c r="FE93" s="45"/>
      <c r="FF93" s="45"/>
      <c r="FG93" s="45"/>
      <c r="FH93" s="45"/>
      <c r="FI93" s="45"/>
      <c r="FJ93" s="45"/>
      <c r="FK93" s="45"/>
      <c r="FL93" s="45"/>
      <c r="FM93" s="45"/>
      <c r="FN93" s="45"/>
      <c r="FO93" s="45"/>
      <c r="FP93" s="45"/>
    </row>
    <row r="94" spans="1:172">
      <c r="A94" s="41" t="s">
        <v>5186</v>
      </c>
      <c r="B94" s="42"/>
      <c r="C94" s="61"/>
      <c r="D94" s="61"/>
      <c r="E94" s="61"/>
      <c r="F94" s="61"/>
      <c r="G94" s="363"/>
      <c r="H94" s="61"/>
      <c r="I94" s="61"/>
      <c r="J94" s="61"/>
      <c r="K94" s="61"/>
      <c r="L94" s="61"/>
      <c r="M94" s="363"/>
      <c r="N94" s="61"/>
      <c r="O94" s="62">
        <f t="shared" si="127"/>
        <v>0</v>
      </c>
      <c r="P94" s="62">
        <f t="shared" si="128"/>
        <v>13.1</v>
      </c>
      <c r="Q94" s="62">
        <f t="shared" si="128"/>
        <v>0</v>
      </c>
      <c r="R94" s="62">
        <f t="shared" si="128"/>
        <v>0</v>
      </c>
      <c r="S94" s="62">
        <f t="shared" si="129"/>
        <v>13.1</v>
      </c>
      <c r="T94" s="61"/>
      <c r="U94" s="62">
        <f t="shared" si="130"/>
        <v>3.2869999999999999</v>
      </c>
      <c r="V94" s="62">
        <f t="shared" si="131"/>
        <v>0</v>
      </c>
      <c r="W94" s="62">
        <f t="shared" si="131"/>
        <v>0</v>
      </c>
      <c r="X94" s="62">
        <f t="shared" si="131"/>
        <v>0.88300000000000001</v>
      </c>
      <c r="Y94" s="62">
        <f t="shared" si="132"/>
        <v>4.17</v>
      </c>
      <c r="Z94" s="61"/>
      <c r="AA94" s="62">
        <f t="shared" si="133"/>
        <v>0</v>
      </c>
      <c r="AB94" s="62">
        <f t="shared" si="134"/>
        <v>0</v>
      </c>
      <c r="AC94" s="62">
        <f t="shared" si="134"/>
        <v>0</v>
      </c>
      <c r="AD94" s="62">
        <f t="shared" si="134"/>
        <v>0</v>
      </c>
      <c r="AE94" s="62">
        <f t="shared" si="135"/>
        <v>0</v>
      </c>
      <c r="AF94" s="61"/>
      <c r="AG94" s="62">
        <f t="shared" si="136"/>
        <v>0</v>
      </c>
      <c r="AH94" s="62">
        <f t="shared" si="137"/>
        <v>0</v>
      </c>
      <c r="AI94" s="62">
        <f t="shared" si="137"/>
        <v>3.18</v>
      </c>
      <c r="AJ94" s="62">
        <f t="shared" si="137"/>
        <v>0</v>
      </c>
      <c r="AK94" s="62">
        <f t="shared" si="138"/>
        <v>3.18</v>
      </c>
      <c r="AL94" s="61"/>
      <c r="AM94" s="62">
        <f t="shared" si="139"/>
        <v>0</v>
      </c>
      <c r="AN94" s="62">
        <f t="shared" si="140"/>
        <v>0</v>
      </c>
      <c r="AO94" s="62">
        <f t="shared" si="140"/>
        <v>0</v>
      </c>
      <c r="AP94" s="62">
        <f t="shared" si="140"/>
        <v>0</v>
      </c>
      <c r="AQ94" s="62">
        <f t="shared" si="141"/>
        <v>0</v>
      </c>
      <c r="AR94" s="61"/>
      <c r="AS94" s="62">
        <f t="shared" si="142"/>
        <v>0</v>
      </c>
      <c r="AT94" s="62">
        <f t="shared" si="143"/>
        <v>0</v>
      </c>
      <c r="AU94" s="62">
        <f t="shared" si="143"/>
        <v>0</v>
      </c>
      <c r="AV94" s="62">
        <f t="shared" si="143"/>
        <v>0</v>
      </c>
      <c r="AW94" s="62">
        <f t="shared" si="144"/>
        <v>0</v>
      </c>
      <c r="AX94" s="61"/>
      <c r="AY94" s="62">
        <f t="shared" si="145"/>
        <v>0</v>
      </c>
      <c r="AZ94" s="62">
        <f t="shared" si="146"/>
        <v>0</v>
      </c>
      <c r="BA94" s="62">
        <f t="shared" si="146"/>
        <v>0</v>
      </c>
      <c r="BB94" s="62">
        <f t="shared" si="147"/>
        <v>0</v>
      </c>
      <c r="BC94" s="62">
        <f t="shared" si="148"/>
        <v>0</v>
      </c>
      <c r="BD94" s="61"/>
      <c r="BE94" s="62">
        <f t="shared" si="149"/>
        <v>0</v>
      </c>
      <c r="BF94" s="62">
        <f t="shared" si="150"/>
        <v>1.2</v>
      </c>
      <c r="BG94" s="62">
        <f t="shared" si="150"/>
        <v>0</v>
      </c>
      <c r="BH94" s="62">
        <f t="shared" si="150"/>
        <v>7.8999999999999995</v>
      </c>
      <c r="BI94" s="62">
        <f t="shared" si="151"/>
        <v>9.1</v>
      </c>
      <c r="BJ94" s="61"/>
      <c r="BK94" s="62">
        <f t="shared" si="152"/>
        <v>0</v>
      </c>
      <c r="BL94" s="62">
        <f t="shared" si="153"/>
        <v>0</v>
      </c>
      <c r="BM94" s="62">
        <f t="shared" si="153"/>
        <v>0</v>
      </c>
      <c r="BN94" s="62">
        <f t="shared" si="153"/>
        <v>0</v>
      </c>
      <c r="BO94" s="1166">
        <f t="shared" si="154"/>
        <v>0</v>
      </c>
      <c r="BP94" s="61"/>
      <c r="BQ94" s="62">
        <f t="shared" si="155"/>
        <v>0</v>
      </c>
      <c r="BR94" s="62">
        <f t="shared" si="156"/>
        <v>1</v>
      </c>
      <c r="BS94" s="62">
        <f t="shared" si="156"/>
        <v>2.6</v>
      </c>
      <c r="BT94" s="62">
        <f t="shared" si="156"/>
        <v>1.9</v>
      </c>
      <c r="BU94" s="1166">
        <f t="shared" si="157"/>
        <v>5.5</v>
      </c>
      <c r="BV94" s="61"/>
      <c r="BW94" s="62">
        <f t="shared" si="158"/>
        <v>0</v>
      </c>
      <c r="BX94" s="62">
        <f t="shared" si="159"/>
        <v>16.8</v>
      </c>
      <c r="BY94" s="62">
        <f t="shared" si="160"/>
        <v>1.1999999999999993</v>
      </c>
      <c r="BZ94" s="62">
        <f t="shared" si="161"/>
        <v>8.9400000000000013</v>
      </c>
      <c r="CA94" s="1416">
        <f t="shared" si="162"/>
        <v>26.94</v>
      </c>
      <c r="CB94" s="61"/>
      <c r="CC94" s="62">
        <f t="shared" si="163"/>
        <v>0</v>
      </c>
      <c r="CD94" s="62">
        <f t="shared" si="164"/>
        <v>0</v>
      </c>
      <c r="CE94" s="62">
        <f t="shared" si="165"/>
        <v>0</v>
      </c>
      <c r="CF94" s="62">
        <f t="shared" si="166"/>
        <v>0</v>
      </c>
      <c r="CG94" s="1166">
        <f t="shared" si="167"/>
        <v>0</v>
      </c>
      <c r="CH94" s="61"/>
      <c r="CI94" s="62">
        <f t="shared" si="168"/>
        <v>0</v>
      </c>
      <c r="CJ94" s="62">
        <f t="shared" si="169"/>
        <v>0</v>
      </c>
      <c r="CK94" s="62">
        <f t="shared" si="170"/>
        <v>0</v>
      </c>
      <c r="CL94" s="62">
        <f t="shared" si="171"/>
        <v>0</v>
      </c>
      <c r="CM94" s="1166">
        <f t="shared" si="172"/>
        <v>0</v>
      </c>
      <c r="CN94" s="61"/>
      <c r="CO94" s="62">
        <f t="shared" si="173"/>
        <v>0</v>
      </c>
      <c r="CP94" s="62">
        <f t="shared" si="174"/>
        <v>0</v>
      </c>
      <c r="CQ94" s="62">
        <f t="shared" si="175"/>
        <v>0</v>
      </c>
      <c r="CR94" s="62">
        <f t="shared" si="176"/>
        <v>0</v>
      </c>
      <c r="CS94" s="1166">
        <f t="shared" si="177"/>
        <v>0</v>
      </c>
      <c r="CT94" s="61"/>
      <c r="CU94" s="62">
        <f t="shared" si="178"/>
        <v>0</v>
      </c>
      <c r="CV94" s="62">
        <f t="shared" si="222"/>
        <v>0</v>
      </c>
      <c r="CW94" s="62">
        <f t="shared" si="179"/>
        <v>0</v>
      </c>
      <c r="CX94" s="62">
        <f t="shared" si="180"/>
        <v>0</v>
      </c>
      <c r="CY94" s="1166">
        <f t="shared" si="181"/>
        <v>0</v>
      </c>
      <c r="CZ94" s="61"/>
      <c r="DA94" s="62">
        <f t="shared" si="182"/>
        <v>0</v>
      </c>
      <c r="DB94" s="62">
        <f t="shared" si="183"/>
        <v>0</v>
      </c>
      <c r="DC94" s="62">
        <f t="shared" si="184"/>
        <v>0</v>
      </c>
      <c r="DD94" s="62">
        <f t="shared" si="185"/>
        <v>0</v>
      </c>
      <c r="DE94" s="1166">
        <f t="shared" si="186"/>
        <v>0</v>
      </c>
      <c r="DF94" s="61"/>
      <c r="DG94" s="62">
        <f t="shared" si="187"/>
        <v>0</v>
      </c>
      <c r="DH94" s="62">
        <f t="shared" si="188"/>
        <v>0</v>
      </c>
      <c r="DI94" s="62">
        <f t="shared" si="189"/>
        <v>0</v>
      </c>
      <c r="DJ94" s="62">
        <f t="shared" si="190"/>
        <v>0</v>
      </c>
      <c r="DK94" s="1166">
        <f t="shared" si="191"/>
        <v>0</v>
      </c>
      <c r="DL94" s="61"/>
      <c r="DM94" s="62">
        <f t="shared" si="192"/>
        <v>0</v>
      </c>
      <c r="DN94" s="62">
        <f t="shared" si="193"/>
        <v>0</v>
      </c>
      <c r="DO94" s="62">
        <f t="shared" si="194"/>
        <v>0</v>
      </c>
      <c r="DP94" s="62">
        <f t="shared" si="195"/>
        <v>0</v>
      </c>
      <c r="DQ94" s="1166">
        <f t="shared" si="196"/>
        <v>0</v>
      </c>
      <c r="DR94" s="61"/>
      <c r="DS94" s="62">
        <f t="shared" si="197"/>
        <v>0</v>
      </c>
      <c r="DT94" s="62">
        <f t="shared" si="198"/>
        <v>0</v>
      </c>
      <c r="DU94" s="62">
        <f t="shared" si="199"/>
        <v>0</v>
      </c>
      <c r="DV94" s="62">
        <f t="shared" si="200"/>
        <v>0</v>
      </c>
      <c r="DW94" s="1166">
        <f t="shared" si="201"/>
        <v>0</v>
      </c>
      <c r="DX94" s="61"/>
      <c r="DY94" s="62">
        <f t="shared" si="202"/>
        <v>0</v>
      </c>
      <c r="DZ94" s="62">
        <f t="shared" si="203"/>
        <v>0</v>
      </c>
      <c r="EA94" s="62">
        <f t="shared" si="204"/>
        <v>0</v>
      </c>
      <c r="EB94" s="62">
        <f t="shared" si="205"/>
        <v>0</v>
      </c>
      <c r="EC94" s="1166">
        <f t="shared" si="206"/>
        <v>0</v>
      </c>
      <c r="ED94" s="61"/>
      <c r="EE94" s="62">
        <f t="shared" si="207"/>
        <v>0</v>
      </c>
      <c r="EF94" s="62">
        <f t="shared" si="208"/>
        <v>0</v>
      </c>
      <c r="EG94" s="62">
        <f t="shared" si="209"/>
        <v>0</v>
      </c>
      <c r="EH94" s="62">
        <f t="shared" si="210"/>
        <v>0</v>
      </c>
      <c r="EI94" s="1166">
        <f t="shared" si="211"/>
        <v>0</v>
      </c>
      <c r="EJ94" s="61"/>
      <c r="EK94" s="62">
        <f t="shared" si="212"/>
        <v>0</v>
      </c>
      <c r="EL94" s="62">
        <f t="shared" si="213"/>
        <v>0</v>
      </c>
      <c r="EM94" s="62">
        <f t="shared" si="214"/>
        <v>0</v>
      </c>
      <c r="EN94" s="62">
        <f t="shared" si="215"/>
        <v>0</v>
      </c>
      <c r="EO94" s="1166">
        <f t="shared" si="216"/>
        <v>0</v>
      </c>
      <c r="EP94" s="61"/>
      <c r="EQ94" s="62">
        <f t="shared" si="217"/>
        <v>0</v>
      </c>
      <c r="ER94" s="62">
        <f t="shared" si="218"/>
        <v>0</v>
      </c>
      <c r="ES94" s="62">
        <f t="shared" si="219"/>
        <v>0</v>
      </c>
      <c r="ET94" s="62">
        <f t="shared" si="220"/>
        <v>0</v>
      </c>
      <c r="EU94" s="1166">
        <f t="shared" si="221"/>
        <v>0</v>
      </c>
      <c r="EV94" s="45"/>
      <c r="EW94" s="45"/>
      <c r="FD94" s="45"/>
      <c r="FE94" s="45"/>
      <c r="FF94" s="45"/>
      <c r="FG94" s="45"/>
      <c r="FH94" s="45"/>
      <c r="FI94" s="45"/>
      <c r="FJ94" s="45"/>
      <c r="FK94" s="45"/>
      <c r="FL94" s="45"/>
      <c r="FM94" s="45"/>
      <c r="FN94" s="45"/>
      <c r="FO94" s="45"/>
      <c r="FP94" s="45"/>
    </row>
    <row r="95" spans="1:172" hidden="1">
      <c r="A95" s="41" t="s">
        <v>336</v>
      </c>
      <c r="B95" s="42"/>
      <c r="C95" s="61"/>
      <c r="D95" s="61"/>
      <c r="E95" s="61"/>
      <c r="F95" s="61"/>
      <c r="G95" s="363"/>
      <c r="H95" s="61"/>
      <c r="I95" s="61"/>
      <c r="J95" s="61"/>
      <c r="K95" s="61"/>
      <c r="L95" s="61"/>
      <c r="M95" s="363"/>
      <c r="N95" s="61"/>
      <c r="O95" s="62">
        <f t="shared" si="127"/>
        <v>0</v>
      </c>
      <c r="P95" s="62">
        <f t="shared" si="128"/>
        <v>-1.0029999999999999</v>
      </c>
      <c r="Q95" s="62">
        <f t="shared" si="128"/>
        <v>0</v>
      </c>
      <c r="R95" s="62">
        <f t="shared" si="128"/>
        <v>-0.50100000000000011</v>
      </c>
      <c r="S95" s="62">
        <f t="shared" si="129"/>
        <v>-1.504</v>
      </c>
      <c r="T95" s="61"/>
      <c r="U95" s="62">
        <f t="shared" si="130"/>
        <v>0</v>
      </c>
      <c r="V95" s="62">
        <f t="shared" si="131"/>
        <v>0</v>
      </c>
      <c r="W95" s="62">
        <f t="shared" si="131"/>
        <v>0</v>
      </c>
      <c r="X95" s="62">
        <f t="shared" si="131"/>
        <v>-1.63</v>
      </c>
      <c r="Y95" s="62">
        <f t="shared" si="132"/>
        <v>-1.63</v>
      </c>
      <c r="Z95" s="61"/>
      <c r="AA95" s="62">
        <f t="shared" si="133"/>
        <v>0</v>
      </c>
      <c r="AB95" s="62">
        <f t="shared" si="134"/>
        <v>0</v>
      </c>
      <c r="AC95" s="62">
        <f t="shared" si="134"/>
        <v>0</v>
      </c>
      <c r="AD95" s="62">
        <f t="shared" si="134"/>
        <v>-1.034</v>
      </c>
      <c r="AE95" s="62">
        <f t="shared" si="135"/>
        <v>-1.034</v>
      </c>
      <c r="AF95" s="61"/>
      <c r="AG95" s="62">
        <f t="shared" si="136"/>
        <v>0</v>
      </c>
      <c r="AH95" s="62">
        <f t="shared" si="137"/>
        <v>0</v>
      </c>
      <c r="AI95" s="62">
        <f t="shared" si="137"/>
        <v>0</v>
      </c>
      <c r="AJ95" s="62">
        <f t="shared" si="137"/>
        <v>0</v>
      </c>
      <c r="AK95" s="62">
        <f t="shared" si="138"/>
        <v>0</v>
      </c>
      <c r="AL95" s="61"/>
      <c r="AM95" s="62">
        <f t="shared" si="139"/>
        <v>0</v>
      </c>
      <c r="AN95" s="62">
        <f t="shared" si="140"/>
        <v>0</v>
      </c>
      <c r="AO95" s="62">
        <f t="shared" si="140"/>
        <v>0</v>
      </c>
      <c r="AP95" s="62">
        <f t="shared" si="140"/>
        <v>0</v>
      </c>
      <c r="AQ95" s="62">
        <f t="shared" si="141"/>
        <v>0</v>
      </c>
      <c r="AR95" s="61"/>
      <c r="AS95" s="62">
        <f t="shared" si="142"/>
        <v>0</v>
      </c>
      <c r="AT95" s="62">
        <f t="shared" si="143"/>
        <v>0</v>
      </c>
      <c r="AU95" s="62">
        <f t="shared" si="143"/>
        <v>0</v>
      </c>
      <c r="AV95" s="62">
        <f t="shared" si="143"/>
        <v>0</v>
      </c>
      <c r="AW95" s="62">
        <f t="shared" si="144"/>
        <v>0</v>
      </c>
      <c r="AX95" s="61"/>
      <c r="AY95" s="62">
        <f t="shared" si="145"/>
        <v>0</v>
      </c>
      <c r="AZ95" s="62">
        <f t="shared" si="146"/>
        <v>0</v>
      </c>
      <c r="BA95" s="62">
        <f t="shared" si="146"/>
        <v>0</v>
      </c>
      <c r="BB95" s="62">
        <f t="shared" si="147"/>
        <v>0</v>
      </c>
      <c r="BC95" s="62">
        <f t="shared" si="148"/>
        <v>0</v>
      </c>
      <c r="BD95" s="61"/>
      <c r="BE95" s="62">
        <f t="shared" si="149"/>
        <v>0</v>
      </c>
      <c r="BF95" s="62">
        <f t="shared" si="150"/>
        <v>0</v>
      </c>
      <c r="BG95" s="62">
        <f t="shared" si="150"/>
        <v>0</v>
      </c>
      <c r="BH95" s="62">
        <f t="shared" si="150"/>
        <v>0</v>
      </c>
      <c r="BI95" s="62">
        <f t="shared" si="151"/>
        <v>0</v>
      </c>
      <c r="BJ95" s="61"/>
      <c r="BK95" s="62">
        <f t="shared" si="152"/>
        <v>0</v>
      </c>
      <c r="BL95" s="62">
        <f t="shared" si="153"/>
        <v>0</v>
      </c>
      <c r="BM95" s="62">
        <f t="shared" si="153"/>
        <v>0</v>
      </c>
      <c r="BN95" s="62">
        <f t="shared" si="153"/>
        <v>0</v>
      </c>
      <c r="BO95" s="1166">
        <f t="shared" si="154"/>
        <v>0</v>
      </c>
      <c r="BP95" s="61"/>
      <c r="BQ95" s="62">
        <f t="shared" si="155"/>
        <v>0</v>
      </c>
      <c r="BR95" s="62">
        <f t="shared" si="156"/>
        <v>0</v>
      </c>
      <c r="BS95" s="62">
        <f t="shared" si="156"/>
        <v>0</v>
      </c>
      <c r="BT95" s="62">
        <f t="shared" si="156"/>
        <v>0</v>
      </c>
      <c r="BU95" s="1166">
        <f t="shared" si="157"/>
        <v>0</v>
      </c>
      <c r="BV95" s="61"/>
      <c r="BW95" s="62">
        <f t="shared" si="158"/>
        <v>0</v>
      </c>
      <c r="BX95" s="62">
        <f t="shared" si="159"/>
        <v>0</v>
      </c>
      <c r="BY95" s="62">
        <f t="shared" si="160"/>
        <v>0</v>
      </c>
      <c r="BZ95" s="62">
        <f t="shared" si="161"/>
        <v>0</v>
      </c>
      <c r="CA95" s="1416">
        <f t="shared" si="162"/>
        <v>0</v>
      </c>
      <c r="CB95" s="61"/>
      <c r="CC95" s="62">
        <f t="shared" si="163"/>
        <v>0</v>
      </c>
      <c r="CD95" s="62">
        <f t="shared" si="164"/>
        <v>0</v>
      </c>
      <c r="CE95" s="62">
        <f t="shared" si="165"/>
        <v>0</v>
      </c>
      <c r="CF95" s="62">
        <f t="shared" si="166"/>
        <v>0</v>
      </c>
      <c r="CG95" s="1166">
        <f t="shared" si="167"/>
        <v>0</v>
      </c>
      <c r="CH95" s="61"/>
      <c r="CI95" s="62">
        <f t="shared" si="168"/>
        <v>0</v>
      </c>
      <c r="CJ95" s="62">
        <f t="shared" si="169"/>
        <v>0</v>
      </c>
      <c r="CK95" s="62">
        <f t="shared" si="170"/>
        <v>0</v>
      </c>
      <c r="CL95" s="62">
        <f t="shared" si="171"/>
        <v>0</v>
      </c>
      <c r="CM95" s="1166">
        <f t="shared" si="172"/>
        <v>0</v>
      </c>
      <c r="CN95" s="61"/>
      <c r="CO95" s="62">
        <f t="shared" si="173"/>
        <v>0</v>
      </c>
      <c r="CP95" s="62">
        <f t="shared" si="174"/>
        <v>0</v>
      </c>
      <c r="CQ95" s="62">
        <f t="shared" si="175"/>
        <v>0</v>
      </c>
      <c r="CR95" s="62">
        <f t="shared" si="176"/>
        <v>0</v>
      </c>
      <c r="CS95" s="1166">
        <f t="shared" si="177"/>
        <v>0</v>
      </c>
      <c r="CT95" s="61"/>
      <c r="CU95" s="62">
        <f t="shared" si="178"/>
        <v>0</v>
      </c>
      <c r="CV95" s="62">
        <f t="shared" si="222"/>
        <v>0</v>
      </c>
      <c r="CW95" s="62">
        <f t="shared" si="179"/>
        <v>0</v>
      </c>
      <c r="CX95" s="62">
        <f t="shared" si="180"/>
        <v>0</v>
      </c>
      <c r="CY95" s="1166">
        <f t="shared" si="181"/>
        <v>0</v>
      </c>
      <c r="CZ95" s="61"/>
      <c r="DA95" s="62">
        <f t="shared" si="182"/>
        <v>0</v>
      </c>
      <c r="DB95" s="62">
        <f t="shared" si="183"/>
        <v>0</v>
      </c>
      <c r="DC95" s="62">
        <f t="shared" si="184"/>
        <v>0</v>
      </c>
      <c r="DD95" s="62">
        <f t="shared" si="185"/>
        <v>0</v>
      </c>
      <c r="DE95" s="1166">
        <f t="shared" si="186"/>
        <v>0</v>
      </c>
      <c r="DF95" s="61"/>
      <c r="DG95" s="62">
        <f t="shared" si="187"/>
        <v>0</v>
      </c>
      <c r="DH95" s="62">
        <f t="shared" si="188"/>
        <v>0</v>
      </c>
      <c r="DI95" s="62">
        <f t="shared" si="189"/>
        <v>0</v>
      </c>
      <c r="DJ95" s="62">
        <f t="shared" si="190"/>
        <v>0</v>
      </c>
      <c r="DK95" s="1166">
        <f t="shared" si="191"/>
        <v>0</v>
      </c>
      <c r="DL95" s="61"/>
      <c r="DM95" s="62">
        <f t="shared" si="192"/>
        <v>0</v>
      </c>
      <c r="DN95" s="62">
        <f t="shared" si="193"/>
        <v>0</v>
      </c>
      <c r="DO95" s="62">
        <f t="shared" si="194"/>
        <v>0</v>
      </c>
      <c r="DP95" s="62">
        <f t="shared" si="195"/>
        <v>0</v>
      </c>
      <c r="DQ95" s="1166">
        <f t="shared" si="196"/>
        <v>0</v>
      </c>
      <c r="DR95" s="61"/>
      <c r="DS95" s="62">
        <f t="shared" si="197"/>
        <v>0</v>
      </c>
      <c r="DT95" s="62">
        <f t="shared" si="198"/>
        <v>0</v>
      </c>
      <c r="DU95" s="62">
        <f t="shared" si="199"/>
        <v>0</v>
      </c>
      <c r="DV95" s="62">
        <f t="shared" si="200"/>
        <v>0</v>
      </c>
      <c r="DW95" s="1166">
        <f t="shared" si="201"/>
        <v>0</v>
      </c>
      <c r="DX95" s="61"/>
      <c r="DY95" s="62">
        <f t="shared" si="202"/>
        <v>0</v>
      </c>
      <c r="DZ95" s="62">
        <f t="shared" si="203"/>
        <v>0</v>
      </c>
      <c r="EA95" s="62">
        <f t="shared" si="204"/>
        <v>0</v>
      </c>
      <c r="EB95" s="62">
        <f t="shared" si="205"/>
        <v>0</v>
      </c>
      <c r="EC95" s="1166">
        <f t="shared" si="206"/>
        <v>0</v>
      </c>
      <c r="ED95" s="61"/>
      <c r="EE95" s="62">
        <f t="shared" si="207"/>
        <v>0</v>
      </c>
      <c r="EF95" s="62">
        <f t="shared" si="208"/>
        <v>0</v>
      </c>
      <c r="EG95" s="62">
        <f t="shared" si="209"/>
        <v>0</v>
      </c>
      <c r="EH95" s="62">
        <f t="shared" si="210"/>
        <v>0</v>
      </c>
      <c r="EI95" s="1166">
        <f t="shared" si="211"/>
        <v>0</v>
      </c>
      <c r="EJ95" s="61"/>
      <c r="EK95" s="62">
        <f t="shared" si="212"/>
        <v>0</v>
      </c>
      <c r="EL95" s="62">
        <f t="shared" si="213"/>
        <v>0</v>
      </c>
      <c r="EM95" s="62">
        <f t="shared" si="214"/>
        <v>0</v>
      </c>
      <c r="EN95" s="62">
        <f t="shared" si="215"/>
        <v>0</v>
      </c>
      <c r="EO95" s="1166">
        <f t="shared" si="216"/>
        <v>0</v>
      </c>
      <c r="EP95" s="61"/>
      <c r="EQ95" s="62">
        <f t="shared" si="217"/>
        <v>0</v>
      </c>
      <c r="ER95" s="62">
        <f t="shared" si="218"/>
        <v>0</v>
      </c>
      <c r="ES95" s="62">
        <f t="shared" si="219"/>
        <v>0</v>
      </c>
      <c r="ET95" s="62">
        <f t="shared" si="220"/>
        <v>0</v>
      </c>
      <c r="EU95" s="1166">
        <f t="shared" si="221"/>
        <v>0</v>
      </c>
      <c r="EV95" s="45"/>
      <c r="EW95" s="45"/>
      <c r="FD95" s="45"/>
      <c r="FE95" s="45"/>
      <c r="FF95" s="45"/>
      <c r="FG95" s="45"/>
      <c r="FH95" s="45"/>
      <c r="FI95" s="45"/>
      <c r="FJ95" s="45"/>
      <c r="FK95" s="45"/>
      <c r="FL95" s="45"/>
      <c r="FM95" s="45"/>
      <c r="FN95" s="45"/>
      <c r="FO95" s="45"/>
      <c r="FP95" s="45"/>
    </row>
    <row r="96" spans="1:172" hidden="1">
      <c r="A96" s="41" t="s">
        <v>5643</v>
      </c>
      <c r="B96" s="61"/>
      <c r="C96" s="61"/>
      <c r="D96" s="61"/>
      <c r="E96" s="61"/>
      <c r="F96" s="61"/>
      <c r="G96" s="363"/>
      <c r="H96" s="61"/>
      <c r="I96" s="61"/>
      <c r="J96" s="61"/>
      <c r="K96" s="61"/>
      <c r="L96" s="61"/>
      <c r="M96" s="363"/>
      <c r="N96" s="61"/>
      <c r="O96" s="62">
        <f t="shared" si="127"/>
        <v>0</v>
      </c>
      <c r="P96" s="62">
        <f t="shared" si="128"/>
        <v>0</v>
      </c>
      <c r="Q96" s="62">
        <f t="shared" si="128"/>
        <v>0</v>
      </c>
      <c r="R96" s="62">
        <f t="shared" si="128"/>
        <v>0</v>
      </c>
      <c r="S96" s="62">
        <f t="shared" si="129"/>
        <v>0</v>
      </c>
      <c r="T96" s="61"/>
      <c r="U96" s="62">
        <f t="shared" si="130"/>
        <v>0</v>
      </c>
      <c r="V96" s="62">
        <f t="shared" si="131"/>
        <v>0</v>
      </c>
      <c r="W96" s="62">
        <f t="shared" si="131"/>
        <v>0</v>
      </c>
      <c r="X96" s="62">
        <f t="shared" si="131"/>
        <v>0</v>
      </c>
      <c r="Y96" s="62">
        <f t="shared" si="132"/>
        <v>0</v>
      </c>
      <c r="Z96" s="61"/>
      <c r="AA96" s="62">
        <f t="shared" si="133"/>
        <v>0</v>
      </c>
      <c r="AB96" s="62">
        <f t="shared" si="134"/>
        <v>0</v>
      </c>
      <c r="AC96" s="62">
        <f t="shared" si="134"/>
        <v>0</v>
      </c>
      <c r="AD96" s="62">
        <f t="shared" si="134"/>
        <v>0</v>
      </c>
      <c r="AE96" s="62">
        <f t="shared" si="135"/>
        <v>0</v>
      </c>
      <c r="AF96" s="61"/>
      <c r="AG96" s="62">
        <f t="shared" si="136"/>
        <v>0</v>
      </c>
      <c r="AH96" s="62">
        <f t="shared" si="137"/>
        <v>0</v>
      </c>
      <c r="AI96" s="62">
        <f t="shared" si="137"/>
        <v>0</v>
      </c>
      <c r="AJ96" s="62">
        <f t="shared" si="137"/>
        <v>0</v>
      </c>
      <c r="AK96" s="62">
        <f t="shared" si="138"/>
        <v>0</v>
      </c>
      <c r="AL96" s="61"/>
      <c r="AM96" s="62">
        <f t="shared" si="139"/>
        <v>0</v>
      </c>
      <c r="AN96" s="62">
        <f t="shared" si="140"/>
        <v>0</v>
      </c>
      <c r="AO96" s="62">
        <f t="shared" si="140"/>
        <v>0</v>
      </c>
      <c r="AP96" s="62">
        <f t="shared" si="140"/>
        <v>0</v>
      </c>
      <c r="AQ96" s="62">
        <f t="shared" si="141"/>
        <v>0</v>
      </c>
      <c r="AR96" s="61"/>
      <c r="AS96" s="62">
        <f t="shared" si="142"/>
        <v>0</v>
      </c>
      <c r="AT96" s="62">
        <f t="shared" si="143"/>
        <v>0</v>
      </c>
      <c r="AU96" s="62">
        <f t="shared" si="143"/>
        <v>0</v>
      </c>
      <c r="AV96" s="62">
        <f t="shared" si="143"/>
        <v>0</v>
      </c>
      <c r="AW96" s="62">
        <f t="shared" si="144"/>
        <v>0</v>
      </c>
      <c r="AX96" s="61"/>
      <c r="AY96" s="62">
        <f t="shared" si="145"/>
        <v>0</v>
      </c>
      <c r="AZ96" s="62">
        <f t="shared" si="146"/>
        <v>0</v>
      </c>
      <c r="BA96" s="62">
        <f t="shared" si="146"/>
        <v>0</v>
      </c>
      <c r="BB96" s="62">
        <f t="shared" si="147"/>
        <v>0</v>
      </c>
      <c r="BC96" s="62">
        <f t="shared" si="148"/>
        <v>0</v>
      </c>
      <c r="BD96" s="61"/>
      <c r="BE96" s="62">
        <f t="shared" si="149"/>
        <v>0</v>
      </c>
      <c r="BF96" s="62">
        <f t="shared" si="150"/>
        <v>0</v>
      </c>
      <c r="BG96" s="62">
        <f t="shared" si="150"/>
        <v>0</v>
      </c>
      <c r="BH96" s="62">
        <f t="shared" si="150"/>
        <v>0</v>
      </c>
      <c r="BI96" s="62">
        <f t="shared" si="151"/>
        <v>0</v>
      </c>
      <c r="BJ96" s="61"/>
      <c r="BK96" s="62">
        <f t="shared" si="152"/>
        <v>0</v>
      </c>
      <c r="BL96" s="62">
        <f t="shared" si="153"/>
        <v>0</v>
      </c>
      <c r="BM96" s="62">
        <f t="shared" si="153"/>
        <v>0</v>
      </c>
      <c r="BN96" s="62">
        <f t="shared" si="153"/>
        <v>0</v>
      </c>
      <c r="BO96" s="1166">
        <f t="shared" si="154"/>
        <v>0</v>
      </c>
      <c r="BP96" s="61"/>
      <c r="BQ96" s="62">
        <f t="shared" si="155"/>
        <v>0</v>
      </c>
      <c r="BR96" s="62">
        <f t="shared" si="156"/>
        <v>0</v>
      </c>
      <c r="BS96" s="62">
        <f t="shared" si="156"/>
        <v>0</v>
      </c>
      <c r="BT96" s="62">
        <f t="shared" si="156"/>
        <v>0</v>
      </c>
      <c r="BU96" s="1166">
        <f t="shared" si="157"/>
        <v>0</v>
      </c>
      <c r="BV96" s="61"/>
      <c r="BW96" s="62">
        <f t="shared" si="158"/>
        <v>0</v>
      </c>
      <c r="BX96" s="62">
        <f t="shared" si="159"/>
        <v>0</v>
      </c>
      <c r="BY96" s="62">
        <f t="shared" si="160"/>
        <v>0</v>
      </c>
      <c r="BZ96" s="62">
        <f t="shared" si="161"/>
        <v>0</v>
      </c>
      <c r="CA96" s="1416">
        <f t="shared" si="162"/>
        <v>0</v>
      </c>
      <c r="CB96" s="61"/>
      <c r="CC96" s="62">
        <f t="shared" si="163"/>
        <v>0</v>
      </c>
      <c r="CD96" s="62">
        <f t="shared" si="164"/>
        <v>0</v>
      </c>
      <c r="CE96" s="62">
        <f t="shared" si="165"/>
        <v>0</v>
      </c>
      <c r="CF96" s="62">
        <f t="shared" si="166"/>
        <v>0</v>
      </c>
      <c r="CG96" s="1166">
        <f t="shared" si="167"/>
        <v>0</v>
      </c>
      <c r="CH96" s="61"/>
      <c r="CI96" s="62">
        <f t="shared" si="168"/>
        <v>0</v>
      </c>
      <c r="CJ96" s="62">
        <f t="shared" si="169"/>
        <v>0</v>
      </c>
      <c r="CK96" s="62">
        <f t="shared" si="170"/>
        <v>0</v>
      </c>
      <c r="CL96" s="62">
        <f t="shared" si="171"/>
        <v>0</v>
      </c>
      <c r="CM96" s="1166">
        <f t="shared" si="172"/>
        <v>0</v>
      </c>
      <c r="CN96" s="61"/>
      <c r="CO96" s="62">
        <f t="shared" si="173"/>
        <v>0</v>
      </c>
      <c r="CP96" s="62">
        <f t="shared" si="174"/>
        <v>0</v>
      </c>
      <c r="CQ96" s="62">
        <f t="shared" si="175"/>
        <v>0</v>
      </c>
      <c r="CR96" s="62">
        <f t="shared" si="176"/>
        <v>0</v>
      </c>
      <c r="CS96" s="1166">
        <f t="shared" si="177"/>
        <v>0</v>
      </c>
      <c r="CT96" s="61"/>
      <c r="CU96" s="62">
        <f t="shared" si="178"/>
        <v>0</v>
      </c>
      <c r="CV96" s="62">
        <f t="shared" si="222"/>
        <v>0</v>
      </c>
      <c r="CW96" s="62">
        <f t="shared" si="179"/>
        <v>0</v>
      </c>
      <c r="CX96" s="62">
        <f t="shared" si="180"/>
        <v>0</v>
      </c>
      <c r="CY96" s="1166">
        <f t="shared" si="181"/>
        <v>0</v>
      </c>
      <c r="CZ96" s="61"/>
      <c r="DA96" s="62">
        <f t="shared" si="182"/>
        <v>0</v>
      </c>
      <c r="DB96" s="62">
        <f t="shared" si="183"/>
        <v>0</v>
      </c>
      <c r="DC96" s="62">
        <f t="shared" si="184"/>
        <v>0</v>
      </c>
      <c r="DD96" s="62">
        <f t="shared" si="185"/>
        <v>0</v>
      </c>
      <c r="DE96" s="1166">
        <f t="shared" si="186"/>
        <v>0</v>
      </c>
      <c r="DF96" s="61"/>
      <c r="DG96" s="62">
        <f t="shared" si="187"/>
        <v>0</v>
      </c>
      <c r="DH96" s="62">
        <f t="shared" si="188"/>
        <v>0</v>
      </c>
      <c r="DI96" s="62">
        <f t="shared" si="189"/>
        <v>0</v>
      </c>
      <c r="DJ96" s="62">
        <f t="shared" si="190"/>
        <v>0</v>
      </c>
      <c r="DK96" s="1166">
        <f t="shared" si="191"/>
        <v>0</v>
      </c>
      <c r="DL96" s="61"/>
      <c r="DM96" s="62">
        <f t="shared" si="192"/>
        <v>0</v>
      </c>
      <c r="DN96" s="62">
        <f t="shared" si="193"/>
        <v>0</v>
      </c>
      <c r="DO96" s="62">
        <f t="shared" si="194"/>
        <v>0</v>
      </c>
      <c r="DP96" s="62">
        <f t="shared" si="195"/>
        <v>0</v>
      </c>
      <c r="DQ96" s="1166">
        <f t="shared" si="196"/>
        <v>0</v>
      </c>
      <c r="DR96" s="61"/>
      <c r="DS96" s="62">
        <f t="shared" si="197"/>
        <v>0</v>
      </c>
      <c r="DT96" s="62">
        <f t="shared" si="198"/>
        <v>0</v>
      </c>
      <c r="DU96" s="62">
        <f t="shared" si="199"/>
        <v>0</v>
      </c>
      <c r="DV96" s="62">
        <f t="shared" si="200"/>
        <v>0</v>
      </c>
      <c r="DW96" s="1166">
        <f t="shared" si="201"/>
        <v>0</v>
      </c>
      <c r="DX96" s="61"/>
      <c r="DY96" s="62">
        <f t="shared" si="202"/>
        <v>0</v>
      </c>
      <c r="DZ96" s="62">
        <f t="shared" si="203"/>
        <v>0</v>
      </c>
      <c r="EA96" s="62">
        <f t="shared" si="204"/>
        <v>0</v>
      </c>
      <c r="EB96" s="62">
        <f t="shared" si="205"/>
        <v>0</v>
      </c>
      <c r="EC96" s="1166">
        <f t="shared" si="206"/>
        <v>0</v>
      </c>
      <c r="ED96" s="61"/>
      <c r="EE96" s="62">
        <f t="shared" si="207"/>
        <v>0</v>
      </c>
      <c r="EF96" s="62">
        <f t="shared" si="208"/>
        <v>0</v>
      </c>
      <c r="EG96" s="62">
        <f t="shared" si="209"/>
        <v>0</v>
      </c>
      <c r="EH96" s="62">
        <f t="shared" si="210"/>
        <v>0</v>
      </c>
      <c r="EI96" s="1166">
        <f t="shared" si="211"/>
        <v>0</v>
      </c>
      <c r="EJ96" s="61"/>
      <c r="EK96" s="62">
        <f t="shared" si="212"/>
        <v>0</v>
      </c>
      <c r="EL96" s="62">
        <f t="shared" si="213"/>
        <v>0</v>
      </c>
      <c r="EM96" s="62">
        <f t="shared" si="214"/>
        <v>0</v>
      </c>
      <c r="EN96" s="62">
        <f t="shared" si="215"/>
        <v>0</v>
      </c>
      <c r="EO96" s="1166">
        <f t="shared" si="216"/>
        <v>0</v>
      </c>
      <c r="EP96" s="61"/>
      <c r="EQ96" s="62">
        <f t="shared" si="217"/>
        <v>0</v>
      </c>
      <c r="ER96" s="62">
        <f t="shared" si="218"/>
        <v>0</v>
      </c>
      <c r="ES96" s="62">
        <f t="shared" si="219"/>
        <v>0</v>
      </c>
      <c r="ET96" s="62">
        <f t="shared" si="220"/>
        <v>0</v>
      </c>
      <c r="EU96" s="1166">
        <f t="shared" si="221"/>
        <v>0</v>
      </c>
      <c r="EV96" s="45"/>
      <c r="EW96" s="45"/>
      <c r="FD96" s="45"/>
      <c r="FE96" s="45"/>
      <c r="FF96" s="45"/>
      <c r="FG96" s="45"/>
      <c r="FH96" s="45"/>
      <c r="FI96" s="45"/>
      <c r="FJ96" s="45"/>
      <c r="FK96" s="45"/>
      <c r="FL96" s="45"/>
      <c r="FM96" s="45"/>
      <c r="FN96" s="45"/>
      <c r="FO96" s="45"/>
      <c r="FP96" s="45"/>
    </row>
    <row r="97" spans="1:172" hidden="1">
      <c r="A97" s="41" t="s">
        <v>3689</v>
      </c>
      <c r="B97" s="61"/>
      <c r="C97" s="61"/>
      <c r="D97" s="61"/>
      <c r="E97" s="61"/>
      <c r="F97" s="61"/>
      <c r="G97" s="363"/>
      <c r="H97" s="61"/>
      <c r="I97" s="61"/>
      <c r="J97" s="61"/>
      <c r="K97" s="61"/>
      <c r="L97" s="61"/>
      <c r="M97" s="363"/>
      <c r="N97" s="61"/>
      <c r="O97" s="62">
        <f t="shared" si="127"/>
        <v>0</v>
      </c>
      <c r="P97" s="62">
        <f t="shared" si="128"/>
        <v>0</v>
      </c>
      <c r="Q97" s="62">
        <f t="shared" si="128"/>
        <v>0</v>
      </c>
      <c r="R97" s="62">
        <f t="shared" si="128"/>
        <v>4.032</v>
      </c>
      <c r="S97" s="62">
        <f>SUM(O97:R97)</f>
        <v>4.032</v>
      </c>
      <c r="T97" s="61"/>
      <c r="U97" s="62">
        <f t="shared" si="130"/>
        <v>0.40799999999999997</v>
      </c>
      <c r="V97" s="62">
        <f t="shared" si="131"/>
        <v>0.34900000000000003</v>
      </c>
      <c r="W97" s="62">
        <f t="shared" si="131"/>
        <v>2.4830000000000001</v>
      </c>
      <c r="X97" s="62">
        <f t="shared" si="131"/>
        <v>2.6539999999999999</v>
      </c>
      <c r="Y97" s="62">
        <f>SUM(U97:X97)</f>
        <v>5.8940000000000001</v>
      </c>
      <c r="Z97" s="61"/>
      <c r="AA97" s="62">
        <f t="shared" si="133"/>
        <v>0.70899999999999996</v>
      </c>
      <c r="AB97" s="62">
        <f t="shared" si="134"/>
        <v>0.67200000000000004</v>
      </c>
      <c r="AC97" s="62">
        <f t="shared" si="134"/>
        <v>0.18900000000000006</v>
      </c>
      <c r="AD97" s="62">
        <f t="shared" si="134"/>
        <v>0.98299999999999987</v>
      </c>
      <c r="AE97" s="62">
        <f>SUM(AA97:AD97)</f>
        <v>2.5529999999999999</v>
      </c>
      <c r="AF97" s="61"/>
      <c r="AG97" s="62">
        <f t="shared" si="136"/>
        <v>0</v>
      </c>
      <c r="AH97" s="62">
        <f t="shared" si="137"/>
        <v>0</v>
      </c>
      <c r="AI97" s="62">
        <f t="shared" si="137"/>
        <v>0</v>
      </c>
      <c r="AJ97" s="62">
        <f t="shared" si="137"/>
        <v>0</v>
      </c>
      <c r="AK97" s="62">
        <f>SUM(AG97:AJ97)</f>
        <v>0</v>
      </c>
      <c r="AL97" s="61"/>
      <c r="AM97" s="62">
        <f t="shared" si="139"/>
        <v>0</v>
      </c>
      <c r="AN97" s="62">
        <f t="shared" si="140"/>
        <v>0</v>
      </c>
      <c r="AO97" s="62">
        <f t="shared" si="140"/>
        <v>0</v>
      </c>
      <c r="AP97" s="62">
        <f t="shared" si="140"/>
        <v>0.94</v>
      </c>
      <c r="AQ97" s="62">
        <f>SUM(AM97:AP97)</f>
        <v>0.94</v>
      </c>
      <c r="AR97" s="61"/>
      <c r="AS97" s="62">
        <f t="shared" si="142"/>
        <v>0</v>
      </c>
      <c r="AT97" s="62">
        <f t="shared" si="143"/>
        <v>0</v>
      </c>
      <c r="AU97" s="62">
        <f t="shared" si="143"/>
        <v>0</v>
      </c>
      <c r="AV97" s="62">
        <f t="shared" si="143"/>
        <v>0</v>
      </c>
      <c r="AW97" s="62">
        <f>SUM(AS97:AV97)</f>
        <v>0</v>
      </c>
      <c r="AX97" s="61"/>
      <c r="AY97" s="62">
        <f t="shared" si="145"/>
        <v>0</v>
      </c>
      <c r="AZ97" s="62">
        <f t="shared" si="146"/>
        <v>0</v>
      </c>
      <c r="BA97" s="62">
        <f t="shared" si="146"/>
        <v>0</v>
      </c>
      <c r="BB97" s="62">
        <f t="shared" si="147"/>
        <v>0</v>
      </c>
      <c r="BC97" s="62">
        <f>SUM(AY97:BB97)</f>
        <v>0</v>
      </c>
      <c r="BD97" s="61"/>
      <c r="BE97" s="62">
        <f t="shared" si="149"/>
        <v>1.0999999999999999E-2</v>
      </c>
      <c r="BF97" s="62">
        <f t="shared" si="150"/>
        <v>1.6E-2</v>
      </c>
      <c r="BG97" s="62">
        <f t="shared" si="150"/>
        <v>2.4999999999999998E-2</v>
      </c>
      <c r="BH97" s="62">
        <f t="shared" si="150"/>
        <v>4.8000000000000008E-2</v>
      </c>
      <c r="BI97" s="62">
        <f>SUM(BE97:BH97)</f>
        <v>0.1</v>
      </c>
      <c r="BJ97" s="61"/>
      <c r="BK97" s="62">
        <f t="shared" si="152"/>
        <v>0</v>
      </c>
      <c r="BL97" s="62">
        <f t="shared" si="153"/>
        <v>0</v>
      </c>
      <c r="BM97" s="62">
        <f t="shared" si="153"/>
        <v>0</v>
      </c>
      <c r="BN97" s="62">
        <f t="shared" si="153"/>
        <v>0</v>
      </c>
      <c r="BO97" s="1166">
        <f>SUM(BK97:BN97)</f>
        <v>0</v>
      </c>
      <c r="BP97" s="61"/>
      <c r="BQ97" s="62">
        <f t="shared" si="155"/>
        <v>0</v>
      </c>
      <c r="BR97" s="62">
        <f t="shared" si="156"/>
        <v>0</v>
      </c>
      <c r="BS97" s="62">
        <f t="shared" si="156"/>
        <v>0</v>
      </c>
      <c r="BT97" s="62">
        <f t="shared" si="156"/>
        <v>0</v>
      </c>
      <c r="BU97" s="1166">
        <f>SUM(BQ97:BT97)</f>
        <v>0</v>
      </c>
      <c r="BV97" s="61"/>
      <c r="BW97" s="62">
        <f t="shared" si="158"/>
        <v>0</v>
      </c>
      <c r="BX97" s="62">
        <f t="shared" si="159"/>
        <v>0</v>
      </c>
      <c r="BY97" s="62">
        <f t="shared" si="160"/>
        <v>0</v>
      </c>
      <c r="BZ97" s="62">
        <f t="shared" si="161"/>
        <v>0</v>
      </c>
      <c r="CA97" s="1416">
        <f t="shared" ref="CA97:CA102" si="223">SUM(BW97:BZ97)</f>
        <v>0</v>
      </c>
      <c r="CB97" s="61"/>
      <c r="CC97" s="62">
        <f t="shared" si="163"/>
        <v>0</v>
      </c>
      <c r="CD97" s="62">
        <f t="shared" si="164"/>
        <v>0</v>
      </c>
      <c r="CE97" s="62">
        <f t="shared" si="165"/>
        <v>-2.2999999999999998</v>
      </c>
      <c r="CF97" s="62">
        <f t="shared" si="166"/>
        <v>0</v>
      </c>
      <c r="CG97" s="1166">
        <f t="shared" si="167"/>
        <v>-2.2999999999999998</v>
      </c>
      <c r="CH97" s="61"/>
      <c r="CI97" s="62">
        <f t="shared" si="168"/>
        <v>0</v>
      </c>
      <c r="CJ97" s="62">
        <f t="shared" si="169"/>
        <v>0</v>
      </c>
      <c r="CK97" s="62">
        <f t="shared" si="170"/>
        <v>0</v>
      </c>
      <c r="CL97" s="62">
        <f t="shared" si="171"/>
        <v>0</v>
      </c>
      <c r="CM97" s="1166">
        <f t="shared" si="172"/>
        <v>0</v>
      </c>
      <c r="CN97" s="61"/>
      <c r="CO97" s="62">
        <f t="shared" si="173"/>
        <v>0</v>
      </c>
      <c r="CP97" s="62">
        <f t="shared" si="174"/>
        <v>0</v>
      </c>
      <c r="CQ97" s="62">
        <f t="shared" si="175"/>
        <v>0</v>
      </c>
      <c r="CR97" s="62">
        <f t="shared" si="176"/>
        <v>0</v>
      </c>
      <c r="CS97" s="1166">
        <f t="shared" si="177"/>
        <v>0</v>
      </c>
      <c r="CT97" s="61"/>
      <c r="CU97" s="62">
        <f t="shared" si="178"/>
        <v>0</v>
      </c>
      <c r="CV97" s="62">
        <f t="shared" si="222"/>
        <v>0</v>
      </c>
      <c r="CW97" s="62">
        <f t="shared" si="179"/>
        <v>0</v>
      </c>
      <c r="CX97" s="62">
        <f t="shared" si="180"/>
        <v>0</v>
      </c>
      <c r="CY97" s="1166">
        <f t="shared" si="181"/>
        <v>0</v>
      </c>
      <c r="CZ97" s="61"/>
      <c r="DA97" s="62">
        <f t="shared" si="182"/>
        <v>0</v>
      </c>
      <c r="DB97" s="62">
        <f t="shared" si="183"/>
        <v>0</v>
      </c>
      <c r="DC97" s="62">
        <f t="shared" si="184"/>
        <v>0</v>
      </c>
      <c r="DD97" s="62">
        <f t="shared" si="185"/>
        <v>0</v>
      </c>
      <c r="DE97" s="1166">
        <f t="shared" si="186"/>
        <v>0</v>
      </c>
      <c r="DF97" s="61"/>
      <c r="DG97" s="62">
        <f t="shared" si="187"/>
        <v>0</v>
      </c>
      <c r="DH97" s="62">
        <f t="shared" si="188"/>
        <v>0</v>
      </c>
      <c r="DI97" s="62">
        <f t="shared" si="189"/>
        <v>0</v>
      </c>
      <c r="DJ97" s="62">
        <f t="shared" si="190"/>
        <v>0</v>
      </c>
      <c r="DK97" s="1166">
        <f t="shared" si="191"/>
        <v>0</v>
      </c>
      <c r="DL97" s="61"/>
      <c r="DM97" s="62">
        <f t="shared" si="192"/>
        <v>0</v>
      </c>
      <c r="DN97" s="62">
        <f t="shared" si="193"/>
        <v>0</v>
      </c>
      <c r="DO97" s="62">
        <f t="shared" si="194"/>
        <v>0</v>
      </c>
      <c r="DP97" s="62">
        <f t="shared" si="195"/>
        <v>0</v>
      </c>
      <c r="DQ97" s="1166">
        <f t="shared" si="196"/>
        <v>0</v>
      </c>
      <c r="DR97" s="61"/>
      <c r="DS97" s="62">
        <f t="shared" si="197"/>
        <v>0</v>
      </c>
      <c r="DT97" s="62">
        <f t="shared" si="198"/>
        <v>0</v>
      </c>
      <c r="DU97" s="62">
        <f t="shared" si="199"/>
        <v>0</v>
      </c>
      <c r="DV97" s="62">
        <f t="shared" si="200"/>
        <v>0</v>
      </c>
      <c r="DW97" s="1166">
        <f t="shared" si="201"/>
        <v>0</v>
      </c>
      <c r="DX97" s="61"/>
      <c r="DY97" s="62">
        <f t="shared" si="202"/>
        <v>0</v>
      </c>
      <c r="DZ97" s="62">
        <f t="shared" si="203"/>
        <v>0</v>
      </c>
      <c r="EA97" s="62">
        <f t="shared" si="204"/>
        <v>0</v>
      </c>
      <c r="EB97" s="62">
        <f t="shared" si="205"/>
        <v>0</v>
      </c>
      <c r="EC97" s="1166">
        <f t="shared" si="206"/>
        <v>0</v>
      </c>
      <c r="ED97" s="61"/>
      <c r="EE97" s="62">
        <f t="shared" si="207"/>
        <v>0</v>
      </c>
      <c r="EF97" s="62">
        <f t="shared" si="208"/>
        <v>0</v>
      </c>
      <c r="EG97" s="62">
        <f t="shared" si="209"/>
        <v>0</v>
      </c>
      <c r="EH97" s="62">
        <f t="shared" si="210"/>
        <v>0</v>
      </c>
      <c r="EI97" s="1166">
        <f t="shared" si="211"/>
        <v>0</v>
      </c>
      <c r="EJ97" s="61"/>
      <c r="EK97" s="62">
        <f t="shared" si="212"/>
        <v>0</v>
      </c>
      <c r="EL97" s="62">
        <f t="shared" si="213"/>
        <v>0</v>
      </c>
      <c r="EM97" s="62">
        <f t="shared" si="214"/>
        <v>0</v>
      </c>
      <c r="EN97" s="62">
        <f t="shared" si="215"/>
        <v>0</v>
      </c>
      <c r="EO97" s="1166">
        <f t="shared" si="216"/>
        <v>0</v>
      </c>
      <c r="EP97" s="61"/>
      <c r="EQ97" s="62">
        <f t="shared" si="217"/>
        <v>0</v>
      </c>
      <c r="ER97" s="62">
        <f t="shared" si="218"/>
        <v>0</v>
      </c>
      <c r="ES97" s="62">
        <f t="shared" si="219"/>
        <v>0</v>
      </c>
      <c r="ET97" s="62">
        <f t="shared" si="220"/>
        <v>0</v>
      </c>
      <c r="EU97" s="1166">
        <f t="shared" si="221"/>
        <v>0</v>
      </c>
      <c r="EV97" s="45"/>
      <c r="EW97" s="45"/>
      <c r="FD97" s="45"/>
      <c r="FE97" s="45"/>
      <c r="FF97" s="45"/>
      <c r="FG97" s="45"/>
      <c r="FH97" s="45"/>
      <c r="FI97" s="45"/>
      <c r="FJ97" s="45"/>
      <c r="FK97" s="45"/>
      <c r="FL97" s="45"/>
      <c r="FM97" s="45"/>
      <c r="FN97" s="45"/>
      <c r="FO97" s="45"/>
      <c r="FP97" s="45"/>
    </row>
    <row r="98" spans="1:172" hidden="1">
      <c r="A98" s="41" t="s">
        <v>337</v>
      </c>
      <c r="B98" s="61"/>
      <c r="C98" s="61"/>
      <c r="D98" s="61"/>
      <c r="E98" s="61"/>
      <c r="F98" s="61"/>
      <c r="G98" s="363"/>
      <c r="H98" s="61"/>
      <c r="I98" s="61"/>
      <c r="J98" s="61"/>
      <c r="K98" s="61"/>
      <c r="L98" s="61"/>
      <c r="M98" s="363"/>
      <c r="N98" s="61"/>
      <c r="O98" s="62">
        <f t="shared" si="127"/>
        <v>0</v>
      </c>
      <c r="P98" s="62">
        <f t="shared" ref="P98:R102" si="224">IF(P23="-","-",SUM(P23)-SUM(O23))</f>
        <v>-1.3069999999999999</v>
      </c>
      <c r="Q98" s="62">
        <f t="shared" si="224"/>
        <v>0</v>
      </c>
      <c r="R98" s="62">
        <f t="shared" si="224"/>
        <v>0</v>
      </c>
      <c r="S98" s="62">
        <f t="shared" si="129"/>
        <v>-1.3069999999999999</v>
      </c>
      <c r="T98" s="61"/>
      <c r="U98" s="62">
        <f t="shared" si="130"/>
        <v>0</v>
      </c>
      <c r="V98" s="62">
        <f t="shared" ref="V98:X102" si="225">IF(V23="-","-",SUM(V23)-SUM(U23))</f>
        <v>0</v>
      </c>
      <c r="W98" s="62">
        <f t="shared" si="225"/>
        <v>0</v>
      </c>
      <c r="X98" s="62">
        <f t="shared" si="225"/>
        <v>0</v>
      </c>
      <c r="Y98" s="62">
        <f t="shared" si="132"/>
        <v>0</v>
      </c>
      <c r="Z98" s="61"/>
      <c r="AA98" s="62">
        <f t="shared" si="133"/>
        <v>0</v>
      </c>
      <c r="AB98" s="62">
        <f t="shared" ref="AB98:AD102" si="226">IF(AB23="-","-",SUM(AB23)-SUM(AA23))</f>
        <v>0</v>
      </c>
      <c r="AC98" s="62">
        <f t="shared" si="226"/>
        <v>0</v>
      </c>
      <c r="AD98" s="62">
        <f t="shared" si="226"/>
        <v>0</v>
      </c>
      <c r="AE98" s="62">
        <f t="shared" si="135"/>
        <v>0</v>
      </c>
      <c r="AF98" s="61"/>
      <c r="AG98" s="62">
        <f t="shared" si="136"/>
        <v>0</v>
      </c>
      <c r="AH98" s="62">
        <f t="shared" ref="AH98:AJ102" si="227">IF(AH23="-","-",SUM(AH23)-SUM(AG23))</f>
        <v>0</v>
      </c>
      <c r="AI98" s="62">
        <f t="shared" si="227"/>
        <v>0</v>
      </c>
      <c r="AJ98" s="62">
        <f t="shared" si="227"/>
        <v>0</v>
      </c>
      <c r="AK98" s="62">
        <f t="shared" si="138"/>
        <v>0</v>
      </c>
      <c r="AL98" s="61"/>
      <c r="AM98" s="62">
        <f t="shared" si="139"/>
        <v>0</v>
      </c>
      <c r="AN98" s="62">
        <f t="shared" ref="AN98:AP102" si="228">IF(AN23="-","-",SUM(AN23)-SUM(AM23))</f>
        <v>0</v>
      </c>
      <c r="AO98" s="62">
        <f t="shared" si="228"/>
        <v>0</v>
      </c>
      <c r="AP98" s="62">
        <f t="shared" si="228"/>
        <v>0</v>
      </c>
      <c r="AQ98" s="62">
        <f t="shared" si="141"/>
        <v>0</v>
      </c>
      <c r="AR98" s="61"/>
      <c r="AS98" s="62">
        <f t="shared" si="142"/>
        <v>0</v>
      </c>
      <c r="AT98" s="62">
        <f t="shared" ref="AT98:AV102" si="229">IF(AT23="-","-",SUM(AT23)-SUM(AS23))</f>
        <v>0</v>
      </c>
      <c r="AU98" s="62">
        <f t="shared" si="229"/>
        <v>0</v>
      </c>
      <c r="AV98" s="62">
        <f t="shared" si="229"/>
        <v>0</v>
      </c>
      <c r="AW98" s="62">
        <f t="shared" si="144"/>
        <v>0</v>
      </c>
      <c r="AX98" s="61"/>
      <c r="AY98" s="62">
        <f t="shared" si="145"/>
        <v>0</v>
      </c>
      <c r="AZ98" s="62">
        <f t="shared" ref="AZ98:BA102" si="230">IF(AZ23="-","-",SUM(AZ23)-SUM(AY23))</f>
        <v>0</v>
      </c>
      <c r="BA98" s="62">
        <f t="shared" si="230"/>
        <v>0</v>
      </c>
      <c r="BB98" s="62">
        <f t="shared" si="147"/>
        <v>0</v>
      </c>
      <c r="BC98" s="62">
        <f t="shared" si="148"/>
        <v>0</v>
      </c>
      <c r="BD98" s="61"/>
      <c r="BE98" s="62">
        <f t="shared" si="149"/>
        <v>0</v>
      </c>
      <c r="BF98" s="62">
        <f t="shared" ref="BF98:BH102" si="231">IF(BF23="-","-",SUM(BF23)-SUM(BE23))</f>
        <v>0</v>
      </c>
      <c r="BG98" s="62">
        <f t="shared" si="231"/>
        <v>0</v>
      </c>
      <c r="BH98" s="62">
        <f t="shared" si="231"/>
        <v>0</v>
      </c>
      <c r="BI98" s="62">
        <f t="shared" si="151"/>
        <v>0</v>
      </c>
      <c r="BJ98" s="61"/>
      <c r="BK98" s="62">
        <f t="shared" si="152"/>
        <v>0</v>
      </c>
      <c r="BL98" s="62">
        <f t="shared" ref="BL98:BN102" si="232">IF(BL23="-","-",SUM(BL23)-SUM(BK23))</f>
        <v>0</v>
      </c>
      <c r="BM98" s="62">
        <f t="shared" si="232"/>
        <v>0</v>
      </c>
      <c r="BN98" s="62">
        <f t="shared" si="232"/>
        <v>0</v>
      </c>
      <c r="BO98" s="1166">
        <f t="shared" si="154"/>
        <v>0</v>
      </c>
      <c r="BP98" s="61"/>
      <c r="BQ98" s="62">
        <f t="shared" si="155"/>
        <v>0</v>
      </c>
      <c r="BR98" s="62">
        <f t="shared" ref="BR98:BT102" si="233">IF(BR23="-","-",SUM(BR23)-SUM(BQ23))</f>
        <v>0</v>
      </c>
      <c r="BS98" s="62">
        <f t="shared" si="233"/>
        <v>0</v>
      </c>
      <c r="BT98" s="62">
        <f t="shared" si="233"/>
        <v>0</v>
      </c>
      <c r="BU98" s="1166">
        <f t="shared" si="157"/>
        <v>0</v>
      </c>
      <c r="BV98" s="61"/>
      <c r="BW98" s="62">
        <f t="shared" si="158"/>
        <v>0</v>
      </c>
      <c r="BX98" s="62">
        <f t="shared" si="159"/>
        <v>0</v>
      </c>
      <c r="BY98" s="62">
        <f t="shared" si="160"/>
        <v>0</v>
      </c>
      <c r="BZ98" s="62">
        <f t="shared" si="161"/>
        <v>0</v>
      </c>
      <c r="CA98" s="1416">
        <f t="shared" si="223"/>
        <v>0</v>
      </c>
      <c r="CB98" s="61"/>
      <c r="CC98" s="62">
        <f t="shared" si="163"/>
        <v>0</v>
      </c>
      <c r="CD98" s="62">
        <f t="shared" si="164"/>
        <v>0</v>
      </c>
      <c r="CE98" s="62">
        <f t="shared" si="165"/>
        <v>0</v>
      </c>
      <c r="CF98" s="62">
        <f t="shared" si="166"/>
        <v>0</v>
      </c>
      <c r="CG98" s="1166">
        <f t="shared" si="167"/>
        <v>0</v>
      </c>
      <c r="CH98" s="61"/>
      <c r="CI98" s="62">
        <f t="shared" si="168"/>
        <v>0</v>
      </c>
      <c r="CJ98" s="62">
        <f t="shared" si="169"/>
        <v>0</v>
      </c>
      <c r="CK98" s="62">
        <f t="shared" si="170"/>
        <v>0</v>
      </c>
      <c r="CL98" s="62">
        <f t="shared" si="171"/>
        <v>0</v>
      </c>
      <c r="CM98" s="1166">
        <f t="shared" si="172"/>
        <v>0</v>
      </c>
      <c r="CN98" s="61"/>
      <c r="CO98" s="62">
        <f t="shared" si="173"/>
        <v>0</v>
      </c>
      <c r="CP98" s="62">
        <f t="shared" si="174"/>
        <v>0</v>
      </c>
      <c r="CQ98" s="62">
        <f t="shared" si="175"/>
        <v>0</v>
      </c>
      <c r="CR98" s="62">
        <f t="shared" si="176"/>
        <v>0</v>
      </c>
      <c r="CS98" s="1166">
        <f t="shared" si="177"/>
        <v>0</v>
      </c>
      <c r="CT98" s="61"/>
      <c r="CU98" s="62">
        <f t="shared" si="178"/>
        <v>0</v>
      </c>
      <c r="CV98" s="62">
        <f t="shared" si="222"/>
        <v>0</v>
      </c>
      <c r="CW98" s="62">
        <f t="shared" si="179"/>
        <v>0</v>
      </c>
      <c r="CX98" s="62">
        <f t="shared" si="180"/>
        <v>0</v>
      </c>
      <c r="CY98" s="1166">
        <f t="shared" si="181"/>
        <v>0</v>
      </c>
      <c r="CZ98" s="61"/>
      <c r="DA98" s="62">
        <f t="shared" si="182"/>
        <v>0</v>
      </c>
      <c r="DB98" s="62">
        <f t="shared" si="183"/>
        <v>0</v>
      </c>
      <c r="DC98" s="62">
        <f t="shared" si="184"/>
        <v>0</v>
      </c>
      <c r="DD98" s="62">
        <f t="shared" si="185"/>
        <v>0</v>
      </c>
      <c r="DE98" s="1166">
        <f t="shared" si="186"/>
        <v>0</v>
      </c>
      <c r="DF98" s="61"/>
      <c r="DG98" s="62">
        <f t="shared" si="187"/>
        <v>0</v>
      </c>
      <c r="DH98" s="62">
        <f t="shared" si="188"/>
        <v>0</v>
      </c>
      <c r="DI98" s="62">
        <f t="shared" si="189"/>
        <v>0</v>
      </c>
      <c r="DJ98" s="62">
        <f t="shared" si="190"/>
        <v>0</v>
      </c>
      <c r="DK98" s="1166">
        <f t="shared" si="191"/>
        <v>0</v>
      </c>
      <c r="DL98" s="61"/>
      <c r="DM98" s="62">
        <f t="shared" si="192"/>
        <v>0</v>
      </c>
      <c r="DN98" s="62">
        <f t="shared" si="193"/>
        <v>0</v>
      </c>
      <c r="DO98" s="62">
        <f t="shared" si="194"/>
        <v>0</v>
      </c>
      <c r="DP98" s="62">
        <f t="shared" si="195"/>
        <v>0</v>
      </c>
      <c r="DQ98" s="1166">
        <f t="shared" si="196"/>
        <v>0</v>
      </c>
      <c r="DR98" s="61"/>
      <c r="DS98" s="62">
        <f t="shared" si="197"/>
        <v>0</v>
      </c>
      <c r="DT98" s="62">
        <f t="shared" si="198"/>
        <v>0</v>
      </c>
      <c r="DU98" s="62">
        <f t="shared" si="199"/>
        <v>0</v>
      </c>
      <c r="DV98" s="62">
        <f t="shared" si="200"/>
        <v>0</v>
      </c>
      <c r="DW98" s="1166">
        <f t="shared" si="201"/>
        <v>0</v>
      </c>
      <c r="DX98" s="61"/>
      <c r="DY98" s="62">
        <f t="shared" si="202"/>
        <v>0</v>
      </c>
      <c r="DZ98" s="62">
        <f t="shared" si="203"/>
        <v>0</v>
      </c>
      <c r="EA98" s="62">
        <f t="shared" si="204"/>
        <v>0</v>
      </c>
      <c r="EB98" s="62">
        <f t="shared" si="205"/>
        <v>0</v>
      </c>
      <c r="EC98" s="1166">
        <f t="shared" si="206"/>
        <v>0</v>
      </c>
      <c r="ED98" s="61"/>
      <c r="EE98" s="62">
        <f t="shared" si="207"/>
        <v>0</v>
      </c>
      <c r="EF98" s="62">
        <f t="shared" si="208"/>
        <v>0</v>
      </c>
      <c r="EG98" s="62">
        <f t="shared" si="209"/>
        <v>0</v>
      </c>
      <c r="EH98" s="62">
        <f t="shared" si="210"/>
        <v>0</v>
      </c>
      <c r="EI98" s="1166">
        <f t="shared" si="211"/>
        <v>0</v>
      </c>
      <c r="EJ98" s="61"/>
      <c r="EK98" s="62">
        <f t="shared" si="212"/>
        <v>0</v>
      </c>
      <c r="EL98" s="62">
        <f t="shared" si="213"/>
        <v>0</v>
      </c>
      <c r="EM98" s="62">
        <f t="shared" si="214"/>
        <v>0</v>
      </c>
      <c r="EN98" s="62">
        <f t="shared" si="215"/>
        <v>0</v>
      </c>
      <c r="EO98" s="1166">
        <f t="shared" si="216"/>
        <v>0</v>
      </c>
      <c r="EP98" s="61"/>
      <c r="EQ98" s="62">
        <f t="shared" si="217"/>
        <v>0</v>
      </c>
      <c r="ER98" s="62">
        <f t="shared" si="218"/>
        <v>0</v>
      </c>
      <c r="ES98" s="62">
        <f t="shared" si="219"/>
        <v>0</v>
      </c>
      <c r="ET98" s="62">
        <f t="shared" si="220"/>
        <v>0</v>
      </c>
      <c r="EU98" s="1166">
        <f t="shared" si="221"/>
        <v>0</v>
      </c>
      <c r="EV98" s="45"/>
      <c r="EW98" s="45"/>
      <c r="FD98" s="45"/>
      <c r="FE98" s="45"/>
      <c r="FF98" s="45"/>
      <c r="FG98" s="45"/>
      <c r="FH98" s="45"/>
      <c r="FI98" s="45"/>
      <c r="FJ98" s="45"/>
      <c r="FK98" s="45"/>
      <c r="FL98" s="45"/>
      <c r="FM98" s="45"/>
      <c r="FN98" s="45"/>
      <c r="FO98" s="45"/>
      <c r="FP98" s="45"/>
    </row>
    <row r="99" spans="1:172" hidden="1">
      <c r="A99" s="41" t="s">
        <v>338</v>
      </c>
      <c r="B99" s="61"/>
      <c r="C99" s="61"/>
      <c r="D99" s="61"/>
      <c r="E99" s="61"/>
      <c r="F99" s="61"/>
      <c r="G99" s="363"/>
      <c r="H99" s="61"/>
      <c r="I99" s="61"/>
      <c r="J99" s="61"/>
      <c r="K99" s="61"/>
      <c r="L99" s="61"/>
      <c r="M99" s="363"/>
      <c r="N99" s="61"/>
      <c r="O99" s="62">
        <f t="shared" si="127"/>
        <v>0</v>
      </c>
      <c r="P99" s="62">
        <f t="shared" si="224"/>
        <v>-2.5</v>
      </c>
      <c r="Q99" s="62">
        <f t="shared" si="224"/>
        <v>0</v>
      </c>
      <c r="R99" s="62">
        <f t="shared" si="224"/>
        <v>0</v>
      </c>
      <c r="S99" s="62">
        <f t="shared" si="129"/>
        <v>-2.5</v>
      </c>
      <c r="T99" s="61"/>
      <c r="U99" s="62">
        <f t="shared" si="130"/>
        <v>0</v>
      </c>
      <c r="V99" s="62">
        <f t="shared" si="225"/>
        <v>0</v>
      </c>
      <c r="W99" s="62">
        <f t="shared" si="225"/>
        <v>0</v>
      </c>
      <c r="X99" s="62">
        <f t="shared" si="225"/>
        <v>0</v>
      </c>
      <c r="Y99" s="62">
        <f t="shared" si="132"/>
        <v>0</v>
      </c>
      <c r="Z99" s="61"/>
      <c r="AA99" s="62">
        <f t="shared" si="133"/>
        <v>0</v>
      </c>
      <c r="AB99" s="62">
        <f t="shared" si="226"/>
        <v>0</v>
      </c>
      <c r="AC99" s="62">
        <f t="shared" si="226"/>
        <v>0</v>
      </c>
      <c r="AD99" s="62">
        <f t="shared" si="226"/>
        <v>0</v>
      </c>
      <c r="AE99" s="62">
        <f t="shared" si="135"/>
        <v>0</v>
      </c>
      <c r="AF99" s="61"/>
      <c r="AG99" s="62">
        <f t="shared" si="136"/>
        <v>0</v>
      </c>
      <c r="AH99" s="62">
        <f t="shared" si="227"/>
        <v>0</v>
      </c>
      <c r="AI99" s="62">
        <f t="shared" si="227"/>
        <v>0</v>
      </c>
      <c r="AJ99" s="62">
        <f t="shared" si="227"/>
        <v>0</v>
      </c>
      <c r="AK99" s="62">
        <f t="shared" si="138"/>
        <v>0</v>
      </c>
      <c r="AL99" s="61"/>
      <c r="AM99" s="62">
        <f t="shared" si="139"/>
        <v>0</v>
      </c>
      <c r="AN99" s="62">
        <f t="shared" si="228"/>
        <v>0</v>
      </c>
      <c r="AO99" s="62">
        <f t="shared" si="228"/>
        <v>0</v>
      </c>
      <c r="AP99" s="62">
        <f t="shared" si="228"/>
        <v>0</v>
      </c>
      <c r="AQ99" s="62">
        <f t="shared" si="141"/>
        <v>0</v>
      </c>
      <c r="AR99" s="61"/>
      <c r="AS99" s="62">
        <f t="shared" si="142"/>
        <v>0</v>
      </c>
      <c r="AT99" s="62">
        <f t="shared" si="229"/>
        <v>0</v>
      </c>
      <c r="AU99" s="62">
        <f t="shared" si="229"/>
        <v>0</v>
      </c>
      <c r="AV99" s="62">
        <f t="shared" si="229"/>
        <v>0</v>
      </c>
      <c r="AW99" s="62">
        <f t="shared" si="144"/>
        <v>0</v>
      </c>
      <c r="AX99" s="61"/>
      <c r="AY99" s="62">
        <f t="shared" si="145"/>
        <v>0</v>
      </c>
      <c r="AZ99" s="62">
        <f t="shared" si="230"/>
        <v>0</v>
      </c>
      <c r="BA99" s="62">
        <f t="shared" si="230"/>
        <v>0</v>
      </c>
      <c r="BB99" s="62">
        <f t="shared" si="147"/>
        <v>0</v>
      </c>
      <c r="BC99" s="62">
        <f t="shared" si="148"/>
        <v>0</v>
      </c>
      <c r="BD99" s="61"/>
      <c r="BE99" s="62">
        <f t="shared" si="149"/>
        <v>0</v>
      </c>
      <c r="BF99" s="62">
        <f t="shared" si="231"/>
        <v>0</v>
      </c>
      <c r="BG99" s="62">
        <f t="shared" si="231"/>
        <v>0</v>
      </c>
      <c r="BH99" s="62">
        <f t="shared" si="231"/>
        <v>0</v>
      </c>
      <c r="BI99" s="62">
        <f t="shared" si="151"/>
        <v>0</v>
      </c>
      <c r="BJ99" s="61"/>
      <c r="BK99" s="62">
        <f t="shared" si="152"/>
        <v>0</v>
      </c>
      <c r="BL99" s="62">
        <f t="shared" si="232"/>
        <v>0</v>
      </c>
      <c r="BM99" s="62">
        <f t="shared" si="232"/>
        <v>0</v>
      </c>
      <c r="BN99" s="62">
        <f t="shared" si="232"/>
        <v>0</v>
      </c>
      <c r="BO99" s="1166">
        <f t="shared" si="154"/>
        <v>0</v>
      </c>
      <c r="BP99" s="61"/>
      <c r="BQ99" s="62">
        <f t="shared" si="155"/>
        <v>0</v>
      </c>
      <c r="BR99" s="62">
        <f t="shared" si="233"/>
        <v>0</v>
      </c>
      <c r="BS99" s="62">
        <f t="shared" si="233"/>
        <v>0</v>
      </c>
      <c r="BT99" s="62">
        <f t="shared" si="233"/>
        <v>0</v>
      </c>
      <c r="BU99" s="1166">
        <f t="shared" si="157"/>
        <v>0</v>
      </c>
      <c r="BV99" s="61"/>
      <c r="BW99" s="62">
        <f t="shared" si="158"/>
        <v>0</v>
      </c>
      <c r="BX99" s="62">
        <f t="shared" si="159"/>
        <v>0</v>
      </c>
      <c r="BY99" s="62">
        <f t="shared" si="160"/>
        <v>0</v>
      </c>
      <c r="BZ99" s="62">
        <f t="shared" si="161"/>
        <v>0</v>
      </c>
      <c r="CA99" s="1416">
        <f t="shared" si="223"/>
        <v>0</v>
      </c>
      <c r="CB99" s="61"/>
      <c r="CC99" s="62">
        <f t="shared" si="163"/>
        <v>0</v>
      </c>
      <c r="CD99" s="62">
        <f t="shared" si="164"/>
        <v>0</v>
      </c>
      <c r="CE99" s="62">
        <f t="shared" si="165"/>
        <v>0</v>
      </c>
      <c r="CF99" s="62">
        <f t="shared" si="166"/>
        <v>0</v>
      </c>
      <c r="CG99" s="1166">
        <f t="shared" si="167"/>
        <v>0</v>
      </c>
      <c r="CH99" s="61"/>
      <c r="CI99" s="62">
        <f t="shared" si="168"/>
        <v>0</v>
      </c>
      <c r="CJ99" s="62">
        <f t="shared" si="169"/>
        <v>0</v>
      </c>
      <c r="CK99" s="62">
        <f t="shared" si="170"/>
        <v>0</v>
      </c>
      <c r="CL99" s="62">
        <f t="shared" si="171"/>
        <v>0</v>
      </c>
      <c r="CM99" s="1166">
        <f t="shared" si="172"/>
        <v>0</v>
      </c>
      <c r="CN99" s="61"/>
      <c r="CO99" s="62">
        <f t="shared" si="173"/>
        <v>0</v>
      </c>
      <c r="CP99" s="62">
        <f t="shared" si="174"/>
        <v>0</v>
      </c>
      <c r="CQ99" s="62">
        <f t="shared" si="175"/>
        <v>0</v>
      </c>
      <c r="CR99" s="62">
        <f t="shared" si="176"/>
        <v>0</v>
      </c>
      <c r="CS99" s="1166">
        <f t="shared" si="177"/>
        <v>0</v>
      </c>
      <c r="CT99" s="61"/>
      <c r="CU99" s="62">
        <f t="shared" si="178"/>
        <v>0</v>
      </c>
      <c r="CV99" s="62">
        <f t="shared" si="222"/>
        <v>0</v>
      </c>
      <c r="CW99" s="62">
        <f t="shared" si="179"/>
        <v>0</v>
      </c>
      <c r="CX99" s="62">
        <f t="shared" si="180"/>
        <v>0</v>
      </c>
      <c r="CY99" s="1166">
        <f t="shared" si="181"/>
        <v>0</v>
      </c>
      <c r="CZ99" s="61"/>
      <c r="DA99" s="62">
        <f t="shared" si="182"/>
        <v>0</v>
      </c>
      <c r="DB99" s="62">
        <f t="shared" si="183"/>
        <v>0</v>
      </c>
      <c r="DC99" s="62">
        <f t="shared" si="184"/>
        <v>0</v>
      </c>
      <c r="DD99" s="62">
        <f t="shared" si="185"/>
        <v>0</v>
      </c>
      <c r="DE99" s="1166">
        <f t="shared" si="186"/>
        <v>0</v>
      </c>
      <c r="DF99" s="61"/>
      <c r="DG99" s="62">
        <f t="shared" si="187"/>
        <v>0</v>
      </c>
      <c r="DH99" s="62">
        <f t="shared" si="188"/>
        <v>0</v>
      </c>
      <c r="DI99" s="62">
        <f t="shared" si="189"/>
        <v>0</v>
      </c>
      <c r="DJ99" s="62">
        <f t="shared" si="190"/>
        <v>0</v>
      </c>
      <c r="DK99" s="1166">
        <f t="shared" si="191"/>
        <v>0</v>
      </c>
      <c r="DL99" s="61"/>
      <c r="DM99" s="62">
        <f t="shared" si="192"/>
        <v>0</v>
      </c>
      <c r="DN99" s="62">
        <f t="shared" si="193"/>
        <v>0</v>
      </c>
      <c r="DO99" s="62">
        <f t="shared" si="194"/>
        <v>0</v>
      </c>
      <c r="DP99" s="62">
        <f t="shared" si="195"/>
        <v>0</v>
      </c>
      <c r="DQ99" s="1166">
        <f t="shared" si="196"/>
        <v>0</v>
      </c>
      <c r="DR99" s="61"/>
      <c r="DS99" s="62">
        <f t="shared" si="197"/>
        <v>0</v>
      </c>
      <c r="DT99" s="62">
        <f t="shared" si="198"/>
        <v>0</v>
      </c>
      <c r="DU99" s="62">
        <f t="shared" si="199"/>
        <v>0</v>
      </c>
      <c r="DV99" s="62">
        <f t="shared" si="200"/>
        <v>0</v>
      </c>
      <c r="DW99" s="1166">
        <f t="shared" si="201"/>
        <v>0</v>
      </c>
      <c r="DX99" s="61"/>
      <c r="DY99" s="62">
        <f t="shared" si="202"/>
        <v>0</v>
      </c>
      <c r="DZ99" s="62">
        <f t="shared" si="203"/>
        <v>0</v>
      </c>
      <c r="EA99" s="62">
        <f t="shared" si="204"/>
        <v>0</v>
      </c>
      <c r="EB99" s="62">
        <f t="shared" si="205"/>
        <v>0</v>
      </c>
      <c r="EC99" s="1166">
        <f t="shared" si="206"/>
        <v>0</v>
      </c>
      <c r="ED99" s="61"/>
      <c r="EE99" s="62">
        <f t="shared" si="207"/>
        <v>0</v>
      </c>
      <c r="EF99" s="62">
        <f t="shared" si="208"/>
        <v>0</v>
      </c>
      <c r="EG99" s="62">
        <f t="shared" si="209"/>
        <v>0</v>
      </c>
      <c r="EH99" s="62">
        <f t="shared" si="210"/>
        <v>0</v>
      </c>
      <c r="EI99" s="1166">
        <f t="shared" si="211"/>
        <v>0</v>
      </c>
      <c r="EJ99" s="61"/>
      <c r="EK99" s="62">
        <f t="shared" si="212"/>
        <v>0</v>
      </c>
      <c r="EL99" s="62">
        <f t="shared" si="213"/>
        <v>0</v>
      </c>
      <c r="EM99" s="62">
        <f t="shared" si="214"/>
        <v>0</v>
      </c>
      <c r="EN99" s="62">
        <f t="shared" si="215"/>
        <v>0</v>
      </c>
      <c r="EO99" s="1166">
        <f t="shared" si="216"/>
        <v>0</v>
      </c>
      <c r="EP99" s="61"/>
      <c r="EQ99" s="62">
        <f t="shared" si="217"/>
        <v>0</v>
      </c>
      <c r="ER99" s="62">
        <f t="shared" si="218"/>
        <v>0</v>
      </c>
      <c r="ES99" s="62">
        <f t="shared" si="219"/>
        <v>0</v>
      </c>
      <c r="ET99" s="62">
        <f t="shared" si="220"/>
        <v>0</v>
      </c>
      <c r="EU99" s="1166">
        <f t="shared" si="221"/>
        <v>0</v>
      </c>
      <c r="EV99" s="45"/>
      <c r="EW99" s="45"/>
      <c r="FD99" s="45"/>
      <c r="FE99" s="45"/>
      <c r="FF99" s="45"/>
      <c r="FG99" s="45"/>
      <c r="FH99" s="45"/>
      <c r="FI99" s="45"/>
      <c r="FJ99" s="45"/>
      <c r="FK99" s="45"/>
      <c r="FL99" s="45"/>
      <c r="FM99" s="45"/>
      <c r="FN99" s="45"/>
      <c r="FO99" s="45"/>
      <c r="FP99" s="45"/>
    </row>
    <row r="100" spans="1:172" hidden="1">
      <c r="A100" s="41" t="s">
        <v>1860</v>
      </c>
      <c r="B100" s="61"/>
      <c r="C100" s="61"/>
      <c r="D100" s="61"/>
      <c r="E100" s="61"/>
      <c r="F100" s="61"/>
      <c r="G100" s="363"/>
      <c r="H100" s="61"/>
      <c r="I100" s="61"/>
      <c r="J100" s="61"/>
      <c r="K100" s="61"/>
      <c r="L100" s="61"/>
      <c r="M100" s="363"/>
      <c r="N100" s="61"/>
      <c r="O100" s="62">
        <f t="shared" si="127"/>
        <v>0</v>
      </c>
      <c r="P100" s="62">
        <f t="shared" si="224"/>
        <v>0</v>
      </c>
      <c r="Q100" s="62">
        <f t="shared" si="224"/>
        <v>0</v>
      </c>
      <c r="R100" s="62">
        <f t="shared" si="224"/>
        <v>0</v>
      </c>
      <c r="S100" s="62">
        <f t="shared" si="129"/>
        <v>0</v>
      </c>
      <c r="T100" s="61"/>
      <c r="U100" s="62">
        <f t="shared" si="130"/>
        <v>0</v>
      </c>
      <c r="V100" s="62">
        <f t="shared" si="225"/>
        <v>0</v>
      </c>
      <c r="W100" s="62">
        <f t="shared" si="225"/>
        <v>0</v>
      </c>
      <c r="X100" s="62">
        <f t="shared" si="225"/>
        <v>4.7759999999999998</v>
      </c>
      <c r="Y100" s="62">
        <f t="shared" si="132"/>
        <v>4.7759999999999998</v>
      </c>
      <c r="Z100" s="61"/>
      <c r="AA100" s="62">
        <f t="shared" si="133"/>
        <v>0</v>
      </c>
      <c r="AB100" s="62">
        <f t="shared" si="226"/>
        <v>0</v>
      </c>
      <c r="AC100" s="62">
        <f t="shared" si="226"/>
        <v>0</v>
      </c>
      <c r="AD100" s="62">
        <f t="shared" si="226"/>
        <v>0</v>
      </c>
      <c r="AE100" s="62">
        <f t="shared" si="135"/>
        <v>0</v>
      </c>
      <c r="AF100" s="61"/>
      <c r="AG100" s="62">
        <f t="shared" si="136"/>
        <v>0</v>
      </c>
      <c r="AH100" s="62">
        <f t="shared" si="227"/>
        <v>0</v>
      </c>
      <c r="AI100" s="62">
        <f t="shared" si="227"/>
        <v>0</v>
      </c>
      <c r="AJ100" s="62">
        <f t="shared" si="227"/>
        <v>0</v>
      </c>
      <c r="AK100" s="62">
        <f t="shared" si="138"/>
        <v>0</v>
      </c>
      <c r="AL100" s="61"/>
      <c r="AM100" s="62">
        <f t="shared" si="139"/>
        <v>0</v>
      </c>
      <c r="AN100" s="62">
        <f t="shared" si="228"/>
        <v>0</v>
      </c>
      <c r="AO100" s="62">
        <f t="shared" si="228"/>
        <v>0</v>
      </c>
      <c r="AP100" s="62">
        <f t="shared" si="228"/>
        <v>0</v>
      </c>
      <c r="AQ100" s="62">
        <f t="shared" si="141"/>
        <v>0</v>
      </c>
      <c r="AR100" s="61"/>
      <c r="AS100" s="62">
        <f t="shared" si="142"/>
        <v>0</v>
      </c>
      <c r="AT100" s="62">
        <f t="shared" si="229"/>
        <v>0</v>
      </c>
      <c r="AU100" s="62">
        <f t="shared" si="229"/>
        <v>0</v>
      </c>
      <c r="AV100" s="62">
        <f t="shared" si="229"/>
        <v>0</v>
      </c>
      <c r="AW100" s="62">
        <f t="shared" si="144"/>
        <v>0</v>
      </c>
      <c r="AX100" s="61"/>
      <c r="AY100" s="62">
        <f t="shared" si="145"/>
        <v>0</v>
      </c>
      <c r="AZ100" s="62">
        <f t="shared" si="230"/>
        <v>0</v>
      </c>
      <c r="BA100" s="62">
        <f t="shared" si="230"/>
        <v>0</v>
      </c>
      <c r="BB100" s="62">
        <f t="shared" si="147"/>
        <v>0</v>
      </c>
      <c r="BC100" s="62">
        <f t="shared" si="148"/>
        <v>0</v>
      </c>
      <c r="BD100" s="61"/>
      <c r="BE100" s="62">
        <f t="shared" si="149"/>
        <v>0</v>
      </c>
      <c r="BF100" s="62">
        <f t="shared" si="231"/>
        <v>0</v>
      </c>
      <c r="BG100" s="62">
        <f t="shared" si="231"/>
        <v>0</v>
      </c>
      <c r="BH100" s="62">
        <f t="shared" si="231"/>
        <v>0</v>
      </c>
      <c r="BI100" s="62">
        <f t="shared" si="151"/>
        <v>0</v>
      </c>
      <c r="BJ100" s="61"/>
      <c r="BK100" s="62">
        <f t="shared" si="152"/>
        <v>0</v>
      </c>
      <c r="BL100" s="62">
        <f t="shared" si="232"/>
        <v>0</v>
      </c>
      <c r="BM100" s="62">
        <f t="shared" si="232"/>
        <v>0</v>
      </c>
      <c r="BN100" s="62">
        <f t="shared" si="232"/>
        <v>0</v>
      </c>
      <c r="BO100" s="1166">
        <f t="shared" si="154"/>
        <v>0</v>
      </c>
      <c r="BP100" s="61"/>
      <c r="BQ100" s="62">
        <f t="shared" si="155"/>
        <v>0</v>
      </c>
      <c r="BR100" s="62">
        <f t="shared" si="233"/>
        <v>0</v>
      </c>
      <c r="BS100" s="62">
        <f t="shared" si="233"/>
        <v>0</v>
      </c>
      <c r="BT100" s="62">
        <f t="shared" si="233"/>
        <v>0</v>
      </c>
      <c r="BU100" s="1166">
        <f t="shared" si="157"/>
        <v>0</v>
      </c>
      <c r="BV100" s="61"/>
      <c r="BW100" s="62">
        <f t="shared" si="158"/>
        <v>0</v>
      </c>
      <c r="BX100" s="62">
        <f t="shared" si="159"/>
        <v>0</v>
      </c>
      <c r="BY100" s="62">
        <f t="shared" si="160"/>
        <v>0</v>
      </c>
      <c r="BZ100" s="62">
        <f t="shared" si="161"/>
        <v>0</v>
      </c>
      <c r="CA100" s="1416">
        <f t="shared" si="223"/>
        <v>0</v>
      </c>
      <c r="CB100" s="61"/>
      <c r="CC100" s="62">
        <f t="shared" si="163"/>
        <v>0</v>
      </c>
      <c r="CD100" s="62">
        <f t="shared" si="164"/>
        <v>0</v>
      </c>
      <c r="CE100" s="62">
        <f t="shared" si="165"/>
        <v>0</v>
      </c>
      <c r="CF100" s="62">
        <f t="shared" si="166"/>
        <v>0</v>
      </c>
      <c r="CG100" s="1166">
        <f t="shared" si="167"/>
        <v>0</v>
      </c>
      <c r="CH100" s="61"/>
      <c r="CI100" s="62">
        <f t="shared" si="168"/>
        <v>0</v>
      </c>
      <c r="CJ100" s="62">
        <f t="shared" si="169"/>
        <v>0</v>
      </c>
      <c r="CK100" s="62">
        <f t="shared" si="170"/>
        <v>0</v>
      </c>
      <c r="CL100" s="62">
        <f t="shared" si="171"/>
        <v>0</v>
      </c>
      <c r="CM100" s="1166">
        <f t="shared" si="172"/>
        <v>0</v>
      </c>
      <c r="CN100" s="61"/>
      <c r="CO100" s="62">
        <f t="shared" si="173"/>
        <v>0</v>
      </c>
      <c r="CP100" s="62">
        <f t="shared" si="174"/>
        <v>0</v>
      </c>
      <c r="CQ100" s="62">
        <f t="shared" si="175"/>
        <v>0</v>
      </c>
      <c r="CR100" s="62">
        <f t="shared" si="176"/>
        <v>0</v>
      </c>
      <c r="CS100" s="1166">
        <f t="shared" si="177"/>
        <v>0</v>
      </c>
      <c r="CT100" s="61"/>
      <c r="CU100" s="62">
        <f t="shared" si="178"/>
        <v>0</v>
      </c>
      <c r="CV100" s="62">
        <f t="shared" si="222"/>
        <v>0</v>
      </c>
      <c r="CW100" s="62">
        <f t="shared" si="179"/>
        <v>0</v>
      </c>
      <c r="CX100" s="62">
        <f t="shared" si="180"/>
        <v>0</v>
      </c>
      <c r="CY100" s="1166">
        <f t="shared" si="181"/>
        <v>0</v>
      </c>
      <c r="CZ100" s="61"/>
      <c r="DA100" s="62">
        <f t="shared" si="182"/>
        <v>0</v>
      </c>
      <c r="DB100" s="62">
        <f t="shared" si="183"/>
        <v>0</v>
      </c>
      <c r="DC100" s="62">
        <f t="shared" si="184"/>
        <v>0</v>
      </c>
      <c r="DD100" s="62">
        <f t="shared" si="185"/>
        <v>0</v>
      </c>
      <c r="DE100" s="1166">
        <f t="shared" si="186"/>
        <v>0</v>
      </c>
      <c r="DF100" s="61"/>
      <c r="DG100" s="62">
        <f t="shared" si="187"/>
        <v>0</v>
      </c>
      <c r="DH100" s="62">
        <f t="shared" si="188"/>
        <v>0</v>
      </c>
      <c r="DI100" s="62">
        <f t="shared" si="189"/>
        <v>0</v>
      </c>
      <c r="DJ100" s="62">
        <f t="shared" si="190"/>
        <v>0</v>
      </c>
      <c r="DK100" s="1166">
        <f t="shared" si="191"/>
        <v>0</v>
      </c>
      <c r="DL100" s="61"/>
      <c r="DM100" s="62">
        <f t="shared" si="192"/>
        <v>0</v>
      </c>
      <c r="DN100" s="62">
        <f t="shared" si="193"/>
        <v>0</v>
      </c>
      <c r="DO100" s="62">
        <f t="shared" si="194"/>
        <v>0</v>
      </c>
      <c r="DP100" s="62">
        <f t="shared" si="195"/>
        <v>0</v>
      </c>
      <c r="DQ100" s="1166">
        <f t="shared" si="196"/>
        <v>0</v>
      </c>
      <c r="DR100" s="61"/>
      <c r="DS100" s="62">
        <f t="shared" si="197"/>
        <v>0</v>
      </c>
      <c r="DT100" s="62">
        <f t="shared" si="198"/>
        <v>0</v>
      </c>
      <c r="DU100" s="62">
        <f t="shared" si="199"/>
        <v>0</v>
      </c>
      <c r="DV100" s="62">
        <f t="shared" si="200"/>
        <v>0</v>
      </c>
      <c r="DW100" s="1166">
        <f t="shared" si="201"/>
        <v>0</v>
      </c>
      <c r="DX100" s="61"/>
      <c r="DY100" s="62">
        <f t="shared" si="202"/>
        <v>0</v>
      </c>
      <c r="DZ100" s="62">
        <f t="shared" si="203"/>
        <v>0</v>
      </c>
      <c r="EA100" s="62">
        <f t="shared" si="204"/>
        <v>0</v>
      </c>
      <c r="EB100" s="62">
        <f t="shared" si="205"/>
        <v>0</v>
      </c>
      <c r="EC100" s="1166">
        <f t="shared" si="206"/>
        <v>0</v>
      </c>
      <c r="ED100" s="61"/>
      <c r="EE100" s="62">
        <f t="shared" si="207"/>
        <v>0</v>
      </c>
      <c r="EF100" s="62">
        <f t="shared" si="208"/>
        <v>0</v>
      </c>
      <c r="EG100" s="62">
        <f t="shared" si="209"/>
        <v>0</v>
      </c>
      <c r="EH100" s="62">
        <f t="shared" si="210"/>
        <v>0</v>
      </c>
      <c r="EI100" s="1166">
        <f t="shared" si="211"/>
        <v>0</v>
      </c>
      <c r="EJ100" s="61"/>
      <c r="EK100" s="62">
        <f t="shared" si="212"/>
        <v>0</v>
      </c>
      <c r="EL100" s="62">
        <f t="shared" si="213"/>
        <v>0</v>
      </c>
      <c r="EM100" s="62">
        <f t="shared" si="214"/>
        <v>0</v>
      </c>
      <c r="EN100" s="62">
        <f t="shared" si="215"/>
        <v>0</v>
      </c>
      <c r="EO100" s="1166">
        <f t="shared" si="216"/>
        <v>0</v>
      </c>
      <c r="EP100" s="61"/>
      <c r="EQ100" s="62">
        <f t="shared" si="217"/>
        <v>0</v>
      </c>
      <c r="ER100" s="62">
        <f t="shared" si="218"/>
        <v>0</v>
      </c>
      <c r="ES100" s="62">
        <f t="shared" si="219"/>
        <v>0</v>
      </c>
      <c r="ET100" s="62">
        <f t="shared" si="220"/>
        <v>0</v>
      </c>
      <c r="EU100" s="1166">
        <f t="shared" si="221"/>
        <v>0</v>
      </c>
      <c r="EV100" s="45"/>
      <c r="EW100" s="45"/>
      <c r="FD100" s="45"/>
      <c r="FE100" s="45"/>
      <c r="FF100" s="45"/>
      <c r="FG100" s="45"/>
      <c r="FH100" s="45"/>
      <c r="FI100" s="45"/>
      <c r="FJ100" s="45"/>
      <c r="FK100" s="45"/>
      <c r="FL100" s="45"/>
      <c r="FM100" s="45"/>
      <c r="FN100" s="45"/>
      <c r="FO100" s="45"/>
      <c r="FP100" s="45"/>
    </row>
    <row r="101" spans="1:172" hidden="1">
      <c r="A101" s="41" t="s">
        <v>335</v>
      </c>
      <c r="B101" s="64"/>
      <c r="C101" s="363"/>
      <c r="D101" s="363"/>
      <c r="E101" s="363"/>
      <c r="F101" s="363"/>
      <c r="G101" s="363"/>
      <c r="H101" s="64"/>
      <c r="I101" s="363"/>
      <c r="J101" s="363"/>
      <c r="K101" s="363"/>
      <c r="L101" s="363"/>
      <c r="M101" s="363"/>
      <c r="N101" s="64"/>
      <c r="O101" s="62">
        <f t="shared" si="127"/>
        <v>0</v>
      </c>
      <c r="P101" s="62">
        <f t="shared" si="224"/>
        <v>-20.9</v>
      </c>
      <c r="Q101" s="62">
        <f t="shared" si="224"/>
        <v>0</v>
      </c>
      <c r="R101" s="62">
        <f t="shared" si="224"/>
        <v>0</v>
      </c>
      <c r="S101" s="62">
        <f t="shared" si="129"/>
        <v>-20.9</v>
      </c>
      <c r="T101" s="64"/>
      <c r="U101" s="62">
        <f t="shared" si="130"/>
        <v>0</v>
      </c>
      <c r="V101" s="62">
        <f t="shared" si="225"/>
        <v>0</v>
      </c>
      <c r="W101" s="62">
        <f t="shared" si="225"/>
        <v>0</v>
      </c>
      <c r="X101" s="62">
        <f t="shared" si="225"/>
        <v>0</v>
      </c>
      <c r="Y101" s="62">
        <f t="shared" si="132"/>
        <v>0</v>
      </c>
      <c r="Z101" s="64"/>
      <c r="AA101" s="62">
        <f t="shared" si="133"/>
        <v>0</v>
      </c>
      <c r="AB101" s="62">
        <f t="shared" si="226"/>
        <v>0</v>
      </c>
      <c r="AC101" s="62">
        <f t="shared" si="226"/>
        <v>0</v>
      </c>
      <c r="AD101" s="62">
        <f t="shared" si="226"/>
        <v>0</v>
      </c>
      <c r="AE101" s="62">
        <f t="shared" si="135"/>
        <v>0</v>
      </c>
      <c r="AF101" s="61"/>
      <c r="AG101" s="62">
        <f t="shared" si="136"/>
        <v>0</v>
      </c>
      <c r="AH101" s="62">
        <f t="shared" si="227"/>
        <v>0</v>
      </c>
      <c r="AI101" s="62">
        <f t="shared" si="227"/>
        <v>0</v>
      </c>
      <c r="AJ101" s="62">
        <f t="shared" si="227"/>
        <v>0</v>
      </c>
      <c r="AK101" s="62">
        <f t="shared" si="138"/>
        <v>0</v>
      </c>
      <c r="AL101" s="61"/>
      <c r="AM101" s="62">
        <f t="shared" si="139"/>
        <v>0</v>
      </c>
      <c r="AN101" s="62">
        <f t="shared" si="228"/>
        <v>0</v>
      </c>
      <c r="AO101" s="62">
        <f t="shared" si="228"/>
        <v>0</v>
      </c>
      <c r="AP101" s="62">
        <f t="shared" si="228"/>
        <v>0</v>
      </c>
      <c r="AQ101" s="62">
        <f t="shared" si="141"/>
        <v>0</v>
      </c>
      <c r="AR101" s="61"/>
      <c r="AS101" s="62">
        <f t="shared" si="142"/>
        <v>0</v>
      </c>
      <c r="AT101" s="62">
        <f t="shared" si="229"/>
        <v>0</v>
      </c>
      <c r="AU101" s="62">
        <f t="shared" si="229"/>
        <v>0</v>
      </c>
      <c r="AV101" s="62">
        <f t="shared" si="229"/>
        <v>0</v>
      </c>
      <c r="AW101" s="62">
        <f t="shared" si="144"/>
        <v>0</v>
      </c>
      <c r="AX101" s="61"/>
      <c r="AY101" s="62">
        <f t="shared" si="145"/>
        <v>0</v>
      </c>
      <c r="AZ101" s="62">
        <f t="shared" si="230"/>
        <v>0</v>
      </c>
      <c r="BA101" s="62">
        <f t="shared" si="230"/>
        <v>0</v>
      </c>
      <c r="BB101" s="62">
        <f t="shared" si="147"/>
        <v>0</v>
      </c>
      <c r="BC101" s="62">
        <f t="shared" si="148"/>
        <v>0</v>
      </c>
      <c r="BD101" s="61"/>
      <c r="BE101" s="62">
        <f t="shared" si="149"/>
        <v>0</v>
      </c>
      <c r="BF101" s="62">
        <f t="shared" si="231"/>
        <v>0</v>
      </c>
      <c r="BG101" s="62">
        <f t="shared" si="231"/>
        <v>0</v>
      </c>
      <c r="BH101" s="62">
        <f t="shared" si="231"/>
        <v>0</v>
      </c>
      <c r="BI101" s="62">
        <f t="shared" si="151"/>
        <v>0</v>
      </c>
      <c r="BJ101" s="64"/>
      <c r="BK101" s="62">
        <f t="shared" si="152"/>
        <v>0</v>
      </c>
      <c r="BL101" s="62">
        <f t="shared" si="232"/>
        <v>0</v>
      </c>
      <c r="BM101" s="62">
        <f t="shared" si="232"/>
        <v>0</v>
      </c>
      <c r="BN101" s="62">
        <f t="shared" si="232"/>
        <v>0</v>
      </c>
      <c r="BO101" s="1166">
        <f t="shared" si="154"/>
        <v>0</v>
      </c>
      <c r="BP101" s="64"/>
      <c r="BQ101" s="62">
        <f t="shared" si="155"/>
        <v>0</v>
      </c>
      <c r="BR101" s="62">
        <f t="shared" si="233"/>
        <v>0</v>
      </c>
      <c r="BS101" s="62">
        <f t="shared" si="233"/>
        <v>0</v>
      </c>
      <c r="BT101" s="62">
        <f t="shared" si="233"/>
        <v>0</v>
      </c>
      <c r="BU101" s="1166">
        <f t="shared" si="157"/>
        <v>0</v>
      </c>
      <c r="BV101" s="64"/>
      <c r="BW101" s="62">
        <f t="shared" si="158"/>
        <v>0</v>
      </c>
      <c r="BX101" s="62">
        <f t="shared" si="159"/>
        <v>0</v>
      </c>
      <c r="BY101" s="62">
        <f t="shared" si="160"/>
        <v>0</v>
      </c>
      <c r="BZ101" s="62">
        <f t="shared" si="161"/>
        <v>0</v>
      </c>
      <c r="CA101" s="1416">
        <f t="shared" si="223"/>
        <v>0</v>
      </c>
      <c r="CB101" s="64"/>
      <c r="CC101" s="62">
        <f t="shared" si="163"/>
        <v>0</v>
      </c>
      <c r="CD101" s="62">
        <f t="shared" si="164"/>
        <v>0</v>
      </c>
      <c r="CE101" s="62">
        <f t="shared" si="165"/>
        <v>0</v>
      </c>
      <c r="CF101" s="62">
        <f t="shared" si="166"/>
        <v>0</v>
      </c>
      <c r="CG101" s="1166">
        <f t="shared" si="167"/>
        <v>0</v>
      </c>
      <c r="CH101" s="64"/>
      <c r="CI101" s="62">
        <f t="shared" si="168"/>
        <v>0</v>
      </c>
      <c r="CJ101" s="62">
        <f t="shared" si="169"/>
        <v>0</v>
      </c>
      <c r="CK101" s="62">
        <f t="shared" si="170"/>
        <v>0</v>
      </c>
      <c r="CL101" s="62">
        <f t="shared" si="171"/>
        <v>0</v>
      </c>
      <c r="CM101" s="1166">
        <f t="shared" si="172"/>
        <v>0</v>
      </c>
      <c r="CN101" s="64"/>
      <c r="CO101" s="62">
        <f t="shared" si="173"/>
        <v>0</v>
      </c>
      <c r="CP101" s="62">
        <f t="shared" si="174"/>
        <v>0</v>
      </c>
      <c r="CQ101" s="62">
        <f t="shared" si="175"/>
        <v>0</v>
      </c>
      <c r="CR101" s="62">
        <f t="shared" si="176"/>
        <v>0</v>
      </c>
      <c r="CS101" s="1166">
        <f t="shared" si="177"/>
        <v>0</v>
      </c>
      <c r="CT101" s="64"/>
      <c r="CU101" s="62">
        <f t="shared" si="178"/>
        <v>0</v>
      </c>
      <c r="CV101" s="62">
        <f t="shared" si="222"/>
        <v>0</v>
      </c>
      <c r="CW101" s="62">
        <f t="shared" si="179"/>
        <v>0</v>
      </c>
      <c r="CX101" s="62">
        <f t="shared" si="180"/>
        <v>0</v>
      </c>
      <c r="CY101" s="1166">
        <f t="shared" si="181"/>
        <v>0</v>
      </c>
      <c r="CZ101" s="64"/>
      <c r="DA101" s="62">
        <f t="shared" si="182"/>
        <v>0</v>
      </c>
      <c r="DB101" s="62">
        <f t="shared" si="183"/>
        <v>0</v>
      </c>
      <c r="DC101" s="62">
        <f t="shared" si="184"/>
        <v>0</v>
      </c>
      <c r="DD101" s="62">
        <f t="shared" si="185"/>
        <v>0</v>
      </c>
      <c r="DE101" s="1166">
        <f t="shared" si="186"/>
        <v>0</v>
      </c>
      <c r="DF101" s="64"/>
      <c r="DG101" s="62">
        <f t="shared" si="187"/>
        <v>0</v>
      </c>
      <c r="DH101" s="62">
        <f t="shared" si="188"/>
        <v>0</v>
      </c>
      <c r="DI101" s="62">
        <f t="shared" si="189"/>
        <v>0</v>
      </c>
      <c r="DJ101" s="62">
        <f t="shared" si="190"/>
        <v>0</v>
      </c>
      <c r="DK101" s="1166">
        <f t="shared" si="191"/>
        <v>0</v>
      </c>
      <c r="DL101" s="64"/>
      <c r="DM101" s="62">
        <f t="shared" si="192"/>
        <v>0</v>
      </c>
      <c r="DN101" s="62">
        <f t="shared" si="193"/>
        <v>0</v>
      </c>
      <c r="DO101" s="62">
        <f t="shared" si="194"/>
        <v>0</v>
      </c>
      <c r="DP101" s="62">
        <f t="shared" si="195"/>
        <v>0</v>
      </c>
      <c r="DQ101" s="1166">
        <f t="shared" si="196"/>
        <v>0</v>
      </c>
      <c r="DR101" s="64"/>
      <c r="DS101" s="62">
        <f t="shared" si="197"/>
        <v>0</v>
      </c>
      <c r="DT101" s="62">
        <f t="shared" si="198"/>
        <v>0</v>
      </c>
      <c r="DU101" s="62">
        <f t="shared" si="199"/>
        <v>0</v>
      </c>
      <c r="DV101" s="62">
        <f t="shared" si="200"/>
        <v>0</v>
      </c>
      <c r="DW101" s="1166">
        <f t="shared" si="201"/>
        <v>0</v>
      </c>
      <c r="DX101" s="64"/>
      <c r="DY101" s="62">
        <f t="shared" si="202"/>
        <v>0</v>
      </c>
      <c r="DZ101" s="62">
        <f t="shared" si="203"/>
        <v>0</v>
      </c>
      <c r="EA101" s="62">
        <f t="shared" si="204"/>
        <v>0</v>
      </c>
      <c r="EB101" s="62">
        <f t="shared" si="205"/>
        <v>0</v>
      </c>
      <c r="EC101" s="1166">
        <f t="shared" si="206"/>
        <v>0</v>
      </c>
      <c r="ED101" s="64"/>
      <c r="EE101" s="62">
        <f t="shared" si="207"/>
        <v>0</v>
      </c>
      <c r="EF101" s="62">
        <f t="shared" si="208"/>
        <v>0</v>
      </c>
      <c r="EG101" s="62">
        <f t="shared" si="209"/>
        <v>0</v>
      </c>
      <c r="EH101" s="62">
        <f t="shared" si="210"/>
        <v>0</v>
      </c>
      <c r="EI101" s="1166">
        <f t="shared" si="211"/>
        <v>0</v>
      </c>
      <c r="EJ101" s="64"/>
      <c r="EK101" s="62">
        <f t="shared" si="212"/>
        <v>0</v>
      </c>
      <c r="EL101" s="62">
        <f t="shared" si="213"/>
        <v>0</v>
      </c>
      <c r="EM101" s="62">
        <f t="shared" si="214"/>
        <v>0</v>
      </c>
      <c r="EN101" s="62">
        <f t="shared" si="215"/>
        <v>0</v>
      </c>
      <c r="EO101" s="1166">
        <f t="shared" si="216"/>
        <v>0</v>
      </c>
      <c r="EP101" s="64"/>
      <c r="EQ101" s="62">
        <f t="shared" si="217"/>
        <v>0</v>
      </c>
      <c r="ER101" s="62">
        <f t="shared" si="218"/>
        <v>0</v>
      </c>
      <c r="ES101" s="62">
        <f t="shared" si="219"/>
        <v>0</v>
      </c>
      <c r="ET101" s="62">
        <f t="shared" si="220"/>
        <v>0</v>
      </c>
      <c r="EU101" s="1166">
        <f t="shared" si="221"/>
        <v>0</v>
      </c>
      <c r="EV101" s="81"/>
      <c r="EW101" s="81"/>
      <c r="FD101" s="81"/>
      <c r="FE101" s="81"/>
      <c r="FF101" s="81"/>
      <c r="FG101" s="81"/>
      <c r="FH101" s="81"/>
      <c r="FI101" s="81"/>
      <c r="FJ101" s="81"/>
      <c r="FK101" s="81"/>
      <c r="FL101" s="81"/>
      <c r="FM101" s="81"/>
      <c r="FN101" s="81"/>
      <c r="FO101" s="81"/>
      <c r="FP101" s="81"/>
    </row>
    <row r="102" spans="1:172">
      <c r="A102" s="41" t="s">
        <v>3828</v>
      </c>
      <c r="B102" s="61"/>
      <c r="C102" s="62"/>
      <c r="D102" s="62"/>
      <c r="E102" s="62"/>
      <c r="F102" s="62"/>
      <c r="G102" s="62"/>
      <c r="H102" s="61"/>
      <c r="I102" s="62"/>
      <c r="J102" s="62"/>
      <c r="K102" s="62"/>
      <c r="L102" s="62"/>
      <c r="M102" s="62"/>
      <c r="N102" s="61"/>
      <c r="O102" s="62">
        <f t="shared" si="127"/>
        <v>0</v>
      </c>
      <c r="P102" s="62">
        <f t="shared" si="224"/>
        <v>2.2330000000000001</v>
      </c>
      <c r="Q102" s="62">
        <f t="shared" si="224"/>
        <v>0</v>
      </c>
      <c r="R102" s="62">
        <f t="shared" si="224"/>
        <v>-2.2330000000000001</v>
      </c>
      <c r="S102" s="62">
        <f t="shared" si="129"/>
        <v>0</v>
      </c>
      <c r="T102" s="61"/>
      <c r="U102" s="62">
        <f t="shared" si="130"/>
        <v>0</v>
      </c>
      <c r="V102" s="62">
        <f t="shared" si="225"/>
        <v>0</v>
      </c>
      <c r="W102" s="62">
        <f t="shared" si="225"/>
        <v>0</v>
      </c>
      <c r="X102" s="62">
        <f t="shared" si="225"/>
        <v>0</v>
      </c>
      <c r="Y102" s="62">
        <f t="shared" si="132"/>
        <v>0</v>
      </c>
      <c r="Z102" s="61"/>
      <c r="AA102" s="62">
        <f t="shared" si="133"/>
        <v>0</v>
      </c>
      <c r="AB102" s="62">
        <f t="shared" si="226"/>
        <v>0</v>
      </c>
      <c r="AC102" s="62">
        <f t="shared" si="226"/>
        <v>0</v>
      </c>
      <c r="AD102" s="62">
        <f t="shared" si="226"/>
        <v>0</v>
      </c>
      <c r="AE102" s="62">
        <f t="shared" si="135"/>
        <v>0</v>
      </c>
      <c r="AF102" s="61"/>
      <c r="AG102" s="62">
        <f t="shared" si="136"/>
        <v>0</v>
      </c>
      <c r="AH102" s="62">
        <f t="shared" si="227"/>
        <v>0</v>
      </c>
      <c r="AI102" s="62">
        <f t="shared" si="227"/>
        <v>0</v>
      </c>
      <c r="AJ102" s="62">
        <f t="shared" si="227"/>
        <v>0</v>
      </c>
      <c r="AK102" s="62">
        <f t="shared" si="138"/>
        <v>0</v>
      </c>
      <c r="AL102" s="61"/>
      <c r="AM102" s="62">
        <f t="shared" si="139"/>
        <v>0</v>
      </c>
      <c r="AN102" s="62">
        <f t="shared" si="228"/>
        <v>0</v>
      </c>
      <c r="AO102" s="62">
        <f t="shared" si="228"/>
        <v>0</v>
      </c>
      <c r="AP102" s="62">
        <f t="shared" si="228"/>
        <v>0</v>
      </c>
      <c r="AQ102" s="62">
        <f t="shared" si="141"/>
        <v>0</v>
      </c>
      <c r="AR102" s="61"/>
      <c r="AS102" s="62">
        <f t="shared" si="142"/>
        <v>0</v>
      </c>
      <c r="AT102" s="62">
        <f t="shared" si="229"/>
        <v>0</v>
      </c>
      <c r="AU102" s="62">
        <f t="shared" si="229"/>
        <v>0</v>
      </c>
      <c r="AV102" s="62">
        <f t="shared" si="229"/>
        <v>0</v>
      </c>
      <c r="AW102" s="62">
        <f t="shared" si="144"/>
        <v>0</v>
      </c>
      <c r="AX102" s="61"/>
      <c r="AY102" s="62">
        <f t="shared" si="145"/>
        <v>0</v>
      </c>
      <c r="AZ102" s="62">
        <f t="shared" si="230"/>
        <v>0</v>
      </c>
      <c r="BA102" s="62">
        <f t="shared" si="230"/>
        <v>0</v>
      </c>
      <c r="BB102" s="62">
        <f t="shared" si="147"/>
        <v>0</v>
      </c>
      <c r="BC102" s="62">
        <f t="shared" si="148"/>
        <v>0</v>
      </c>
      <c r="BD102" s="61"/>
      <c r="BE102" s="62">
        <f t="shared" si="149"/>
        <v>0</v>
      </c>
      <c r="BF102" s="62">
        <f t="shared" si="231"/>
        <v>0</v>
      </c>
      <c r="BG102" s="62">
        <f t="shared" si="231"/>
        <v>0</v>
      </c>
      <c r="BH102" s="62">
        <f t="shared" si="231"/>
        <v>0</v>
      </c>
      <c r="BI102" s="62">
        <f t="shared" si="151"/>
        <v>0</v>
      </c>
      <c r="BJ102" s="61"/>
      <c r="BK102" s="62">
        <f t="shared" si="152"/>
        <v>0</v>
      </c>
      <c r="BL102" s="62">
        <f t="shared" si="232"/>
        <v>0</v>
      </c>
      <c r="BM102" s="62">
        <f t="shared" si="232"/>
        <v>0</v>
      </c>
      <c r="BN102" s="62">
        <f t="shared" si="232"/>
        <v>0</v>
      </c>
      <c r="BO102" s="1166">
        <f t="shared" si="154"/>
        <v>0</v>
      </c>
      <c r="BP102" s="61"/>
      <c r="BQ102" s="62">
        <f t="shared" si="155"/>
        <v>0</v>
      </c>
      <c r="BR102" s="62">
        <f t="shared" si="233"/>
        <v>0</v>
      </c>
      <c r="BS102" s="62">
        <f t="shared" si="233"/>
        <v>0</v>
      </c>
      <c r="BT102" s="62">
        <f t="shared" si="233"/>
        <v>0</v>
      </c>
      <c r="BU102" s="1166">
        <f t="shared" si="157"/>
        <v>0</v>
      </c>
      <c r="BV102" s="61"/>
      <c r="BW102" s="62">
        <f t="shared" si="158"/>
        <v>0</v>
      </c>
      <c r="BX102" s="62">
        <f t="shared" si="159"/>
        <v>0</v>
      </c>
      <c r="BY102" s="62">
        <f t="shared" si="160"/>
        <v>0</v>
      </c>
      <c r="BZ102" s="62">
        <f t="shared" si="161"/>
        <v>128.94</v>
      </c>
      <c r="CA102" s="1416">
        <f t="shared" si="223"/>
        <v>128.94</v>
      </c>
      <c r="CB102" s="61"/>
      <c r="CC102" s="62">
        <f t="shared" si="163"/>
        <v>22.1</v>
      </c>
      <c r="CD102" s="62">
        <f t="shared" si="164"/>
        <v>-3.4000000000000021</v>
      </c>
      <c r="CE102" s="62">
        <f t="shared" si="165"/>
        <v>2.3000000000000007</v>
      </c>
      <c r="CF102" s="62">
        <f t="shared" si="166"/>
        <v>0</v>
      </c>
      <c r="CG102" s="1166">
        <f t="shared" si="167"/>
        <v>21</v>
      </c>
      <c r="CH102" s="61"/>
      <c r="CI102" s="62">
        <f t="shared" si="168"/>
        <v>0</v>
      </c>
      <c r="CJ102" s="62">
        <f t="shared" si="169"/>
        <v>0</v>
      </c>
      <c r="CK102" s="62">
        <f t="shared" si="170"/>
        <v>0</v>
      </c>
      <c r="CL102" s="62">
        <f t="shared" si="171"/>
        <v>0</v>
      </c>
      <c r="CM102" s="1166">
        <f t="shared" si="172"/>
        <v>0</v>
      </c>
      <c r="CN102" s="61"/>
      <c r="CO102" s="62">
        <f t="shared" si="173"/>
        <v>0</v>
      </c>
      <c r="CP102" s="62">
        <f t="shared" si="174"/>
        <v>0</v>
      </c>
      <c r="CQ102" s="62">
        <f t="shared" si="175"/>
        <v>0</v>
      </c>
      <c r="CR102" s="62">
        <f t="shared" si="176"/>
        <v>0</v>
      </c>
      <c r="CS102" s="1166">
        <f t="shared" si="177"/>
        <v>0</v>
      </c>
      <c r="CT102" s="61"/>
      <c r="CU102" s="62">
        <f t="shared" si="178"/>
        <v>0</v>
      </c>
      <c r="CV102" s="62">
        <f t="shared" si="222"/>
        <v>0</v>
      </c>
      <c r="CW102" s="62">
        <f t="shared" si="179"/>
        <v>0</v>
      </c>
      <c r="CX102" s="62">
        <f t="shared" si="180"/>
        <v>0</v>
      </c>
      <c r="CY102" s="1166">
        <f t="shared" si="181"/>
        <v>0</v>
      </c>
      <c r="CZ102" s="61"/>
      <c r="DA102" s="62">
        <f t="shared" si="182"/>
        <v>0</v>
      </c>
      <c r="DB102" s="62">
        <f t="shared" si="183"/>
        <v>0</v>
      </c>
      <c r="DC102" s="62">
        <f t="shared" si="184"/>
        <v>0</v>
      </c>
      <c r="DD102" s="62">
        <f t="shared" si="185"/>
        <v>0</v>
      </c>
      <c r="DE102" s="1166">
        <f t="shared" si="186"/>
        <v>0</v>
      </c>
      <c r="DF102" s="61"/>
      <c r="DG102" s="62">
        <f t="shared" si="187"/>
        <v>0</v>
      </c>
      <c r="DH102" s="62">
        <f t="shared" si="188"/>
        <v>0</v>
      </c>
      <c r="DI102" s="62">
        <f t="shared" si="189"/>
        <v>0</v>
      </c>
      <c r="DJ102" s="62">
        <f t="shared" si="190"/>
        <v>0</v>
      </c>
      <c r="DK102" s="1166">
        <f t="shared" si="191"/>
        <v>0</v>
      </c>
      <c r="DL102" s="61"/>
      <c r="DM102" s="62">
        <f t="shared" si="192"/>
        <v>0</v>
      </c>
      <c r="DN102" s="62">
        <f t="shared" si="193"/>
        <v>0</v>
      </c>
      <c r="DO102" s="62">
        <f t="shared" si="194"/>
        <v>0</v>
      </c>
      <c r="DP102" s="62">
        <f t="shared" si="195"/>
        <v>0</v>
      </c>
      <c r="DQ102" s="1166">
        <f t="shared" si="196"/>
        <v>0</v>
      </c>
      <c r="DR102" s="61"/>
      <c r="DS102" s="62">
        <f t="shared" si="197"/>
        <v>0</v>
      </c>
      <c r="DT102" s="62">
        <f t="shared" si="198"/>
        <v>0</v>
      </c>
      <c r="DU102" s="62">
        <f t="shared" si="199"/>
        <v>0</v>
      </c>
      <c r="DV102" s="62">
        <f t="shared" si="200"/>
        <v>0</v>
      </c>
      <c r="DW102" s="1166">
        <f t="shared" si="201"/>
        <v>0</v>
      </c>
      <c r="DX102" s="61"/>
      <c r="DY102" s="62">
        <f t="shared" si="202"/>
        <v>0</v>
      </c>
      <c r="DZ102" s="62">
        <f t="shared" si="203"/>
        <v>0</v>
      </c>
      <c r="EA102" s="62">
        <f t="shared" si="204"/>
        <v>0</v>
      </c>
      <c r="EB102" s="62">
        <f t="shared" si="205"/>
        <v>0</v>
      </c>
      <c r="EC102" s="1166">
        <f t="shared" si="206"/>
        <v>0</v>
      </c>
      <c r="ED102" s="61"/>
      <c r="EE102" s="62">
        <f t="shared" si="207"/>
        <v>0</v>
      </c>
      <c r="EF102" s="62">
        <f t="shared" si="208"/>
        <v>0</v>
      </c>
      <c r="EG102" s="62">
        <f t="shared" si="209"/>
        <v>0</v>
      </c>
      <c r="EH102" s="62">
        <f t="shared" si="210"/>
        <v>0</v>
      </c>
      <c r="EI102" s="1166">
        <f t="shared" si="211"/>
        <v>0</v>
      </c>
      <c r="EJ102" s="61"/>
      <c r="EK102" s="62">
        <f t="shared" si="212"/>
        <v>0</v>
      </c>
      <c r="EL102" s="62">
        <f t="shared" si="213"/>
        <v>0</v>
      </c>
      <c r="EM102" s="62">
        <f t="shared" si="214"/>
        <v>0</v>
      </c>
      <c r="EN102" s="62">
        <f t="shared" si="215"/>
        <v>0</v>
      </c>
      <c r="EO102" s="1166">
        <f t="shared" si="216"/>
        <v>0</v>
      </c>
      <c r="EP102" s="61"/>
      <c r="EQ102" s="62">
        <f t="shared" si="217"/>
        <v>0</v>
      </c>
      <c r="ER102" s="62">
        <f t="shared" si="218"/>
        <v>0</v>
      </c>
      <c r="ES102" s="62">
        <f t="shared" si="219"/>
        <v>0</v>
      </c>
      <c r="ET102" s="62">
        <f t="shared" si="220"/>
        <v>0</v>
      </c>
      <c r="EU102" s="1166">
        <f t="shared" si="221"/>
        <v>0</v>
      </c>
      <c r="EV102" s="45"/>
      <c r="EW102" s="45"/>
      <c r="FD102" s="45"/>
      <c r="FE102" s="45"/>
      <c r="FF102" s="45"/>
      <c r="FG102" s="45"/>
      <c r="FH102" s="45"/>
      <c r="FI102" s="45"/>
      <c r="FJ102" s="45"/>
      <c r="FK102" s="45"/>
      <c r="FL102" s="45"/>
      <c r="FM102" s="45"/>
      <c r="FN102" s="45"/>
      <c r="FO102" s="45"/>
      <c r="FP102" s="45"/>
    </row>
    <row r="103" spans="1:172">
      <c r="A103" s="41" t="s">
        <v>6310</v>
      </c>
      <c r="B103" s="61"/>
      <c r="C103" s="62"/>
      <c r="D103" s="62"/>
      <c r="E103" s="62"/>
      <c r="F103" s="62"/>
      <c r="G103" s="62"/>
      <c r="H103" s="61"/>
      <c r="I103" s="62"/>
      <c r="J103" s="62"/>
      <c r="K103" s="62"/>
      <c r="L103" s="62"/>
      <c r="M103" s="62"/>
      <c r="N103" s="61"/>
      <c r="O103" s="62"/>
      <c r="P103" s="62"/>
      <c r="Q103" s="62"/>
      <c r="R103" s="62"/>
      <c r="S103" s="62"/>
      <c r="T103" s="61"/>
      <c r="U103" s="62"/>
      <c r="V103" s="62"/>
      <c r="W103" s="62"/>
      <c r="X103" s="62"/>
      <c r="Y103" s="62"/>
      <c r="Z103" s="61"/>
      <c r="AA103" s="62"/>
      <c r="AB103" s="62"/>
      <c r="AC103" s="62"/>
      <c r="AD103" s="62"/>
      <c r="AE103" s="62"/>
      <c r="AF103" s="61"/>
      <c r="AG103" s="62"/>
      <c r="AH103" s="62"/>
      <c r="AI103" s="62"/>
      <c r="AJ103" s="62"/>
      <c r="AK103" s="62"/>
      <c r="AL103" s="61"/>
      <c r="AM103" s="62"/>
      <c r="AN103" s="62"/>
      <c r="AO103" s="62"/>
      <c r="AP103" s="62"/>
      <c r="AQ103" s="62"/>
      <c r="AR103" s="61"/>
      <c r="AS103" s="62"/>
      <c r="AT103" s="62"/>
      <c r="AU103" s="62"/>
      <c r="AV103" s="62"/>
      <c r="AW103" s="62"/>
      <c r="AX103" s="61"/>
      <c r="AY103" s="62"/>
      <c r="AZ103" s="62"/>
      <c r="BA103" s="62"/>
      <c r="BB103" s="62"/>
      <c r="BC103" s="62"/>
      <c r="BD103" s="61"/>
      <c r="BE103" s="62"/>
      <c r="BF103" s="62"/>
      <c r="BG103" s="62"/>
      <c r="BH103" s="62"/>
      <c r="BI103" s="62"/>
      <c r="BJ103" s="61"/>
      <c r="BK103" s="62"/>
      <c r="BL103" s="62"/>
      <c r="BM103" s="62"/>
      <c r="BN103" s="62"/>
      <c r="BO103" s="1166"/>
      <c r="BP103" s="61"/>
      <c r="BQ103" s="62"/>
      <c r="BR103" s="62"/>
      <c r="BS103" s="62"/>
      <c r="BT103" s="62"/>
      <c r="BU103" s="1166"/>
      <c r="BV103" s="61"/>
      <c r="BW103" s="62"/>
      <c r="BX103" s="62"/>
      <c r="BY103" s="62"/>
      <c r="BZ103" s="62"/>
      <c r="CA103" s="1416"/>
      <c r="CB103" s="61"/>
      <c r="CC103" s="62"/>
      <c r="CD103" s="62"/>
      <c r="CE103" s="62"/>
      <c r="CF103" s="62"/>
      <c r="CG103" s="1166"/>
      <c r="CH103" s="61"/>
      <c r="CI103" s="62"/>
      <c r="CJ103" s="62"/>
      <c r="CK103" s="62"/>
      <c r="CL103" s="62"/>
      <c r="CM103" s="1166"/>
      <c r="CN103" s="61"/>
      <c r="CO103" s="62"/>
      <c r="CP103" s="62"/>
      <c r="CQ103" s="62"/>
      <c r="CR103" s="62"/>
      <c r="CS103" s="1166"/>
      <c r="CT103" s="61"/>
      <c r="CU103" s="62">
        <f t="shared" si="178"/>
        <v>0</v>
      </c>
      <c r="CV103" s="62">
        <f>IF(CV28="-","-",SUM(CV28)-SUM(CU28))</f>
        <v>0</v>
      </c>
      <c r="CW103" s="62">
        <f t="shared" si="179"/>
        <v>0</v>
      </c>
      <c r="CX103" s="62">
        <f t="shared" si="180"/>
        <v>0</v>
      </c>
      <c r="CY103" s="1166">
        <f t="shared" si="181"/>
        <v>0</v>
      </c>
      <c r="CZ103" s="61"/>
      <c r="DA103" s="62">
        <f t="shared" si="182"/>
        <v>6.7</v>
      </c>
      <c r="DB103" s="62">
        <f>IF(DB28="-","-",SUM(DB28)-SUM(DA28))</f>
        <v>-4.7</v>
      </c>
      <c r="DC103" s="62">
        <f>IF(DC28="-","-",SUM(DC28)-SUM(DB28))</f>
        <v>-5.0999999999999996</v>
      </c>
      <c r="DD103" s="62">
        <f>IF(DD28="-","-",SUM(DD28)-SUM(DC28))</f>
        <v>-13.000000000000002</v>
      </c>
      <c r="DE103" s="1166">
        <f t="shared" si="186"/>
        <v>-16.100000000000001</v>
      </c>
      <c r="DF103" s="61"/>
      <c r="DG103" s="62">
        <f t="shared" si="187"/>
        <v>8.3000000000000007</v>
      </c>
      <c r="DH103" s="62">
        <f t="shared" si="188"/>
        <v>-2.8000000000000007</v>
      </c>
      <c r="DI103" s="62">
        <f t="shared" si="189"/>
        <v>4</v>
      </c>
      <c r="DJ103" s="62">
        <f t="shared" si="190"/>
        <v>6.6999999999999993</v>
      </c>
      <c r="DK103" s="1166">
        <f t="shared" si="191"/>
        <v>16.2</v>
      </c>
      <c r="DL103" s="61"/>
      <c r="DM103" s="62">
        <f t="shared" si="192"/>
        <v>-3.5</v>
      </c>
      <c r="DN103" s="62">
        <f t="shared" si="193"/>
        <v>-11.8</v>
      </c>
      <c r="DO103" s="62">
        <f t="shared" si="194"/>
        <v>4.7000000000000011</v>
      </c>
      <c r="DP103" s="62">
        <f t="shared" si="195"/>
        <v>-14.4</v>
      </c>
      <c r="DQ103" s="1166">
        <f t="shared" si="196"/>
        <v>-25</v>
      </c>
      <c r="DR103" s="61"/>
      <c r="DS103" s="62">
        <f t="shared" si="197"/>
        <v>8.3000000000000007</v>
      </c>
      <c r="DT103" s="62">
        <f t="shared" si="198"/>
        <v>-14.5</v>
      </c>
      <c r="DU103" s="62">
        <f t="shared" si="199"/>
        <v>9.6</v>
      </c>
      <c r="DV103" s="62">
        <f t="shared" si="200"/>
        <v>-11.1</v>
      </c>
      <c r="DW103" s="1166">
        <f t="shared" si="201"/>
        <v>-7.6999999999999993</v>
      </c>
      <c r="DX103" s="61"/>
      <c r="DY103" s="62">
        <f t="shared" si="202"/>
        <v>7.3</v>
      </c>
      <c r="DZ103" s="62">
        <f t="shared" si="203"/>
        <v>0.40000000000000036</v>
      </c>
      <c r="EA103" s="62">
        <f t="shared" si="204"/>
        <v>10.400000000000002</v>
      </c>
      <c r="EB103" s="62">
        <f t="shared" si="205"/>
        <v>-10.8</v>
      </c>
      <c r="EC103" s="1166">
        <f t="shared" si="206"/>
        <v>7.3000000000000007</v>
      </c>
      <c r="ED103" s="61"/>
      <c r="EE103" s="62">
        <f t="shared" si="207"/>
        <v>0</v>
      </c>
      <c r="EF103" s="62">
        <f t="shared" si="208"/>
        <v>0</v>
      </c>
      <c r="EG103" s="62">
        <f t="shared" si="209"/>
        <v>0</v>
      </c>
      <c r="EH103" s="62">
        <f t="shared" si="210"/>
        <v>0</v>
      </c>
      <c r="EI103" s="1166">
        <f t="shared" si="211"/>
        <v>0</v>
      </c>
      <c r="EJ103" s="61"/>
      <c r="EK103" s="62">
        <f t="shared" si="212"/>
        <v>0</v>
      </c>
      <c r="EL103" s="62">
        <f t="shared" si="213"/>
        <v>0</v>
      </c>
      <c r="EM103" s="62">
        <f t="shared" si="214"/>
        <v>0</v>
      </c>
      <c r="EN103" s="62">
        <f t="shared" si="215"/>
        <v>0</v>
      </c>
      <c r="EO103" s="1166">
        <f t="shared" si="216"/>
        <v>0</v>
      </c>
      <c r="EP103" s="61"/>
      <c r="EQ103" s="62">
        <f t="shared" si="217"/>
        <v>0</v>
      </c>
      <c r="ER103" s="62">
        <f t="shared" si="218"/>
        <v>0</v>
      </c>
      <c r="ES103" s="62">
        <f t="shared" si="219"/>
        <v>0</v>
      </c>
      <c r="ET103" s="62">
        <f t="shared" si="220"/>
        <v>0</v>
      </c>
      <c r="EU103" s="1166">
        <f t="shared" si="221"/>
        <v>0</v>
      </c>
      <c r="EV103" s="45"/>
      <c r="EW103" s="45"/>
      <c r="FD103" s="45"/>
      <c r="FE103" s="45"/>
      <c r="FF103" s="45"/>
      <c r="FG103" s="45"/>
      <c r="FH103" s="45"/>
      <c r="FI103" s="45"/>
      <c r="FJ103" s="45"/>
      <c r="FK103" s="45"/>
      <c r="FL103" s="45"/>
      <c r="FM103" s="45"/>
      <c r="FN103" s="45"/>
      <c r="FO103" s="45"/>
      <c r="FP103" s="45"/>
    </row>
    <row r="104" spans="1:172">
      <c r="A104" s="41"/>
      <c r="B104" s="61"/>
      <c r="C104" s="62"/>
      <c r="D104" s="62"/>
      <c r="E104" s="62"/>
      <c r="F104" s="62"/>
      <c r="G104" s="62"/>
      <c r="H104" s="61"/>
      <c r="I104" s="62"/>
      <c r="J104" s="62"/>
      <c r="K104" s="62"/>
      <c r="L104" s="62"/>
      <c r="M104" s="62"/>
      <c r="N104" s="61"/>
      <c r="O104" s="62"/>
      <c r="P104" s="62"/>
      <c r="Q104" s="62"/>
      <c r="R104" s="62"/>
      <c r="S104" s="62"/>
      <c r="T104" s="61"/>
      <c r="U104" s="62"/>
      <c r="V104" s="62"/>
      <c r="W104" s="62"/>
      <c r="X104" s="62"/>
      <c r="Y104" s="62"/>
      <c r="Z104" s="61"/>
      <c r="AA104" s="62"/>
      <c r="AB104" s="62"/>
      <c r="AC104" s="62"/>
      <c r="AD104" s="62"/>
      <c r="AE104" s="62"/>
      <c r="AF104" s="61"/>
      <c r="AG104" s="62"/>
      <c r="AH104" s="62"/>
      <c r="AI104" s="62"/>
      <c r="AJ104" s="62"/>
      <c r="AK104" s="62"/>
      <c r="AL104" s="61"/>
      <c r="AM104" s="62"/>
      <c r="AN104" s="62"/>
      <c r="AO104" s="62"/>
      <c r="AP104" s="62"/>
      <c r="AQ104" s="62"/>
      <c r="AR104" s="61"/>
      <c r="AS104" s="62"/>
      <c r="AT104" s="62"/>
      <c r="AU104" s="62"/>
      <c r="AV104" s="62"/>
      <c r="AW104" s="62"/>
      <c r="AX104" s="61"/>
      <c r="AY104" s="62"/>
      <c r="AZ104" s="62"/>
      <c r="BA104" s="62"/>
      <c r="BB104" s="62"/>
      <c r="BC104" s="62"/>
      <c r="BD104" s="61"/>
      <c r="BE104" s="62"/>
      <c r="BF104" s="62"/>
      <c r="BG104" s="62"/>
      <c r="BH104" s="62"/>
      <c r="BI104" s="62"/>
      <c r="BJ104" s="61"/>
      <c r="BK104" s="62"/>
      <c r="BL104" s="62"/>
      <c r="BM104" s="62"/>
      <c r="BN104" s="62"/>
      <c r="BO104" s="1166"/>
      <c r="BP104" s="61"/>
      <c r="BQ104" s="62"/>
      <c r="BR104" s="62"/>
      <c r="BS104" s="62"/>
      <c r="BT104" s="62"/>
      <c r="BU104" s="1166"/>
      <c r="BV104" s="61"/>
      <c r="BW104" s="62"/>
      <c r="BX104" s="62"/>
      <c r="BY104" s="62"/>
      <c r="BZ104" s="62"/>
      <c r="CA104" s="1416"/>
      <c r="CB104" s="61"/>
      <c r="CC104" s="62"/>
      <c r="CD104" s="62"/>
      <c r="CE104" s="62"/>
      <c r="CF104" s="62"/>
      <c r="CG104" s="1166"/>
      <c r="CH104" s="61"/>
      <c r="CI104" s="62"/>
      <c r="CJ104" s="62"/>
      <c r="CK104" s="62"/>
      <c r="CL104" s="62"/>
      <c r="CM104" s="1166"/>
      <c r="CN104" s="61"/>
      <c r="CO104" s="62"/>
      <c r="CP104" s="62"/>
      <c r="CQ104" s="62"/>
      <c r="CR104" s="62"/>
      <c r="CS104" s="1166"/>
      <c r="CT104" s="61"/>
      <c r="CU104" s="62"/>
      <c r="CV104" s="62"/>
      <c r="CW104" s="62"/>
      <c r="CX104" s="62"/>
      <c r="CY104" s="1166"/>
      <c r="CZ104" s="61"/>
      <c r="DA104" s="62"/>
      <c r="DB104" s="62"/>
      <c r="DC104" s="62"/>
      <c r="DD104" s="62"/>
      <c r="DE104" s="1166"/>
      <c r="DF104" s="61"/>
      <c r="DG104" s="62"/>
      <c r="DH104" s="62"/>
      <c r="DI104" s="62"/>
      <c r="DJ104" s="62"/>
      <c r="DK104" s="1166"/>
      <c r="DL104" s="61"/>
      <c r="DM104" s="62"/>
      <c r="DN104" s="62"/>
      <c r="DO104" s="62"/>
      <c r="DP104" s="62"/>
      <c r="DQ104" s="1166"/>
      <c r="DR104" s="61"/>
      <c r="DS104" s="62"/>
      <c r="DT104" s="62"/>
      <c r="DU104" s="62"/>
      <c r="DV104" s="62"/>
      <c r="DW104" s="1166"/>
      <c r="DX104" s="61"/>
      <c r="DY104" s="62"/>
      <c r="DZ104" s="62"/>
      <c r="EA104" s="62"/>
      <c r="EB104" s="62"/>
      <c r="EC104" s="1166"/>
      <c r="ED104" s="61"/>
      <c r="EE104" s="62"/>
      <c r="EF104" s="62"/>
      <c r="EG104" s="62"/>
      <c r="EH104" s="62"/>
      <c r="EI104" s="1166"/>
      <c r="EJ104" s="61"/>
      <c r="EK104" s="62"/>
      <c r="EL104" s="62"/>
      <c r="EM104" s="62"/>
      <c r="EN104" s="62"/>
      <c r="EO104" s="1166"/>
      <c r="EP104" s="61"/>
      <c r="EQ104" s="62"/>
      <c r="ER104" s="62"/>
      <c r="ES104" s="62"/>
      <c r="ET104" s="62"/>
      <c r="EU104" s="1166"/>
      <c r="EV104" s="45"/>
      <c r="EW104" s="45"/>
      <c r="FD104" s="45"/>
      <c r="FE104" s="45"/>
      <c r="FF104" s="45"/>
      <c r="FG104" s="45"/>
      <c r="FH104" s="45"/>
      <c r="FI104" s="45"/>
      <c r="FJ104" s="45"/>
      <c r="FK104" s="45"/>
      <c r="FL104" s="45"/>
      <c r="FM104" s="45"/>
      <c r="FN104" s="45"/>
      <c r="FO104" s="45"/>
      <c r="FP104" s="45"/>
    </row>
    <row r="105" spans="1:172" ht="13.5" thickBot="1">
      <c r="A105" s="41" t="s">
        <v>4686</v>
      </c>
      <c r="B105" s="42"/>
      <c r="C105" s="62"/>
      <c r="D105" s="62"/>
      <c r="E105" s="62"/>
      <c r="F105" s="62"/>
      <c r="G105" s="62"/>
      <c r="H105" s="61"/>
      <c r="I105" s="62"/>
      <c r="J105" s="62"/>
      <c r="K105" s="62"/>
      <c r="L105" s="62"/>
      <c r="M105" s="62"/>
      <c r="N105" s="61"/>
      <c r="O105" s="62">
        <f>O30</f>
        <v>-3.9660000000000002</v>
      </c>
      <c r="P105" s="62">
        <f>IF(P30="-","-",SUM(P30)-SUM(O30))</f>
        <v>-0.39599999999999991</v>
      </c>
      <c r="Q105" s="62">
        <f>IF(Q30="-","-",SUM(Q30)-SUM(P30))</f>
        <v>-4.25</v>
      </c>
      <c r="R105" s="62">
        <f>IF(R30="-","-",SUM(R30)-SUM(Q30))</f>
        <v>12.329999999999998</v>
      </c>
      <c r="S105" s="62">
        <f t="shared" si="129"/>
        <v>3.7179999999999982</v>
      </c>
      <c r="T105" s="61"/>
      <c r="U105" s="62">
        <f>U30</f>
        <v>-15.068</v>
      </c>
      <c r="V105" s="62">
        <f>IF(V30="-","-",SUM(V30)-SUM(U30))</f>
        <v>-11.532000000000002</v>
      </c>
      <c r="W105" s="62">
        <f>IF(W30="-","-",SUM(W30)-SUM(V30))</f>
        <v>3.9600000000000009</v>
      </c>
      <c r="X105" s="62">
        <f>IF(X30="-","-",SUM(X30)-SUM(W30))</f>
        <v>23.158999999999999</v>
      </c>
      <c r="Y105" s="62">
        <f t="shared" si="132"/>
        <v>0.51899999999999835</v>
      </c>
      <c r="Z105" s="61"/>
      <c r="AA105" s="62">
        <f>AA30</f>
        <v>-9.0640000000000001</v>
      </c>
      <c r="AB105" s="62">
        <f>IF(AB30="-","-",SUM(AB30)-SUM(AA30))</f>
        <v>9.6679999999999993</v>
      </c>
      <c r="AC105" s="62">
        <f>IF(AC30="-","-",SUM(AC30)-SUM(AB30))</f>
        <v>-4.4580000000000002</v>
      </c>
      <c r="AD105" s="62">
        <f>IF(AD30="-","-",SUM(AD30)-SUM(AC30))</f>
        <v>-0.96599999999999842</v>
      </c>
      <c r="AE105" s="62">
        <f t="shared" si="135"/>
        <v>-4.8199999999999994</v>
      </c>
      <c r="AF105" s="61"/>
      <c r="AG105" s="62">
        <f>AG30</f>
        <v>-6.0739999999999998</v>
      </c>
      <c r="AH105" s="62">
        <f>IF(AH30="-","-",SUM(AH30)-SUM(AG30))</f>
        <v>15.459</v>
      </c>
      <c r="AI105" s="62">
        <f>IF(AI30="-","-",SUM(AI30)-SUM(AH30))</f>
        <v>-10.340999999999999</v>
      </c>
      <c r="AJ105" s="62">
        <f>IF(AJ30="-","-",SUM(AJ30)-SUM(AI30))</f>
        <v>38.464000000000006</v>
      </c>
      <c r="AK105" s="62">
        <f t="shared" si="138"/>
        <v>37.50800000000001</v>
      </c>
      <c r="AL105" s="61"/>
      <c r="AM105" s="62">
        <f>AM30</f>
        <v>-23.172000000000001</v>
      </c>
      <c r="AN105" s="62">
        <f t="shared" ref="AN105:AP109" si="234">IF(AN30="-","-",SUM(AN30)-SUM(AM30))</f>
        <v>-2.088000000000001</v>
      </c>
      <c r="AO105" s="62">
        <f t="shared" si="234"/>
        <v>-3.5889999999999986</v>
      </c>
      <c r="AP105" s="62">
        <f t="shared" si="234"/>
        <v>0.72000000000001307</v>
      </c>
      <c r="AQ105" s="62">
        <f t="shared" si="141"/>
        <v>-28.128999999999987</v>
      </c>
      <c r="AR105" s="61"/>
      <c r="AS105" s="62">
        <f>AS30</f>
        <v>-2.4350000000000001</v>
      </c>
      <c r="AT105" s="62">
        <f>IF(AT30="-","-",SUM(AT30)-SUM(AS30))</f>
        <v>-14.258999999999999</v>
      </c>
      <c r="AU105" s="62">
        <f>IF(AU30="-","-",SUM(AU30)-SUM(AT30))</f>
        <v>18.901</v>
      </c>
      <c r="AV105" s="62">
        <f>IF(AV30="-","-",SUM(AV30)-SUM(AU30))</f>
        <v>41.713999999999992</v>
      </c>
      <c r="AW105" s="62">
        <f t="shared" si="144"/>
        <v>43.920999999999992</v>
      </c>
      <c r="AX105" s="61"/>
      <c r="AY105" s="62">
        <f>AY30</f>
        <v>-29.2</v>
      </c>
      <c r="AZ105" s="62">
        <f>IF(AZ30="-","-",SUM(AZ30)-SUM(AY30))</f>
        <v>28.7</v>
      </c>
      <c r="BA105" s="62">
        <f>IF(BA30="-","-",SUM(BA30)-SUM(AZ30))</f>
        <v>-65.7</v>
      </c>
      <c r="BB105" s="62">
        <f>IF(BB30="-","-",SUM(BB30)-SUM(BA30))</f>
        <v>32.9</v>
      </c>
      <c r="BC105" s="62">
        <f t="shared" si="148"/>
        <v>-33.300000000000004</v>
      </c>
      <c r="BD105" s="61"/>
      <c r="BE105" s="62">
        <f>BE30</f>
        <v>-52.2</v>
      </c>
      <c r="BF105" s="62">
        <f>IF(BF30="-","-",SUM(BF30)-SUM(BE30))</f>
        <v>-4.5</v>
      </c>
      <c r="BG105" s="62">
        <f>IF(BG30="-","-",SUM(BG30)-SUM(BF30))</f>
        <v>-36</v>
      </c>
      <c r="BH105" s="62">
        <f>IF(BH30="-","-",SUM(BH30)-SUM(BG30))</f>
        <v>-7.7000000000000028</v>
      </c>
      <c r="BI105" s="62">
        <f>SUM(BE105:BH105)</f>
        <v>-100.4</v>
      </c>
      <c r="BJ105" s="61"/>
      <c r="BK105" s="62">
        <f>BK30</f>
        <v>7.5</v>
      </c>
      <c r="BL105" s="62">
        <f>IF(BL30="-","-",SUM(BL30)-SUM(BK30))</f>
        <v>41.3</v>
      </c>
      <c r="BM105" s="62">
        <f>IF(BM30="-","-",SUM(BM30)-SUM(BL30))</f>
        <v>27.399999999999991</v>
      </c>
      <c r="BN105" s="62">
        <f>IF(BN30="-","-",SUM(BN30)-SUM(BM30))</f>
        <v>56.699999999999989</v>
      </c>
      <c r="BO105" s="1166">
        <f>SUM(BK105:BN105)</f>
        <v>132.89999999999998</v>
      </c>
      <c r="BP105" s="61"/>
      <c r="BQ105" s="62">
        <f>IF(BQ30="-","-",SUM(BQ30)-SUM(BP30))</f>
        <v>79.3</v>
      </c>
      <c r="BR105" s="62">
        <f>IF(BR30="-","-",SUM(BR30)-SUM(BQ30))</f>
        <v>8.5</v>
      </c>
      <c r="BS105" s="62">
        <f>IF(BS30="-","-",SUM(BS30)-SUM(BR30))</f>
        <v>21.200000000000003</v>
      </c>
      <c r="BT105" s="62">
        <f>IF(BT30="-","-",SUM(BT30)-SUM(BS30))</f>
        <v>77.199999999999989</v>
      </c>
      <c r="BU105" s="1166">
        <f>SUM(BQ105:BT105)</f>
        <v>186.2</v>
      </c>
      <c r="BV105" s="61"/>
      <c r="BW105" s="62">
        <f>SUM(BW106:BW112)</f>
        <v>48.6</v>
      </c>
      <c r="BX105" s="62">
        <f>SUM(BX106:BX112)</f>
        <v>63.000000000000007</v>
      </c>
      <c r="BY105" s="62">
        <f>SUM(BY106:BY112)</f>
        <v>-46.500000000000014</v>
      </c>
      <c r="BZ105" s="62">
        <f>SUM(BZ106:BZ112)</f>
        <v>-30.899999999999977</v>
      </c>
      <c r="CA105" s="1416">
        <f>SUM(BW105:BZ105)</f>
        <v>34.200000000000017</v>
      </c>
      <c r="CB105" s="61"/>
      <c r="CC105" s="62">
        <f>SUM(CC106:CC112)</f>
        <v>-29.3</v>
      </c>
      <c r="CD105" s="62">
        <f>SUM(CD106:CD112)</f>
        <v>-36.000000000000014</v>
      </c>
      <c r="CE105" s="62">
        <f>SUM(CE106:CE112)</f>
        <v>-47</v>
      </c>
      <c r="CF105" s="62">
        <f>SUM(CF106:CF112)</f>
        <v>29.099999999999994</v>
      </c>
      <c r="CG105" s="1166">
        <f t="shared" si="167"/>
        <v>-83.200000000000017</v>
      </c>
      <c r="CH105" s="61"/>
      <c r="CI105" s="62">
        <f>SUM(CI106:CI112)</f>
        <v>44.1</v>
      </c>
      <c r="CJ105" s="62">
        <f>SUM(CJ106:CJ112)</f>
        <v>2.3999999999999702</v>
      </c>
      <c r="CK105" s="62">
        <f>SUM(CK106:CK112)</f>
        <v>17.10000000000003</v>
      </c>
      <c r="CL105" s="62">
        <f>SUM(CL106:CL112)</f>
        <v>68.300000000000011</v>
      </c>
      <c r="CM105" s="1166">
        <f t="shared" si="172"/>
        <v>131.9</v>
      </c>
      <c r="CN105" s="61"/>
      <c r="CO105" s="62">
        <f>SUM(CO106:CO112)</f>
        <v>8.6999999999999993</v>
      </c>
      <c r="CP105" s="62">
        <f>SUM(CP106:CP112)</f>
        <v>18.8</v>
      </c>
      <c r="CQ105" s="62">
        <f>SUM(CQ106:CQ112)</f>
        <v>27.800000000000004</v>
      </c>
      <c r="CR105" s="62">
        <f>SUM(CR106:CR112)</f>
        <v>41.399999999999991</v>
      </c>
      <c r="CS105" s="1166">
        <f t="shared" si="177"/>
        <v>96.699999999999989</v>
      </c>
      <c r="CT105" s="61"/>
      <c r="CU105" s="62">
        <f>SUM(CU106:CU112)</f>
        <v>7.6999999999999993</v>
      </c>
      <c r="CV105" s="62">
        <f>SUM(CV106:CV112)</f>
        <v>-1.7000000000000028</v>
      </c>
      <c r="CW105" s="62">
        <f>SUM(CW106:CW112)</f>
        <v>5</v>
      </c>
      <c r="CX105" s="62">
        <f>SUM(CX106:CX112)</f>
        <v>-14.39999999999997</v>
      </c>
      <c r="CY105" s="1166">
        <f t="shared" ref="CY105:CY112" si="235">SUM(CU105:CX105)</f>
        <v>-3.3999999999999737</v>
      </c>
      <c r="CZ105" s="61"/>
      <c r="DA105" s="62">
        <f>SUM(DA106:DA112)</f>
        <v>103.8</v>
      </c>
      <c r="DB105" s="62">
        <f>SUM(DB106:DB112)</f>
        <v>-62.29999999999999</v>
      </c>
      <c r="DC105" s="62">
        <f>SUM(DC106:DC112)</f>
        <v>-32.399999999999977</v>
      </c>
      <c r="DD105" s="62">
        <f>SUM(DD106:DD112)</f>
        <v>76.899999999999991</v>
      </c>
      <c r="DE105" s="1166">
        <f t="shared" ref="DE105:DE112" si="236">SUM(DA105:DD105)</f>
        <v>86.000000000000028</v>
      </c>
      <c r="DF105" s="61"/>
      <c r="DG105" s="62">
        <f>SUM(DG106:DG112)</f>
        <v>110.1</v>
      </c>
      <c r="DH105" s="62">
        <f>SUM(DH106:DH112)</f>
        <v>-10.09999999999998</v>
      </c>
      <c r="DI105" s="62">
        <f>SUM(DI106:DI112)</f>
        <v>41.599999999999994</v>
      </c>
      <c r="DJ105" s="62">
        <f>SUM(DJ106:DJ112)</f>
        <v>154.40000000000003</v>
      </c>
      <c r="DK105" s="1166">
        <f t="shared" ref="DK105:DK112" si="237">SUM(DG105:DJ105)</f>
        <v>296.00000000000006</v>
      </c>
      <c r="DL105" s="61"/>
      <c r="DM105" s="62">
        <f>SUM(DM106:DM112)</f>
        <v>-11.80000000000001</v>
      </c>
      <c r="DN105" s="62">
        <f>SUM(DN106:DN112)</f>
        <v>44.400000000000006</v>
      </c>
      <c r="DO105" s="62">
        <f>SUM(DO106:DO112)</f>
        <v>264.60000000000002</v>
      </c>
      <c r="DP105" s="62">
        <f>SUM(DP106:DP112)</f>
        <v>124.80000000000001</v>
      </c>
      <c r="DQ105" s="1166">
        <f t="shared" ref="DQ105:DQ112" si="238">SUM(DM105:DP105)</f>
        <v>422.00000000000006</v>
      </c>
      <c r="DR105" s="61"/>
      <c r="DS105" s="62">
        <f>SUM(DS106:DS112)</f>
        <v>176.20000000000002</v>
      </c>
      <c r="DT105" s="62">
        <f>SUM(DT106:DT112)</f>
        <v>6.8999999999999773</v>
      </c>
      <c r="DU105" s="62">
        <f>SUM(DU106:DU112)</f>
        <v>77.400000000000034</v>
      </c>
      <c r="DV105" s="62">
        <f>SUM(DV106:DV112)</f>
        <v>54.600000000000009</v>
      </c>
      <c r="DW105" s="1166">
        <f t="shared" ref="DW105:DW112" si="239">SUM(DS105:DV105)</f>
        <v>315.10000000000002</v>
      </c>
      <c r="DX105" s="61"/>
      <c r="DY105" s="62">
        <f>SUM(DY106:DY112)</f>
        <v>72.599999999999994</v>
      </c>
      <c r="DZ105" s="62">
        <f>SUM(DZ106:DZ112)</f>
        <v>-31.200000000000017</v>
      </c>
      <c r="EA105" s="62">
        <f>SUM(EA106:EA112)</f>
        <v>-32.999999999999986</v>
      </c>
      <c r="EB105" s="62">
        <f>SUM(EB106:EB112)</f>
        <v>88.200000000000017</v>
      </c>
      <c r="EC105" s="1166">
        <f t="shared" ref="EC105:EC112" si="240">SUM(DY105:EB105)</f>
        <v>96.600000000000009</v>
      </c>
      <c r="ED105" s="61"/>
      <c r="EE105" s="62">
        <f>SUM(EE106:EE112)</f>
        <v>29.625364028059835</v>
      </c>
      <c r="EF105" s="62">
        <f>SUM(EF106:EF112)</f>
        <v>65.05333562824832</v>
      </c>
      <c r="EG105" s="62">
        <f>SUM(EG106:EG112)</f>
        <v>-38.493314340764613</v>
      </c>
      <c r="EH105" s="62">
        <f>SUM(EH106:EH112)</f>
        <v>333.80729289272244</v>
      </c>
      <c r="EI105" s="1166">
        <f t="shared" ref="EI105:EI112" si="241">SUM(EE105:EH105)</f>
        <v>389.992678208266</v>
      </c>
      <c r="EJ105" s="61"/>
      <c r="EK105" s="62">
        <f>SUM(EK106:EK112)</f>
        <v>-171.31873386513365</v>
      </c>
      <c r="EL105" s="62">
        <f>SUM(EL106:EL112)</f>
        <v>20.464381574470707</v>
      </c>
      <c r="EM105" s="62">
        <f>SUM(EM106:EM112)</f>
        <v>23.445347950214682</v>
      </c>
      <c r="EN105" s="62">
        <f>SUM(EN106:EN112)</f>
        <v>437.00782015412733</v>
      </c>
      <c r="EO105" s="1166">
        <f t="shared" ref="EO105:EO112" si="242">SUM(EK105:EN105)</f>
        <v>309.59881581367904</v>
      </c>
      <c r="EP105" s="61"/>
      <c r="EQ105" s="62">
        <f>SUM(EQ106:EQ112)</f>
        <v>-51.586929572111671</v>
      </c>
      <c r="ER105" s="62">
        <f>SUM(ER106:ER112)</f>
        <v>-6.9609906521911853</v>
      </c>
      <c r="ES105" s="62">
        <f>SUM(ES106:ES112)</f>
        <v>-40.50263176793311</v>
      </c>
      <c r="ET105" s="62">
        <f>SUM(ET106:ET112)</f>
        <v>271.93189194689484</v>
      </c>
      <c r="EU105" s="1166">
        <f t="shared" ref="EU105:EU112" si="243">SUM(EQ105:ET105)</f>
        <v>172.88133995465887</v>
      </c>
      <c r="EV105" s="45"/>
      <c r="EW105" s="45"/>
      <c r="FD105" s="45"/>
      <c r="FE105" s="45"/>
      <c r="FF105" s="45"/>
      <c r="FG105" s="45"/>
      <c r="FH105" s="45"/>
      <c r="FI105" s="45"/>
      <c r="FJ105" s="45"/>
      <c r="FK105" s="45"/>
      <c r="FL105" s="45"/>
      <c r="FM105" s="45"/>
      <c r="FN105" s="45"/>
      <c r="FO105" s="45"/>
      <c r="FP105" s="45"/>
    </row>
    <row r="106" spans="1:172" ht="13.5" hidden="1" outlineLevel="1" thickBot="1">
      <c r="A106" s="232" t="s">
        <v>5242</v>
      </c>
      <c r="B106" s="61"/>
      <c r="C106" s="62"/>
      <c r="D106" s="62"/>
      <c r="E106" s="62"/>
      <c r="F106" s="62"/>
      <c r="G106" s="62"/>
      <c r="H106" s="61"/>
      <c r="I106" s="62"/>
      <c r="J106" s="62"/>
      <c r="K106" s="62"/>
      <c r="L106" s="62"/>
      <c r="M106" s="62"/>
      <c r="N106" s="61"/>
      <c r="O106" s="62"/>
      <c r="P106" s="62"/>
      <c r="Q106" s="62"/>
      <c r="R106" s="62"/>
      <c r="S106" s="62"/>
      <c r="T106" s="61"/>
      <c r="U106" s="62"/>
      <c r="V106" s="62"/>
      <c r="W106" s="62"/>
      <c r="X106" s="62"/>
      <c r="Y106" s="62"/>
      <c r="Z106" s="61"/>
      <c r="AA106" s="62"/>
      <c r="AB106" s="62"/>
      <c r="AC106" s="62"/>
      <c r="AD106" s="62"/>
      <c r="AE106" s="62"/>
      <c r="AF106" s="61"/>
      <c r="AG106" s="62"/>
      <c r="AH106" s="62"/>
      <c r="AI106" s="62"/>
      <c r="AJ106" s="62"/>
      <c r="AK106" s="62"/>
      <c r="AL106" s="61"/>
      <c r="AM106" s="62"/>
      <c r="AN106" s="62"/>
      <c r="AO106" s="62"/>
      <c r="AP106" s="62">
        <f t="shared" si="234"/>
        <v>8.202</v>
      </c>
      <c r="AQ106" s="833">
        <f t="shared" si="141"/>
        <v>8.202</v>
      </c>
      <c r="AR106" s="61"/>
      <c r="AS106" s="62"/>
      <c r="AT106" s="62"/>
      <c r="AU106" s="62"/>
      <c r="AV106" s="62"/>
      <c r="AW106" s="62">
        <f t="shared" ref="AW106:AW112" si="244">IF(AW31="-","-",SUM(AW31)-SUM(AS31))</f>
        <v>-34.012999999999998</v>
      </c>
      <c r="AX106" s="61"/>
      <c r="AY106" s="62"/>
      <c r="AZ106" s="62"/>
      <c r="BA106" s="62"/>
      <c r="BB106" s="62"/>
      <c r="BC106" s="62">
        <f t="shared" ref="BC106:BC112" si="245">IF(BC31="-","-",SUM(BC31)-SUM(AY31))</f>
        <v>-30</v>
      </c>
      <c r="BD106" s="61"/>
      <c r="BE106" s="62"/>
      <c r="BF106" s="62"/>
      <c r="BG106" s="62"/>
      <c r="BH106" s="62"/>
      <c r="BI106" s="62">
        <f t="shared" ref="BI106:BI112" si="246">IF(BI31="-","-",SUM(BI31)-SUM(BE31))</f>
        <v>-45.8</v>
      </c>
      <c r="BJ106" s="61"/>
      <c r="BK106" s="62"/>
      <c r="BL106" s="62"/>
      <c r="BM106" s="62"/>
      <c r="BN106" s="62">
        <f t="shared" ref="BN106:BN112" si="247">IF(BN31="-","-",SUM(BN31)-SUM(BM31))</f>
        <v>-39.799999999999997</v>
      </c>
      <c r="BO106" s="1166">
        <f t="shared" ref="BO106:BO112" si="248">IF(BO31="-","-",SUM(BO31)-SUM(BK31))</f>
        <v>-39.799999999999997</v>
      </c>
      <c r="BP106" s="61"/>
      <c r="BQ106" s="62"/>
      <c r="BR106" s="62"/>
      <c r="BS106" s="62"/>
      <c r="BT106" s="62">
        <f t="shared" ref="BT106:BT112" si="249">IF(BT31="-","-",SUM(BT31)-SUM(BS31))</f>
        <v>-78.3</v>
      </c>
      <c r="BU106" s="1166">
        <f t="shared" ref="BU106:BU112" si="250">SUM(BQ106:BT106)</f>
        <v>-78.3</v>
      </c>
      <c r="BV106" s="61"/>
      <c r="BW106" s="62">
        <f t="shared" ref="BW106:BW112" si="251">BW31</f>
        <v>53</v>
      </c>
      <c r="BX106" s="62">
        <f t="shared" ref="BX106:BX112" si="252">IF(BX31="-","-",SUM(BX31)-SUM(BW31))</f>
        <v>8.3000000000000114</v>
      </c>
      <c r="BY106" s="62">
        <f t="shared" ref="BY106:BY112" si="253">IF(BY31="-","-",SUM(BY31)-SUM(BX31))</f>
        <v>33.800000000000011</v>
      </c>
      <c r="BZ106" s="62">
        <f t="shared" ref="BZ106:BZ112" si="254">IF(BZ31="-","-",SUM(BZ31)-SUM(BY31))</f>
        <v>-25.100000000000023</v>
      </c>
      <c r="CA106" s="1416">
        <f t="shared" ref="CA106:CA112" si="255">SUM(BW106:BZ106)</f>
        <v>70</v>
      </c>
      <c r="CB106" s="61"/>
      <c r="CC106" s="62">
        <f t="shared" ref="CC106:CC112" si="256">CC31</f>
        <v>87.9</v>
      </c>
      <c r="CD106" s="62">
        <f t="shared" ref="CD106:CD112" si="257">IF(CD31="-","-",SUM(CD31)-SUM(CC31))</f>
        <v>4.6999999999999886</v>
      </c>
      <c r="CE106" s="62">
        <f t="shared" ref="CE106:CE112" si="258">IF(CE31="-","-",SUM(CE31)-SUM(CD31))</f>
        <v>8.2000000000000171</v>
      </c>
      <c r="CF106" s="62">
        <f t="shared" ref="CF106:CF112" si="259">IF(CF31="-","-",SUM(CF31)-SUM(CE31))</f>
        <v>-61.699999999999989</v>
      </c>
      <c r="CG106" s="1166">
        <f t="shared" si="167"/>
        <v>39.100000000000023</v>
      </c>
      <c r="CH106" s="61"/>
      <c r="CI106" s="62">
        <f t="shared" ref="CI106:CI112" si="260">CI31</f>
        <v>59.299999999999983</v>
      </c>
      <c r="CJ106" s="62">
        <f t="shared" ref="CJ106:CJ112" si="261">IF(CJ31="-","-",SUM(CJ31)-SUM(CI31))</f>
        <v>-12.900000000000006</v>
      </c>
      <c r="CK106" s="62">
        <f t="shared" ref="CK106:CK112" si="262">IF(CK31="-","-",SUM(CK31)-SUM(CJ31))</f>
        <v>-9.0999999999999943</v>
      </c>
      <c r="CL106" s="62">
        <f t="shared" ref="CL106:CL112" si="263">IF(CL31="-","-",SUM(CL31)-SUM(CK31))</f>
        <v>-78.299999999999983</v>
      </c>
      <c r="CM106" s="1166">
        <f t="shared" si="172"/>
        <v>-41</v>
      </c>
      <c r="CN106" s="61"/>
      <c r="CO106" s="62">
        <f t="shared" ref="CO106:CO112" si="264">CO31</f>
        <v>47.399999999999977</v>
      </c>
      <c r="CP106" s="62">
        <f t="shared" ref="CP106:CP112" si="265">IF(CP31="-","-",SUM(CP31)-SUM(CO31))</f>
        <v>-26</v>
      </c>
      <c r="CQ106" s="62">
        <f t="shared" ref="CQ106:CQ112" si="266">IF(CQ31="-","-",SUM(CQ31)-SUM(CP31))</f>
        <v>37.800000000000011</v>
      </c>
      <c r="CR106" s="62">
        <f t="shared" ref="CR106:CR112" si="267">IF(CR31="-","-",SUM(CR31)-SUM(CQ31))</f>
        <v>-135.90000000000003</v>
      </c>
      <c r="CS106" s="1166">
        <f t="shared" si="177"/>
        <v>-76.700000000000045</v>
      </c>
      <c r="CT106" s="61"/>
      <c r="CU106" s="62">
        <f t="shared" ref="CU106:CU112" si="268">CU31</f>
        <v>94.5</v>
      </c>
      <c r="CV106" s="62">
        <f>IF(CV31="-","-",SUM(CV31)-SUM(CU31))</f>
        <v>-60.799999999999955</v>
      </c>
      <c r="CW106" s="62">
        <f t="shared" ref="CW106:CW112" si="269">IF(CW31="-","-",SUM(CW31)-SUM(CV31))</f>
        <v>68.099999999999966</v>
      </c>
      <c r="CX106" s="62">
        <f t="shared" ref="CX106:CX112" si="270">IF(CX31="-","-",SUM(CX31)-SUM(CW31))</f>
        <v>-201.8</v>
      </c>
      <c r="CY106" s="1166">
        <f t="shared" si="235"/>
        <v>-100</v>
      </c>
      <c r="CZ106" s="61"/>
      <c r="DA106" s="62">
        <f t="shared" ref="DA106:DA112" si="271">DA31</f>
        <v>209.3</v>
      </c>
      <c r="DB106" s="62">
        <f t="shared" ref="DB106:DB112" si="272">IF(DB31="-","-",SUM(DB31)-SUM(DA31))</f>
        <v>-18.099999999999966</v>
      </c>
      <c r="DC106" s="62">
        <f t="shared" ref="DC106:DC112" si="273">IF(DC31="-","-",SUM(DC31)-SUM(DB31))</f>
        <v>-0.20000000000004547</v>
      </c>
      <c r="DD106" s="62">
        <f t="shared" ref="DD106:DD112" si="274">IF(DD31="-","-",SUM(DD31)-SUM(DC31))</f>
        <v>-119.59999999999997</v>
      </c>
      <c r="DE106" s="1166">
        <f t="shared" si="236"/>
        <v>71.400000000000034</v>
      </c>
      <c r="DF106" s="61"/>
      <c r="DG106" s="62">
        <f t="shared" ref="DG106:DG112" si="275">DG31</f>
        <v>100.39999999999998</v>
      </c>
      <c r="DH106" s="62">
        <f t="shared" ref="DH106:DH112" si="276">IF(DH31="-","-",SUM(DH31)-SUM(DG31))</f>
        <v>-42</v>
      </c>
      <c r="DI106" s="62">
        <f t="shared" ref="DI106:DI112" si="277">IF(DI31="-","-",SUM(DI31)-SUM(DH31))</f>
        <v>-10.399999999999977</v>
      </c>
      <c r="DJ106" s="62">
        <f>IF(DJ31="-","-",SUM(DJ31)-SUM(DI31))</f>
        <v>-83.199999999999989</v>
      </c>
      <c r="DK106" s="1166">
        <f t="shared" si="237"/>
        <v>-35.199999999999989</v>
      </c>
      <c r="DL106" s="61"/>
      <c r="DM106" s="62">
        <f t="shared" ref="DM106:DM112" si="278">DM31</f>
        <v>142.89999999999998</v>
      </c>
      <c r="DN106" s="62">
        <f>IF(DN31="-","-",SUM(DN31)-SUM(DM31))</f>
        <v>-78.100000000000023</v>
      </c>
      <c r="DO106" s="62">
        <f t="shared" ref="DO106:DO112" si="279">IF(DO31="-","-",SUM(DO31)-SUM(DN31))</f>
        <v>32.600000000000051</v>
      </c>
      <c r="DP106" s="62">
        <f>IF(DP31="-","-",SUM(DP31)-SUM(DO31))</f>
        <v>-292.89999999999998</v>
      </c>
      <c r="DQ106" s="1166">
        <f t="shared" si="238"/>
        <v>-195.49999999999997</v>
      </c>
      <c r="DR106" s="61"/>
      <c r="DS106" s="62">
        <f t="shared" ref="DS106:DS112" si="280">DS31</f>
        <v>397.4</v>
      </c>
      <c r="DT106" s="62">
        <f t="shared" ref="DT106:DT112" si="281">IF(DT31="-","-",SUM(DT31)-SUM(DS31))</f>
        <v>-50.5</v>
      </c>
      <c r="DU106" s="62">
        <f t="shared" ref="DU106:DU112" si="282">IF(DU31="-","-",SUM(DU31)-SUM(DT31))</f>
        <v>46.900000000000034</v>
      </c>
      <c r="DV106" s="62">
        <f t="shared" ref="DV106:DV112" si="283">IF(DV31="-","-",SUM(DV31)-SUM(DU31))</f>
        <v>-192.3</v>
      </c>
      <c r="DW106" s="1166">
        <f t="shared" si="239"/>
        <v>201.5</v>
      </c>
      <c r="DX106" s="61"/>
      <c r="DY106" s="62">
        <f t="shared" ref="DY106:DY112" si="284">DY31</f>
        <v>220.9</v>
      </c>
      <c r="DZ106" s="62">
        <f t="shared" ref="DZ106:DZ112" si="285">IF(DZ31="-","-",SUM(DZ31)-SUM(DY31))</f>
        <v>-35.400000000000006</v>
      </c>
      <c r="EA106" s="62">
        <f t="shared" ref="EA106:EA112" si="286">IF(EA31="-","-",SUM(EA31)-SUM(DZ31))</f>
        <v>-42.199999999999989</v>
      </c>
      <c r="EB106" s="62">
        <f t="shared" ref="EB106:EB112" si="287">IF(EB31="-","-",SUM(EB31)-SUM(EA31))</f>
        <v>-130</v>
      </c>
      <c r="EC106" s="1166">
        <f t="shared" si="240"/>
        <v>13.300000000000011</v>
      </c>
      <c r="ED106" s="61"/>
      <c r="EE106" s="62">
        <f t="shared" ref="EE106:EE112" si="288">EE31</f>
        <v>169.21081786409576</v>
      </c>
      <c r="EF106" s="62">
        <f t="shared" ref="EF106:EF112" si="289">IF(EF31="-","-",SUM(EF31)-SUM(EE31))</f>
        <v>-17.047718585365544</v>
      </c>
      <c r="EG106" s="62">
        <f t="shared" ref="EG106:EG112" si="290">IF(EG31="-","-",SUM(EG31)-SUM(EF31))</f>
        <v>-63.645615929652138</v>
      </c>
      <c r="EH106" s="62">
        <f t="shared" ref="EH106:EH112" si="291">IF(EH31="-","-",SUM(EH31)-SUM(EG31))</f>
        <v>-111.99776516670704</v>
      </c>
      <c r="EI106" s="1166">
        <f t="shared" si="241"/>
        <v>-23.480281817628963</v>
      </c>
      <c r="EJ106" s="61"/>
      <c r="EK106" s="62">
        <f t="shared" ref="EK106:EK112" si="292">EK31</f>
        <v>127.93520162185428</v>
      </c>
      <c r="EL106" s="62">
        <f t="shared" ref="EL106:EL112" si="293">IF(EL31="-","-",SUM(EL31)-SUM(EK31))</f>
        <v>-100.23355215455405</v>
      </c>
      <c r="EM106" s="62">
        <f t="shared" ref="EM106:EM112" si="294">IF(EM31="-","-",SUM(EM31)-SUM(EL31))</f>
        <v>-42.683767134555012</v>
      </c>
      <c r="EN106" s="62">
        <f t="shared" ref="EN106:EN112" si="295">IF(EN31="-","-",SUM(EN31)-SUM(EM31))</f>
        <v>-83.330468940743685</v>
      </c>
      <c r="EO106" s="1166">
        <f t="shared" si="242"/>
        <v>-98.312586607998469</v>
      </c>
      <c r="EP106" s="61"/>
      <c r="EQ106" s="62">
        <f t="shared" ref="EQ106:EQ112" si="296">EQ31</f>
        <v>188.80534277809477</v>
      </c>
      <c r="ER106" s="62">
        <f t="shared" ref="ER106:ER112" si="297">IF(ER31="-","-",SUM(ER31)-SUM(EQ31))</f>
        <v>-141.62462570363709</v>
      </c>
      <c r="ES106" s="62">
        <f t="shared" ref="ES106:ES112" si="298">IF(ES31="-","-",SUM(ES31)-SUM(ER31))</f>
        <v>-72.989789384699066</v>
      </c>
      <c r="ET106" s="62">
        <f t="shared" ref="ET106:ET112" si="299">IF(ET31="-","-",SUM(ET31)-SUM(ES31))</f>
        <v>-187.68031461734859</v>
      </c>
      <c r="EU106" s="1166">
        <f t="shared" si="243"/>
        <v>-213.48938692758998</v>
      </c>
      <c r="EV106" s="45"/>
      <c r="EW106" s="45"/>
      <c r="FD106" s="45"/>
      <c r="FE106" s="45"/>
      <c r="FF106" s="45"/>
      <c r="FG106" s="45"/>
      <c r="FH106" s="45"/>
      <c r="FI106" s="45"/>
      <c r="FJ106" s="45"/>
      <c r="FK106" s="45"/>
      <c r="FL106" s="579" t="s">
        <v>5483</v>
      </c>
      <c r="FM106" s="45">
        <v>6</v>
      </c>
      <c r="FN106" s="45" t="s">
        <v>5156</v>
      </c>
      <c r="FO106" s="45" t="b">
        <v>0</v>
      </c>
      <c r="FP106" s="45" t="b">
        <v>0</v>
      </c>
    </row>
    <row r="107" spans="1:172" ht="13.5" hidden="1" outlineLevel="1" thickBot="1">
      <c r="A107" s="232" t="s">
        <v>5650</v>
      </c>
      <c r="B107" s="61"/>
      <c r="C107" s="62"/>
      <c r="D107" s="62"/>
      <c r="E107" s="62"/>
      <c r="F107" s="62"/>
      <c r="G107" s="62"/>
      <c r="H107" s="61"/>
      <c r="I107" s="62"/>
      <c r="J107" s="62"/>
      <c r="K107" s="62"/>
      <c r="L107" s="62"/>
      <c r="M107" s="62"/>
      <c r="N107" s="61"/>
      <c r="O107" s="62"/>
      <c r="P107" s="62"/>
      <c r="Q107" s="62"/>
      <c r="R107" s="62"/>
      <c r="S107" s="62"/>
      <c r="T107" s="61"/>
      <c r="U107" s="62"/>
      <c r="V107" s="62"/>
      <c r="W107" s="62"/>
      <c r="X107" s="62"/>
      <c r="Y107" s="62"/>
      <c r="Z107" s="61"/>
      <c r="AA107" s="62"/>
      <c r="AB107" s="62"/>
      <c r="AC107" s="62"/>
      <c r="AD107" s="62"/>
      <c r="AE107" s="62"/>
      <c r="AF107" s="61"/>
      <c r="AG107" s="62"/>
      <c r="AH107" s="62"/>
      <c r="AI107" s="62"/>
      <c r="AJ107" s="62"/>
      <c r="AK107" s="62"/>
      <c r="AL107" s="61"/>
      <c r="AM107" s="62"/>
      <c r="AN107" s="62"/>
      <c r="AO107" s="62"/>
      <c r="AP107" s="62">
        <f t="shared" si="234"/>
        <v>5.7149999999999999</v>
      </c>
      <c r="AQ107" s="833">
        <f t="shared" si="141"/>
        <v>5.7149999999999999</v>
      </c>
      <c r="AR107" s="61"/>
      <c r="AS107" s="62"/>
      <c r="AT107" s="62"/>
      <c r="AU107" s="62"/>
      <c r="AV107" s="62"/>
      <c r="AW107" s="62">
        <f t="shared" si="244"/>
        <v>-5.0810000000000004</v>
      </c>
      <c r="AX107" s="61"/>
      <c r="AY107" s="62"/>
      <c r="AZ107" s="62"/>
      <c r="BA107" s="62"/>
      <c r="BB107" s="62"/>
      <c r="BC107" s="62">
        <f t="shared" si="245"/>
        <v>4.8</v>
      </c>
      <c r="BD107" s="61"/>
      <c r="BE107" s="62"/>
      <c r="BF107" s="62"/>
      <c r="BG107" s="62"/>
      <c r="BH107" s="62"/>
      <c r="BI107" s="62">
        <f t="shared" si="246"/>
        <v>-1</v>
      </c>
      <c r="BJ107" s="61"/>
      <c r="BK107" s="62"/>
      <c r="BL107" s="62"/>
      <c r="BM107" s="62"/>
      <c r="BN107" s="62">
        <f t="shared" si="247"/>
        <v>8.6999999999999993</v>
      </c>
      <c r="BO107" s="1166">
        <f t="shared" si="248"/>
        <v>8.6999999999999993</v>
      </c>
      <c r="BP107" s="61"/>
      <c r="BQ107" s="62"/>
      <c r="BR107" s="62"/>
      <c r="BS107" s="62"/>
      <c r="BT107" s="62">
        <f t="shared" si="249"/>
        <v>0</v>
      </c>
      <c r="BU107" s="1166">
        <f t="shared" si="250"/>
        <v>0</v>
      </c>
      <c r="BV107" s="61"/>
      <c r="BW107" s="62">
        <f t="shared" si="251"/>
        <v>0</v>
      </c>
      <c r="BX107" s="62">
        <f t="shared" si="252"/>
        <v>0</v>
      </c>
      <c r="BY107" s="62">
        <f t="shared" si="253"/>
        <v>0</v>
      </c>
      <c r="BZ107" s="62">
        <f t="shared" si="254"/>
        <v>0</v>
      </c>
      <c r="CA107" s="1416">
        <f t="shared" si="255"/>
        <v>0</v>
      </c>
      <c r="CB107" s="61"/>
      <c r="CC107" s="62">
        <f t="shared" si="256"/>
        <v>0</v>
      </c>
      <c r="CD107" s="62">
        <f t="shared" si="257"/>
        <v>0</v>
      </c>
      <c r="CE107" s="62">
        <f t="shared" si="258"/>
        <v>0</v>
      </c>
      <c r="CF107" s="62">
        <f t="shared" si="259"/>
        <v>0</v>
      </c>
      <c r="CG107" s="1166">
        <f t="shared" si="167"/>
        <v>0</v>
      </c>
      <c r="CH107" s="61"/>
      <c r="CI107" s="62">
        <f t="shared" si="260"/>
        <v>0</v>
      </c>
      <c r="CJ107" s="62">
        <f t="shared" si="261"/>
        <v>0</v>
      </c>
      <c r="CK107" s="62">
        <f t="shared" si="262"/>
        <v>0</v>
      </c>
      <c r="CL107" s="62">
        <f t="shared" si="263"/>
        <v>0</v>
      </c>
      <c r="CM107" s="1166">
        <f t="shared" si="172"/>
        <v>0</v>
      </c>
      <c r="CN107" s="61"/>
      <c r="CO107" s="62">
        <f t="shared" si="264"/>
        <v>0</v>
      </c>
      <c r="CP107" s="62">
        <f t="shared" si="265"/>
        <v>0</v>
      </c>
      <c r="CQ107" s="62">
        <f t="shared" si="266"/>
        <v>0</v>
      </c>
      <c r="CR107" s="62">
        <f t="shared" si="267"/>
        <v>0</v>
      </c>
      <c r="CS107" s="1166">
        <f t="shared" si="177"/>
        <v>0</v>
      </c>
      <c r="CT107" s="61"/>
      <c r="CU107" s="62">
        <f t="shared" si="268"/>
        <v>0</v>
      </c>
      <c r="CV107" s="62">
        <f t="shared" ref="CV107:CV112" si="300">IF(CV32="-","-",SUM(CV32)-SUM(CU32))</f>
        <v>0</v>
      </c>
      <c r="CW107" s="62">
        <f t="shared" si="269"/>
        <v>0</v>
      </c>
      <c r="CX107" s="62">
        <f t="shared" si="270"/>
        <v>0</v>
      </c>
      <c r="CY107" s="1166">
        <f t="shared" si="235"/>
        <v>0</v>
      </c>
      <c r="CZ107" s="61"/>
      <c r="DA107" s="62">
        <f t="shared" si="271"/>
        <v>0</v>
      </c>
      <c r="DB107" s="62">
        <f t="shared" si="272"/>
        <v>0</v>
      </c>
      <c r="DC107" s="62">
        <f t="shared" si="273"/>
        <v>0</v>
      </c>
      <c r="DD107" s="62">
        <f t="shared" si="274"/>
        <v>0</v>
      </c>
      <c r="DE107" s="1166">
        <f t="shared" si="236"/>
        <v>0</v>
      </c>
      <c r="DF107" s="61"/>
      <c r="DG107" s="62">
        <f t="shared" si="275"/>
        <v>0</v>
      </c>
      <c r="DH107" s="62">
        <f t="shared" si="276"/>
        <v>0</v>
      </c>
      <c r="DI107" s="62">
        <f t="shared" si="277"/>
        <v>0</v>
      </c>
      <c r="DJ107" s="62">
        <f t="shared" ref="DJ107:DJ112" si="301">IF(DJ32="-","-",SUM(DJ32)-SUM(DI32))</f>
        <v>0</v>
      </c>
      <c r="DK107" s="1166">
        <f t="shared" si="237"/>
        <v>0</v>
      </c>
      <c r="DL107" s="61"/>
      <c r="DM107" s="62">
        <f t="shared" si="278"/>
        <v>0</v>
      </c>
      <c r="DN107" s="62">
        <f t="shared" ref="DN107:DN112" si="302">IF(DN32="-","-",SUM(DN32)-SUM(DM32))</f>
        <v>0</v>
      </c>
      <c r="DO107" s="62">
        <f t="shared" si="279"/>
        <v>0</v>
      </c>
      <c r="DP107" s="62">
        <f t="shared" ref="DP107:DP112" si="303">IF(DP32="-","-",SUM(DP32)-SUM(DO32))</f>
        <v>0</v>
      </c>
      <c r="DQ107" s="1166">
        <f t="shared" si="238"/>
        <v>0</v>
      </c>
      <c r="DR107" s="61"/>
      <c r="DS107" s="62">
        <f t="shared" si="280"/>
        <v>0</v>
      </c>
      <c r="DT107" s="62">
        <f t="shared" si="281"/>
        <v>0</v>
      </c>
      <c r="DU107" s="62">
        <f t="shared" si="282"/>
        <v>0</v>
      </c>
      <c r="DV107" s="62">
        <f t="shared" si="283"/>
        <v>0</v>
      </c>
      <c r="DW107" s="1166">
        <f t="shared" si="239"/>
        <v>0</v>
      </c>
      <c r="DX107" s="61"/>
      <c r="DY107" s="62">
        <f t="shared" si="284"/>
        <v>0</v>
      </c>
      <c r="DZ107" s="62">
        <f t="shared" si="285"/>
        <v>0</v>
      </c>
      <c r="EA107" s="62">
        <f t="shared" si="286"/>
        <v>0</v>
      </c>
      <c r="EB107" s="62">
        <f t="shared" si="287"/>
        <v>0</v>
      </c>
      <c r="EC107" s="1166">
        <f t="shared" si="240"/>
        <v>0</v>
      </c>
      <c r="ED107" s="61"/>
      <c r="EE107" s="62">
        <f t="shared" si="288"/>
        <v>0</v>
      </c>
      <c r="EF107" s="62">
        <f t="shared" si="289"/>
        <v>0</v>
      </c>
      <c r="EG107" s="62">
        <f t="shared" si="290"/>
        <v>0</v>
      </c>
      <c r="EH107" s="62">
        <f t="shared" si="291"/>
        <v>0</v>
      </c>
      <c r="EI107" s="1166">
        <f t="shared" si="241"/>
        <v>0</v>
      </c>
      <c r="EJ107" s="61"/>
      <c r="EK107" s="62">
        <f t="shared" si="292"/>
        <v>0</v>
      </c>
      <c r="EL107" s="62">
        <f t="shared" si="293"/>
        <v>0</v>
      </c>
      <c r="EM107" s="62">
        <f t="shared" si="294"/>
        <v>0</v>
      </c>
      <c r="EN107" s="62">
        <f t="shared" si="295"/>
        <v>0</v>
      </c>
      <c r="EO107" s="1166">
        <f t="shared" si="242"/>
        <v>0</v>
      </c>
      <c r="EP107" s="61"/>
      <c r="EQ107" s="62">
        <f t="shared" si="296"/>
        <v>0</v>
      </c>
      <c r="ER107" s="62">
        <f t="shared" si="297"/>
        <v>0</v>
      </c>
      <c r="ES107" s="62">
        <f t="shared" si="298"/>
        <v>0</v>
      </c>
      <c r="ET107" s="62">
        <f t="shared" si="299"/>
        <v>0</v>
      </c>
      <c r="EU107" s="1166">
        <f t="shared" si="243"/>
        <v>0</v>
      </c>
      <c r="EV107" s="45"/>
      <c r="EW107" s="45"/>
      <c r="FD107" s="45"/>
      <c r="FE107" s="45"/>
      <c r="FF107" s="45"/>
      <c r="FG107" s="45"/>
      <c r="FH107" s="45"/>
      <c r="FI107" s="45"/>
      <c r="FJ107" s="45"/>
      <c r="FK107" s="45"/>
      <c r="FL107" s="579" t="s">
        <v>4233</v>
      </c>
      <c r="FM107" s="45">
        <v>6</v>
      </c>
      <c r="FN107" s="45" t="s">
        <v>5156</v>
      </c>
      <c r="FO107" s="45" t="b">
        <v>0</v>
      </c>
      <c r="FP107" s="45" t="b">
        <v>0</v>
      </c>
    </row>
    <row r="108" spans="1:172" ht="13.5" hidden="1" outlineLevel="1" thickBot="1">
      <c r="A108" s="232" t="s">
        <v>5165</v>
      </c>
      <c r="B108" s="61"/>
      <c r="C108" s="62"/>
      <c r="D108" s="62"/>
      <c r="E108" s="62"/>
      <c r="F108" s="62"/>
      <c r="G108" s="62"/>
      <c r="H108" s="61"/>
      <c r="I108" s="62"/>
      <c r="J108" s="62"/>
      <c r="K108" s="62"/>
      <c r="L108" s="62"/>
      <c r="M108" s="62"/>
      <c r="N108" s="61"/>
      <c r="O108" s="62"/>
      <c r="P108" s="62"/>
      <c r="Q108" s="62"/>
      <c r="R108" s="62"/>
      <c r="S108" s="62"/>
      <c r="T108" s="61"/>
      <c r="U108" s="62"/>
      <c r="V108" s="62"/>
      <c r="W108" s="62"/>
      <c r="X108" s="62"/>
      <c r="Y108" s="62"/>
      <c r="Z108" s="61"/>
      <c r="AA108" s="62"/>
      <c r="AB108" s="62"/>
      <c r="AC108" s="62"/>
      <c r="AD108" s="62"/>
      <c r="AE108" s="62"/>
      <c r="AF108" s="61"/>
      <c r="AG108" s="62"/>
      <c r="AH108" s="62"/>
      <c r="AI108" s="62"/>
      <c r="AJ108" s="62"/>
      <c r="AK108" s="62"/>
      <c r="AL108" s="61"/>
      <c r="AM108" s="62"/>
      <c r="AN108" s="62"/>
      <c r="AO108" s="62"/>
      <c r="AP108" s="774">
        <f t="shared" si="234"/>
        <v>38.99</v>
      </c>
      <c r="AQ108" s="833">
        <f t="shared" si="141"/>
        <v>38.99</v>
      </c>
      <c r="AR108" s="61"/>
      <c r="AS108" s="62"/>
      <c r="AT108" s="62"/>
      <c r="AU108" s="62"/>
      <c r="AV108" s="62"/>
      <c r="AW108" s="62">
        <f t="shared" si="244"/>
        <v>9.6839999999999993</v>
      </c>
      <c r="AX108" s="61"/>
      <c r="AY108" s="62"/>
      <c r="AZ108" s="62"/>
      <c r="BA108" s="62"/>
      <c r="BB108" s="62"/>
      <c r="BC108" s="62">
        <f t="shared" si="245"/>
        <v>-100.8</v>
      </c>
      <c r="BD108" s="61"/>
      <c r="BE108" s="62"/>
      <c r="BF108" s="62"/>
      <c r="BG108" s="62"/>
      <c r="BH108" s="62"/>
      <c r="BI108" s="62">
        <f t="shared" si="246"/>
        <v>-84</v>
      </c>
      <c r="BJ108" s="61"/>
      <c r="BK108" s="62"/>
      <c r="BL108" s="62"/>
      <c r="BM108" s="62"/>
      <c r="BN108" s="62">
        <f t="shared" si="247"/>
        <v>40.1</v>
      </c>
      <c r="BO108" s="1166">
        <f t="shared" si="248"/>
        <v>40.1</v>
      </c>
      <c r="BP108" s="61"/>
      <c r="BQ108" s="62"/>
      <c r="BR108" s="62"/>
      <c r="BS108" s="62"/>
      <c r="BT108" s="62">
        <f t="shared" si="249"/>
        <v>56.5</v>
      </c>
      <c r="BU108" s="1166">
        <f t="shared" si="250"/>
        <v>56.5</v>
      </c>
      <c r="BV108" s="61"/>
      <c r="BW108" s="62">
        <f t="shared" si="251"/>
        <v>12.899999999999991</v>
      </c>
      <c r="BX108" s="62">
        <f t="shared" si="252"/>
        <v>10.799999999999997</v>
      </c>
      <c r="BY108" s="62">
        <f t="shared" si="253"/>
        <v>4.8999999999999986</v>
      </c>
      <c r="BZ108" s="62">
        <f t="shared" si="254"/>
        <v>-36</v>
      </c>
      <c r="CA108" s="1416">
        <f t="shared" si="255"/>
        <v>-7.4000000000000128</v>
      </c>
      <c r="CB108" s="61"/>
      <c r="CC108" s="62">
        <f t="shared" si="256"/>
        <v>21.500000000000007</v>
      </c>
      <c r="CD108" s="62">
        <f t="shared" si="257"/>
        <v>-5.7000000000000028</v>
      </c>
      <c r="CE108" s="62">
        <f t="shared" si="258"/>
        <v>-1.5</v>
      </c>
      <c r="CF108" s="62">
        <f t="shared" si="259"/>
        <v>-3.6000000000000085</v>
      </c>
      <c r="CG108" s="1166">
        <f t="shared" si="167"/>
        <v>10.699999999999996</v>
      </c>
      <c r="CH108" s="61"/>
      <c r="CI108" s="62">
        <f t="shared" si="260"/>
        <v>-10.099999999999994</v>
      </c>
      <c r="CJ108" s="62">
        <f t="shared" si="261"/>
        <v>-0.49999999999999289</v>
      </c>
      <c r="CK108" s="62">
        <f t="shared" si="262"/>
        <v>4.2999999999999901</v>
      </c>
      <c r="CL108" s="62">
        <f t="shared" si="263"/>
        <v>4.9000000000000057</v>
      </c>
      <c r="CM108" s="1166">
        <f t="shared" si="172"/>
        <v>-1.3999999999999915</v>
      </c>
      <c r="CN108" s="61"/>
      <c r="CO108" s="62">
        <f t="shared" si="264"/>
        <v>5.6999999999999957</v>
      </c>
      <c r="CP108" s="62">
        <f t="shared" si="265"/>
        <v>-12.29999999999999</v>
      </c>
      <c r="CQ108" s="62">
        <f t="shared" si="266"/>
        <v>-18.799999999999997</v>
      </c>
      <c r="CR108" s="62">
        <f t="shared" si="267"/>
        <v>6.9999999999999787</v>
      </c>
      <c r="CS108" s="1166">
        <f t="shared" si="177"/>
        <v>-18.400000000000013</v>
      </c>
      <c r="CT108" s="61"/>
      <c r="CU108" s="62">
        <f t="shared" si="268"/>
        <v>-2.1000000000000014</v>
      </c>
      <c r="CV108" s="62">
        <f t="shared" si="300"/>
        <v>-13.599999999999994</v>
      </c>
      <c r="CW108" s="62">
        <f t="shared" si="269"/>
        <v>4.8999999999999986</v>
      </c>
      <c r="CX108" s="62">
        <f t="shared" si="270"/>
        <v>11.70000000000001</v>
      </c>
      <c r="CY108" s="1166">
        <f t="shared" si="235"/>
        <v>0.90000000000001279</v>
      </c>
      <c r="CZ108" s="61"/>
      <c r="DA108" s="62">
        <f t="shared" si="271"/>
        <v>-25.300000000000011</v>
      </c>
      <c r="DB108" s="62">
        <f t="shared" si="272"/>
        <v>13.400000000000013</v>
      </c>
      <c r="DC108" s="62">
        <f t="shared" si="273"/>
        <v>5.1000000000000014</v>
      </c>
      <c r="DD108" s="62">
        <f t="shared" si="274"/>
        <v>-16.099999999999994</v>
      </c>
      <c r="DE108" s="1166">
        <f t="shared" si="236"/>
        <v>-22.899999999999991</v>
      </c>
      <c r="DF108" s="61"/>
      <c r="DG108" s="62">
        <f t="shared" si="275"/>
        <v>39.799999999999997</v>
      </c>
      <c r="DH108" s="62">
        <f t="shared" si="276"/>
        <v>-15</v>
      </c>
      <c r="DI108" s="62">
        <f t="shared" si="277"/>
        <v>-15.300000000000011</v>
      </c>
      <c r="DJ108" s="62">
        <f t="shared" si="301"/>
        <v>-6.6999999999999886</v>
      </c>
      <c r="DK108" s="1166">
        <f t="shared" si="237"/>
        <v>2.7999999999999972</v>
      </c>
      <c r="DL108" s="61"/>
      <c r="DM108" s="62">
        <f t="shared" si="278"/>
        <v>-2.9000000000000057</v>
      </c>
      <c r="DN108" s="62">
        <f t="shared" si="302"/>
        <v>202.70000000000002</v>
      </c>
      <c r="DO108" s="62">
        <f t="shared" si="279"/>
        <v>22.099999999999994</v>
      </c>
      <c r="DP108" s="62">
        <f t="shared" si="303"/>
        <v>9.5</v>
      </c>
      <c r="DQ108" s="1166">
        <f t="shared" si="238"/>
        <v>231.4</v>
      </c>
      <c r="DR108" s="61"/>
      <c r="DS108" s="62">
        <f t="shared" si="280"/>
        <v>0</v>
      </c>
      <c r="DT108" s="62">
        <f t="shared" si="281"/>
        <v>0</v>
      </c>
      <c r="DU108" s="62">
        <f t="shared" si="282"/>
        <v>0</v>
      </c>
      <c r="DV108" s="62">
        <f t="shared" si="283"/>
        <v>-37.299999999999997</v>
      </c>
      <c r="DW108" s="1166">
        <f t="shared" si="239"/>
        <v>-37.299999999999997</v>
      </c>
      <c r="DX108" s="61"/>
      <c r="DY108" s="62">
        <f t="shared" si="284"/>
        <v>-0.4</v>
      </c>
      <c r="DZ108" s="62">
        <f t="shared" si="285"/>
        <v>0.4</v>
      </c>
      <c r="EA108" s="62">
        <f t="shared" si="286"/>
        <v>0</v>
      </c>
      <c r="EB108" s="62">
        <f t="shared" si="287"/>
        <v>-39.1</v>
      </c>
      <c r="EC108" s="1166">
        <f t="shared" si="240"/>
        <v>-39.1</v>
      </c>
      <c r="ED108" s="61"/>
      <c r="EE108" s="62">
        <f t="shared" si="288"/>
        <v>0</v>
      </c>
      <c r="EF108" s="62">
        <f t="shared" si="289"/>
        <v>0</v>
      </c>
      <c r="EG108" s="62">
        <f t="shared" si="290"/>
        <v>0</v>
      </c>
      <c r="EH108" s="62">
        <f t="shared" si="291"/>
        <v>0</v>
      </c>
      <c r="EI108" s="1166">
        <f t="shared" si="241"/>
        <v>0</v>
      </c>
      <c r="EJ108" s="61"/>
      <c r="EK108" s="62">
        <f t="shared" si="292"/>
        <v>0</v>
      </c>
      <c r="EL108" s="62">
        <f t="shared" si="293"/>
        <v>0</v>
      </c>
      <c r="EM108" s="62">
        <f t="shared" si="294"/>
        <v>0</v>
      </c>
      <c r="EN108" s="62">
        <f t="shared" si="295"/>
        <v>0</v>
      </c>
      <c r="EO108" s="1166">
        <f t="shared" si="242"/>
        <v>0</v>
      </c>
      <c r="EP108" s="61"/>
      <c r="EQ108" s="62">
        <f t="shared" si="296"/>
        <v>0</v>
      </c>
      <c r="ER108" s="62">
        <f t="shared" si="297"/>
        <v>0</v>
      </c>
      <c r="ES108" s="62">
        <f t="shared" si="298"/>
        <v>0</v>
      </c>
      <c r="ET108" s="62">
        <f t="shared" si="299"/>
        <v>0</v>
      </c>
      <c r="EU108" s="1166">
        <f t="shared" si="243"/>
        <v>0</v>
      </c>
      <c r="EV108" s="45"/>
      <c r="EW108" s="45"/>
      <c r="FD108" s="45"/>
      <c r="FE108" s="45"/>
      <c r="FF108" s="45"/>
      <c r="FG108" s="45"/>
      <c r="FH108" s="45"/>
      <c r="FI108" s="45"/>
      <c r="FJ108" s="45"/>
      <c r="FK108" s="45"/>
      <c r="FL108" s="579" t="s">
        <v>4235</v>
      </c>
      <c r="FM108" s="45">
        <v>6</v>
      </c>
      <c r="FN108" s="45" t="s">
        <v>5156</v>
      </c>
      <c r="FO108" s="45" t="b">
        <v>0</v>
      </c>
      <c r="FP108" s="45" t="b">
        <v>0</v>
      </c>
    </row>
    <row r="109" spans="1:172" ht="13.5" hidden="1" outlineLevel="1" thickBot="1">
      <c r="A109" s="232" t="s">
        <v>334</v>
      </c>
      <c r="B109" s="61"/>
      <c r="C109" s="62"/>
      <c r="D109" s="62"/>
      <c r="E109" s="62"/>
      <c r="F109" s="62"/>
      <c r="G109" s="62"/>
      <c r="H109" s="61"/>
      <c r="I109" s="62"/>
      <c r="J109" s="62"/>
      <c r="K109" s="62"/>
      <c r="L109" s="62"/>
      <c r="M109" s="62"/>
      <c r="N109" s="61"/>
      <c r="O109" s="62"/>
      <c r="P109" s="62"/>
      <c r="Q109" s="62"/>
      <c r="R109" s="62"/>
      <c r="S109" s="62"/>
      <c r="T109" s="61"/>
      <c r="U109" s="62"/>
      <c r="V109" s="62"/>
      <c r="W109" s="62"/>
      <c r="X109" s="62"/>
      <c r="Y109" s="62"/>
      <c r="Z109" s="61"/>
      <c r="AA109" s="62"/>
      <c r="AB109" s="62"/>
      <c r="AC109" s="62"/>
      <c r="AD109" s="62"/>
      <c r="AE109" s="62"/>
      <c r="AF109" s="61"/>
      <c r="AG109" s="62"/>
      <c r="AH109" s="62"/>
      <c r="AI109" s="62"/>
      <c r="AJ109" s="62"/>
      <c r="AK109" s="62"/>
      <c r="AL109" s="61"/>
      <c r="AM109" s="62"/>
      <c r="AN109" s="62"/>
      <c r="AO109" s="62"/>
      <c r="AP109" s="62">
        <f t="shared" si="234"/>
        <v>7.657</v>
      </c>
      <c r="AQ109" s="833">
        <f t="shared" si="141"/>
        <v>7.657</v>
      </c>
      <c r="AR109" s="61"/>
      <c r="AS109" s="62"/>
      <c r="AT109" s="62"/>
      <c r="AU109" s="62"/>
      <c r="AV109" s="62"/>
      <c r="AW109" s="62">
        <f t="shared" si="244"/>
        <v>4.4649999999999999</v>
      </c>
      <c r="AX109" s="61"/>
      <c r="AY109" s="62"/>
      <c r="AZ109" s="62"/>
      <c r="BA109" s="62"/>
      <c r="BB109" s="62"/>
      <c r="BC109" s="62">
        <f>IF(BC34="-","-",SUM(BC34)-SUM(AY34))</f>
        <v>-1.3</v>
      </c>
      <c r="BD109" s="61"/>
      <c r="BE109" s="62"/>
      <c r="BF109" s="62"/>
      <c r="BG109" s="62"/>
      <c r="BH109" s="62"/>
      <c r="BI109" s="62">
        <f t="shared" si="246"/>
        <v>0.3</v>
      </c>
      <c r="BJ109" s="61"/>
      <c r="BK109" s="62"/>
      <c r="BL109" s="62"/>
      <c r="BM109" s="62"/>
      <c r="BN109" s="62">
        <f t="shared" si="247"/>
        <v>2.2999999999999998</v>
      </c>
      <c r="BO109" s="1166">
        <f t="shared" si="248"/>
        <v>2.2999999999999998</v>
      </c>
      <c r="BP109" s="61"/>
      <c r="BQ109" s="62"/>
      <c r="BR109" s="62"/>
      <c r="BS109" s="62"/>
      <c r="BT109" s="62">
        <f t="shared" si="249"/>
        <v>-13.6</v>
      </c>
      <c r="BU109" s="1166">
        <f t="shared" si="250"/>
        <v>-13.6</v>
      </c>
      <c r="BV109" s="61"/>
      <c r="BW109" s="62">
        <f t="shared" si="251"/>
        <v>0.10000000000000142</v>
      </c>
      <c r="BX109" s="62">
        <f t="shared" si="252"/>
        <v>-52.6</v>
      </c>
      <c r="BY109" s="62">
        <f t="shared" si="253"/>
        <v>16.399999999999999</v>
      </c>
      <c r="BZ109" s="62">
        <f t="shared" si="254"/>
        <v>-18.899999999999991</v>
      </c>
      <c r="CA109" s="1416">
        <f t="shared" si="255"/>
        <v>-54.999999999999993</v>
      </c>
      <c r="CB109" s="61"/>
      <c r="CC109" s="62">
        <f>CC34</f>
        <v>-10.400000000000006</v>
      </c>
      <c r="CD109" s="62">
        <f t="shared" si="257"/>
        <v>15.700000000000003</v>
      </c>
      <c r="CE109" s="62">
        <f t="shared" si="258"/>
        <v>4.7000000000000028</v>
      </c>
      <c r="CF109" s="62">
        <f t="shared" si="259"/>
        <v>7.3000000000000043</v>
      </c>
      <c r="CG109" s="1166">
        <f t="shared" si="167"/>
        <v>17.300000000000004</v>
      </c>
      <c r="CH109" s="61"/>
      <c r="CI109" s="62">
        <f t="shared" si="260"/>
        <v>-7.2000000000000099</v>
      </c>
      <c r="CJ109" s="62">
        <f t="shared" si="261"/>
        <v>13.400000000000006</v>
      </c>
      <c r="CK109" s="62">
        <f t="shared" si="262"/>
        <v>6.5999999999999943</v>
      </c>
      <c r="CL109" s="62">
        <f t="shared" si="263"/>
        <v>-6.7999999999999972</v>
      </c>
      <c r="CM109" s="1166">
        <f t="shared" si="172"/>
        <v>5.9999999999999929</v>
      </c>
      <c r="CN109" s="61"/>
      <c r="CO109" s="62">
        <f t="shared" si="264"/>
        <v>-36.400000000000006</v>
      </c>
      <c r="CP109" s="62">
        <f t="shared" si="265"/>
        <v>7.2999999999999972</v>
      </c>
      <c r="CQ109" s="62">
        <f t="shared" si="266"/>
        <v>-4.1999999999999815</v>
      </c>
      <c r="CR109" s="62">
        <f>IF(CR34="-","-",SUM(CR34)-SUM(CQ34))</f>
        <v>1.0999999999999801</v>
      </c>
      <c r="CS109" s="1166">
        <f t="shared" si="177"/>
        <v>-32.20000000000001</v>
      </c>
      <c r="CT109" s="61"/>
      <c r="CU109" s="62">
        <f t="shared" si="268"/>
        <v>0.60000000000000142</v>
      </c>
      <c r="CV109" s="62">
        <f t="shared" si="300"/>
        <v>-5.8999999999999773</v>
      </c>
      <c r="CW109" s="62">
        <f t="shared" si="269"/>
        <v>-10.200000000000017</v>
      </c>
      <c r="CX109" s="62">
        <f t="shared" si="270"/>
        <v>-13.799999999999983</v>
      </c>
      <c r="CY109" s="1166">
        <f t="shared" si="235"/>
        <v>-29.299999999999976</v>
      </c>
      <c r="CZ109" s="61"/>
      <c r="DA109" s="62">
        <f t="shared" si="271"/>
        <v>-19.300000000000026</v>
      </c>
      <c r="DB109" s="62">
        <f t="shared" si="272"/>
        <v>5.0000000000000284</v>
      </c>
      <c r="DC109" s="62">
        <f t="shared" si="273"/>
        <v>-21.100000000000009</v>
      </c>
      <c r="DD109" s="62">
        <f t="shared" si="274"/>
        <v>20.199999999999974</v>
      </c>
      <c r="DE109" s="1166">
        <f t="shared" si="236"/>
        <v>-15.200000000000031</v>
      </c>
      <c r="DF109" s="61"/>
      <c r="DG109" s="62">
        <f t="shared" si="275"/>
        <v>-59.09999999999998</v>
      </c>
      <c r="DH109" s="62">
        <f t="shared" si="276"/>
        <v>-16.500000000000014</v>
      </c>
      <c r="DI109" s="62">
        <f t="shared" si="277"/>
        <v>17.200000000000017</v>
      </c>
      <c r="DJ109" s="62">
        <f t="shared" si="301"/>
        <v>25.599999999999994</v>
      </c>
      <c r="DK109" s="1166">
        <f t="shared" si="237"/>
        <v>-32.799999999999983</v>
      </c>
      <c r="DL109" s="61"/>
      <c r="DM109" s="62">
        <f t="shared" si="278"/>
        <v>-14.400000000000006</v>
      </c>
      <c r="DN109" s="62">
        <f>IF(DN34="-","-",SUM(DN34)-SUM(DM34))</f>
        <v>7.0000000000000142</v>
      </c>
      <c r="DO109" s="62">
        <f t="shared" si="279"/>
        <v>1.8999999999999915</v>
      </c>
      <c r="DP109" s="62">
        <f t="shared" si="303"/>
        <v>2.7</v>
      </c>
      <c r="DQ109" s="1166">
        <f t="shared" si="238"/>
        <v>-2.8</v>
      </c>
      <c r="DR109" s="61"/>
      <c r="DS109" s="62">
        <f t="shared" si="280"/>
        <v>-14.9</v>
      </c>
      <c r="DT109" s="62">
        <f t="shared" si="281"/>
        <v>-8.4</v>
      </c>
      <c r="DU109" s="62">
        <f t="shared" si="282"/>
        <v>10.600000000000001</v>
      </c>
      <c r="DV109" s="62">
        <f>IF(DV34="-","-",SUM(DV34)-SUM(DU34))</f>
        <v>-2</v>
      </c>
      <c r="DW109" s="1166">
        <f t="shared" si="239"/>
        <v>-14.7</v>
      </c>
      <c r="DX109" s="61"/>
      <c r="DY109" s="62">
        <f t="shared" si="284"/>
        <v>6.2</v>
      </c>
      <c r="DZ109" s="62">
        <f t="shared" si="285"/>
        <v>-8.6</v>
      </c>
      <c r="EA109" s="62">
        <f t="shared" si="286"/>
        <v>-4.0999999999999996</v>
      </c>
      <c r="EB109" s="62">
        <f t="shared" si="287"/>
        <v>-3.4000000000000004</v>
      </c>
      <c r="EC109" s="1166">
        <f t="shared" si="240"/>
        <v>-9.8999999999999986</v>
      </c>
      <c r="ED109" s="61"/>
      <c r="EE109" s="62">
        <f t="shared" si="288"/>
        <v>-4.2574861085074929</v>
      </c>
      <c r="EF109" s="62">
        <f t="shared" si="289"/>
        <v>-17.983996045795422</v>
      </c>
      <c r="EG109" s="62">
        <f t="shared" si="290"/>
        <v>2.4493523842045022</v>
      </c>
      <c r="EH109" s="62">
        <f t="shared" si="291"/>
        <v>4.0009000550841449</v>
      </c>
      <c r="EI109" s="1166">
        <f t="shared" si="241"/>
        <v>-15.791229715014268</v>
      </c>
      <c r="EJ109" s="61"/>
      <c r="EK109" s="62">
        <f t="shared" si="292"/>
        <v>-1.5378871276105457</v>
      </c>
      <c r="EL109" s="62">
        <f t="shared" si="293"/>
        <v>-17.238452394027746</v>
      </c>
      <c r="EM109" s="62">
        <f t="shared" si="294"/>
        <v>5.9222420778903597</v>
      </c>
      <c r="EN109" s="62">
        <f t="shared" si="295"/>
        <v>11.770214686992148</v>
      </c>
      <c r="EO109" s="1166">
        <f t="shared" si="242"/>
        <v>-1.0838827567557843</v>
      </c>
      <c r="EP109" s="61"/>
      <c r="EQ109" s="62">
        <f t="shared" si="296"/>
        <v>-16.241221810862726</v>
      </c>
      <c r="ER109" s="62">
        <f t="shared" si="297"/>
        <v>-17.065476607748224</v>
      </c>
      <c r="ES109" s="62">
        <f t="shared" si="298"/>
        <v>8.5428563768531092</v>
      </c>
      <c r="ET109" s="62">
        <f t="shared" si="299"/>
        <v>17.942883948670115</v>
      </c>
      <c r="EU109" s="1166">
        <f t="shared" si="243"/>
        <v>-6.8209580930877252</v>
      </c>
      <c r="EV109" s="45"/>
      <c r="EW109" s="45"/>
      <c r="FD109" s="45"/>
      <c r="FE109" s="45"/>
      <c r="FF109" s="45"/>
      <c r="FG109" s="45"/>
      <c r="FH109" s="45"/>
      <c r="FI109" s="45"/>
      <c r="FJ109" s="45"/>
      <c r="FK109" s="45"/>
      <c r="FL109" s="579" t="s">
        <v>4608</v>
      </c>
      <c r="FM109" s="45">
        <v>6</v>
      </c>
      <c r="FN109" s="45" t="s">
        <v>5156</v>
      </c>
      <c r="FO109" s="45" t="b">
        <v>0</v>
      </c>
      <c r="FP109" s="45" t="b">
        <v>0</v>
      </c>
    </row>
    <row r="110" spans="1:172" ht="13.5" hidden="1" outlineLevel="1" thickBot="1">
      <c r="A110" s="232" t="s">
        <v>487</v>
      </c>
      <c r="B110" s="61"/>
      <c r="C110" s="62"/>
      <c r="D110" s="62"/>
      <c r="E110" s="62"/>
      <c r="F110" s="62"/>
      <c r="G110" s="62"/>
      <c r="H110" s="61"/>
      <c r="I110" s="62"/>
      <c r="J110" s="62"/>
      <c r="K110" s="62"/>
      <c r="L110" s="62"/>
      <c r="M110" s="62"/>
      <c r="N110" s="61"/>
      <c r="O110" s="62"/>
      <c r="P110" s="62"/>
      <c r="Q110" s="62"/>
      <c r="R110" s="62"/>
      <c r="S110" s="62"/>
      <c r="T110" s="61"/>
      <c r="U110" s="62"/>
      <c r="V110" s="62"/>
      <c r="W110" s="62"/>
      <c r="X110" s="62"/>
      <c r="Y110" s="62"/>
      <c r="Z110" s="61"/>
      <c r="AA110" s="62"/>
      <c r="AB110" s="62"/>
      <c r="AC110" s="62"/>
      <c r="AD110" s="62"/>
      <c r="AE110" s="62"/>
      <c r="AF110" s="61"/>
      <c r="AG110" s="62"/>
      <c r="AH110" s="62"/>
      <c r="AI110" s="62"/>
      <c r="AJ110" s="62"/>
      <c r="AK110" s="62"/>
      <c r="AL110" s="61"/>
      <c r="AM110" s="62"/>
      <c r="AN110" s="62"/>
      <c r="AO110" s="62"/>
      <c r="AP110" s="62">
        <f>IF(AP35="-","-",SUM(AP35)-SUM(AO35))</f>
        <v>-63.622999999999998</v>
      </c>
      <c r="AQ110" s="833">
        <f t="shared" si="141"/>
        <v>-63.622999999999998</v>
      </c>
      <c r="AR110" s="61"/>
      <c r="AS110" s="62"/>
      <c r="AT110" s="62"/>
      <c r="AU110" s="62"/>
      <c r="AV110" s="62"/>
      <c r="AW110" s="62">
        <f t="shared" si="244"/>
        <v>23.937999999999999</v>
      </c>
      <c r="AX110" s="61"/>
      <c r="AY110" s="62"/>
      <c r="AZ110" s="62"/>
      <c r="BA110" s="62"/>
      <c r="BB110" s="62"/>
      <c r="BC110" s="62">
        <f t="shared" si="245"/>
        <v>40.6</v>
      </c>
      <c r="BD110" s="61"/>
      <c r="BE110" s="62"/>
      <c r="BF110" s="62"/>
      <c r="BG110" s="62"/>
      <c r="BH110" s="62"/>
      <c r="BI110" s="62">
        <f t="shared" si="246"/>
        <v>-14.4</v>
      </c>
      <c r="BJ110" s="61"/>
      <c r="BK110" s="62"/>
      <c r="BL110" s="62"/>
      <c r="BM110" s="62"/>
      <c r="BN110" s="62">
        <f t="shared" si="247"/>
        <v>2.4</v>
      </c>
      <c r="BO110" s="1166">
        <f t="shared" si="248"/>
        <v>2.4</v>
      </c>
      <c r="BP110" s="61"/>
      <c r="BQ110" s="62"/>
      <c r="BR110" s="62"/>
      <c r="BS110" s="62"/>
      <c r="BT110" s="62">
        <f t="shared" si="249"/>
        <v>81.400000000000006</v>
      </c>
      <c r="BU110" s="1166">
        <f t="shared" si="250"/>
        <v>81.400000000000006</v>
      </c>
      <c r="BV110" s="61"/>
      <c r="BW110" s="62">
        <f t="shared" si="251"/>
        <v>-47</v>
      </c>
      <c r="BX110" s="62">
        <f t="shared" si="252"/>
        <v>2.6999999999999886</v>
      </c>
      <c r="BY110" s="62">
        <f t="shared" si="253"/>
        <v>-34.599999999999994</v>
      </c>
      <c r="BZ110" s="62">
        <f t="shared" si="254"/>
        <v>39.999999999999993</v>
      </c>
      <c r="CA110" s="1416">
        <f t="shared" si="255"/>
        <v>-38.900000000000013</v>
      </c>
      <c r="CB110" s="61"/>
      <c r="CC110" s="62">
        <f t="shared" si="256"/>
        <v>-84.999999999999986</v>
      </c>
      <c r="CD110" s="62">
        <f t="shared" si="257"/>
        <v>11.899999999999991</v>
      </c>
      <c r="CE110" s="62">
        <f t="shared" si="258"/>
        <v>-3.0999999999999943</v>
      </c>
      <c r="CF110" s="62">
        <f t="shared" si="259"/>
        <v>34.699999999999982</v>
      </c>
      <c r="CG110" s="1166">
        <f t="shared" si="167"/>
        <v>-41.500000000000007</v>
      </c>
      <c r="CH110" s="61"/>
      <c r="CI110" s="62">
        <f t="shared" si="260"/>
        <v>-25.899999999999977</v>
      </c>
      <c r="CJ110" s="62">
        <f t="shared" si="261"/>
        <v>20.799999999999997</v>
      </c>
      <c r="CK110" s="62">
        <f t="shared" si="262"/>
        <v>30.499999999999993</v>
      </c>
      <c r="CL110" s="62">
        <f t="shared" si="263"/>
        <v>68.599999999999994</v>
      </c>
      <c r="CM110" s="1166">
        <f t="shared" si="172"/>
        <v>94</v>
      </c>
      <c r="CN110" s="61"/>
      <c r="CO110" s="62">
        <f t="shared" si="264"/>
        <v>-68.59999999999998</v>
      </c>
      <c r="CP110" s="62">
        <f t="shared" si="265"/>
        <v>10.099999999999994</v>
      </c>
      <c r="CQ110" s="62">
        <f t="shared" si="266"/>
        <v>4.9000000000000199</v>
      </c>
      <c r="CR110" s="62">
        <f t="shared" si="267"/>
        <v>65.999999999999986</v>
      </c>
      <c r="CS110" s="1166">
        <f t="shared" si="177"/>
        <v>12.40000000000002</v>
      </c>
      <c r="CT110" s="61"/>
      <c r="CU110" s="62">
        <f t="shared" si="268"/>
        <v>-84</v>
      </c>
      <c r="CV110" s="62">
        <f t="shared" si="300"/>
        <v>20.099999999999994</v>
      </c>
      <c r="CW110" s="62">
        <f t="shared" si="269"/>
        <v>9.5999999999999943</v>
      </c>
      <c r="CX110" s="62">
        <f t="shared" si="270"/>
        <v>79.7</v>
      </c>
      <c r="CY110" s="1166">
        <f t="shared" si="235"/>
        <v>25.399999999999991</v>
      </c>
      <c r="CZ110" s="61"/>
      <c r="DA110" s="62">
        <f t="shared" si="271"/>
        <v>-102.1</v>
      </c>
      <c r="DB110" s="62">
        <f t="shared" si="272"/>
        <v>-4.1999999999999886</v>
      </c>
      <c r="DC110" s="62">
        <f t="shared" si="273"/>
        <v>23.599999999999966</v>
      </c>
      <c r="DD110" s="62">
        <f t="shared" si="274"/>
        <v>50.900000000000006</v>
      </c>
      <c r="DE110" s="1166">
        <f t="shared" si="236"/>
        <v>-31.800000000000011</v>
      </c>
      <c r="DF110" s="61"/>
      <c r="DG110" s="62">
        <f t="shared" si="275"/>
        <v>-18.399999999999991</v>
      </c>
      <c r="DH110" s="62">
        <f t="shared" si="276"/>
        <v>24.400000000000006</v>
      </c>
      <c r="DI110" s="62">
        <f t="shared" si="277"/>
        <v>22.900000000000006</v>
      </c>
      <c r="DJ110" s="62">
        <f t="shared" si="301"/>
        <v>91.2</v>
      </c>
      <c r="DK110" s="1166">
        <f t="shared" si="237"/>
        <v>120.10000000000002</v>
      </c>
      <c r="DL110" s="61"/>
      <c r="DM110" s="62">
        <f t="shared" si="278"/>
        <v>-123.20000000000002</v>
      </c>
      <c r="DN110" s="62">
        <f t="shared" si="302"/>
        <v>32</v>
      </c>
      <c r="DO110" s="62">
        <f t="shared" si="279"/>
        <v>16.100000000000023</v>
      </c>
      <c r="DP110" s="62">
        <f>IF(DP35="-","-",SUM(DP35)-SUM(DO35))</f>
        <v>100</v>
      </c>
      <c r="DQ110" s="1166">
        <f t="shared" si="238"/>
        <v>24.900000000000006</v>
      </c>
      <c r="DR110" s="61"/>
      <c r="DS110" s="62">
        <f t="shared" si="280"/>
        <v>-197.2</v>
      </c>
      <c r="DT110" s="62">
        <f t="shared" si="281"/>
        <v>152.6</v>
      </c>
      <c r="DU110" s="62">
        <f t="shared" si="282"/>
        <v>-27.300000000000004</v>
      </c>
      <c r="DV110" s="62">
        <f t="shared" si="283"/>
        <v>74.600000000000009</v>
      </c>
      <c r="DW110" s="1166">
        <f t="shared" si="239"/>
        <v>2.7000000000000028</v>
      </c>
      <c r="DX110" s="61"/>
      <c r="DY110" s="62">
        <f t="shared" si="284"/>
        <v>-133.1</v>
      </c>
      <c r="DZ110" s="62">
        <f t="shared" si="285"/>
        <v>37.299999999999997</v>
      </c>
      <c r="EA110" s="62">
        <f t="shared" si="286"/>
        <v>26.5</v>
      </c>
      <c r="EB110" s="62">
        <f t="shared" si="287"/>
        <v>55.4</v>
      </c>
      <c r="EC110" s="1166">
        <f t="shared" si="240"/>
        <v>-13.899999999999999</v>
      </c>
      <c r="ED110" s="61"/>
      <c r="EE110" s="62">
        <f t="shared" si="288"/>
        <v>-197.74136263776163</v>
      </c>
      <c r="EF110" s="62">
        <f t="shared" si="289"/>
        <v>47.469782205083732</v>
      </c>
      <c r="EG110" s="62">
        <f t="shared" si="290"/>
        <v>39.380145112673063</v>
      </c>
      <c r="EH110" s="62">
        <f t="shared" si="291"/>
        <v>225.93207831529151</v>
      </c>
      <c r="EI110" s="1166">
        <f t="shared" si="241"/>
        <v>115.04064299528667</v>
      </c>
      <c r="EJ110" s="61"/>
      <c r="EK110" s="62">
        <f t="shared" si="292"/>
        <v>-390.68579778311351</v>
      </c>
      <c r="EL110" s="62">
        <f t="shared" si="293"/>
        <v>51.547517232017356</v>
      </c>
      <c r="EM110" s="62">
        <f t="shared" si="294"/>
        <v>63.680844858483965</v>
      </c>
      <c r="EN110" s="62">
        <f t="shared" si="295"/>
        <v>228.3305241562133</v>
      </c>
      <c r="EO110" s="1166">
        <f t="shared" si="242"/>
        <v>-47.126911536398893</v>
      </c>
      <c r="EP110" s="61"/>
      <c r="EQ110" s="62">
        <f t="shared" si="296"/>
        <v>-364.88735254180006</v>
      </c>
      <c r="ER110" s="62">
        <f t="shared" si="297"/>
        <v>67.519854081321341</v>
      </c>
      <c r="ES110" s="62">
        <f t="shared" si="298"/>
        <v>82.383307806910665</v>
      </c>
      <c r="ET110" s="62">
        <f t="shared" si="299"/>
        <v>213.98045345726513</v>
      </c>
      <c r="EU110" s="1166">
        <f t="shared" si="243"/>
        <v>-1.0037371963029216</v>
      </c>
      <c r="EV110" s="45"/>
      <c r="EW110" s="45"/>
      <c r="FD110" s="45"/>
      <c r="FE110" s="45"/>
      <c r="FF110" s="45"/>
      <c r="FG110" s="45"/>
      <c r="FH110" s="45"/>
      <c r="FI110" s="45"/>
      <c r="FJ110" s="45"/>
      <c r="FK110" s="45"/>
      <c r="FL110" s="579" t="s">
        <v>4234</v>
      </c>
      <c r="FM110" s="45">
        <v>6</v>
      </c>
      <c r="FN110" s="45" t="s">
        <v>5156</v>
      </c>
      <c r="FO110" s="45" t="b">
        <v>0</v>
      </c>
      <c r="FP110" s="45" t="b">
        <v>0</v>
      </c>
    </row>
    <row r="111" spans="1:172" ht="13.5" hidden="1" outlineLevel="1" thickBot="1">
      <c r="A111" s="232" t="s">
        <v>1436</v>
      </c>
      <c r="B111" s="61"/>
      <c r="C111" s="62"/>
      <c r="D111" s="62"/>
      <c r="E111" s="62"/>
      <c r="F111" s="62"/>
      <c r="G111" s="62"/>
      <c r="H111" s="61"/>
      <c r="I111" s="62"/>
      <c r="J111" s="62"/>
      <c r="K111" s="62"/>
      <c r="L111" s="62"/>
      <c r="M111" s="62"/>
      <c r="N111" s="61"/>
      <c r="O111" s="62"/>
      <c r="P111" s="62"/>
      <c r="Q111" s="62"/>
      <c r="R111" s="62"/>
      <c r="S111" s="62"/>
      <c r="T111" s="61"/>
      <c r="U111" s="62"/>
      <c r="V111" s="62"/>
      <c r="W111" s="62"/>
      <c r="X111" s="62"/>
      <c r="Y111" s="62"/>
      <c r="Z111" s="61"/>
      <c r="AA111" s="62"/>
      <c r="AB111" s="62"/>
      <c r="AC111" s="62"/>
      <c r="AD111" s="62"/>
      <c r="AE111" s="62"/>
      <c r="AF111" s="61"/>
      <c r="AG111" s="62"/>
      <c r="AH111" s="62"/>
      <c r="AI111" s="62"/>
      <c r="AJ111" s="62"/>
      <c r="AK111" s="62"/>
      <c r="AL111" s="61"/>
      <c r="AM111" s="62"/>
      <c r="AN111" s="62"/>
      <c r="AO111" s="62"/>
      <c r="AP111" s="62">
        <f>IF(AP36="-","-",SUM(AP36)-SUM(AO36))</f>
        <v>27.05</v>
      </c>
      <c r="AQ111" s="833">
        <f t="shared" si="141"/>
        <v>27.05</v>
      </c>
      <c r="AR111" s="61"/>
      <c r="AS111" s="62"/>
      <c r="AT111" s="62"/>
      <c r="AU111" s="62"/>
      <c r="AV111" s="62"/>
      <c r="AW111" s="62">
        <f t="shared" si="244"/>
        <v>34.034999999999997</v>
      </c>
      <c r="AX111" s="61"/>
      <c r="AY111" s="62"/>
      <c r="AZ111" s="62"/>
      <c r="BA111" s="62"/>
      <c r="BB111" s="62"/>
      <c r="BC111" s="62">
        <f t="shared" si="245"/>
        <v>61.9</v>
      </c>
      <c r="BD111" s="61"/>
      <c r="BE111" s="62"/>
      <c r="BF111" s="62"/>
      <c r="BG111" s="62"/>
      <c r="BH111" s="62"/>
      <c r="BI111" s="62">
        <f t="shared" si="246"/>
        <v>71.7</v>
      </c>
      <c r="BJ111" s="61"/>
      <c r="BK111" s="62"/>
      <c r="BL111" s="62"/>
      <c r="BM111" s="62"/>
      <c r="BN111" s="62">
        <f t="shared" si="247"/>
        <v>107.1</v>
      </c>
      <c r="BO111" s="1166">
        <f t="shared" si="248"/>
        <v>107.1</v>
      </c>
      <c r="BP111" s="61"/>
      <c r="BQ111" s="62"/>
      <c r="BR111" s="62"/>
      <c r="BS111" s="62"/>
      <c r="BT111" s="62">
        <f t="shared" si="249"/>
        <v>125.6</v>
      </c>
      <c r="BU111" s="1166">
        <f t="shared" si="250"/>
        <v>125.6</v>
      </c>
      <c r="BV111" s="61"/>
      <c r="BW111" s="62">
        <f t="shared" si="251"/>
        <v>43.600000000000023</v>
      </c>
      <c r="BX111" s="62">
        <f t="shared" si="252"/>
        <v>12.899999999999977</v>
      </c>
      <c r="BY111" s="62">
        <f t="shared" si="253"/>
        <v>-63.199999999999989</v>
      </c>
      <c r="BZ111" s="62">
        <f t="shared" si="254"/>
        <v>52.7</v>
      </c>
      <c r="CA111" s="1416">
        <f t="shared" si="255"/>
        <v>46.000000000000014</v>
      </c>
      <c r="CB111" s="61"/>
      <c r="CC111" s="62">
        <f t="shared" si="256"/>
        <v>-18.09999999999998</v>
      </c>
      <c r="CD111" s="62">
        <f t="shared" si="257"/>
        <v>-32.100000000000051</v>
      </c>
      <c r="CE111" s="62">
        <f t="shared" si="258"/>
        <v>-32.399999999999991</v>
      </c>
      <c r="CF111" s="62">
        <f t="shared" si="259"/>
        <v>47.000000000000043</v>
      </c>
      <c r="CG111" s="1166">
        <f t="shared" si="167"/>
        <v>-35.59999999999998</v>
      </c>
      <c r="CH111" s="61"/>
      <c r="CI111" s="62">
        <f t="shared" si="260"/>
        <v>27.199999999999989</v>
      </c>
      <c r="CJ111" s="62">
        <f t="shared" si="261"/>
        <v>-17.600000000000023</v>
      </c>
      <c r="CK111" s="62">
        <f t="shared" si="262"/>
        <v>-19</v>
      </c>
      <c r="CL111" s="62">
        <f t="shared" si="263"/>
        <v>80.8</v>
      </c>
      <c r="CM111" s="1166">
        <f t="shared" si="172"/>
        <v>71.399999999999963</v>
      </c>
      <c r="CN111" s="61"/>
      <c r="CO111" s="62">
        <f t="shared" si="264"/>
        <v>34.499999999999986</v>
      </c>
      <c r="CP111" s="62">
        <f t="shared" si="265"/>
        <v>19.999999999999972</v>
      </c>
      <c r="CQ111" s="62">
        <f t="shared" si="266"/>
        <v>-22.499999999999972</v>
      </c>
      <c r="CR111" s="62">
        <f t="shared" si="267"/>
        <v>99.299999999999969</v>
      </c>
      <c r="CS111" s="1166">
        <f t="shared" si="177"/>
        <v>131.29999999999995</v>
      </c>
      <c r="CT111" s="61"/>
      <c r="CU111" s="62">
        <f t="shared" si="268"/>
        <v>7.7000000000000739</v>
      </c>
      <c r="CV111" s="62">
        <f t="shared" si="300"/>
        <v>25.099999999999937</v>
      </c>
      <c r="CW111" s="62">
        <f t="shared" si="269"/>
        <v>-38.299999999999955</v>
      </c>
      <c r="CX111" s="62">
        <f t="shared" si="270"/>
        <v>120.89999999999998</v>
      </c>
      <c r="CY111" s="1166">
        <f t="shared" si="235"/>
        <v>115.40000000000003</v>
      </c>
      <c r="CZ111" s="61"/>
      <c r="DA111" s="62">
        <f t="shared" si="271"/>
        <v>16.80000000000004</v>
      </c>
      <c r="DB111" s="62">
        <f t="shared" si="272"/>
        <v>-45.900000000000063</v>
      </c>
      <c r="DC111" s="62">
        <f t="shared" si="273"/>
        <v>-39.800000000000011</v>
      </c>
      <c r="DD111" s="62">
        <f t="shared" si="274"/>
        <v>134.90000000000009</v>
      </c>
      <c r="DE111" s="1166">
        <f t="shared" si="236"/>
        <v>66.000000000000057</v>
      </c>
      <c r="DF111" s="61"/>
      <c r="DG111" s="62">
        <f t="shared" si="275"/>
        <v>62.900000000000006</v>
      </c>
      <c r="DH111" s="62">
        <f t="shared" si="276"/>
        <v>17.299999999999955</v>
      </c>
      <c r="DI111" s="62">
        <f t="shared" si="277"/>
        <v>25.400000000000006</v>
      </c>
      <c r="DJ111" s="62">
        <f t="shared" si="301"/>
        <v>150.89999999999992</v>
      </c>
      <c r="DK111" s="1166">
        <f t="shared" si="237"/>
        <v>256.49999999999989</v>
      </c>
      <c r="DL111" s="61"/>
      <c r="DM111" s="62">
        <f t="shared" si="278"/>
        <v>-3.3999999999999773</v>
      </c>
      <c r="DN111" s="62">
        <f t="shared" si="302"/>
        <v>82.600000000000023</v>
      </c>
      <c r="DO111" s="62">
        <f t="shared" si="279"/>
        <v>-24.700000000000045</v>
      </c>
      <c r="DP111" s="62">
        <f t="shared" si="303"/>
        <v>306</v>
      </c>
      <c r="DQ111" s="1166">
        <f t="shared" si="238"/>
        <v>360.5</v>
      </c>
      <c r="DR111" s="61"/>
      <c r="DS111" s="62">
        <f t="shared" si="280"/>
        <v>4</v>
      </c>
      <c r="DT111" s="62">
        <f t="shared" si="281"/>
        <v>-5.4</v>
      </c>
      <c r="DU111" s="62">
        <f t="shared" si="282"/>
        <v>17</v>
      </c>
      <c r="DV111" s="62">
        <f t="shared" si="283"/>
        <v>251.4</v>
      </c>
      <c r="DW111" s="1166">
        <f t="shared" si="239"/>
        <v>267</v>
      </c>
      <c r="DX111" s="61"/>
      <c r="DY111" s="62">
        <f t="shared" si="284"/>
        <v>13.3</v>
      </c>
      <c r="DZ111" s="62">
        <f t="shared" si="285"/>
        <v>-23.200000000000003</v>
      </c>
      <c r="EA111" s="62">
        <f t="shared" si="286"/>
        <v>-11.9</v>
      </c>
      <c r="EB111" s="62">
        <f t="shared" si="287"/>
        <v>190.10000000000002</v>
      </c>
      <c r="EC111" s="1166">
        <f t="shared" si="240"/>
        <v>168.3</v>
      </c>
      <c r="ED111" s="61"/>
      <c r="EE111" s="62">
        <f t="shared" si="288"/>
        <v>62.413394910233194</v>
      </c>
      <c r="EF111" s="62">
        <f t="shared" si="289"/>
        <v>52.615268054325554</v>
      </c>
      <c r="EG111" s="62">
        <f t="shared" si="290"/>
        <v>-16.67719590799004</v>
      </c>
      <c r="EH111" s="62">
        <f t="shared" si="291"/>
        <v>215.87207968905386</v>
      </c>
      <c r="EI111" s="1166">
        <f t="shared" si="241"/>
        <v>314.22354674562257</v>
      </c>
      <c r="EJ111" s="61"/>
      <c r="EK111" s="62">
        <f t="shared" si="292"/>
        <v>92.969749423736118</v>
      </c>
      <c r="EL111" s="62">
        <f t="shared" si="293"/>
        <v>86.388868891035145</v>
      </c>
      <c r="EM111" s="62">
        <f t="shared" si="294"/>
        <v>-3.473971851604631</v>
      </c>
      <c r="EN111" s="62">
        <f t="shared" si="295"/>
        <v>280.23755025166554</v>
      </c>
      <c r="EO111" s="1166">
        <f t="shared" si="242"/>
        <v>456.12219671483217</v>
      </c>
      <c r="EP111" s="61"/>
      <c r="EQ111" s="62">
        <f t="shared" si="296"/>
        <v>140.73630200245634</v>
      </c>
      <c r="ER111" s="62">
        <f t="shared" si="297"/>
        <v>84.209257577872791</v>
      </c>
      <c r="ES111" s="62">
        <f t="shared" si="298"/>
        <v>-58.439006566997818</v>
      </c>
      <c r="ET111" s="62">
        <f t="shared" si="299"/>
        <v>227.68886915830819</v>
      </c>
      <c r="EU111" s="1166">
        <f t="shared" si="243"/>
        <v>394.19542217163951</v>
      </c>
      <c r="EV111" s="45"/>
      <c r="EW111" s="45"/>
      <c r="FD111" s="45"/>
      <c r="FE111" s="45"/>
      <c r="FF111" s="45"/>
      <c r="FG111" s="45"/>
      <c r="FH111" s="45"/>
      <c r="FI111" s="45"/>
      <c r="FJ111" s="45"/>
      <c r="FK111" s="45"/>
      <c r="FL111" s="579" t="s">
        <v>4606</v>
      </c>
      <c r="FM111" s="45">
        <v>6</v>
      </c>
      <c r="FN111" s="45" t="s">
        <v>5156</v>
      </c>
      <c r="FO111" s="45" t="b">
        <v>0</v>
      </c>
      <c r="FP111" s="45" t="b">
        <v>0</v>
      </c>
    </row>
    <row r="112" spans="1:172" ht="13.5" hidden="1" outlineLevel="1" thickBot="1">
      <c r="A112" s="232" t="s">
        <v>2387</v>
      </c>
      <c r="B112" s="61"/>
      <c r="C112" s="62"/>
      <c r="D112" s="62"/>
      <c r="E112" s="62"/>
      <c r="F112" s="62"/>
      <c r="G112" s="62"/>
      <c r="H112" s="61"/>
      <c r="I112" s="62"/>
      <c r="J112" s="62"/>
      <c r="K112" s="62"/>
      <c r="L112" s="62"/>
      <c r="M112" s="62"/>
      <c r="N112" s="61"/>
      <c r="O112" s="62"/>
      <c r="P112" s="62"/>
      <c r="Q112" s="62"/>
      <c r="R112" s="62"/>
      <c r="S112" s="62"/>
      <c r="T112" s="61"/>
      <c r="U112" s="62"/>
      <c r="V112" s="62"/>
      <c r="W112" s="62"/>
      <c r="X112" s="62"/>
      <c r="Y112" s="62"/>
      <c r="Z112" s="61"/>
      <c r="AA112" s="62"/>
      <c r="AB112" s="62"/>
      <c r="AC112" s="62"/>
      <c r="AD112" s="62"/>
      <c r="AE112" s="62"/>
      <c r="AF112" s="61"/>
      <c r="AG112" s="62"/>
      <c r="AH112" s="62"/>
      <c r="AI112" s="62"/>
      <c r="AJ112" s="62"/>
      <c r="AK112" s="62"/>
      <c r="AL112" s="61"/>
      <c r="AM112" s="62"/>
      <c r="AN112" s="62"/>
      <c r="AO112" s="62"/>
      <c r="AP112" s="62">
        <f>IF(AP37="-","-",SUM(AP37)-SUM(AO37))</f>
        <v>-52.12</v>
      </c>
      <c r="AQ112" s="833">
        <f t="shared" si="141"/>
        <v>-52.12</v>
      </c>
      <c r="AR112" s="61"/>
      <c r="AS112" s="62"/>
      <c r="AT112" s="62"/>
      <c r="AU112" s="62"/>
      <c r="AV112" s="62"/>
      <c r="AW112" s="62">
        <f t="shared" si="244"/>
        <v>10.893000000000001</v>
      </c>
      <c r="AX112" s="61"/>
      <c r="AY112" s="62"/>
      <c r="AZ112" s="62"/>
      <c r="BA112" s="62"/>
      <c r="BB112" s="62"/>
      <c r="BC112" s="62">
        <f t="shared" si="245"/>
        <v>-9.1</v>
      </c>
      <c r="BD112" s="61"/>
      <c r="BE112" s="62"/>
      <c r="BF112" s="62"/>
      <c r="BG112" s="62"/>
      <c r="BH112" s="62"/>
      <c r="BI112" s="62">
        <f t="shared" si="246"/>
        <v>-27.3</v>
      </c>
      <c r="BJ112" s="61"/>
      <c r="BK112" s="62"/>
      <c r="BL112" s="62"/>
      <c r="BM112" s="62"/>
      <c r="BN112" s="62">
        <f t="shared" si="247"/>
        <v>12.1</v>
      </c>
      <c r="BO112" s="1166">
        <f t="shared" si="248"/>
        <v>12.1</v>
      </c>
      <c r="BP112" s="61"/>
      <c r="BQ112" s="62"/>
      <c r="BR112" s="62"/>
      <c r="BS112" s="62"/>
      <c r="BT112" s="62">
        <f t="shared" si="249"/>
        <v>14.6</v>
      </c>
      <c r="BU112" s="1166">
        <f t="shared" si="250"/>
        <v>14.6</v>
      </c>
      <c r="BV112" s="61"/>
      <c r="BW112" s="62">
        <f t="shared" si="251"/>
        <v>-14.000000000000021</v>
      </c>
      <c r="BX112" s="62">
        <f t="shared" si="252"/>
        <v>80.900000000000034</v>
      </c>
      <c r="BY112" s="62">
        <f t="shared" si="253"/>
        <v>-3.8000000000000398</v>
      </c>
      <c r="BZ112" s="62">
        <f t="shared" si="254"/>
        <v>-43.599999999999959</v>
      </c>
      <c r="CA112" s="1416">
        <f t="shared" si="255"/>
        <v>19.500000000000007</v>
      </c>
      <c r="CB112" s="61"/>
      <c r="CC112" s="62">
        <f t="shared" si="256"/>
        <v>-25.200000000000035</v>
      </c>
      <c r="CD112" s="62">
        <f t="shared" si="257"/>
        <v>-30.49999999999994</v>
      </c>
      <c r="CE112" s="62">
        <f t="shared" si="258"/>
        <v>-22.900000000000034</v>
      </c>
      <c r="CF112" s="62">
        <f t="shared" si="259"/>
        <v>5.3999999999999631</v>
      </c>
      <c r="CG112" s="1166">
        <f t="shared" si="167"/>
        <v>-73.200000000000045</v>
      </c>
      <c r="CH112" s="61"/>
      <c r="CI112" s="62">
        <f t="shared" si="260"/>
        <v>0.80000000000001137</v>
      </c>
      <c r="CJ112" s="62">
        <f t="shared" si="261"/>
        <v>-0.80000000000001137</v>
      </c>
      <c r="CK112" s="62">
        <f t="shared" si="262"/>
        <v>3.8000000000000469</v>
      </c>
      <c r="CL112" s="62">
        <f t="shared" si="263"/>
        <v>-0.90000000000001279</v>
      </c>
      <c r="CM112" s="1166">
        <f t="shared" si="172"/>
        <v>2.9000000000000341</v>
      </c>
      <c r="CN112" s="61"/>
      <c r="CO112" s="62">
        <f t="shared" si="264"/>
        <v>26.100000000000026</v>
      </c>
      <c r="CP112" s="62">
        <f t="shared" si="265"/>
        <v>19.700000000000028</v>
      </c>
      <c r="CQ112" s="62">
        <f t="shared" si="266"/>
        <v>30.599999999999923</v>
      </c>
      <c r="CR112" s="62">
        <f t="shared" si="267"/>
        <v>3.9000000000001194</v>
      </c>
      <c r="CS112" s="1166">
        <f t="shared" si="177"/>
        <v>80.300000000000097</v>
      </c>
      <c r="CT112" s="61"/>
      <c r="CU112" s="62">
        <f t="shared" si="268"/>
        <v>-9.0000000000000746</v>
      </c>
      <c r="CV112" s="62">
        <f t="shared" si="300"/>
        <v>33.399999999999991</v>
      </c>
      <c r="CW112" s="62">
        <f t="shared" si="269"/>
        <v>-29.099999999999994</v>
      </c>
      <c r="CX112" s="62">
        <f t="shared" si="270"/>
        <v>-11.099999999999973</v>
      </c>
      <c r="CY112" s="1166">
        <f t="shared" si="235"/>
        <v>-15.80000000000005</v>
      </c>
      <c r="CZ112" s="61"/>
      <c r="DA112" s="62">
        <f t="shared" si="271"/>
        <v>24.399999999999963</v>
      </c>
      <c r="DB112" s="62">
        <f t="shared" si="272"/>
        <v>-12.500000000000014</v>
      </c>
      <c r="DC112" s="62">
        <f t="shared" si="273"/>
        <v>1.1901590823981678E-13</v>
      </c>
      <c r="DD112" s="62">
        <f t="shared" si="274"/>
        <v>6.5999999999998753</v>
      </c>
      <c r="DE112" s="1166">
        <f t="shared" si="236"/>
        <v>18.499999999999943</v>
      </c>
      <c r="DF112" s="61"/>
      <c r="DG112" s="62">
        <f t="shared" si="275"/>
        <v>-15.500000000000028</v>
      </c>
      <c r="DH112" s="62">
        <f t="shared" si="276"/>
        <v>21.700000000000074</v>
      </c>
      <c r="DI112" s="62">
        <f t="shared" si="277"/>
        <v>1.7999999999999545</v>
      </c>
      <c r="DJ112" s="62">
        <f t="shared" si="301"/>
        <v>-23.39999999999992</v>
      </c>
      <c r="DK112" s="1166">
        <f t="shared" si="237"/>
        <v>-15.39999999999992</v>
      </c>
      <c r="DL112" s="61"/>
      <c r="DM112" s="62">
        <f t="shared" si="278"/>
        <v>-10.799999999999981</v>
      </c>
      <c r="DN112" s="62">
        <f t="shared" si="302"/>
        <v>-201.80000000000004</v>
      </c>
      <c r="DO112" s="62">
        <f t="shared" si="279"/>
        <v>216.60000000000002</v>
      </c>
      <c r="DP112" s="62">
        <f t="shared" si="303"/>
        <v>-0.5</v>
      </c>
      <c r="DQ112" s="1166">
        <f t="shared" si="238"/>
        <v>3.5</v>
      </c>
      <c r="DR112" s="61"/>
      <c r="DS112" s="62">
        <f t="shared" si="280"/>
        <v>-13.1</v>
      </c>
      <c r="DT112" s="62">
        <f t="shared" si="281"/>
        <v>-81.400000000000006</v>
      </c>
      <c r="DU112" s="62">
        <f t="shared" si="282"/>
        <v>30.200000000000003</v>
      </c>
      <c r="DV112" s="62">
        <f t="shared" si="283"/>
        <v>-39.799999999999997</v>
      </c>
      <c r="DW112" s="1166">
        <f t="shared" si="239"/>
        <v>-104.1</v>
      </c>
      <c r="DX112" s="61"/>
      <c r="DY112" s="62">
        <f t="shared" si="284"/>
        <v>-34.299999999999997</v>
      </c>
      <c r="DZ112" s="62">
        <f t="shared" si="285"/>
        <v>-1.7000000000000028</v>
      </c>
      <c r="EA112" s="62">
        <f t="shared" si="286"/>
        <v>-1.2999999999999972</v>
      </c>
      <c r="EB112" s="62">
        <f t="shared" si="287"/>
        <v>15.199999999999996</v>
      </c>
      <c r="EC112" s="1166">
        <f t="shared" si="240"/>
        <v>-22.1</v>
      </c>
      <c r="ED112" s="61"/>
      <c r="EE112" s="62">
        <f t="shared" si="288"/>
        <v>0</v>
      </c>
      <c r="EF112" s="62">
        <f t="shared" si="289"/>
        <v>0</v>
      </c>
      <c r="EG112" s="62">
        <f t="shared" si="290"/>
        <v>0</v>
      </c>
      <c r="EH112" s="62">
        <f t="shared" si="291"/>
        <v>0</v>
      </c>
      <c r="EI112" s="1166">
        <f t="shared" si="241"/>
        <v>0</v>
      </c>
      <c r="EJ112" s="61"/>
      <c r="EK112" s="62">
        <f t="shared" si="292"/>
        <v>0</v>
      </c>
      <c r="EL112" s="62">
        <f t="shared" si="293"/>
        <v>0</v>
      </c>
      <c r="EM112" s="62">
        <f t="shared" si="294"/>
        <v>0</v>
      </c>
      <c r="EN112" s="62">
        <f t="shared" si="295"/>
        <v>0</v>
      </c>
      <c r="EO112" s="1166">
        <f t="shared" si="242"/>
        <v>0</v>
      </c>
      <c r="EP112" s="61"/>
      <c r="EQ112" s="62">
        <f t="shared" si="296"/>
        <v>0</v>
      </c>
      <c r="ER112" s="62">
        <f t="shared" si="297"/>
        <v>0</v>
      </c>
      <c r="ES112" s="62">
        <f t="shared" si="298"/>
        <v>0</v>
      </c>
      <c r="ET112" s="62">
        <f t="shared" si="299"/>
        <v>0</v>
      </c>
      <c r="EU112" s="1166">
        <f t="shared" si="243"/>
        <v>0</v>
      </c>
      <c r="EV112" s="45"/>
      <c r="EW112" s="45"/>
      <c r="FD112" s="45"/>
      <c r="FE112" s="45"/>
      <c r="FF112" s="45"/>
      <c r="FG112" s="45"/>
      <c r="FH112" s="45"/>
      <c r="FI112" s="45"/>
      <c r="FJ112" s="45"/>
      <c r="FK112" s="45"/>
      <c r="FL112" s="579" t="s">
        <v>4607</v>
      </c>
      <c r="FM112" s="45">
        <v>6</v>
      </c>
      <c r="FN112" s="45" t="s">
        <v>5156</v>
      </c>
      <c r="FO112" s="45" t="b">
        <v>0</v>
      </c>
      <c r="FP112" s="45" t="b">
        <v>0</v>
      </c>
    </row>
    <row r="113" spans="1:172" ht="13.5" collapsed="1" thickBot="1">
      <c r="A113" s="1327" t="s">
        <v>1861</v>
      </c>
      <c r="B113" s="1341"/>
      <c r="C113" s="1341"/>
      <c r="D113" s="1341"/>
      <c r="E113" s="1341"/>
      <c r="F113" s="1341"/>
      <c r="G113" s="1341"/>
      <c r="H113" s="1341"/>
      <c r="I113" s="1341"/>
      <c r="J113" s="1341"/>
      <c r="K113" s="1341"/>
      <c r="L113" s="1341"/>
      <c r="M113" s="1341"/>
      <c r="N113" s="1341"/>
      <c r="O113" s="1331">
        <f>SUM(O85:O105)</f>
        <v>43.260000000000026</v>
      </c>
      <c r="P113" s="1331">
        <f>SUM(P85:P105)</f>
        <v>35.771000000000008</v>
      </c>
      <c r="Q113" s="1331">
        <f>SUM(Q85:Q105)</f>
        <v>29.172000000000011</v>
      </c>
      <c r="R113" s="1331">
        <f>SUM(R85:R105)</f>
        <v>79.818999999999988</v>
      </c>
      <c r="S113" s="1331">
        <f>SUM(S85:S105)</f>
        <v>188.02200000000005</v>
      </c>
      <c r="T113" s="1331"/>
      <c r="U113" s="1331">
        <f>SUM(U85:U105)</f>
        <v>-11.722999999999994</v>
      </c>
      <c r="V113" s="1331">
        <f>SUM(V85:V105)</f>
        <v>15.55399999999999</v>
      </c>
      <c r="W113" s="1331">
        <f>SUM(W85:W105)</f>
        <v>25.86500000000002</v>
      </c>
      <c r="X113" s="1331">
        <f>SUM(X85:X105)</f>
        <v>78.233000000000004</v>
      </c>
      <c r="Y113" s="1331">
        <f>SUM(Y85:Y105)</f>
        <v>107.92900000000003</v>
      </c>
      <c r="Z113" s="1331"/>
      <c r="AA113" s="1331">
        <f>SUM(AA85:AA105)</f>
        <v>38.501999999999974</v>
      </c>
      <c r="AB113" s="1331">
        <f>SUM(AB85:AB105)</f>
        <v>53.703000000000017</v>
      </c>
      <c r="AC113" s="1331">
        <f>SUM(AC85:AC105)</f>
        <v>36.33400000000001</v>
      </c>
      <c r="AD113" s="1331">
        <f>SUM(AD85:AD105)</f>
        <v>67.581000000000003</v>
      </c>
      <c r="AE113" s="1331">
        <f>SUM(AE85:AE105)</f>
        <v>196.12</v>
      </c>
      <c r="AF113" s="1331"/>
      <c r="AG113" s="1331">
        <f>SUM(AG85:AG105)</f>
        <v>43.076999999999956</v>
      </c>
      <c r="AH113" s="1331">
        <f>SUM(AH85:AH105)</f>
        <v>53.217999999999989</v>
      </c>
      <c r="AI113" s="1331">
        <f>SUM(AI85:AI105)</f>
        <v>33.190999999999981</v>
      </c>
      <c r="AJ113" s="1331">
        <f>SUM(AJ85:AJ105)</f>
        <v>80.670000000000044</v>
      </c>
      <c r="AK113" s="1331">
        <f>SUM(AK85:AK105)</f>
        <v>210.15599999999998</v>
      </c>
      <c r="AL113" s="1331"/>
      <c r="AM113" s="1331">
        <f>SUM(AM85:AM105)</f>
        <v>15.204000000000018</v>
      </c>
      <c r="AN113" s="1331">
        <f>SUM(AN85:AN105)</f>
        <v>22.010000000000016</v>
      </c>
      <c r="AO113" s="1331">
        <f>SUM(AO85:AO105)</f>
        <v>5.9719999999999764</v>
      </c>
      <c r="AP113" s="1331">
        <f>SUM(AP85:AP105)</f>
        <v>42.449000000000019</v>
      </c>
      <c r="AQ113" s="1331">
        <f>SUM(AQ85:AQ105)</f>
        <v>85.635000000000019</v>
      </c>
      <c r="AR113" s="1331"/>
      <c r="AS113" s="1331">
        <f>SUM(AS85:AS105)</f>
        <v>17.405999999999999</v>
      </c>
      <c r="AT113" s="1331">
        <f>SUM(AT85:AT105)</f>
        <v>30.164999999999978</v>
      </c>
      <c r="AU113" s="1331">
        <f>SUM(AU85:AU105)</f>
        <v>53.378999999999991</v>
      </c>
      <c r="AV113" s="1331">
        <f>SUM(AV85:AV105)</f>
        <v>119.13300000000007</v>
      </c>
      <c r="AW113" s="1331">
        <f>SUM(AW85:AW105)</f>
        <v>220.08300000000006</v>
      </c>
      <c r="AX113" s="1331"/>
      <c r="AY113" s="1331">
        <f>SUM(AY85:AY105)</f>
        <v>54.816000000000031</v>
      </c>
      <c r="AZ113" s="1331">
        <f>SUM(AZ85:AZ105)</f>
        <v>83.500000000000014</v>
      </c>
      <c r="BA113" s="1331">
        <f>SUM(BA85:BA105)</f>
        <v>90.977999999999966</v>
      </c>
      <c r="BB113" s="1331">
        <f>SUM(BB85:BB105)</f>
        <v>143.78899999999996</v>
      </c>
      <c r="BC113" s="1331">
        <f>SUM(BC85:BC105)</f>
        <v>373.08299999999997</v>
      </c>
      <c r="BD113" s="1331"/>
      <c r="BE113" s="1331">
        <f>SUM(BE85:BE105)</f>
        <v>63.310999999999964</v>
      </c>
      <c r="BF113" s="1331">
        <f>SUM(BF85:BF105)</f>
        <v>113.21599999999999</v>
      </c>
      <c r="BG113" s="1331">
        <f>SUM(BG85:BG105)</f>
        <v>124.92500000000001</v>
      </c>
      <c r="BH113" s="1331">
        <f>SUM(BH85:BH105)</f>
        <v>113.84800000000001</v>
      </c>
      <c r="BI113" s="1331">
        <f>SUM(BI85:BI105)</f>
        <v>415.30000000000007</v>
      </c>
      <c r="BJ113" s="1331"/>
      <c r="BK113" s="1331">
        <f>SUM(BK85:BK105)</f>
        <v>90.199999999999974</v>
      </c>
      <c r="BL113" s="1331">
        <f>SUM(BL85:BL105)</f>
        <v>162.69999999999999</v>
      </c>
      <c r="BM113" s="1331">
        <f>SUM(BM85:BM105)</f>
        <v>132.89999999999998</v>
      </c>
      <c r="BN113" s="1331">
        <f>SUM(BN85:BN105)</f>
        <v>190.79999999999995</v>
      </c>
      <c r="BO113" s="1342">
        <f>SUM(BO85:BO105)</f>
        <v>576.59999999999991</v>
      </c>
      <c r="BP113" s="1331"/>
      <c r="BQ113" s="1331">
        <f>SUM(BQ85:BQ105)</f>
        <v>191.60000000000002</v>
      </c>
      <c r="BR113" s="1331">
        <f>SUM(BR85:BR105)</f>
        <v>136.60000000000005</v>
      </c>
      <c r="BS113" s="1331">
        <f>SUM(BS85:BS105)</f>
        <v>161.29999999999995</v>
      </c>
      <c r="BT113" s="1331">
        <f>SUM(BT85:BT105)</f>
        <v>218.99999999999997</v>
      </c>
      <c r="BU113" s="1342">
        <f>SUM(BU85:BU105)</f>
        <v>708.5</v>
      </c>
      <c r="BV113" s="1331"/>
      <c r="BW113" s="1331">
        <f>SUM(BW85:BW105)</f>
        <v>185.29999999999998</v>
      </c>
      <c r="BX113" s="1331">
        <f>SUM(BX85:BX105)</f>
        <v>215.00000000000003</v>
      </c>
      <c r="BY113" s="1331">
        <f>SUM(BY85:BY105)</f>
        <v>107.19999999999997</v>
      </c>
      <c r="BZ113" s="1331">
        <f>SUM(BZ85:BZ105)</f>
        <v>86.38000000000001</v>
      </c>
      <c r="CA113" s="1342">
        <f>SUM(CA85:CA105)</f>
        <v>593.88</v>
      </c>
      <c r="CB113" s="1331"/>
      <c r="CC113" s="1331">
        <f>SUM(CC85:CC105)</f>
        <v>27.2</v>
      </c>
      <c r="CD113" s="1331">
        <f>SUM(CD85:CD105)</f>
        <v>47.299999999999983</v>
      </c>
      <c r="CE113" s="1331">
        <f>SUM(CE85:CE105)</f>
        <v>46.700000000000017</v>
      </c>
      <c r="CF113" s="1331">
        <f>SUM(CF85:CF105)</f>
        <v>125.59999999999998</v>
      </c>
      <c r="CG113" s="1342">
        <f>SUM(CG85:CG105)</f>
        <v>246.79999999999998</v>
      </c>
      <c r="CH113" s="1331"/>
      <c r="CI113" s="1331">
        <f>SUM(CI85:CI105)</f>
        <v>139.1</v>
      </c>
      <c r="CJ113" s="1331">
        <f>SUM(CJ85:CJ105)</f>
        <v>111.49999999999997</v>
      </c>
      <c r="CK113" s="1331">
        <f>SUM(CK85:CK105)</f>
        <v>114.30000000000004</v>
      </c>
      <c r="CL113" s="1331">
        <f>SUM(CL85:CL105)</f>
        <v>175.90000000000003</v>
      </c>
      <c r="CM113" s="1343">
        <f>SUM(CM85:CM105)</f>
        <v>540.79999999999995</v>
      </c>
      <c r="CN113" s="1331"/>
      <c r="CO113" s="1331">
        <f>SUM(CO85:CO105)</f>
        <v>128.39999999999998</v>
      </c>
      <c r="CP113" s="1331">
        <f>SUM(CP85:CP105)</f>
        <v>132.20000000000002</v>
      </c>
      <c r="CQ113" s="1331">
        <f>SUM(CQ85:CQ105)</f>
        <v>137.70000000000002</v>
      </c>
      <c r="CR113" s="1331">
        <f>SUM(CR85:CR105)</f>
        <v>175.2</v>
      </c>
      <c r="CS113" s="1343">
        <f>SUM(CS85:CS105)</f>
        <v>573.5</v>
      </c>
      <c r="CT113" s="1331"/>
      <c r="CU113" s="1331">
        <f>SUM(CU85:CU105)</f>
        <v>139.29999999999998</v>
      </c>
      <c r="CV113" s="1331">
        <f>SUM(CV85:CV105)</f>
        <v>107.1</v>
      </c>
      <c r="CW113" s="1331">
        <f>SUM(CW85:CW105)</f>
        <v>157.10000000000002</v>
      </c>
      <c r="CX113" s="1331">
        <f>SUM(CX85:CX105)</f>
        <v>155.60000000000002</v>
      </c>
      <c r="CY113" s="1343">
        <f>SUM(CY85:CY105)</f>
        <v>559.1</v>
      </c>
      <c r="CZ113" s="1331"/>
      <c r="DA113" s="1331">
        <f>SUM(DA85:DA105)</f>
        <v>224.10000000000002</v>
      </c>
      <c r="DB113" s="1331">
        <f>SUM(DB85:DB105)</f>
        <v>65.299999999999983</v>
      </c>
      <c r="DC113" s="1331">
        <f>SUM(DC85:DC105)</f>
        <v>90.600000000000051</v>
      </c>
      <c r="DD113" s="1331">
        <f>SUM(DD85:DD105)</f>
        <v>183.5</v>
      </c>
      <c r="DE113" s="1343">
        <f>SUM(DE85:DE105)</f>
        <v>563.5</v>
      </c>
      <c r="DF113" s="1331"/>
      <c r="DG113" s="1331">
        <f>SUM(DG85:DG105)</f>
        <v>218.7</v>
      </c>
      <c r="DH113" s="1331">
        <f>SUM(DH85:DH105)</f>
        <v>96.200000000000031</v>
      </c>
      <c r="DI113" s="1331">
        <f>SUM(DI85:DI105)</f>
        <v>136</v>
      </c>
      <c r="DJ113" s="1331">
        <f>SUM(DJ85:DJ105)</f>
        <v>257.20000000000005</v>
      </c>
      <c r="DK113" s="1343">
        <f>SUM(DK85:DK105)</f>
        <v>708.1</v>
      </c>
      <c r="DL113" s="1331"/>
      <c r="DM113" s="1331">
        <f>SUM(DM85:DM105)</f>
        <v>86.499999999999986</v>
      </c>
      <c r="DN113" s="1331">
        <f>SUM(DN85:DN105)</f>
        <v>77.2</v>
      </c>
      <c r="DO113" s="1331">
        <f>SUM(DO85:DO105)</f>
        <v>80.399999999999977</v>
      </c>
      <c r="DP113" s="1331">
        <f>SUM(DP85:DP105)</f>
        <v>169.90000000000003</v>
      </c>
      <c r="DQ113" s="1343">
        <f>SUM(DQ85:DQ105)</f>
        <v>414.00000000000006</v>
      </c>
      <c r="DR113" s="1331"/>
      <c r="DS113" s="1331">
        <f>SUM(DS85:DS105)</f>
        <v>164.30000000000004</v>
      </c>
      <c r="DT113" s="1331">
        <f>SUM(DT85:DT105)</f>
        <v>-17.899999999999984</v>
      </c>
      <c r="DU113" s="1331">
        <f>SUM(DU85:DU105)</f>
        <v>7.7000000000000028</v>
      </c>
      <c r="DV113" s="1331">
        <f>SUM(DV85:DV105)</f>
        <v>15.599999999999952</v>
      </c>
      <c r="DW113" s="1343">
        <f>SUM(DW85:DW105)</f>
        <v>169.7</v>
      </c>
      <c r="DX113" s="1331"/>
      <c r="DY113" s="1331">
        <f>SUM(DY85:DY105)</f>
        <v>45.20000000000006</v>
      </c>
      <c r="DZ113" s="1331">
        <f>SUM(DZ85:DZ105)</f>
        <v>-72.500000000000085</v>
      </c>
      <c r="EA113" s="1331">
        <f>SUM(EA85:EA105)</f>
        <v>-50.999999999999972</v>
      </c>
      <c r="EB113" s="1331">
        <f>SUM(EB85:EB105)</f>
        <v>79.200000000000031</v>
      </c>
      <c r="EC113" s="1343">
        <f>SUM(EC85:EC105)</f>
        <v>0.89999999999997726</v>
      </c>
      <c r="ED113" s="1331"/>
      <c r="EE113" s="1331">
        <f>SUM(EE85:EE105)</f>
        <v>35.690683692496513</v>
      </c>
      <c r="EF113" s="1331">
        <f>SUM(EF85:EF105)</f>
        <v>83.032016730419031</v>
      </c>
      <c r="EG113" s="1331">
        <f>SUM(EG85:EG105)</f>
        <v>58.148843611622652</v>
      </c>
      <c r="EH113" s="1331">
        <f>SUM(EH85:EH105)</f>
        <v>410.44387762910389</v>
      </c>
      <c r="EI113" s="1343">
        <f>SUM(EI85:EI105)</f>
        <v>587.31542166364216</v>
      </c>
      <c r="EJ113" s="1331"/>
      <c r="EK113" s="1331">
        <f>SUM(EK85:EK105)</f>
        <v>1.6572372510924254</v>
      </c>
      <c r="EL113" s="1331">
        <f>SUM(EL85:EL105)</f>
        <v>250.2678513825546</v>
      </c>
      <c r="EM113" s="1331">
        <f>SUM(EM85:EM105)</f>
        <v>228.92205005112368</v>
      </c>
      <c r="EN113" s="1331">
        <f>SUM(EN85:EN105)</f>
        <v>688.1086155904992</v>
      </c>
      <c r="EO113" s="1343">
        <f>SUM(EO85:EO105)</f>
        <v>1168.95575427527</v>
      </c>
      <c r="EP113" s="1331"/>
      <c r="EQ113" s="1331">
        <f>SUM(EQ85:EQ105)</f>
        <v>168.76037550784588</v>
      </c>
      <c r="ER113" s="1331">
        <f>SUM(ER85:ER105)</f>
        <v>330.11806650673611</v>
      </c>
      <c r="ES113" s="1331">
        <f>SUM(ES85:ES105)</f>
        <v>273.68889871875274</v>
      </c>
      <c r="ET113" s="1331">
        <f>SUM(ET85:ET105)</f>
        <v>685.65358529389039</v>
      </c>
      <c r="EU113" s="1343">
        <f>SUM(EU85:EU105)</f>
        <v>1458.220926027225</v>
      </c>
      <c r="EV113" s="45"/>
      <c r="EW113" s="45"/>
      <c r="FD113" s="45"/>
      <c r="FE113" s="45"/>
      <c r="FF113" s="45"/>
      <c r="FG113" s="45"/>
      <c r="FH113" s="45"/>
      <c r="FI113" s="45"/>
      <c r="FJ113" s="45"/>
      <c r="FK113" s="45"/>
      <c r="FL113" s="45"/>
      <c r="FM113" s="45"/>
      <c r="FN113" s="45"/>
      <c r="FO113" s="45"/>
      <c r="FP113" s="45"/>
    </row>
    <row r="114" spans="1:172">
      <c r="A114" s="75"/>
      <c r="B114" s="42"/>
      <c r="C114" s="75"/>
      <c r="D114" s="62"/>
      <c r="E114" s="62"/>
      <c r="F114" s="62"/>
      <c r="G114" s="75"/>
      <c r="H114" s="77"/>
      <c r="I114" s="75"/>
      <c r="J114" s="62"/>
      <c r="K114" s="62"/>
      <c r="L114" s="62"/>
      <c r="M114" s="75"/>
      <c r="N114" s="77"/>
      <c r="O114" s="364"/>
      <c r="P114" s="364"/>
      <c r="Q114" s="364"/>
      <c r="R114" s="364"/>
      <c r="S114" s="609"/>
      <c r="T114" s="77"/>
      <c r="U114" s="364"/>
      <c r="V114" s="364"/>
      <c r="W114" s="364"/>
      <c r="X114" s="364"/>
      <c r="Y114" s="609"/>
      <c r="Z114" s="75"/>
      <c r="AA114" s="364"/>
      <c r="AB114" s="364"/>
      <c r="AC114" s="364"/>
      <c r="AD114" s="364"/>
      <c r="AE114" s="609"/>
      <c r="AF114" s="77"/>
      <c r="AG114" s="364"/>
      <c r="AH114" s="364"/>
      <c r="AI114" s="364"/>
      <c r="AJ114" s="364"/>
      <c r="AK114" s="364"/>
      <c r="AL114" s="77"/>
      <c r="AM114" s="364"/>
      <c r="AN114" s="364"/>
      <c r="AO114" s="364"/>
      <c r="AP114" s="364"/>
      <c r="AQ114" s="364"/>
      <c r="AR114" s="77"/>
      <c r="AS114" s="364"/>
      <c r="AT114" s="364"/>
      <c r="AU114" s="364"/>
      <c r="AV114" s="364"/>
      <c r="AW114" s="364"/>
      <c r="AX114" s="77"/>
      <c r="AY114" s="364"/>
      <c r="AZ114" s="364"/>
      <c r="BA114" s="364"/>
      <c r="BB114" s="364"/>
      <c r="BC114" s="364"/>
      <c r="BD114" s="77"/>
      <c r="BE114" s="644"/>
      <c r="BF114" s="644"/>
      <c r="BG114" s="43"/>
      <c r="BH114" s="43"/>
      <c r="BI114" s="75"/>
      <c r="BJ114" s="75"/>
      <c r="BK114" s="75"/>
      <c r="BL114" s="43"/>
      <c r="BM114" s="43"/>
      <c r="BN114" s="43"/>
      <c r="BO114" s="1338"/>
      <c r="BP114" s="75"/>
      <c r="BQ114" s="75"/>
      <c r="BR114" s="43"/>
      <c r="BS114" s="43"/>
      <c r="BT114" s="43"/>
      <c r="BU114" s="1338"/>
      <c r="BV114" s="75"/>
      <c r="BW114" s="75"/>
      <c r="BX114" s="43"/>
      <c r="BY114" s="43"/>
      <c r="BZ114" s="43"/>
      <c r="CA114" s="1338"/>
      <c r="CB114" s="75"/>
      <c r="CC114" s="75"/>
      <c r="CD114" s="43"/>
      <c r="CE114" s="43"/>
      <c r="CF114" s="43"/>
      <c r="CG114" s="1338"/>
      <c r="CH114" s="75"/>
      <c r="CI114" s="75"/>
      <c r="CJ114" s="43"/>
      <c r="CK114" s="43"/>
      <c r="CL114" s="43"/>
      <c r="CM114" s="1121"/>
      <c r="CN114" s="75"/>
      <c r="CO114" s="1658"/>
      <c r="CP114" s="84"/>
      <c r="CQ114" s="84"/>
      <c r="CR114" s="1659"/>
      <c r="CS114" s="1657"/>
      <c r="CT114" s="75"/>
      <c r="CU114" s="1658"/>
      <c r="CV114" s="1713"/>
      <c r="CW114" s="84"/>
      <c r="CX114" s="1659"/>
      <c r="CY114" s="1657"/>
      <c r="CZ114" s="75"/>
      <c r="DA114" s="1658"/>
      <c r="DB114" s="43"/>
      <c r="DC114" s="43"/>
      <c r="DD114" s="43"/>
      <c r="DE114" s="1657"/>
      <c r="DF114" s="75"/>
      <c r="DG114" s="75"/>
      <c r="DH114" s="43"/>
      <c r="DI114" s="43"/>
      <c r="DJ114" s="1618"/>
      <c r="DK114" s="1657"/>
      <c r="DL114" s="75"/>
      <c r="DM114" s="75"/>
      <c r="DN114" s="43"/>
      <c r="DO114" s="43"/>
      <c r="DP114" s="43"/>
      <c r="DQ114" s="1657"/>
      <c r="DR114" s="75"/>
      <c r="DS114" s="75"/>
      <c r="DT114" s="43"/>
      <c r="DU114" s="43"/>
      <c r="DV114" s="43"/>
      <c r="DW114" s="1657"/>
      <c r="DX114" s="75"/>
      <c r="DY114" s="75"/>
      <c r="DZ114" s="43"/>
      <c r="EA114" s="43"/>
      <c r="EB114" s="43"/>
      <c r="EC114" s="1657"/>
      <c r="ED114" s="75"/>
      <c r="EE114" s="43"/>
      <c r="EF114" s="43"/>
      <c r="EG114" s="43"/>
      <c r="EH114" s="43"/>
      <c r="EI114" s="1657"/>
      <c r="EJ114" s="75"/>
      <c r="EK114" s="43"/>
      <c r="EL114" s="43"/>
      <c r="EM114" s="43"/>
      <c r="EN114" s="43"/>
      <c r="EO114" s="1657"/>
      <c r="EP114" s="75"/>
      <c r="EQ114" s="43"/>
      <c r="ER114" s="43"/>
      <c r="ES114" s="43"/>
      <c r="ET114" s="43"/>
      <c r="EU114" s="1657"/>
      <c r="EV114" s="75"/>
      <c r="EW114" s="75"/>
      <c r="FD114" s="75"/>
      <c r="FE114" s="75"/>
      <c r="FF114" s="75"/>
      <c r="FG114" s="75"/>
      <c r="FH114" s="75"/>
      <c r="FI114" s="75"/>
      <c r="FJ114" s="75"/>
      <c r="FK114" s="75"/>
      <c r="FL114" s="75"/>
      <c r="FM114" s="75"/>
      <c r="FN114" s="75"/>
      <c r="FO114" s="75"/>
      <c r="FP114" s="75"/>
    </row>
    <row r="115" spans="1:172">
      <c r="A115" s="60" t="s">
        <v>4676</v>
      </c>
      <c r="B115" s="42"/>
      <c r="C115" s="61"/>
      <c r="D115" s="62"/>
      <c r="E115" s="62"/>
      <c r="F115" s="62"/>
      <c r="G115" s="363"/>
      <c r="H115" s="61"/>
      <c r="I115" s="61"/>
      <c r="J115" s="62"/>
      <c r="K115" s="62"/>
      <c r="L115" s="62"/>
      <c r="M115" s="363"/>
      <c r="N115" s="61"/>
      <c r="O115" s="428"/>
      <c r="P115" s="428"/>
      <c r="Q115" s="428"/>
      <c r="R115" s="428"/>
      <c r="S115" s="43"/>
      <c r="T115" s="61"/>
      <c r="U115" s="428"/>
      <c r="V115" s="428"/>
      <c r="W115" s="428"/>
      <c r="X115" s="428"/>
      <c r="Y115" s="43"/>
      <c r="Z115" s="61"/>
      <c r="AA115" s="428"/>
      <c r="AB115" s="428"/>
      <c r="AC115" s="428"/>
      <c r="AD115" s="428"/>
      <c r="AE115" s="43"/>
      <c r="AF115" s="61"/>
      <c r="AG115" s="428"/>
      <c r="AH115" s="428"/>
      <c r="AI115" s="428"/>
      <c r="AJ115" s="428"/>
      <c r="AK115" s="428"/>
      <c r="AL115" s="61"/>
      <c r="AM115" s="428"/>
      <c r="AN115" s="428"/>
      <c r="AO115" s="428"/>
      <c r="AP115" s="428"/>
      <c r="AQ115" s="428"/>
      <c r="AR115" s="61"/>
      <c r="AS115" s="428"/>
      <c r="AT115" s="428"/>
      <c r="AU115" s="428"/>
      <c r="AV115" s="428"/>
      <c r="AW115" s="428"/>
      <c r="AX115" s="61"/>
      <c r="AY115" s="428"/>
      <c r="AZ115" s="428"/>
      <c r="BA115" s="428"/>
      <c r="BB115" s="428"/>
      <c r="BC115" s="428"/>
      <c r="BD115" s="61"/>
      <c r="BE115" s="645"/>
      <c r="BF115" s="43"/>
      <c r="BG115" s="43"/>
      <c r="BH115" s="43"/>
      <c r="BI115" s="79"/>
      <c r="BJ115" s="44"/>
      <c r="BK115" s="44"/>
      <c r="BL115" s="43"/>
      <c r="BM115" s="43"/>
      <c r="BN115" s="43"/>
      <c r="BO115" s="1339"/>
      <c r="BP115" s="44"/>
      <c r="BQ115" s="44"/>
      <c r="BR115" s="43"/>
      <c r="BS115" s="43"/>
      <c r="BT115" s="43"/>
      <c r="BU115" s="1339"/>
      <c r="BV115" s="44"/>
      <c r="BW115" s="44"/>
      <c r="BX115" s="43"/>
      <c r="BY115" s="43"/>
      <c r="BZ115" s="43"/>
      <c r="CA115" s="1339"/>
      <c r="CB115" s="44"/>
      <c r="CC115" s="44"/>
      <c r="CD115" s="43"/>
      <c r="CE115" s="43"/>
      <c r="CF115" s="43"/>
      <c r="CG115" s="1339"/>
      <c r="CH115" s="44"/>
      <c r="CI115" s="44"/>
      <c r="CJ115" s="43"/>
      <c r="CK115" s="43"/>
      <c r="CL115" s="43"/>
      <c r="CM115" s="1339"/>
      <c r="CN115" s="44"/>
      <c r="CO115" s="44"/>
      <c r="CP115" s="43"/>
      <c r="CQ115" s="43"/>
      <c r="CR115" s="43"/>
      <c r="CS115" s="1650"/>
      <c r="CT115" s="44"/>
      <c r="CU115" s="44"/>
      <c r="CV115" s="43"/>
      <c r="CW115" s="43"/>
      <c r="CX115" s="43"/>
      <c r="CY115" s="1339"/>
      <c r="CZ115" s="44"/>
      <c r="DA115" s="44"/>
      <c r="DB115" s="43"/>
      <c r="DC115" s="43"/>
      <c r="DD115" s="43"/>
      <c r="DE115" s="1339"/>
      <c r="DF115" s="44"/>
      <c r="DG115" s="44"/>
      <c r="DH115" s="43"/>
      <c r="DI115" s="43"/>
      <c r="DJ115" s="43"/>
      <c r="DK115" s="1339"/>
      <c r="DL115" s="44"/>
      <c r="DM115" s="44"/>
      <c r="DN115" s="43"/>
      <c r="DO115" s="43"/>
      <c r="DP115" s="43"/>
      <c r="DQ115" s="1339"/>
      <c r="DR115" s="44"/>
      <c r="DS115" s="44"/>
      <c r="DT115" s="43"/>
      <c r="DU115" s="43"/>
      <c r="DV115" s="43"/>
      <c r="DW115" s="1339"/>
      <c r="DX115" s="44"/>
      <c r="DY115" s="44"/>
      <c r="DZ115" s="43"/>
      <c r="EA115" s="43"/>
      <c r="EB115" s="43"/>
      <c r="EC115" s="1339"/>
      <c r="ED115" s="44"/>
      <c r="EE115" s="43"/>
      <c r="EF115" s="43"/>
      <c r="EG115" s="43"/>
      <c r="EH115" s="43"/>
      <c r="EI115" s="1339"/>
      <c r="EJ115" s="44"/>
      <c r="EK115" s="43"/>
      <c r="EL115" s="43"/>
      <c r="EM115" s="43"/>
      <c r="EN115" s="43"/>
      <c r="EO115" s="1339"/>
      <c r="EP115" s="44"/>
      <c r="EQ115" s="43"/>
      <c r="ER115" s="43"/>
      <c r="ES115" s="43"/>
      <c r="ET115" s="43"/>
      <c r="EU115" s="1339"/>
      <c r="EV115" s="45"/>
      <c r="EW115" s="45"/>
      <c r="FD115" s="45"/>
      <c r="FE115" s="45"/>
      <c r="FF115" s="45"/>
      <c r="FG115" s="45"/>
      <c r="FH115" s="45"/>
      <c r="FI115" s="45"/>
      <c r="FJ115" s="45"/>
      <c r="FK115" s="45"/>
      <c r="FL115" s="45"/>
      <c r="FM115" s="45"/>
      <c r="FN115" s="45"/>
      <c r="FO115" s="45"/>
      <c r="FP115" s="45"/>
    </row>
    <row r="116" spans="1:172">
      <c r="A116" s="41" t="s">
        <v>6818</v>
      </c>
      <c r="B116" s="42"/>
      <c r="C116" s="62"/>
      <c r="D116" s="62"/>
      <c r="E116" s="62"/>
      <c r="F116" s="62"/>
      <c r="G116" s="62"/>
      <c r="H116" s="61"/>
      <c r="I116" s="62"/>
      <c r="J116" s="62"/>
      <c r="K116" s="62"/>
      <c r="L116" s="62"/>
      <c r="M116" s="62"/>
      <c r="N116" s="61"/>
      <c r="O116" s="62">
        <f>O43</f>
        <v>-37.570999999999998</v>
      </c>
      <c r="P116" s="62">
        <f t="shared" ref="P116:R124" si="304">IF(P43="-","-",SUM(P43)-SUM(O43))</f>
        <v>-7.1970000000000027</v>
      </c>
      <c r="Q116" s="62">
        <f t="shared" si="304"/>
        <v>-11.033999999999999</v>
      </c>
      <c r="R116" s="62">
        <f t="shared" si="304"/>
        <v>92.010999999999939</v>
      </c>
      <c r="S116" s="62">
        <f>SUM(O116:R116)</f>
        <v>36.208999999999939</v>
      </c>
      <c r="T116" s="61"/>
      <c r="U116" s="62">
        <f>U43</f>
        <v>-150.316</v>
      </c>
      <c r="V116" s="62">
        <f t="shared" ref="V116:X124" si="305">IF(V43="-","-",SUM(V43)-SUM(U43))</f>
        <v>-28.091999999999985</v>
      </c>
      <c r="W116" s="62">
        <f t="shared" si="305"/>
        <v>-19.267000000000024</v>
      </c>
      <c r="X116" s="62">
        <f t="shared" si="305"/>
        <v>-65.588000000000363</v>
      </c>
      <c r="Y116" s="62">
        <f t="shared" ref="Y116:Y124" si="306">SUM(U116:X116)</f>
        <v>-263.26300000000037</v>
      </c>
      <c r="Z116" s="61"/>
      <c r="AA116" s="62">
        <f>AA43</f>
        <v>103.741</v>
      </c>
      <c r="AB116" s="62">
        <f t="shared" ref="AB116:AD124" si="307">IF(AB43="-","-",SUM(AB43)-SUM(AA43))</f>
        <v>-22.932999999999993</v>
      </c>
      <c r="AC116" s="62">
        <f t="shared" si="307"/>
        <v>15.397999999999996</v>
      </c>
      <c r="AD116" s="62">
        <f t="shared" si="307"/>
        <v>33.694000000000088</v>
      </c>
      <c r="AE116" s="62">
        <f t="shared" ref="AE116:AE124" si="308">SUM(AA116:AD116)</f>
        <v>129.90000000000009</v>
      </c>
      <c r="AF116" s="61"/>
      <c r="AG116" s="62">
        <f>AG43</f>
        <v>37.676000000000002</v>
      </c>
      <c r="AH116" s="62">
        <f t="shared" ref="AH116:AH124" si="309">IF(AH43="-","-",SUM(AH43)-SUM(AG43))</f>
        <v>-53.256</v>
      </c>
      <c r="AI116" s="62">
        <f t="shared" ref="AI116:AI124" si="310">IF(AI43="-","-",SUM(AI43)-SUM(AH43))</f>
        <v>9.0339999999999989</v>
      </c>
      <c r="AJ116" s="62">
        <f t="shared" ref="AJ116:AJ124" si="311">IF(AJ43="-","-",SUM(AJ43)-SUM(AI43))</f>
        <v>-50.271000000000001</v>
      </c>
      <c r="AK116" s="62">
        <f t="shared" ref="AK116:AK124" si="312">SUM(AG116:AJ116)</f>
        <v>-56.817</v>
      </c>
      <c r="AL116" s="61"/>
      <c r="AM116" s="62">
        <f>AM43</f>
        <v>61.365000000000002</v>
      </c>
      <c r="AN116" s="62">
        <f t="shared" ref="AN116:AN123" si="313">IF(AN43="-","-",SUM(AN43)-SUM(AM43))</f>
        <v>24.146999999999998</v>
      </c>
      <c r="AO116" s="62">
        <f t="shared" ref="AO116:AO123" si="314">IF(AO43="-","-",SUM(AO43)-SUM(AN43))</f>
        <v>29.778999999999996</v>
      </c>
      <c r="AP116" s="62">
        <f t="shared" ref="AP116:AP123" si="315">IF(AP43="-","-",SUM(AP43)-SUM(AO43))</f>
        <v>7.7140000000001123</v>
      </c>
      <c r="AQ116" s="62">
        <f t="shared" ref="AQ116:AQ123" si="316">SUM(AM116:AP116)</f>
        <v>123.00500000000011</v>
      </c>
      <c r="AR116" s="61"/>
      <c r="AS116" s="62">
        <f>AS43</f>
        <v>1.8759999999999999</v>
      </c>
      <c r="AT116" s="62">
        <f t="shared" ref="AT116:AT124" si="317">IF(AT43="-","-",SUM(AT43)-SUM(AS43))</f>
        <v>28.962999999999997</v>
      </c>
      <c r="AU116" s="62">
        <f t="shared" ref="AU116:AU124" si="318">IF(AU43="-","-",SUM(AU43)-SUM(AT43))</f>
        <v>-25.911999999999999</v>
      </c>
      <c r="AV116" s="62">
        <f t="shared" ref="AV116:AV124" si="319">IF(AV43="-","-",SUM(AV43)-SUM(AU43))</f>
        <v>-28.966000000000001</v>
      </c>
      <c r="AW116" s="62">
        <f t="shared" ref="AW116:AW124" si="320">SUM(AS116:AV116)</f>
        <v>-24.039000000000001</v>
      </c>
      <c r="AX116" s="61"/>
      <c r="AY116" s="62">
        <f>AY43</f>
        <v>30.8</v>
      </c>
      <c r="AZ116" s="62">
        <f t="shared" ref="AZ116:AZ124" si="321">IF(AZ43="-","-",SUM(AZ43)-SUM(AY43))</f>
        <v>-10.599999999999998</v>
      </c>
      <c r="BA116" s="62">
        <f t="shared" ref="BA116:BA124" si="322">IF(BA43="-","-",SUM(BA43)-SUM(AZ43))</f>
        <v>85</v>
      </c>
      <c r="BB116" s="62">
        <f t="shared" ref="BB116:BB124" si="323">IF(BB43="-","-",SUM(BB43)-SUM(BA43))</f>
        <v>125.49999999999999</v>
      </c>
      <c r="BC116" s="62">
        <f t="shared" ref="BC116:BC124" si="324">SUM(AY116:BB116)</f>
        <v>230.7</v>
      </c>
      <c r="BD116" s="61"/>
      <c r="BE116" s="62">
        <f>BE43</f>
        <v>-4.7</v>
      </c>
      <c r="BF116" s="62">
        <f t="shared" ref="BF116:BF124" si="325">IF(BF43="-","-",SUM(BF43)-SUM(BE43))</f>
        <v>-23.1</v>
      </c>
      <c r="BG116" s="62">
        <f t="shared" ref="BG116:BG124" si="326">IF(BG43="-","-",SUM(BG43)-SUM(BF43))</f>
        <v>-114.2</v>
      </c>
      <c r="BH116" s="62">
        <f t="shared" ref="BH116:BH124" si="327">IF(BH43="-","-",SUM(BH43)-SUM(BG43))</f>
        <v>66.7</v>
      </c>
      <c r="BI116" s="62">
        <f t="shared" ref="BI116:BI124" si="328">SUM(BE116:BH116)</f>
        <v>-75.3</v>
      </c>
      <c r="BJ116" s="61"/>
      <c r="BK116" s="62">
        <f>BK43</f>
        <v>-36.4</v>
      </c>
      <c r="BL116" s="62">
        <f t="shared" ref="BL116:BL124" si="329">IF(BL43="-","-",SUM(BL43)-SUM(BK43))</f>
        <v>99.5</v>
      </c>
      <c r="BM116" s="62">
        <f t="shared" ref="BM116:BM124" si="330">IF(BM43="-","-",SUM(BM43)-SUM(BL43))</f>
        <v>-53.4</v>
      </c>
      <c r="BN116" s="62">
        <f t="shared" ref="BN116:BN124" si="331">IF(BN43="-","-",SUM(BN43)-SUM(BM43))</f>
        <v>-29.5</v>
      </c>
      <c r="BO116" s="1166">
        <f t="shared" ref="BO116:BO124" si="332">SUM(BK116:BN116)</f>
        <v>-19.799999999999997</v>
      </c>
      <c r="BP116" s="61"/>
      <c r="BQ116" s="62">
        <f>BQ43</f>
        <v>-89.699999999999989</v>
      </c>
      <c r="BR116" s="62">
        <f t="shared" ref="BR116:BR124" si="333">IF(BR43="-","-",SUM(BR43)-SUM(BQ43))</f>
        <v>149.69999999999999</v>
      </c>
      <c r="BS116" s="62">
        <f t="shared" ref="BS116:BS124" si="334">IF(BS43="-","-",SUM(BS43)-SUM(BR43))</f>
        <v>7.6000000000000227</v>
      </c>
      <c r="BT116" s="62">
        <f t="shared" ref="BT116:BT124" si="335">IF(BT43="-","-",SUM(BT43)-SUM(BS43))</f>
        <v>4.5</v>
      </c>
      <c r="BU116" s="1166">
        <f t="shared" ref="BU116:BU124" si="336">SUM(BQ116:BT116)</f>
        <v>72.100000000000023</v>
      </c>
      <c r="BV116" s="61"/>
      <c r="BW116" s="62">
        <f>BW43</f>
        <v>-1.3</v>
      </c>
      <c r="BX116" s="62">
        <f t="shared" ref="BX116:BX124" si="337">IF(BX43="-","-",SUM(BX43)-SUM(BW43))</f>
        <v>0.40000000000000058</v>
      </c>
      <c r="BY116" s="62">
        <f t="shared" ref="BY116:BY124" si="338">IF(BY43="-","-",SUM(BY43)-SUM(BX43))</f>
        <v>-105.1</v>
      </c>
      <c r="BZ116" s="62">
        <f t="shared" ref="BZ116:BZ124" si="339">IF(BZ43="-","-",SUM(BZ43)-SUM(BY43))</f>
        <v>70.800000000000011</v>
      </c>
      <c r="CA116" s="1416">
        <f t="shared" ref="CA116:CA124" si="340">SUM(BW116:BZ116)</f>
        <v>-35.199999999999989</v>
      </c>
      <c r="CB116" s="61"/>
      <c r="CC116" s="62">
        <f>CC43</f>
        <v>-14.900000000000002</v>
      </c>
      <c r="CD116" s="62">
        <f t="shared" ref="CD116:CD124" si="341">IF(CD43="-","-",SUM(CD43)-SUM(CC43))</f>
        <v>-267.60000000000002</v>
      </c>
      <c r="CE116" s="62">
        <f t="shared" ref="CE116:CE124" si="342">IF(CE43="-","-",SUM(CE43)-SUM(CD43))</f>
        <v>7.2000000000000455</v>
      </c>
      <c r="CF116" s="62">
        <f t="shared" ref="CF116:CF124" si="343">IF(CF43="-","-",SUM(CF43)-SUM(CE43))</f>
        <v>61.499999999999943</v>
      </c>
      <c r="CG116" s="1166">
        <f t="shared" ref="CG116:CG124" si="344">SUM(CC116:CF116)</f>
        <v>-213.8</v>
      </c>
      <c r="CH116" s="61"/>
      <c r="CI116" s="62">
        <f>CI43</f>
        <v>-10.700000000000003</v>
      </c>
      <c r="CJ116" s="62">
        <f t="shared" ref="CJ116:CJ124" si="345">IF(CJ43="-","-",SUM(CJ43)-SUM(CI43))</f>
        <v>-119.39999999999996</v>
      </c>
      <c r="CK116" s="62">
        <f t="shared" ref="CK116:CK124" si="346">IF(CK43="-","-",SUM(CK43)-SUM(CJ43))</f>
        <v>-8.5</v>
      </c>
      <c r="CL116" s="62">
        <f t="shared" ref="CL116:CL124" si="347">IF(CL43="-","-",SUM(CL43)-SUM(CK43))</f>
        <v>42.099999999999966</v>
      </c>
      <c r="CM116" s="1166">
        <f t="shared" ref="CM116:CM124" si="348">SUM(CI116:CL116)</f>
        <v>-96.5</v>
      </c>
      <c r="CN116" s="61"/>
      <c r="CO116" s="62">
        <f>CO43</f>
        <v>-38.599999999999994</v>
      </c>
      <c r="CP116" s="62">
        <f t="shared" ref="CP116:CP124" si="349">IF(CP43="-","-",SUM(CP43)-SUM(CO43))</f>
        <v>13.099999999999966</v>
      </c>
      <c r="CQ116" s="62">
        <f t="shared" ref="CQ116:CQ124" si="350">IF(CQ43="-","-",SUM(CQ43)-SUM(CP43))</f>
        <v>-12.69999999999996</v>
      </c>
      <c r="CR116" s="62">
        <f t="shared" ref="CR116:CR124" si="351">IF(CR43="-","-",SUM(CR43)-SUM(CQ43))</f>
        <v>-16.900000000000034</v>
      </c>
      <c r="CS116" s="1166">
        <f t="shared" ref="CS116:CS124" si="352">SUM(CO116:CR116)</f>
        <v>-55.100000000000023</v>
      </c>
      <c r="CT116" s="61"/>
      <c r="CU116" s="62">
        <f>CU43</f>
        <v>-270.5</v>
      </c>
      <c r="CV116" s="62">
        <f t="shared" ref="CV116:CV124" si="353">IF(CV43="-","-",SUM(CV43)-SUM(CU43))</f>
        <v>-65.399999999999977</v>
      </c>
      <c r="CW116" s="62">
        <f t="shared" ref="CW116:CW124" si="354">IF(CW43="-","-",SUM(CW43)-SUM(CV43))</f>
        <v>-123.59999999999991</v>
      </c>
      <c r="CX116" s="62">
        <f t="shared" ref="CX116:CX124" si="355">IF(CX43="-","-",SUM(CX43)-SUM(CW43))</f>
        <v>159.49999999999966</v>
      </c>
      <c r="CY116" s="1166">
        <f t="shared" ref="CY116:CY124" si="356">SUM(CU116:CX116)</f>
        <v>-300.00000000000023</v>
      </c>
      <c r="CZ116" s="61"/>
      <c r="DA116" s="62">
        <f>DA43</f>
        <v>-67.600000000000023</v>
      </c>
      <c r="DB116" s="62">
        <f t="shared" ref="DB116:DB124" si="357">IF(DB43="-","-",SUM(DB43)-SUM(DA43))</f>
        <v>-182.6999999999999</v>
      </c>
      <c r="DC116" s="62">
        <f t="shared" ref="DC116:DC124" si="358">IF(DC43="-","-",SUM(DC43)-SUM(DB43))</f>
        <v>5.4999999999999716</v>
      </c>
      <c r="DD116" s="62">
        <f t="shared" ref="DD116:DD124" si="359">IF(DD43="-","-",SUM(DD43)-SUM(DC43))</f>
        <v>309.69999999999993</v>
      </c>
      <c r="DE116" s="1166">
        <f t="shared" ref="DE116:DE124" si="360">SUM(DA116:DD116)</f>
        <v>64.899999999999977</v>
      </c>
      <c r="DF116" s="61"/>
      <c r="DG116" s="62">
        <f>DG43</f>
        <v>-84.1</v>
      </c>
      <c r="DH116" s="62">
        <f t="shared" ref="DH116:DH124" si="361">IF(DH43="-","-",SUM(DH43)-SUM(DG43))</f>
        <v>-65.700000000000074</v>
      </c>
      <c r="DI116" s="62">
        <f t="shared" ref="DI116:DI124" si="362">IF(DI43="-","-",SUM(DI43)-SUM(DH43))</f>
        <v>34.700000000000159</v>
      </c>
      <c r="DJ116" s="62">
        <f t="shared" ref="DJ116:DJ124" si="363">IF(DJ43="-","-",SUM(DJ43)-SUM(DI43))</f>
        <v>-81</v>
      </c>
      <c r="DK116" s="1166">
        <f t="shared" ref="DK116:DK124" si="364">SUM(DG116:DJ116)</f>
        <v>-196.09999999999991</v>
      </c>
      <c r="DL116" s="61"/>
      <c r="DM116" s="62">
        <f>DM43</f>
        <v>-195.29999999999998</v>
      </c>
      <c r="DN116" s="62">
        <f t="shared" ref="DN116:DN124" si="365">IF(DN43="-","-",SUM(DN43)-SUM(DM43))</f>
        <v>-390.90000000000009</v>
      </c>
      <c r="DO116" s="62">
        <f t="shared" ref="DO116:DO124" si="366">IF(DO43="-","-",SUM(DO43)-SUM(DN43))</f>
        <v>-8</v>
      </c>
      <c r="DP116" s="62">
        <f t="shared" ref="DP116:DP124" si="367">IF(DP43="-","-",SUM(DP43)-SUM(DO43))</f>
        <v>50.100000000000136</v>
      </c>
      <c r="DQ116" s="1166">
        <f t="shared" ref="DQ116:DQ124" si="368">SUM(DM116:DP116)</f>
        <v>-544.09999999999991</v>
      </c>
      <c r="DR116" s="61"/>
      <c r="DS116" s="62">
        <f>DS43</f>
        <v>-147.29999999999995</v>
      </c>
      <c r="DT116" s="62">
        <f t="shared" ref="DT116:DT124" si="369">IF(DT43="-","-",SUM(DT43)-SUM(DS43))</f>
        <v>482.39999999999992</v>
      </c>
      <c r="DU116" s="62">
        <f t="shared" ref="DU116:DU124" si="370">IF(DU43="-","-",SUM(DU43)-SUM(DT43))</f>
        <v>115.80000000000001</v>
      </c>
      <c r="DV116" s="62">
        <f t="shared" ref="DV116:DV124" si="371">IF(DV43="-","-",SUM(DV43)-SUM(DU43))</f>
        <v>-3.8999999999999773</v>
      </c>
      <c r="DW116" s="1166">
        <f t="shared" ref="DW116:DW124" si="372">SUM(DS116:DV116)</f>
        <v>447</v>
      </c>
      <c r="DX116" s="61"/>
      <c r="DY116" s="62">
        <f>DY43</f>
        <v>263.20000000000005</v>
      </c>
      <c r="DZ116" s="62">
        <f t="shared" ref="DZ116:DZ124" si="373">IF(DZ43="-","-",SUM(DZ43)-SUM(DY43))</f>
        <v>-31.800000000000011</v>
      </c>
      <c r="EA116" s="62">
        <f t="shared" ref="EA116:EA124" si="374">IF(EA43="-","-",SUM(EA43)-SUM(DZ43))</f>
        <v>78.299999999999955</v>
      </c>
      <c r="EB116" s="62">
        <f t="shared" ref="EB116:EB124" si="375">IF(EB43="-","-",SUM(EB43)-SUM(EA43))</f>
        <v>259.59999999999997</v>
      </c>
      <c r="EC116" s="1166">
        <f t="shared" ref="EC116:EC124" si="376">SUM(DY116:EB116)</f>
        <v>569.29999999999995</v>
      </c>
      <c r="ED116" s="61"/>
      <c r="EE116" s="62">
        <f>EE43</f>
        <v>0</v>
      </c>
      <c r="EF116" s="62">
        <f t="shared" ref="EF116:EF124" si="377">IF(EF43="-","-",SUM(EF43)-SUM(EE43))</f>
        <v>0</v>
      </c>
      <c r="EG116" s="62">
        <f t="shared" ref="EG116:EG124" si="378">IF(EG43="-","-",SUM(EG43)-SUM(EF43))</f>
        <v>0</v>
      </c>
      <c r="EH116" s="62">
        <f t="shared" ref="EH116:EH124" si="379">IF(EH43="-","-",SUM(EH43)-SUM(EG43))</f>
        <v>0</v>
      </c>
      <c r="EI116" s="1166">
        <f t="shared" ref="EI116:EI124" si="380">SUM(EE116:EH116)</f>
        <v>0</v>
      </c>
      <c r="EJ116" s="61"/>
      <c r="EK116" s="62">
        <f>EK43</f>
        <v>0</v>
      </c>
      <c r="EL116" s="62">
        <f t="shared" ref="EL116:EL124" si="381">IF(EL43="-","-",SUM(EL43)-SUM(EK43))</f>
        <v>0</v>
      </c>
      <c r="EM116" s="62">
        <f t="shared" ref="EM116:EM124" si="382">IF(EM43="-","-",SUM(EM43)-SUM(EL43))</f>
        <v>0</v>
      </c>
      <c r="EN116" s="62">
        <f t="shared" ref="EN116:EN124" si="383">IF(EN43="-","-",SUM(EN43)-SUM(EM43))</f>
        <v>0</v>
      </c>
      <c r="EO116" s="1166">
        <f t="shared" ref="EO116:EO124" si="384">SUM(EK116:EN116)</f>
        <v>0</v>
      </c>
      <c r="EP116" s="61"/>
      <c r="EQ116" s="62">
        <f>EQ43</f>
        <v>0</v>
      </c>
      <c r="ER116" s="62">
        <f t="shared" ref="ER116:ER124" si="385">IF(ER43="-","-",SUM(ER43)-SUM(EQ43))</f>
        <v>0</v>
      </c>
      <c r="ES116" s="62">
        <f t="shared" ref="ES116:ES124" si="386">IF(ES43="-","-",SUM(ES43)-SUM(ER43))</f>
        <v>0</v>
      </c>
      <c r="ET116" s="62">
        <f t="shared" ref="ET116:ET124" si="387">IF(ET43="-","-",SUM(ET43)-SUM(ES43))</f>
        <v>0</v>
      </c>
      <c r="EU116" s="1166">
        <f t="shared" ref="EU116:EU124" si="388">SUM(EQ116:ET116)</f>
        <v>0</v>
      </c>
      <c r="EV116" s="45"/>
      <c r="EW116" s="45"/>
      <c r="FD116" s="45"/>
      <c r="FE116" s="45"/>
      <c r="FF116" s="45"/>
      <c r="FG116" s="45"/>
      <c r="FH116" s="45"/>
      <c r="FI116" s="45"/>
      <c r="FJ116" s="45"/>
      <c r="FK116" s="45"/>
      <c r="FL116" s="45"/>
      <c r="FM116" s="45"/>
      <c r="FN116" s="45"/>
      <c r="FO116" s="45"/>
      <c r="FP116" s="45"/>
    </row>
    <row r="117" spans="1:172">
      <c r="A117" s="41" t="s">
        <v>6814</v>
      </c>
      <c r="B117" s="42"/>
      <c r="C117" s="62"/>
      <c r="D117" s="62"/>
      <c r="E117" s="62"/>
      <c r="F117" s="62"/>
      <c r="G117" s="62"/>
      <c r="H117" s="61"/>
      <c r="I117" s="62"/>
      <c r="J117" s="62"/>
      <c r="K117" s="62"/>
      <c r="L117" s="62"/>
      <c r="M117" s="62"/>
      <c r="N117" s="61"/>
      <c r="O117" s="62">
        <f t="shared" ref="O117:O124" si="389">O44</f>
        <v>-8.2880000000000003</v>
      </c>
      <c r="P117" s="62">
        <f t="shared" si="304"/>
        <v>-6.7219999999999995</v>
      </c>
      <c r="Q117" s="62">
        <f t="shared" si="304"/>
        <v>-2.4859999999999989</v>
      </c>
      <c r="R117" s="62">
        <f t="shared" si="304"/>
        <v>-25.312999999999999</v>
      </c>
      <c r="S117" s="62">
        <f t="shared" ref="S117:S124" si="390">SUM(O117:R117)</f>
        <v>-42.808999999999997</v>
      </c>
      <c r="T117" s="61"/>
      <c r="U117" s="62">
        <f t="shared" ref="U117:U124" si="391">U44</f>
        <v>-3.548</v>
      </c>
      <c r="V117" s="62">
        <f t="shared" si="305"/>
        <v>-10.297000000000001</v>
      </c>
      <c r="W117" s="62">
        <f t="shared" si="305"/>
        <v>-2.5499999999999989</v>
      </c>
      <c r="X117" s="62">
        <f t="shared" si="305"/>
        <v>1.4629999999999992</v>
      </c>
      <c r="Y117" s="62">
        <f t="shared" si="306"/>
        <v>-14.932</v>
      </c>
      <c r="Z117" s="61"/>
      <c r="AA117" s="62">
        <f t="shared" ref="AA117:AA124" si="392">AA44</f>
        <v>-10.481</v>
      </c>
      <c r="AB117" s="62">
        <f t="shared" si="307"/>
        <v>-7.7840000000000007</v>
      </c>
      <c r="AC117" s="62">
        <f t="shared" si="307"/>
        <v>-6.6460000000000008</v>
      </c>
      <c r="AD117" s="62">
        <f t="shared" si="307"/>
        <v>-7.5009999999999977</v>
      </c>
      <c r="AE117" s="62">
        <f t="shared" si="308"/>
        <v>-32.411999999999999</v>
      </c>
      <c r="AF117" s="61"/>
      <c r="AG117" s="62">
        <f t="shared" ref="AG117:AG124" si="393">AG44</f>
        <v>-13.179</v>
      </c>
      <c r="AH117" s="62">
        <f t="shared" si="309"/>
        <v>-13.118</v>
      </c>
      <c r="AI117" s="62">
        <f t="shared" si="310"/>
        <v>-10.409000000000002</v>
      </c>
      <c r="AJ117" s="62">
        <f t="shared" si="311"/>
        <v>-8.3619999999999948</v>
      </c>
      <c r="AK117" s="62">
        <f t="shared" si="312"/>
        <v>-45.067999999999998</v>
      </c>
      <c r="AL117" s="61"/>
      <c r="AM117" s="62">
        <f t="shared" ref="AM117:AM124" si="394">AM44</f>
        <v>-9.9009999999999998</v>
      </c>
      <c r="AN117" s="62">
        <f t="shared" si="313"/>
        <v>-12.652000000000001</v>
      </c>
      <c r="AO117" s="62">
        <f t="shared" si="314"/>
        <v>-6.4519999999999982</v>
      </c>
      <c r="AP117" s="62">
        <f t="shared" si="315"/>
        <v>-7.0980000000000025</v>
      </c>
      <c r="AQ117" s="62">
        <f t="shared" si="316"/>
        <v>-36.103000000000002</v>
      </c>
      <c r="AR117" s="61"/>
      <c r="AS117" s="62">
        <f t="shared" ref="AS117:AS124" si="395">AS44</f>
        <v>-4.0830000000000002</v>
      </c>
      <c r="AT117" s="62">
        <f t="shared" si="317"/>
        <v>-9.782</v>
      </c>
      <c r="AU117" s="62">
        <f t="shared" si="318"/>
        <v>-4.8510000000000009</v>
      </c>
      <c r="AV117" s="62">
        <f t="shared" si="319"/>
        <v>-7.1359999999999992</v>
      </c>
      <c r="AW117" s="62">
        <f t="shared" si="320"/>
        <v>-25.852</v>
      </c>
      <c r="AX117" s="61"/>
      <c r="AY117" s="62">
        <f t="shared" ref="AY117:AY124" si="396">AY44</f>
        <v>-5.9</v>
      </c>
      <c r="AZ117" s="62">
        <f t="shared" si="321"/>
        <v>-9.8000000000000007</v>
      </c>
      <c r="BA117" s="62">
        <f t="shared" si="322"/>
        <v>-13.6</v>
      </c>
      <c r="BB117" s="62">
        <f t="shared" si="323"/>
        <v>-11.499999999999996</v>
      </c>
      <c r="BC117" s="62">
        <f t="shared" si="324"/>
        <v>-40.799999999999997</v>
      </c>
      <c r="BD117" s="61"/>
      <c r="BE117" s="62">
        <f t="shared" ref="BE117:BE124" si="397">BE44</f>
        <v>-5.5</v>
      </c>
      <c r="BF117" s="62">
        <f>IF(BF44="-","-",SUM(BF44)-SUM(BE44))</f>
        <v>-4.4000000000000004</v>
      </c>
      <c r="BG117" s="62">
        <f t="shared" si="326"/>
        <v>-5.4</v>
      </c>
      <c r="BH117" s="62">
        <f t="shared" si="327"/>
        <v>-5.1999999999999993</v>
      </c>
      <c r="BI117" s="62">
        <f t="shared" si="328"/>
        <v>-20.5</v>
      </c>
      <c r="BJ117" s="61"/>
      <c r="BK117" s="62">
        <f t="shared" ref="BK117:BK124" si="398">BK44</f>
        <v>-11.4</v>
      </c>
      <c r="BL117" s="62">
        <f t="shared" si="329"/>
        <v>-6.9999999999999982</v>
      </c>
      <c r="BM117" s="62">
        <f t="shared" si="330"/>
        <v>-7</v>
      </c>
      <c r="BN117" s="62">
        <f t="shared" si="331"/>
        <v>-9.8999999999999986</v>
      </c>
      <c r="BO117" s="1166">
        <f t="shared" si="332"/>
        <v>-35.299999999999997</v>
      </c>
      <c r="BP117" s="61"/>
      <c r="BQ117" s="62">
        <f t="shared" ref="BQ117:BQ124" si="399">BQ44</f>
        <v>-6.8</v>
      </c>
      <c r="BR117" s="62">
        <f t="shared" si="333"/>
        <v>-11.399999999999999</v>
      </c>
      <c r="BS117" s="62">
        <f t="shared" si="334"/>
        <v>-10.900000000000002</v>
      </c>
      <c r="BT117" s="62">
        <f t="shared" si="335"/>
        <v>-14.199999999999996</v>
      </c>
      <c r="BU117" s="1166">
        <f t="shared" si="336"/>
        <v>-43.3</v>
      </c>
      <c r="BV117" s="61"/>
      <c r="BW117" s="62">
        <f t="shared" ref="BW117:BW124" si="400">BW44</f>
        <v>-13.4</v>
      </c>
      <c r="BX117" s="62">
        <f>IF(BX44="-","-",SUM(BX44)-SUM(BW44))</f>
        <v>-26.5</v>
      </c>
      <c r="BY117" s="62">
        <f t="shared" si="338"/>
        <v>-19.200000000000003</v>
      </c>
      <c r="BZ117" s="62">
        <f t="shared" si="339"/>
        <v>-19.300000000000004</v>
      </c>
      <c r="CA117" s="1416">
        <f t="shared" si="340"/>
        <v>-78.400000000000006</v>
      </c>
      <c r="CB117" s="61"/>
      <c r="CC117" s="62">
        <f t="shared" ref="CC117:CC124" si="401">CC44</f>
        <v>-13.6</v>
      </c>
      <c r="CD117" s="62">
        <f t="shared" si="341"/>
        <v>-10.700000000000001</v>
      </c>
      <c r="CE117" s="62">
        <f t="shared" si="342"/>
        <v>-5.8999999999999986</v>
      </c>
      <c r="CF117" s="62">
        <f t="shared" si="343"/>
        <v>-8.8000000000000007</v>
      </c>
      <c r="CG117" s="1166">
        <f t="shared" si="344"/>
        <v>-39</v>
      </c>
      <c r="CH117" s="61"/>
      <c r="CI117" s="62">
        <f t="shared" ref="CI117:CI124" si="402">CI44</f>
        <v>-5.8</v>
      </c>
      <c r="CJ117" s="62">
        <f t="shared" si="345"/>
        <v>-5.3</v>
      </c>
      <c r="CK117" s="62">
        <f t="shared" si="346"/>
        <v>-7.0000000000000018</v>
      </c>
      <c r="CL117" s="62">
        <f t="shared" si="347"/>
        <v>-10.199999999999999</v>
      </c>
      <c r="CM117" s="1166">
        <f t="shared" si="348"/>
        <v>-28.3</v>
      </c>
      <c r="CN117" s="61"/>
      <c r="CO117" s="62">
        <f t="shared" ref="CO117:CO124" si="403">CO44</f>
        <v>-23.4</v>
      </c>
      <c r="CP117" s="62">
        <f>IF(CP44="-","-",SUM(CP44)-SUM(CO44))</f>
        <v>-16.399999999999999</v>
      </c>
      <c r="CQ117" s="62">
        <f t="shared" si="350"/>
        <v>-8.9000000000000057</v>
      </c>
      <c r="CR117" s="62">
        <f>IF(CR44="-","-",SUM(CR44)-SUM(CQ44))</f>
        <v>-14.299999999999997</v>
      </c>
      <c r="CS117" s="1166">
        <f t="shared" si="352"/>
        <v>-63</v>
      </c>
      <c r="CT117" s="61"/>
      <c r="CU117" s="62">
        <f t="shared" ref="CU117:CU124" si="404">CU44</f>
        <v>-11.5</v>
      </c>
      <c r="CV117" s="62">
        <f>IF(CV44="-","-",SUM(CV44)-SUM(CU44))</f>
        <v>-16.7</v>
      </c>
      <c r="CW117" s="62">
        <f t="shared" si="354"/>
        <v>-16.500000000000004</v>
      </c>
      <c r="CX117" s="62">
        <f t="shared" si="355"/>
        <v>-11.699999999999996</v>
      </c>
      <c r="CY117" s="1166">
        <f t="shared" si="356"/>
        <v>-56.4</v>
      </c>
      <c r="CZ117" s="61"/>
      <c r="DA117" s="62">
        <f t="shared" ref="DA117:DA124" si="405">DA44</f>
        <v>-25.8</v>
      </c>
      <c r="DB117" s="62">
        <f t="shared" si="357"/>
        <v>-16.8</v>
      </c>
      <c r="DC117" s="62">
        <f t="shared" si="358"/>
        <v>-12.399999999999999</v>
      </c>
      <c r="DD117" s="62">
        <f t="shared" si="359"/>
        <v>-9.2000000000000028</v>
      </c>
      <c r="DE117" s="1166">
        <f t="shared" si="360"/>
        <v>-64.2</v>
      </c>
      <c r="DF117" s="61"/>
      <c r="DG117" s="62">
        <f t="shared" ref="DG117:DG124" si="406">DG44</f>
        <v>-14.5</v>
      </c>
      <c r="DH117" s="62">
        <f t="shared" si="361"/>
        <v>-17.100000000000001</v>
      </c>
      <c r="DI117" s="62">
        <f t="shared" si="362"/>
        <v>-28.4</v>
      </c>
      <c r="DJ117" s="62">
        <f t="shared" si="363"/>
        <v>-15.5</v>
      </c>
      <c r="DK117" s="1166">
        <f t="shared" si="364"/>
        <v>-75.5</v>
      </c>
      <c r="DL117" s="61"/>
      <c r="DM117" s="62">
        <f t="shared" ref="DM117:DM124" si="407">DM44</f>
        <v>-12.5</v>
      </c>
      <c r="DN117" s="62">
        <f t="shared" si="365"/>
        <v>-17.3</v>
      </c>
      <c r="DO117" s="62">
        <f t="shared" si="366"/>
        <v>-11.999999999999996</v>
      </c>
      <c r="DP117" s="62">
        <f t="shared" si="367"/>
        <v>-30.600000000000009</v>
      </c>
      <c r="DQ117" s="1166">
        <f t="shared" si="368"/>
        <v>-72.400000000000006</v>
      </c>
      <c r="DR117" s="61"/>
      <c r="DS117" s="62">
        <f t="shared" ref="DS117:DS124" si="408">DS44</f>
        <v>-22.3</v>
      </c>
      <c r="DT117" s="62">
        <f t="shared" si="369"/>
        <v>-20.3</v>
      </c>
      <c r="DU117" s="62">
        <f t="shared" si="370"/>
        <v>-22.499999999999993</v>
      </c>
      <c r="DV117" s="62">
        <f t="shared" si="371"/>
        <v>-10.900000000000006</v>
      </c>
      <c r="DW117" s="1166">
        <f t="shared" si="372"/>
        <v>-76</v>
      </c>
      <c r="DX117" s="61"/>
      <c r="DY117" s="62">
        <f t="shared" ref="DY117:DY124" si="409">DY44</f>
        <v>-8.6</v>
      </c>
      <c r="DZ117" s="62">
        <f t="shared" si="373"/>
        <v>-17.799999999999997</v>
      </c>
      <c r="EA117" s="62">
        <f t="shared" si="374"/>
        <v>-12.899999999999999</v>
      </c>
      <c r="EB117" s="62">
        <f t="shared" si="375"/>
        <v>-11.400000000000006</v>
      </c>
      <c r="EC117" s="1166">
        <f t="shared" si="376"/>
        <v>-50.7</v>
      </c>
      <c r="ED117" s="61"/>
      <c r="EE117" s="62">
        <f t="shared" ref="EE117:EE124" si="410">EE44</f>
        <v>-6.9989241647235581</v>
      </c>
      <c r="EF117" s="62">
        <f t="shared" si="377"/>
        <v>-17.985781180310248</v>
      </c>
      <c r="EG117" s="62">
        <f t="shared" si="378"/>
        <v>-12.89698720439203</v>
      </c>
      <c r="EH117" s="62">
        <f t="shared" si="379"/>
        <v>-11.355918403161766</v>
      </c>
      <c r="EI117" s="1166">
        <f t="shared" si="380"/>
        <v>-49.237610952587602</v>
      </c>
      <c r="EJ117" s="61"/>
      <c r="EK117" s="62">
        <f t="shared" ref="EK117:EK124" si="411">EK44</f>
        <v>-6.0301229030329022</v>
      </c>
      <c r="EL117" s="62">
        <f t="shared" si="381"/>
        <v>-19.681949160806575</v>
      </c>
      <c r="EM117" s="62">
        <f t="shared" si="382"/>
        <v>-13.183302368047883</v>
      </c>
      <c r="EN117" s="62">
        <f t="shared" si="383"/>
        <v>-11.003780927877585</v>
      </c>
      <c r="EO117" s="1166">
        <f t="shared" si="384"/>
        <v>-49.899155359764947</v>
      </c>
      <c r="EP117" s="61"/>
      <c r="EQ117" s="62">
        <f t="shared" ref="EQ117:EQ124" si="412">EQ44</f>
        <v>-4.1053202584998507</v>
      </c>
      <c r="ER117" s="62">
        <f t="shared" si="385"/>
        <v>-20.231449168894443</v>
      </c>
      <c r="ES117" s="62">
        <f t="shared" si="386"/>
        <v>-12.272259172448742</v>
      </c>
      <c r="ET117" s="62">
        <f t="shared" si="387"/>
        <v>-9.503414252702477</v>
      </c>
      <c r="EU117" s="1166">
        <f t="shared" si="388"/>
        <v>-46.112442852545513</v>
      </c>
      <c r="EV117" s="45"/>
      <c r="EW117" s="45"/>
      <c r="FD117" s="45"/>
      <c r="FE117" s="45"/>
      <c r="FF117" s="45"/>
      <c r="FG117" s="45"/>
      <c r="FH117" s="45"/>
      <c r="FI117" s="45"/>
      <c r="FJ117" s="45"/>
      <c r="FK117" s="45"/>
      <c r="FL117" s="45"/>
      <c r="FM117" s="45"/>
      <c r="FN117" s="45"/>
      <c r="FO117" s="45"/>
      <c r="FP117" s="45"/>
    </row>
    <row r="118" spans="1:172">
      <c r="A118" s="41" t="s">
        <v>5484</v>
      </c>
      <c r="B118" s="42"/>
      <c r="C118" s="62"/>
      <c r="D118" s="62"/>
      <c r="E118" s="62"/>
      <c r="F118" s="62"/>
      <c r="G118" s="62"/>
      <c r="H118" s="61"/>
      <c r="I118" s="62"/>
      <c r="J118" s="62"/>
      <c r="K118" s="62"/>
      <c r="L118" s="62"/>
      <c r="M118" s="62"/>
      <c r="N118" s="61"/>
      <c r="O118" s="62">
        <f t="shared" si="389"/>
        <v>3.7770000000000001</v>
      </c>
      <c r="P118" s="62">
        <f t="shared" si="304"/>
        <v>-3.665</v>
      </c>
      <c r="Q118" s="62">
        <f t="shared" si="304"/>
        <v>-7.7439999999999998</v>
      </c>
      <c r="R118" s="62">
        <f t="shared" si="304"/>
        <v>1.6529999999999996</v>
      </c>
      <c r="S118" s="62">
        <f t="shared" si="390"/>
        <v>-5.9790000000000001</v>
      </c>
      <c r="T118" s="61"/>
      <c r="U118" s="62">
        <f t="shared" si="391"/>
        <v>-0.91300000000000003</v>
      </c>
      <c r="V118" s="62">
        <f t="shared" si="305"/>
        <v>0.91300000000000003</v>
      </c>
      <c r="W118" s="62">
        <f t="shared" si="305"/>
        <v>0</v>
      </c>
      <c r="X118" s="62">
        <f t="shared" si="305"/>
        <v>-5.15</v>
      </c>
      <c r="Y118" s="62">
        <f t="shared" si="306"/>
        <v>-5.15</v>
      </c>
      <c r="Z118" s="61"/>
      <c r="AA118" s="62">
        <f t="shared" si="392"/>
        <v>2.56</v>
      </c>
      <c r="AB118" s="62">
        <f t="shared" si="307"/>
        <v>-2.56</v>
      </c>
      <c r="AC118" s="62">
        <f t="shared" si="307"/>
        <v>0</v>
      </c>
      <c r="AD118" s="62">
        <f t="shared" si="307"/>
        <v>-3.0939999999999999</v>
      </c>
      <c r="AE118" s="62">
        <f t="shared" si="308"/>
        <v>-3.0939999999999999</v>
      </c>
      <c r="AF118" s="64"/>
      <c r="AG118" s="62">
        <f t="shared" si="393"/>
        <v>0</v>
      </c>
      <c r="AH118" s="62">
        <f t="shared" si="309"/>
        <v>0</v>
      </c>
      <c r="AI118" s="62">
        <f t="shared" si="310"/>
        <v>0</v>
      </c>
      <c r="AJ118" s="62">
        <f t="shared" si="311"/>
        <v>0</v>
      </c>
      <c r="AK118" s="62">
        <f t="shared" si="312"/>
        <v>0</v>
      </c>
      <c r="AL118" s="61"/>
      <c r="AM118" s="62">
        <f t="shared" si="394"/>
        <v>0</v>
      </c>
      <c r="AN118" s="62">
        <f t="shared" si="313"/>
        <v>0</v>
      </c>
      <c r="AO118" s="62">
        <f t="shared" si="314"/>
        <v>0</v>
      </c>
      <c r="AP118" s="62">
        <f t="shared" si="315"/>
        <v>-3.6560000000000001</v>
      </c>
      <c r="AQ118" s="62">
        <f t="shared" si="316"/>
        <v>-3.6560000000000001</v>
      </c>
      <c r="AR118" s="61"/>
      <c r="AS118" s="62">
        <f t="shared" si="395"/>
        <v>0</v>
      </c>
      <c r="AT118" s="62">
        <f t="shared" si="317"/>
        <v>0</v>
      </c>
      <c r="AU118" s="62">
        <f t="shared" si="318"/>
        <v>0</v>
      </c>
      <c r="AV118" s="62">
        <f t="shared" si="319"/>
        <v>-4.2300000000000004</v>
      </c>
      <c r="AW118" s="62">
        <f t="shared" si="320"/>
        <v>-4.2300000000000004</v>
      </c>
      <c r="AX118" s="61"/>
      <c r="AY118" s="62">
        <f t="shared" si="396"/>
        <v>0</v>
      </c>
      <c r="AZ118" s="62">
        <f t="shared" si="321"/>
        <v>0</v>
      </c>
      <c r="BA118" s="62">
        <f t="shared" si="322"/>
        <v>0</v>
      </c>
      <c r="BB118" s="62">
        <f t="shared" si="323"/>
        <v>0</v>
      </c>
      <c r="BC118" s="62">
        <f t="shared" si="324"/>
        <v>0</v>
      </c>
      <c r="BD118" s="61"/>
      <c r="BE118" s="62">
        <f t="shared" si="397"/>
        <v>0</v>
      </c>
      <c r="BF118" s="62">
        <f t="shared" si="325"/>
        <v>0</v>
      </c>
      <c r="BG118" s="62">
        <f>IF(BG45="-","-",SUM(BG45)-SUM(BF45))</f>
        <v>0</v>
      </c>
      <c r="BH118" s="62">
        <f t="shared" si="327"/>
        <v>0</v>
      </c>
      <c r="BI118" s="62">
        <f t="shared" si="328"/>
        <v>0</v>
      </c>
      <c r="BJ118" s="61"/>
      <c r="BK118" s="62">
        <f t="shared" si="398"/>
        <v>0</v>
      </c>
      <c r="BL118" s="62">
        <f t="shared" si="329"/>
        <v>0</v>
      </c>
      <c r="BM118" s="62">
        <f t="shared" si="330"/>
        <v>0</v>
      </c>
      <c r="BN118" s="62">
        <f t="shared" si="331"/>
        <v>0</v>
      </c>
      <c r="BO118" s="1166">
        <f t="shared" si="332"/>
        <v>0</v>
      </c>
      <c r="BP118" s="61"/>
      <c r="BQ118" s="62">
        <f t="shared" si="399"/>
        <v>0</v>
      </c>
      <c r="BR118" s="62">
        <f t="shared" si="333"/>
        <v>0</v>
      </c>
      <c r="BS118" s="62">
        <f t="shared" si="334"/>
        <v>0</v>
      </c>
      <c r="BT118" s="62">
        <f t="shared" si="335"/>
        <v>0</v>
      </c>
      <c r="BU118" s="1166">
        <f t="shared" si="336"/>
        <v>0</v>
      </c>
      <c r="BV118" s="61"/>
      <c r="BW118" s="62">
        <f t="shared" si="400"/>
        <v>-1</v>
      </c>
      <c r="BX118" s="62">
        <f t="shared" si="337"/>
        <v>1</v>
      </c>
      <c r="BY118" s="62">
        <f t="shared" si="338"/>
        <v>0</v>
      </c>
      <c r="BZ118" s="62">
        <f t="shared" si="339"/>
        <v>0</v>
      </c>
      <c r="CA118" s="1416">
        <f t="shared" si="340"/>
        <v>0</v>
      </c>
      <c r="CB118" s="61"/>
      <c r="CC118" s="62">
        <f t="shared" si="401"/>
        <v>0</v>
      </c>
      <c r="CD118" s="62">
        <f t="shared" si="341"/>
        <v>0</v>
      </c>
      <c r="CE118" s="62">
        <f t="shared" si="342"/>
        <v>-10</v>
      </c>
      <c r="CF118" s="62">
        <f t="shared" si="343"/>
        <v>-1.4000000000000004</v>
      </c>
      <c r="CG118" s="1166">
        <f t="shared" si="344"/>
        <v>-11.4</v>
      </c>
      <c r="CH118" s="61"/>
      <c r="CI118" s="62">
        <f t="shared" si="402"/>
        <v>0</v>
      </c>
      <c r="CJ118" s="62">
        <f t="shared" si="345"/>
        <v>0</v>
      </c>
      <c r="CK118" s="62">
        <f t="shared" si="346"/>
        <v>0</v>
      </c>
      <c r="CL118" s="62">
        <f t="shared" si="347"/>
        <v>-4</v>
      </c>
      <c r="CM118" s="1166">
        <f t="shared" si="348"/>
        <v>-4</v>
      </c>
      <c r="CN118" s="61"/>
      <c r="CO118" s="62">
        <f t="shared" si="403"/>
        <v>0</v>
      </c>
      <c r="CP118" s="62">
        <f t="shared" si="349"/>
        <v>0</v>
      </c>
      <c r="CQ118" s="62">
        <f t="shared" si="350"/>
        <v>0</v>
      </c>
      <c r="CR118" s="62">
        <f t="shared" si="351"/>
        <v>0</v>
      </c>
      <c r="CS118" s="1166">
        <f t="shared" si="352"/>
        <v>0</v>
      </c>
      <c r="CT118" s="61"/>
      <c r="CU118" s="62">
        <f t="shared" si="404"/>
        <v>0</v>
      </c>
      <c r="CV118" s="62">
        <f t="shared" si="353"/>
        <v>0</v>
      </c>
      <c r="CW118" s="62">
        <f t="shared" si="354"/>
        <v>0</v>
      </c>
      <c r="CX118" s="62">
        <f t="shared" si="355"/>
        <v>0</v>
      </c>
      <c r="CY118" s="1166">
        <f t="shared" si="356"/>
        <v>0</v>
      </c>
      <c r="CZ118" s="61"/>
      <c r="DA118" s="62">
        <f t="shared" si="405"/>
        <v>0</v>
      </c>
      <c r="DB118" s="62">
        <f t="shared" si="357"/>
        <v>0</v>
      </c>
      <c r="DC118" s="62">
        <f t="shared" si="358"/>
        <v>0</v>
      </c>
      <c r="DD118" s="62">
        <f t="shared" si="359"/>
        <v>0</v>
      </c>
      <c r="DE118" s="1166">
        <f t="shared" si="360"/>
        <v>0</v>
      </c>
      <c r="DF118" s="61"/>
      <c r="DG118" s="62">
        <f t="shared" si="406"/>
        <v>0</v>
      </c>
      <c r="DH118" s="62">
        <f t="shared" si="361"/>
        <v>0</v>
      </c>
      <c r="DI118" s="62">
        <f t="shared" si="362"/>
        <v>0</v>
      </c>
      <c r="DJ118" s="62">
        <f t="shared" si="363"/>
        <v>0</v>
      </c>
      <c r="DK118" s="1166">
        <f t="shared" si="364"/>
        <v>0</v>
      </c>
      <c r="DL118" s="61"/>
      <c r="DM118" s="62">
        <f t="shared" si="407"/>
        <v>0</v>
      </c>
      <c r="DN118" s="62">
        <f t="shared" si="365"/>
        <v>0</v>
      </c>
      <c r="DO118" s="62">
        <f t="shared" si="366"/>
        <v>0</v>
      </c>
      <c r="DP118" s="62">
        <f t="shared" si="367"/>
        <v>0</v>
      </c>
      <c r="DQ118" s="1166">
        <f t="shared" si="368"/>
        <v>0</v>
      </c>
      <c r="DR118" s="61"/>
      <c r="DS118" s="62">
        <f t="shared" si="408"/>
        <v>0</v>
      </c>
      <c r="DT118" s="62">
        <f t="shared" si="369"/>
        <v>0</v>
      </c>
      <c r="DU118" s="62">
        <f t="shared" si="370"/>
        <v>0</v>
      </c>
      <c r="DV118" s="62">
        <f t="shared" si="371"/>
        <v>0</v>
      </c>
      <c r="DW118" s="1166">
        <f t="shared" si="372"/>
        <v>0</v>
      </c>
      <c r="DX118" s="61"/>
      <c r="DY118" s="62">
        <f t="shared" si="409"/>
        <v>0</v>
      </c>
      <c r="DZ118" s="62">
        <f t="shared" si="373"/>
        <v>0</v>
      </c>
      <c r="EA118" s="62">
        <f t="shared" si="374"/>
        <v>0</v>
      </c>
      <c r="EB118" s="62">
        <f t="shared" si="375"/>
        <v>0</v>
      </c>
      <c r="EC118" s="1166">
        <f t="shared" si="376"/>
        <v>0</v>
      </c>
      <c r="ED118" s="61"/>
      <c r="EE118" s="62">
        <f t="shared" si="410"/>
        <v>1.1000000000000227</v>
      </c>
      <c r="EF118" s="62">
        <f t="shared" si="377"/>
        <v>1.1000000000000227</v>
      </c>
      <c r="EG118" s="62">
        <f t="shared" si="378"/>
        <v>1.1000000000000227</v>
      </c>
      <c r="EH118" s="62">
        <f t="shared" si="379"/>
        <v>1.1000000000000227</v>
      </c>
      <c r="EI118" s="1166">
        <f t="shared" si="380"/>
        <v>4.4000000000000909</v>
      </c>
      <c r="EJ118" s="61"/>
      <c r="EK118" s="62">
        <f t="shared" si="411"/>
        <v>1.1000000000000227</v>
      </c>
      <c r="EL118" s="62">
        <f t="shared" si="381"/>
        <v>1.1000000000000227</v>
      </c>
      <c r="EM118" s="62">
        <f t="shared" si="382"/>
        <v>1.1000000000000227</v>
      </c>
      <c r="EN118" s="62">
        <f t="shared" si="383"/>
        <v>1.1000000000000227</v>
      </c>
      <c r="EO118" s="1166">
        <f t="shared" si="384"/>
        <v>4.4000000000000909</v>
      </c>
      <c r="EP118" s="61"/>
      <c r="EQ118" s="62">
        <f t="shared" si="412"/>
        <v>1.1000000000000227</v>
      </c>
      <c r="ER118" s="62">
        <f t="shared" si="385"/>
        <v>1.1000000000000227</v>
      </c>
      <c r="ES118" s="62">
        <f t="shared" si="386"/>
        <v>1.1000000000000227</v>
      </c>
      <c r="ET118" s="62">
        <f t="shared" si="387"/>
        <v>1.1000000000000227</v>
      </c>
      <c r="EU118" s="1166">
        <f t="shared" si="388"/>
        <v>4.4000000000000909</v>
      </c>
      <c r="EV118" s="45"/>
      <c r="EW118" s="45"/>
      <c r="FD118" s="45"/>
      <c r="FE118" s="45"/>
      <c r="FF118" s="45"/>
      <c r="FG118" s="45"/>
      <c r="FH118" s="45"/>
      <c r="FI118" s="45"/>
      <c r="FJ118" s="45"/>
      <c r="FK118" s="45"/>
      <c r="FL118" s="45"/>
      <c r="FM118" s="45"/>
      <c r="FN118" s="45"/>
      <c r="FO118" s="45"/>
      <c r="FP118" s="45"/>
    </row>
    <row r="119" spans="1:172">
      <c r="A119" s="41" t="s">
        <v>5231</v>
      </c>
      <c r="B119" s="42"/>
      <c r="C119" s="62"/>
      <c r="D119" s="62"/>
      <c r="E119" s="62"/>
      <c r="F119" s="62"/>
      <c r="G119" s="62"/>
      <c r="H119" s="61"/>
      <c r="I119" s="62"/>
      <c r="J119" s="62"/>
      <c r="K119" s="62"/>
      <c r="L119" s="62"/>
      <c r="M119" s="62"/>
      <c r="N119" s="61"/>
      <c r="O119" s="62">
        <f t="shared" si="389"/>
        <v>0</v>
      </c>
      <c r="P119" s="62">
        <f t="shared" si="304"/>
        <v>-69.278999999999996</v>
      </c>
      <c r="Q119" s="62">
        <f t="shared" si="304"/>
        <v>0</v>
      </c>
      <c r="R119" s="62">
        <f t="shared" si="304"/>
        <v>0</v>
      </c>
      <c r="S119" s="62">
        <f t="shared" si="390"/>
        <v>-69.278999999999996</v>
      </c>
      <c r="T119" s="61"/>
      <c r="U119" s="62">
        <f t="shared" si="391"/>
        <v>-25.641999999999999</v>
      </c>
      <c r="V119" s="62">
        <f t="shared" si="305"/>
        <v>0</v>
      </c>
      <c r="W119" s="62">
        <f t="shared" si="305"/>
        <v>0</v>
      </c>
      <c r="X119" s="62">
        <f t="shared" si="305"/>
        <v>-0.95400000000000063</v>
      </c>
      <c r="Y119" s="62">
        <f t="shared" si="306"/>
        <v>-26.596</v>
      </c>
      <c r="Z119" s="61"/>
      <c r="AA119" s="62">
        <f t="shared" si="392"/>
        <v>0</v>
      </c>
      <c r="AB119" s="62">
        <f t="shared" si="307"/>
        <v>0</v>
      </c>
      <c r="AC119" s="62">
        <f t="shared" si="307"/>
        <v>0</v>
      </c>
      <c r="AD119" s="62">
        <f t="shared" si="307"/>
        <v>0</v>
      </c>
      <c r="AE119" s="62">
        <f t="shared" si="308"/>
        <v>0</v>
      </c>
      <c r="AF119" s="64"/>
      <c r="AG119" s="62">
        <f t="shared" si="393"/>
        <v>0</v>
      </c>
      <c r="AH119" s="62">
        <f t="shared" si="309"/>
        <v>0</v>
      </c>
      <c r="AI119" s="62">
        <f t="shared" si="310"/>
        <v>-34.271000000000001</v>
      </c>
      <c r="AJ119" s="62">
        <f t="shared" si="311"/>
        <v>0</v>
      </c>
      <c r="AK119" s="62">
        <f t="shared" si="312"/>
        <v>-34.271000000000001</v>
      </c>
      <c r="AL119" s="61"/>
      <c r="AM119" s="62">
        <f t="shared" si="394"/>
        <v>-133.53100000000001</v>
      </c>
      <c r="AN119" s="62">
        <f t="shared" si="313"/>
        <v>0</v>
      </c>
      <c r="AO119" s="62">
        <f t="shared" si="314"/>
        <v>-10</v>
      </c>
      <c r="AP119" s="62">
        <f t="shared" si="315"/>
        <v>-1.6999999999999886</v>
      </c>
      <c r="AQ119" s="62">
        <f t="shared" si="316"/>
        <v>-145.23099999999999</v>
      </c>
      <c r="AR119" s="61"/>
      <c r="AS119" s="62">
        <f t="shared" si="395"/>
        <v>-5.15</v>
      </c>
      <c r="AT119" s="62">
        <f t="shared" si="317"/>
        <v>0</v>
      </c>
      <c r="AU119" s="62">
        <f t="shared" si="318"/>
        <v>0</v>
      </c>
      <c r="AV119" s="62">
        <f t="shared" si="319"/>
        <v>0</v>
      </c>
      <c r="AW119" s="62">
        <f t="shared" si="320"/>
        <v>-5.15</v>
      </c>
      <c r="AX119" s="61"/>
      <c r="AY119" s="62">
        <f t="shared" si="396"/>
        <v>-6.5</v>
      </c>
      <c r="AZ119" s="62">
        <f t="shared" si="321"/>
        <v>-5.1999999999999993</v>
      </c>
      <c r="BA119" s="62">
        <f t="shared" si="322"/>
        <v>-9.9999999999999645E-2</v>
      </c>
      <c r="BB119" s="62">
        <f t="shared" si="323"/>
        <v>0</v>
      </c>
      <c r="BC119" s="62">
        <f t="shared" si="324"/>
        <v>-11.799999999999999</v>
      </c>
      <c r="BD119" s="61"/>
      <c r="BE119" s="62">
        <f t="shared" si="397"/>
        <v>-14.6</v>
      </c>
      <c r="BF119" s="62">
        <f t="shared" si="325"/>
        <v>-28.699999999999996</v>
      </c>
      <c r="BG119" s="62">
        <f t="shared" si="326"/>
        <v>-9.3999999999999986</v>
      </c>
      <c r="BH119" s="62">
        <f t="shared" si="327"/>
        <v>-189.4</v>
      </c>
      <c r="BI119" s="62">
        <f t="shared" si="328"/>
        <v>-242.1</v>
      </c>
      <c r="BJ119" s="61"/>
      <c r="BK119" s="62">
        <f t="shared" si="398"/>
        <v>-43.5</v>
      </c>
      <c r="BL119" s="62">
        <f t="shared" si="329"/>
        <v>0</v>
      </c>
      <c r="BM119" s="62">
        <f t="shared" si="330"/>
        <v>-9</v>
      </c>
      <c r="BN119" s="62">
        <f t="shared" si="331"/>
        <v>0</v>
      </c>
      <c r="BO119" s="1166">
        <f t="shared" si="332"/>
        <v>-52.5</v>
      </c>
      <c r="BP119" s="61"/>
      <c r="BQ119" s="62">
        <f t="shared" si="399"/>
        <v>0</v>
      </c>
      <c r="BR119" s="62">
        <f t="shared" si="333"/>
        <v>-21.3</v>
      </c>
      <c r="BS119" s="62">
        <f t="shared" si="334"/>
        <v>-44.7</v>
      </c>
      <c r="BT119" s="62">
        <f t="shared" si="335"/>
        <v>-48.5</v>
      </c>
      <c r="BU119" s="1166">
        <f t="shared" si="336"/>
        <v>-114.5</v>
      </c>
      <c r="BV119" s="61"/>
      <c r="BW119" s="62">
        <f t="shared" si="400"/>
        <v>0.2</v>
      </c>
      <c r="BX119" s="62">
        <f t="shared" si="337"/>
        <v>-264.09999999999997</v>
      </c>
      <c r="BY119" s="62">
        <f t="shared" si="338"/>
        <v>-33.400000000000034</v>
      </c>
      <c r="BZ119" s="62">
        <f t="shared" si="339"/>
        <v>-67.199999999999989</v>
      </c>
      <c r="CA119" s="1416">
        <f t="shared" si="340"/>
        <v>-364.5</v>
      </c>
      <c r="CB119" s="61"/>
      <c r="CC119" s="62">
        <f t="shared" si="401"/>
        <v>-10</v>
      </c>
      <c r="CD119" s="62">
        <f t="shared" si="341"/>
        <v>0</v>
      </c>
      <c r="CE119" s="62">
        <f t="shared" si="342"/>
        <v>6.4</v>
      </c>
      <c r="CF119" s="62">
        <f t="shared" si="343"/>
        <v>-15.200000000000001</v>
      </c>
      <c r="CG119" s="1166">
        <f t="shared" si="344"/>
        <v>-18.8</v>
      </c>
      <c r="CH119" s="61"/>
      <c r="CI119" s="62">
        <f t="shared" si="402"/>
        <v>0</v>
      </c>
      <c r="CJ119" s="62">
        <f t="shared" si="345"/>
        <v>-9</v>
      </c>
      <c r="CK119" s="62">
        <f t="shared" si="346"/>
        <v>0.5</v>
      </c>
      <c r="CL119" s="62">
        <f t="shared" si="347"/>
        <v>-5</v>
      </c>
      <c r="CM119" s="1166">
        <f t="shared" si="348"/>
        <v>-13.5</v>
      </c>
      <c r="CN119" s="61"/>
      <c r="CO119" s="62">
        <f t="shared" si="403"/>
        <v>-76.2</v>
      </c>
      <c r="CP119" s="62">
        <f t="shared" si="349"/>
        <v>-18.200000000000003</v>
      </c>
      <c r="CQ119" s="62">
        <f t="shared" si="350"/>
        <v>-88.299999999999983</v>
      </c>
      <c r="CR119" s="62">
        <f t="shared" si="351"/>
        <v>-39</v>
      </c>
      <c r="CS119" s="1166">
        <f t="shared" si="352"/>
        <v>-221.7</v>
      </c>
      <c r="CT119" s="61"/>
      <c r="CU119" s="62">
        <f t="shared" si="404"/>
        <v>0</v>
      </c>
      <c r="CV119" s="62">
        <f t="shared" si="353"/>
        <v>-69.2</v>
      </c>
      <c r="CW119" s="62">
        <f t="shared" si="354"/>
        <v>-135</v>
      </c>
      <c r="CX119" s="62">
        <f t="shared" si="355"/>
        <v>-59.5</v>
      </c>
      <c r="CY119" s="1166">
        <f t="shared" si="356"/>
        <v>-263.7</v>
      </c>
      <c r="CZ119" s="61"/>
      <c r="DA119" s="62">
        <f t="shared" si="405"/>
        <v>-34.700000000000003</v>
      </c>
      <c r="DB119" s="62">
        <f t="shared" si="357"/>
        <v>-12.5</v>
      </c>
      <c r="DC119" s="62">
        <f t="shared" si="358"/>
        <v>-20.799999999999997</v>
      </c>
      <c r="DD119" s="62">
        <f t="shared" si="359"/>
        <v>-108.1</v>
      </c>
      <c r="DE119" s="1166">
        <f t="shared" si="360"/>
        <v>-176.1</v>
      </c>
      <c r="DF119" s="61"/>
      <c r="DG119" s="62">
        <f t="shared" si="406"/>
        <v>-322.3</v>
      </c>
      <c r="DH119" s="62">
        <f t="shared" si="361"/>
        <v>-225.99999999999994</v>
      </c>
      <c r="DI119" s="62">
        <f t="shared" si="362"/>
        <v>-55.5</v>
      </c>
      <c r="DJ119" s="62">
        <f t="shared" si="363"/>
        <v>-26.200000000000045</v>
      </c>
      <c r="DK119" s="1166">
        <f t="shared" si="364"/>
        <v>-630</v>
      </c>
      <c r="DL119" s="61"/>
      <c r="DM119" s="62">
        <f t="shared" si="407"/>
        <v>-34.5</v>
      </c>
      <c r="DN119" s="62">
        <f t="shared" si="365"/>
        <v>-3</v>
      </c>
      <c r="DO119" s="62">
        <f t="shared" si="366"/>
        <v>-67.099999999999994</v>
      </c>
      <c r="DP119" s="62">
        <f t="shared" si="367"/>
        <v>-43.900000000000006</v>
      </c>
      <c r="DQ119" s="1166">
        <f t="shared" si="368"/>
        <v>-148.5</v>
      </c>
      <c r="DR119" s="61"/>
      <c r="DS119" s="62">
        <f t="shared" si="408"/>
        <v>-59.6</v>
      </c>
      <c r="DT119" s="62">
        <f t="shared" si="369"/>
        <v>-25.6</v>
      </c>
      <c r="DU119" s="62">
        <f t="shared" si="370"/>
        <v>0</v>
      </c>
      <c r="DV119" s="62">
        <f t="shared" si="371"/>
        <v>0</v>
      </c>
      <c r="DW119" s="1166">
        <f t="shared" si="372"/>
        <v>-85.2</v>
      </c>
      <c r="DX119" s="61"/>
      <c r="DY119" s="62">
        <f t="shared" si="409"/>
        <v>0</v>
      </c>
      <c r="DZ119" s="62">
        <f t="shared" si="373"/>
        <v>0</v>
      </c>
      <c r="EA119" s="62">
        <f t="shared" si="374"/>
        <v>0</v>
      </c>
      <c r="EB119" s="62">
        <f t="shared" si="375"/>
        <v>0</v>
      </c>
      <c r="EC119" s="1166">
        <f t="shared" si="376"/>
        <v>0</v>
      </c>
      <c r="ED119" s="61"/>
      <c r="EE119" s="62">
        <f t="shared" si="410"/>
        <v>0</v>
      </c>
      <c r="EF119" s="62">
        <f t="shared" si="377"/>
        <v>0</v>
      </c>
      <c r="EG119" s="62">
        <f t="shared" si="378"/>
        <v>0</v>
      </c>
      <c r="EH119" s="62">
        <f t="shared" si="379"/>
        <v>0</v>
      </c>
      <c r="EI119" s="1166">
        <f t="shared" si="380"/>
        <v>0</v>
      </c>
      <c r="EJ119" s="61"/>
      <c r="EK119" s="62">
        <f t="shared" si="411"/>
        <v>0</v>
      </c>
      <c r="EL119" s="62">
        <f t="shared" si="381"/>
        <v>0</v>
      </c>
      <c r="EM119" s="62">
        <f t="shared" si="382"/>
        <v>0</v>
      </c>
      <c r="EN119" s="62">
        <f t="shared" si="383"/>
        <v>0</v>
      </c>
      <c r="EO119" s="1166">
        <f t="shared" si="384"/>
        <v>0</v>
      </c>
      <c r="EP119" s="61"/>
      <c r="EQ119" s="62">
        <f t="shared" si="412"/>
        <v>0</v>
      </c>
      <c r="ER119" s="62">
        <f t="shared" si="385"/>
        <v>0</v>
      </c>
      <c r="ES119" s="62">
        <f t="shared" si="386"/>
        <v>0</v>
      </c>
      <c r="ET119" s="62">
        <f t="shared" si="387"/>
        <v>0</v>
      </c>
      <c r="EU119" s="1166">
        <f t="shared" si="388"/>
        <v>0</v>
      </c>
      <c r="EV119" s="45"/>
      <c r="EW119" s="45"/>
      <c r="FD119" s="45"/>
      <c r="FE119" s="45"/>
      <c r="FF119" s="45"/>
      <c r="FG119" s="45"/>
      <c r="FH119" s="45"/>
      <c r="FI119" s="45"/>
      <c r="FJ119" s="45"/>
      <c r="FK119" s="45"/>
      <c r="FL119" s="45"/>
      <c r="FM119" s="45"/>
      <c r="FN119" s="45"/>
      <c r="FO119" s="45"/>
      <c r="FP119" s="45"/>
    </row>
    <row r="120" spans="1:172" hidden="1">
      <c r="A120" s="41" t="s">
        <v>5572</v>
      </c>
      <c r="B120" s="42"/>
      <c r="C120" s="62"/>
      <c r="D120" s="62"/>
      <c r="E120" s="62"/>
      <c r="F120" s="62"/>
      <c r="G120" s="62"/>
      <c r="H120" s="61"/>
      <c r="I120" s="62"/>
      <c r="J120" s="62"/>
      <c r="K120" s="62"/>
      <c r="L120" s="62"/>
      <c r="M120" s="62"/>
      <c r="N120" s="61"/>
      <c r="O120" s="62">
        <f t="shared" si="389"/>
        <v>0</v>
      </c>
      <c r="P120" s="62">
        <f t="shared" si="304"/>
        <v>0</v>
      </c>
      <c r="Q120" s="62">
        <f t="shared" si="304"/>
        <v>0</v>
      </c>
      <c r="R120" s="62">
        <f t="shared" si="304"/>
        <v>0</v>
      </c>
      <c r="S120" s="62">
        <f t="shared" si="390"/>
        <v>0</v>
      </c>
      <c r="T120" s="61"/>
      <c r="U120" s="62">
        <f t="shared" si="391"/>
        <v>0</v>
      </c>
      <c r="V120" s="62">
        <f t="shared" si="305"/>
        <v>0</v>
      </c>
      <c r="W120" s="62">
        <f t="shared" si="305"/>
        <v>0</v>
      </c>
      <c r="X120" s="62">
        <f t="shared" si="305"/>
        <v>0</v>
      </c>
      <c r="Y120" s="62">
        <f t="shared" si="306"/>
        <v>0</v>
      </c>
      <c r="Z120" s="61"/>
      <c r="AA120" s="62">
        <f t="shared" si="392"/>
        <v>-19.5</v>
      </c>
      <c r="AB120" s="62">
        <f t="shared" si="307"/>
        <v>-3.3000000000000007</v>
      </c>
      <c r="AC120" s="62">
        <f t="shared" si="307"/>
        <v>-1</v>
      </c>
      <c r="AD120" s="62">
        <f t="shared" si="307"/>
        <v>-1.9989999999999988</v>
      </c>
      <c r="AE120" s="62">
        <f t="shared" si="308"/>
        <v>-25.798999999999999</v>
      </c>
      <c r="AF120" s="64"/>
      <c r="AG120" s="62">
        <f t="shared" si="393"/>
        <v>0</v>
      </c>
      <c r="AH120" s="62">
        <f t="shared" si="309"/>
        <v>0</v>
      </c>
      <c r="AI120" s="62">
        <f t="shared" si="310"/>
        <v>0</v>
      </c>
      <c r="AJ120" s="62">
        <f t="shared" si="311"/>
        <v>0</v>
      </c>
      <c r="AK120" s="62">
        <f t="shared" si="312"/>
        <v>0</v>
      </c>
      <c r="AL120" s="61"/>
      <c r="AM120" s="62">
        <f t="shared" si="394"/>
        <v>0</v>
      </c>
      <c r="AN120" s="62">
        <f t="shared" si="313"/>
        <v>0</v>
      </c>
      <c r="AO120" s="62">
        <f t="shared" si="314"/>
        <v>0</v>
      </c>
      <c r="AP120" s="62">
        <f t="shared" si="315"/>
        <v>0</v>
      </c>
      <c r="AQ120" s="62">
        <f t="shared" si="316"/>
        <v>0</v>
      </c>
      <c r="AR120" s="61"/>
      <c r="AS120" s="62">
        <f t="shared" si="395"/>
        <v>0</v>
      </c>
      <c r="AT120" s="62">
        <f t="shared" si="317"/>
        <v>0</v>
      </c>
      <c r="AU120" s="62">
        <f t="shared" si="318"/>
        <v>0</v>
      </c>
      <c r="AV120" s="62">
        <f t="shared" si="319"/>
        <v>0</v>
      </c>
      <c r="AW120" s="62">
        <f t="shared" si="320"/>
        <v>0</v>
      </c>
      <c r="AX120" s="61"/>
      <c r="AY120" s="62">
        <f t="shared" si="396"/>
        <v>0</v>
      </c>
      <c r="AZ120" s="62">
        <f t="shared" si="321"/>
        <v>0</v>
      </c>
      <c r="BA120" s="62">
        <f t="shared" si="322"/>
        <v>0</v>
      </c>
      <c r="BB120" s="62">
        <f t="shared" si="323"/>
        <v>0</v>
      </c>
      <c r="BC120" s="62">
        <f t="shared" si="324"/>
        <v>0</v>
      </c>
      <c r="BD120" s="61"/>
      <c r="BE120" s="62">
        <f t="shared" si="397"/>
        <v>0</v>
      </c>
      <c r="BF120" s="62">
        <f t="shared" si="325"/>
        <v>0</v>
      </c>
      <c r="BG120" s="62">
        <f t="shared" si="326"/>
        <v>0</v>
      </c>
      <c r="BH120" s="62">
        <f t="shared" si="327"/>
        <v>0</v>
      </c>
      <c r="BI120" s="62">
        <f t="shared" si="328"/>
        <v>0</v>
      </c>
      <c r="BJ120" s="61"/>
      <c r="BK120" s="62">
        <f t="shared" si="398"/>
        <v>0</v>
      </c>
      <c r="BL120" s="62">
        <f t="shared" si="329"/>
        <v>0</v>
      </c>
      <c r="BM120" s="62">
        <f t="shared" si="330"/>
        <v>0</v>
      </c>
      <c r="BN120" s="62">
        <f t="shared" si="331"/>
        <v>0</v>
      </c>
      <c r="BO120" s="1166">
        <f t="shared" si="332"/>
        <v>0</v>
      </c>
      <c r="BP120" s="61"/>
      <c r="BQ120" s="62">
        <f t="shared" si="399"/>
        <v>0</v>
      </c>
      <c r="BR120" s="62">
        <f t="shared" si="333"/>
        <v>0</v>
      </c>
      <c r="BS120" s="62">
        <f t="shared" si="334"/>
        <v>0</v>
      </c>
      <c r="BT120" s="62">
        <f t="shared" si="335"/>
        <v>0</v>
      </c>
      <c r="BU120" s="1166">
        <f t="shared" si="336"/>
        <v>0</v>
      </c>
      <c r="BV120" s="61"/>
      <c r="BW120" s="62">
        <f t="shared" si="400"/>
        <v>0</v>
      </c>
      <c r="BX120" s="62">
        <f t="shared" si="337"/>
        <v>0</v>
      </c>
      <c r="BY120" s="62">
        <f t="shared" si="338"/>
        <v>0</v>
      </c>
      <c r="BZ120" s="62">
        <f t="shared" si="339"/>
        <v>0</v>
      </c>
      <c r="CA120" s="1166">
        <f t="shared" si="340"/>
        <v>0</v>
      </c>
      <c r="CB120" s="61"/>
      <c r="CC120" s="62">
        <f t="shared" si="401"/>
        <v>0</v>
      </c>
      <c r="CD120" s="62">
        <f t="shared" si="341"/>
        <v>0</v>
      </c>
      <c r="CE120" s="62">
        <f t="shared" si="342"/>
        <v>0</v>
      </c>
      <c r="CF120" s="62">
        <f t="shared" si="343"/>
        <v>0</v>
      </c>
      <c r="CG120" s="1166">
        <f t="shared" si="344"/>
        <v>0</v>
      </c>
      <c r="CH120" s="61"/>
      <c r="CI120" s="62">
        <f t="shared" si="402"/>
        <v>0</v>
      </c>
      <c r="CJ120" s="62">
        <f t="shared" si="345"/>
        <v>0</v>
      </c>
      <c r="CK120" s="62">
        <f t="shared" si="346"/>
        <v>-3.5</v>
      </c>
      <c r="CL120" s="62">
        <f t="shared" si="347"/>
        <v>3.5</v>
      </c>
      <c r="CM120" s="1166">
        <f t="shared" si="348"/>
        <v>0</v>
      </c>
      <c r="CN120" s="61"/>
      <c r="CO120" s="62">
        <f t="shared" si="403"/>
        <v>0</v>
      </c>
      <c r="CP120" s="62">
        <f t="shared" si="349"/>
        <v>0</v>
      </c>
      <c r="CQ120" s="62">
        <f t="shared" si="350"/>
        <v>0</v>
      </c>
      <c r="CR120" s="62">
        <f t="shared" si="351"/>
        <v>0</v>
      </c>
      <c r="CS120" s="1166">
        <f t="shared" si="352"/>
        <v>0</v>
      </c>
      <c r="CT120" s="61"/>
      <c r="CU120" s="62">
        <f t="shared" si="404"/>
        <v>0</v>
      </c>
      <c r="CV120" s="62">
        <f t="shared" si="353"/>
        <v>0</v>
      </c>
      <c r="CW120" s="62">
        <f t="shared" si="354"/>
        <v>0</v>
      </c>
      <c r="CX120" s="62">
        <f t="shared" si="355"/>
        <v>0</v>
      </c>
      <c r="CY120" s="1166">
        <f t="shared" si="356"/>
        <v>0</v>
      </c>
      <c r="CZ120" s="61"/>
      <c r="DA120" s="62">
        <f t="shared" si="405"/>
        <v>0</v>
      </c>
      <c r="DB120" s="62">
        <f t="shared" si="357"/>
        <v>0</v>
      </c>
      <c r="DC120" s="62">
        <f t="shared" si="358"/>
        <v>0</v>
      </c>
      <c r="DD120" s="62">
        <f t="shared" si="359"/>
        <v>0</v>
      </c>
      <c r="DE120" s="1166">
        <f t="shared" si="360"/>
        <v>0</v>
      </c>
      <c r="DF120" s="61"/>
      <c r="DG120" s="62">
        <f t="shared" si="406"/>
        <v>0</v>
      </c>
      <c r="DH120" s="62">
        <f t="shared" si="361"/>
        <v>0</v>
      </c>
      <c r="DI120" s="62">
        <f t="shared" si="362"/>
        <v>0</v>
      </c>
      <c r="DJ120" s="62">
        <f t="shared" si="363"/>
        <v>0</v>
      </c>
      <c r="DK120" s="1166">
        <f t="shared" si="364"/>
        <v>0</v>
      </c>
      <c r="DL120" s="61"/>
      <c r="DM120" s="62">
        <f t="shared" si="407"/>
        <v>0</v>
      </c>
      <c r="DN120" s="62">
        <f t="shared" si="365"/>
        <v>0</v>
      </c>
      <c r="DO120" s="62">
        <f t="shared" si="366"/>
        <v>0</v>
      </c>
      <c r="DP120" s="62">
        <f t="shared" si="367"/>
        <v>0</v>
      </c>
      <c r="DQ120" s="1166">
        <f t="shared" si="368"/>
        <v>0</v>
      </c>
      <c r="DR120" s="61"/>
      <c r="DS120" s="62">
        <f t="shared" si="408"/>
        <v>0</v>
      </c>
      <c r="DT120" s="62">
        <f t="shared" si="369"/>
        <v>0</v>
      </c>
      <c r="DU120" s="62">
        <f t="shared" si="370"/>
        <v>0</v>
      </c>
      <c r="DV120" s="62">
        <f t="shared" si="371"/>
        <v>0</v>
      </c>
      <c r="DW120" s="1166">
        <f t="shared" si="372"/>
        <v>0</v>
      </c>
      <c r="DX120" s="61"/>
      <c r="DY120" s="62">
        <f t="shared" si="409"/>
        <v>0</v>
      </c>
      <c r="DZ120" s="62">
        <f t="shared" si="373"/>
        <v>0</v>
      </c>
      <c r="EA120" s="62">
        <f t="shared" si="374"/>
        <v>0</v>
      </c>
      <c r="EB120" s="62">
        <f t="shared" si="375"/>
        <v>0</v>
      </c>
      <c r="EC120" s="1166">
        <f t="shared" si="376"/>
        <v>0</v>
      </c>
      <c r="ED120" s="61"/>
      <c r="EE120" s="62">
        <f t="shared" si="410"/>
        <v>0</v>
      </c>
      <c r="EF120" s="62">
        <f t="shared" si="377"/>
        <v>0</v>
      </c>
      <c r="EG120" s="62">
        <f t="shared" si="378"/>
        <v>0</v>
      </c>
      <c r="EH120" s="62">
        <f t="shared" si="379"/>
        <v>0</v>
      </c>
      <c r="EI120" s="1166">
        <f t="shared" si="380"/>
        <v>0</v>
      </c>
      <c r="EJ120" s="61"/>
      <c r="EK120" s="62">
        <f t="shared" si="411"/>
        <v>0</v>
      </c>
      <c r="EL120" s="62">
        <f t="shared" si="381"/>
        <v>0</v>
      </c>
      <c r="EM120" s="62">
        <f t="shared" si="382"/>
        <v>0</v>
      </c>
      <c r="EN120" s="62">
        <f t="shared" si="383"/>
        <v>0</v>
      </c>
      <c r="EO120" s="1166">
        <f t="shared" si="384"/>
        <v>0</v>
      </c>
      <c r="EP120" s="61"/>
      <c r="EQ120" s="62">
        <f t="shared" si="412"/>
        <v>0</v>
      </c>
      <c r="ER120" s="62">
        <f t="shared" si="385"/>
        <v>0</v>
      </c>
      <c r="ES120" s="62">
        <f t="shared" si="386"/>
        <v>0</v>
      </c>
      <c r="ET120" s="62">
        <f t="shared" si="387"/>
        <v>0</v>
      </c>
      <c r="EU120" s="1166">
        <f t="shared" si="388"/>
        <v>0</v>
      </c>
      <c r="EV120" s="45"/>
      <c r="EW120" s="45"/>
      <c r="FD120" s="45"/>
      <c r="FE120" s="45"/>
      <c r="FF120" s="45"/>
      <c r="FG120" s="45"/>
      <c r="FH120" s="45"/>
      <c r="FI120" s="45"/>
      <c r="FJ120" s="45"/>
      <c r="FK120" s="45"/>
      <c r="FL120" s="45"/>
      <c r="FM120" s="45"/>
      <c r="FN120" s="45"/>
      <c r="FO120" s="45"/>
      <c r="FP120" s="45"/>
    </row>
    <row r="121" spans="1:172" hidden="1">
      <c r="A121" s="41" t="s">
        <v>6431</v>
      </c>
      <c r="B121" s="42"/>
      <c r="C121" s="62"/>
      <c r="D121" s="62"/>
      <c r="E121" s="62"/>
      <c r="F121" s="62"/>
      <c r="G121" s="62"/>
      <c r="H121" s="61"/>
      <c r="I121" s="62"/>
      <c r="J121" s="62"/>
      <c r="K121" s="62"/>
      <c r="L121" s="62"/>
      <c r="M121" s="62"/>
      <c r="N121" s="61"/>
      <c r="O121" s="62">
        <f t="shared" si="389"/>
        <v>0</v>
      </c>
      <c r="P121" s="62">
        <f t="shared" si="304"/>
        <v>0</v>
      </c>
      <c r="Q121" s="62">
        <f t="shared" si="304"/>
        <v>0</v>
      </c>
      <c r="R121" s="62">
        <f t="shared" si="304"/>
        <v>2.7189999999999999</v>
      </c>
      <c r="S121" s="62">
        <f t="shared" si="390"/>
        <v>2.7189999999999999</v>
      </c>
      <c r="T121" s="61"/>
      <c r="U121" s="62">
        <f t="shared" si="391"/>
        <v>0</v>
      </c>
      <c r="V121" s="62">
        <f t="shared" si="305"/>
        <v>0</v>
      </c>
      <c r="W121" s="62">
        <f t="shared" si="305"/>
        <v>0</v>
      </c>
      <c r="X121" s="62">
        <f t="shared" si="305"/>
        <v>5.5869999999999997</v>
      </c>
      <c r="Y121" s="62">
        <f t="shared" si="306"/>
        <v>5.5869999999999997</v>
      </c>
      <c r="Z121" s="61"/>
      <c r="AA121" s="62">
        <f t="shared" si="392"/>
        <v>0</v>
      </c>
      <c r="AB121" s="62">
        <f t="shared" si="307"/>
        <v>0</v>
      </c>
      <c r="AC121" s="62">
        <f t="shared" si="307"/>
        <v>0</v>
      </c>
      <c r="AD121" s="62">
        <f t="shared" si="307"/>
        <v>0</v>
      </c>
      <c r="AE121" s="62">
        <f t="shared" si="308"/>
        <v>0</v>
      </c>
      <c r="AF121" s="64"/>
      <c r="AG121" s="62">
        <f t="shared" si="393"/>
        <v>0</v>
      </c>
      <c r="AH121" s="62">
        <f t="shared" si="309"/>
        <v>0</v>
      </c>
      <c r="AI121" s="62">
        <f t="shared" si="310"/>
        <v>0</v>
      </c>
      <c r="AJ121" s="62">
        <f t="shared" si="311"/>
        <v>0</v>
      </c>
      <c r="AK121" s="62">
        <f t="shared" si="312"/>
        <v>0</v>
      </c>
      <c r="AL121" s="61"/>
      <c r="AM121" s="62">
        <f t="shared" si="394"/>
        <v>0</v>
      </c>
      <c r="AN121" s="62">
        <f t="shared" si="313"/>
        <v>0</v>
      </c>
      <c r="AO121" s="62">
        <f t="shared" si="314"/>
        <v>0</v>
      </c>
      <c r="AP121" s="62">
        <f t="shared" si="315"/>
        <v>0</v>
      </c>
      <c r="AQ121" s="62">
        <f t="shared" si="316"/>
        <v>0</v>
      </c>
      <c r="AR121" s="61"/>
      <c r="AS121" s="62">
        <f t="shared" si="395"/>
        <v>0</v>
      </c>
      <c r="AT121" s="62">
        <f t="shared" si="317"/>
        <v>0</v>
      </c>
      <c r="AU121" s="62">
        <f t="shared" si="318"/>
        <v>0</v>
      </c>
      <c r="AV121" s="62">
        <f t="shared" si="319"/>
        <v>0</v>
      </c>
      <c r="AW121" s="62">
        <f t="shared" si="320"/>
        <v>0</v>
      </c>
      <c r="AX121" s="61"/>
      <c r="AY121" s="62">
        <f t="shared" si="396"/>
        <v>0</v>
      </c>
      <c r="AZ121" s="62">
        <f t="shared" si="321"/>
        <v>0</v>
      </c>
      <c r="BA121" s="62">
        <f t="shared" si="322"/>
        <v>0</v>
      </c>
      <c r="BB121" s="62">
        <f t="shared" si="323"/>
        <v>0</v>
      </c>
      <c r="BC121" s="62">
        <f t="shared" si="324"/>
        <v>0</v>
      </c>
      <c r="BD121" s="61"/>
      <c r="BE121" s="62">
        <f t="shared" si="397"/>
        <v>0</v>
      </c>
      <c r="BF121" s="62">
        <f t="shared" si="325"/>
        <v>0</v>
      </c>
      <c r="BG121" s="62">
        <f t="shared" si="326"/>
        <v>0</v>
      </c>
      <c r="BH121" s="62">
        <f t="shared" si="327"/>
        <v>0</v>
      </c>
      <c r="BI121" s="62">
        <f t="shared" si="328"/>
        <v>0</v>
      </c>
      <c r="BJ121" s="61"/>
      <c r="BK121" s="62">
        <f t="shared" si="398"/>
        <v>0</v>
      </c>
      <c r="BL121" s="62">
        <f t="shared" si="329"/>
        <v>0</v>
      </c>
      <c r="BM121" s="62">
        <f t="shared" si="330"/>
        <v>0</v>
      </c>
      <c r="BN121" s="62">
        <f t="shared" si="331"/>
        <v>0</v>
      </c>
      <c r="BO121" s="1166">
        <f t="shared" si="332"/>
        <v>0</v>
      </c>
      <c r="BP121" s="61"/>
      <c r="BQ121" s="62">
        <f t="shared" si="399"/>
        <v>0</v>
      </c>
      <c r="BR121" s="62">
        <f t="shared" si="333"/>
        <v>0</v>
      </c>
      <c r="BS121" s="62">
        <f t="shared" si="334"/>
        <v>0</v>
      </c>
      <c r="BT121" s="62">
        <f t="shared" si="335"/>
        <v>0</v>
      </c>
      <c r="BU121" s="1166">
        <f t="shared" si="336"/>
        <v>0</v>
      </c>
      <c r="BV121" s="61"/>
      <c r="BW121" s="62">
        <f t="shared" si="400"/>
        <v>0</v>
      </c>
      <c r="BX121" s="62">
        <f t="shared" si="337"/>
        <v>0</v>
      </c>
      <c r="BY121" s="62">
        <f t="shared" si="338"/>
        <v>0</v>
      </c>
      <c r="BZ121" s="62">
        <f t="shared" si="339"/>
        <v>0</v>
      </c>
      <c r="CA121" s="1166">
        <f t="shared" si="340"/>
        <v>0</v>
      </c>
      <c r="CB121" s="61"/>
      <c r="CC121" s="62">
        <f t="shared" si="401"/>
        <v>0</v>
      </c>
      <c r="CD121" s="62">
        <f t="shared" si="341"/>
        <v>0</v>
      </c>
      <c r="CE121" s="62">
        <f t="shared" si="342"/>
        <v>0</v>
      </c>
      <c r="CF121" s="62">
        <f t="shared" si="343"/>
        <v>0</v>
      </c>
      <c r="CG121" s="1166">
        <f t="shared" si="344"/>
        <v>0</v>
      </c>
      <c r="CH121" s="61"/>
      <c r="CI121" s="62">
        <f t="shared" si="402"/>
        <v>0</v>
      </c>
      <c r="CJ121" s="62">
        <f t="shared" si="345"/>
        <v>0</v>
      </c>
      <c r="CK121" s="62">
        <f t="shared" si="346"/>
        <v>0</v>
      </c>
      <c r="CL121" s="62">
        <f t="shared" si="347"/>
        <v>0</v>
      </c>
      <c r="CM121" s="1166">
        <f t="shared" si="348"/>
        <v>0</v>
      </c>
      <c r="CN121" s="61"/>
      <c r="CO121" s="62">
        <f t="shared" si="403"/>
        <v>0</v>
      </c>
      <c r="CP121" s="62">
        <f t="shared" si="349"/>
        <v>0</v>
      </c>
      <c r="CQ121" s="62">
        <f t="shared" si="350"/>
        <v>0</v>
      </c>
      <c r="CR121" s="62">
        <f t="shared" si="351"/>
        <v>0</v>
      </c>
      <c r="CS121" s="1166">
        <f t="shared" si="352"/>
        <v>0</v>
      </c>
      <c r="CT121" s="61"/>
      <c r="CU121" s="62">
        <f t="shared" si="404"/>
        <v>0</v>
      </c>
      <c r="CV121" s="62">
        <f t="shared" si="353"/>
        <v>0</v>
      </c>
      <c r="CW121" s="62">
        <f t="shared" si="354"/>
        <v>0</v>
      </c>
      <c r="CX121" s="62">
        <f t="shared" si="355"/>
        <v>0</v>
      </c>
      <c r="CY121" s="1166">
        <f t="shared" si="356"/>
        <v>0</v>
      </c>
      <c r="CZ121" s="61"/>
      <c r="DA121" s="62">
        <f t="shared" si="405"/>
        <v>0</v>
      </c>
      <c r="DB121" s="62">
        <f t="shared" si="357"/>
        <v>0</v>
      </c>
      <c r="DC121" s="62">
        <f t="shared" si="358"/>
        <v>0</v>
      </c>
      <c r="DD121" s="62">
        <f t="shared" si="359"/>
        <v>0</v>
      </c>
      <c r="DE121" s="1166">
        <f t="shared" si="360"/>
        <v>0</v>
      </c>
      <c r="DF121" s="61"/>
      <c r="DG121" s="62">
        <f t="shared" si="406"/>
        <v>0</v>
      </c>
      <c r="DH121" s="62">
        <f t="shared" si="361"/>
        <v>0</v>
      </c>
      <c r="DI121" s="62">
        <f t="shared" si="362"/>
        <v>0</v>
      </c>
      <c r="DJ121" s="62">
        <f t="shared" si="363"/>
        <v>0</v>
      </c>
      <c r="DK121" s="1166">
        <f t="shared" si="364"/>
        <v>0</v>
      </c>
      <c r="DL121" s="61"/>
      <c r="DM121" s="62">
        <f t="shared" si="407"/>
        <v>0</v>
      </c>
      <c r="DN121" s="62">
        <f t="shared" si="365"/>
        <v>0</v>
      </c>
      <c r="DO121" s="62">
        <f t="shared" si="366"/>
        <v>0</v>
      </c>
      <c r="DP121" s="62">
        <f t="shared" si="367"/>
        <v>0</v>
      </c>
      <c r="DQ121" s="1166">
        <f t="shared" si="368"/>
        <v>0</v>
      </c>
      <c r="DR121" s="61"/>
      <c r="DS121" s="62">
        <f t="shared" si="408"/>
        <v>0</v>
      </c>
      <c r="DT121" s="62">
        <f t="shared" si="369"/>
        <v>0</v>
      </c>
      <c r="DU121" s="62">
        <f t="shared" si="370"/>
        <v>0</v>
      </c>
      <c r="DV121" s="62">
        <f t="shared" si="371"/>
        <v>0</v>
      </c>
      <c r="DW121" s="1166">
        <f t="shared" si="372"/>
        <v>0</v>
      </c>
      <c r="DX121" s="61"/>
      <c r="DY121" s="62">
        <f t="shared" si="409"/>
        <v>0</v>
      </c>
      <c r="DZ121" s="62">
        <f t="shared" si="373"/>
        <v>0</v>
      </c>
      <c r="EA121" s="62">
        <f t="shared" si="374"/>
        <v>0</v>
      </c>
      <c r="EB121" s="62">
        <f t="shared" si="375"/>
        <v>0</v>
      </c>
      <c r="EC121" s="1166">
        <f t="shared" si="376"/>
        <v>0</v>
      </c>
      <c r="ED121" s="61"/>
      <c r="EE121" s="62">
        <f t="shared" si="410"/>
        <v>0</v>
      </c>
      <c r="EF121" s="62">
        <f t="shared" si="377"/>
        <v>0</v>
      </c>
      <c r="EG121" s="62">
        <f t="shared" si="378"/>
        <v>0</v>
      </c>
      <c r="EH121" s="62">
        <f t="shared" si="379"/>
        <v>0</v>
      </c>
      <c r="EI121" s="1166">
        <f t="shared" si="380"/>
        <v>0</v>
      </c>
      <c r="EJ121" s="61"/>
      <c r="EK121" s="62">
        <f t="shared" si="411"/>
        <v>0</v>
      </c>
      <c r="EL121" s="62">
        <f t="shared" si="381"/>
        <v>0</v>
      </c>
      <c r="EM121" s="62">
        <f t="shared" si="382"/>
        <v>0</v>
      </c>
      <c r="EN121" s="62">
        <f t="shared" si="383"/>
        <v>0</v>
      </c>
      <c r="EO121" s="1166">
        <f t="shared" si="384"/>
        <v>0</v>
      </c>
      <c r="EP121" s="61"/>
      <c r="EQ121" s="62">
        <f t="shared" si="412"/>
        <v>0</v>
      </c>
      <c r="ER121" s="62">
        <f t="shared" si="385"/>
        <v>0</v>
      </c>
      <c r="ES121" s="62">
        <f t="shared" si="386"/>
        <v>0</v>
      </c>
      <c r="ET121" s="62">
        <f t="shared" si="387"/>
        <v>0</v>
      </c>
      <c r="EU121" s="1166">
        <f t="shared" si="388"/>
        <v>0</v>
      </c>
      <c r="EV121" s="45"/>
      <c r="EW121" s="45"/>
      <c r="FD121" s="45"/>
      <c r="FE121" s="45"/>
      <c r="FF121" s="45"/>
      <c r="FG121" s="45"/>
      <c r="FH121" s="45"/>
      <c r="FI121" s="45"/>
      <c r="FJ121" s="45"/>
      <c r="FK121" s="45"/>
      <c r="FL121" s="45"/>
      <c r="FM121" s="45"/>
      <c r="FN121" s="45"/>
      <c r="FO121" s="45"/>
      <c r="FP121" s="45"/>
    </row>
    <row r="122" spans="1:172" hidden="1">
      <c r="A122" s="41" t="s">
        <v>6432</v>
      </c>
      <c r="B122" s="42"/>
      <c r="C122" s="62"/>
      <c r="D122" s="62"/>
      <c r="E122" s="62"/>
      <c r="F122" s="62"/>
      <c r="G122" s="62"/>
      <c r="H122" s="61"/>
      <c r="I122" s="62"/>
      <c r="J122" s="62"/>
      <c r="K122" s="62"/>
      <c r="L122" s="62"/>
      <c r="M122" s="62"/>
      <c r="N122" s="61"/>
      <c r="O122" s="62">
        <f t="shared" si="389"/>
        <v>0</v>
      </c>
      <c r="P122" s="62">
        <f t="shared" si="304"/>
        <v>5.1369999999999996</v>
      </c>
      <c r="Q122" s="62">
        <f t="shared" si="304"/>
        <v>0</v>
      </c>
      <c r="R122" s="62">
        <f t="shared" si="304"/>
        <v>0</v>
      </c>
      <c r="S122" s="62">
        <f t="shared" si="390"/>
        <v>5.1369999999999996</v>
      </c>
      <c r="T122" s="61"/>
      <c r="U122" s="62">
        <f t="shared" si="391"/>
        <v>0</v>
      </c>
      <c r="V122" s="62">
        <f t="shared" si="305"/>
        <v>0</v>
      </c>
      <c r="W122" s="62">
        <f t="shared" si="305"/>
        <v>0</v>
      </c>
      <c r="X122" s="62">
        <f t="shared" si="305"/>
        <v>0</v>
      </c>
      <c r="Y122" s="62">
        <f t="shared" si="306"/>
        <v>0</v>
      </c>
      <c r="Z122" s="61"/>
      <c r="AA122" s="62">
        <f t="shared" si="392"/>
        <v>0</v>
      </c>
      <c r="AB122" s="62">
        <f t="shared" si="307"/>
        <v>0</v>
      </c>
      <c r="AC122" s="62">
        <f t="shared" si="307"/>
        <v>0</v>
      </c>
      <c r="AD122" s="62">
        <f t="shared" si="307"/>
        <v>0</v>
      </c>
      <c r="AE122" s="62">
        <f t="shared" si="308"/>
        <v>0</v>
      </c>
      <c r="AF122" s="61"/>
      <c r="AG122" s="62">
        <f t="shared" si="393"/>
        <v>0</v>
      </c>
      <c r="AH122" s="62">
        <f t="shared" si="309"/>
        <v>0</v>
      </c>
      <c r="AI122" s="62">
        <f t="shared" si="310"/>
        <v>0</v>
      </c>
      <c r="AJ122" s="62">
        <f t="shared" si="311"/>
        <v>0</v>
      </c>
      <c r="AK122" s="62">
        <f t="shared" si="312"/>
        <v>0</v>
      </c>
      <c r="AL122" s="61"/>
      <c r="AM122" s="62">
        <f t="shared" si="394"/>
        <v>0</v>
      </c>
      <c r="AN122" s="62">
        <f t="shared" si="313"/>
        <v>0</v>
      </c>
      <c r="AO122" s="62">
        <f t="shared" si="314"/>
        <v>0</v>
      </c>
      <c r="AP122" s="62">
        <f t="shared" si="315"/>
        <v>0</v>
      </c>
      <c r="AQ122" s="62">
        <f t="shared" si="316"/>
        <v>0</v>
      </c>
      <c r="AR122" s="61"/>
      <c r="AS122" s="62">
        <f t="shared" si="395"/>
        <v>0</v>
      </c>
      <c r="AT122" s="62">
        <f t="shared" si="317"/>
        <v>0</v>
      </c>
      <c r="AU122" s="62">
        <f t="shared" si="318"/>
        <v>0</v>
      </c>
      <c r="AV122" s="62">
        <f t="shared" si="319"/>
        <v>0</v>
      </c>
      <c r="AW122" s="62">
        <f t="shared" si="320"/>
        <v>0</v>
      </c>
      <c r="AX122" s="61"/>
      <c r="AY122" s="62">
        <f t="shared" si="396"/>
        <v>0</v>
      </c>
      <c r="AZ122" s="62">
        <f t="shared" si="321"/>
        <v>0</v>
      </c>
      <c r="BA122" s="62">
        <f t="shared" si="322"/>
        <v>0</v>
      </c>
      <c r="BB122" s="62">
        <f t="shared" si="323"/>
        <v>0</v>
      </c>
      <c r="BC122" s="62">
        <f t="shared" si="324"/>
        <v>0</v>
      </c>
      <c r="BD122" s="61"/>
      <c r="BE122" s="62">
        <f t="shared" si="397"/>
        <v>0</v>
      </c>
      <c r="BF122" s="62">
        <f t="shared" si="325"/>
        <v>0</v>
      </c>
      <c r="BG122" s="62">
        <f t="shared" si="326"/>
        <v>0</v>
      </c>
      <c r="BH122" s="62">
        <f t="shared" si="327"/>
        <v>0</v>
      </c>
      <c r="BI122" s="62">
        <f t="shared" si="328"/>
        <v>0</v>
      </c>
      <c r="BJ122" s="61"/>
      <c r="BK122" s="62">
        <f t="shared" si="398"/>
        <v>0</v>
      </c>
      <c r="BL122" s="62">
        <f t="shared" si="329"/>
        <v>0</v>
      </c>
      <c r="BM122" s="62">
        <f t="shared" si="330"/>
        <v>0</v>
      </c>
      <c r="BN122" s="62">
        <f t="shared" si="331"/>
        <v>0</v>
      </c>
      <c r="BO122" s="1166">
        <f t="shared" si="332"/>
        <v>0</v>
      </c>
      <c r="BP122" s="61"/>
      <c r="BQ122" s="62">
        <f t="shared" si="399"/>
        <v>0</v>
      </c>
      <c r="BR122" s="62">
        <f t="shared" si="333"/>
        <v>0</v>
      </c>
      <c r="BS122" s="62">
        <f t="shared" si="334"/>
        <v>0</v>
      </c>
      <c r="BT122" s="62">
        <f t="shared" si="335"/>
        <v>0</v>
      </c>
      <c r="BU122" s="1166">
        <f t="shared" si="336"/>
        <v>0</v>
      </c>
      <c r="BV122" s="61"/>
      <c r="BW122" s="62">
        <f t="shared" si="400"/>
        <v>0</v>
      </c>
      <c r="BX122" s="62">
        <f t="shared" si="337"/>
        <v>0</v>
      </c>
      <c r="BY122" s="62">
        <f t="shared" si="338"/>
        <v>0</v>
      </c>
      <c r="BZ122" s="62">
        <f t="shared" si="339"/>
        <v>0</v>
      </c>
      <c r="CA122" s="1166">
        <f t="shared" si="340"/>
        <v>0</v>
      </c>
      <c r="CB122" s="61"/>
      <c r="CC122" s="62">
        <f t="shared" si="401"/>
        <v>0</v>
      </c>
      <c r="CD122" s="62">
        <f t="shared" si="341"/>
        <v>0</v>
      </c>
      <c r="CE122" s="62">
        <f t="shared" si="342"/>
        <v>0</v>
      </c>
      <c r="CF122" s="62">
        <f t="shared" si="343"/>
        <v>0</v>
      </c>
      <c r="CG122" s="1166">
        <f t="shared" si="344"/>
        <v>0</v>
      </c>
      <c r="CH122" s="61"/>
      <c r="CI122" s="62">
        <f t="shared" si="402"/>
        <v>0</v>
      </c>
      <c r="CJ122" s="62">
        <f t="shared" si="345"/>
        <v>0</v>
      </c>
      <c r="CK122" s="62">
        <f t="shared" si="346"/>
        <v>0</v>
      </c>
      <c r="CL122" s="62">
        <f t="shared" si="347"/>
        <v>0</v>
      </c>
      <c r="CM122" s="1166">
        <f t="shared" si="348"/>
        <v>0</v>
      </c>
      <c r="CN122" s="61"/>
      <c r="CO122" s="62">
        <f t="shared" si="403"/>
        <v>0</v>
      </c>
      <c r="CP122" s="62">
        <f t="shared" si="349"/>
        <v>0</v>
      </c>
      <c r="CQ122" s="62">
        <f t="shared" si="350"/>
        <v>0</v>
      </c>
      <c r="CR122" s="62">
        <f t="shared" si="351"/>
        <v>0</v>
      </c>
      <c r="CS122" s="1166">
        <f t="shared" si="352"/>
        <v>0</v>
      </c>
      <c r="CT122" s="61"/>
      <c r="CU122" s="62">
        <f t="shared" si="404"/>
        <v>0</v>
      </c>
      <c r="CV122" s="62">
        <f t="shared" si="353"/>
        <v>0</v>
      </c>
      <c r="CW122" s="62">
        <f t="shared" si="354"/>
        <v>0</v>
      </c>
      <c r="CX122" s="62">
        <f t="shared" si="355"/>
        <v>0</v>
      </c>
      <c r="CY122" s="1166">
        <f t="shared" si="356"/>
        <v>0</v>
      </c>
      <c r="CZ122" s="61"/>
      <c r="DA122" s="62">
        <f t="shared" si="405"/>
        <v>0</v>
      </c>
      <c r="DB122" s="62">
        <f t="shared" si="357"/>
        <v>0</v>
      </c>
      <c r="DC122" s="62">
        <f t="shared" si="358"/>
        <v>0</v>
      </c>
      <c r="DD122" s="62">
        <f t="shared" si="359"/>
        <v>0</v>
      </c>
      <c r="DE122" s="1166">
        <f t="shared" si="360"/>
        <v>0</v>
      </c>
      <c r="DF122" s="61"/>
      <c r="DG122" s="62">
        <f t="shared" si="406"/>
        <v>0</v>
      </c>
      <c r="DH122" s="62">
        <f t="shared" si="361"/>
        <v>0</v>
      </c>
      <c r="DI122" s="62">
        <f t="shared" si="362"/>
        <v>0</v>
      </c>
      <c r="DJ122" s="62">
        <f t="shared" si="363"/>
        <v>0</v>
      </c>
      <c r="DK122" s="1166">
        <f t="shared" si="364"/>
        <v>0</v>
      </c>
      <c r="DL122" s="61"/>
      <c r="DM122" s="62">
        <f t="shared" si="407"/>
        <v>0</v>
      </c>
      <c r="DN122" s="62">
        <f t="shared" si="365"/>
        <v>0</v>
      </c>
      <c r="DO122" s="62">
        <f t="shared" si="366"/>
        <v>0</v>
      </c>
      <c r="DP122" s="62">
        <f t="shared" si="367"/>
        <v>0</v>
      </c>
      <c r="DQ122" s="1166">
        <f t="shared" si="368"/>
        <v>0</v>
      </c>
      <c r="DR122" s="61"/>
      <c r="DS122" s="62">
        <f t="shared" si="408"/>
        <v>0</v>
      </c>
      <c r="DT122" s="62">
        <f t="shared" si="369"/>
        <v>0</v>
      </c>
      <c r="DU122" s="62">
        <f t="shared" si="370"/>
        <v>0</v>
      </c>
      <c r="DV122" s="62">
        <f t="shared" si="371"/>
        <v>0</v>
      </c>
      <c r="DW122" s="1166">
        <f t="shared" si="372"/>
        <v>0</v>
      </c>
      <c r="DX122" s="61"/>
      <c r="DY122" s="62">
        <f t="shared" si="409"/>
        <v>0</v>
      </c>
      <c r="DZ122" s="62">
        <f t="shared" si="373"/>
        <v>0</v>
      </c>
      <c r="EA122" s="62">
        <f t="shared" si="374"/>
        <v>0</v>
      </c>
      <c r="EB122" s="62">
        <f t="shared" si="375"/>
        <v>0</v>
      </c>
      <c r="EC122" s="1166">
        <f t="shared" si="376"/>
        <v>0</v>
      </c>
      <c r="ED122" s="61"/>
      <c r="EE122" s="62">
        <f t="shared" si="410"/>
        <v>0</v>
      </c>
      <c r="EF122" s="62">
        <f t="shared" si="377"/>
        <v>0</v>
      </c>
      <c r="EG122" s="62">
        <f t="shared" si="378"/>
        <v>0</v>
      </c>
      <c r="EH122" s="62">
        <f t="shared" si="379"/>
        <v>0</v>
      </c>
      <c r="EI122" s="1166">
        <f t="shared" si="380"/>
        <v>0</v>
      </c>
      <c r="EJ122" s="61"/>
      <c r="EK122" s="62">
        <f t="shared" si="411"/>
        <v>0</v>
      </c>
      <c r="EL122" s="62">
        <f t="shared" si="381"/>
        <v>0</v>
      </c>
      <c r="EM122" s="62">
        <f t="shared" si="382"/>
        <v>0</v>
      </c>
      <c r="EN122" s="62">
        <f t="shared" si="383"/>
        <v>0</v>
      </c>
      <c r="EO122" s="1166">
        <f t="shared" si="384"/>
        <v>0</v>
      </c>
      <c r="EP122" s="61"/>
      <c r="EQ122" s="62">
        <f t="shared" si="412"/>
        <v>0</v>
      </c>
      <c r="ER122" s="62">
        <f t="shared" si="385"/>
        <v>0</v>
      </c>
      <c r="ES122" s="62">
        <f t="shared" si="386"/>
        <v>0</v>
      </c>
      <c r="ET122" s="62">
        <f t="shared" si="387"/>
        <v>0</v>
      </c>
      <c r="EU122" s="1166">
        <f t="shared" si="388"/>
        <v>0</v>
      </c>
      <c r="EV122" s="45"/>
      <c r="EW122" s="45"/>
      <c r="FD122" s="45"/>
      <c r="FE122" s="45"/>
      <c r="FF122" s="45"/>
      <c r="FG122" s="45"/>
      <c r="FH122" s="45"/>
      <c r="FI122" s="45"/>
      <c r="FJ122" s="45"/>
      <c r="FK122" s="45"/>
      <c r="FL122" s="45"/>
      <c r="FM122" s="45"/>
      <c r="FN122" s="45"/>
      <c r="FO122" s="45"/>
      <c r="FP122" s="45"/>
    </row>
    <row r="123" spans="1:172" hidden="1">
      <c r="A123" s="41" t="s">
        <v>1927</v>
      </c>
      <c r="B123" s="42"/>
      <c r="C123" s="62"/>
      <c r="D123" s="62"/>
      <c r="E123" s="62"/>
      <c r="F123" s="62"/>
      <c r="G123" s="62"/>
      <c r="H123" s="61"/>
      <c r="I123" s="62"/>
      <c r="J123" s="62"/>
      <c r="K123" s="62"/>
      <c r="L123" s="62"/>
      <c r="M123" s="62"/>
      <c r="N123" s="61"/>
      <c r="O123" s="62">
        <f t="shared" si="389"/>
        <v>0</v>
      </c>
      <c r="P123" s="62">
        <f t="shared" si="304"/>
        <v>2.5</v>
      </c>
      <c r="Q123" s="62">
        <f t="shared" si="304"/>
        <v>0</v>
      </c>
      <c r="R123" s="62">
        <f t="shared" si="304"/>
        <v>0</v>
      </c>
      <c r="S123" s="62">
        <f t="shared" si="390"/>
        <v>2.5</v>
      </c>
      <c r="T123" s="61"/>
      <c r="U123" s="62">
        <f t="shared" si="391"/>
        <v>0</v>
      </c>
      <c r="V123" s="62">
        <f t="shared" si="305"/>
        <v>0</v>
      </c>
      <c r="W123" s="62">
        <f t="shared" si="305"/>
        <v>0</v>
      </c>
      <c r="X123" s="62">
        <f t="shared" si="305"/>
        <v>0</v>
      </c>
      <c r="Y123" s="62">
        <f t="shared" si="306"/>
        <v>0</v>
      </c>
      <c r="Z123" s="61"/>
      <c r="AA123" s="62">
        <f t="shared" si="392"/>
        <v>0</v>
      </c>
      <c r="AB123" s="62">
        <f t="shared" si="307"/>
        <v>0</v>
      </c>
      <c r="AC123" s="62">
        <f t="shared" si="307"/>
        <v>0</v>
      </c>
      <c r="AD123" s="62">
        <f t="shared" si="307"/>
        <v>0</v>
      </c>
      <c r="AE123" s="62">
        <f t="shared" si="308"/>
        <v>0</v>
      </c>
      <c r="AF123" s="61"/>
      <c r="AG123" s="62">
        <f t="shared" si="393"/>
        <v>0</v>
      </c>
      <c r="AH123" s="62">
        <f t="shared" si="309"/>
        <v>0</v>
      </c>
      <c r="AI123" s="62">
        <f t="shared" si="310"/>
        <v>0</v>
      </c>
      <c r="AJ123" s="62">
        <f t="shared" si="311"/>
        <v>0</v>
      </c>
      <c r="AK123" s="62">
        <f t="shared" si="312"/>
        <v>0</v>
      </c>
      <c r="AL123" s="61"/>
      <c r="AM123" s="62">
        <f t="shared" si="394"/>
        <v>0</v>
      </c>
      <c r="AN123" s="62">
        <f t="shared" si="313"/>
        <v>0</v>
      </c>
      <c r="AO123" s="62">
        <f t="shared" si="314"/>
        <v>0</v>
      </c>
      <c r="AP123" s="62">
        <f t="shared" si="315"/>
        <v>0</v>
      </c>
      <c r="AQ123" s="62">
        <f t="shared" si="316"/>
        <v>0</v>
      </c>
      <c r="AR123" s="61"/>
      <c r="AS123" s="62">
        <f t="shared" si="395"/>
        <v>0</v>
      </c>
      <c r="AT123" s="62">
        <f t="shared" si="317"/>
        <v>0</v>
      </c>
      <c r="AU123" s="62">
        <f t="shared" si="318"/>
        <v>0</v>
      </c>
      <c r="AV123" s="62">
        <f t="shared" si="319"/>
        <v>0</v>
      </c>
      <c r="AW123" s="62">
        <f t="shared" si="320"/>
        <v>0</v>
      </c>
      <c r="AX123" s="61"/>
      <c r="AY123" s="62">
        <f t="shared" si="396"/>
        <v>0</v>
      </c>
      <c r="AZ123" s="62">
        <f t="shared" si="321"/>
        <v>0</v>
      </c>
      <c r="BA123" s="62">
        <f t="shared" si="322"/>
        <v>0</v>
      </c>
      <c r="BB123" s="62">
        <f t="shared" si="323"/>
        <v>0</v>
      </c>
      <c r="BC123" s="62">
        <f t="shared" si="324"/>
        <v>0</v>
      </c>
      <c r="BD123" s="61"/>
      <c r="BE123" s="62">
        <f t="shared" si="397"/>
        <v>0</v>
      </c>
      <c r="BF123" s="62">
        <f t="shared" si="325"/>
        <v>0</v>
      </c>
      <c r="BG123" s="62">
        <f t="shared" si="326"/>
        <v>0</v>
      </c>
      <c r="BH123" s="62">
        <f t="shared" si="327"/>
        <v>0</v>
      </c>
      <c r="BI123" s="62">
        <f t="shared" si="328"/>
        <v>0</v>
      </c>
      <c r="BJ123" s="61"/>
      <c r="BK123" s="62">
        <f t="shared" si="398"/>
        <v>0</v>
      </c>
      <c r="BL123" s="62">
        <f t="shared" si="329"/>
        <v>0</v>
      </c>
      <c r="BM123" s="62">
        <f t="shared" si="330"/>
        <v>0</v>
      </c>
      <c r="BN123" s="62">
        <f t="shared" si="331"/>
        <v>0</v>
      </c>
      <c r="BO123" s="1166">
        <f t="shared" si="332"/>
        <v>0</v>
      </c>
      <c r="BP123" s="61"/>
      <c r="BQ123" s="62">
        <f t="shared" si="399"/>
        <v>0</v>
      </c>
      <c r="BR123" s="62">
        <f t="shared" si="333"/>
        <v>0</v>
      </c>
      <c r="BS123" s="62">
        <f t="shared" si="334"/>
        <v>0</v>
      </c>
      <c r="BT123" s="62">
        <f t="shared" si="335"/>
        <v>0</v>
      </c>
      <c r="BU123" s="1166">
        <f t="shared" si="336"/>
        <v>0</v>
      </c>
      <c r="BV123" s="61"/>
      <c r="BW123" s="62">
        <f t="shared" si="400"/>
        <v>0</v>
      </c>
      <c r="BX123" s="62">
        <f t="shared" si="337"/>
        <v>0</v>
      </c>
      <c r="BY123" s="62">
        <f t="shared" si="338"/>
        <v>0</v>
      </c>
      <c r="BZ123" s="62">
        <f t="shared" si="339"/>
        <v>0</v>
      </c>
      <c r="CA123" s="1166">
        <f t="shared" si="340"/>
        <v>0</v>
      </c>
      <c r="CB123" s="61"/>
      <c r="CC123" s="62">
        <f t="shared" si="401"/>
        <v>0</v>
      </c>
      <c r="CD123" s="62">
        <f t="shared" si="341"/>
        <v>0</v>
      </c>
      <c r="CE123" s="62">
        <f t="shared" si="342"/>
        <v>0</v>
      </c>
      <c r="CF123" s="62">
        <f t="shared" si="343"/>
        <v>0</v>
      </c>
      <c r="CG123" s="1166">
        <f t="shared" si="344"/>
        <v>0</v>
      </c>
      <c r="CH123" s="61"/>
      <c r="CI123" s="62">
        <f t="shared" si="402"/>
        <v>0</v>
      </c>
      <c r="CJ123" s="62">
        <f t="shared" si="345"/>
        <v>0</v>
      </c>
      <c r="CK123" s="62">
        <f t="shared" si="346"/>
        <v>0</v>
      </c>
      <c r="CL123" s="62">
        <f t="shared" si="347"/>
        <v>0</v>
      </c>
      <c r="CM123" s="1166">
        <f t="shared" si="348"/>
        <v>0</v>
      </c>
      <c r="CN123" s="61"/>
      <c r="CO123" s="62">
        <f t="shared" si="403"/>
        <v>0</v>
      </c>
      <c r="CP123" s="62">
        <f t="shared" si="349"/>
        <v>0</v>
      </c>
      <c r="CQ123" s="62">
        <f t="shared" si="350"/>
        <v>0</v>
      </c>
      <c r="CR123" s="62">
        <f t="shared" si="351"/>
        <v>0</v>
      </c>
      <c r="CS123" s="1166">
        <f t="shared" si="352"/>
        <v>0</v>
      </c>
      <c r="CT123" s="61"/>
      <c r="CU123" s="62">
        <f t="shared" si="404"/>
        <v>0</v>
      </c>
      <c r="CV123" s="62">
        <f t="shared" si="353"/>
        <v>0</v>
      </c>
      <c r="CW123" s="62">
        <f t="shared" si="354"/>
        <v>0</v>
      </c>
      <c r="CX123" s="62">
        <f t="shared" si="355"/>
        <v>0</v>
      </c>
      <c r="CY123" s="1166">
        <f t="shared" si="356"/>
        <v>0</v>
      </c>
      <c r="CZ123" s="61"/>
      <c r="DA123" s="62">
        <f t="shared" si="405"/>
        <v>0</v>
      </c>
      <c r="DB123" s="62">
        <f t="shared" si="357"/>
        <v>0</v>
      </c>
      <c r="DC123" s="62">
        <f t="shared" si="358"/>
        <v>0</v>
      </c>
      <c r="DD123" s="62">
        <f t="shared" si="359"/>
        <v>0</v>
      </c>
      <c r="DE123" s="1166">
        <f t="shared" si="360"/>
        <v>0</v>
      </c>
      <c r="DF123" s="61"/>
      <c r="DG123" s="62">
        <f t="shared" si="406"/>
        <v>0</v>
      </c>
      <c r="DH123" s="62">
        <f t="shared" si="361"/>
        <v>0</v>
      </c>
      <c r="DI123" s="62">
        <f t="shared" si="362"/>
        <v>0</v>
      </c>
      <c r="DJ123" s="62">
        <f t="shared" si="363"/>
        <v>0</v>
      </c>
      <c r="DK123" s="1166">
        <f t="shared" si="364"/>
        <v>0</v>
      </c>
      <c r="DL123" s="61"/>
      <c r="DM123" s="62">
        <f t="shared" si="407"/>
        <v>0</v>
      </c>
      <c r="DN123" s="62">
        <f t="shared" si="365"/>
        <v>0</v>
      </c>
      <c r="DO123" s="62">
        <f t="shared" si="366"/>
        <v>0</v>
      </c>
      <c r="DP123" s="62">
        <f t="shared" si="367"/>
        <v>0</v>
      </c>
      <c r="DQ123" s="1166">
        <f t="shared" si="368"/>
        <v>0</v>
      </c>
      <c r="DR123" s="61"/>
      <c r="DS123" s="62">
        <f t="shared" si="408"/>
        <v>0</v>
      </c>
      <c r="DT123" s="62">
        <f t="shared" si="369"/>
        <v>0</v>
      </c>
      <c r="DU123" s="62">
        <f t="shared" si="370"/>
        <v>0</v>
      </c>
      <c r="DV123" s="62">
        <f t="shared" si="371"/>
        <v>0</v>
      </c>
      <c r="DW123" s="1166">
        <f t="shared" si="372"/>
        <v>0</v>
      </c>
      <c r="DX123" s="61"/>
      <c r="DY123" s="62">
        <f t="shared" si="409"/>
        <v>0</v>
      </c>
      <c r="DZ123" s="62">
        <f t="shared" si="373"/>
        <v>0</v>
      </c>
      <c r="EA123" s="62">
        <f t="shared" si="374"/>
        <v>0</v>
      </c>
      <c r="EB123" s="62">
        <f t="shared" si="375"/>
        <v>0</v>
      </c>
      <c r="EC123" s="1166">
        <f t="shared" si="376"/>
        <v>0</v>
      </c>
      <c r="ED123" s="61"/>
      <c r="EE123" s="62">
        <f t="shared" si="410"/>
        <v>0</v>
      </c>
      <c r="EF123" s="62">
        <f t="shared" si="377"/>
        <v>0</v>
      </c>
      <c r="EG123" s="62">
        <f t="shared" si="378"/>
        <v>0</v>
      </c>
      <c r="EH123" s="62">
        <f t="shared" si="379"/>
        <v>0</v>
      </c>
      <c r="EI123" s="1166">
        <f t="shared" si="380"/>
        <v>0</v>
      </c>
      <c r="EJ123" s="61"/>
      <c r="EK123" s="62">
        <f t="shared" si="411"/>
        <v>0</v>
      </c>
      <c r="EL123" s="62">
        <f t="shared" si="381"/>
        <v>0</v>
      </c>
      <c r="EM123" s="62">
        <f t="shared" si="382"/>
        <v>0</v>
      </c>
      <c r="EN123" s="62">
        <f t="shared" si="383"/>
        <v>0</v>
      </c>
      <c r="EO123" s="1166">
        <f t="shared" si="384"/>
        <v>0</v>
      </c>
      <c r="EP123" s="61"/>
      <c r="EQ123" s="62">
        <f t="shared" si="412"/>
        <v>0</v>
      </c>
      <c r="ER123" s="62">
        <f t="shared" si="385"/>
        <v>0</v>
      </c>
      <c r="ES123" s="62">
        <f t="shared" si="386"/>
        <v>0</v>
      </c>
      <c r="ET123" s="62">
        <f t="shared" si="387"/>
        <v>0</v>
      </c>
      <c r="EU123" s="1166">
        <f t="shared" si="388"/>
        <v>0</v>
      </c>
      <c r="EV123" s="45"/>
      <c r="EW123" s="45"/>
      <c r="FD123" s="45"/>
      <c r="FE123" s="45"/>
      <c r="FF123" s="45"/>
      <c r="FG123" s="45"/>
      <c r="FH123" s="45"/>
      <c r="FI123" s="45"/>
      <c r="FJ123" s="45"/>
      <c r="FK123" s="45"/>
      <c r="FL123" s="45"/>
      <c r="FM123" s="45"/>
      <c r="FN123" s="45"/>
      <c r="FO123" s="45"/>
      <c r="FP123" s="45"/>
    </row>
    <row r="124" spans="1:172" ht="13.5" thickBot="1">
      <c r="A124" s="41" t="s">
        <v>6815</v>
      </c>
      <c r="B124" s="42"/>
      <c r="C124" s="62"/>
      <c r="D124" s="62"/>
      <c r="E124" s="62"/>
      <c r="F124" s="62"/>
      <c r="G124" s="62"/>
      <c r="H124" s="61"/>
      <c r="I124" s="62"/>
      <c r="J124" s="62"/>
      <c r="K124" s="62"/>
      <c r="L124" s="62"/>
      <c r="M124" s="62"/>
      <c r="N124" s="61"/>
      <c r="O124" s="62">
        <f t="shared" si="389"/>
        <v>0</v>
      </c>
      <c r="P124" s="62">
        <f t="shared" si="304"/>
        <v>0</v>
      </c>
      <c r="Q124" s="62">
        <f t="shared" si="304"/>
        <v>0</v>
      </c>
      <c r="R124" s="62">
        <f t="shared" si="304"/>
        <v>-7.5369999999999999</v>
      </c>
      <c r="S124" s="62">
        <f t="shared" si="390"/>
        <v>-7.5369999999999999</v>
      </c>
      <c r="T124" s="61"/>
      <c r="U124" s="62">
        <f t="shared" si="391"/>
        <v>0</v>
      </c>
      <c r="V124" s="62">
        <f t="shared" si="305"/>
        <v>2.81</v>
      </c>
      <c r="W124" s="62">
        <f t="shared" si="305"/>
        <v>2.5349999999999997</v>
      </c>
      <c r="X124" s="62">
        <f t="shared" si="305"/>
        <v>-5.3449999999999998</v>
      </c>
      <c r="Y124" s="62">
        <f t="shared" si="306"/>
        <v>0</v>
      </c>
      <c r="Z124" s="61"/>
      <c r="AA124" s="62">
        <f t="shared" si="392"/>
        <v>0</v>
      </c>
      <c r="AB124" s="62">
        <f t="shared" si="307"/>
        <v>3.6160000000000001</v>
      </c>
      <c r="AC124" s="62">
        <f t="shared" si="307"/>
        <v>3.153</v>
      </c>
      <c r="AD124" s="62">
        <f t="shared" si="307"/>
        <v>-6.7690000000000001</v>
      </c>
      <c r="AE124" s="62">
        <f t="shared" si="308"/>
        <v>0</v>
      </c>
      <c r="AF124" s="61"/>
      <c r="AG124" s="62">
        <f t="shared" si="393"/>
        <v>-1.988</v>
      </c>
      <c r="AH124" s="62">
        <f t="shared" si="309"/>
        <v>-1.9729999999999999</v>
      </c>
      <c r="AI124" s="62">
        <f t="shared" si="310"/>
        <v>-0.64100000000000046</v>
      </c>
      <c r="AJ124" s="62">
        <f t="shared" si="311"/>
        <v>-4.7929999999999993</v>
      </c>
      <c r="AK124" s="62">
        <f t="shared" si="312"/>
        <v>-9.3949999999999996</v>
      </c>
      <c r="AL124" s="61"/>
      <c r="AM124" s="62">
        <f t="shared" si="394"/>
        <v>-0.63500000000000001</v>
      </c>
      <c r="AN124" s="62">
        <f>IF(AN51="-","-",SUM(AN51)-SUM(AM51))</f>
        <v>-2.2110000000000003</v>
      </c>
      <c r="AO124" s="62">
        <f>IF(AO51="-","-",SUM(AO51)-SUM(AN51))</f>
        <v>0.97199999999999998</v>
      </c>
      <c r="AP124" s="62">
        <f>IF(AP51="-","-",SUM(AP51)-SUM(AO51))</f>
        <v>-1.1589999999999998</v>
      </c>
      <c r="AQ124" s="62">
        <f>SUM(AM124:AP124)</f>
        <v>-3.0329999999999999</v>
      </c>
      <c r="AR124" s="61"/>
      <c r="AS124" s="62">
        <f t="shared" si="395"/>
        <v>5.1999999999999998E-2</v>
      </c>
      <c r="AT124" s="62">
        <f t="shared" si="317"/>
        <v>1.3959999999999999</v>
      </c>
      <c r="AU124" s="62">
        <f t="shared" si="318"/>
        <v>-1.4989999999999999</v>
      </c>
      <c r="AV124" s="62">
        <f t="shared" si="319"/>
        <v>0.33</v>
      </c>
      <c r="AW124" s="62">
        <f t="shared" si="320"/>
        <v>0.27900000000000008</v>
      </c>
      <c r="AX124" s="61"/>
      <c r="AY124" s="62">
        <f t="shared" si="396"/>
        <v>-0.8</v>
      </c>
      <c r="AZ124" s="62">
        <f t="shared" si="321"/>
        <v>-0.7</v>
      </c>
      <c r="BA124" s="62">
        <f t="shared" si="322"/>
        <v>0</v>
      </c>
      <c r="BB124" s="62">
        <f t="shared" si="323"/>
        <v>-1</v>
      </c>
      <c r="BC124" s="62">
        <f t="shared" si="324"/>
        <v>-2.5</v>
      </c>
      <c r="BD124" s="61"/>
      <c r="BE124" s="62">
        <f t="shared" si="397"/>
        <v>0</v>
      </c>
      <c r="BF124" s="62">
        <f t="shared" si="325"/>
        <v>0</v>
      </c>
      <c r="BG124" s="62">
        <f t="shared" si="326"/>
        <v>7.9000000000000001E-2</v>
      </c>
      <c r="BH124" s="62">
        <f t="shared" si="327"/>
        <v>-0.1</v>
      </c>
      <c r="BI124" s="62">
        <f t="shared" si="328"/>
        <v>-2.1000000000000005E-2</v>
      </c>
      <c r="BJ124" s="61"/>
      <c r="BK124" s="62">
        <f t="shared" si="398"/>
        <v>-12.5</v>
      </c>
      <c r="BL124" s="62">
        <f t="shared" si="329"/>
        <v>-0.30000000000000071</v>
      </c>
      <c r="BM124" s="62">
        <f t="shared" si="330"/>
        <v>2.5999999999999996</v>
      </c>
      <c r="BN124" s="62">
        <f t="shared" si="331"/>
        <v>0</v>
      </c>
      <c r="BO124" s="1166">
        <f t="shared" si="332"/>
        <v>-10.200000000000001</v>
      </c>
      <c r="BP124" s="61"/>
      <c r="BQ124" s="62">
        <f t="shared" si="399"/>
        <v>0</v>
      </c>
      <c r="BR124" s="62">
        <f t="shared" si="333"/>
        <v>0</v>
      </c>
      <c r="BS124" s="62">
        <f t="shared" si="334"/>
        <v>0</v>
      </c>
      <c r="BT124" s="62">
        <f t="shared" si="335"/>
        <v>0</v>
      </c>
      <c r="BU124" s="1166">
        <f t="shared" si="336"/>
        <v>0</v>
      </c>
      <c r="BV124" s="61"/>
      <c r="BW124" s="62">
        <f t="shared" si="400"/>
        <v>0</v>
      </c>
      <c r="BX124" s="62">
        <f t="shared" si="337"/>
        <v>0</v>
      </c>
      <c r="BY124" s="62">
        <f t="shared" si="338"/>
        <v>0</v>
      </c>
      <c r="BZ124" s="62">
        <f t="shared" si="339"/>
        <v>0</v>
      </c>
      <c r="CA124" s="1166">
        <f t="shared" si="340"/>
        <v>0</v>
      </c>
      <c r="CB124" s="61"/>
      <c r="CC124" s="62">
        <f t="shared" si="401"/>
        <v>0</v>
      </c>
      <c r="CD124" s="62">
        <f t="shared" si="341"/>
        <v>0</v>
      </c>
      <c r="CE124" s="62">
        <f t="shared" si="342"/>
        <v>0</v>
      </c>
      <c r="CF124" s="62">
        <f t="shared" si="343"/>
        <v>0</v>
      </c>
      <c r="CG124" s="1166">
        <f t="shared" si="344"/>
        <v>0</v>
      </c>
      <c r="CH124" s="61"/>
      <c r="CI124" s="62">
        <f t="shared" si="402"/>
        <v>0</v>
      </c>
      <c r="CJ124" s="62">
        <f t="shared" si="345"/>
        <v>0</v>
      </c>
      <c r="CK124" s="62">
        <f t="shared" si="346"/>
        <v>-0.5</v>
      </c>
      <c r="CL124" s="62">
        <f t="shared" si="347"/>
        <v>0.5</v>
      </c>
      <c r="CM124" s="1166">
        <f t="shared" si="348"/>
        <v>0</v>
      </c>
      <c r="CN124" s="61"/>
      <c r="CO124" s="62">
        <f t="shared" si="403"/>
        <v>-14.5</v>
      </c>
      <c r="CP124" s="62">
        <f t="shared" si="349"/>
        <v>-0.59999999999999964</v>
      </c>
      <c r="CQ124" s="62">
        <f t="shared" si="350"/>
        <v>-8.4</v>
      </c>
      <c r="CR124" s="62">
        <f t="shared" si="351"/>
        <v>-7</v>
      </c>
      <c r="CS124" s="1166">
        <f t="shared" si="352"/>
        <v>-30.5</v>
      </c>
      <c r="CT124" s="61"/>
      <c r="CU124" s="62">
        <f t="shared" si="404"/>
        <v>-5</v>
      </c>
      <c r="CV124" s="62">
        <f t="shared" si="353"/>
        <v>-13</v>
      </c>
      <c r="CW124" s="62">
        <f t="shared" si="354"/>
        <v>-4.1000000000000014</v>
      </c>
      <c r="CX124" s="62">
        <f t="shared" si="355"/>
        <v>-5</v>
      </c>
      <c r="CY124" s="1166">
        <f t="shared" si="356"/>
        <v>-27.1</v>
      </c>
      <c r="CZ124" s="61"/>
      <c r="DA124" s="62">
        <f t="shared" si="405"/>
        <v>-3.6</v>
      </c>
      <c r="DB124" s="62">
        <f t="shared" si="357"/>
        <v>-1.8000000000000003</v>
      </c>
      <c r="DC124" s="62">
        <f t="shared" si="358"/>
        <v>-10.299999999999999</v>
      </c>
      <c r="DD124" s="62">
        <f t="shared" si="359"/>
        <v>-2.9000000000000021</v>
      </c>
      <c r="DE124" s="1166">
        <f t="shared" si="360"/>
        <v>-18.600000000000001</v>
      </c>
      <c r="DF124" s="61"/>
      <c r="DG124" s="62">
        <f t="shared" si="406"/>
        <v>-0.8</v>
      </c>
      <c r="DH124" s="62">
        <f t="shared" si="361"/>
        <v>0.10000000000000009</v>
      </c>
      <c r="DI124" s="62">
        <f t="shared" si="362"/>
        <v>1.9</v>
      </c>
      <c r="DJ124" s="62">
        <f t="shared" si="363"/>
        <v>-5.2</v>
      </c>
      <c r="DK124" s="1166">
        <f t="shared" si="364"/>
        <v>-4</v>
      </c>
      <c r="DL124" s="61"/>
      <c r="DM124" s="62">
        <f t="shared" si="407"/>
        <v>-10.6</v>
      </c>
      <c r="DN124" s="62">
        <f t="shared" si="365"/>
        <v>-2.5</v>
      </c>
      <c r="DO124" s="62">
        <f t="shared" si="366"/>
        <v>-2.4000000000000004</v>
      </c>
      <c r="DP124" s="62">
        <f t="shared" si="367"/>
        <v>-29</v>
      </c>
      <c r="DQ124" s="1166">
        <f t="shared" si="368"/>
        <v>-44.5</v>
      </c>
      <c r="DR124" s="61"/>
      <c r="DS124" s="62">
        <f t="shared" si="408"/>
        <v>-1</v>
      </c>
      <c r="DT124" s="62">
        <f t="shared" si="369"/>
        <v>-5.7</v>
      </c>
      <c r="DU124" s="62">
        <f t="shared" si="370"/>
        <v>-8.1000000000000014</v>
      </c>
      <c r="DV124" s="62">
        <f t="shared" si="371"/>
        <v>1</v>
      </c>
      <c r="DW124" s="1166">
        <f t="shared" si="372"/>
        <v>-13.8</v>
      </c>
      <c r="DX124" s="61"/>
      <c r="DY124" s="62">
        <f t="shared" si="409"/>
        <v>3.9</v>
      </c>
      <c r="DZ124" s="62">
        <f t="shared" si="373"/>
        <v>-8.1999999999999993</v>
      </c>
      <c r="EA124" s="62">
        <f t="shared" si="374"/>
        <v>-7.2</v>
      </c>
      <c r="EB124" s="62">
        <f t="shared" si="375"/>
        <v>-0.69999999999999929</v>
      </c>
      <c r="EC124" s="1166">
        <f t="shared" si="376"/>
        <v>-12.2</v>
      </c>
      <c r="ED124" s="61"/>
      <c r="EE124" s="62">
        <f t="shared" si="410"/>
        <v>0</v>
      </c>
      <c r="EF124" s="62">
        <f t="shared" si="377"/>
        <v>0</v>
      </c>
      <c r="EG124" s="62">
        <f t="shared" si="378"/>
        <v>0</v>
      </c>
      <c r="EH124" s="62">
        <f t="shared" si="379"/>
        <v>0</v>
      </c>
      <c r="EI124" s="1166">
        <f t="shared" si="380"/>
        <v>0</v>
      </c>
      <c r="EJ124" s="61"/>
      <c r="EK124" s="62">
        <f t="shared" si="411"/>
        <v>0</v>
      </c>
      <c r="EL124" s="62">
        <f t="shared" si="381"/>
        <v>0</v>
      </c>
      <c r="EM124" s="62">
        <f t="shared" si="382"/>
        <v>0</v>
      </c>
      <c r="EN124" s="62">
        <f t="shared" si="383"/>
        <v>0</v>
      </c>
      <c r="EO124" s="1166">
        <f t="shared" si="384"/>
        <v>0</v>
      </c>
      <c r="EP124" s="61"/>
      <c r="EQ124" s="62">
        <f t="shared" si="412"/>
        <v>0</v>
      </c>
      <c r="ER124" s="62">
        <f t="shared" si="385"/>
        <v>0</v>
      </c>
      <c r="ES124" s="62">
        <f t="shared" si="386"/>
        <v>0</v>
      </c>
      <c r="ET124" s="62">
        <f t="shared" si="387"/>
        <v>0</v>
      </c>
      <c r="EU124" s="1166">
        <f t="shared" si="388"/>
        <v>0</v>
      </c>
      <c r="EV124" s="45"/>
      <c r="EW124" s="45"/>
      <c r="FD124" s="45"/>
      <c r="FE124" s="45"/>
      <c r="FF124" s="45"/>
      <c r="FG124" s="45"/>
      <c r="FH124" s="45"/>
      <c r="FI124" s="45"/>
      <c r="FJ124" s="45"/>
      <c r="FK124" s="45"/>
      <c r="FL124" s="45"/>
      <c r="FM124" s="45"/>
      <c r="FN124" s="45"/>
      <c r="FO124" s="45"/>
      <c r="FP124" s="45"/>
    </row>
    <row r="125" spans="1:172" ht="13.5" thickBot="1">
      <c r="A125" s="1344" t="s">
        <v>4689</v>
      </c>
      <c r="B125" s="1331"/>
      <c r="C125" s="1331"/>
      <c r="D125" s="1331"/>
      <c r="E125" s="1331"/>
      <c r="F125" s="1331"/>
      <c r="G125" s="1331"/>
      <c r="H125" s="1331"/>
      <c r="I125" s="1331"/>
      <c r="J125" s="1331"/>
      <c r="K125" s="1331"/>
      <c r="L125" s="1331"/>
      <c r="M125" s="1331"/>
      <c r="N125" s="1331"/>
      <c r="O125" s="1331">
        <f>SUM(O116:O124)</f>
        <v>-42.081999999999994</v>
      </c>
      <c r="P125" s="1331">
        <f>SUM(P116:P124)</f>
        <v>-79.225999999999999</v>
      </c>
      <c r="Q125" s="1331">
        <f>SUM(Q116:Q124)</f>
        <v>-21.263999999999996</v>
      </c>
      <c r="R125" s="1331">
        <f>SUM(R116:R124)</f>
        <v>63.532999999999937</v>
      </c>
      <c r="S125" s="1331">
        <f>SUM(S116:S124)</f>
        <v>-79.039000000000073</v>
      </c>
      <c r="T125" s="1331"/>
      <c r="U125" s="1331">
        <f>SUM(U116:U124)</f>
        <v>-180.41900000000001</v>
      </c>
      <c r="V125" s="1331">
        <f>SUM(V116:V124)</f>
        <v>-34.665999999999983</v>
      </c>
      <c r="W125" s="1331">
        <f>SUM(W116:W124)</f>
        <v>-19.282000000000021</v>
      </c>
      <c r="X125" s="1331">
        <f>SUM(X116:X124)</f>
        <v>-69.987000000000378</v>
      </c>
      <c r="Y125" s="1331">
        <f>SUM(Y116:Y124)</f>
        <v>-304.35400000000038</v>
      </c>
      <c r="Z125" s="1331"/>
      <c r="AA125" s="1331">
        <f>SUM(AA116:AA124)</f>
        <v>76.320000000000007</v>
      </c>
      <c r="AB125" s="1331">
        <f>SUM(AB116:AB124)</f>
        <v>-32.960999999999999</v>
      </c>
      <c r="AC125" s="1331">
        <f>SUM(AC116:AC124)</f>
        <v>10.904999999999996</v>
      </c>
      <c r="AD125" s="1331">
        <f>SUM(AD116:AD124)</f>
        <v>14.33100000000009</v>
      </c>
      <c r="AE125" s="1331">
        <f>SUM(AE116:AE124)</f>
        <v>68.595000000000084</v>
      </c>
      <c r="AF125" s="1331"/>
      <c r="AG125" s="1331">
        <f>SUM(AG116:AG124)</f>
        <v>22.509</v>
      </c>
      <c r="AH125" s="1331">
        <f>SUM(AH116:AH124)</f>
        <v>-68.346999999999994</v>
      </c>
      <c r="AI125" s="1331">
        <f>SUM(AI116:AI124)</f>
        <v>-36.286999999999999</v>
      </c>
      <c r="AJ125" s="1331">
        <f>SUM(AJ116:AJ124)</f>
        <v>-63.425999999999995</v>
      </c>
      <c r="AK125" s="1331">
        <f>SUM(AK116:AK124)</f>
        <v>-145.55100000000002</v>
      </c>
      <c r="AL125" s="1331"/>
      <c r="AM125" s="1331">
        <f>SUM(AM116:AM124)</f>
        <v>-82.702000000000012</v>
      </c>
      <c r="AN125" s="1331">
        <f>SUM(AN116:AN124)</f>
        <v>9.2839999999999971</v>
      </c>
      <c r="AO125" s="1331">
        <f>SUM(AO116:AO124)</f>
        <v>14.298999999999998</v>
      </c>
      <c r="AP125" s="1331">
        <f>SUM(AP116:AP124)</f>
        <v>-5.8989999999998792</v>
      </c>
      <c r="AQ125" s="1331">
        <f>SUM(AQ116:AQ124)</f>
        <v>-65.017999999999901</v>
      </c>
      <c r="AR125" s="1331"/>
      <c r="AS125" s="1331">
        <f>SUM(AS116:AS124)</f>
        <v>-7.3050000000000015</v>
      </c>
      <c r="AT125" s="1331">
        <f>SUM(AT116:AT124)</f>
        <v>20.576999999999998</v>
      </c>
      <c r="AU125" s="1331">
        <f>SUM(AU116:AU124)</f>
        <v>-32.262</v>
      </c>
      <c r="AV125" s="1331">
        <f>SUM(AV116:AV124)</f>
        <v>-40.00200000000001</v>
      </c>
      <c r="AW125" s="1331">
        <f>SUM(AW116:AW124)</f>
        <v>-58.992000000000004</v>
      </c>
      <c r="AX125" s="1331"/>
      <c r="AY125" s="1331">
        <f>SUM(AY116:AY124)</f>
        <v>17.599999999999998</v>
      </c>
      <c r="AZ125" s="1331">
        <f>SUM(AZ116:AZ124)</f>
        <v>-26.299999999999997</v>
      </c>
      <c r="BA125" s="1331">
        <f>SUM(BA116:BA124)</f>
        <v>71.300000000000011</v>
      </c>
      <c r="BB125" s="1331">
        <f>SUM(BB116:BB124)</f>
        <v>112.99999999999999</v>
      </c>
      <c r="BC125" s="1331">
        <f>SUM(BC116:BC124)</f>
        <v>175.59999999999997</v>
      </c>
      <c r="BD125" s="1331"/>
      <c r="BE125" s="1331">
        <f>SUM(BE116:BE124)</f>
        <v>-24.799999999999997</v>
      </c>
      <c r="BF125" s="1331">
        <f>SUM(BF116:BF124)</f>
        <v>-56.199999999999996</v>
      </c>
      <c r="BG125" s="1331">
        <f>SUM(BG116:BG124)</f>
        <v>-128.92099999999999</v>
      </c>
      <c r="BH125" s="1331">
        <f>SUM(BH116:BH124)</f>
        <v>-128</v>
      </c>
      <c r="BI125" s="1331">
        <f>SUM(BI116:BI124)</f>
        <v>-337.92099999999999</v>
      </c>
      <c r="BJ125" s="1331"/>
      <c r="BK125" s="1331">
        <f>SUM(BK116:BK124)</f>
        <v>-103.8</v>
      </c>
      <c r="BL125" s="1331">
        <f>SUM(BL116:BL124)</f>
        <v>92.2</v>
      </c>
      <c r="BM125" s="1331">
        <f>SUM(BM116:BM124)</f>
        <v>-66.800000000000011</v>
      </c>
      <c r="BN125" s="1331">
        <f>SUM(BN116:BN124)</f>
        <v>-39.4</v>
      </c>
      <c r="BO125" s="1342">
        <f>SUM(BO116:BO124)</f>
        <v>-117.8</v>
      </c>
      <c r="BP125" s="1331"/>
      <c r="BQ125" s="1331">
        <f>SUM(BQ116:BQ124)</f>
        <v>-96.499999999999986</v>
      </c>
      <c r="BR125" s="1331">
        <f>SUM(BR116:BR124)</f>
        <v>116.99999999999999</v>
      </c>
      <c r="BS125" s="1331">
        <f>SUM(BS116:BS124)</f>
        <v>-47.999999999999986</v>
      </c>
      <c r="BT125" s="1331">
        <f>SUM(BT116:BT124)</f>
        <v>-58.199999999999996</v>
      </c>
      <c r="BU125" s="1342">
        <f>SUM(BU116:BU124)</f>
        <v>-85.699999999999974</v>
      </c>
      <c r="BV125" s="1331"/>
      <c r="BW125" s="1331">
        <f>SUM(BW116:BW124)</f>
        <v>-15.500000000000002</v>
      </c>
      <c r="BX125" s="1331">
        <f>SUM(BX116:BX124)</f>
        <v>-289.2</v>
      </c>
      <c r="BY125" s="1331">
        <f>SUM(BY116:BY124)</f>
        <v>-157.70000000000005</v>
      </c>
      <c r="BZ125" s="1331">
        <f>SUM(BZ116:BZ124)</f>
        <v>-15.699999999999982</v>
      </c>
      <c r="CA125" s="1342">
        <f>SUM(CA116:CA124)</f>
        <v>-478.1</v>
      </c>
      <c r="CB125" s="1331"/>
      <c r="CC125" s="1331">
        <f>SUM(CC116:CC124)</f>
        <v>-38.5</v>
      </c>
      <c r="CD125" s="1331">
        <f>SUM(CD116:CD124)</f>
        <v>-278.3</v>
      </c>
      <c r="CE125" s="1331">
        <f>SUM(CE116:CE124)</f>
        <v>-2.2999999999999527</v>
      </c>
      <c r="CF125" s="1331">
        <f>SUM(CF116:CF124)</f>
        <v>36.099999999999945</v>
      </c>
      <c r="CG125" s="1342">
        <f>SUM(CG116:CG124)</f>
        <v>-283</v>
      </c>
      <c r="CH125" s="1331"/>
      <c r="CI125" s="1331">
        <f>SUM(CI116:CI124)</f>
        <v>-16.500000000000004</v>
      </c>
      <c r="CJ125" s="1331">
        <f>SUM(CJ116:CJ124)</f>
        <v>-133.69999999999996</v>
      </c>
      <c r="CK125" s="1331">
        <f>SUM(CK116:CK124)</f>
        <v>-19</v>
      </c>
      <c r="CL125" s="1331">
        <f>SUM(CL116:CL124)</f>
        <v>26.899999999999967</v>
      </c>
      <c r="CM125" s="1343">
        <f>SUM(CM116:CM124)</f>
        <v>-142.30000000000001</v>
      </c>
      <c r="CN125" s="1331"/>
      <c r="CO125" s="1331">
        <f>SUM(CO116:CO124)</f>
        <v>-152.69999999999999</v>
      </c>
      <c r="CP125" s="1331">
        <f>SUM(CP116:CP124)</f>
        <v>-22.100000000000037</v>
      </c>
      <c r="CQ125" s="1331">
        <f>SUM(CQ116:CQ124)</f>
        <v>-118.29999999999995</v>
      </c>
      <c r="CR125" s="1331">
        <f>SUM(CR116:CR124)</f>
        <v>-77.200000000000031</v>
      </c>
      <c r="CS125" s="1343">
        <f>SUM(CS116:CS124)</f>
        <v>-370.3</v>
      </c>
      <c r="CT125" s="1331"/>
      <c r="CU125" s="1331">
        <f>SUM(CU116:CU124)</f>
        <v>-287</v>
      </c>
      <c r="CV125" s="1331">
        <f>SUM(CV116:CV124)</f>
        <v>-164.29999999999998</v>
      </c>
      <c r="CW125" s="1331">
        <f>SUM(CW116:CW124)</f>
        <v>-279.19999999999993</v>
      </c>
      <c r="CX125" s="1331">
        <f>SUM(CX116:CX124)</f>
        <v>83.29999999999967</v>
      </c>
      <c r="CY125" s="1343">
        <f>SUM(CY116:CY124)</f>
        <v>-647.20000000000016</v>
      </c>
      <c r="CZ125" s="1331"/>
      <c r="DA125" s="1331">
        <f>SUM(DA116:DA124)</f>
        <v>-131.70000000000002</v>
      </c>
      <c r="DB125" s="1331">
        <f>SUM(DB116:DB124)</f>
        <v>-213.79999999999993</v>
      </c>
      <c r="DC125" s="1331">
        <f>SUM(DC116:DC124)</f>
        <v>-38.000000000000021</v>
      </c>
      <c r="DD125" s="1331">
        <f>SUM(DD116:DD124)</f>
        <v>189.49999999999994</v>
      </c>
      <c r="DE125" s="1343">
        <f>SUM(DE116:DE124)</f>
        <v>-194.00000000000003</v>
      </c>
      <c r="DF125" s="1331"/>
      <c r="DG125" s="1331">
        <f>SUM(DG116:DG124)</f>
        <v>-421.7</v>
      </c>
      <c r="DH125" s="1331">
        <f>SUM(DH116:DH124)</f>
        <v>-308.7</v>
      </c>
      <c r="DI125" s="1331">
        <f>SUM(DI116:DI124)</f>
        <v>-47.299999999999841</v>
      </c>
      <c r="DJ125" s="1331">
        <f>SUM(DJ116:DJ124)</f>
        <v>-127.90000000000005</v>
      </c>
      <c r="DK125" s="1343">
        <f>SUM(DK116:DK124)</f>
        <v>-905.59999999999991</v>
      </c>
      <c r="DL125" s="1331"/>
      <c r="DM125" s="1331">
        <f>SUM(DM116:DM124)</f>
        <v>-252.89999999999998</v>
      </c>
      <c r="DN125" s="1331">
        <f>SUM(DN116:DN124)</f>
        <v>-413.7000000000001</v>
      </c>
      <c r="DO125" s="1331">
        <f>SUM(DO116:DO124)</f>
        <v>-89.5</v>
      </c>
      <c r="DP125" s="1331">
        <f>SUM(DP116:DP124)</f>
        <v>-53.399999999999878</v>
      </c>
      <c r="DQ125" s="1343">
        <f>SUM(DQ116:DQ124)</f>
        <v>-809.49999999999989</v>
      </c>
      <c r="DR125" s="1331"/>
      <c r="DS125" s="1331">
        <f>SUM(DS116:DS124)</f>
        <v>-230.19999999999996</v>
      </c>
      <c r="DT125" s="1331">
        <f>SUM(DT116:DT124)</f>
        <v>430.7999999999999</v>
      </c>
      <c r="DU125" s="1331">
        <f>SUM(DU116:DU124)</f>
        <v>85.200000000000017</v>
      </c>
      <c r="DV125" s="1331">
        <f>SUM(DV116:DV124)</f>
        <v>-13.799999999999983</v>
      </c>
      <c r="DW125" s="1343">
        <f>SUM(DW116:DW124)</f>
        <v>272</v>
      </c>
      <c r="DX125" s="1331"/>
      <c r="DY125" s="1331">
        <f>SUM(DY116:DY124)</f>
        <v>258.50000000000006</v>
      </c>
      <c r="DZ125" s="1331">
        <f>SUM(DZ116:DZ124)</f>
        <v>-57.800000000000011</v>
      </c>
      <c r="EA125" s="1331">
        <f>SUM(EA116:EA124)</f>
        <v>58.199999999999946</v>
      </c>
      <c r="EB125" s="1331">
        <f>SUM(EB116:EB124)</f>
        <v>247.49999999999997</v>
      </c>
      <c r="EC125" s="1343">
        <f>SUM(EC116:EC124)</f>
        <v>506.39999999999992</v>
      </c>
      <c r="ED125" s="1331"/>
      <c r="EE125" s="1331">
        <f>SUM(EE116:EE124)</f>
        <v>-5.8989241647235353</v>
      </c>
      <c r="EF125" s="1331">
        <f>SUM(EF116:EF124)</f>
        <v>-16.885781180310225</v>
      </c>
      <c r="EG125" s="1331">
        <f>SUM(EG116:EG124)</f>
        <v>-11.796987204392007</v>
      </c>
      <c r="EH125" s="1331">
        <f>SUM(EH116:EH124)</f>
        <v>-10.255918403161743</v>
      </c>
      <c r="EI125" s="1343">
        <f>SUM(EI116:EI124)</f>
        <v>-44.837610952587511</v>
      </c>
      <c r="EJ125" s="1331"/>
      <c r="EK125" s="1331">
        <f>SUM(EK116:EK124)</f>
        <v>-4.9301229030328795</v>
      </c>
      <c r="EL125" s="1331">
        <f>SUM(EL116:EL124)</f>
        <v>-18.581949160806552</v>
      </c>
      <c r="EM125" s="1331">
        <f>SUM(EM116:EM124)</f>
        <v>-12.08330236804786</v>
      </c>
      <c r="EN125" s="1331">
        <f>SUM(EN116:EN124)</f>
        <v>-9.9037809278775626</v>
      </c>
      <c r="EO125" s="1343">
        <f>SUM(EO116:EO124)</f>
        <v>-45.499155359764856</v>
      </c>
      <c r="EP125" s="1331"/>
      <c r="EQ125" s="1331">
        <f>SUM(EQ116:EQ124)</f>
        <v>-3.005320258499828</v>
      </c>
      <c r="ER125" s="1331">
        <f>SUM(ER116:ER124)</f>
        <v>-19.13144916889442</v>
      </c>
      <c r="ES125" s="1331">
        <f>SUM(ES116:ES124)</f>
        <v>-11.172259172448719</v>
      </c>
      <c r="ET125" s="1331">
        <f>SUM(ET116:ET124)</f>
        <v>-8.4034142527024542</v>
      </c>
      <c r="EU125" s="1343">
        <f>SUM(EU116:EU124)</f>
        <v>-41.712442852545422</v>
      </c>
      <c r="EV125" s="64"/>
      <c r="EW125" s="64"/>
      <c r="FD125" s="64"/>
      <c r="FE125" s="64"/>
      <c r="FF125" s="64"/>
      <c r="FG125" s="64"/>
      <c r="FH125" s="64"/>
      <c r="FI125" s="64"/>
      <c r="FJ125" s="64"/>
      <c r="FK125" s="64"/>
      <c r="FL125" s="64"/>
      <c r="FM125" s="64"/>
      <c r="FN125" s="64"/>
      <c r="FO125" s="64"/>
      <c r="FP125" s="64"/>
    </row>
    <row r="126" spans="1:172">
      <c r="A126" s="75"/>
      <c r="B126" s="42"/>
      <c r="C126" s="62"/>
      <c r="D126" s="62"/>
      <c r="E126" s="62"/>
      <c r="F126" s="62"/>
      <c r="G126" s="62"/>
      <c r="H126" s="61"/>
      <c r="I126" s="62"/>
      <c r="J126" s="62"/>
      <c r="K126" s="62"/>
      <c r="L126" s="62"/>
      <c r="M126" s="62"/>
      <c r="N126" s="61"/>
      <c r="O126" s="364"/>
      <c r="P126" s="364"/>
      <c r="Q126" s="364"/>
      <c r="R126" s="364"/>
      <c r="S126" s="77"/>
      <c r="T126" s="61"/>
      <c r="U126" s="364"/>
      <c r="V126" s="364"/>
      <c r="W126" s="364"/>
      <c r="X126" s="364"/>
      <c r="Y126" s="77"/>
      <c r="Z126" s="61"/>
      <c r="AA126" s="364"/>
      <c r="AB126" s="364"/>
      <c r="AC126" s="364"/>
      <c r="AD126" s="364"/>
      <c r="AE126" s="77"/>
      <c r="AF126" s="77"/>
      <c r="AG126" s="364"/>
      <c r="AH126" s="364"/>
      <c r="AI126" s="364"/>
      <c r="AJ126" s="364"/>
      <c r="AK126" s="364"/>
      <c r="AL126" s="77"/>
      <c r="AM126" s="364"/>
      <c r="AN126" s="364"/>
      <c r="AO126" s="364"/>
      <c r="AP126" s="364"/>
      <c r="AQ126" s="364"/>
      <c r="AR126" s="77"/>
      <c r="AS126" s="364"/>
      <c r="AT126" s="364"/>
      <c r="AU126" s="364"/>
      <c r="AV126" s="364"/>
      <c r="AW126" s="364"/>
      <c r="AX126" s="77"/>
      <c r="AY126" s="364"/>
      <c r="AZ126" s="364"/>
      <c r="BA126" s="364"/>
      <c r="BB126" s="364"/>
      <c r="BC126" s="364"/>
      <c r="BD126" s="77"/>
      <c r="BE126" s="77"/>
      <c r="BF126" s="43"/>
      <c r="BG126" s="43"/>
      <c r="BH126" s="43"/>
      <c r="BI126" s="43"/>
      <c r="BJ126" s="44"/>
      <c r="BK126" s="43"/>
      <c r="BL126" s="43"/>
      <c r="BM126" s="43"/>
      <c r="BN126" s="43"/>
      <c r="BO126" s="1326"/>
      <c r="BP126" s="44"/>
      <c r="BQ126" s="43"/>
      <c r="BR126" s="43"/>
      <c r="BS126" s="43"/>
      <c r="BT126" s="43"/>
      <c r="BU126" s="1326"/>
      <c r="BV126" s="44"/>
      <c r="BW126" s="43"/>
      <c r="BX126" s="43"/>
      <c r="BY126" s="43"/>
      <c r="BZ126" s="43"/>
      <c r="CA126" s="1326"/>
      <c r="CB126" s="44"/>
      <c r="CC126" s="43"/>
      <c r="CD126" s="43"/>
      <c r="CE126" s="43"/>
      <c r="CF126" s="43"/>
      <c r="CG126" s="1326"/>
      <c r="CH126" s="44"/>
      <c r="CI126" s="43"/>
      <c r="CJ126" s="43"/>
      <c r="CK126" s="43"/>
      <c r="CL126" s="43"/>
      <c r="CM126" s="1326"/>
      <c r="CN126" s="44"/>
      <c r="CO126" s="43"/>
      <c r="CP126" s="43"/>
      <c r="CQ126" s="43"/>
      <c r="CR126" s="43"/>
      <c r="CS126" s="1326"/>
      <c r="CT126" s="44"/>
      <c r="CU126" s="43"/>
      <c r="CV126" s="1713"/>
      <c r="CW126" s="43"/>
      <c r="CX126" s="43"/>
      <c r="CY126" s="1326"/>
      <c r="CZ126" s="44"/>
      <c r="DA126" s="43"/>
      <c r="DB126" s="43"/>
      <c r="DC126" s="43"/>
      <c r="DD126" s="43"/>
      <c r="DE126" s="1326"/>
      <c r="DF126" s="44"/>
      <c r="DG126" s="43"/>
      <c r="DH126" s="43"/>
      <c r="DI126" s="43"/>
      <c r="DJ126" s="43"/>
      <c r="DK126" s="1326"/>
      <c r="DL126" s="44"/>
      <c r="DM126" s="43"/>
      <c r="DN126" s="43"/>
      <c r="DO126" s="43"/>
      <c r="DP126" s="43"/>
      <c r="DQ126" s="1326"/>
      <c r="DR126" s="44"/>
      <c r="DS126" s="43"/>
      <c r="DT126" s="43"/>
      <c r="DU126" s="43"/>
      <c r="DV126" s="43"/>
      <c r="DW126" s="1326"/>
      <c r="DX126" s="44"/>
      <c r="DY126" s="43"/>
      <c r="DZ126" s="43"/>
      <c r="EA126" s="43"/>
      <c r="EB126" s="43"/>
      <c r="EC126" s="1326"/>
      <c r="ED126" s="44"/>
      <c r="EE126" s="43"/>
      <c r="EF126" s="43"/>
      <c r="EG126" s="43"/>
      <c r="EH126" s="43"/>
      <c r="EI126" s="1326"/>
      <c r="EJ126" s="44"/>
      <c r="EK126" s="43"/>
      <c r="EL126" s="43"/>
      <c r="EM126" s="43"/>
      <c r="EN126" s="43"/>
      <c r="EO126" s="1326"/>
      <c r="EP126" s="44"/>
      <c r="EQ126" s="43"/>
      <c r="ER126" s="43"/>
      <c r="ES126" s="43"/>
      <c r="ET126" s="43"/>
      <c r="EU126" s="1326"/>
      <c r="EV126" s="45"/>
      <c r="EW126" s="45"/>
      <c r="FD126" s="45"/>
      <c r="FE126" s="45"/>
      <c r="FF126" s="45"/>
      <c r="FG126" s="45"/>
      <c r="FH126" s="45"/>
      <c r="FI126" s="45"/>
      <c r="FJ126" s="45"/>
      <c r="FK126" s="45"/>
      <c r="FL126" s="45"/>
      <c r="FM126" s="45"/>
      <c r="FN126" s="45"/>
      <c r="FO126" s="45"/>
      <c r="FP126" s="45"/>
    </row>
    <row r="127" spans="1:172">
      <c r="A127" s="60" t="s">
        <v>4677</v>
      </c>
      <c r="B127" s="42"/>
      <c r="C127" s="62"/>
      <c r="D127" s="62"/>
      <c r="E127" s="62"/>
      <c r="F127" s="62"/>
      <c r="G127" s="62"/>
      <c r="H127" s="61"/>
      <c r="I127" s="62"/>
      <c r="J127" s="62"/>
      <c r="K127" s="62"/>
      <c r="L127" s="62"/>
      <c r="M127" s="62"/>
      <c r="N127" s="61"/>
      <c r="O127" s="428"/>
      <c r="P127" s="428"/>
      <c r="Q127" s="428"/>
      <c r="R127" s="428"/>
      <c r="S127" s="43"/>
      <c r="T127" s="61"/>
      <c r="U127" s="428"/>
      <c r="V127" s="428"/>
      <c r="W127" s="428"/>
      <c r="X127" s="428"/>
      <c r="Y127" s="43"/>
      <c r="Z127" s="61"/>
      <c r="AA127" s="428"/>
      <c r="AB127" s="428"/>
      <c r="AC127" s="428"/>
      <c r="AD127" s="428"/>
      <c r="AE127" s="43"/>
      <c r="AF127" s="61"/>
      <c r="AG127" s="428">
        <f>AG54</f>
        <v>0</v>
      </c>
      <c r="AH127" s="428">
        <f>AH54</f>
        <v>0</v>
      </c>
      <c r="AI127" s="428">
        <f>AI54</f>
        <v>0</v>
      </c>
      <c r="AJ127" s="428">
        <f>AJ54</f>
        <v>0</v>
      </c>
      <c r="AK127" s="428">
        <f>AK54</f>
        <v>0</v>
      </c>
      <c r="AL127" s="61"/>
      <c r="AM127" s="428">
        <f>AM54</f>
        <v>0</v>
      </c>
      <c r="AN127" s="428">
        <f>AN54</f>
        <v>0</v>
      </c>
      <c r="AO127" s="428">
        <f>AO54</f>
        <v>0</v>
      </c>
      <c r="AP127" s="428">
        <f>AP54</f>
        <v>0</v>
      </c>
      <c r="AQ127" s="428">
        <f>AQ54</f>
        <v>0</v>
      </c>
      <c r="AR127" s="61"/>
      <c r="AS127" s="428">
        <f>AS54</f>
        <v>0</v>
      </c>
      <c r="AT127" s="428">
        <f>AT54</f>
        <v>0</v>
      </c>
      <c r="AU127" s="428">
        <f>AU54</f>
        <v>0</v>
      </c>
      <c r="AV127" s="428">
        <f>AV54</f>
        <v>0</v>
      </c>
      <c r="AW127" s="428">
        <f>AW54</f>
        <v>0</v>
      </c>
      <c r="AX127" s="61"/>
      <c r="AY127" s="428"/>
      <c r="AZ127" s="428"/>
      <c r="BA127" s="428"/>
      <c r="BB127" s="428"/>
      <c r="BC127" s="428"/>
      <c r="BD127" s="61"/>
      <c r="BE127" s="645"/>
      <c r="BF127" s="43"/>
      <c r="BG127" s="43"/>
      <c r="BH127" s="43"/>
      <c r="BI127" s="43"/>
      <c r="BJ127" s="44"/>
      <c r="BK127" s="43"/>
      <c r="BL127" s="43"/>
      <c r="BM127" s="43"/>
      <c r="BN127" s="43"/>
      <c r="BO127" s="1326"/>
      <c r="BP127" s="44"/>
      <c r="BQ127" s="43"/>
      <c r="BR127" s="43"/>
      <c r="BS127" s="43"/>
      <c r="BT127" s="43"/>
      <c r="BU127" s="1326"/>
      <c r="BV127" s="44"/>
      <c r="BW127" s="43"/>
      <c r="BX127" s="43"/>
      <c r="BY127" s="43"/>
      <c r="BZ127" s="43"/>
      <c r="CA127" s="1326"/>
      <c r="CB127" s="44"/>
      <c r="CC127" s="43"/>
      <c r="CD127" s="43"/>
      <c r="CE127" s="43"/>
      <c r="CF127" s="43"/>
      <c r="CG127" s="1326"/>
      <c r="CH127" s="44"/>
      <c r="CI127" s="43"/>
      <c r="CJ127" s="43"/>
      <c r="CK127" s="43"/>
      <c r="CL127" s="43"/>
      <c r="CM127" s="1326"/>
      <c r="CN127" s="44"/>
      <c r="CO127" s="43"/>
      <c r="CP127" s="43"/>
      <c r="CQ127" s="43"/>
      <c r="CR127" s="43"/>
      <c r="CS127" s="1326"/>
      <c r="CT127" s="44"/>
      <c r="CU127" s="43"/>
      <c r="CV127" s="43"/>
      <c r="CW127" s="43"/>
      <c r="CX127" s="43"/>
      <c r="CY127" s="1326"/>
      <c r="CZ127" s="44"/>
      <c r="DA127" s="43"/>
      <c r="DB127" s="43"/>
      <c r="DC127" s="43"/>
      <c r="DD127" s="43"/>
      <c r="DE127" s="1326"/>
      <c r="DF127" s="44"/>
      <c r="DG127" s="43"/>
      <c r="DH127" s="43"/>
      <c r="DI127" s="43"/>
      <c r="DJ127" s="43"/>
      <c r="DK127" s="1326"/>
      <c r="DL127" s="44"/>
      <c r="DM127" s="43"/>
      <c r="DN127" s="43"/>
      <c r="DO127" s="43"/>
      <c r="DP127" s="43"/>
      <c r="DQ127" s="1326"/>
      <c r="DR127" s="44"/>
      <c r="DS127" s="43"/>
      <c r="DT127" s="43"/>
      <c r="DU127" s="43"/>
      <c r="DV127" s="43"/>
      <c r="DW127" s="1326"/>
      <c r="DX127" s="44"/>
      <c r="DY127" s="43"/>
      <c r="DZ127" s="43"/>
      <c r="EA127" s="43"/>
      <c r="EB127" s="43"/>
      <c r="EC127" s="1326"/>
      <c r="ED127" s="44"/>
      <c r="EE127" s="43"/>
      <c r="EF127" s="43"/>
      <c r="EG127" s="43"/>
      <c r="EH127" s="43"/>
      <c r="EI127" s="1326"/>
      <c r="EJ127" s="44"/>
      <c r="EK127" s="43"/>
      <c r="EL127" s="43"/>
      <c r="EM127" s="43"/>
      <c r="EN127" s="43"/>
      <c r="EO127" s="1326"/>
      <c r="EP127" s="44"/>
      <c r="EQ127" s="43"/>
      <c r="ER127" s="43"/>
      <c r="ES127" s="43"/>
      <c r="ET127" s="43"/>
      <c r="EU127" s="1326"/>
      <c r="EV127" s="45"/>
      <c r="EW127" s="45"/>
      <c r="FD127" s="45"/>
      <c r="FE127" s="45"/>
      <c r="FF127" s="45"/>
      <c r="FG127" s="45"/>
      <c r="FH127" s="45"/>
      <c r="FI127" s="45"/>
      <c r="FJ127" s="45"/>
      <c r="FK127" s="45"/>
      <c r="FL127" s="45"/>
      <c r="FM127" s="45"/>
      <c r="FN127" s="45"/>
      <c r="FO127" s="45"/>
      <c r="FP127" s="45"/>
    </row>
    <row r="128" spans="1:172">
      <c r="A128" s="41" t="s">
        <v>6443</v>
      </c>
      <c r="B128" s="42"/>
      <c r="C128" s="62"/>
      <c r="D128" s="62"/>
      <c r="E128" s="62"/>
      <c r="F128" s="62"/>
      <c r="G128" s="62"/>
      <c r="H128" s="61"/>
      <c r="I128" s="62"/>
      <c r="J128" s="62"/>
      <c r="K128" s="62"/>
      <c r="L128" s="62"/>
      <c r="M128" s="62"/>
      <c r="N128" s="61"/>
      <c r="O128" s="62">
        <f>O55</f>
        <v>57.036000000000001</v>
      </c>
      <c r="P128" s="62">
        <f t="shared" ref="P128:R129" si="413">IF(P55="-","-",SUM(P55)-SUM(O55))</f>
        <v>23.600999999999999</v>
      </c>
      <c r="Q128" s="62">
        <f t="shared" si="413"/>
        <v>9.5900000000000034</v>
      </c>
      <c r="R128" s="62">
        <f t="shared" si="413"/>
        <v>0.73499999999999943</v>
      </c>
      <c r="S128" s="62">
        <f>SUM(O128:R128)</f>
        <v>90.962000000000003</v>
      </c>
      <c r="T128" s="61"/>
      <c r="U128" s="62">
        <f>U55</f>
        <v>133.96700000000001</v>
      </c>
      <c r="V128" s="62">
        <f t="shared" ref="V128:X129" si="414">IF(V55="-","-",SUM(V55)-SUM(U55))</f>
        <v>3.4089999999999918</v>
      </c>
      <c r="W128" s="62">
        <f t="shared" si="414"/>
        <v>8.8629999999999995</v>
      </c>
      <c r="X128" s="62">
        <f t="shared" si="414"/>
        <v>14.341000000000008</v>
      </c>
      <c r="Y128" s="62">
        <f>SUM(U128:X128)</f>
        <v>160.58000000000001</v>
      </c>
      <c r="Z128" s="61"/>
      <c r="AA128" s="62">
        <f>AA55</f>
        <v>83.614999999999995</v>
      </c>
      <c r="AB128" s="62">
        <f t="shared" ref="AB128:AD129" si="415">IF(AB55="-","-",SUM(AB55)-SUM(AA55))</f>
        <v>8.6290000000000049</v>
      </c>
      <c r="AC128" s="62">
        <f t="shared" si="415"/>
        <v>14.784999999999997</v>
      </c>
      <c r="AD128" s="62">
        <f t="shared" si="415"/>
        <v>7.007000000000005</v>
      </c>
      <c r="AE128" s="62">
        <f>SUM(AA128:AD128)</f>
        <v>114.036</v>
      </c>
      <c r="AF128" s="61"/>
      <c r="AG128" s="62">
        <f>AG55</f>
        <v>20.376000000000001</v>
      </c>
      <c r="AH128" s="62">
        <f t="shared" ref="AH128:AJ129" si="416">IF(AH55="-","-",SUM(AH55)-SUM(AG55))</f>
        <v>11.576999999999998</v>
      </c>
      <c r="AI128" s="62">
        <f t="shared" si="416"/>
        <v>21.651999999999997</v>
      </c>
      <c r="AJ128" s="62">
        <f t="shared" si="416"/>
        <v>26.890000000000008</v>
      </c>
      <c r="AK128" s="62">
        <f>SUM(AG128:AJ128)</f>
        <v>80.495000000000005</v>
      </c>
      <c r="AL128" s="61"/>
      <c r="AM128" s="62">
        <f>AM55</f>
        <v>58.107999999999997</v>
      </c>
      <c r="AN128" s="62">
        <f t="shared" ref="AN128:AP129" si="417">IF(AN55="-","-",SUM(AN55)-SUM(AM55))</f>
        <v>1.6060000000000016</v>
      </c>
      <c r="AO128" s="62">
        <f t="shared" si="417"/>
        <v>11.569000000000003</v>
      </c>
      <c r="AP128" s="62">
        <f t="shared" si="417"/>
        <v>3.4039999999999964</v>
      </c>
      <c r="AQ128" s="62">
        <f>SUM(AM128:AP128)</f>
        <v>74.686999999999998</v>
      </c>
      <c r="AR128" s="61"/>
      <c r="AS128" s="62">
        <f>AS55</f>
        <v>15.122999999999999</v>
      </c>
      <c r="AT128" s="62">
        <f t="shared" ref="AT128:AV129" si="418">IF(AT55="-","-",SUM(AT55)-SUM(AS55))</f>
        <v>6.3439999999999994</v>
      </c>
      <c r="AU128" s="62">
        <f t="shared" si="418"/>
        <v>28.987000000000002</v>
      </c>
      <c r="AV128" s="62">
        <f t="shared" si="418"/>
        <v>64.947000000000003</v>
      </c>
      <c r="AW128" s="62">
        <f>SUM(AS128:AV128)</f>
        <v>115.40100000000001</v>
      </c>
      <c r="AX128" s="61"/>
      <c r="AY128" s="62">
        <f t="shared" ref="AY128:AY133" si="419">AY55</f>
        <v>104.9</v>
      </c>
      <c r="AZ128" s="62">
        <f t="shared" ref="AZ128:BB130" si="420">IF(AZ55="-","-",SUM(AZ55)-SUM(AY55))</f>
        <v>56</v>
      </c>
      <c r="BA128" s="62">
        <f t="shared" si="420"/>
        <v>50.599999999999994</v>
      </c>
      <c r="BB128" s="62">
        <f t="shared" si="420"/>
        <v>30.699999999999989</v>
      </c>
      <c r="BC128" s="62">
        <f t="shared" ref="BC128:BC133" si="421">SUM(AY128:BB128)</f>
        <v>242.2</v>
      </c>
      <c r="BD128" s="61"/>
      <c r="BE128" s="62">
        <f t="shared" ref="BE128:BE133" si="422">BE55</f>
        <v>40.1</v>
      </c>
      <c r="BF128" s="62">
        <f t="shared" ref="BF128:BH130" si="423">IF(BF55="-","-",SUM(BF55)-SUM(BE55))</f>
        <v>32.70000000000001</v>
      </c>
      <c r="BG128" s="62">
        <f t="shared" si="423"/>
        <v>54.2</v>
      </c>
      <c r="BH128" s="62">
        <f t="shared" si="423"/>
        <v>17.600000000000009</v>
      </c>
      <c r="BI128" s="62">
        <f t="shared" ref="BI128:BI133" si="424">SUM(BE128:BH128)</f>
        <v>144.60000000000002</v>
      </c>
      <c r="BJ128" s="61"/>
      <c r="BK128" s="62">
        <f>BK55</f>
        <v>49.2</v>
      </c>
      <c r="BL128" s="62">
        <f t="shared" ref="BL128:BN130" si="425">IF(BL55="-","-",SUM(BL55)-SUM(BK55))</f>
        <v>15</v>
      </c>
      <c r="BM128" s="62">
        <f t="shared" si="425"/>
        <v>9.9000000000000057</v>
      </c>
      <c r="BN128" s="62">
        <f t="shared" si="425"/>
        <v>9.9999999999994316E-2</v>
      </c>
      <c r="BO128" s="1166">
        <f t="shared" ref="BO128:BO133" si="426">SUM(BK128:BN128)</f>
        <v>74.2</v>
      </c>
      <c r="BP128" s="61"/>
      <c r="BQ128" s="62">
        <f t="shared" ref="BQ128:BQ133" si="427">BQ55</f>
        <v>0</v>
      </c>
      <c r="BR128" s="62">
        <f t="shared" ref="BR128:BT130" si="428">IF(BR55="-","-",SUM(BR55)-SUM(BQ55))</f>
        <v>83.8</v>
      </c>
      <c r="BS128" s="62">
        <f t="shared" si="428"/>
        <v>76.899999999999991</v>
      </c>
      <c r="BT128" s="62">
        <f t="shared" si="428"/>
        <v>26.600000000000023</v>
      </c>
      <c r="BU128" s="1166">
        <f t="shared" ref="BU128:BU133" si="429">SUM(BQ128:BT128)</f>
        <v>187.3</v>
      </c>
      <c r="BV128" s="61"/>
      <c r="BW128" s="62">
        <f t="shared" ref="BW128:BW133" si="430">BW55</f>
        <v>35.299999999999997</v>
      </c>
      <c r="BX128" s="62">
        <f t="shared" ref="BX128:BX133" si="431">IF(BX55="-","-",SUM(BX55)-SUM(BW55))</f>
        <v>14.800000000000004</v>
      </c>
      <c r="BY128" s="62">
        <f t="shared" ref="BY128:BY133" si="432">IF(BY55="-","-",SUM(BY55)-SUM(BX55))</f>
        <v>38.999999999999993</v>
      </c>
      <c r="BZ128" s="62">
        <f t="shared" ref="BZ128:BZ133" si="433">IF(BZ55="-","-",SUM(BZ55)-SUM(BY55))</f>
        <v>1</v>
      </c>
      <c r="CA128" s="1166">
        <f t="shared" ref="CA128:CA133" si="434">SUM(BW128:BZ128)</f>
        <v>90.1</v>
      </c>
      <c r="CB128" s="61"/>
      <c r="CC128" s="62">
        <f t="shared" ref="CC128:CC133" si="435">CC55</f>
        <v>25.4</v>
      </c>
      <c r="CD128" s="62">
        <f t="shared" ref="CD128:CD133" si="436">IF(CD55="-","-",SUM(CD55)-SUM(CC55))</f>
        <v>18.700000000000003</v>
      </c>
      <c r="CE128" s="62">
        <f t="shared" ref="CE128:CE133" si="437">IF(CE55="-","-",SUM(CE55)-SUM(CD55))</f>
        <v>23.4</v>
      </c>
      <c r="CF128" s="62">
        <f t="shared" ref="CF128:CF133" si="438">IF(CF55="-","-",SUM(CF55)-SUM(CE55))</f>
        <v>2.5</v>
      </c>
      <c r="CG128" s="1166">
        <f t="shared" ref="CG128:CG133" si="439">SUM(CC128:CF128)</f>
        <v>70</v>
      </c>
      <c r="CH128" s="61"/>
      <c r="CI128" s="62">
        <f t="shared" ref="CI128:CI133" si="440">CI55</f>
        <v>36.200000000000003</v>
      </c>
      <c r="CJ128" s="62">
        <f t="shared" ref="CJ128:CJ133" si="441">IF(CJ55="-","-",SUM(CJ55)-SUM(CI55))</f>
        <v>3.8999999999999986</v>
      </c>
      <c r="CK128" s="62">
        <f t="shared" ref="CK128:CK133" si="442">IF(CK55="-","-",SUM(CK55)-SUM(CJ55))</f>
        <v>36.300000000000004</v>
      </c>
      <c r="CL128" s="62">
        <f t="shared" ref="CL128:CL133" si="443">IF(CL55="-","-",SUM(CL55)-SUM(CK55))</f>
        <v>44.5</v>
      </c>
      <c r="CM128" s="1166">
        <f t="shared" ref="CM128:CM133" si="444">SUM(CI128:CL128)</f>
        <v>120.9</v>
      </c>
      <c r="CN128" s="61"/>
      <c r="CO128" s="62">
        <f t="shared" ref="CO128:CO133" si="445">CO55</f>
        <v>111.3</v>
      </c>
      <c r="CP128" s="62">
        <f t="shared" ref="CP128:CP133" si="446">IF(CP55="-","-",SUM(CP55)-SUM(CO55))</f>
        <v>18.299999999999997</v>
      </c>
      <c r="CQ128" s="62">
        <f t="shared" ref="CQ128:CQ133" si="447">IF(CQ55="-","-",SUM(CQ55)-SUM(CP55))</f>
        <v>26.700000000000017</v>
      </c>
      <c r="CR128" s="62">
        <f t="shared" ref="CR128:CR133" si="448">IF(CR55="-","-",SUM(CR55)-SUM(CQ55))</f>
        <v>19.799999999999983</v>
      </c>
      <c r="CS128" s="1166">
        <f t="shared" ref="CS128:CS133" si="449">SUM(CO128:CR128)</f>
        <v>176.1</v>
      </c>
      <c r="CT128" s="61"/>
      <c r="CU128" s="62">
        <f t="shared" ref="CU128:CU133" si="450">CU55</f>
        <v>153</v>
      </c>
      <c r="CV128" s="62">
        <f t="shared" ref="CV128:CV133" si="451">IF(CV55="-","-",SUM(CV55)-SUM(CU55))</f>
        <v>5.8000000000000114</v>
      </c>
      <c r="CW128" s="62">
        <f t="shared" ref="CW128:CW133" si="452">IF(CW55="-","-",SUM(CW55)-SUM(CV55))</f>
        <v>40.799999999999983</v>
      </c>
      <c r="CX128" s="62">
        <f t="shared" ref="CX128:CX133" si="453">IF(CX55="-","-",SUM(CX55)-SUM(CW55))</f>
        <v>14.5</v>
      </c>
      <c r="CY128" s="1166">
        <f t="shared" ref="CY128:CY133" si="454">SUM(CU128:CX128)</f>
        <v>214.1</v>
      </c>
      <c r="CZ128" s="61"/>
      <c r="DA128" s="62">
        <f t="shared" ref="DA128:DA133" si="455">DA55</f>
        <v>70</v>
      </c>
      <c r="DB128" s="62">
        <f t="shared" ref="DB128:DB133" si="456">IF(DB55="-","-",SUM(DB55)-SUM(DA55))</f>
        <v>9.7999999999999972</v>
      </c>
      <c r="DC128" s="62">
        <f t="shared" ref="DC128:DC133" si="457">IF(DC55="-","-",SUM(DC55)-SUM(DB55))</f>
        <v>103.60000000000001</v>
      </c>
      <c r="DD128" s="62">
        <f t="shared" ref="DD128:DD133" si="458">IF(DD55="-","-",SUM(DD55)-SUM(DC55))</f>
        <v>104.79999999999998</v>
      </c>
      <c r="DE128" s="1166">
        <f t="shared" ref="DE128:DE133" si="459">SUM(DA128:DD128)</f>
        <v>288.2</v>
      </c>
      <c r="DF128" s="61"/>
      <c r="DG128" s="62">
        <f t="shared" ref="DG128:DG133" si="460">DG55</f>
        <v>62.2</v>
      </c>
      <c r="DH128" s="62">
        <f t="shared" ref="DH128:DH133" si="461">IF(DH55="-","-",SUM(DH55)-SUM(DG55))</f>
        <v>29.099999999999994</v>
      </c>
      <c r="DI128" s="62">
        <f t="shared" ref="DI128:DI133" si="462">IF(DI55="-","-",SUM(DI55)-SUM(DH55))</f>
        <v>38.299999999999997</v>
      </c>
      <c r="DJ128" s="62">
        <f t="shared" ref="DJ128:DJ133" si="463">IF(DJ55="-","-",SUM(DJ55)-SUM(DI55))</f>
        <v>5.8000000000000114</v>
      </c>
      <c r="DK128" s="1166">
        <f t="shared" ref="DK128:DK133" si="464">SUM(DG128:DJ128)</f>
        <v>135.4</v>
      </c>
      <c r="DL128" s="61"/>
      <c r="DM128" s="62">
        <f t="shared" ref="DM128:DM133" si="465">DM55</f>
        <v>34.1</v>
      </c>
      <c r="DN128" s="62">
        <f t="shared" ref="DN128:DN133" si="466">IF(DN55="-","-",SUM(DN55)-SUM(DM55))</f>
        <v>-0.89999999999999858</v>
      </c>
      <c r="DO128" s="62">
        <f t="shared" ref="DO128:DO133" si="467">IF(DO55="-","-",SUM(DO55)-SUM(DN55))</f>
        <v>23.799999999999997</v>
      </c>
      <c r="DP128" s="62">
        <f t="shared" ref="DP128:DP133" si="468">IF(DP55="-","-",SUM(DP55)-SUM(DO55))</f>
        <v>53.8</v>
      </c>
      <c r="DQ128" s="1166">
        <f t="shared" ref="DQ128:DQ133" si="469">SUM(DM128:DP128)</f>
        <v>110.8</v>
      </c>
      <c r="DR128" s="61"/>
      <c r="DS128" s="62">
        <f t="shared" ref="DS128:DS133" si="470">DS55</f>
        <v>51.2</v>
      </c>
      <c r="DT128" s="62">
        <f t="shared" ref="DT128:DT133" si="471">IF(DT55="-","-",SUM(DT55)-SUM(DS55))</f>
        <v>3</v>
      </c>
      <c r="DU128" s="62">
        <f t="shared" ref="DU128:DU133" si="472">IF(DU55="-","-",SUM(DU55)-SUM(DT55))</f>
        <v>48</v>
      </c>
      <c r="DV128" s="62">
        <f t="shared" ref="DV128:DV133" si="473">IF(DV55="-","-",SUM(DV55)-SUM(DU55))</f>
        <v>17.399999999999991</v>
      </c>
      <c r="DW128" s="1166">
        <f t="shared" ref="DW128:DW133" si="474">SUM(DS128:DV128)</f>
        <v>119.6</v>
      </c>
      <c r="DX128" s="61"/>
      <c r="DY128" s="62">
        <f t="shared" ref="DY128:DY133" si="475">DY55</f>
        <v>50.1</v>
      </c>
      <c r="DZ128" s="62">
        <f t="shared" ref="DZ128:DZ133" si="476">IF(DZ55="-","-",SUM(DZ55)-SUM(DY55))</f>
        <v>5.7999999999999972</v>
      </c>
      <c r="EA128" s="62">
        <f t="shared" ref="EA128:EA133" si="477">IF(EA55="-","-",SUM(EA55)-SUM(DZ55))</f>
        <v>37.300000000000004</v>
      </c>
      <c r="EB128" s="62">
        <f t="shared" ref="EB128:EB133" si="478">IF(EB55="-","-",SUM(EB55)-SUM(EA55))</f>
        <v>1.2000000000000028</v>
      </c>
      <c r="EC128" s="1166">
        <f t="shared" ref="EC128:EC133" si="479">SUM(DY128:EB128)</f>
        <v>94.4</v>
      </c>
      <c r="ED128" s="61"/>
      <c r="EE128" s="62">
        <f t="shared" ref="EE128:EE133" si="480">EE55</f>
        <v>55.11</v>
      </c>
      <c r="EF128" s="62">
        <f t="shared" ref="EF128:EF133" si="481">IF(EF55="-","-",SUM(EF55)-SUM(EE55))</f>
        <v>6.3799999999999955</v>
      </c>
      <c r="EG128" s="62">
        <f t="shared" ref="EG128:EG133" si="482">IF(EG55="-","-",SUM(EG55)-SUM(EF55))</f>
        <v>41.030000000000015</v>
      </c>
      <c r="EH128" s="62">
        <f t="shared" ref="EH128:EH133" si="483">IF(EH55="-","-",SUM(EH55)-SUM(EG55))</f>
        <v>1.3200000000000074</v>
      </c>
      <c r="EI128" s="1166">
        <f t="shared" ref="EI128:EI133" si="484">SUM(EE128:EH128)</f>
        <v>103.84000000000002</v>
      </c>
      <c r="EJ128" s="61"/>
      <c r="EK128" s="62">
        <f t="shared" ref="EK128:EK133" si="485">EK55</f>
        <v>60.621000000000009</v>
      </c>
      <c r="EL128" s="62">
        <f t="shared" ref="EL128:EL133" si="486">IF(EL55="-","-",SUM(EL55)-SUM(EK55))</f>
        <v>7.0180000000000007</v>
      </c>
      <c r="EM128" s="62">
        <f t="shared" ref="EM128:EM133" si="487">IF(EM55="-","-",SUM(EM55)-SUM(EL55))</f>
        <v>45.13300000000001</v>
      </c>
      <c r="EN128" s="62">
        <f t="shared" ref="EN128:EN133" si="488">IF(EN55="-","-",SUM(EN55)-SUM(EM55))</f>
        <v>1.4519999999999982</v>
      </c>
      <c r="EO128" s="1166">
        <f t="shared" ref="EO128:EO133" si="489">SUM(EK128:EN128)</f>
        <v>114.22400000000002</v>
      </c>
      <c r="EP128" s="61"/>
      <c r="EQ128" s="62">
        <f t="shared" ref="EQ128:EQ133" si="490">EQ55</f>
        <v>66.683100000000024</v>
      </c>
      <c r="ER128" s="62">
        <f t="shared" ref="ER128:ER133" si="491">IF(ER55="-","-",SUM(ER55)-SUM(EQ55))</f>
        <v>7.7197999999999922</v>
      </c>
      <c r="ES128" s="62">
        <f t="shared" ref="ES128:ES133" si="492">IF(ES55="-","-",SUM(ES55)-SUM(ER55))</f>
        <v>49.646300000000025</v>
      </c>
      <c r="ET128" s="62">
        <f t="shared" ref="ET128:ET133" si="493">IF(ET55="-","-",SUM(ET55)-SUM(ES55))</f>
        <v>1.5972000000000008</v>
      </c>
      <c r="EU128" s="1166">
        <f t="shared" ref="EU128:EU133" si="494">SUM(EQ128:ET128)</f>
        <v>125.64640000000004</v>
      </c>
      <c r="EV128" s="45"/>
      <c r="EW128" s="45"/>
      <c r="FD128" s="45"/>
      <c r="FE128" s="45"/>
      <c r="FF128" s="45"/>
      <c r="FG128" s="45"/>
      <c r="FH128" s="45"/>
      <c r="FI128" s="45"/>
      <c r="FJ128" s="45"/>
      <c r="FK128" s="45"/>
      <c r="FL128" s="45"/>
      <c r="FM128" s="45"/>
      <c r="FN128" s="45"/>
      <c r="FO128" s="45"/>
      <c r="FP128" s="45"/>
    </row>
    <row r="129" spans="1:172">
      <c r="A129" s="41" t="s">
        <v>1935</v>
      </c>
      <c r="B129" s="51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2">
        <f>O56</f>
        <v>0</v>
      </c>
      <c r="P129" s="62">
        <f t="shared" si="413"/>
        <v>-48.866</v>
      </c>
      <c r="Q129" s="62">
        <f t="shared" si="413"/>
        <v>0</v>
      </c>
      <c r="R129" s="62">
        <f t="shared" si="413"/>
        <v>0</v>
      </c>
      <c r="S129" s="62">
        <f>SUM(O129:R129)</f>
        <v>-48.866</v>
      </c>
      <c r="T129" s="64"/>
      <c r="U129" s="62">
        <f>U56</f>
        <v>0</v>
      </c>
      <c r="V129" s="62">
        <f t="shared" si="414"/>
        <v>0</v>
      </c>
      <c r="W129" s="62">
        <f t="shared" si="414"/>
        <v>0</v>
      </c>
      <c r="X129" s="62">
        <f t="shared" si="414"/>
        <v>-90.072000000000003</v>
      </c>
      <c r="Y129" s="62">
        <f>SUM(U129:X129)</f>
        <v>-90.072000000000003</v>
      </c>
      <c r="Z129" s="64"/>
      <c r="AA129" s="62">
        <f>AA56</f>
        <v>-192.96100000000001</v>
      </c>
      <c r="AB129" s="62">
        <f t="shared" si="415"/>
        <v>-40.566999999999979</v>
      </c>
      <c r="AC129" s="62">
        <f t="shared" si="415"/>
        <v>-59.216000000000037</v>
      </c>
      <c r="AD129" s="62">
        <f t="shared" si="415"/>
        <v>-66.548999999999978</v>
      </c>
      <c r="AE129" s="62">
        <f>SUM(AA129:AD129)</f>
        <v>-359.29300000000001</v>
      </c>
      <c r="AF129" s="61"/>
      <c r="AG129" s="62">
        <f>AG56</f>
        <v>-68.290000000000006</v>
      </c>
      <c r="AH129" s="62">
        <f t="shared" si="416"/>
        <v>-6.6759999999999877</v>
      </c>
      <c r="AI129" s="62">
        <f t="shared" si="416"/>
        <v>-12.321000000000012</v>
      </c>
      <c r="AJ129" s="62">
        <f t="shared" si="416"/>
        <v>-10.006</v>
      </c>
      <c r="AK129" s="62">
        <f>SUM(AG129:AJ129)</f>
        <v>-97.293000000000006</v>
      </c>
      <c r="AL129" s="61"/>
      <c r="AM129" s="62">
        <f>AM56</f>
        <v>-9.9960000000000004</v>
      </c>
      <c r="AN129" s="62">
        <f t="shared" si="417"/>
        <v>-26.796999999999997</v>
      </c>
      <c r="AO129" s="62">
        <f t="shared" si="417"/>
        <v>-8.6060000000000016</v>
      </c>
      <c r="AP129" s="62">
        <f t="shared" si="417"/>
        <v>-19.417999999999992</v>
      </c>
      <c r="AQ129" s="62">
        <f>SUM(AM129:AP129)</f>
        <v>-64.816999999999993</v>
      </c>
      <c r="AR129" s="61"/>
      <c r="AS129" s="62">
        <f>AS56</f>
        <v>-29.881</v>
      </c>
      <c r="AT129" s="62">
        <f t="shared" si="418"/>
        <v>-15.79</v>
      </c>
      <c r="AU129" s="62">
        <f t="shared" si="418"/>
        <v>-35.390999999999998</v>
      </c>
      <c r="AV129" s="62">
        <f t="shared" si="418"/>
        <v>-97.400999999999996</v>
      </c>
      <c r="AW129" s="62">
        <f>SUM(AS129:AV129)</f>
        <v>-178.46299999999999</v>
      </c>
      <c r="AX129" s="61"/>
      <c r="AY129" s="62">
        <f t="shared" si="419"/>
        <v>-149</v>
      </c>
      <c r="AZ129" s="62">
        <f t="shared" si="420"/>
        <v>-67.400000000000006</v>
      </c>
      <c r="BA129" s="62">
        <f t="shared" si="420"/>
        <v>-183.70000000000002</v>
      </c>
      <c r="BB129" s="62">
        <f t="shared" si="420"/>
        <v>-146.19999999999993</v>
      </c>
      <c r="BC129" s="62">
        <f t="shared" si="421"/>
        <v>-546.29999999999995</v>
      </c>
      <c r="BD129" s="61"/>
      <c r="BE129" s="62">
        <f t="shared" si="422"/>
        <v>-73.599999999999994</v>
      </c>
      <c r="BF129" s="62">
        <f t="shared" si="423"/>
        <v>-128.5</v>
      </c>
      <c r="BG129" s="62">
        <f t="shared" si="423"/>
        <v>-137.69999999999996</v>
      </c>
      <c r="BH129" s="62">
        <f t="shared" si="423"/>
        <v>-106.80000000000001</v>
      </c>
      <c r="BI129" s="62">
        <f t="shared" si="424"/>
        <v>-446.59999999999997</v>
      </c>
      <c r="BJ129" s="64"/>
      <c r="BK129" s="62">
        <f>BK56</f>
        <v>-65.8</v>
      </c>
      <c r="BL129" s="62">
        <f t="shared" si="425"/>
        <v>-88.59999999999998</v>
      </c>
      <c r="BM129" s="62">
        <f t="shared" si="425"/>
        <v>0</v>
      </c>
      <c r="BN129" s="62">
        <f t="shared" si="425"/>
        <v>0</v>
      </c>
      <c r="BO129" s="1166">
        <f t="shared" si="426"/>
        <v>-154.39999999999998</v>
      </c>
      <c r="BP129" s="64"/>
      <c r="BQ129" s="62">
        <f t="shared" si="427"/>
        <v>0</v>
      </c>
      <c r="BR129" s="62">
        <f t="shared" si="428"/>
        <v>-325.10000000000002</v>
      </c>
      <c r="BS129" s="62">
        <f t="shared" si="428"/>
        <v>-138.39999999999998</v>
      </c>
      <c r="BT129" s="62">
        <f t="shared" si="428"/>
        <v>-99.5</v>
      </c>
      <c r="BU129" s="1166">
        <f t="shared" si="429"/>
        <v>-563</v>
      </c>
      <c r="BV129" s="64"/>
      <c r="BW129" s="62">
        <f t="shared" si="430"/>
        <v>-256.5</v>
      </c>
      <c r="BX129" s="62">
        <f t="shared" si="431"/>
        <v>-0.10000000000002274</v>
      </c>
      <c r="BY129" s="62">
        <f t="shared" si="432"/>
        <v>0</v>
      </c>
      <c r="BZ129" s="62">
        <f t="shared" si="433"/>
        <v>0</v>
      </c>
      <c r="CA129" s="1166">
        <f t="shared" si="434"/>
        <v>-256.60000000000002</v>
      </c>
      <c r="CB129" s="64"/>
      <c r="CC129" s="62">
        <f t="shared" si="435"/>
        <v>0</v>
      </c>
      <c r="CD129" s="62">
        <f t="shared" si="436"/>
        <v>0</v>
      </c>
      <c r="CE129" s="62">
        <f t="shared" si="437"/>
        <v>-39.4</v>
      </c>
      <c r="CF129" s="62">
        <f t="shared" si="438"/>
        <v>-23.800000000000004</v>
      </c>
      <c r="CG129" s="1166">
        <f t="shared" si="439"/>
        <v>-63.2</v>
      </c>
      <c r="CH129" s="64"/>
      <c r="CI129" s="62">
        <f t="shared" si="440"/>
        <v>-58.8</v>
      </c>
      <c r="CJ129" s="62">
        <f t="shared" si="441"/>
        <v>-70.399999999999991</v>
      </c>
      <c r="CK129" s="62">
        <f t="shared" si="442"/>
        <v>-74.900000000000006</v>
      </c>
      <c r="CL129" s="62">
        <f t="shared" si="443"/>
        <v>-76.200000000000017</v>
      </c>
      <c r="CM129" s="1166">
        <f t="shared" si="444"/>
        <v>-280.3</v>
      </c>
      <c r="CN129" s="64"/>
      <c r="CO129" s="62">
        <f t="shared" si="445"/>
        <v>-68.599999999999994</v>
      </c>
      <c r="CP129" s="62">
        <f t="shared" si="446"/>
        <v>-100.80000000000001</v>
      </c>
      <c r="CQ129" s="62">
        <f t="shared" si="447"/>
        <v>-94.299999999999983</v>
      </c>
      <c r="CR129" s="62">
        <f t="shared" si="448"/>
        <v>-63.699999999999989</v>
      </c>
      <c r="CS129" s="1166">
        <f t="shared" si="449"/>
        <v>-327.39999999999998</v>
      </c>
      <c r="CT129" s="64"/>
      <c r="CU129" s="62">
        <f t="shared" si="450"/>
        <v>-99.2</v>
      </c>
      <c r="CV129" s="62">
        <f t="shared" si="451"/>
        <v>-111.10000000000001</v>
      </c>
      <c r="CW129" s="62">
        <f t="shared" si="452"/>
        <v>-130.19999999999999</v>
      </c>
      <c r="CX129" s="62">
        <f t="shared" si="453"/>
        <v>-90.699999999999989</v>
      </c>
      <c r="CY129" s="1166">
        <f t="shared" si="454"/>
        <v>-431.2</v>
      </c>
      <c r="CZ129" s="64"/>
      <c r="DA129" s="62">
        <f t="shared" si="455"/>
        <v>-129.19999999999999</v>
      </c>
      <c r="DB129" s="62">
        <f t="shared" si="456"/>
        <v>-110.60000000000002</v>
      </c>
      <c r="DC129" s="62">
        <f t="shared" si="457"/>
        <v>-78.899999999999977</v>
      </c>
      <c r="DD129" s="62">
        <f t="shared" si="458"/>
        <v>-105.10000000000002</v>
      </c>
      <c r="DE129" s="1166">
        <f t="shared" si="459"/>
        <v>-423.8</v>
      </c>
      <c r="DF129" s="64"/>
      <c r="DG129" s="62">
        <f t="shared" si="460"/>
        <v>-102.5</v>
      </c>
      <c r="DH129" s="62">
        <f t="shared" si="461"/>
        <v>-101.80000000000001</v>
      </c>
      <c r="DI129" s="62">
        <f t="shared" si="462"/>
        <v>-103.30000000000001</v>
      </c>
      <c r="DJ129" s="62">
        <f t="shared" si="463"/>
        <v>-64.799999999999955</v>
      </c>
      <c r="DK129" s="1166">
        <f t="shared" si="464"/>
        <v>-372.4</v>
      </c>
      <c r="DL129" s="64"/>
      <c r="DM129" s="62">
        <f t="shared" si="465"/>
        <v>-95.4</v>
      </c>
      <c r="DN129" s="62">
        <f t="shared" si="466"/>
        <v>-112.29999999999998</v>
      </c>
      <c r="DO129" s="62">
        <f t="shared" si="467"/>
        <v>-150</v>
      </c>
      <c r="DP129" s="62">
        <f t="shared" si="468"/>
        <v>-151.90000000000003</v>
      </c>
      <c r="DQ129" s="1166">
        <f t="shared" si="469"/>
        <v>-509.6</v>
      </c>
      <c r="DR129" s="64"/>
      <c r="DS129" s="62">
        <f t="shared" si="470"/>
        <v>-118.39999999999999</v>
      </c>
      <c r="DT129" s="62">
        <f t="shared" si="471"/>
        <v>-151.60000000000002</v>
      </c>
      <c r="DU129" s="62">
        <f t="shared" si="472"/>
        <v>-127.60000000000002</v>
      </c>
      <c r="DV129" s="62">
        <f t="shared" si="473"/>
        <v>-300.30000000000007</v>
      </c>
      <c r="DW129" s="1166">
        <f t="shared" si="474"/>
        <v>-697.90000000000009</v>
      </c>
      <c r="DX129" s="64"/>
      <c r="DY129" s="62">
        <f t="shared" si="475"/>
        <v>-195.9</v>
      </c>
      <c r="DZ129" s="62">
        <f t="shared" si="476"/>
        <v>-119.29999999999998</v>
      </c>
      <c r="EA129" s="62">
        <f t="shared" si="477"/>
        <v>-122.69999999999999</v>
      </c>
      <c r="EB129" s="62">
        <f t="shared" si="478"/>
        <v>-261.10000000000002</v>
      </c>
      <c r="EC129" s="1166">
        <f t="shared" si="479"/>
        <v>-699</v>
      </c>
      <c r="ED129" s="64"/>
      <c r="EE129" s="62">
        <f t="shared" si="480"/>
        <v>-200.35227272727272</v>
      </c>
      <c r="EF129" s="62">
        <f t="shared" si="481"/>
        <v>-200.35227272727272</v>
      </c>
      <c r="EG129" s="62">
        <f t="shared" si="482"/>
        <v>-200.35227272727269</v>
      </c>
      <c r="EH129" s="62">
        <f t="shared" si="483"/>
        <v>-200.35227272727275</v>
      </c>
      <c r="EI129" s="1166">
        <f t="shared" si="484"/>
        <v>-801.40909090909088</v>
      </c>
      <c r="EJ129" s="64"/>
      <c r="EK129" s="62">
        <f t="shared" si="485"/>
        <v>-225.39630681818181</v>
      </c>
      <c r="EL129" s="62">
        <f t="shared" si="486"/>
        <v>-225.39630681818181</v>
      </c>
      <c r="EM129" s="62">
        <f t="shared" si="487"/>
        <v>-225.39630681818187</v>
      </c>
      <c r="EN129" s="62">
        <f t="shared" si="488"/>
        <v>-225.39630681818176</v>
      </c>
      <c r="EO129" s="1166">
        <f t="shared" si="489"/>
        <v>-901.58522727272725</v>
      </c>
      <c r="EP129" s="64"/>
      <c r="EQ129" s="62">
        <f t="shared" si="490"/>
        <v>-253.57084517045453</v>
      </c>
      <c r="ER129" s="62">
        <f t="shared" si="491"/>
        <v>-253.57084517045453</v>
      </c>
      <c r="ES129" s="62">
        <f t="shared" si="492"/>
        <v>-253.57084517045456</v>
      </c>
      <c r="ET129" s="62">
        <f t="shared" si="493"/>
        <v>-253.5708451704545</v>
      </c>
      <c r="EU129" s="1166">
        <f t="shared" si="494"/>
        <v>-1014.2833806818181</v>
      </c>
      <c r="EV129" s="81"/>
      <c r="EW129" s="81"/>
      <c r="FD129" s="81"/>
      <c r="FE129" s="81"/>
      <c r="FF129" s="81"/>
      <c r="FG129" s="81"/>
      <c r="FH129" s="81"/>
      <c r="FI129" s="81"/>
      <c r="FJ129" s="81"/>
      <c r="FK129" s="81"/>
      <c r="FL129" s="81"/>
      <c r="FM129" s="81"/>
      <c r="FN129" s="81"/>
      <c r="FO129" s="81"/>
      <c r="FP129" s="81"/>
    </row>
    <row r="130" spans="1:172">
      <c r="A130" s="41" t="s">
        <v>4685</v>
      </c>
      <c r="B130" s="51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2"/>
      <c r="P130" s="62"/>
      <c r="Q130" s="62"/>
      <c r="R130" s="62"/>
      <c r="S130" s="62"/>
      <c r="T130" s="64"/>
      <c r="U130" s="62"/>
      <c r="V130" s="62"/>
      <c r="W130" s="62"/>
      <c r="X130" s="62"/>
      <c r="Y130" s="62"/>
      <c r="Z130" s="64"/>
      <c r="AA130" s="62"/>
      <c r="AB130" s="62"/>
      <c r="AC130" s="62"/>
      <c r="AD130" s="62"/>
      <c r="AE130" s="62"/>
      <c r="AF130" s="61"/>
      <c r="AG130" s="62"/>
      <c r="AH130" s="62"/>
      <c r="AI130" s="62"/>
      <c r="AJ130" s="62"/>
      <c r="AK130" s="62"/>
      <c r="AL130" s="61"/>
      <c r="AM130" s="62"/>
      <c r="AN130" s="62"/>
      <c r="AO130" s="62"/>
      <c r="AP130" s="62"/>
      <c r="AQ130" s="62"/>
      <c r="AR130" s="61"/>
      <c r="AS130" s="62"/>
      <c r="AT130" s="62"/>
      <c r="AU130" s="62"/>
      <c r="AV130" s="62"/>
      <c r="AW130" s="62"/>
      <c r="AX130" s="61"/>
      <c r="AY130" s="62">
        <f t="shared" si="419"/>
        <v>0</v>
      </c>
      <c r="AZ130" s="62">
        <f t="shared" si="420"/>
        <v>0</v>
      </c>
      <c r="BA130" s="62">
        <f t="shared" si="420"/>
        <v>0</v>
      </c>
      <c r="BB130" s="62">
        <f t="shared" si="420"/>
        <v>0</v>
      </c>
      <c r="BC130" s="62">
        <f t="shared" si="421"/>
        <v>0</v>
      </c>
      <c r="BD130" s="61"/>
      <c r="BE130" s="62">
        <f t="shared" si="422"/>
        <v>0</v>
      </c>
      <c r="BF130" s="62">
        <f t="shared" si="423"/>
        <v>0</v>
      </c>
      <c r="BG130" s="62">
        <f t="shared" si="423"/>
        <v>0</v>
      </c>
      <c r="BH130" s="62">
        <f t="shared" si="423"/>
        <v>0</v>
      </c>
      <c r="BI130" s="62">
        <f t="shared" si="424"/>
        <v>0</v>
      </c>
      <c r="BJ130" s="64"/>
      <c r="BK130" s="62">
        <f>BK57</f>
        <v>0</v>
      </c>
      <c r="BL130" s="62">
        <f t="shared" si="425"/>
        <v>0</v>
      </c>
      <c r="BM130" s="62">
        <f t="shared" si="425"/>
        <v>0</v>
      </c>
      <c r="BN130" s="62">
        <f t="shared" si="425"/>
        <v>0</v>
      </c>
      <c r="BO130" s="1166">
        <f t="shared" si="426"/>
        <v>0</v>
      </c>
      <c r="BP130" s="64"/>
      <c r="BQ130" s="62">
        <f t="shared" si="427"/>
        <v>0</v>
      </c>
      <c r="BR130" s="62">
        <f t="shared" si="428"/>
        <v>0</v>
      </c>
      <c r="BS130" s="62">
        <f t="shared" si="428"/>
        <v>0</v>
      </c>
      <c r="BT130" s="62">
        <f t="shared" si="428"/>
        <v>0</v>
      </c>
      <c r="BU130" s="1166">
        <f t="shared" si="429"/>
        <v>0</v>
      </c>
      <c r="BV130" s="64"/>
      <c r="BW130" s="62">
        <f t="shared" si="430"/>
        <v>0</v>
      </c>
      <c r="BX130" s="62">
        <f t="shared" si="431"/>
        <v>0</v>
      </c>
      <c r="BY130" s="62">
        <f t="shared" si="432"/>
        <v>0</v>
      </c>
      <c r="BZ130" s="62">
        <f t="shared" si="433"/>
        <v>0</v>
      </c>
      <c r="CA130" s="1166">
        <f t="shared" si="434"/>
        <v>0</v>
      </c>
      <c r="CB130" s="64"/>
      <c r="CC130" s="62">
        <f t="shared" si="435"/>
        <v>0</v>
      </c>
      <c r="CD130" s="62">
        <f t="shared" si="436"/>
        <v>0</v>
      </c>
      <c r="CE130" s="62">
        <f t="shared" si="437"/>
        <v>0</v>
      </c>
      <c r="CF130" s="62">
        <f t="shared" si="438"/>
        <v>0</v>
      </c>
      <c r="CG130" s="1166">
        <f t="shared" si="439"/>
        <v>0</v>
      </c>
      <c r="CH130" s="64"/>
      <c r="CI130" s="62">
        <f t="shared" si="440"/>
        <v>0</v>
      </c>
      <c r="CJ130" s="62">
        <f t="shared" si="441"/>
        <v>0</v>
      </c>
      <c r="CK130" s="62">
        <f t="shared" si="442"/>
        <v>0</v>
      </c>
      <c r="CL130" s="62">
        <f t="shared" si="443"/>
        <v>0</v>
      </c>
      <c r="CM130" s="1166">
        <f t="shared" si="444"/>
        <v>0</v>
      </c>
      <c r="CN130" s="64"/>
      <c r="CO130" s="62">
        <f t="shared" si="445"/>
        <v>0</v>
      </c>
      <c r="CP130" s="62">
        <f t="shared" si="446"/>
        <v>13.5</v>
      </c>
      <c r="CQ130" s="62">
        <f t="shared" si="447"/>
        <v>19.5</v>
      </c>
      <c r="CR130" s="62">
        <f t="shared" si="448"/>
        <v>-1.5</v>
      </c>
      <c r="CS130" s="1166">
        <f t="shared" si="449"/>
        <v>31.5</v>
      </c>
      <c r="CT130" s="64"/>
      <c r="CU130" s="62">
        <f t="shared" si="450"/>
        <v>9.9</v>
      </c>
      <c r="CV130" s="62">
        <f t="shared" si="451"/>
        <v>18.200000000000003</v>
      </c>
      <c r="CW130" s="62">
        <f t="shared" si="452"/>
        <v>-0.70000000000000284</v>
      </c>
      <c r="CX130" s="62">
        <f t="shared" si="453"/>
        <v>-14.499999999999998</v>
      </c>
      <c r="CY130" s="1166">
        <f t="shared" si="454"/>
        <v>12.9</v>
      </c>
      <c r="CZ130" s="64"/>
      <c r="DA130" s="62">
        <f t="shared" si="455"/>
        <v>9</v>
      </c>
      <c r="DB130" s="62">
        <f t="shared" si="456"/>
        <v>-5.8</v>
      </c>
      <c r="DC130" s="62">
        <f t="shared" si="457"/>
        <v>-4</v>
      </c>
      <c r="DD130" s="62">
        <f t="shared" si="458"/>
        <v>9.9</v>
      </c>
      <c r="DE130" s="1166">
        <f t="shared" si="459"/>
        <v>9.1000000000000014</v>
      </c>
      <c r="DF130" s="64"/>
      <c r="DG130" s="62">
        <f t="shared" si="460"/>
        <v>0</v>
      </c>
      <c r="DH130" s="62">
        <f t="shared" si="461"/>
        <v>-1.7</v>
      </c>
      <c r="DI130" s="62">
        <f t="shared" si="462"/>
        <v>0</v>
      </c>
      <c r="DJ130" s="62">
        <f t="shared" si="463"/>
        <v>2.2000000000000002</v>
      </c>
      <c r="DK130" s="1166">
        <f t="shared" si="464"/>
        <v>0.50000000000000022</v>
      </c>
      <c r="DL130" s="64"/>
      <c r="DM130" s="62">
        <f t="shared" si="465"/>
        <v>0</v>
      </c>
      <c r="DN130" s="62">
        <f t="shared" si="466"/>
        <v>0</v>
      </c>
      <c r="DO130" s="62">
        <f t="shared" si="467"/>
        <v>0</v>
      </c>
      <c r="DP130" s="62">
        <f t="shared" si="468"/>
        <v>0</v>
      </c>
      <c r="DQ130" s="1166">
        <f t="shared" si="469"/>
        <v>0</v>
      </c>
      <c r="DR130" s="64"/>
      <c r="DS130" s="62">
        <f t="shared" si="470"/>
        <v>0</v>
      </c>
      <c r="DT130" s="62">
        <f t="shared" si="471"/>
        <v>-19.899999999999999</v>
      </c>
      <c r="DU130" s="62">
        <f t="shared" si="472"/>
        <v>-39</v>
      </c>
      <c r="DV130" s="62">
        <f t="shared" si="473"/>
        <v>58.9</v>
      </c>
      <c r="DW130" s="1166">
        <f t="shared" si="474"/>
        <v>0</v>
      </c>
      <c r="DX130" s="64"/>
      <c r="DY130" s="62">
        <f t="shared" si="475"/>
        <v>-33</v>
      </c>
      <c r="DZ130" s="62">
        <f t="shared" si="476"/>
        <v>-16.799999999999997</v>
      </c>
      <c r="EA130" s="62">
        <f t="shared" si="477"/>
        <v>-70.8</v>
      </c>
      <c r="EB130" s="62">
        <f t="shared" si="478"/>
        <v>-22.5</v>
      </c>
      <c r="EC130" s="1166">
        <f t="shared" si="479"/>
        <v>-143.1</v>
      </c>
      <c r="ED130" s="64"/>
      <c r="EE130" s="62">
        <f t="shared" si="480"/>
        <v>0</v>
      </c>
      <c r="EF130" s="62">
        <f t="shared" si="481"/>
        <v>0</v>
      </c>
      <c r="EG130" s="62">
        <f t="shared" si="482"/>
        <v>0</v>
      </c>
      <c r="EH130" s="62">
        <f t="shared" si="483"/>
        <v>0</v>
      </c>
      <c r="EI130" s="1166">
        <f t="shared" si="484"/>
        <v>0</v>
      </c>
      <c r="EJ130" s="64"/>
      <c r="EK130" s="62">
        <f t="shared" si="485"/>
        <v>0</v>
      </c>
      <c r="EL130" s="62">
        <f t="shared" si="486"/>
        <v>0</v>
      </c>
      <c r="EM130" s="62">
        <f t="shared" si="487"/>
        <v>0</v>
      </c>
      <c r="EN130" s="62">
        <f t="shared" si="488"/>
        <v>0</v>
      </c>
      <c r="EO130" s="1166">
        <f t="shared" si="489"/>
        <v>0</v>
      </c>
      <c r="EP130" s="64"/>
      <c r="EQ130" s="62">
        <f t="shared" si="490"/>
        <v>0</v>
      </c>
      <c r="ER130" s="62">
        <f t="shared" si="491"/>
        <v>0</v>
      </c>
      <c r="ES130" s="62">
        <f t="shared" si="492"/>
        <v>0</v>
      </c>
      <c r="ET130" s="62">
        <f t="shared" si="493"/>
        <v>0</v>
      </c>
      <c r="EU130" s="1166">
        <f t="shared" si="494"/>
        <v>0</v>
      </c>
      <c r="EV130" s="81"/>
      <c r="EW130" s="81"/>
      <c r="FD130" s="81"/>
      <c r="FE130" s="81"/>
      <c r="FF130" s="81"/>
      <c r="FG130" s="81"/>
      <c r="FH130" s="81"/>
      <c r="FI130" s="81"/>
      <c r="FJ130" s="81"/>
      <c r="FK130" s="81"/>
      <c r="FL130" s="81"/>
      <c r="FM130" s="81"/>
      <c r="FN130" s="81"/>
      <c r="FO130" s="81"/>
      <c r="FP130" s="81"/>
    </row>
    <row r="131" spans="1:172" hidden="1">
      <c r="A131" s="41" t="s">
        <v>6816</v>
      </c>
      <c r="B131" s="42"/>
      <c r="C131" s="75"/>
      <c r="D131" s="75"/>
      <c r="E131" s="75"/>
      <c r="F131" s="75"/>
      <c r="G131" s="75"/>
      <c r="H131" s="77"/>
      <c r="I131" s="75"/>
      <c r="J131" s="75"/>
      <c r="K131" s="75"/>
      <c r="L131" s="75"/>
      <c r="M131" s="75"/>
      <c r="N131" s="77"/>
      <c r="O131" s="62">
        <f>O58</f>
        <v>-2.81</v>
      </c>
      <c r="P131" s="62">
        <f t="shared" ref="P131:R133" si="495">IF(P58="-","-",SUM(P58)-SUM(O58))</f>
        <v>-2.78</v>
      </c>
      <c r="Q131" s="62">
        <f t="shared" si="495"/>
        <v>-2.8040000000000003</v>
      </c>
      <c r="R131" s="62">
        <f t="shared" si="495"/>
        <v>-3.3279999999999994</v>
      </c>
      <c r="S131" s="62">
        <f>SUM(O131:R131)</f>
        <v>-11.722</v>
      </c>
      <c r="T131" s="77"/>
      <c r="U131" s="62">
        <f>U58</f>
        <v>-3.593</v>
      </c>
      <c r="V131" s="62">
        <f t="shared" ref="V131:X133" si="496">IF(V58="-","-",SUM(V58)-SUM(U58))</f>
        <v>-3.4950000000000001</v>
      </c>
      <c r="W131" s="62">
        <f t="shared" si="496"/>
        <v>-3.9119999999999999</v>
      </c>
      <c r="X131" s="62">
        <f t="shared" si="496"/>
        <v>-3.5809999999999995</v>
      </c>
      <c r="Y131" s="62">
        <f>SUM(U131:X131)</f>
        <v>-14.581</v>
      </c>
      <c r="Z131" s="75"/>
      <c r="AA131" s="62">
        <f>AA58</f>
        <v>-3.5009999999999999</v>
      </c>
      <c r="AB131" s="62">
        <f t="shared" ref="AB131:AD133" si="497">IF(AB58="-","-",SUM(AB58)-SUM(AA58))</f>
        <v>-3.4510000000000001</v>
      </c>
      <c r="AC131" s="62">
        <f t="shared" si="497"/>
        <v>-3.3810000000000002</v>
      </c>
      <c r="AD131" s="62">
        <f t="shared" si="497"/>
        <v>-3.2469999999999999</v>
      </c>
      <c r="AE131" s="62">
        <f>SUM(AA131:AD131)</f>
        <v>-13.58</v>
      </c>
      <c r="AF131" s="61"/>
      <c r="AG131" s="62">
        <f>AG58</f>
        <v>-3.23</v>
      </c>
      <c r="AH131" s="62">
        <f t="shared" ref="AH131:AJ133" si="498">IF(AH58="-","-",SUM(AH58)-SUM(AG58))</f>
        <v>-3.2470000000000003</v>
      </c>
      <c r="AI131" s="62">
        <f t="shared" si="498"/>
        <v>-3.2759999999999998</v>
      </c>
      <c r="AJ131" s="62">
        <f t="shared" si="498"/>
        <v>-3.3390000000000004</v>
      </c>
      <c r="AK131" s="62">
        <f>SUM(AG131:AJ131)</f>
        <v>-13.092000000000001</v>
      </c>
      <c r="AL131" s="61"/>
      <c r="AM131" s="62">
        <f>AM58</f>
        <v>-3.423</v>
      </c>
      <c r="AN131" s="62">
        <f t="shared" ref="AN131:AP133" si="499">IF(AN58="-","-",SUM(AN58)-SUM(AM58))</f>
        <v>-3.383</v>
      </c>
      <c r="AO131" s="62">
        <f t="shared" si="499"/>
        <v>-3.4170000000000007</v>
      </c>
      <c r="AP131" s="62">
        <f t="shared" si="499"/>
        <v>-3.343</v>
      </c>
      <c r="AQ131" s="62">
        <f>SUM(AM131:AP131)</f>
        <v>-13.566000000000001</v>
      </c>
      <c r="AR131" s="61"/>
      <c r="AS131" s="62">
        <f>AS58</f>
        <v>-3.347</v>
      </c>
      <c r="AT131" s="62">
        <f t="shared" ref="AT131:AV133" si="500">IF(AT58="-","-",SUM(AT58)-SUM(AS58))</f>
        <v>-3.3329999999999997</v>
      </c>
      <c r="AU131" s="62">
        <f t="shared" si="500"/>
        <v>-3.3960000000000008</v>
      </c>
      <c r="AV131" s="62">
        <f t="shared" si="500"/>
        <v>-3.331999999999999</v>
      </c>
      <c r="AW131" s="62">
        <f>SUM(AS131:AV131)</f>
        <v>-13.407999999999999</v>
      </c>
      <c r="AX131" s="61"/>
      <c r="AY131" s="62">
        <f t="shared" si="419"/>
        <v>-3.3</v>
      </c>
      <c r="AZ131" s="62">
        <f t="shared" ref="AZ131:BA133" si="501">IF(AZ58="-","-",SUM(AZ58)-SUM(AY58))</f>
        <v>-3.3999999999999995</v>
      </c>
      <c r="BA131" s="62">
        <f t="shared" si="501"/>
        <v>-3.4000000000000004</v>
      </c>
      <c r="BB131" s="62">
        <f>IF(BB58="-","-",SUM(BB58)-SUM(BA58))</f>
        <v>-3.4000000000000004</v>
      </c>
      <c r="BC131" s="62">
        <f t="shared" si="421"/>
        <v>-13.5</v>
      </c>
      <c r="BD131" s="61"/>
      <c r="BE131" s="62">
        <f t="shared" si="422"/>
        <v>-3.4</v>
      </c>
      <c r="BF131" s="62">
        <f t="shared" ref="BF131:BH133" si="502">IF(BF58="-","-",SUM(BF58)-SUM(BE58))</f>
        <v>0</v>
      </c>
      <c r="BG131" s="62">
        <f t="shared" si="502"/>
        <v>0</v>
      </c>
      <c r="BH131" s="62">
        <f t="shared" si="502"/>
        <v>0</v>
      </c>
      <c r="BI131" s="62">
        <f t="shared" si="424"/>
        <v>-3.4</v>
      </c>
      <c r="BJ131" s="75"/>
      <c r="BK131" s="62">
        <f>BL58</f>
        <v>0</v>
      </c>
      <c r="BL131" s="62">
        <f>IF(BM58="-","-",SUM(BM58)-SUM(BL58))</f>
        <v>0</v>
      </c>
      <c r="BM131" s="62">
        <f>IF(BN58="-","-",SUM(BN58)-SUM(BM58))</f>
        <v>0</v>
      </c>
      <c r="BN131" s="62">
        <f>IF(BO58="-","-",SUM(BO58)-SUM(BN58))</f>
        <v>0</v>
      </c>
      <c r="BO131" s="1166">
        <f t="shared" si="426"/>
        <v>0</v>
      </c>
      <c r="BP131" s="75"/>
      <c r="BQ131" s="62">
        <f t="shared" si="427"/>
        <v>0</v>
      </c>
      <c r="BR131" s="62">
        <f t="shared" ref="BR131:BT133" si="503">IF(BR58="-","-",SUM(BR58)-SUM(BQ58))</f>
        <v>0</v>
      </c>
      <c r="BS131" s="62">
        <f t="shared" si="503"/>
        <v>0</v>
      </c>
      <c r="BT131" s="62">
        <f t="shared" si="503"/>
        <v>0</v>
      </c>
      <c r="BU131" s="1166">
        <f t="shared" si="429"/>
        <v>0</v>
      </c>
      <c r="BV131" s="75"/>
      <c r="BW131" s="62">
        <f t="shared" si="430"/>
        <v>0</v>
      </c>
      <c r="BX131" s="62">
        <f t="shared" si="431"/>
        <v>0</v>
      </c>
      <c r="BY131" s="62">
        <f t="shared" si="432"/>
        <v>0</v>
      </c>
      <c r="BZ131" s="62">
        <f t="shared" si="433"/>
        <v>0</v>
      </c>
      <c r="CA131" s="1166">
        <f t="shared" si="434"/>
        <v>0</v>
      </c>
      <c r="CB131" s="75"/>
      <c r="CC131" s="62">
        <f t="shared" si="435"/>
        <v>0</v>
      </c>
      <c r="CD131" s="62">
        <f t="shared" si="436"/>
        <v>0</v>
      </c>
      <c r="CE131" s="62">
        <f t="shared" si="437"/>
        <v>0</v>
      </c>
      <c r="CF131" s="62">
        <f t="shared" si="438"/>
        <v>0</v>
      </c>
      <c r="CG131" s="1166">
        <f t="shared" si="439"/>
        <v>0</v>
      </c>
      <c r="CH131" s="75"/>
      <c r="CI131" s="62">
        <f t="shared" si="440"/>
        <v>0</v>
      </c>
      <c r="CJ131" s="62">
        <f t="shared" si="441"/>
        <v>0</v>
      </c>
      <c r="CK131" s="62">
        <f t="shared" si="442"/>
        <v>0</v>
      </c>
      <c r="CL131" s="62">
        <f t="shared" si="443"/>
        <v>0</v>
      </c>
      <c r="CM131" s="1166">
        <f t="shared" si="444"/>
        <v>0</v>
      </c>
      <c r="CN131" s="75"/>
      <c r="CO131" s="62">
        <f t="shared" si="445"/>
        <v>0</v>
      </c>
      <c r="CP131" s="62">
        <f t="shared" si="446"/>
        <v>0</v>
      </c>
      <c r="CQ131" s="62">
        <f t="shared" si="447"/>
        <v>0</v>
      </c>
      <c r="CR131" s="62">
        <f t="shared" si="448"/>
        <v>0</v>
      </c>
      <c r="CS131" s="1166">
        <f t="shared" si="449"/>
        <v>0</v>
      </c>
      <c r="CT131" s="75"/>
      <c r="CU131" s="62">
        <f t="shared" si="450"/>
        <v>0</v>
      </c>
      <c r="CV131" s="62">
        <f t="shared" si="451"/>
        <v>0</v>
      </c>
      <c r="CW131" s="62">
        <f t="shared" si="452"/>
        <v>0</v>
      </c>
      <c r="CX131" s="62">
        <f t="shared" si="453"/>
        <v>0</v>
      </c>
      <c r="CY131" s="1166">
        <f t="shared" si="454"/>
        <v>0</v>
      </c>
      <c r="CZ131" s="75"/>
      <c r="DA131" s="62">
        <f t="shared" si="455"/>
        <v>0</v>
      </c>
      <c r="DB131" s="62">
        <f t="shared" si="456"/>
        <v>0</v>
      </c>
      <c r="DC131" s="62">
        <f t="shared" si="457"/>
        <v>0</v>
      </c>
      <c r="DD131" s="62">
        <f t="shared" si="458"/>
        <v>0</v>
      </c>
      <c r="DE131" s="1166">
        <f t="shared" si="459"/>
        <v>0</v>
      </c>
      <c r="DF131" s="75"/>
      <c r="DG131" s="62">
        <f t="shared" si="460"/>
        <v>0</v>
      </c>
      <c r="DH131" s="62">
        <f t="shared" si="461"/>
        <v>0</v>
      </c>
      <c r="DI131" s="62">
        <f t="shared" si="462"/>
        <v>0</v>
      </c>
      <c r="DJ131" s="62">
        <f t="shared" si="463"/>
        <v>0</v>
      </c>
      <c r="DK131" s="1166">
        <f t="shared" si="464"/>
        <v>0</v>
      </c>
      <c r="DL131" s="75"/>
      <c r="DM131" s="62">
        <f t="shared" si="465"/>
        <v>0</v>
      </c>
      <c r="DN131" s="62">
        <f t="shared" si="466"/>
        <v>0</v>
      </c>
      <c r="DO131" s="62">
        <f t="shared" si="467"/>
        <v>0</v>
      </c>
      <c r="DP131" s="62">
        <f t="shared" si="468"/>
        <v>0</v>
      </c>
      <c r="DQ131" s="1166">
        <f t="shared" si="469"/>
        <v>0</v>
      </c>
      <c r="DR131" s="75"/>
      <c r="DS131" s="62">
        <f t="shared" si="470"/>
        <v>0</v>
      </c>
      <c r="DT131" s="62">
        <f t="shared" si="471"/>
        <v>0</v>
      </c>
      <c r="DU131" s="62">
        <f t="shared" si="472"/>
        <v>0</v>
      </c>
      <c r="DV131" s="62">
        <f t="shared" si="473"/>
        <v>0</v>
      </c>
      <c r="DW131" s="1166">
        <f t="shared" si="474"/>
        <v>0</v>
      </c>
      <c r="DX131" s="75"/>
      <c r="DY131" s="62">
        <f t="shared" si="475"/>
        <v>0</v>
      </c>
      <c r="DZ131" s="62">
        <f t="shared" si="476"/>
        <v>0</v>
      </c>
      <c r="EA131" s="62">
        <f t="shared" si="477"/>
        <v>0</v>
      </c>
      <c r="EB131" s="62">
        <f t="shared" si="478"/>
        <v>0</v>
      </c>
      <c r="EC131" s="1166">
        <f t="shared" si="479"/>
        <v>0</v>
      </c>
      <c r="ED131" s="75"/>
      <c r="EE131" s="62">
        <f t="shared" si="480"/>
        <v>0</v>
      </c>
      <c r="EF131" s="62">
        <f t="shared" si="481"/>
        <v>0</v>
      </c>
      <c r="EG131" s="62">
        <f t="shared" si="482"/>
        <v>0</v>
      </c>
      <c r="EH131" s="62">
        <f t="shared" si="483"/>
        <v>0</v>
      </c>
      <c r="EI131" s="1166">
        <f t="shared" si="484"/>
        <v>0</v>
      </c>
      <c r="EJ131" s="75"/>
      <c r="EK131" s="62">
        <f t="shared" si="485"/>
        <v>0</v>
      </c>
      <c r="EL131" s="62">
        <f t="shared" si="486"/>
        <v>0</v>
      </c>
      <c r="EM131" s="62">
        <f t="shared" si="487"/>
        <v>0</v>
      </c>
      <c r="EN131" s="62">
        <f t="shared" si="488"/>
        <v>0</v>
      </c>
      <c r="EO131" s="1166">
        <f t="shared" si="489"/>
        <v>0</v>
      </c>
      <c r="EP131" s="75"/>
      <c r="EQ131" s="62">
        <f t="shared" si="490"/>
        <v>0</v>
      </c>
      <c r="ER131" s="62">
        <f t="shared" si="491"/>
        <v>0</v>
      </c>
      <c r="ES131" s="62">
        <f t="shared" si="492"/>
        <v>0</v>
      </c>
      <c r="ET131" s="62">
        <f t="shared" si="493"/>
        <v>0</v>
      </c>
      <c r="EU131" s="1166">
        <f t="shared" si="494"/>
        <v>0</v>
      </c>
      <c r="EV131" s="75"/>
      <c r="EW131" s="75"/>
      <c r="FD131" s="75"/>
      <c r="FE131" s="75"/>
      <c r="FF131" s="75"/>
      <c r="FG131" s="75"/>
      <c r="FH131" s="75"/>
      <c r="FI131" s="75"/>
      <c r="FJ131" s="75"/>
      <c r="FK131" s="75"/>
      <c r="FL131" s="75"/>
      <c r="FM131" s="75"/>
      <c r="FN131" s="75"/>
      <c r="FO131" s="75"/>
      <c r="FP131" s="75"/>
    </row>
    <row r="132" spans="1:172" ht="13.5" thickBot="1">
      <c r="A132" s="41" t="s">
        <v>6042</v>
      </c>
      <c r="B132" s="42"/>
      <c r="C132" s="61"/>
      <c r="D132" s="61"/>
      <c r="E132" s="61"/>
      <c r="F132" s="61"/>
      <c r="G132" s="363"/>
      <c r="H132" s="61"/>
      <c r="I132" s="61"/>
      <c r="J132" s="61"/>
      <c r="K132" s="61"/>
      <c r="L132" s="61"/>
      <c r="M132" s="363"/>
      <c r="N132" s="61"/>
      <c r="O132" s="62">
        <f>O59</f>
        <v>0</v>
      </c>
      <c r="P132" s="62">
        <f t="shared" si="495"/>
        <v>2.7130000000000001</v>
      </c>
      <c r="Q132" s="62">
        <f t="shared" si="495"/>
        <v>2.1509999999999998</v>
      </c>
      <c r="R132" s="62">
        <f t="shared" si="495"/>
        <v>-0.39299999999999979</v>
      </c>
      <c r="S132" s="62">
        <f>SUM(O132:R132)</f>
        <v>4.4710000000000001</v>
      </c>
      <c r="T132" s="61"/>
      <c r="U132" s="62">
        <f>U59</f>
        <v>-1.589</v>
      </c>
      <c r="V132" s="62">
        <f t="shared" si="496"/>
        <v>1.002</v>
      </c>
      <c r="W132" s="62">
        <f t="shared" si="496"/>
        <v>0</v>
      </c>
      <c r="X132" s="62">
        <f t="shared" si="496"/>
        <v>-2.0380000000000003</v>
      </c>
      <c r="Y132" s="62">
        <f>SUM(U132:X132)</f>
        <v>-2.625</v>
      </c>
      <c r="Z132" s="61"/>
      <c r="AA132" s="62">
        <f>AA59</f>
        <v>-2E-3</v>
      </c>
      <c r="AB132" s="62">
        <f t="shared" si="497"/>
        <v>-0.21199999999999999</v>
      </c>
      <c r="AC132" s="62">
        <f t="shared" si="497"/>
        <v>-7.0000000000000062E-3</v>
      </c>
      <c r="AD132" s="62">
        <f t="shared" si="497"/>
        <v>-0.20599999999999999</v>
      </c>
      <c r="AE132" s="62">
        <f>SUM(AA132:AD132)</f>
        <v>-0.42699999999999999</v>
      </c>
      <c r="AF132" s="61"/>
      <c r="AG132" s="62">
        <f>AG59</f>
        <v>-4.0000000000000001E-3</v>
      </c>
      <c r="AH132" s="62">
        <f t="shared" si="498"/>
        <v>-0.27200000000000002</v>
      </c>
      <c r="AI132" s="62">
        <f t="shared" si="498"/>
        <v>0</v>
      </c>
      <c r="AJ132" s="62">
        <f t="shared" si="498"/>
        <v>-0.20999999999999996</v>
      </c>
      <c r="AK132" s="62">
        <f>SUM(AG132:AJ132)</f>
        <v>-0.48599999999999999</v>
      </c>
      <c r="AL132" s="61"/>
      <c r="AM132" s="62">
        <f>AM59</f>
        <v>0</v>
      </c>
      <c r="AN132" s="62">
        <f t="shared" si="499"/>
        <v>-0.21</v>
      </c>
      <c r="AO132" s="62">
        <f t="shared" si="499"/>
        <v>0</v>
      </c>
      <c r="AP132" s="62">
        <f t="shared" si="499"/>
        <v>0</v>
      </c>
      <c r="AQ132" s="62">
        <f>SUM(AM132:AP132)</f>
        <v>-0.21</v>
      </c>
      <c r="AR132" s="61"/>
      <c r="AS132" s="62">
        <f>AS59</f>
        <v>0</v>
      </c>
      <c r="AT132" s="62">
        <f t="shared" si="500"/>
        <v>0</v>
      </c>
      <c r="AU132" s="62">
        <f t="shared" si="500"/>
        <v>0</v>
      </c>
      <c r="AV132" s="62">
        <f t="shared" si="500"/>
        <v>0</v>
      </c>
      <c r="AW132" s="62">
        <f>SUM(AS132:AV132)</f>
        <v>0</v>
      </c>
      <c r="AX132" s="61"/>
      <c r="AY132" s="62">
        <f t="shared" si="419"/>
        <v>0</v>
      </c>
      <c r="AZ132" s="62">
        <f t="shared" si="501"/>
        <v>0</v>
      </c>
      <c r="BA132" s="62">
        <f t="shared" si="501"/>
        <v>0</v>
      </c>
      <c r="BB132" s="62">
        <f>IF(BB59="-","-",SUM(BB59)-SUM(BA59))</f>
        <v>-0.2</v>
      </c>
      <c r="BC132" s="62">
        <f t="shared" si="421"/>
        <v>-0.2</v>
      </c>
      <c r="BD132" s="61"/>
      <c r="BE132" s="62">
        <f t="shared" si="422"/>
        <v>0</v>
      </c>
      <c r="BF132" s="62">
        <f t="shared" si="502"/>
        <v>0</v>
      </c>
      <c r="BG132" s="62">
        <f t="shared" si="502"/>
        <v>0</v>
      </c>
      <c r="BH132" s="62">
        <f t="shared" si="502"/>
        <v>-0.2</v>
      </c>
      <c r="BI132" s="62">
        <f t="shared" si="424"/>
        <v>-0.2</v>
      </c>
      <c r="BJ132" s="61"/>
      <c r="BK132" s="62">
        <f>BK59</f>
        <v>0</v>
      </c>
      <c r="BL132" s="62">
        <f t="shared" ref="BL132:BN133" si="504">IF(BL59="-","-",SUM(BL59)-SUM(BK59))</f>
        <v>0</v>
      </c>
      <c r="BM132" s="62">
        <f t="shared" si="504"/>
        <v>0</v>
      </c>
      <c r="BN132" s="62">
        <f t="shared" si="504"/>
        <v>0</v>
      </c>
      <c r="BO132" s="1166">
        <f t="shared" si="426"/>
        <v>0</v>
      </c>
      <c r="BP132" s="61"/>
      <c r="BQ132" s="62">
        <f t="shared" si="427"/>
        <v>0</v>
      </c>
      <c r="BR132" s="62">
        <f t="shared" si="503"/>
        <v>0</v>
      </c>
      <c r="BS132" s="62">
        <f t="shared" si="503"/>
        <v>0</v>
      </c>
      <c r="BT132" s="62">
        <f t="shared" si="503"/>
        <v>0</v>
      </c>
      <c r="BU132" s="1166">
        <f t="shared" si="429"/>
        <v>0</v>
      </c>
      <c r="BV132" s="61"/>
      <c r="BW132" s="62">
        <f t="shared" si="430"/>
        <v>39.9</v>
      </c>
      <c r="BX132" s="62">
        <f t="shared" si="431"/>
        <v>80.099999999999994</v>
      </c>
      <c r="BY132" s="62">
        <f t="shared" si="432"/>
        <v>-116</v>
      </c>
      <c r="BZ132" s="62">
        <f t="shared" si="433"/>
        <v>48.100000000000023</v>
      </c>
      <c r="CA132" s="1166">
        <f t="shared" si="434"/>
        <v>52.100000000000023</v>
      </c>
      <c r="CB132" s="61"/>
      <c r="CC132" s="62">
        <f t="shared" si="435"/>
        <v>-50</v>
      </c>
      <c r="CD132" s="62">
        <f>IF(CD59="-","-",SUM(CD59)-SUM(CC59))</f>
        <v>-2.0999999999999943</v>
      </c>
      <c r="CE132" s="62">
        <f t="shared" si="437"/>
        <v>0</v>
      </c>
      <c r="CF132" s="62">
        <f t="shared" si="438"/>
        <v>0</v>
      </c>
      <c r="CG132" s="1166">
        <f t="shared" si="439"/>
        <v>-52.099999999999994</v>
      </c>
      <c r="CH132" s="61"/>
      <c r="CI132" s="62">
        <f t="shared" si="440"/>
        <v>0</v>
      </c>
      <c r="CJ132" s="62">
        <f t="shared" si="441"/>
        <v>0</v>
      </c>
      <c r="CK132" s="62">
        <f t="shared" si="442"/>
        <v>0</v>
      </c>
      <c r="CL132" s="62">
        <f t="shared" si="443"/>
        <v>0</v>
      </c>
      <c r="CM132" s="1166">
        <f t="shared" si="444"/>
        <v>0</v>
      </c>
      <c r="CN132" s="61"/>
      <c r="CO132" s="62">
        <f t="shared" si="445"/>
        <v>0</v>
      </c>
      <c r="CP132" s="62">
        <f t="shared" si="446"/>
        <v>0</v>
      </c>
      <c r="CQ132" s="62">
        <f t="shared" si="447"/>
        <v>0</v>
      </c>
      <c r="CR132" s="62">
        <f t="shared" si="448"/>
        <v>0</v>
      </c>
      <c r="CS132" s="1166">
        <f t="shared" si="449"/>
        <v>0</v>
      </c>
      <c r="CT132" s="61"/>
      <c r="CU132" s="62">
        <f t="shared" si="450"/>
        <v>0</v>
      </c>
      <c r="CV132" s="62">
        <f t="shared" si="451"/>
        <v>0</v>
      </c>
      <c r="CW132" s="62">
        <f t="shared" si="452"/>
        <v>110</v>
      </c>
      <c r="CX132" s="62">
        <f t="shared" si="453"/>
        <v>635.6</v>
      </c>
      <c r="CY132" s="1166">
        <f t="shared" si="454"/>
        <v>745.6</v>
      </c>
      <c r="CZ132" s="61"/>
      <c r="DA132" s="62">
        <f t="shared" si="455"/>
        <v>0</v>
      </c>
      <c r="DB132" s="62">
        <f t="shared" si="456"/>
        <v>0</v>
      </c>
      <c r="DC132" s="62">
        <f t="shared" si="457"/>
        <v>0</v>
      </c>
      <c r="DD132" s="62">
        <f t="shared" si="458"/>
        <v>0</v>
      </c>
      <c r="DE132" s="1166">
        <f t="shared" si="459"/>
        <v>0</v>
      </c>
      <c r="DF132" s="61"/>
      <c r="DG132" s="62">
        <f t="shared" si="460"/>
        <v>0</v>
      </c>
      <c r="DH132" s="62">
        <f t="shared" si="461"/>
        <v>0</v>
      </c>
      <c r="DI132" s="62">
        <f t="shared" si="462"/>
        <v>0</v>
      </c>
      <c r="DJ132" s="62">
        <f t="shared" si="463"/>
        <v>-3.4</v>
      </c>
      <c r="DK132" s="1166">
        <f t="shared" si="464"/>
        <v>-3.4</v>
      </c>
      <c r="DL132" s="61"/>
      <c r="DM132" s="62">
        <f t="shared" si="465"/>
        <v>0</v>
      </c>
      <c r="DN132" s="62">
        <f t="shared" si="466"/>
        <v>742</v>
      </c>
      <c r="DO132" s="62">
        <f t="shared" si="467"/>
        <v>0</v>
      </c>
      <c r="DP132" s="62">
        <f t="shared" si="468"/>
        <v>0</v>
      </c>
      <c r="DQ132" s="1166">
        <f t="shared" si="469"/>
        <v>742</v>
      </c>
      <c r="DR132" s="61"/>
      <c r="DS132" s="62">
        <f t="shared" si="470"/>
        <v>0</v>
      </c>
      <c r="DT132" s="62">
        <f t="shared" si="471"/>
        <v>0</v>
      </c>
      <c r="DU132" s="62">
        <f t="shared" si="472"/>
        <v>0</v>
      </c>
      <c r="DV132" s="62">
        <f t="shared" si="473"/>
        <v>0</v>
      </c>
      <c r="DW132" s="1166">
        <f t="shared" si="474"/>
        <v>0</v>
      </c>
      <c r="DX132" s="61"/>
      <c r="DY132" s="62">
        <f t="shared" si="475"/>
        <v>0</v>
      </c>
      <c r="DZ132" s="62">
        <f t="shared" si="476"/>
        <v>91.09999999999998</v>
      </c>
      <c r="EA132" s="62">
        <f t="shared" si="477"/>
        <v>0</v>
      </c>
      <c r="EB132" s="62">
        <f t="shared" si="478"/>
        <v>0</v>
      </c>
      <c r="EC132" s="1166">
        <f t="shared" si="479"/>
        <v>91.09999999999998</v>
      </c>
      <c r="ED132" s="61"/>
      <c r="EE132" s="62">
        <f t="shared" si="480"/>
        <v>0</v>
      </c>
      <c r="EF132" s="62">
        <f t="shared" si="481"/>
        <v>0</v>
      </c>
      <c r="EG132" s="62">
        <f t="shared" si="482"/>
        <v>0</v>
      </c>
      <c r="EH132" s="62">
        <f t="shared" si="483"/>
        <v>0</v>
      </c>
      <c r="EI132" s="1166">
        <f t="shared" si="484"/>
        <v>0</v>
      </c>
      <c r="EJ132" s="61"/>
      <c r="EK132" s="62">
        <f t="shared" si="485"/>
        <v>0</v>
      </c>
      <c r="EL132" s="62">
        <f t="shared" si="486"/>
        <v>0</v>
      </c>
      <c r="EM132" s="62">
        <f t="shared" si="487"/>
        <v>0</v>
      </c>
      <c r="EN132" s="62">
        <f t="shared" si="488"/>
        <v>0</v>
      </c>
      <c r="EO132" s="1166">
        <f t="shared" si="489"/>
        <v>0</v>
      </c>
      <c r="EP132" s="61"/>
      <c r="EQ132" s="62">
        <f t="shared" si="490"/>
        <v>0</v>
      </c>
      <c r="ER132" s="62">
        <f t="shared" si="491"/>
        <v>0</v>
      </c>
      <c r="ES132" s="62">
        <f t="shared" si="492"/>
        <v>0</v>
      </c>
      <c r="ET132" s="62">
        <f t="shared" si="493"/>
        <v>0</v>
      </c>
      <c r="EU132" s="1166">
        <f t="shared" si="494"/>
        <v>0</v>
      </c>
      <c r="EV132" s="45"/>
      <c r="EW132" s="45"/>
      <c r="FD132" s="45"/>
      <c r="FE132" s="45"/>
      <c r="FF132" s="45"/>
      <c r="FG132" s="45"/>
      <c r="FH132" s="45"/>
      <c r="FI132" s="45"/>
      <c r="FJ132" s="45"/>
      <c r="FK132" s="45"/>
      <c r="FL132" s="45"/>
      <c r="FM132" s="45"/>
      <c r="FN132" s="45"/>
      <c r="FO132" s="45"/>
      <c r="FP132" s="45"/>
    </row>
    <row r="133" spans="1:172" ht="13.5" hidden="1" thickBot="1">
      <c r="A133" s="41" t="s">
        <v>6817</v>
      </c>
      <c r="B133" s="51"/>
      <c r="C133" s="363"/>
      <c r="D133" s="363"/>
      <c r="E133" s="363"/>
      <c r="F133" s="363"/>
      <c r="G133" s="363"/>
      <c r="H133" s="64"/>
      <c r="I133" s="363"/>
      <c r="J133" s="363"/>
      <c r="K133" s="363"/>
      <c r="L133" s="363"/>
      <c r="M133" s="363"/>
      <c r="N133" s="64"/>
      <c r="O133" s="62">
        <f>O60</f>
        <v>0</v>
      </c>
      <c r="P133" s="62">
        <f t="shared" si="495"/>
        <v>0</v>
      </c>
      <c r="Q133" s="62">
        <f t="shared" si="495"/>
        <v>0</v>
      </c>
      <c r="R133" s="62">
        <f t="shared" si="495"/>
        <v>0</v>
      </c>
      <c r="S133" s="62">
        <f>SUM(O133:R133)</f>
        <v>0</v>
      </c>
      <c r="T133" s="64"/>
      <c r="U133" s="62">
        <f>U60</f>
        <v>0</v>
      </c>
      <c r="V133" s="62">
        <f t="shared" si="496"/>
        <v>0</v>
      </c>
      <c r="W133" s="62">
        <f t="shared" si="496"/>
        <v>0</v>
      </c>
      <c r="X133" s="62">
        <f t="shared" si="496"/>
        <v>0</v>
      </c>
      <c r="Y133" s="62">
        <f>SUM(U133:X133)</f>
        <v>0</v>
      </c>
      <c r="Z133" s="64"/>
      <c r="AA133" s="62">
        <f>AA60</f>
        <v>0</v>
      </c>
      <c r="AB133" s="62">
        <f t="shared" si="497"/>
        <v>0</v>
      </c>
      <c r="AC133" s="62">
        <f t="shared" si="497"/>
        <v>13.957000000000001</v>
      </c>
      <c r="AD133" s="62">
        <f t="shared" si="497"/>
        <v>0</v>
      </c>
      <c r="AE133" s="62">
        <f>SUM(AA133:AD133)</f>
        <v>13.957000000000001</v>
      </c>
      <c r="AF133" s="61"/>
      <c r="AG133" s="62">
        <f>AG60</f>
        <v>-0.754</v>
      </c>
      <c r="AH133" s="62">
        <f t="shared" si="498"/>
        <v>-0.66100000000000003</v>
      </c>
      <c r="AI133" s="62">
        <f t="shared" si="498"/>
        <v>-1.2410000000000001</v>
      </c>
      <c r="AJ133" s="62">
        <f t="shared" si="498"/>
        <v>0</v>
      </c>
      <c r="AK133" s="62">
        <f>SUM(AG133:AJ133)</f>
        <v>-2.6560000000000001</v>
      </c>
      <c r="AL133" s="61"/>
      <c r="AM133" s="62">
        <f>AM60</f>
        <v>0</v>
      </c>
      <c r="AN133" s="62">
        <f t="shared" si="499"/>
        <v>0</v>
      </c>
      <c r="AO133" s="62">
        <f t="shared" si="499"/>
        <v>0</v>
      </c>
      <c r="AP133" s="62">
        <f t="shared" si="499"/>
        <v>0</v>
      </c>
      <c r="AQ133" s="62">
        <f>SUM(AM133:AP133)</f>
        <v>0</v>
      </c>
      <c r="AR133" s="61"/>
      <c r="AS133" s="62">
        <f>AS60</f>
        <v>0</v>
      </c>
      <c r="AT133" s="62">
        <f t="shared" si="500"/>
        <v>0</v>
      </c>
      <c r="AU133" s="62">
        <f t="shared" si="500"/>
        <v>0</v>
      </c>
      <c r="AV133" s="62">
        <f t="shared" si="500"/>
        <v>0</v>
      </c>
      <c r="AW133" s="62">
        <f>SUM(AS133:AV133)</f>
        <v>0</v>
      </c>
      <c r="AX133" s="61"/>
      <c r="AY133" s="62">
        <f t="shared" si="419"/>
        <v>0</v>
      </c>
      <c r="AZ133" s="62">
        <f t="shared" si="501"/>
        <v>0</v>
      </c>
      <c r="BA133" s="62">
        <f t="shared" si="501"/>
        <v>0</v>
      </c>
      <c r="BB133" s="62">
        <f>IF(BB60="-","-",SUM(BB60)-SUM(BA60))</f>
        <v>0</v>
      </c>
      <c r="BC133" s="62">
        <f t="shared" si="421"/>
        <v>0</v>
      </c>
      <c r="BD133" s="61"/>
      <c r="BE133" s="62">
        <f t="shared" si="422"/>
        <v>0</v>
      </c>
      <c r="BF133" s="62">
        <f t="shared" si="502"/>
        <v>0</v>
      </c>
      <c r="BG133" s="62">
        <f t="shared" si="502"/>
        <v>0</v>
      </c>
      <c r="BH133" s="62">
        <f t="shared" si="502"/>
        <v>0</v>
      </c>
      <c r="BI133" s="62">
        <f t="shared" si="424"/>
        <v>0</v>
      </c>
      <c r="BJ133" s="64"/>
      <c r="BK133" s="62">
        <f>BK60</f>
        <v>0</v>
      </c>
      <c r="BL133" s="62">
        <f t="shared" si="504"/>
        <v>0</v>
      </c>
      <c r="BM133" s="62">
        <f t="shared" si="504"/>
        <v>0</v>
      </c>
      <c r="BN133" s="62">
        <f t="shared" si="504"/>
        <v>0</v>
      </c>
      <c r="BO133" s="1166">
        <f t="shared" si="426"/>
        <v>0</v>
      </c>
      <c r="BP133" s="64"/>
      <c r="BQ133" s="62">
        <f t="shared" si="427"/>
        <v>0</v>
      </c>
      <c r="BR133" s="62">
        <f t="shared" si="503"/>
        <v>0</v>
      </c>
      <c r="BS133" s="62">
        <f t="shared" si="503"/>
        <v>0</v>
      </c>
      <c r="BT133" s="62">
        <f t="shared" si="503"/>
        <v>0</v>
      </c>
      <c r="BU133" s="1166">
        <f t="shared" si="429"/>
        <v>0</v>
      </c>
      <c r="BV133" s="64"/>
      <c r="BW133" s="62">
        <f t="shared" si="430"/>
        <v>0</v>
      </c>
      <c r="BX133" s="62">
        <f t="shared" si="431"/>
        <v>0</v>
      </c>
      <c r="BY133" s="62">
        <f t="shared" si="432"/>
        <v>0</v>
      </c>
      <c r="BZ133" s="62">
        <f t="shared" si="433"/>
        <v>0</v>
      </c>
      <c r="CA133" s="1166">
        <f t="shared" si="434"/>
        <v>0</v>
      </c>
      <c r="CB133" s="64"/>
      <c r="CC133" s="62">
        <f t="shared" si="435"/>
        <v>0</v>
      </c>
      <c r="CD133" s="62">
        <f t="shared" si="436"/>
        <v>0</v>
      </c>
      <c r="CE133" s="62">
        <f t="shared" si="437"/>
        <v>0</v>
      </c>
      <c r="CF133" s="62">
        <f t="shared" si="438"/>
        <v>0</v>
      </c>
      <c r="CG133" s="1166">
        <f t="shared" si="439"/>
        <v>0</v>
      </c>
      <c r="CH133" s="64"/>
      <c r="CI133" s="62">
        <f t="shared" si="440"/>
        <v>0</v>
      </c>
      <c r="CJ133" s="62">
        <f t="shared" si="441"/>
        <v>0</v>
      </c>
      <c r="CK133" s="62">
        <f t="shared" si="442"/>
        <v>0</v>
      </c>
      <c r="CL133" s="62">
        <f t="shared" si="443"/>
        <v>0</v>
      </c>
      <c r="CM133" s="1166">
        <f t="shared" si="444"/>
        <v>0</v>
      </c>
      <c r="CN133" s="64"/>
      <c r="CO133" s="62">
        <f t="shared" si="445"/>
        <v>0</v>
      </c>
      <c r="CP133" s="62">
        <f t="shared" si="446"/>
        <v>0</v>
      </c>
      <c r="CQ133" s="62">
        <f t="shared" si="447"/>
        <v>0</v>
      </c>
      <c r="CR133" s="62">
        <f t="shared" si="448"/>
        <v>0</v>
      </c>
      <c r="CS133" s="1166">
        <f t="shared" si="449"/>
        <v>0</v>
      </c>
      <c r="CT133" s="64"/>
      <c r="CU133" s="62">
        <f t="shared" si="450"/>
        <v>0</v>
      </c>
      <c r="CV133" s="62">
        <f t="shared" si="451"/>
        <v>0</v>
      </c>
      <c r="CW133" s="62">
        <f t="shared" si="452"/>
        <v>0</v>
      </c>
      <c r="CX133" s="62">
        <f t="shared" si="453"/>
        <v>0</v>
      </c>
      <c r="CY133" s="1166">
        <f t="shared" si="454"/>
        <v>0</v>
      </c>
      <c r="CZ133" s="64"/>
      <c r="DA133" s="62">
        <f t="shared" si="455"/>
        <v>0</v>
      </c>
      <c r="DB133" s="62">
        <f t="shared" si="456"/>
        <v>0</v>
      </c>
      <c r="DC133" s="62">
        <f t="shared" si="457"/>
        <v>0</v>
      </c>
      <c r="DD133" s="62">
        <f t="shared" si="458"/>
        <v>0</v>
      </c>
      <c r="DE133" s="1166">
        <f t="shared" si="459"/>
        <v>0</v>
      </c>
      <c r="DF133" s="64"/>
      <c r="DG133" s="62">
        <f t="shared" si="460"/>
        <v>0</v>
      </c>
      <c r="DH133" s="62">
        <f t="shared" si="461"/>
        <v>0</v>
      </c>
      <c r="DI133" s="62">
        <f t="shared" si="462"/>
        <v>0</v>
      </c>
      <c r="DJ133" s="62">
        <f t="shared" si="463"/>
        <v>0</v>
      </c>
      <c r="DK133" s="1166">
        <f t="shared" si="464"/>
        <v>0</v>
      </c>
      <c r="DL133" s="64"/>
      <c r="DM133" s="62">
        <f t="shared" si="465"/>
        <v>0</v>
      </c>
      <c r="DN133" s="62">
        <f t="shared" si="466"/>
        <v>0</v>
      </c>
      <c r="DO133" s="62">
        <f t="shared" si="467"/>
        <v>0</v>
      </c>
      <c r="DP133" s="62">
        <f t="shared" si="468"/>
        <v>0</v>
      </c>
      <c r="DQ133" s="1166">
        <f t="shared" si="469"/>
        <v>0</v>
      </c>
      <c r="DR133" s="64"/>
      <c r="DS133" s="62">
        <f t="shared" si="470"/>
        <v>0</v>
      </c>
      <c r="DT133" s="62">
        <f t="shared" si="471"/>
        <v>0</v>
      </c>
      <c r="DU133" s="62">
        <f t="shared" si="472"/>
        <v>0</v>
      </c>
      <c r="DV133" s="62">
        <f t="shared" si="473"/>
        <v>0</v>
      </c>
      <c r="DW133" s="1166">
        <f t="shared" si="474"/>
        <v>0</v>
      </c>
      <c r="DX133" s="64"/>
      <c r="DY133" s="62">
        <f t="shared" si="475"/>
        <v>0</v>
      </c>
      <c r="DZ133" s="62">
        <f t="shared" si="476"/>
        <v>0</v>
      </c>
      <c r="EA133" s="62">
        <f t="shared" si="477"/>
        <v>0</v>
      </c>
      <c r="EB133" s="62">
        <f t="shared" si="478"/>
        <v>0</v>
      </c>
      <c r="EC133" s="1166">
        <f t="shared" si="479"/>
        <v>0</v>
      </c>
      <c r="ED133" s="64"/>
      <c r="EE133" s="62">
        <f t="shared" si="480"/>
        <v>0</v>
      </c>
      <c r="EF133" s="62">
        <f t="shared" si="481"/>
        <v>0</v>
      </c>
      <c r="EG133" s="62">
        <f t="shared" si="482"/>
        <v>0</v>
      </c>
      <c r="EH133" s="62">
        <f t="shared" si="483"/>
        <v>0</v>
      </c>
      <c r="EI133" s="1166">
        <f t="shared" si="484"/>
        <v>0</v>
      </c>
      <c r="EJ133" s="64"/>
      <c r="EK133" s="62">
        <f t="shared" si="485"/>
        <v>0</v>
      </c>
      <c r="EL133" s="62">
        <f t="shared" si="486"/>
        <v>0</v>
      </c>
      <c r="EM133" s="62">
        <f t="shared" si="487"/>
        <v>0</v>
      </c>
      <c r="EN133" s="62">
        <f t="shared" si="488"/>
        <v>0</v>
      </c>
      <c r="EO133" s="1166">
        <f t="shared" si="489"/>
        <v>0</v>
      </c>
      <c r="EP133" s="64"/>
      <c r="EQ133" s="62">
        <f t="shared" si="490"/>
        <v>0</v>
      </c>
      <c r="ER133" s="62">
        <f t="shared" si="491"/>
        <v>0</v>
      </c>
      <c r="ES133" s="62">
        <f t="shared" si="492"/>
        <v>0</v>
      </c>
      <c r="ET133" s="62">
        <f t="shared" si="493"/>
        <v>0</v>
      </c>
      <c r="EU133" s="1166">
        <f t="shared" si="494"/>
        <v>0</v>
      </c>
      <c r="EV133" s="81"/>
      <c r="EW133" s="81"/>
      <c r="FD133" s="81"/>
      <c r="FE133" s="81"/>
      <c r="FF133" s="81"/>
      <c r="FG133" s="81"/>
      <c r="FH133" s="81"/>
      <c r="FI133" s="81"/>
      <c r="FJ133" s="81"/>
      <c r="FK133" s="81"/>
      <c r="FL133" s="81"/>
      <c r="FM133" s="81"/>
      <c r="FN133" s="81"/>
      <c r="FO133" s="81"/>
      <c r="FP133" s="81"/>
    </row>
    <row r="134" spans="1:172" ht="13.5" thickBot="1">
      <c r="A134" s="1327" t="s">
        <v>4237</v>
      </c>
      <c r="B134" s="1341"/>
      <c r="C134" s="1341"/>
      <c r="D134" s="1341"/>
      <c r="E134" s="1341"/>
      <c r="F134" s="1341"/>
      <c r="G134" s="1341"/>
      <c r="H134" s="1341"/>
      <c r="I134" s="1341"/>
      <c r="J134" s="1341"/>
      <c r="K134" s="1341"/>
      <c r="L134" s="1341"/>
      <c r="M134" s="1341"/>
      <c r="N134" s="1341"/>
      <c r="O134" s="1331">
        <f>SUM(O127:O133)</f>
        <v>54.225999999999999</v>
      </c>
      <c r="P134" s="1331">
        <f>SUM(P127:P133)</f>
        <v>-25.332000000000001</v>
      </c>
      <c r="Q134" s="1331">
        <f>SUM(Q127:Q133)</f>
        <v>8.9370000000000029</v>
      </c>
      <c r="R134" s="1331">
        <f>SUM(R127:R133)</f>
        <v>-2.9859999999999998</v>
      </c>
      <c r="S134" s="1331">
        <f>SUM(S127:S133)</f>
        <v>34.844999999999999</v>
      </c>
      <c r="T134" s="1331"/>
      <c r="U134" s="1331">
        <f>SUM(U127:U133)</f>
        <v>128.78500000000003</v>
      </c>
      <c r="V134" s="1331">
        <f>SUM(V127:V133)</f>
        <v>0.91599999999999171</v>
      </c>
      <c r="W134" s="1331">
        <f>SUM(W127:W133)</f>
        <v>4.9509999999999996</v>
      </c>
      <c r="X134" s="1331">
        <f>SUM(X127:X133)</f>
        <v>-81.349999999999994</v>
      </c>
      <c r="Y134" s="1331">
        <f>SUM(Y127:Y133)</f>
        <v>53.302000000000007</v>
      </c>
      <c r="Z134" s="1331"/>
      <c r="AA134" s="1331">
        <f>SUM(AA127:AA133)</f>
        <v>-112.84900000000002</v>
      </c>
      <c r="AB134" s="1331">
        <f>SUM(AB127:AB133)</f>
        <v>-35.600999999999978</v>
      </c>
      <c r="AC134" s="1331">
        <f>SUM(AC127:AC133)</f>
        <v>-33.862000000000037</v>
      </c>
      <c r="AD134" s="1331">
        <f>SUM(AD127:AD133)</f>
        <v>-62.994999999999976</v>
      </c>
      <c r="AE134" s="1331">
        <f>SUM(AE127:AE133)</f>
        <v>-245.30700000000002</v>
      </c>
      <c r="AF134" s="1331"/>
      <c r="AG134" s="1331">
        <f>SUM(AG127:AG133)</f>
        <v>-51.901999999999994</v>
      </c>
      <c r="AH134" s="1331">
        <f>SUM(AH127:AH133)</f>
        <v>0.72100000000001008</v>
      </c>
      <c r="AI134" s="1331">
        <f>SUM(AI127:AI133)</f>
        <v>4.8139999999999858</v>
      </c>
      <c r="AJ134" s="1331">
        <f>SUM(AJ127:AJ133)</f>
        <v>13.335000000000008</v>
      </c>
      <c r="AK134" s="1331">
        <f>SUM(AK127:AK133)</f>
        <v>-33.032000000000004</v>
      </c>
      <c r="AL134" s="1331"/>
      <c r="AM134" s="1331">
        <f>SUM(AM127:AM133)</f>
        <v>44.688999999999993</v>
      </c>
      <c r="AN134" s="1331">
        <f>SUM(AN127:AN133)</f>
        <v>-28.783999999999995</v>
      </c>
      <c r="AO134" s="1331">
        <f>SUM(AO127:AO133)</f>
        <v>-0.45399999999999974</v>
      </c>
      <c r="AP134" s="1331">
        <f>SUM(AP127:AP133)</f>
        <v>-19.356999999999996</v>
      </c>
      <c r="AQ134" s="1331">
        <f>SUM(AQ127:AQ133)</f>
        <v>-3.9059999999999961</v>
      </c>
      <c r="AR134" s="1331"/>
      <c r="AS134" s="1331">
        <f>SUM(AS127:AS133)</f>
        <v>-18.105</v>
      </c>
      <c r="AT134" s="1331">
        <f>SUM(AT127:AT133)</f>
        <v>-12.779</v>
      </c>
      <c r="AU134" s="1331">
        <f>SUM(AU127:AU133)</f>
        <v>-9.7999999999999972</v>
      </c>
      <c r="AV134" s="1331">
        <f>SUM(AV127:AV133)</f>
        <v>-35.785999999999994</v>
      </c>
      <c r="AW134" s="1331">
        <f>SUM(AW127:AW133)</f>
        <v>-76.469999999999985</v>
      </c>
      <c r="AX134" s="1331"/>
      <c r="AY134" s="1331">
        <f>SUM(AY127:AY133)</f>
        <v>-47.399999999999991</v>
      </c>
      <c r="AZ134" s="1331">
        <f>SUM(AZ127:AZ133)</f>
        <v>-14.800000000000004</v>
      </c>
      <c r="BA134" s="1331">
        <f>SUM(BA127:BA133)</f>
        <v>-136.50000000000003</v>
      </c>
      <c r="BB134" s="1331">
        <f>SUM(BB127:BB133)</f>
        <v>-119.09999999999995</v>
      </c>
      <c r="BC134" s="1331">
        <f>SUM(BC127:BC133)</f>
        <v>-317.79999999999995</v>
      </c>
      <c r="BD134" s="1331"/>
      <c r="BE134" s="1331">
        <f>SUM(BE127:BE133)</f>
        <v>-36.899999999999991</v>
      </c>
      <c r="BF134" s="1331">
        <f>SUM(BF127:BF133)</f>
        <v>-95.799999999999983</v>
      </c>
      <c r="BG134" s="1331">
        <f>SUM(BG127:BG133)</f>
        <v>-83.499999999999957</v>
      </c>
      <c r="BH134" s="1331">
        <f>SUM(BH127:BH133)</f>
        <v>-89.4</v>
      </c>
      <c r="BI134" s="1331">
        <f>SUM(BI127:BI133)</f>
        <v>-305.59999999999991</v>
      </c>
      <c r="BJ134" s="1331"/>
      <c r="BK134" s="1331">
        <f>SUM(BK127:BK133)</f>
        <v>-16.599999999999994</v>
      </c>
      <c r="BL134" s="1331">
        <f>SUM(BL127:BL133)</f>
        <v>-73.59999999999998</v>
      </c>
      <c r="BM134" s="1331">
        <f>SUM(BM127:BM133)</f>
        <v>9.9000000000000057</v>
      </c>
      <c r="BN134" s="1331">
        <f>SUM(BN127:BN133)</f>
        <v>9.9999999999994316E-2</v>
      </c>
      <c r="BO134" s="1342">
        <f>SUM(BO127:BO133)</f>
        <v>-80.199999999999974</v>
      </c>
      <c r="BP134" s="1331"/>
      <c r="BQ134" s="1331">
        <f>SUM(BQ127:BQ133)</f>
        <v>0</v>
      </c>
      <c r="BR134" s="1331">
        <f>SUM(BR127:BR133)</f>
        <v>-241.3</v>
      </c>
      <c r="BS134" s="1331">
        <f>SUM(BS127:BS133)</f>
        <v>-61.499999999999986</v>
      </c>
      <c r="BT134" s="1331">
        <f>SUM(BT127:BT133)</f>
        <v>-72.899999999999977</v>
      </c>
      <c r="BU134" s="1342">
        <f>SUM(BU127:BU133)</f>
        <v>-375.7</v>
      </c>
      <c r="BV134" s="1331"/>
      <c r="BW134" s="1331">
        <f>SUM(BW127:BW133)</f>
        <v>-181.29999999999998</v>
      </c>
      <c r="BX134" s="1331">
        <f>SUM(BX127:BX133)</f>
        <v>94.799999999999983</v>
      </c>
      <c r="BY134" s="1331">
        <f>SUM(BY127:BY133)</f>
        <v>-77</v>
      </c>
      <c r="BZ134" s="1331">
        <f>SUM(BZ127:BZ133)</f>
        <v>49.100000000000023</v>
      </c>
      <c r="CA134" s="1342">
        <f>SUM(CA127:CA133)</f>
        <v>-114.4</v>
      </c>
      <c r="CB134" s="1331"/>
      <c r="CC134" s="1331">
        <f>SUM(CC127:CC133)</f>
        <v>-24.6</v>
      </c>
      <c r="CD134" s="1331">
        <f>SUM(CD127:CD133)</f>
        <v>16.600000000000009</v>
      </c>
      <c r="CE134" s="1331">
        <f>SUM(CE127:CE133)</f>
        <v>-16</v>
      </c>
      <c r="CF134" s="1331">
        <f>SUM(CF127:CF133)</f>
        <v>-21.300000000000004</v>
      </c>
      <c r="CG134" s="1342">
        <f>SUM(CG127:CG133)</f>
        <v>-45.3</v>
      </c>
      <c r="CH134" s="1331"/>
      <c r="CI134" s="1331">
        <f>SUM(CI127:CI133)</f>
        <v>-22.599999999999994</v>
      </c>
      <c r="CJ134" s="1331">
        <f>SUM(CJ127:CJ133)</f>
        <v>-66.5</v>
      </c>
      <c r="CK134" s="1331">
        <f>SUM(CK127:CK133)</f>
        <v>-38.6</v>
      </c>
      <c r="CL134" s="1331">
        <f>SUM(CL127:CL133)</f>
        <v>-31.700000000000017</v>
      </c>
      <c r="CM134" s="1343">
        <f>SUM(CM127:CM133)</f>
        <v>-159.4</v>
      </c>
      <c r="CN134" s="1331"/>
      <c r="CO134" s="1331">
        <f>SUM(CO127:CO133)</f>
        <v>42.7</v>
      </c>
      <c r="CP134" s="1331">
        <f>SUM(CP127:CP133)</f>
        <v>-69.000000000000014</v>
      </c>
      <c r="CQ134" s="1331">
        <f>SUM(CQ127:CQ133)</f>
        <v>-48.099999999999966</v>
      </c>
      <c r="CR134" s="1331">
        <f>SUM(CR127:CR133)</f>
        <v>-45.400000000000006</v>
      </c>
      <c r="CS134" s="1343">
        <f>SUM(CS127:CS133)</f>
        <v>-119.79999999999998</v>
      </c>
      <c r="CT134" s="1331"/>
      <c r="CU134" s="1331">
        <f>SUM(CU127:CU133)</f>
        <v>63.699999999999996</v>
      </c>
      <c r="CV134" s="1331">
        <f>SUM(CV127:CV133)</f>
        <v>-87.1</v>
      </c>
      <c r="CW134" s="1331">
        <f>SUM(CW127:CW133)</f>
        <v>19.899999999999991</v>
      </c>
      <c r="CX134" s="1331">
        <f>SUM(CX127:CX133)</f>
        <v>544.90000000000009</v>
      </c>
      <c r="CY134" s="1343">
        <f>SUM(CY127:CY133)</f>
        <v>541.40000000000009</v>
      </c>
      <c r="CZ134" s="1331"/>
      <c r="DA134" s="1331">
        <f>SUM(DA127:DA133)</f>
        <v>-50.199999999999989</v>
      </c>
      <c r="DB134" s="1331">
        <f>SUM(DB127:DB133)</f>
        <v>-106.60000000000002</v>
      </c>
      <c r="DC134" s="1331">
        <f>SUM(DC127:DC133)</f>
        <v>20.700000000000031</v>
      </c>
      <c r="DD134" s="1331">
        <f>SUM(DD127:DD133)</f>
        <v>9.5999999999999606</v>
      </c>
      <c r="DE134" s="1343">
        <f>SUM(DE127:DE133)</f>
        <v>-126.50000000000003</v>
      </c>
      <c r="DF134" s="1331"/>
      <c r="DG134" s="1331">
        <f>SUM(DG127:DG133)</f>
        <v>-40.299999999999997</v>
      </c>
      <c r="DH134" s="1331">
        <f>SUM(DH127:DH133)</f>
        <v>-74.40000000000002</v>
      </c>
      <c r="DI134" s="1331">
        <f>SUM(DI127:DI133)</f>
        <v>-65.000000000000014</v>
      </c>
      <c r="DJ134" s="1331">
        <f>SUM(DJ127:DJ133)</f>
        <v>-60.199999999999939</v>
      </c>
      <c r="DK134" s="1343">
        <f>SUM(DK127:DK133)</f>
        <v>-239.89999999999998</v>
      </c>
      <c r="DL134" s="1331"/>
      <c r="DM134" s="1331">
        <f>SUM(DM127:DM133)</f>
        <v>-61.300000000000004</v>
      </c>
      <c r="DN134" s="1331">
        <f>SUM(DN127:DN133)</f>
        <v>628.79999999999995</v>
      </c>
      <c r="DO134" s="1331">
        <f>SUM(DO127:DO133)</f>
        <v>-126.2</v>
      </c>
      <c r="DP134" s="1331">
        <f>SUM(DP127:DP133)</f>
        <v>-98.100000000000037</v>
      </c>
      <c r="DQ134" s="1343">
        <f>SUM(DQ127:DQ133)</f>
        <v>343.2</v>
      </c>
      <c r="DR134" s="1331"/>
      <c r="DS134" s="1331">
        <f>SUM(DS127:DS133)</f>
        <v>-67.199999999999989</v>
      </c>
      <c r="DT134" s="1331">
        <f>SUM(DT127:DT133)</f>
        <v>-168.50000000000003</v>
      </c>
      <c r="DU134" s="1331">
        <f>SUM(DU127:DU133)</f>
        <v>-118.60000000000002</v>
      </c>
      <c r="DV134" s="1331">
        <f>SUM(DV127:DV133)</f>
        <v>-224.00000000000009</v>
      </c>
      <c r="DW134" s="1343">
        <f>SUM(DW127:DW133)</f>
        <v>-578.30000000000007</v>
      </c>
      <c r="DX134" s="1331"/>
      <c r="DY134" s="1331">
        <f>SUM(DY127:DY133)</f>
        <v>-178.8</v>
      </c>
      <c r="DZ134" s="1331">
        <f>SUM(DZ127:DZ133)</f>
        <v>-39.200000000000003</v>
      </c>
      <c r="EA134" s="1331">
        <f>SUM(EA127:EA133)</f>
        <v>-156.19999999999999</v>
      </c>
      <c r="EB134" s="1331">
        <f>SUM(EB127:EB133)</f>
        <v>-282.40000000000003</v>
      </c>
      <c r="EC134" s="1343">
        <f>SUM(EC127:EC133)</f>
        <v>-656.6</v>
      </c>
      <c r="ED134" s="1331"/>
      <c r="EE134" s="1331">
        <f>SUM(EE127:EE133)</f>
        <v>-145.24227272727273</v>
      </c>
      <c r="EF134" s="1331">
        <f>SUM(EF127:EF133)</f>
        <v>-193.97227272727272</v>
      </c>
      <c r="EG134" s="1331">
        <f>SUM(EG127:EG133)</f>
        <v>-159.32227272727266</v>
      </c>
      <c r="EH134" s="1331">
        <f>SUM(EH127:EH133)</f>
        <v>-199.03227272727275</v>
      </c>
      <c r="EI134" s="1343">
        <f>SUM(EI127:EI133)</f>
        <v>-697.56909090909085</v>
      </c>
      <c r="EJ134" s="1331"/>
      <c r="EK134" s="1331">
        <f>SUM(EK127:EK133)</f>
        <v>-164.7753068181818</v>
      </c>
      <c r="EL134" s="1331">
        <f>SUM(EL127:EL133)</f>
        <v>-218.37830681818181</v>
      </c>
      <c r="EM134" s="1331">
        <f>SUM(EM127:EM133)</f>
        <v>-180.26330681818186</v>
      </c>
      <c r="EN134" s="1331">
        <f>SUM(EN127:EN133)</f>
        <v>-223.94430681818176</v>
      </c>
      <c r="EO134" s="1343">
        <f>SUM(EO127:EO133)</f>
        <v>-787.36122727272721</v>
      </c>
      <c r="EP134" s="1331"/>
      <c r="EQ134" s="1331">
        <f>SUM(EQ127:EQ133)</f>
        <v>-186.88774517045451</v>
      </c>
      <c r="ER134" s="1331">
        <f>SUM(ER127:ER133)</f>
        <v>-245.85104517045454</v>
      </c>
      <c r="ES134" s="1331">
        <f>SUM(ES127:ES133)</f>
        <v>-203.92454517045454</v>
      </c>
      <c r="ET134" s="1331">
        <f>SUM(ET127:ET133)</f>
        <v>-251.97364517045452</v>
      </c>
      <c r="EU134" s="1343">
        <f>SUM(EU127:EU133)</f>
        <v>-888.63698068181805</v>
      </c>
      <c r="EV134" s="45"/>
      <c r="EW134" s="45"/>
      <c r="FD134" s="45"/>
      <c r="FE134" s="45"/>
      <c r="FF134" s="45"/>
      <c r="FG134" s="45"/>
      <c r="FH134" s="45"/>
      <c r="FI134" s="45"/>
      <c r="FJ134" s="45"/>
      <c r="FK134" s="45"/>
      <c r="FL134" s="45"/>
      <c r="FM134" s="45"/>
      <c r="FN134" s="45"/>
      <c r="FO134" s="45"/>
      <c r="FP134" s="45"/>
    </row>
    <row r="135" spans="1:172" ht="3.75" customHeight="1">
      <c r="A135" s="75"/>
      <c r="B135" s="42"/>
      <c r="C135" s="62"/>
      <c r="D135" s="62"/>
      <c r="E135" s="62"/>
      <c r="F135" s="62"/>
      <c r="G135" s="62"/>
      <c r="H135" s="61"/>
      <c r="I135" s="62"/>
      <c r="J135" s="62"/>
      <c r="K135" s="62"/>
      <c r="L135" s="62"/>
      <c r="M135" s="62"/>
      <c r="N135" s="61"/>
      <c r="O135" s="364"/>
      <c r="P135" s="364"/>
      <c r="Q135" s="364"/>
      <c r="R135" s="364"/>
      <c r="S135" s="77"/>
      <c r="T135" s="61"/>
      <c r="U135" s="364"/>
      <c r="V135" s="364"/>
      <c r="W135" s="364"/>
      <c r="X135" s="364"/>
      <c r="Y135" s="77"/>
      <c r="Z135" s="61"/>
      <c r="AA135" s="364"/>
      <c r="AB135" s="364"/>
      <c r="AC135" s="364"/>
      <c r="AD135" s="364"/>
      <c r="AE135" s="77"/>
      <c r="AF135" s="77"/>
      <c r="AG135" s="364"/>
      <c r="AH135" s="364"/>
      <c r="AI135" s="364"/>
      <c r="AJ135" s="364"/>
      <c r="AK135" s="364"/>
      <c r="AL135" s="77"/>
      <c r="AM135" s="364"/>
      <c r="AN135" s="364"/>
      <c r="AO135" s="364"/>
      <c r="AP135" s="364"/>
      <c r="AQ135" s="364"/>
      <c r="AR135" s="77"/>
      <c r="AS135" s="364"/>
      <c r="AT135" s="364"/>
      <c r="AU135" s="364"/>
      <c r="AV135" s="364"/>
      <c r="AW135" s="364"/>
      <c r="AX135" s="77"/>
      <c r="AY135" s="364"/>
      <c r="AZ135" s="364"/>
      <c r="BA135" s="364"/>
      <c r="BB135" s="364"/>
      <c r="BC135" s="364"/>
      <c r="BD135" s="77"/>
      <c r="BE135" s="77"/>
      <c r="BF135" s="43"/>
      <c r="BG135" s="43"/>
      <c r="BH135" s="43"/>
      <c r="BI135" s="43"/>
      <c r="BJ135" s="44"/>
      <c r="BK135" s="43"/>
      <c r="BL135" s="43"/>
      <c r="BM135" s="43"/>
      <c r="BN135" s="43"/>
      <c r="BO135" s="1326"/>
      <c r="BP135" s="44"/>
      <c r="BQ135" s="43"/>
      <c r="BR135" s="43"/>
      <c r="BS135" s="43"/>
      <c r="BT135" s="43"/>
      <c r="BU135" s="1326"/>
      <c r="BV135" s="44"/>
      <c r="BW135" s="43"/>
      <c r="BX135" s="43"/>
      <c r="BY135" s="43"/>
      <c r="BZ135" s="43"/>
      <c r="CA135" s="1326"/>
      <c r="CB135" s="44"/>
      <c r="CC135" s="43"/>
      <c r="CD135" s="43"/>
      <c r="CE135" s="43"/>
      <c r="CF135" s="43"/>
      <c r="CG135" s="1326"/>
      <c r="CH135" s="44"/>
      <c r="CI135" s="43"/>
      <c r="CJ135" s="43"/>
      <c r="CK135" s="43"/>
      <c r="CL135" s="43"/>
      <c r="CM135" s="1326"/>
      <c r="CN135" s="44"/>
      <c r="CO135" s="43"/>
      <c r="CP135" s="43"/>
      <c r="CQ135" s="43"/>
      <c r="CR135" s="43"/>
      <c r="CS135" s="1326"/>
      <c r="CT135" s="44"/>
      <c r="CU135" s="43"/>
      <c r="CV135" s="43"/>
      <c r="CW135" s="43"/>
      <c r="CX135" s="43"/>
      <c r="CY135" s="1326"/>
      <c r="CZ135" s="44"/>
      <c r="DA135" s="43"/>
      <c r="DB135" s="43"/>
      <c r="DC135" s="43"/>
      <c r="DD135" s="43"/>
      <c r="DE135" s="1326"/>
      <c r="DF135" s="44"/>
      <c r="DG135" s="43"/>
      <c r="DH135" s="43"/>
      <c r="DI135" s="43"/>
      <c r="DJ135" s="43"/>
      <c r="DK135" s="1326"/>
      <c r="DL135" s="44"/>
      <c r="DM135" s="43"/>
      <c r="DN135" s="43"/>
      <c r="DO135" s="43"/>
      <c r="DP135" s="43"/>
      <c r="DQ135" s="1326"/>
      <c r="DR135" s="44"/>
      <c r="DS135" s="43"/>
      <c r="DT135" s="43"/>
      <c r="DU135" s="43"/>
      <c r="DV135" s="43"/>
      <c r="DW135" s="1326"/>
      <c r="DX135" s="44"/>
      <c r="DY135" s="43"/>
      <c r="DZ135" s="43"/>
      <c r="EA135" s="43"/>
      <c r="EB135" s="43"/>
      <c r="EC135" s="1326"/>
      <c r="ED135" s="44"/>
      <c r="EE135" s="43"/>
      <c r="EF135" s="43"/>
      <c r="EG135" s="43"/>
      <c r="EH135" s="43"/>
      <c r="EI135" s="1326"/>
      <c r="EJ135" s="44"/>
      <c r="EK135" s="43"/>
      <c r="EL135" s="43"/>
      <c r="EM135" s="43"/>
      <c r="EN135" s="43"/>
      <c r="EO135" s="1326"/>
      <c r="EP135" s="44"/>
      <c r="EQ135" s="43"/>
      <c r="ER135" s="43"/>
      <c r="ES135" s="43"/>
      <c r="ET135" s="43"/>
      <c r="EU135" s="1326"/>
      <c r="EV135" s="45"/>
      <c r="EW135" s="45"/>
      <c r="FD135" s="45"/>
      <c r="FE135" s="45"/>
      <c r="FF135" s="45"/>
      <c r="FG135" s="45"/>
      <c r="FH135" s="45"/>
      <c r="FI135" s="45"/>
      <c r="FJ135" s="45"/>
      <c r="FK135" s="45"/>
      <c r="FL135" s="45"/>
      <c r="FM135" s="45"/>
      <c r="FN135" s="45"/>
      <c r="FO135" s="45"/>
      <c r="FP135" s="45"/>
    </row>
    <row r="136" spans="1:172">
      <c r="A136" s="41" t="s">
        <v>6591</v>
      </c>
      <c r="B136" s="42"/>
      <c r="C136" s="62"/>
      <c r="D136" s="62"/>
      <c r="E136" s="62"/>
      <c r="F136" s="62"/>
      <c r="G136" s="62"/>
      <c r="H136" s="61"/>
      <c r="I136" s="62"/>
      <c r="J136" s="62"/>
      <c r="K136" s="62"/>
      <c r="L136" s="62"/>
      <c r="M136" s="62"/>
      <c r="N136" s="61"/>
      <c r="O136" s="62">
        <f>O63</f>
        <v>-3.9569999999999999</v>
      </c>
      <c r="P136" s="62">
        <f t="shared" ref="P136:R137" si="505">IF(P63="-","-",SUM(P63)-SUM(O63))</f>
        <v>-1.5369999999999999</v>
      </c>
      <c r="Q136" s="62">
        <f t="shared" si="505"/>
        <v>16.771999999999998</v>
      </c>
      <c r="R136" s="62">
        <f t="shared" si="505"/>
        <v>-4.9030000000000005</v>
      </c>
      <c r="S136" s="62">
        <f>SUM(O136:R136)</f>
        <v>6.3749999999999982</v>
      </c>
      <c r="T136" s="61"/>
      <c r="U136" s="62">
        <f>U63</f>
        <v>-2.5710000000000002</v>
      </c>
      <c r="V136" s="62">
        <f t="shared" ref="V136:X137" si="506">IF(V63="-","-",SUM(V63)-SUM(U63))</f>
        <v>-2.5979999999999994</v>
      </c>
      <c r="W136" s="62">
        <f t="shared" si="506"/>
        <v>-0.87900000000000045</v>
      </c>
      <c r="X136" s="62">
        <f t="shared" si="506"/>
        <v>-1.4470000000000001</v>
      </c>
      <c r="Y136" s="62">
        <f>SUM(U136:X136)</f>
        <v>-7.4950000000000001</v>
      </c>
      <c r="Z136" s="61"/>
      <c r="AA136" s="62">
        <f>AA63</f>
        <v>-5.2530000000000001</v>
      </c>
      <c r="AB136" s="62">
        <f t="shared" ref="AB136:AD137" si="507">IF(AB63="-","-",SUM(AB63)-SUM(AA63))</f>
        <v>-0.90299999999999958</v>
      </c>
      <c r="AC136" s="62">
        <f t="shared" si="507"/>
        <v>-7.0759999999999996</v>
      </c>
      <c r="AD136" s="62">
        <f t="shared" si="507"/>
        <v>1.5749999999999993</v>
      </c>
      <c r="AE136" s="62">
        <f>SUM(AA136:AD136)</f>
        <v>-11.657</v>
      </c>
      <c r="AF136" s="61"/>
      <c r="AG136" s="62">
        <f>AG63</f>
        <v>-2.9449999999999998</v>
      </c>
      <c r="AH136" s="62">
        <f t="shared" ref="AH136:AJ137" si="508">IF(AH63="-","-",SUM(AH63)-SUM(AG63))</f>
        <v>-0.58300000000000018</v>
      </c>
      <c r="AI136" s="62">
        <f t="shared" si="508"/>
        <v>0.98099999999999987</v>
      </c>
      <c r="AJ136" s="62">
        <f t="shared" si="508"/>
        <v>-3.621</v>
      </c>
      <c r="AK136" s="62">
        <f>SUM(AG136:AJ136)</f>
        <v>-6.1680000000000001</v>
      </c>
      <c r="AL136" s="61"/>
      <c r="AM136" s="62">
        <f>AM63</f>
        <v>2.7490000000000001</v>
      </c>
      <c r="AN136" s="62">
        <f t="shared" ref="AN136:AP137" si="509">IF(AN63="-","-",SUM(AN63)-SUM(AM63))</f>
        <v>4.6980000000000004</v>
      </c>
      <c r="AO136" s="62">
        <f t="shared" si="509"/>
        <v>-0.21199999999999974</v>
      </c>
      <c r="AP136" s="62">
        <f t="shared" si="509"/>
        <v>4.7439999999999989</v>
      </c>
      <c r="AQ136" s="62">
        <f>SUM(AM136:AP136)</f>
        <v>11.978999999999999</v>
      </c>
      <c r="AR136" s="61"/>
      <c r="AS136" s="62">
        <f>AS63</f>
        <v>1.07</v>
      </c>
      <c r="AT136" s="62">
        <f t="shared" ref="AT136:AV137" si="510">IF(AT63="-","-",SUM(AT63)-SUM(AS63))</f>
        <v>2.0179999999999998</v>
      </c>
      <c r="AU136" s="62">
        <f t="shared" si="510"/>
        <v>3.9690000000000003</v>
      </c>
      <c r="AV136" s="62">
        <f t="shared" si="510"/>
        <v>4.1939999999999991</v>
      </c>
      <c r="AW136" s="62">
        <f>SUM(AS136:AV136)</f>
        <v>11.250999999999999</v>
      </c>
      <c r="AX136" s="61"/>
      <c r="AY136" s="62">
        <f>AY63</f>
        <v>-3.4</v>
      </c>
      <c r="AZ136" s="62">
        <f t="shared" ref="AZ136:BB137" si="511">IF(AZ63="-","-",SUM(AZ63)-SUM(AY63))</f>
        <v>-0.39999999999999991</v>
      </c>
      <c r="BA136" s="62">
        <f t="shared" si="511"/>
        <v>5.3</v>
      </c>
      <c r="BB136" s="62">
        <f t="shared" si="511"/>
        <v>2.9000000000000004</v>
      </c>
      <c r="BC136" s="62">
        <f>SUM(AY136:BB136)</f>
        <v>4.4000000000000004</v>
      </c>
      <c r="BD136" s="61"/>
      <c r="BE136" s="62">
        <f>BE63</f>
        <v>-1.2</v>
      </c>
      <c r="BF136" s="62">
        <f t="shared" ref="BF136:BH137" si="512">IF(BF63="-","-",SUM(BF63)-SUM(BE63))</f>
        <v>-0.59999999999999987</v>
      </c>
      <c r="BG136" s="62">
        <f t="shared" si="512"/>
        <v>-0.19999999999999996</v>
      </c>
      <c r="BH136" s="62">
        <f t="shared" si="512"/>
        <v>-9.9999999999999867E-2</v>
      </c>
      <c r="BI136" s="62">
        <f>SUM(BE136:BH136)</f>
        <v>-2.0999999999999996</v>
      </c>
      <c r="BJ136" s="61"/>
      <c r="BK136" s="62">
        <f>BK63</f>
        <v>0.3</v>
      </c>
      <c r="BL136" s="62">
        <f t="shared" ref="BL136:BN137" si="513">IF(BL63="-","-",SUM(BL63)-SUM(BK63))</f>
        <v>0.5</v>
      </c>
      <c r="BM136" s="62">
        <f t="shared" si="513"/>
        <v>-0.19999999999999996</v>
      </c>
      <c r="BN136" s="62">
        <f t="shared" si="513"/>
        <v>-0.5</v>
      </c>
      <c r="BO136" s="1166">
        <f>SUM(BK136:BN136)</f>
        <v>0.10000000000000009</v>
      </c>
      <c r="BP136" s="61"/>
      <c r="BQ136" s="62">
        <f>BQ63</f>
        <v>1.3</v>
      </c>
      <c r="BR136" s="62">
        <f t="shared" ref="BR136:BT137" si="514">IF(BR63="-","-",SUM(BR63)-SUM(BQ63))</f>
        <v>0.30000000000000004</v>
      </c>
      <c r="BS136" s="62">
        <f t="shared" si="514"/>
        <v>0</v>
      </c>
      <c r="BT136" s="62">
        <f t="shared" si="514"/>
        <v>3.3000000000000003</v>
      </c>
      <c r="BU136" s="1166">
        <f>SUM(BQ136:BT136)</f>
        <v>4.9000000000000004</v>
      </c>
      <c r="BV136" s="61"/>
      <c r="BW136" s="62">
        <f>BW63</f>
        <v>2.7</v>
      </c>
      <c r="BX136" s="62">
        <f t="shared" ref="BX136:BZ137" si="515">IF(BX63="-","-",SUM(BX63)-SUM(BW63))</f>
        <v>-0.10000000000000009</v>
      </c>
      <c r="BY136" s="62">
        <f t="shared" si="515"/>
        <v>-5.7</v>
      </c>
      <c r="BZ136" s="62">
        <f t="shared" si="515"/>
        <v>1.4000000000000001</v>
      </c>
      <c r="CA136" s="1166">
        <f>SUM(BW136:BZ136)</f>
        <v>-1.7</v>
      </c>
      <c r="CB136" s="61"/>
      <c r="CC136" s="62">
        <f>CC63</f>
        <v>-1.2</v>
      </c>
      <c r="CD136" s="62">
        <f t="shared" ref="CD136:CF137" si="516">IF(CD63="-","-",SUM(CD63)-SUM(CC63))</f>
        <v>2.4</v>
      </c>
      <c r="CE136" s="62">
        <f t="shared" si="516"/>
        <v>1.5999999999999999</v>
      </c>
      <c r="CF136" s="62">
        <f t="shared" si="516"/>
        <v>-0.19999999999999973</v>
      </c>
      <c r="CG136" s="1166">
        <f>SUM(CC136:CF136)</f>
        <v>2.6</v>
      </c>
      <c r="CH136" s="61"/>
      <c r="CI136" s="62">
        <f>CI63</f>
        <v>-0.6</v>
      </c>
      <c r="CJ136" s="62">
        <f t="shared" ref="CJ136:CL137" si="517">IF(CJ63="-","-",SUM(CJ63)-SUM(CI63))</f>
        <v>0.6</v>
      </c>
      <c r="CK136" s="62">
        <f t="shared" si="517"/>
        <v>-2.4</v>
      </c>
      <c r="CL136" s="62">
        <f t="shared" si="517"/>
        <v>-0.30000000000000027</v>
      </c>
      <c r="CM136" s="1166">
        <f>SUM(CI136:CL136)</f>
        <v>-2.7</v>
      </c>
      <c r="CN136" s="61"/>
      <c r="CO136" s="62">
        <f>CO63</f>
        <v>-2.1</v>
      </c>
      <c r="CP136" s="62">
        <f t="shared" ref="CP136:CR137" si="518">IF(CP63="-","-",SUM(CP63)-SUM(CO63))</f>
        <v>-1</v>
      </c>
      <c r="CQ136" s="62">
        <f t="shared" si="518"/>
        <v>0.5</v>
      </c>
      <c r="CR136" s="62">
        <f t="shared" si="518"/>
        <v>1</v>
      </c>
      <c r="CS136" s="1166">
        <f>SUM(CO136:CR136)</f>
        <v>-1.6</v>
      </c>
      <c r="CT136" s="61"/>
      <c r="CU136" s="62">
        <f>CU63</f>
        <v>1.6</v>
      </c>
      <c r="CV136" s="62">
        <f t="shared" ref="CV136:CX137" si="519">IF(CV63="-","-",SUM(CV63)-SUM(CU63))</f>
        <v>0</v>
      </c>
      <c r="CW136" s="62">
        <f t="shared" si="519"/>
        <v>-1</v>
      </c>
      <c r="CX136" s="62">
        <f t="shared" si="519"/>
        <v>1.4</v>
      </c>
      <c r="CY136" s="1166">
        <f>SUM(CU136:CX136)</f>
        <v>2</v>
      </c>
      <c r="CZ136" s="61"/>
      <c r="DA136" s="62">
        <f>DA63</f>
        <v>1.4</v>
      </c>
      <c r="DB136" s="62">
        <f t="shared" ref="DB136:DD137" si="520">IF(DB63="-","-",SUM(DB63)-SUM(DA63))</f>
        <v>0</v>
      </c>
      <c r="DC136" s="62">
        <f t="shared" si="520"/>
        <v>-0.59999999999999987</v>
      </c>
      <c r="DD136" s="62">
        <f t="shared" si="520"/>
        <v>-3</v>
      </c>
      <c r="DE136" s="1166">
        <f>SUM(DA136:DD136)</f>
        <v>-2.2000000000000002</v>
      </c>
      <c r="DF136" s="61"/>
      <c r="DG136" s="62">
        <f>DG63</f>
        <v>-0.1</v>
      </c>
      <c r="DH136" s="62">
        <f t="shared" ref="DH136:DJ137" si="521">IF(DH63="-","-",SUM(DH63)-SUM(DG63))</f>
        <v>0.4</v>
      </c>
      <c r="DI136" s="62">
        <f t="shared" si="521"/>
        <v>-1.8</v>
      </c>
      <c r="DJ136" s="62">
        <f t="shared" si="521"/>
        <v>-3.5</v>
      </c>
      <c r="DK136" s="1166">
        <f>SUM(DG136:DJ136)</f>
        <v>-5</v>
      </c>
      <c r="DL136" s="61"/>
      <c r="DM136" s="62">
        <f>DM63</f>
        <v>-0.2</v>
      </c>
      <c r="DN136" s="62">
        <f t="shared" ref="DN136:DP137" si="522">IF(DN63="-","-",SUM(DN63)-SUM(DM63))</f>
        <v>-1.9000000000000001</v>
      </c>
      <c r="DO136" s="62">
        <f t="shared" si="522"/>
        <v>-0.29999999999999982</v>
      </c>
      <c r="DP136" s="62">
        <f t="shared" si="522"/>
        <v>-2.9</v>
      </c>
      <c r="DQ136" s="1166">
        <f>SUM(DM136:DP136)</f>
        <v>-5.3</v>
      </c>
      <c r="DR136" s="61"/>
      <c r="DS136" s="62">
        <f>DS63</f>
        <v>3.4</v>
      </c>
      <c r="DT136" s="62">
        <f t="shared" ref="DT136:DV137" si="523">IF(DT63="-","-",SUM(DT63)-SUM(DS63))</f>
        <v>-0.39100000000000001</v>
      </c>
      <c r="DU136" s="62">
        <f t="shared" si="523"/>
        <v>-5.0999999999999996</v>
      </c>
      <c r="DV136" s="62">
        <f t="shared" si="523"/>
        <v>-1.2089999999999996</v>
      </c>
      <c r="DW136" s="1166">
        <f>SUM(DS136:DV136)</f>
        <v>-3.2999999999999994</v>
      </c>
      <c r="DX136" s="61"/>
      <c r="DY136" s="62">
        <f>DY63</f>
        <v>2.2000000000000002</v>
      </c>
      <c r="DZ136" s="62">
        <f t="shared" ref="DZ136:EB137" si="524">IF(DZ63="-","-",SUM(DZ63)-SUM(DY63))</f>
        <v>3.3999999999999995</v>
      </c>
      <c r="EA136" s="62">
        <f t="shared" si="524"/>
        <v>0.10899999999999999</v>
      </c>
      <c r="EB136" s="62">
        <f t="shared" si="524"/>
        <v>8.5010000000000012</v>
      </c>
      <c r="EC136" s="1166">
        <f>SUM(DY136:EB136)</f>
        <v>14.21</v>
      </c>
      <c r="ED136" s="61"/>
      <c r="EE136" s="62">
        <f>EE63</f>
        <v>0</v>
      </c>
      <c r="EF136" s="62">
        <f t="shared" ref="EF136:EF137" si="525">IF(EF63="-","-",SUM(EF63)-SUM(EE63))</f>
        <v>0</v>
      </c>
      <c r="EG136" s="62">
        <f t="shared" ref="EG136:EG137" si="526">IF(EG63="-","-",SUM(EG63)-SUM(EF63))</f>
        <v>0</v>
      </c>
      <c r="EH136" s="62">
        <f t="shared" ref="EH136:EH137" si="527">IF(EH63="-","-",SUM(EH63)-SUM(EG63))</f>
        <v>0</v>
      </c>
      <c r="EI136" s="1166">
        <f>SUM(EE136:EH136)</f>
        <v>0</v>
      </c>
      <c r="EJ136" s="61"/>
      <c r="EK136" s="62">
        <f>EK63</f>
        <v>0</v>
      </c>
      <c r="EL136" s="62">
        <f t="shared" ref="EL136:EL137" si="528">IF(EL63="-","-",SUM(EL63)-SUM(EK63))</f>
        <v>0</v>
      </c>
      <c r="EM136" s="62">
        <f t="shared" ref="EM136:EM137" si="529">IF(EM63="-","-",SUM(EM63)-SUM(EL63))</f>
        <v>0</v>
      </c>
      <c r="EN136" s="62">
        <f t="shared" ref="EN136:EN137" si="530">IF(EN63="-","-",SUM(EN63)-SUM(EM63))</f>
        <v>0</v>
      </c>
      <c r="EO136" s="1166">
        <f>SUM(EK136:EN136)</f>
        <v>0</v>
      </c>
      <c r="EP136" s="61"/>
      <c r="EQ136" s="62">
        <f>EQ63</f>
        <v>0</v>
      </c>
      <c r="ER136" s="62">
        <f t="shared" ref="ER136:ER137" si="531">IF(ER63="-","-",SUM(ER63)-SUM(EQ63))</f>
        <v>0</v>
      </c>
      <c r="ES136" s="62">
        <f t="shared" ref="ES136:ES137" si="532">IF(ES63="-","-",SUM(ES63)-SUM(ER63))</f>
        <v>0</v>
      </c>
      <c r="ET136" s="62">
        <f t="shared" ref="ET136:ET137" si="533">IF(ET63="-","-",SUM(ET63)-SUM(ES63))</f>
        <v>0</v>
      </c>
      <c r="EU136" s="1166">
        <f>SUM(EQ136:ET136)</f>
        <v>0</v>
      </c>
      <c r="EV136" s="45"/>
      <c r="EW136" s="45"/>
      <c r="FD136" s="45"/>
      <c r="FE136" s="45"/>
      <c r="FF136" s="45"/>
      <c r="FG136" s="45"/>
      <c r="FH136" s="45"/>
      <c r="FI136" s="45"/>
      <c r="FJ136" s="45"/>
      <c r="FK136" s="45"/>
      <c r="FL136" s="45"/>
      <c r="FM136" s="45"/>
      <c r="FN136" s="45"/>
      <c r="FO136" s="45"/>
      <c r="FP136" s="45"/>
    </row>
    <row r="137" spans="1:172" hidden="1" outlineLevel="1">
      <c r="A137" s="41" t="s">
        <v>6020</v>
      </c>
      <c r="B137" s="42"/>
      <c r="C137" s="62"/>
      <c r="D137" s="62"/>
      <c r="E137" s="62"/>
      <c r="F137" s="62"/>
      <c r="G137" s="62"/>
      <c r="H137" s="61"/>
      <c r="I137" s="62"/>
      <c r="J137" s="62"/>
      <c r="K137" s="62"/>
      <c r="L137" s="62"/>
      <c r="M137" s="62"/>
      <c r="N137" s="61"/>
      <c r="O137" s="62">
        <f>O64</f>
        <v>0</v>
      </c>
      <c r="P137" s="62">
        <f t="shared" si="505"/>
        <v>0</v>
      </c>
      <c r="Q137" s="62">
        <f t="shared" si="505"/>
        <v>0</v>
      </c>
      <c r="R137" s="62">
        <f t="shared" si="505"/>
        <v>-33.81</v>
      </c>
      <c r="S137" s="62">
        <f>SUM(O137:R137)</f>
        <v>-33.81</v>
      </c>
      <c r="T137" s="61"/>
      <c r="U137" s="62">
        <f>U64</f>
        <v>0.32</v>
      </c>
      <c r="V137" s="62">
        <f t="shared" si="506"/>
        <v>0</v>
      </c>
      <c r="W137" s="62">
        <f t="shared" si="506"/>
        <v>0</v>
      </c>
      <c r="X137" s="62">
        <f t="shared" si="506"/>
        <v>0</v>
      </c>
      <c r="Y137" s="62">
        <f>SUM(U137:X137)</f>
        <v>0.32</v>
      </c>
      <c r="Z137" s="61"/>
      <c r="AA137" s="62">
        <f>AA64</f>
        <v>0</v>
      </c>
      <c r="AB137" s="62">
        <f t="shared" si="507"/>
        <v>0</v>
      </c>
      <c r="AC137" s="62">
        <f t="shared" si="507"/>
        <v>0</v>
      </c>
      <c r="AD137" s="62">
        <f t="shared" si="507"/>
        <v>0</v>
      </c>
      <c r="AE137" s="62">
        <f>SUM(AA137:AD137)</f>
        <v>0</v>
      </c>
      <c r="AF137" s="61"/>
      <c r="AG137" s="62">
        <f>AG64</f>
        <v>0</v>
      </c>
      <c r="AH137" s="62">
        <f t="shared" si="508"/>
        <v>0</v>
      </c>
      <c r="AI137" s="62">
        <f t="shared" si="508"/>
        <v>0</v>
      </c>
      <c r="AJ137" s="62">
        <f t="shared" si="508"/>
        <v>0</v>
      </c>
      <c r="AK137" s="62">
        <f>SUM(AG137:AJ137)</f>
        <v>0</v>
      </c>
      <c r="AL137" s="61"/>
      <c r="AM137" s="62">
        <f>AM64</f>
        <v>0</v>
      </c>
      <c r="AN137" s="62">
        <f t="shared" si="509"/>
        <v>0</v>
      </c>
      <c r="AO137" s="62">
        <f t="shared" si="509"/>
        <v>0</v>
      </c>
      <c r="AP137" s="62">
        <f t="shared" si="509"/>
        <v>0</v>
      </c>
      <c r="AQ137" s="62">
        <f>SUM(AM137:AP137)</f>
        <v>0</v>
      </c>
      <c r="AR137" s="61"/>
      <c r="AS137" s="62">
        <f>AS64</f>
        <v>0</v>
      </c>
      <c r="AT137" s="62">
        <f t="shared" si="510"/>
        <v>0</v>
      </c>
      <c r="AU137" s="62">
        <f t="shared" si="510"/>
        <v>0</v>
      </c>
      <c r="AV137" s="62">
        <f t="shared" si="510"/>
        <v>0</v>
      </c>
      <c r="AW137" s="62">
        <f>SUM(AS137:AV137)</f>
        <v>0</v>
      </c>
      <c r="AX137" s="61"/>
      <c r="AY137" s="62">
        <f>AY64</f>
        <v>0</v>
      </c>
      <c r="AZ137" s="62">
        <f t="shared" si="511"/>
        <v>0</v>
      </c>
      <c r="BA137" s="62">
        <f t="shared" si="511"/>
        <v>0</v>
      </c>
      <c r="BB137" s="62">
        <f t="shared" si="511"/>
        <v>0</v>
      </c>
      <c r="BC137" s="62">
        <f>SUM(AY137:BB137)</f>
        <v>0</v>
      </c>
      <c r="BD137" s="61"/>
      <c r="BE137" s="62">
        <f>BE64</f>
        <v>0</v>
      </c>
      <c r="BF137" s="62">
        <f t="shared" si="512"/>
        <v>0</v>
      </c>
      <c r="BG137" s="62">
        <f t="shared" si="512"/>
        <v>0</v>
      </c>
      <c r="BH137" s="62">
        <f t="shared" si="512"/>
        <v>0</v>
      </c>
      <c r="BI137" s="62">
        <f>SUM(BE137:BH137)</f>
        <v>0</v>
      </c>
      <c r="BJ137" s="61"/>
      <c r="BK137" s="62">
        <f>BK64</f>
        <v>0</v>
      </c>
      <c r="BL137" s="62">
        <f t="shared" si="513"/>
        <v>0</v>
      </c>
      <c r="BM137" s="62">
        <f t="shared" si="513"/>
        <v>0</v>
      </c>
      <c r="BN137" s="62">
        <f t="shared" si="513"/>
        <v>0</v>
      </c>
      <c r="BO137" s="1166">
        <f>SUM(BK137:BN137)</f>
        <v>0</v>
      </c>
      <c r="BP137" s="61"/>
      <c r="BQ137" s="62">
        <f>BQ64</f>
        <v>0</v>
      </c>
      <c r="BR137" s="62">
        <f t="shared" si="514"/>
        <v>0</v>
      </c>
      <c r="BS137" s="62">
        <f t="shared" si="514"/>
        <v>0</v>
      </c>
      <c r="BT137" s="62">
        <f t="shared" si="514"/>
        <v>0</v>
      </c>
      <c r="BU137" s="1166">
        <f>SUM(BQ137:BT137)</f>
        <v>0</v>
      </c>
      <c r="BV137" s="61"/>
      <c r="BW137" s="62">
        <f>BW64</f>
        <v>0</v>
      </c>
      <c r="BX137" s="62">
        <f t="shared" si="515"/>
        <v>0</v>
      </c>
      <c r="BY137" s="62">
        <f t="shared" si="515"/>
        <v>0</v>
      </c>
      <c r="BZ137" s="62">
        <f t="shared" si="515"/>
        <v>0</v>
      </c>
      <c r="CA137" s="1166">
        <f>SUM(BW137:BZ137)</f>
        <v>0</v>
      </c>
      <c r="CB137" s="61"/>
      <c r="CC137" s="62">
        <f>CC64</f>
        <v>0</v>
      </c>
      <c r="CD137" s="62">
        <f t="shared" si="516"/>
        <v>0</v>
      </c>
      <c r="CE137" s="62">
        <f t="shared" si="516"/>
        <v>0</v>
      </c>
      <c r="CF137" s="62">
        <f t="shared" si="516"/>
        <v>0</v>
      </c>
      <c r="CG137" s="1166">
        <f>SUM(CC137:CF137)</f>
        <v>0</v>
      </c>
      <c r="CH137" s="61"/>
      <c r="CI137" s="62">
        <f>CI64</f>
        <v>0</v>
      </c>
      <c r="CJ137" s="62">
        <f t="shared" si="517"/>
        <v>0</v>
      </c>
      <c r="CK137" s="62">
        <f t="shared" si="517"/>
        <v>0</v>
      </c>
      <c r="CL137" s="62">
        <f t="shared" si="517"/>
        <v>0</v>
      </c>
      <c r="CM137" s="1166">
        <f>SUM(CI137:CL137)</f>
        <v>0</v>
      </c>
      <c r="CN137" s="61"/>
      <c r="CO137" s="62">
        <f>CO64</f>
        <v>0</v>
      </c>
      <c r="CP137" s="62">
        <f t="shared" si="518"/>
        <v>0</v>
      </c>
      <c r="CQ137" s="62">
        <f t="shared" si="518"/>
        <v>0</v>
      </c>
      <c r="CR137" s="62">
        <f t="shared" si="518"/>
        <v>0</v>
      </c>
      <c r="CS137" s="1166">
        <f>SUM(CO137:CR137)</f>
        <v>0</v>
      </c>
      <c r="CT137" s="61"/>
      <c r="CU137" s="62">
        <f>CU64</f>
        <v>0</v>
      </c>
      <c r="CV137" s="62">
        <f t="shared" si="519"/>
        <v>0</v>
      </c>
      <c r="CW137" s="62">
        <f t="shared" si="519"/>
        <v>0</v>
      </c>
      <c r="CX137" s="62">
        <f t="shared" si="519"/>
        <v>0</v>
      </c>
      <c r="CY137" s="1166">
        <f>SUM(CU137:CX137)</f>
        <v>0</v>
      </c>
      <c r="CZ137" s="61"/>
      <c r="DA137" s="62">
        <f>DA64</f>
        <v>0</v>
      </c>
      <c r="DB137" s="62">
        <f t="shared" si="520"/>
        <v>0</v>
      </c>
      <c r="DC137" s="62">
        <f t="shared" si="520"/>
        <v>0</v>
      </c>
      <c r="DD137" s="62">
        <f t="shared" si="520"/>
        <v>0</v>
      </c>
      <c r="DE137" s="1166">
        <f>SUM(DA137:DD137)</f>
        <v>0</v>
      </c>
      <c r="DF137" s="61"/>
      <c r="DG137" s="62">
        <f>DG64</f>
        <v>0</v>
      </c>
      <c r="DH137" s="62">
        <f t="shared" si="521"/>
        <v>0</v>
      </c>
      <c r="DI137" s="62">
        <f t="shared" si="521"/>
        <v>0</v>
      </c>
      <c r="DJ137" s="62">
        <f t="shared" si="521"/>
        <v>0</v>
      </c>
      <c r="DK137" s="1166">
        <f>SUM(DG137:DJ137)</f>
        <v>0</v>
      </c>
      <c r="DL137" s="61"/>
      <c r="DM137" s="62">
        <f>DM64</f>
        <v>0</v>
      </c>
      <c r="DN137" s="62">
        <f t="shared" si="522"/>
        <v>0</v>
      </c>
      <c r="DO137" s="62">
        <f t="shared" si="522"/>
        <v>0</v>
      </c>
      <c r="DP137" s="62">
        <f t="shared" si="522"/>
        <v>0</v>
      </c>
      <c r="DQ137" s="1166">
        <f>SUM(DM137:DP137)</f>
        <v>0</v>
      </c>
      <c r="DR137" s="61"/>
      <c r="DS137" s="62">
        <f>DS64</f>
        <v>0</v>
      </c>
      <c r="DT137" s="62">
        <f t="shared" si="523"/>
        <v>0</v>
      </c>
      <c r="DU137" s="62">
        <f t="shared" si="523"/>
        <v>0</v>
      </c>
      <c r="DV137" s="62">
        <f t="shared" si="523"/>
        <v>0</v>
      </c>
      <c r="DW137" s="1166">
        <f>SUM(DS137:DV137)</f>
        <v>0</v>
      </c>
      <c r="DX137" s="61"/>
      <c r="DY137" s="62">
        <f>DY64</f>
        <v>0</v>
      </c>
      <c r="DZ137" s="62">
        <f t="shared" si="524"/>
        <v>0</v>
      </c>
      <c r="EA137" s="62">
        <f t="shared" si="524"/>
        <v>0</v>
      </c>
      <c r="EB137" s="62">
        <f t="shared" si="524"/>
        <v>0</v>
      </c>
      <c r="EC137" s="1166">
        <f>SUM(DY137:EB137)</f>
        <v>0</v>
      </c>
      <c r="ED137" s="61"/>
      <c r="EE137" s="62">
        <f>EE64</f>
        <v>0</v>
      </c>
      <c r="EF137" s="62">
        <f t="shared" si="525"/>
        <v>0</v>
      </c>
      <c r="EG137" s="62">
        <f t="shared" si="526"/>
        <v>0</v>
      </c>
      <c r="EH137" s="62">
        <f t="shared" si="527"/>
        <v>0</v>
      </c>
      <c r="EI137" s="1166">
        <f>SUM(EE137:EH137)</f>
        <v>0</v>
      </c>
      <c r="EJ137" s="61"/>
      <c r="EK137" s="62">
        <f>EK64</f>
        <v>0</v>
      </c>
      <c r="EL137" s="62">
        <f t="shared" si="528"/>
        <v>0</v>
      </c>
      <c r="EM137" s="62">
        <f t="shared" si="529"/>
        <v>0</v>
      </c>
      <c r="EN137" s="62">
        <f t="shared" si="530"/>
        <v>0</v>
      </c>
      <c r="EO137" s="1166">
        <f>SUM(EK137:EN137)</f>
        <v>0</v>
      </c>
      <c r="EP137" s="61"/>
      <c r="EQ137" s="62">
        <f>EQ64</f>
        <v>0</v>
      </c>
      <c r="ER137" s="62">
        <f t="shared" si="531"/>
        <v>0</v>
      </c>
      <c r="ES137" s="62">
        <f t="shared" si="532"/>
        <v>0</v>
      </c>
      <c r="ET137" s="62">
        <f t="shared" si="533"/>
        <v>0</v>
      </c>
      <c r="EU137" s="1166">
        <f>SUM(EQ137:ET137)</f>
        <v>0</v>
      </c>
      <c r="EV137" s="45"/>
      <c r="EW137" s="45"/>
      <c r="FD137" s="45"/>
      <c r="FE137" s="45"/>
      <c r="FF137" s="45"/>
      <c r="FG137" s="45"/>
      <c r="FH137" s="45"/>
      <c r="FI137" s="45"/>
      <c r="FJ137" s="45"/>
      <c r="FK137" s="45"/>
      <c r="FL137" s="45"/>
      <c r="FM137" s="45"/>
      <c r="FN137" s="45"/>
      <c r="FO137" s="45"/>
      <c r="FP137" s="45"/>
    </row>
    <row r="138" spans="1:172" ht="6" customHeight="1" collapsed="1">
      <c r="A138" s="75"/>
      <c r="B138" s="42"/>
      <c r="C138" s="62"/>
      <c r="D138" s="62"/>
      <c r="E138" s="62"/>
      <c r="F138" s="62"/>
      <c r="G138" s="62"/>
      <c r="H138" s="61"/>
      <c r="I138" s="62"/>
      <c r="J138" s="62"/>
      <c r="K138" s="62"/>
      <c r="L138" s="62"/>
      <c r="M138" s="62"/>
      <c r="N138" s="61"/>
      <c r="O138" s="77"/>
      <c r="P138" s="77"/>
      <c r="Q138" s="77"/>
      <c r="R138" s="77"/>
      <c r="S138" s="77"/>
      <c r="T138" s="61"/>
      <c r="U138" s="77"/>
      <c r="V138" s="77"/>
      <c r="W138" s="77"/>
      <c r="X138" s="77"/>
      <c r="Y138" s="77"/>
      <c r="Z138" s="61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62"/>
      <c r="BG138" s="62"/>
      <c r="BH138" s="62"/>
      <c r="BI138" s="62"/>
      <c r="BJ138" s="61"/>
      <c r="BK138" s="62"/>
      <c r="BL138" s="62"/>
      <c r="BM138" s="62"/>
      <c r="BN138" s="62"/>
      <c r="BO138" s="1166"/>
      <c r="BP138" s="61"/>
      <c r="BQ138" s="62"/>
      <c r="BR138" s="62"/>
      <c r="BS138" s="62"/>
      <c r="BT138" s="62"/>
      <c r="BU138" s="1166"/>
      <c r="BV138" s="61"/>
      <c r="BW138" s="62"/>
      <c r="BX138" s="62"/>
      <c r="BY138" s="62"/>
      <c r="BZ138" s="62"/>
      <c r="CA138" s="1166"/>
      <c r="CB138" s="61"/>
      <c r="CC138" s="62"/>
      <c r="CD138" s="62"/>
      <c r="CE138" s="62"/>
      <c r="CF138" s="62"/>
      <c r="CG138" s="1166"/>
      <c r="CH138" s="61"/>
      <c r="CI138" s="62"/>
      <c r="CJ138" s="62"/>
      <c r="CK138" s="62"/>
      <c r="CL138" s="62"/>
      <c r="CM138" s="1166"/>
      <c r="CN138" s="61"/>
      <c r="CO138" s="62"/>
      <c r="CP138" s="62"/>
      <c r="CQ138" s="62"/>
      <c r="CR138" s="62"/>
      <c r="CS138" s="1166"/>
      <c r="CT138" s="61"/>
      <c r="CU138" s="62"/>
      <c r="CV138" s="62"/>
      <c r="CW138" s="62"/>
      <c r="CX138" s="62"/>
      <c r="CY138" s="1166"/>
      <c r="CZ138" s="61"/>
      <c r="DA138" s="62"/>
      <c r="DB138" s="62"/>
      <c r="DC138" s="62"/>
      <c r="DD138" s="62"/>
      <c r="DE138" s="1166"/>
      <c r="DF138" s="61"/>
      <c r="DG138" s="62"/>
      <c r="DH138" s="62"/>
      <c r="DI138" s="62"/>
      <c r="DJ138" s="62"/>
      <c r="DK138" s="1166"/>
      <c r="DL138" s="61"/>
      <c r="DM138" s="62"/>
      <c r="DN138" s="62"/>
      <c r="DO138" s="62"/>
      <c r="DP138" s="62"/>
      <c r="DQ138" s="1166"/>
      <c r="DR138" s="61"/>
      <c r="DS138" s="62"/>
      <c r="DT138" s="62"/>
      <c r="DU138" s="62"/>
      <c r="DV138" s="62"/>
      <c r="DW138" s="1166"/>
      <c r="DX138" s="61"/>
      <c r="DY138" s="62"/>
      <c r="DZ138" s="62"/>
      <c r="EA138" s="62"/>
      <c r="EB138" s="62"/>
      <c r="EC138" s="1166"/>
      <c r="ED138" s="61"/>
      <c r="EE138" s="62"/>
      <c r="EF138" s="62"/>
      <c r="EG138" s="62"/>
      <c r="EH138" s="62"/>
      <c r="EI138" s="1166"/>
      <c r="EJ138" s="61"/>
      <c r="EK138" s="62"/>
      <c r="EL138" s="62"/>
      <c r="EM138" s="62"/>
      <c r="EN138" s="62"/>
      <c r="EO138" s="1166"/>
      <c r="EP138" s="61"/>
      <c r="EQ138" s="62"/>
      <c r="ER138" s="62"/>
      <c r="ES138" s="62"/>
      <c r="ET138" s="62"/>
      <c r="EU138" s="1166"/>
      <c r="EV138" s="45"/>
      <c r="EW138" s="45"/>
      <c r="FD138" s="45"/>
      <c r="FE138" s="45"/>
      <c r="FF138" s="45"/>
      <c r="FG138" s="45"/>
      <c r="FH138" s="45"/>
      <c r="FI138" s="45"/>
      <c r="FJ138" s="45"/>
      <c r="FK138" s="45"/>
      <c r="FL138" s="45"/>
      <c r="FM138" s="45"/>
      <c r="FN138" s="45"/>
      <c r="FO138" s="45"/>
      <c r="FP138" s="45"/>
    </row>
    <row r="139" spans="1:172">
      <c r="A139" s="78" t="s">
        <v>831</v>
      </c>
      <c r="B139" s="51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>
        <f>O113+O125+O134+O136+O137</f>
        <v>51.447000000000031</v>
      </c>
      <c r="P139" s="64">
        <f>P113+P125+P134+P136+P137</f>
        <v>-70.323999999999998</v>
      </c>
      <c r="Q139" s="64">
        <f>Q113+Q125+Q134+Q136+Q137</f>
        <v>33.617000000000019</v>
      </c>
      <c r="R139" s="64">
        <f>R113+R125+R134+R136+R137</f>
        <v>101.65299999999993</v>
      </c>
      <c r="S139" s="64">
        <f>S113+S125+S134+S136+S137</f>
        <v>116.39299999999997</v>
      </c>
      <c r="T139" s="64"/>
      <c r="U139" s="64">
        <f>U113+U125+U134+U136+U137</f>
        <v>-65.607999999999976</v>
      </c>
      <c r="V139" s="64">
        <f>V113+V125+V134+V136+V137</f>
        <v>-20.794</v>
      </c>
      <c r="W139" s="64">
        <f>W113+W125+W134+W136+W137</f>
        <v>10.654999999999998</v>
      </c>
      <c r="X139" s="64">
        <f>X113+X125+X134+X136+X137</f>
        <v>-74.551000000000371</v>
      </c>
      <c r="Y139" s="64">
        <f>Y113+Y125+Y134+Y136+Y137</f>
        <v>-150.29800000000034</v>
      </c>
      <c r="Z139" s="64"/>
      <c r="AA139" s="64">
        <f>AA113+AA125+AA134+AA136+AA137</f>
        <v>-3.2800000000000438</v>
      </c>
      <c r="AB139" s="64">
        <f>AB113+AB125+AB134+AB136+AB137</f>
        <v>-15.761999999999958</v>
      </c>
      <c r="AC139" s="64">
        <f>AC113+AC125+AC134+AC136+AC137</f>
        <v>6.3009999999999673</v>
      </c>
      <c r="AD139" s="64">
        <f>AD113+AD125+AD134+AD136+AD137</f>
        <v>20.492000000000115</v>
      </c>
      <c r="AE139" s="64">
        <f>AE113+AE125+AE134+AE136+AE137</f>
        <v>7.7510000000000723</v>
      </c>
      <c r="AF139" s="64"/>
      <c r="AG139" s="64">
        <f>AG113+AG125+AG134+AG136+AG137</f>
        <v>10.738999999999962</v>
      </c>
      <c r="AH139" s="64">
        <f>AH113+AH125+AH134+AH136+AH137</f>
        <v>-14.990999999999994</v>
      </c>
      <c r="AI139" s="64">
        <f>AI113+AI125+AI134+AI136+AI137</f>
        <v>2.6989999999999679</v>
      </c>
      <c r="AJ139" s="64">
        <f>AJ113+AJ125+AJ134+AJ136+AJ137</f>
        <v>26.958000000000059</v>
      </c>
      <c r="AK139" s="64">
        <f>AK113+AK125+AK134+AK136+AK137</f>
        <v>25.404999999999959</v>
      </c>
      <c r="AL139" s="64"/>
      <c r="AM139" s="64">
        <f>AM113+AM125+AM134+AM136+AM137</f>
        <v>-20.059999999999999</v>
      </c>
      <c r="AN139" s="64">
        <f>AN113+AN125+AN134+AN136+AN137</f>
        <v>7.2080000000000162</v>
      </c>
      <c r="AO139" s="64">
        <f>AO113+AO125+AO134+AO136+AO137</f>
        <v>19.604999999999972</v>
      </c>
      <c r="AP139" s="64">
        <f>AP113+AP125+AP134+AP136+AP137</f>
        <v>21.937000000000143</v>
      </c>
      <c r="AQ139" s="64">
        <f>AQ113+AQ125+AQ134+AQ136+AQ137</f>
        <v>28.690000000000122</v>
      </c>
      <c r="AR139" s="64"/>
      <c r="AS139" s="64">
        <f>AS113+AS125+AS134+AS136+AS137</f>
        <v>-6.9340000000000028</v>
      </c>
      <c r="AT139" s="64">
        <f>AT113+AT125+AT134+AT136+AT137</f>
        <v>39.98099999999998</v>
      </c>
      <c r="AU139" s="64">
        <f>AU113+AU125+AU134+AU136+AU137</f>
        <v>15.285999999999994</v>
      </c>
      <c r="AV139" s="64">
        <f>AV113+AV125+AV134+AV136+AV137</f>
        <v>47.539000000000058</v>
      </c>
      <c r="AW139" s="64">
        <f>AW113+AW125+AW134+AW136+AW137</f>
        <v>95.872000000000085</v>
      </c>
      <c r="AX139" s="64"/>
      <c r="AY139" s="64">
        <f>AY113+AY125+AY134+AY136+AY137</f>
        <v>21.616000000000035</v>
      </c>
      <c r="AZ139" s="64">
        <f>AZ113+AZ125+AZ134+AZ136+AZ137</f>
        <v>42.000000000000014</v>
      </c>
      <c r="BA139" s="64">
        <f>BA113+BA125+BA134+BA136+BA137</f>
        <v>31.077999999999935</v>
      </c>
      <c r="BB139" s="64">
        <f>BB113+BB125+BB134+BB136+BB137</f>
        <v>140.58899999999997</v>
      </c>
      <c r="BC139" s="64">
        <f>BC113+BC125+BC134+BC136+BC137</f>
        <v>235.28300000000004</v>
      </c>
      <c r="BD139" s="64"/>
      <c r="BE139" s="64">
        <f>BE113+BE125+BE134+BE136+BE137</f>
        <v>0.41099999999997583</v>
      </c>
      <c r="BF139" s="64">
        <f>BF113+BF125+BF134+BF136+BF137</f>
        <v>-39.383999999999986</v>
      </c>
      <c r="BG139" s="64">
        <f>BG113+BG125+BG134+BG136+BG137</f>
        <v>-87.695999999999941</v>
      </c>
      <c r="BH139" s="64">
        <f>BH113+BH125+BH134+BH136+BH137</f>
        <v>-103.65199999999999</v>
      </c>
      <c r="BI139" s="64">
        <f>BI113+BI125+BI134+BI136+BI137</f>
        <v>-230.32099999999983</v>
      </c>
      <c r="BJ139" s="64"/>
      <c r="BK139" s="64">
        <f>BK113+BK125+BK134+BK136+BK137</f>
        <v>-29.900000000000016</v>
      </c>
      <c r="BL139" s="64">
        <f>BL113+BL125+BL134+BL136+BL137</f>
        <v>181.8</v>
      </c>
      <c r="BM139" s="64">
        <f>BM113+BM125+BM134+BM136+BM137</f>
        <v>75.799999999999969</v>
      </c>
      <c r="BN139" s="64">
        <f>BN113+BN125+BN134+BN136+BN137</f>
        <v>150.99999999999994</v>
      </c>
      <c r="BO139" s="1251">
        <f>BO113+BO125+BO134+BO136+BO137</f>
        <v>378.69999999999993</v>
      </c>
      <c r="BP139" s="64"/>
      <c r="BQ139" s="64">
        <f>BQ113+BQ125+BQ134+BQ136+BQ137</f>
        <v>96.400000000000034</v>
      </c>
      <c r="BR139" s="64">
        <f>BR113+BR125+BR134+BR136+BR137</f>
        <v>12.600000000000012</v>
      </c>
      <c r="BS139" s="64">
        <f>BS113+BS125+BS134+BS136+BS137</f>
        <v>51.799999999999983</v>
      </c>
      <c r="BT139" s="64">
        <f>BT113+BT125+BT134+BT136+BT137</f>
        <v>91.2</v>
      </c>
      <c r="BU139" s="1251">
        <f>BU113+BU125+BU134+BU136+BU137</f>
        <v>252.00000000000009</v>
      </c>
      <c r="BV139" s="64"/>
      <c r="BW139" s="64">
        <f>BW113+BW125+BW134+BW136+BW137</f>
        <v>-8.8000000000000007</v>
      </c>
      <c r="BX139" s="64">
        <f>BX113+BX125+BX134+BX136+BX137</f>
        <v>20.500000000000021</v>
      </c>
      <c r="BY139" s="64">
        <f>BY113+BY125+BY134+BY136+BY137</f>
        <v>-133.20000000000007</v>
      </c>
      <c r="BZ139" s="64">
        <f>BZ113+BZ125+BZ134+BZ136+BZ137</f>
        <v>121.18000000000006</v>
      </c>
      <c r="CA139" s="1251">
        <f>CA113+CA125+CA134+CA136+CA137</f>
        <v>-0.32000000000003292</v>
      </c>
      <c r="CB139" s="64"/>
      <c r="CC139" s="64">
        <f>CC113+CC125+CC134+CC136+CC137</f>
        <v>-37.100000000000009</v>
      </c>
      <c r="CD139" s="64">
        <f>CD113+CD125+CD134+CD136+CD137</f>
        <v>-212.00000000000003</v>
      </c>
      <c r="CE139" s="64">
        <f>CE113+CE125+CE134+CE136+CE137</f>
        <v>30.000000000000064</v>
      </c>
      <c r="CF139" s="64">
        <f>CF113+CF125+CF134+CF136+CF137</f>
        <v>140.19999999999993</v>
      </c>
      <c r="CG139" s="1251">
        <f>CG113+CG125+CG134+CG136+CG137</f>
        <v>-78.90000000000002</v>
      </c>
      <c r="CH139" s="64"/>
      <c r="CI139" s="64">
        <f>CI113+CI125+CI134+CI136+CI137</f>
        <v>99.4</v>
      </c>
      <c r="CJ139" s="64">
        <f>CJ113+CJ125+CJ134+CJ136+CJ137</f>
        <v>-88.1</v>
      </c>
      <c r="CK139" s="64">
        <f>CK113+CK125+CK134+CK136+CK137</f>
        <v>54.30000000000004</v>
      </c>
      <c r="CL139" s="64">
        <f>CL113+CL125+CL134+CL136+CL137</f>
        <v>170.79999999999998</v>
      </c>
      <c r="CM139" s="1251">
        <f>CM113+CM125+CM134+CM136+CM137</f>
        <v>236.39999999999995</v>
      </c>
      <c r="CN139" s="64"/>
      <c r="CO139" s="64">
        <f>CO113+CO125+CO134+CO136+CO137</f>
        <v>16.29999999999999</v>
      </c>
      <c r="CP139" s="64">
        <f>CP113+CP125+CP134+CP136+CP137</f>
        <v>40.099999999999966</v>
      </c>
      <c r="CQ139" s="64">
        <f>CQ113+CQ125+CQ134+CQ136+CQ137</f>
        <v>-28.199999999999903</v>
      </c>
      <c r="CR139" s="64">
        <f>CR113+CR125+CR134+CR136+CR137</f>
        <v>53.599999999999952</v>
      </c>
      <c r="CS139" s="1251">
        <f>CS113+CS125+CS134+CS136+CS137</f>
        <v>81.800000000000011</v>
      </c>
      <c r="CT139" s="64"/>
      <c r="CU139" s="64">
        <f>CU113+CU125+CU134+CU136+CU137</f>
        <v>-82.400000000000034</v>
      </c>
      <c r="CV139" s="194">
        <f>CV113+CV125+CV134+CV136+CV137</f>
        <v>-144.29999999999998</v>
      </c>
      <c r="CW139" s="64">
        <f>CW113+CW125+CW134+CW136+CW137</f>
        <v>-103.19999999999992</v>
      </c>
      <c r="CX139" s="64">
        <f>CX113+CX125+CX134+CX136+CX137</f>
        <v>785.1999999999997</v>
      </c>
      <c r="CY139" s="1251">
        <f>CY113+CY125+CY134+CY136+CY137</f>
        <v>455.29999999999995</v>
      </c>
      <c r="CZ139" s="64"/>
      <c r="DA139" s="64">
        <f>DA113+DA125+DA134+DA136+DA137</f>
        <v>43.600000000000016</v>
      </c>
      <c r="DB139" s="64">
        <f>DB113+DB125+DB134+DB136+DB137</f>
        <v>-255.09999999999997</v>
      </c>
      <c r="DC139" s="64">
        <f>DC113+DC125+DC134+DC136+DC137</f>
        <v>72.700000000000074</v>
      </c>
      <c r="DD139" s="64">
        <f>DD113+DD125+DD134+DD136+DD137</f>
        <v>379.59999999999991</v>
      </c>
      <c r="DE139" s="1251">
        <f>DE113+DE125+DE134+DE136+DE137</f>
        <v>240.79999999999998</v>
      </c>
      <c r="DF139" s="64"/>
      <c r="DG139" s="64">
        <f>DG113+DG125+DG134+DG136+DG137</f>
        <v>-243.4</v>
      </c>
      <c r="DH139" s="64">
        <f>DH113+DH125+DH134+DH136+DH137</f>
        <v>-286.5</v>
      </c>
      <c r="DI139" s="64">
        <f>DI113+DI125+DI134+DI136+DI137</f>
        <v>21.900000000000144</v>
      </c>
      <c r="DJ139" s="64">
        <f>DJ113+DJ125+DJ134+DJ136+DJ137</f>
        <v>65.60000000000008</v>
      </c>
      <c r="DK139" s="1251">
        <f>DK113+DK125+DK134+DK136+DK137</f>
        <v>-442.39999999999986</v>
      </c>
      <c r="DL139" s="64"/>
      <c r="DM139" s="64">
        <f>DM113+DM125+DM134+DM136+DM137</f>
        <v>-227.89999999999998</v>
      </c>
      <c r="DN139" s="64">
        <f>DN113+DN125+DN134+DN136+DN137</f>
        <v>290.39999999999986</v>
      </c>
      <c r="DO139" s="64">
        <f>DO113+DO125+DO134+DO136+DO137</f>
        <v>-135.60000000000002</v>
      </c>
      <c r="DP139" s="64">
        <f>DP113+DP125+DP134+DP136+DP137</f>
        <v>15.500000000000119</v>
      </c>
      <c r="DQ139" s="1251">
        <f>DQ113+DQ125+DQ134+DQ136+DQ137</f>
        <v>-57.599999999999838</v>
      </c>
      <c r="DR139" s="64"/>
      <c r="DS139" s="64">
        <f>DS113+DS125+DS134+DS136+DS137</f>
        <v>-129.6999999999999</v>
      </c>
      <c r="DT139" s="64">
        <f>DT113+DT125+DT134+DT136+DT137</f>
        <v>244.0089999999999</v>
      </c>
      <c r="DU139" s="64">
        <f>DU113+DU125+DU134+DU136+DU137</f>
        <v>-30.800000000000004</v>
      </c>
      <c r="DV139" s="64">
        <f>DV113+DV125+DV134+DV136+DV137</f>
        <v>-223.40900000000011</v>
      </c>
      <c r="DW139" s="1251">
        <f>DW113+DW125+DW134+DW136+DW137</f>
        <v>-139.90000000000009</v>
      </c>
      <c r="DX139" s="64"/>
      <c r="DY139" s="64">
        <f>DY113+DY125+DY134+DY136+DY137</f>
        <v>127.10000000000009</v>
      </c>
      <c r="DZ139" s="64">
        <f>DZ113+DZ125+DZ134+DZ136+DZ137</f>
        <v>-166.10000000000011</v>
      </c>
      <c r="EA139" s="64">
        <f>EA113+EA125+EA134+EA136+EA137</f>
        <v>-148.89099999999999</v>
      </c>
      <c r="EB139" s="64">
        <f>EB113+EB125+EB134+EB136+EB137</f>
        <v>52.800999999999959</v>
      </c>
      <c r="EC139" s="1251">
        <f>EC113+EC125+EC134+EC136+EC137</f>
        <v>-135.09000000000012</v>
      </c>
      <c r="ED139" s="64"/>
      <c r="EE139" s="64">
        <f>EE113+EE125+EE134+EE136+EE137</f>
        <v>-115.45051319949975</v>
      </c>
      <c r="EF139" s="64">
        <f>EF113+EF125+EF134+EF136+EF137</f>
        <v>-127.82603717716393</v>
      </c>
      <c r="EG139" s="64">
        <f>EG113+EG125+EG134+EG136+EG137</f>
        <v>-112.97041632004202</v>
      </c>
      <c r="EH139" s="64">
        <f>EH113+EH125+EH134+EH136+EH137</f>
        <v>201.15568649866941</v>
      </c>
      <c r="EI139" s="1251">
        <f>EI113+EI125+EI134+EI136+EI137</f>
        <v>-155.0912801980362</v>
      </c>
      <c r="EJ139" s="64"/>
      <c r="EK139" s="64">
        <f>EK113+EK125+EK134+EK136+EK137</f>
        <v>-168.04819247012225</v>
      </c>
      <c r="EL139" s="64">
        <f>EL113+EL125+EL134+EL136+EL137</f>
        <v>13.307595403566239</v>
      </c>
      <c r="EM139" s="64">
        <f>EM113+EM125+EM134+EM136+EM137</f>
        <v>36.575440864893949</v>
      </c>
      <c r="EN139" s="64">
        <f>EN113+EN125+EN134+EN136+EN137</f>
        <v>454.26052784443982</v>
      </c>
      <c r="EO139" s="1251">
        <f>EO113+EO125+EO134+EO136+EO137</f>
        <v>336.09537164277788</v>
      </c>
      <c r="EP139" s="64"/>
      <c r="EQ139" s="64">
        <f>EQ113+EQ125+EQ134+EQ136+EQ137</f>
        <v>-21.132689921108465</v>
      </c>
      <c r="ER139" s="64">
        <f>ER113+ER125+ER134+ER136+ER137</f>
        <v>65.135572167387181</v>
      </c>
      <c r="ES139" s="64">
        <f>ES113+ES125+ES134+ES136+ES137</f>
        <v>58.592094375849484</v>
      </c>
      <c r="ET139" s="64">
        <f>ET113+ET125+ET134+ET136+ET137</f>
        <v>425.27652587073345</v>
      </c>
      <c r="EU139" s="1251">
        <f>EU113+EU125+EU134+EU136+EU137</f>
        <v>527.87150249286162</v>
      </c>
      <c r="EV139" s="81"/>
      <c r="EW139" s="81"/>
      <c r="FD139" s="81"/>
      <c r="FE139" s="81"/>
      <c r="FF139" s="81"/>
      <c r="FG139" s="81"/>
      <c r="FH139" s="81"/>
      <c r="FI139" s="81"/>
      <c r="FJ139" s="81"/>
      <c r="FK139" s="81"/>
      <c r="FL139" s="81"/>
      <c r="FM139" s="81"/>
      <c r="FN139" s="81"/>
      <c r="FO139" s="81"/>
      <c r="FP139" s="81"/>
    </row>
    <row r="140" spans="1:172" ht="6" customHeight="1">
      <c r="A140" s="75"/>
      <c r="B140" s="42"/>
      <c r="C140" s="75"/>
      <c r="D140" s="75"/>
      <c r="E140" s="75"/>
      <c r="F140" s="75"/>
      <c r="G140" s="75"/>
      <c r="H140" s="77"/>
      <c r="I140" s="75"/>
      <c r="J140" s="75"/>
      <c r="K140" s="75"/>
      <c r="L140" s="75"/>
      <c r="M140" s="75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5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5"/>
      <c r="BG140" s="75"/>
      <c r="BH140" s="75"/>
      <c r="BI140" s="75"/>
      <c r="BJ140" s="75"/>
      <c r="BK140" s="75"/>
      <c r="BL140" s="75"/>
      <c r="BM140" s="75"/>
      <c r="BN140" s="75"/>
      <c r="BO140" s="1338"/>
      <c r="BP140" s="75"/>
      <c r="BQ140" s="75"/>
      <c r="BR140" s="75"/>
      <c r="BS140" s="75"/>
      <c r="BT140" s="75"/>
      <c r="BU140" s="1338"/>
      <c r="BV140" s="75"/>
      <c r="BW140" s="75"/>
      <c r="BX140" s="75"/>
      <c r="BY140" s="75"/>
      <c r="BZ140" s="75"/>
      <c r="CA140" s="1338"/>
      <c r="CB140" s="75"/>
      <c r="CC140" s="75"/>
      <c r="CD140" s="75"/>
      <c r="CE140" s="75"/>
      <c r="CF140" s="75"/>
      <c r="CG140" s="1338"/>
      <c r="CH140" s="75"/>
      <c r="CI140" s="75"/>
      <c r="CJ140" s="75"/>
      <c r="CK140" s="75"/>
      <c r="CL140" s="75"/>
      <c r="CM140" s="1338"/>
      <c r="CN140" s="75"/>
      <c r="CO140" s="75"/>
      <c r="CP140" s="75"/>
      <c r="CQ140" s="75"/>
      <c r="CR140" s="75"/>
      <c r="CS140" s="1338"/>
      <c r="CT140" s="75"/>
      <c r="CU140" s="75"/>
      <c r="CV140" s="75"/>
      <c r="CW140" s="75"/>
      <c r="CX140" s="75"/>
      <c r="CY140" s="1338"/>
      <c r="CZ140" s="75"/>
      <c r="DA140" s="75"/>
      <c r="DB140" s="75"/>
      <c r="DC140" s="75"/>
      <c r="DD140" s="75"/>
      <c r="DE140" s="1338"/>
      <c r="DF140" s="75"/>
      <c r="DG140" s="75"/>
      <c r="DH140" s="75"/>
      <c r="DI140" s="75"/>
      <c r="DJ140" s="75"/>
      <c r="DK140" s="1338"/>
      <c r="DL140" s="75"/>
      <c r="DM140" s="75"/>
      <c r="DN140" s="75"/>
      <c r="DO140" s="75"/>
      <c r="DP140" s="75"/>
      <c r="DQ140" s="1338"/>
      <c r="DR140" s="75"/>
      <c r="DS140" s="75"/>
      <c r="DT140" s="75"/>
      <c r="DU140" s="75"/>
      <c r="DV140" s="75"/>
      <c r="DW140" s="1338"/>
      <c r="DX140" s="75"/>
      <c r="DY140" s="75"/>
      <c r="DZ140" s="75"/>
      <c r="EA140" s="75"/>
      <c r="EB140" s="75"/>
      <c r="EC140" s="1338"/>
      <c r="ED140" s="75"/>
      <c r="EE140" s="75"/>
      <c r="EF140" s="75"/>
      <c r="EG140" s="75"/>
      <c r="EH140" s="75"/>
      <c r="EI140" s="1338"/>
      <c r="EJ140" s="75"/>
      <c r="EK140" s="75"/>
      <c r="EL140" s="75"/>
      <c r="EM140" s="75"/>
      <c r="EN140" s="75"/>
      <c r="EO140" s="1338"/>
      <c r="EP140" s="75"/>
      <c r="EQ140" s="75"/>
      <c r="ER140" s="75"/>
      <c r="ES140" s="75"/>
      <c r="ET140" s="75"/>
      <c r="EU140" s="1338"/>
      <c r="EV140" s="75"/>
      <c r="EW140" s="75"/>
      <c r="FD140" s="75"/>
      <c r="FE140" s="75"/>
      <c r="FF140" s="75"/>
      <c r="FG140" s="75"/>
      <c r="FH140" s="75"/>
      <c r="FI140" s="75"/>
      <c r="FJ140" s="75"/>
      <c r="FK140" s="75"/>
      <c r="FL140" s="75"/>
      <c r="FM140" s="75"/>
      <c r="FN140" s="75"/>
      <c r="FO140" s="75"/>
      <c r="FP140" s="75"/>
    </row>
    <row r="141" spans="1:172">
      <c r="A141" s="78" t="s">
        <v>5544</v>
      </c>
      <c r="B141" s="42"/>
      <c r="C141" s="61"/>
      <c r="D141" s="61"/>
      <c r="E141" s="61"/>
      <c r="F141" s="61"/>
      <c r="G141" s="363"/>
      <c r="H141" s="61"/>
      <c r="I141" s="61"/>
      <c r="J141" s="61"/>
      <c r="K141" s="61"/>
      <c r="L141" s="61"/>
      <c r="M141" s="363"/>
      <c r="N141" s="61"/>
      <c r="O141" s="64">
        <f>M143</f>
        <v>0</v>
      </c>
      <c r="P141" s="64">
        <f>O143</f>
        <v>51.447000000000031</v>
      </c>
      <c r="Q141" s="64">
        <f>P143</f>
        <v>-18.876999999999967</v>
      </c>
      <c r="R141" s="64">
        <f>Q143</f>
        <v>14.740000000000052</v>
      </c>
      <c r="S141" s="64">
        <f>R141</f>
        <v>14.740000000000052</v>
      </c>
      <c r="T141" s="61"/>
      <c r="U141" s="64">
        <f>R143</f>
        <v>116.39299999999999</v>
      </c>
      <c r="V141" s="64">
        <f>U143</f>
        <v>50.785000000000011</v>
      </c>
      <c r="W141" s="64">
        <f>V143</f>
        <v>29.99100000000001</v>
      </c>
      <c r="X141" s="64">
        <f>W143</f>
        <v>40.646000000000008</v>
      </c>
      <c r="Y141" s="64">
        <f>X141</f>
        <v>40.646000000000008</v>
      </c>
      <c r="Z141" s="61"/>
      <c r="AA141" s="64">
        <f>X143</f>
        <v>-33.905000000000364</v>
      </c>
      <c r="AB141" s="64">
        <f>AA143</f>
        <v>-37.185000000000407</v>
      </c>
      <c r="AC141" s="64">
        <f>AB143</f>
        <v>-52.947000000000365</v>
      </c>
      <c r="AD141" s="64">
        <f>AC143</f>
        <v>-46.646000000000399</v>
      </c>
      <c r="AE141" s="64">
        <f>AD141</f>
        <v>-46.646000000000399</v>
      </c>
      <c r="AF141" s="64"/>
      <c r="AG141" s="64">
        <f t="shared" ref="AG141:AK143" si="534">AG68</f>
        <v>132.28200000000001</v>
      </c>
      <c r="AH141" s="64">
        <f t="shared" si="534"/>
        <v>143.02099999999996</v>
      </c>
      <c r="AI141" s="64">
        <f t="shared" si="534"/>
        <v>128.02999999999994</v>
      </c>
      <c r="AJ141" s="64">
        <f t="shared" si="534"/>
        <v>130.72899999999993</v>
      </c>
      <c r="AK141" s="64">
        <f t="shared" si="534"/>
        <v>132.28200000000001</v>
      </c>
      <c r="AL141" s="64"/>
      <c r="AM141" s="64">
        <f t="shared" ref="AM141:AQ143" si="535">AM68</f>
        <v>157.68699999999995</v>
      </c>
      <c r="AN141" s="64">
        <f t="shared" si="535"/>
        <v>157.68699999999995</v>
      </c>
      <c r="AO141" s="64">
        <f t="shared" si="535"/>
        <v>157.68699999999995</v>
      </c>
      <c r="AP141" s="64">
        <f t="shared" si="535"/>
        <v>157.68699999999995</v>
      </c>
      <c r="AQ141" s="64">
        <f t="shared" si="535"/>
        <v>157.68699999999995</v>
      </c>
      <c r="AR141" s="64"/>
      <c r="AS141" s="64">
        <f t="shared" ref="AS141:AW143" si="536">AS68</f>
        <v>186.37700000000007</v>
      </c>
      <c r="AT141" s="64">
        <f t="shared" si="536"/>
        <v>179.44300000000007</v>
      </c>
      <c r="AU141" s="64">
        <f t="shared" si="536"/>
        <v>219.42400000000004</v>
      </c>
      <c r="AV141" s="64">
        <f t="shared" si="536"/>
        <v>234.71000000000004</v>
      </c>
      <c r="AW141" s="64">
        <f t="shared" si="536"/>
        <v>186.37700000000007</v>
      </c>
      <c r="AX141" s="64"/>
      <c r="AY141" s="64">
        <f t="shared" ref="AY141:BI143" si="537">AY68</f>
        <v>282.24900000000014</v>
      </c>
      <c r="AZ141" s="64">
        <f t="shared" si="537"/>
        <v>303.86500000000018</v>
      </c>
      <c r="BA141" s="64">
        <f t="shared" si="537"/>
        <v>345.86500000000018</v>
      </c>
      <c r="BB141" s="64">
        <f t="shared" si="537"/>
        <v>376.94300000000021</v>
      </c>
      <c r="BC141" s="64">
        <f t="shared" si="537"/>
        <v>282.24900000000014</v>
      </c>
      <c r="BD141" s="64"/>
      <c r="BE141" s="64">
        <f t="shared" si="537"/>
        <v>517.53200000000015</v>
      </c>
      <c r="BF141" s="64">
        <f>BF68</f>
        <v>517.53200000000015</v>
      </c>
      <c r="BG141" s="64">
        <f t="shared" si="537"/>
        <v>517.53200000000015</v>
      </c>
      <c r="BH141" s="64">
        <f t="shared" si="537"/>
        <v>517.53200000000015</v>
      </c>
      <c r="BI141" s="64">
        <f t="shared" si="537"/>
        <v>517.53200000000015</v>
      </c>
      <c r="BJ141" s="61"/>
      <c r="BK141" s="64">
        <f>BK68</f>
        <v>287.21100000000035</v>
      </c>
      <c r="BL141" s="64">
        <f>BL68</f>
        <v>287.21100000000035</v>
      </c>
      <c r="BM141" s="64">
        <f>BM68</f>
        <v>287.21100000000035</v>
      </c>
      <c r="BN141" s="64">
        <f>BN68</f>
        <v>287.21100000000035</v>
      </c>
      <c r="BO141" s="1251">
        <f>BO68</f>
        <v>287.21100000000035</v>
      </c>
      <c r="BP141" s="61"/>
      <c r="BQ141" s="64">
        <f>BQ68</f>
        <v>665.91100000000029</v>
      </c>
      <c r="BR141" s="64">
        <f>BR68</f>
        <v>665.91100000000029</v>
      </c>
      <c r="BS141" s="64">
        <f>BS68</f>
        <v>665.91100000000029</v>
      </c>
      <c r="BT141" s="64">
        <f>BT68</f>
        <v>665.91100000000029</v>
      </c>
      <c r="BU141" s="1251">
        <f>BU68</f>
        <v>665.91100000000029</v>
      </c>
      <c r="BV141" s="61"/>
      <c r="BW141" s="64">
        <f>BW68</f>
        <v>917.9110000000004</v>
      </c>
      <c r="BX141" s="64">
        <f>BX68</f>
        <v>917.9110000000004</v>
      </c>
      <c r="BY141" s="64">
        <f>BY68</f>
        <v>917.9110000000004</v>
      </c>
      <c r="BZ141" s="64">
        <f>BZ68</f>
        <v>917.9110000000004</v>
      </c>
      <c r="CA141" s="1251">
        <f>CA68</f>
        <v>917.9110000000004</v>
      </c>
      <c r="CB141" s="61"/>
      <c r="CC141" s="64">
        <f>CC68</f>
        <v>917.59100000000035</v>
      </c>
      <c r="CD141" s="64">
        <f>CD68</f>
        <v>917.59100000000035</v>
      </c>
      <c r="CE141" s="64">
        <f>CE68</f>
        <v>917.59100000000035</v>
      </c>
      <c r="CF141" s="64">
        <f>CF68</f>
        <v>917.59100000000035</v>
      </c>
      <c r="CG141" s="1251">
        <f>CG68</f>
        <v>917.59100000000035</v>
      </c>
      <c r="CH141" s="61"/>
      <c r="CI141" s="64">
        <f>CI68</f>
        <v>838.69100000000037</v>
      </c>
      <c r="CJ141" s="64">
        <f>CJ68</f>
        <v>838.69100000000037</v>
      </c>
      <c r="CK141" s="64">
        <f>CK68</f>
        <v>838.69100000000037</v>
      </c>
      <c r="CL141" s="64">
        <f>CL68</f>
        <v>838.69100000000037</v>
      </c>
      <c r="CM141" s="1251">
        <f>CM68</f>
        <v>838.69100000000037</v>
      </c>
      <c r="CN141" s="61"/>
      <c r="CO141" s="64">
        <f>CO68</f>
        <v>1075.0910000000003</v>
      </c>
      <c r="CP141" s="64">
        <f>CP68</f>
        <v>1075.0910000000003</v>
      </c>
      <c r="CQ141" s="64">
        <f>CQ68</f>
        <v>1075.0910000000003</v>
      </c>
      <c r="CR141" s="64">
        <f>CR68</f>
        <v>1075.0910000000003</v>
      </c>
      <c r="CS141" s="1251">
        <f>CS68</f>
        <v>1075.0910000000003</v>
      </c>
      <c r="CT141" s="61"/>
      <c r="CU141" s="64">
        <f>CU68</f>
        <v>1156.8910000000003</v>
      </c>
      <c r="CV141" s="64">
        <f>CV68</f>
        <v>1156.8910000000003</v>
      </c>
      <c r="CW141" s="64">
        <f>CW68</f>
        <v>1156.8910000000003</v>
      </c>
      <c r="CX141" s="64">
        <f>CX68</f>
        <v>1156.8910000000003</v>
      </c>
      <c r="CY141" s="1251">
        <f>CY68</f>
        <v>1156.8910000000003</v>
      </c>
      <c r="CZ141" s="61"/>
      <c r="DA141" s="64">
        <f>DA68</f>
        <v>1612.1910000000003</v>
      </c>
      <c r="DB141" s="64">
        <f>DB68</f>
        <v>1612.1910000000003</v>
      </c>
      <c r="DC141" s="64">
        <f>DC68</f>
        <v>1612.1910000000003</v>
      </c>
      <c r="DD141" s="64">
        <f>DD68</f>
        <v>1612.1910000000003</v>
      </c>
      <c r="DE141" s="1251">
        <f>DE68</f>
        <v>1612.1910000000003</v>
      </c>
      <c r="DF141" s="61"/>
      <c r="DG141" s="64">
        <f>DG68</f>
        <v>1852.9910000000002</v>
      </c>
      <c r="DH141" s="64">
        <f>DH68</f>
        <v>1852.9910000000002</v>
      </c>
      <c r="DI141" s="64">
        <f>DI68</f>
        <v>1852.9910000000002</v>
      </c>
      <c r="DJ141" s="64">
        <f>DJ68</f>
        <v>1852.9910000000002</v>
      </c>
      <c r="DK141" s="1251">
        <f>DK68</f>
        <v>1852.9910000000002</v>
      </c>
      <c r="DL141" s="61"/>
      <c r="DM141" s="64">
        <f>DM68</f>
        <v>1410.5910000000003</v>
      </c>
      <c r="DN141" s="64">
        <f>DN68</f>
        <v>1410.5910000000003</v>
      </c>
      <c r="DO141" s="64">
        <f>DO68</f>
        <v>1410.5910000000003</v>
      </c>
      <c r="DP141" s="64">
        <f>DP68</f>
        <v>1410.5910000000003</v>
      </c>
      <c r="DQ141" s="1251">
        <f>DQ68</f>
        <v>1410.5910000000003</v>
      </c>
      <c r="DR141" s="61"/>
      <c r="DS141" s="64">
        <f>DS68</f>
        <v>1352.9910000000004</v>
      </c>
      <c r="DT141" s="64">
        <f>DT68</f>
        <v>1352.9910000000004</v>
      </c>
      <c r="DU141" s="64">
        <f>DU68</f>
        <v>1352.9910000000004</v>
      </c>
      <c r="DV141" s="64">
        <f>DV68</f>
        <v>1352.9910000000004</v>
      </c>
      <c r="DW141" s="1251">
        <f>DW68</f>
        <v>1352.9910000000004</v>
      </c>
      <c r="DX141" s="61"/>
      <c r="DY141" s="64">
        <f>DY68</f>
        <v>1213.0910000000003</v>
      </c>
      <c r="DZ141" s="64">
        <f>DZ68</f>
        <v>1213.0910000000003</v>
      </c>
      <c r="EA141" s="64">
        <f>EA68</f>
        <v>1213.0910000000003</v>
      </c>
      <c r="EB141" s="64">
        <f>EB68</f>
        <v>1213.0910000000003</v>
      </c>
      <c r="EC141" s="1251">
        <f>EC68</f>
        <v>1213.0910000000003</v>
      </c>
      <c r="ED141" s="61"/>
      <c r="EE141" s="64">
        <f>EE68</f>
        <v>1078.0010000000002</v>
      </c>
      <c r="EF141" s="64">
        <f>EF68</f>
        <v>1078.0010000000002</v>
      </c>
      <c r="EG141" s="64">
        <f>EG68</f>
        <v>1078.0010000000002</v>
      </c>
      <c r="EH141" s="64">
        <f>EH68</f>
        <v>1078.0010000000002</v>
      </c>
      <c r="EI141" s="1251">
        <f>EI68</f>
        <v>1078.0010000000002</v>
      </c>
      <c r="EJ141" s="61"/>
      <c r="EK141" s="64">
        <f>EK68</f>
        <v>922.909719801964</v>
      </c>
      <c r="EL141" s="64">
        <f>EL68</f>
        <v>922.909719801964</v>
      </c>
      <c r="EM141" s="64">
        <f>EM68</f>
        <v>922.909719801964</v>
      </c>
      <c r="EN141" s="64">
        <f>EN68</f>
        <v>922.909719801964</v>
      </c>
      <c r="EO141" s="1251">
        <f>EO68</f>
        <v>922.909719801964</v>
      </c>
      <c r="EP141" s="61"/>
      <c r="EQ141" s="64">
        <f>EQ68</f>
        <v>1259.005091444742</v>
      </c>
      <c r="ER141" s="64">
        <f>ER68</f>
        <v>1259.005091444742</v>
      </c>
      <c r="ES141" s="64">
        <f>ES68</f>
        <v>1259.005091444742</v>
      </c>
      <c r="ET141" s="64">
        <f>ET68</f>
        <v>1259.005091444742</v>
      </c>
      <c r="EU141" s="1251">
        <f>EU68</f>
        <v>1259.005091444742</v>
      </c>
      <c r="EV141" s="45"/>
      <c r="EW141" s="45"/>
      <c r="FD141" s="45"/>
      <c r="FE141" s="45"/>
      <c r="FF141" s="45"/>
      <c r="FG141" s="45"/>
      <c r="FH141" s="45"/>
      <c r="FI141" s="45"/>
      <c r="FJ141" s="45"/>
      <c r="FK141" s="45"/>
      <c r="FL141" s="45"/>
      <c r="FM141" s="45"/>
      <c r="FN141" s="45"/>
      <c r="FO141" s="45"/>
      <c r="FP141" s="45"/>
    </row>
    <row r="142" spans="1:172" ht="6" customHeight="1" thickBot="1">
      <c r="A142" s="75"/>
      <c r="B142" s="42"/>
      <c r="C142" s="62"/>
      <c r="D142" s="62"/>
      <c r="E142" s="62"/>
      <c r="F142" s="62"/>
      <c r="G142" s="62"/>
      <c r="H142" s="61"/>
      <c r="I142" s="62"/>
      <c r="J142" s="62"/>
      <c r="K142" s="62"/>
      <c r="L142" s="62"/>
      <c r="M142" s="62"/>
      <c r="N142" s="61"/>
      <c r="O142" s="364"/>
      <c r="P142" s="364"/>
      <c r="Q142" s="364"/>
      <c r="R142" s="364"/>
      <c r="S142" s="77"/>
      <c r="T142" s="61"/>
      <c r="U142" s="364"/>
      <c r="V142" s="364"/>
      <c r="W142" s="364"/>
      <c r="X142" s="364"/>
      <c r="Y142" s="77"/>
      <c r="Z142" s="61"/>
      <c r="AA142" s="364"/>
      <c r="AB142" s="364"/>
      <c r="AC142" s="364"/>
      <c r="AD142" s="364"/>
      <c r="AE142" s="77"/>
      <c r="AF142" s="77"/>
      <c r="AG142" s="364">
        <f t="shared" si="534"/>
        <v>0</v>
      </c>
      <c r="AH142" s="364">
        <f t="shared" si="534"/>
        <v>0</v>
      </c>
      <c r="AI142" s="364">
        <f t="shared" si="534"/>
        <v>0</v>
      </c>
      <c r="AJ142" s="364">
        <f t="shared" si="534"/>
        <v>0</v>
      </c>
      <c r="AK142" s="364">
        <f t="shared" si="534"/>
        <v>0</v>
      </c>
      <c r="AL142" s="77"/>
      <c r="AM142" s="364">
        <f t="shared" si="535"/>
        <v>0</v>
      </c>
      <c r="AN142" s="364">
        <f t="shared" si="535"/>
        <v>0</v>
      </c>
      <c r="AO142" s="364">
        <f t="shared" si="535"/>
        <v>0</v>
      </c>
      <c r="AP142" s="364">
        <f t="shared" si="535"/>
        <v>0</v>
      </c>
      <c r="AQ142" s="364">
        <f t="shared" si="535"/>
        <v>0</v>
      </c>
      <c r="AR142" s="77"/>
      <c r="AS142" s="364">
        <f t="shared" si="536"/>
        <v>0</v>
      </c>
      <c r="AT142" s="364">
        <f t="shared" si="536"/>
        <v>0</v>
      </c>
      <c r="AU142" s="364">
        <f t="shared" si="536"/>
        <v>0</v>
      </c>
      <c r="AV142" s="364">
        <f t="shared" si="536"/>
        <v>0</v>
      </c>
      <c r="AW142" s="364">
        <f t="shared" si="536"/>
        <v>0</v>
      </c>
      <c r="AX142" s="64"/>
      <c r="AY142" s="364">
        <f t="shared" si="537"/>
        <v>0</v>
      </c>
      <c r="AZ142" s="364">
        <f t="shared" si="537"/>
        <v>0</v>
      </c>
      <c r="BA142" s="364">
        <f t="shared" si="537"/>
        <v>0</v>
      </c>
      <c r="BB142" s="364">
        <f t="shared" si="537"/>
        <v>0</v>
      </c>
      <c r="BC142" s="364">
        <f t="shared" si="537"/>
        <v>0</v>
      </c>
      <c r="BD142" s="77"/>
      <c r="BE142" s="77"/>
      <c r="BF142" s="43"/>
      <c r="BG142" s="43"/>
      <c r="BH142" s="43"/>
      <c r="BI142" s="43"/>
      <c r="BJ142" s="44"/>
      <c r="BK142" s="77"/>
      <c r="BL142" s="43"/>
      <c r="BM142" s="43"/>
      <c r="BN142" s="43"/>
      <c r="BO142" s="1326"/>
      <c r="BP142" s="44"/>
      <c r="BQ142" s="77"/>
      <c r="BR142" s="43"/>
      <c r="BS142" s="43"/>
      <c r="BT142" s="43"/>
      <c r="BU142" s="1326"/>
      <c r="BV142" s="44"/>
      <c r="BW142" s="77"/>
      <c r="BX142" s="43"/>
      <c r="BY142" s="43"/>
      <c r="BZ142" s="43"/>
      <c r="CA142" s="1326"/>
      <c r="CB142" s="44"/>
      <c r="CC142" s="77"/>
      <c r="CD142" s="43"/>
      <c r="CE142" s="43"/>
      <c r="CF142" s="43"/>
      <c r="CG142" s="1326"/>
      <c r="CH142" s="44"/>
      <c r="CI142" s="77"/>
      <c r="CJ142" s="43"/>
      <c r="CK142" s="43"/>
      <c r="CL142" s="43"/>
      <c r="CM142" s="1326"/>
      <c r="CN142" s="44"/>
      <c r="CO142" s="77"/>
      <c r="CP142" s="43"/>
      <c r="CQ142" s="43"/>
      <c r="CR142" s="43"/>
      <c r="CS142" s="1326"/>
      <c r="CT142" s="44"/>
      <c r="CU142" s="77"/>
      <c r="CV142" s="43"/>
      <c r="CW142" s="43"/>
      <c r="CX142" s="43"/>
      <c r="CY142" s="1326"/>
      <c r="CZ142" s="44"/>
      <c r="DA142" s="77"/>
      <c r="DB142" s="43"/>
      <c r="DC142" s="43"/>
      <c r="DD142" s="43"/>
      <c r="DE142" s="1326"/>
      <c r="DF142" s="44"/>
      <c r="DG142" s="77"/>
      <c r="DH142" s="43"/>
      <c r="DI142" s="43"/>
      <c r="DJ142" s="43"/>
      <c r="DK142" s="1326"/>
      <c r="DL142" s="44"/>
      <c r="DM142" s="77"/>
      <c r="DN142" s="43"/>
      <c r="DO142" s="43"/>
      <c r="DP142" s="43"/>
      <c r="DQ142" s="1326"/>
      <c r="DR142" s="44"/>
      <c r="DS142" s="77"/>
      <c r="DT142" s="43"/>
      <c r="DU142" s="43"/>
      <c r="DV142" s="43"/>
      <c r="DW142" s="1326"/>
      <c r="DX142" s="44"/>
      <c r="DY142" s="77"/>
      <c r="DZ142" s="43"/>
      <c r="EA142" s="43"/>
      <c r="EB142" s="43"/>
      <c r="EC142" s="1326"/>
      <c r="ED142" s="44"/>
      <c r="EE142" s="43"/>
      <c r="EF142" s="43"/>
      <c r="EG142" s="43"/>
      <c r="EH142" s="43"/>
      <c r="EI142" s="1326"/>
      <c r="EJ142" s="44"/>
      <c r="EK142" s="43"/>
      <c r="EL142" s="43"/>
      <c r="EM142" s="43"/>
      <c r="EN142" s="43"/>
      <c r="EO142" s="1326"/>
      <c r="EP142" s="44"/>
      <c r="EQ142" s="43"/>
      <c r="ER142" s="43"/>
      <c r="ES142" s="43"/>
      <c r="ET142" s="43"/>
      <c r="EU142" s="1326"/>
      <c r="EV142" s="45"/>
      <c r="EW142" s="45"/>
      <c r="FD142" s="45"/>
      <c r="FE142" s="45"/>
      <c r="FF142" s="45"/>
      <c r="FG142" s="45"/>
      <c r="FH142" s="45"/>
      <c r="FI142" s="45"/>
      <c r="FJ142" s="45"/>
      <c r="FK142" s="45"/>
      <c r="FL142" s="45"/>
      <c r="FM142" s="45"/>
      <c r="FN142" s="45"/>
      <c r="FO142" s="45"/>
      <c r="FP142" s="45"/>
    </row>
    <row r="143" spans="1:172" ht="13.5" thickBot="1">
      <c r="A143" s="1476" t="s">
        <v>4675</v>
      </c>
      <c r="B143" s="1477"/>
      <c r="C143" s="1477"/>
      <c r="D143" s="1477"/>
      <c r="E143" s="1477"/>
      <c r="F143" s="1477"/>
      <c r="G143" s="1477"/>
      <c r="H143" s="1477"/>
      <c r="I143" s="1477"/>
      <c r="J143" s="1477"/>
      <c r="K143" s="1477"/>
      <c r="L143" s="1477"/>
      <c r="M143" s="1477"/>
      <c r="N143" s="1477"/>
      <c r="O143" s="1478">
        <f>O141+O139</f>
        <v>51.447000000000031</v>
      </c>
      <c r="P143" s="1478">
        <f>P141+P139</f>
        <v>-18.876999999999967</v>
      </c>
      <c r="Q143" s="1478">
        <f>Q141+Q139</f>
        <v>14.740000000000052</v>
      </c>
      <c r="R143" s="1478">
        <f>R141+R139</f>
        <v>116.39299999999999</v>
      </c>
      <c r="S143" s="1478">
        <f>R143</f>
        <v>116.39299999999999</v>
      </c>
      <c r="T143" s="1478"/>
      <c r="U143" s="1478">
        <f>U141+U139</f>
        <v>50.785000000000011</v>
      </c>
      <c r="V143" s="1478">
        <f>V141+V139</f>
        <v>29.99100000000001</v>
      </c>
      <c r="W143" s="1478">
        <f>W141+W139</f>
        <v>40.646000000000008</v>
      </c>
      <c r="X143" s="1478">
        <f>X141+X139</f>
        <v>-33.905000000000364</v>
      </c>
      <c r="Y143" s="1478">
        <f>X143</f>
        <v>-33.905000000000364</v>
      </c>
      <c r="Z143" s="1478"/>
      <c r="AA143" s="1478">
        <f>AA141+AA139</f>
        <v>-37.185000000000407</v>
      </c>
      <c r="AB143" s="1478">
        <f>AB141+AB139</f>
        <v>-52.947000000000365</v>
      </c>
      <c r="AC143" s="1478">
        <f>AC141+AC139</f>
        <v>-46.646000000000399</v>
      </c>
      <c r="AD143" s="1478">
        <f>AD141+AD139</f>
        <v>-26.154000000000284</v>
      </c>
      <c r="AE143" s="1478">
        <f>AD143</f>
        <v>-26.154000000000284</v>
      </c>
      <c r="AF143" s="1478"/>
      <c r="AG143" s="1478">
        <f t="shared" si="534"/>
        <v>143.02099999999996</v>
      </c>
      <c r="AH143" s="1478">
        <f t="shared" si="534"/>
        <v>128.02999999999994</v>
      </c>
      <c r="AI143" s="1478">
        <f t="shared" si="534"/>
        <v>130.72899999999993</v>
      </c>
      <c r="AJ143" s="1478">
        <f t="shared" si="534"/>
        <v>157.68699999999995</v>
      </c>
      <c r="AK143" s="1478">
        <f t="shared" si="534"/>
        <v>157.68699999999995</v>
      </c>
      <c r="AL143" s="1478"/>
      <c r="AM143" s="1478">
        <f t="shared" si="535"/>
        <v>137.62699999999995</v>
      </c>
      <c r="AN143" s="1478">
        <f t="shared" si="535"/>
        <v>144.83499999999998</v>
      </c>
      <c r="AO143" s="1478">
        <f t="shared" si="535"/>
        <v>164.43999999999994</v>
      </c>
      <c r="AP143" s="1478">
        <f t="shared" si="535"/>
        <v>186.37700000000007</v>
      </c>
      <c r="AQ143" s="1478">
        <f t="shared" si="535"/>
        <v>186.37700000000007</v>
      </c>
      <c r="AR143" s="1479"/>
      <c r="AS143" s="1478">
        <f t="shared" si="536"/>
        <v>179.44300000000007</v>
      </c>
      <c r="AT143" s="1478">
        <f t="shared" si="536"/>
        <v>219.42400000000004</v>
      </c>
      <c r="AU143" s="1478">
        <f t="shared" si="536"/>
        <v>234.71000000000004</v>
      </c>
      <c r="AV143" s="1478">
        <f t="shared" si="536"/>
        <v>282.24900000000014</v>
      </c>
      <c r="AW143" s="1478">
        <f t="shared" si="536"/>
        <v>282.24900000000014</v>
      </c>
      <c r="AX143" s="1479"/>
      <c r="AY143" s="1478">
        <f t="shared" si="537"/>
        <v>303.86500000000018</v>
      </c>
      <c r="AZ143" s="1478">
        <f t="shared" si="537"/>
        <v>345.86500000000018</v>
      </c>
      <c r="BA143" s="1478">
        <f t="shared" si="537"/>
        <v>376.94300000000021</v>
      </c>
      <c r="BB143" s="1478">
        <f t="shared" si="537"/>
        <v>517.53200000000015</v>
      </c>
      <c r="BC143" s="1478">
        <f t="shared" si="537"/>
        <v>517.53200000000015</v>
      </c>
      <c r="BD143" s="1479"/>
      <c r="BE143" s="1479">
        <f>BE70</f>
        <v>517.9430000000001</v>
      </c>
      <c r="BF143" s="1479">
        <f>BF70</f>
        <v>478.55900000000008</v>
      </c>
      <c r="BG143" s="1479">
        <f>BG70</f>
        <v>390.86300000000017</v>
      </c>
      <c r="BH143" s="1479">
        <f>BH70</f>
        <v>287.21100000000035</v>
      </c>
      <c r="BI143" s="1479">
        <f>BI70</f>
        <v>287.21100000000035</v>
      </c>
      <c r="BJ143" s="1479"/>
      <c r="BK143" s="1479">
        <f>BK70</f>
        <v>257.31100000000032</v>
      </c>
      <c r="BL143" s="1479">
        <f>BL70</f>
        <v>439.11100000000039</v>
      </c>
      <c r="BM143" s="1479">
        <f>BM70</f>
        <v>514.9110000000004</v>
      </c>
      <c r="BN143" s="1479">
        <f>BN70</f>
        <v>665.91100000000029</v>
      </c>
      <c r="BO143" s="1480">
        <f>BO70</f>
        <v>665.91100000000029</v>
      </c>
      <c r="BP143" s="1479"/>
      <c r="BQ143" s="1479">
        <f>BQ70</f>
        <v>762.31100000000038</v>
      </c>
      <c r="BR143" s="1479">
        <f>BR70</f>
        <v>774.9110000000004</v>
      </c>
      <c r="BS143" s="1479">
        <f>BS70</f>
        <v>826.71100000000035</v>
      </c>
      <c r="BT143" s="1479">
        <f>BT70</f>
        <v>917.9110000000004</v>
      </c>
      <c r="BU143" s="1480">
        <f>BU70</f>
        <v>917.9110000000004</v>
      </c>
      <c r="BV143" s="1479"/>
      <c r="BW143" s="1479">
        <f>BW70</f>
        <v>909.11100000000044</v>
      </c>
      <c r="BX143" s="1479">
        <f>BX70</f>
        <v>929.61100000000033</v>
      </c>
      <c r="BY143" s="1479">
        <f>BY70</f>
        <v>796.4110000000004</v>
      </c>
      <c r="BZ143" s="1479">
        <f>BZ70</f>
        <v>917.59100000000035</v>
      </c>
      <c r="CA143" s="1480">
        <f>CA70</f>
        <v>917.59100000000035</v>
      </c>
      <c r="CB143" s="1479"/>
      <c r="CC143" s="1479">
        <f>CC70</f>
        <v>880.49100000000033</v>
      </c>
      <c r="CD143" s="1479">
        <f>CD70</f>
        <v>668.49100000000033</v>
      </c>
      <c r="CE143" s="1479">
        <f>CE70</f>
        <v>698.49100000000044</v>
      </c>
      <c r="CF143" s="1479">
        <f>CF70</f>
        <v>838.69100000000037</v>
      </c>
      <c r="CG143" s="1480">
        <f>CG70</f>
        <v>838.69100000000037</v>
      </c>
      <c r="CH143" s="1479"/>
      <c r="CI143" s="1479">
        <f>CI70</f>
        <v>938.09100000000035</v>
      </c>
      <c r="CJ143" s="1479">
        <f>CJ70</f>
        <v>849.99100000000044</v>
      </c>
      <c r="CK143" s="1479">
        <f>CK70</f>
        <v>904.29100000000039</v>
      </c>
      <c r="CL143" s="1479">
        <f>CL70</f>
        <v>1075.0910000000003</v>
      </c>
      <c r="CM143" s="1481">
        <f>CM70</f>
        <v>1075.0910000000003</v>
      </c>
      <c r="CN143" s="1479"/>
      <c r="CO143" s="1479">
        <f>CO70</f>
        <v>1091.3910000000003</v>
      </c>
      <c r="CP143" s="1479">
        <f>CP70</f>
        <v>1131.4910000000002</v>
      </c>
      <c r="CQ143" s="1479">
        <f>CQ70</f>
        <v>1103.2910000000004</v>
      </c>
      <c r="CR143" s="1479">
        <f>CR70</f>
        <v>1156.8910000000003</v>
      </c>
      <c r="CS143" s="1481">
        <f>CS70</f>
        <v>1156.8910000000003</v>
      </c>
      <c r="CT143" s="1479"/>
      <c r="CU143" s="1479">
        <f>CU70</f>
        <v>1074.4910000000002</v>
      </c>
      <c r="CV143" s="1479">
        <f>CV70</f>
        <v>930.19100000000037</v>
      </c>
      <c r="CW143" s="1479">
        <f>CW70</f>
        <v>826.99100000000044</v>
      </c>
      <c r="CX143" s="1479">
        <f>CX70</f>
        <v>1612.1910000000003</v>
      </c>
      <c r="CY143" s="1481">
        <f>CY70</f>
        <v>1612.1910000000003</v>
      </c>
      <c r="CZ143" s="1479"/>
      <c r="DA143" s="1479">
        <f>DA70</f>
        <v>1655.7910000000002</v>
      </c>
      <c r="DB143" s="1479">
        <f>DB70</f>
        <v>1400.6910000000003</v>
      </c>
      <c r="DC143" s="1479">
        <f>DC70</f>
        <v>1473.3910000000003</v>
      </c>
      <c r="DD143" s="1479">
        <f>DD70</f>
        <v>1852.9910000000002</v>
      </c>
      <c r="DE143" s="1481">
        <f>DE70</f>
        <v>1852.9910000000002</v>
      </c>
      <c r="DF143" s="1479"/>
      <c r="DG143" s="1479">
        <f>DG70</f>
        <v>1609.5910000000001</v>
      </c>
      <c r="DH143" s="1479">
        <f>DH70</f>
        <v>1323.0909999999999</v>
      </c>
      <c r="DI143" s="1479">
        <f>DI70</f>
        <v>1344.9910000000004</v>
      </c>
      <c r="DJ143" s="1479">
        <f>DJ70</f>
        <v>1410.5910000000003</v>
      </c>
      <c r="DK143" s="1481">
        <f>DK70</f>
        <v>1410.5910000000003</v>
      </c>
      <c r="DL143" s="1479"/>
      <c r="DM143" s="1479">
        <f>DM70</f>
        <v>1182.6910000000003</v>
      </c>
      <c r="DN143" s="1479">
        <f>DN70</f>
        <v>1473.0910000000003</v>
      </c>
      <c r="DO143" s="1479">
        <f>DO70</f>
        <v>1337.4910000000004</v>
      </c>
      <c r="DP143" s="1479">
        <f>DP70</f>
        <v>1352.9910000000004</v>
      </c>
      <c r="DQ143" s="1481">
        <f>DQ70</f>
        <v>1352.9910000000004</v>
      </c>
      <c r="DR143" s="1479"/>
      <c r="DS143" s="1479">
        <f>DS70</f>
        <v>1223.3910000000005</v>
      </c>
      <c r="DT143" s="1479">
        <f>DT70</f>
        <v>1467.3000000000004</v>
      </c>
      <c r="DU143" s="1479">
        <f>DU70</f>
        <v>1436.5000000000005</v>
      </c>
      <c r="DV143" s="1479">
        <f>DV70</f>
        <v>1213.0910000000003</v>
      </c>
      <c r="DW143" s="1481">
        <f>DW70</f>
        <v>1213.0910000000003</v>
      </c>
      <c r="DX143" s="1479"/>
      <c r="DY143" s="1479">
        <f>DY70</f>
        <v>1340.1910000000005</v>
      </c>
      <c r="DZ143" s="1479">
        <f>DZ70</f>
        <v>1174.0910000000003</v>
      </c>
      <c r="EA143" s="1479">
        <f>EA70</f>
        <v>1025.2000000000003</v>
      </c>
      <c r="EB143" s="1479">
        <f>EB70</f>
        <v>1078.0010000000002</v>
      </c>
      <c r="EC143" s="1481">
        <f>EC70</f>
        <v>1078.0010000000002</v>
      </c>
      <c r="ED143" s="1479"/>
      <c r="EE143" s="1479">
        <f>EE70</f>
        <v>962.55048680050049</v>
      </c>
      <c r="EF143" s="1479">
        <f>EF70</f>
        <v>834.72444962333657</v>
      </c>
      <c r="EG143" s="1479">
        <f>EG70</f>
        <v>721.75403330329448</v>
      </c>
      <c r="EH143" s="1479">
        <f>EH70</f>
        <v>922.909719801964</v>
      </c>
      <c r="EI143" s="1481">
        <f>EI70</f>
        <v>922.909719801964</v>
      </c>
      <c r="EJ143" s="1479"/>
      <c r="EK143" s="1479">
        <f>EK70</f>
        <v>754.86152733184178</v>
      </c>
      <c r="EL143" s="1479">
        <f>EL70</f>
        <v>768.169122735408</v>
      </c>
      <c r="EM143" s="1479">
        <f>EM70</f>
        <v>804.74456360030194</v>
      </c>
      <c r="EN143" s="1479">
        <f>EN70</f>
        <v>1259.005091444742</v>
      </c>
      <c r="EO143" s="1481">
        <f>EO70</f>
        <v>1259.005091444742</v>
      </c>
      <c r="EP143" s="1479"/>
      <c r="EQ143" s="1479">
        <f>EQ70</f>
        <v>1237.8724015236335</v>
      </c>
      <c r="ER143" s="1479">
        <f>ER70</f>
        <v>1303.0079736910207</v>
      </c>
      <c r="ES143" s="1479">
        <f>ES70</f>
        <v>1361.6000680668703</v>
      </c>
      <c r="ET143" s="1479">
        <f>ET70</f>
        <v>1786.8765939376035</v>
      </c>
      <c r="EU143" s="1481">
        <f>EU70</f>
        <v>1786.8765939376035</v>
      </c>
      <c r="EV143" s="45"/>
      <c r="EW143" s="45"/>
      <c r="FD143" s="45"/>
      <c r="FE143" s="45"/>
      <c r="FF143" s="45"/>
      <c r="FG143" s="45"/>
      <c r="FH143" s="45"/>
      <c r="FI143" s="45"/>
      <c r="FJ143" s="45"/>
      <c r="FK143" s="45"/>
      <c r="FL143" s="45"/>
      <c r="FM143" s="45"/>
      <c r="FN143" s="45"/>
      <c r="FO143" s="45"/>
      <c r="FP143" s="45"/>
    </row>
    <row r="144" spans="1:172" ht="7.5" customHeight="1">
      <c r="A144" s="1334"/>
      <c r="B144" s="428"/>
      <c r="C144" s="428"/>
      <c r="D144" s="428"/>
      <c r="E144" s="428"/>
      <c r="F144" s="428"/>
      <c r="G144" s="428"/>
      <c r="H144" s="428"/>
      <c r="I144" s="428"/>
      <c r="J144" s="428"/>
      <c r="K144" s="428"/>
      <c r="L144" s="428"/>
      <c r="M144" s="428"/>
      <c r="N144" s="428"/>
      <c r="O144" s="1335"/>
      <c r="P144" s="1335"/>
      <c r="Q144" s="1335"/>
      <c r="R144" s="1335"/>
      <c r="S144" s="1335"/>
      <c r="T144" s="1335"/>
      <c r="U144" s="1335"/>
      <c r="V144" s="1335"/>
      <c r="W144" s="1335"/>
      <c r="X144" s="1335"/>
      <c r="Y144" s="1335"/>
      <c r="Z144" s="1335"/>
      <c r="AA144" s="1335"/>
      <c r="AB144" s="1335"/>
      <c r="AC144" s="1335"/>
      <c r="AD144" s="1335"/>
      <c r="AE144" s="1335"/>
      <c r="AF144" s="1335"/>
      <c r="AG144" s="1335"/>
      <c r="AH144" s="1335"/>
      <c r="AI144" s="1335"/>
      <c r="AJ144" s="1335"/>
      <c r="AK144" s="1335"/>
      <c r="AL144" s="1335"/>
      <c r="AM144" s="1335"/>
      <c r="AN144" s="1335"/>
      <c r="AO144" s="1335"/>
      <c r="AP144" s="1335"/>
      <c r="AQ144" s="1335"/>
      <c r="AR144" s="382"/>
      <c r="AS144" s="1335"/>
      <c r="AT144" s="1335"/>
      <c r="AU144" s="1335"/>
      <c r="AV144" s="1335"/>
      <c r="AW144" s="1335"/>
      <c r="AX144" s="382"/>
      <c r="AY144" s="1335"/>
      <c r="AZ144" s="1335"/>
      <c r="BA144" s="1335"/>
      <c r="BB144" s="1335"/>
      <c r="BC144" s="1335"/>
      <c r="BD144" s="382"/>
      <c r="BE144" s="382"/>
      <c r="BF144" s="382"/>
      <c r="BG144" s="382"/>
      <c r="BH144" s="382"/>
      <c r="BI144" s="382"/>
      <c r="BJ144" s="382"/>
      <c r="BK144" s="382"/>
      <c r="BL144" s="382"/>
      <c r="BM144" s="382"/>
      <c r="BN144" s="382"/>
      <c r="BO144" s="1340"/>
      <c r="BP144" s="382"/>
      <c r="BQ144" s="382"/>
      <c r="BR144" s="382"/>
      <c r="BS144" s="382"/>
      <c r="BT144" s="382"/>
      <c r="BU144" s="1340"/>
      <c r="BV144" s="382"/>
      <c r="BW144" s="382"/>
      <c r="BX144" s="382"/>
      <c r="BY144" s="382"/>
      <c r="BZ144" s="382"/>
      <c r="CA144" s="1340"/>
      <c r="CB144" s="382"/>
      <c r="CC144" s="382"/>
      <c r="CD144" s="382"/>
      <c r="CE144" s="382"/>
      <c r="CF144" s="382"/>
      <c r="CG144" s="1340"/>
      <c r="CH144" s="382"/>
      <c r="CI144" s="382"/>
      <c r="CJ144" s="382"/>
      <c r="CK144" s="382"/>
      <c r="CL144" s="382"/>
      <c r="CM144" s="1340"/>
      <c r="CN144" s="382"/>
      <c r="CO144" s="382"/>
      <c r="CP144" s="382"/>
      <c r="CQ144" s="382"/>
      <c r="CR144" s="382"/>
      <c r="CS144" s="1340"/>
      <c r="CT144" s="382"/>
      <c r="CU144" s="382"/>
      <c r="CV144" s="382"/>
      <c r="CW144" s="382"/>
      <c r="CX144" s="382"/>
      <c r="CY144" s="1340"/>
      <c r="CZ144" s="382"/>
      <c r="DA144" s="382"/>
      <c r="DB144" s="382"/>
      <c r="DC144" s="382"/>
      <c r="DD144" s="382"/>
      <c r="DE144" s="1340"/>
      <c r="DF144" s="382"/>
      <c r="DG144" s="382"/>
      <c r="DH144" s="382"/>
      <c r="DI144" s="382"/>
      <c r="DJ144" s="382"/>
      <c r="DK144" s="1340"/>
      <c r="DL144" s="382"/>
      <c r="DM144" s="382"/>
      <c r="DN144" s="382"/>
      <c r="DO144" s="382"/>
      <c r="DP144" s="382"/>
      <c r="DQ144" s="1340"/>
      <c r="DR144" s="382"/>
      <c r="DS144" s="382"/>
      <c r="DT144" s="382"/>
      <c r="DU144" s="382"/>
      <c r="DV144" s="382"/>
      <c r="DW144" s="1340"/>
      <c r="DX144" s="382"/>
      <c r="DY144" s="382"/>
      <c r="DZ144" s="382"/>
      <c r="EA144" s="382"/>
      <c r="EB144" s="382"/>
      <c r="EC144" s="1340"/>
      <c r="ED144" s="382"/>
      <c r="EE144" s="382"/>
      <c r="EF144" s="382"/>
      <c r="EG144" s="382"/>
      <c r="EH144" s="382"/>
      <c r="EI144" s="1340"/>
      <c r="EJ144" s="382"/>
      <c r="EK144" s="382"/>
      <c r="EL144" s="382"/>
      <c r="EM144" s="382"/>
      <c r="EN144" s="382"/>
      <c r="EO144" s="1340"/>
      <c r="EP144" s="382"/>
      <c r="EQ144" s="382"/>
      <c r="ER144" s="382"/>
      <c r="ES144" s="382"/>
      <c r="ET144" s="382"/>
      <c r="EU144" s="1340"/>
      <c r="EV144" s="45"/>
      <c r="EW144" s="45"/>
      <c r="FD144" s="45"/>
      <c r="FE144" s="45"/>
      <c r="FF144" s="45"/>
      <c r="FG144" s="45"/>
      <c r="FH144" s="45"/>
      <c r="FI144" s="45"/>
      <c r="FJ144" s="45"/>
      <c r="FK144" s="45"/>
      <c r="FL144" s="45"/>
      <c r="FM144" s="45"/>
      <c r="FN144" s="45"/>
      <c r="FO144" s="45"/>
      <c r="FP144" s="45"/>
    </row>
    <row r="145" spans="1:172" ht="12.75" customHeight="1">
      <c r="A145" s="1334" t="s">
        <v>754</v>
      </c>
      <c r="B145" s="428"/>
      <c r="C145" s="428"/>
      <c r="D145" s="428"/>
      <c r="E145" s="428"/>
      <c r="F145" s="428"/>
      <c r="G145" s="428"/>
      <c r="H145" s="428"/>
      <c r="I145" s="428"/>
      <c r="J145" s="428"/>
      <c r="K145" s="428"/>
      <c r="L145" s="428"/>
      <c r="M145" s="428"/>
      <c r="N145" s="428"/>
      <c r="O145" s="1335"/>
      <c r="P145" s="1335"/>
      <c r="Q145" s="1335"/>
      <c r="R145" s="1335"/>
      <c r="S145" s="1335"/>
      <c r="T145" s="1335"/>
      <c r="U145" s="1335"/>
      <c r="V145" s="1335"/>
      <c r="W145" s="1335"/>
      <c r="X145" s="1335"/>
      <c r="Y145" s="1335"/>
      <c r="Z145" s="1335"/>
      <c r="AA145" s="1335"/>
      <c r="AB145" s="1335"/>
      <c r="AC145" s="1335"/>
      <c r="AD145" s="1335"/>
      <c r="AE145" s="1335"/>
      <c r="AF145" s="1335"/>
      <c r="AG145" s="1335"/>
      <c r="AH145" s="1335"/>
      <c r="AI145" s="1335"/>
      <c r="AJ145" s="1335"/>
      <c r="AK145" s="1335"/>
      <c r="AL145" s="1335"/>
      <c r="AM145" s="1335"/>
      <c r="AN145" s="1335"/>
      <c r="AO145" s="1335"/>
      <c r="AP145" s="1335"/>
      <c r="AQ145" s="1335"/>
      <c r="AR145" s="382"/>
      <c r="AS145" s="1335"/>
      <c r="AT145" s="1335"/>
      <c r="AU145" s="1335"/>
      <c r="AV145" s="1335"/>
      <c r="AW145" s="1335"/>
      <c r="AX145" s="382"/>
      <c r="AY145" s="1335"/>
      <c r="AZ145" s="1335"/>
      <c r="BA145" s="1335"/>
      <c r="BB145" s="1335"/>
      <c r="BC145" s="1335"/>
      <c r="BD145" s="382"/>
      <c r="BE145" s="382"/>
      <c r="BF145" s="382"/>
      <c r="BG145" s="382"/>
      <c r="BH145" s="382"/>
      <c r="BI145" s="382"/>
      <c r="BJ145" s="382"/>
      <c r="BK145" s="382"/>
      <c r="BL145" s="382"/>
      <c r="BM145" s="382"/>
      <c r="BN145" s="382"/>
      <c r="BO145" s="382">
        <f>BO113+BO117</f>
        <v>541.29999999999995</v>
      </c>
      <c r="BP145" s="382"/>
      <c r="BQ145" s="382">
        <f>BQ113+BQ117</f>
        <v>184.8</v>
      </c>
      <c r="BR145" s="382">
        <f>BR113+BR117</f>
        <v>125.20000000000005</v>
      </c>
      <c r="BS145" s="382">
        <f>BS113+BS117</f>
        <v>150.39999999999995</v>
      </c>
      <c r="BT145" s="382">
        <f>BT113+BT117</f>
        <v>204.79999999999998</v>
      </c>
      <c r="BU145" s="382">
        <f>BU113+BU117</f>
        <v>665.2</v>
      </c>
      <c r="BV145" s="382"/>
      <c r="BW145" s="382">
        <f>BW113+BW117</f>
        <v>171.89999999999998</v>
      </c>
      <c r="BX145" s="382">
        <f>BX113+BX117</f>
        <v>188.50000000000003</v>
      </c>
      <c r="BY145" s="382">
        <f>BY113+BY117</f>
        <v>87.999999999999972</v>
      </c>
      <c r="BZ145" s="382">
        <f>BZ113+BZ117</f>
        <v>67.080000000000013</v>
      </c>
      <c r="CA145" s="382">
        <f>CA113+CA117</f>
        <v>515.48</v>
      </c>
      <c r="CB145" s="382"/>
      <c r="CC145" s="382">
        <f>CC113+CC117</f>
        <v>13.6</v>
      </c>
      <c r="CD145" s="382">
        <f>CD113+CD117</f>
        <v>36.59999999999998</v>
      </c>
      <c r="CE145" s="382">
        <f>CE113+CE117</f>
        <v>40.800000000000018</v>
      </c>
      <c r="CF145" s="382">
        <f>CF113+CF117</f>
        <v>116.79999999999998</v>
      </c>
      <c r="CG145" s="382">
        <f>CG113+CG117</f>
        <v>207.79999999999998</v>
      </c>
      <c r="CH145" s="382"/>
      <c r="CI145" s="382">
        <f>CI113+CI117</f>
        <v>133.29999999999998</v>
      </c>
      <c r="CJ145" s="382">
        <f>CJ113+CJ117</f>
        <v>106.19999999999997</v>
      </c>
      <c r="CK145" s="382">
        <f>CK113+CK117</f>
        <v>107.30000000000004</v>
      </c>
      <c r="CL145" s="382">
        <f>CL113+CL117</f>
        <v>165.70000000000005</v>
      </c>
      <c r="CM145" s="382">
        <f>CM113+CM117</f>
        <v>512.5</v>
      </c>
      <c r="CN145" s="382"/>
      <c r="CO145" s="382">
        <f>CO113+CO117</f>
        <v>104.99999999999997</v>
      </c>
      <c r="CP145" s="382">
        <f>CP113+CP117</f>
        <v>115.80000000000001</v>
      </c>
      <c r="CQ145" s="382">
        <f>CQ113+CQ117</f>
        <v>128.80000000000001</v>
      </c>
      <c r="CR145" s="382">
        <f>CR113+CR117</f>
        <v>160.89999999999998</v>
      </c>
      <c r="CS145" s="382">
        <f>CS113+CS117</f>
        <v>510.5</v>
      </c>
      <c r="CT145" s="382"/>
      <c r="CU145" s="382">
        <f>CU113+CU117</f>
        <v>127.79999999999998</v>
      </c>
      <c r="CV145" s="382">
        <f>CV113+CV117</f>
        <v>90.399999999999991</v>
      </c>
      <c r="CW145" s="382">
        <f>CW113+CW117</f>
        <v>140.60000000000002</v>
      </c>
      <c r="CX145" s="382">
        <f>CX113+CX117</f>
        <v>143.90000000000003</v>
      </c>
      <c r="CY145" s="382">
        <f>CY113+CY117</f>
        <v>502.70000000000005</v>
      </c>
      <c r="CZ145" s="382"/>
      <c r="DA145" s="382">
        <f>DA113+DA117</f>
        <v>198.3</v>
      </c>
      <c r="DB145" s="382">
        <f>DB113+DB117</f>
        <v>48.499999999999986</v>
      </c>
      <c r="DC145" s="382">
        <f>DC113+DC117</f>
        <v>78.200000000000045</v>
      </c>
      <c r="DD145" s="382">
        <f>DD113+DD117</f>
        <v>174.3</v>
      </c>
      <c r="DE145" s="382">
        <f>DE113+DE117</f>
        <v>499.3</v>
      </c>
      <c r="DF145" s="382"/>
      <c r="DG145" s="382">
        <f>DG113+DG117</f>
        <v>204.2</v>
      </c>
      <c r="DH145" s="382">
        <f>DH113+DH117</f>
        <v>79.100000000000023</v>
      </c>
      <c r="DI145" s="382">
        <f>DI113+DI117</f>
        <v>107.6</v>
      </c>
      <c r="DJ145" s="382">
        <f>DJ113+DJ117</f>
        <v>241.70000000000005</v>
      </c>
      <c r="DK145" s="382">
        <f>DK113+DK117</f>
        <v>632.6</v>
      </c>
      <c r="DL145" s="382"/>
      <c r="DM145" s="382">
        <f>DM113+DM117</f>
        <v>73.999999999999986</v>
      </c>
      <c r="DN145" s="382">
        <f>DN113+DN117</f>
        <v>59.900000000000006</v>
      </c>
      <c r="DO145" s="382">
        <f>DO113+DO117</f>
        <v>68.399999999999977</v>
      </c>
      <c r="DP145" s="382">
        <f>DP113+DP117</f>
        <v>139.30000000000001</v>
      </c>
      <c r="DQ145" s="382">
        <f>DQ113+DQ117</f>
        <v>341.6</v>
      </c>
      <c r="DR145" s="382"/>
      <c r="DS145" s="382">
        <f>DS113+DS117</f>
        <v>142.00000000000003</v>
      </c>
      <c r="DT145" s="382">
        <f>DT113+DT117</f>
        <v>-38.199999999999989</v>
      </c>
      <c r="DU145" s="382">
        <f>DU113+DU117</f>
        <v>-14.79999999999999</v>
      </c>
      <c r="DV145" s="382">
        <f>DV113+DV117</f>
        <v>4.699999999999946</v>
      </c>
      <c r="DW145" s="382">
        <f>DW113+DW117</f>
        <v>93.699999999999989</v>
      </c>
      <c r="DX145" s="382"/>
      <c r="DY145" s="382">
        <f>DY113+DY117</f>
        <v>36.600000000000058</v>
      </c>
      <c r="DZ145" s="382">
        <f>DZ113+DZ117</f>
        <v>-90.300000000000082</v>
      </c>
      <c r="EA145" s="382">
        <f>EA113+EA117</f>
        <v>-63.89999999999997</v>
      </c>
      <c r="EB145" s="382">
        <f>EB113+EB117</f>
        <v>67.800000000000026</v>
      </c>
      <c r="EC145" s="382">
        <f>EC113+EC117</f>
        <v>-49.800000000000026</v>
      </c>
      <c r="ED145" s="382"/>
      <c r="EE145" s="382">
        <f>EE113+EE117</f>
        <v>28.691759527772955</v>
      </c>
      <c r="EF145" s="382">
        <f>EF113+EF117</f>
        <v>65.046235550108776</v>
      </c>
      <c r="EG145" s="382">
        <f>EG113+EG117</f>
        <v>45.251856407230619</v>
      </c>
      <c r="EH145" s="382">
        <f>EH113+EH117</f>
        <v>399.08795922594214</v>
      </c>
      <c r="EI145" s="382">
        <f>EI113+EI117</f>
        <v>538.07781071105455</v>
      </c>
      <c r="EJ145" s="382"/>
      <c r="EK145" s="382">
        <f>EK113+EK117</f>
        <v>-4.3728856519404768</v>
      </c>
      <c r="EL145" s="382">
        <f>EL113+EL117</f>
        <v>230.58590222174803</v>
      </c>
      <c r="EM145" s="382">
        <f>EM113+EM117</f>
        <v>215.73874768307579</v>
      </c>
      <c r="EN145" s="382">
        <f>EN113+EN117</f>
        <v>677.10483466262167</v>
      </c>
      <c r="EO145" s="382">
        <f>EO113+EO117</f>
        <v>1119.056598915505</v>
      </c>
      <c r="EP145" s="382"/>
      <c r="EQ145" s="382">
        <f>EQ113+EQ117</f>
        <v>164.65505524934602</v>
      </c>
      <c r="ER145" s="382">
        <f>ER113+ER117</f>
        <v>309.8866173378417</v>
      </c>
      <c r="ES145" s="382">
        <f>ES113+ES117</f>
        <v>261.416639546304</v>
      </c>
      <c r="ET145" s="382">
        <f>ET113+ET117</f>
        <v>676.15017104118795</v>
      </c>
      <c r="EU145" s="382">
        <f>EU113+EU117</f>
        <v>1412.1084831746796</v>
      </c>
      <c r="EV145" s="45"/>
      <c r="EW145" s="45"/>
      <c r="FD145" s="45"/>
      <c r="FE145" s="45"/>
      <c r="FF145" s="45"/>
      <c r="FG145" s="45"/>
      <c r="FH145" s="45"/>
      <c r="FI145" s="45"/>
      <c r="FJ145" s="45"/>
      <c r="FK145" s="45"/>
      <c r="FL145" s="45"/>
      <c r="FM145" s="45"/>
      <c r="FN145" s="45"/>
      <c r="FO145" s="45"/>
      <c r="FP145" s="45"/>
    </row>
    <row r="146" spans="1:172" ht="11.25" customHeight="1">
      <c r="A146" s="1334"/>
      <c r="B146" s="428"/>
      <c r="C146" s="428"/>
      <c r="D146" s="428"/>
      <c r="E146" s="428"/>
      <c r="F146" s="428"/>
      <c r="G146" s="428"/>
      <c r="H146" s="428"/>
      <c r="I146" s="428"/>
      <c r="J146" s="428"/>
      <c r="K146" s="428"/>
      <c r="L146" s="428"/>
      <c r="M146" s="428"/>
      <c r="N146" s="428"/>
      <c r="O146" s="1335"/>
      <c r="P146" s="1335"/>
      <c r="Q146" s="1335"/>
      <c r="R146" s="1335"/>
      <c r="S146" s="1335"/>
      <c r="T146" s="1335"/>
      <c r="U146" s="1335"/>
      <c r="V146" s="1335"/>
      <c r="W146" s="1335"/>
      <c r="X146" s="1335"/>
      <c r="Y146" s="1335"/>
      <c r="Z146" s="1335"/>
      <c r="AA146" s="1335"/>
      <c r="AB146" s="1335"/>
      <c r="AC146" s="1335"/>
      <c r="AD146" s="1335"/>
      <c r="AE146" s="1335"/>
      <c r="AF146" s="1335"/>
      <c r="AG146" s="1335"/>
      <c r="AH146" s="1335"/>
      <c r="AI146" s="1335"/>
      <c r="AJ146" s="1335"/>
      <c r="AK146" s="1335"/>
      <c r="AL146" s="1335"/>
      <c r="AM146" s="1335"/>
      <c r="AN146" s="1335"/>
      <c r="AO146" s="1335"/>
      <c r="AP146" s="1335"/>
      <c r="AQ146" s="1335"/>
      <c r="AR146" s="382"/>
      <c r="AS146" s="1335"/>
      <c r="AT146" s="1335"/>
      <c r="AU146" s="1335"/>
      <c r="AV146" s="1335"/>
      <c r="AW146" s="1335"/>
      <c r="AX146" s="382"/>
      <c r="AY146" s="1335"/>
      <c r="AZ146" s="1335"/>
      <c r="BA146" s="1335"/>
      <c r="BB146" s="1335"/>
      <c r="BC146" s="1335"/>
      <c r="BD146" s="382"/>
      <c r="BE146" s="382"/>
      <c r="BF146" s="382"/>
      <c r="BG146" s="382"/>
      <c r="BH146" s="382"/>
      <c r="BI146" s="382"/>
      <c r="BJ146" s="382"/>
      <c r="BK146" s="382"/>
      <c r="BL146" s="382"/>
      <c r="BM146" s="382"/>
      <c r="BN146" s="382"/>
      <c r="BO146" s="1409"/>
      <c r="BP146" s="382"/>
      <c r="BQ146" s="382"/>
      <c r="BR146" s="382"/>
      <c r="BS146" s="382"/>
      <c r="BT146" s="382"/>
      <c r="BU146" s="1409"/>
      <c r="BV146" s="382"/>
      <c r="BW146" s="382"/>
      <c r="BX146" s="382"/>
      <c r="BY146" s="382"/>
      <c r="BZ146" s="382"/>
      <c r="CA146" s="1409"/>
      <c r="CB146" s="382"/>
      <c r="CC146" s="382"/>
      <c r="CD146" s="382"/>
      <c r="CE146" s="382"/>
      <c r="CF146" s="382"/>
      <c r="CG146" s="1409"/>
      <c r="CH146" s="382"/>
      <c r="CI146" s="1410"/>
      <c r="CJ146" s="1410"/>
      <c r="CK146" s="1410"/>
      <c r="CL146" s="1410"/>
      <c r="CM146" s="1410">
        <f>CM145/CG145-1</f>
        <v>1.4663137632338787</v>
      </c>
      <c r="CN146" s="382"/>
      <c r="CO146" s="1410">
        <f>CO145/CI145-1</f>
        <v>-0.21230307576894236</v>
      </c>
      <c r="CP146" s="1410">
        <f>CP145/CJ145-1</f>
        <v>9.0395480225988978E-2</v>
      </c>
      <c r="CQ146" s="1410">
        <f>CQ145/CK145-1</f>
        <v>0.20037278657968272</v>
      </c>
      <c r="CR146" s="1410">
        <f>CR145/CL145-1</f>
        <v>-2.8968014484007654E-2</v>
      </c>
      <c r="CS146" s="1705">
        <f>CS145/CM145-1</f>
        <v>-3.9024390243902474E-3</v>
      </c>
      <c r="CT146" s="382"/>
      <c r="CU146" s="1410">
        <f>CU145/CO145-1</f>
        <v>0.2171428571428573</v>
      </c>
      <c r="CV146" s="1410">
        <f>CV145/CP145-1</f>
        <v>-0.21934369602763404</v>
      </c>
      <c r="CW146" s="1410">
        <f>CW145/CQ145-1</f>
        <v>9.1614906832298226E-2</v>
      </c>
      <c r="CX146" s="1410">
        <f>CX145/CR145-1</f>
        <v>-0.10565568676196357</v>
      </c>
      <c r="CY146" s="1410">
        <f>CY145/CS145-1</f>
        <v>-1.5279138099902001E-2</v>
      </c>
      <c r="CZ146" s="382"/>
      <c r="DA146" s="1410">
        <f>DA145/CU145-1</f>
        <v>0.55164319248826321</v>
      </c>
      <c r="DB146" s="1410">
        <f>DB145/CV145-1</f>
        <v>-0.46349557522123908</v>
      </c>
      <c r="DC146" s="1410">
        <f>DC145/CW145-1</f>
        <v>-0.44381223328591723</v>
      </c>
      <c r="DD146" s="1410">
        <f>DD145/CX145-1</f>
        <v>0.21125781792911713</v>
      </c>
      <c r="DE146" s="1410">
        <f>DE145/CY145-1</f>
        <v>-6.7634772229958617E-3</v>
      </c>
      <c r="DF146" s="382"/>
      <c r="DG146" s="1410">
        <f>DG145/DA145-1</f>
        <v>2.9752899646999342E-2</v>
      </c>
      <c r="DH146" s="1410">
        <f>DH145/DB145-1</f>
        <v>0.63092783505154726</v>
      </c>
      <c r="DI146" s="1410">
        <f>DI145/DC145-1</f>
        <v>0.3759590792838865</v>
      </c>
      <c r="DJ146" s="1410">
        <f>DJ145/DD145-1</f>
        <v>0.38668961560527837</v>
      </c>
      <c r="DK146" s="1410">
        <f>DK145/DE145-1</f>
        <v>0.26697376326857603</v>
      </c>
      <c r="DL146" s="382"/>
      <c r="DM146" s="1410">
        <f>DM145/DG145-1</f>
        <v>-0.63761018609206666</v>
      </c>
      <c r="DN146" s="1410"/>
      <c r="DO146" s="382"/>
      <c r="DP146" s="382"/>
      <c r="DQ146" s="1410">
        <f>DQ145/DK145-1</f>
        <v>-0.46000632311097056</v>
      </c>
      <c r="DR146" s="382"/>
      <c r="DS146" s="382"/>
      <c r="DT146" s="382"/>
      <c r="DU146" s="382"/>
      <c r="DV146" s="382"/>
      <c r="DW146" s="1410">
        <f>DW145/DQ145-1</f>
        <v>-0.72570257611241229</v>
      </c>
      <c r="DX146" s="382"/>
      <c r="DY146" s="382"/>
      <c r="DZ146" s="382"/>
      <c r="EA146" s="382"/>
      <c r="EB146" s="382"/>
      <c r="EC146" s="1410">
        <f>EC145/DW145-1</f>
        <v>-1.531483457844184</v>
      </c>
      <c r="ED146" s="382"/>
      <c r="EE146" s="382"/>
      <c r="EF146" s="382"/>
      <c r="EG146" s="382"/>
      <c r="EH146" s="382"/>
      <c r="EI146" s="1410">
        <f>EI145/EC145-1</f>
        <v>-11.804775315483017</v>
      </c>
      <c r="EJ146" s="382"/>
      <c r="EK146" s="382"/>
      <c r="EL146" s="382"/>
      <c r="EM146" s="382"/>
      <c r="EN146" s="382"/>
      <c r="EO146" s="1410">
        <f>EO145/EI145-1</f>
        <v>1.0797300625288813</v>
      </c>
      <c r="EP146" s="382"/>
      <c r="EQ146" s="382"/>
      <c r="ER146" s="382"/>
      <c r="ES146" s="382"/>
      <c r="ET146" s="382"/>
      <c r="EU146" s="1410">
        <f>EU145/EO145-1</f>
        <v>0.26187405046641588</v>
      </c>
      <c r="EV146" s="45"/>
      <c r="EW146" s="45"/>
      <c r="FD146" s="45"/>
      <c r="FE146" s="45"/>
      <c r="FF146" s="45"/>
      <c r="FG146" s="45"/>
      <c r="FH146" s="45"/>
      <c r="FI146" s="45"/>
      <c r="FJ146" s="45"/>
      <c r="FK146" s="45"/>
      <c r="FL146" s="45"/>
      <c r="FM146" s="45"/>
      <c r="FN146" s="45"/>
      <c r="FO146" s="45"/>
      <c r="FP146" s="45"/>
    </row>
    <row r="147" spans="1:172" ht="12.75" customHeight="1">
      <c r="A147" s="1334" t="s">
        <v>3809</v>
      </c>
      <c r="B147" s="428"/>
      <c r="C147" s="428"/>
      <c r="D147" s="428"/>
      <c r="E147" s="428"/>
      <c r="F147" s="428"/>
      <c r="G147" s="428"/>
      <c r="H147" s="428"/>
      <c r="I147" s="428"/>
      <c r="J147" s="428"/>
      <c r="K147" s="428"/>
      <c r="L147" s="428"/>
      <c r="M147" s="428"/>
      <c r="N147" s="428"/>
      <c r="O147" s="1335"/>
      <c r="P147" s="1335"/>
      <c r="Q147" s="1335"/>
      <c r="R147" s="1335"/>
      <c r="S147" s="1335"/>
      <c r="T147" s="1335"/>
      <c r="U147" s="1335"/>
      <c r="V147" s="1335"/>
      <c r="W147" s="1335"/>
      <c r="X147" s="1335"/>
      <c r="Y147" s="1335"/>
      <c r="Z147" s="1335"/>
      <c r="AA147" s="1335"/>
      <c r="AB147" s="1335"/>
      <c r="AC147" s="1335"/>
      <c r="AD147" s="1335"/>
      <c r="AE147" s="1335"/>
      <c r="AF147" s="1335"/>
      <c r="AG147" s="1335"/>
      <c r="AH147" s="1335"/>
      <c r="AI147" s="1335"/>
      <c r="AJ147" s="1335"/>
      <c r="AK147" s="1335"/>
      <c r="AL147" s="1335"/>
      <c r="AM147" s="1335"/>
      <c r="AN147" s="1335"/>
      <c r="AO147" s="1335"/>
      <c r="AP147" s="1335"/>
      <c r="AQ147" s="1335"/>
      <c r="AR147" s="382"/>
      <c r="AS147" s="1335"/>
      <c r="AT147" s="1335"/>
      <c r="AU147" s="1335"/>
      <c r="AV147" s="1335"/>
      <c r="AW147" s="1335"/>
      <c r="AX147" s="382"/>
      <c r="AY147" s="1335"/>
      <c r="AZ147" s="1335"/>
      <c r="BA147" s="1335"/>
      <c r="BB147" s="1335"/>
      <c r="BC147" s="1335"/>
      <c r="BD147" s="382"/>
      <c r="BE147" s="382"/>
      <c r="BF147" s="382"/>
      <c r="BG147" s="382"/>
      <c r="BH147" s="382"/>
      <c r="BI147" s="382"/>
      <c r="BJ147" s="382"/>
      <c r="BK147" s="382"/>
      <c r="BL147" s="382"/>
      <c r="BM147" s="382"/>
      <c r="BN147" s="382"/>
      <c r="BO147" s="1410">
        <f>-BO129/BO145</f>
        <v>0.28523923886938851</v>
      </c>
      <c r="BP147" s="382"/>
      <c r="BQ147" s="1410">
        <f>-BQ129/BQ145</f>
        <v>0</v>
      </c>
      <c r="BR147" s="1410">
        <f>-BR129/BR145</f>
        <v>2.5966453674121399</v>
      </c>
      <c r="BS147" s="1410">
        <f>-BS129/BS145</f>
        <v>0.92021276595744694</v>
      </c>
      <c r="BT147" s="1410">
        <f>-BT129/BT145</f>
        <v>0.48583984375000006</v>
      </c>
      <c r="BU147" s="1410">
        <f>-BU129/BU145</f>
        <v>0.84636199639206244</v>
      </c>
      <c r="BV147" s="382"/>
      <c r="BW147" s="1410">
        <f>-BW129/BW145</f>
        <v>1.4921465968586389</v>
      </c>
      <c r="BX147" s="1410">
        <f>-BX129/BX145</f>
        <v>5.3050397877996136E-4</v>
      </c>
      <c r="BY147" s="1410">
        <f>-BY129/BY145</f>
        <v>0</v>
      </c>
      <c r="BZ147" s="1410">
        <f>-BZ129/BZ145</f>
        <v>0</v>
      </c>
      <c r="CA147" s="1410">
        <f>-CA129/CA145</f>
        <v>0.49778846899976725</v>
      </c>
      <c r="CB147" s="382"/>
      <c r="CC147" s="1410">
        <f>-CC129/CC145</f>
        <v>0</v>
      </c>
      <c r="CD147" s="1410">
        <f>-CD129/CD145</f>
        <v>0</v>
      </c>
      <c r="CE147" s="1410">
        <f>-CE129/CE145</f>
        <v>0.96568627450980349</v>
      </c>
      <c r="CF147" s="1410">
        <f>-CF129/CF145</f>
        <v>0.2037671232876713</v>
      </c>
      <c r="CG147" s="1410">
        <f>-CG129/CG145</f>
        <v>0.30413859480269495</v>
      </c>
      <c r="CH147" s="382"/>
      <c r="CI147" s="1410">
        <f>-CI129/CI145</f>
        <v>0.44111027756939236</v>
      </c>
      <c r="CJ147" s="1410">
        <f>-CJ129/CJ145</f>
        <v>0.66290018832391717</v>
      </c>
      <c r="CK147" s="1410">
        <f>-CK129/CK145</f>
        <v>0.69804287045666336</v>
      </c>
      <c r="CL147" s="1410">
        <f>-CL129/CL145</f>
        <v>0.45986722993361495</v>
      </c>
      <c r="CM147" s="1410">
        <f>-CM129/CM145</f>
        <v>0.54692682926829272</v>
      </c>
      <c r="CN147" s="382"/>
      <c r="CO147" s="1410">
        <f>-CO129/CO145</f>
        <v>0.65333333333333343</v>
      </c>
      <c r="CP147" s="1410">
        <f>-CP129/CP145</f>
        <v>0.8704663212435233</v>
      </c>
      <c r="CQ147" s="1410">
        <f>-CQ129/CQ145</f>
        <v>0.73214285714285698</v>
      </c>
      <c r="CR147" s="1410">
        <f>-CR129/CR145</f>
        <v>0.39589807333747667</v>
      </c>
      <c r="CS147" s="1410">
        <f>-CS129/CS145</f>
        <v>0.64133202742409401</v>
      </c>
      <c r="CT147" s="382"/>
      <c r="CU147" s="1410">
        <f>-CU129/CU145</f>
        <v>0.77621283255086082</v>
      </c>
      <c r="CV147" s="1410">
        <f>-CV129/CV145</f>
        <v>1.2289823008849559</v>
      </c>
      <c r="CW147" s="1410">
        <f>-CW129/CW145</f>
        <v>0.92603129445234689</v>
      </c>
      <c r="CX147" s="1410">
        <f>-CX129/CX145</f>
        <v>0.63029881862404424</v>
      </c>
      <c r="CY147" s="1410">
        <f>-CY129/CY145</f>
        <v>0.85776805251641131</v>
      </c>
      <c r="CZ147" s="382"/>
      <c r="DA147" s="1410">
        <f>-DA129/DA145</f>
        <v>0.65153807362581939</v>
      </c>
      <c r="DB147" s="1410">
        <f>-DB129/DB145</f>
        <v>2.2804123711340218</v>
      </c>
      <c r="DC147" s="1410">
        <f>-DC129/DC145</f>
        <v>1.0089514066496155</v>
      </c>
      <c r="DD147" s="1410">
        <f>-DD129/DD145</f>
        <v>0.60298336201950664</v>
      </c>
      <c r="DE147" s="1410">
        <f>-DE129/DE145</f>
        <v>0.84878830362507507</v>
      </c>
      <c r="DF147" s="382"/>
      <c r="DG147" s="1410">
        <f>-DG129/DG145</f>
        <v>0.50195886385896182</v>
      </c>
      <c r="DH147" s="1410">
        <f>-DH129/DH145</f>
        <v>1.2869785082174461</v>
      </c>
      <c r="DI147" s="1410">
        <f>-DI129/DI145</f>
        <v>0.96003717472118977</v>
      </c>
      <c r="DJ147" s="1410">
        <f>-DJ129/DJ145</f>
        <v>0.2681009515928835</v>
      </c>
      <c r="DK147" s="1410">
        <f>-DK129/DK145</f>
        <v>0.58868163136263041</v>
      </c>
      <c r="DL147" s="382"/>
      <c r="DM147" s="1410">
        <f>-DM129/DM145</f>
        <v>1.2891891891891896</v>
      </c>
      <c r="DN147" s="1410">
        <f>-DN129/DN145</f>
        <v>1.8747913188647742</v>
      </c>
      <c r="DO147" s="1410">
        <f>-DO129/DO145</f>
        <v>2.1929824561403515</v>
      </c>
      <c r="DP147" s="1410">
        <f>-DP129/DP145</f>
        <v>1.0904522613065328</v>
      </c>
      <c r="DQ147" s="1410">
        <f>-DQ129/DQ145</f>
        <v>1.4918032786885245</v>
      </c>
      <c r="DR147" s="382"/>
      <c r="DS147" s="1410">
        <f>-DS129/DS145</f>
        <v>0.83380281690140823</v>
      </c>
      <c r="DT147" s="1410">
        <f>-DT129/DT145</f>
        <v>-3.9685863874345566</v>
      </c>
      <c r="DU147" s="1410">
        <f>-DU129/DU145</f>
        <v>-8.6216216216216282</v>
      </c>
      <c r="DV147" s="1410">
        <f>-DV129/DV145</f>
        <v>63.893617021277343</v>
      </c>
      <c r="DW147" s="1410">
        <f>-DW129/DW145</f>
        <v>7.4482390608324458</v>
      </c>
      <c r="DX147" s="382"/>
      <c r="DY147" s="1410">
        <f>-DY129/DY145</f>
        <v>5.3524590163934347</v>
      </c>
      <c r="DZ147" s="1410">
        <f>-DZ129/DZ145</f>
        <v>-1.3211517165005524</v>
      </c>
      <c r="EA147" s="1410">
        <f>-EA129/EA145</f>
        <v>-1.9201877934272307</v>
      </c>
      <c r="EB147" s="1410">
        <f>-EB129/EB145</f>
        <v>3.85103244837758</v>
      </c>
      <c r="EC147" s="1410">
        <f>-EC129/EC145</f>
        <v>-14.036144578313246</v>
      </c>
      <c r="ED147" s="382"/>
      <c r="EE147" s="1410">
        <f>-EE129/EE145</f>
        <v>6.9829203933392927</v>
      </c>
      <c r="EF147" s="1410">
        <f>-EF129/EF145</f>
        <v>3.080151695680069</v>
      </c>
      <c r="EG147" s="1410">
        <f>-EG129/EG145</f>
        <v>4.4274928949712473</v>
      </c>
      <c r="EH147" s="1410">
        <f>-EH129/EH145</f>
        <v>0.50202535079201438</v>
      </c>
      <c r="EI147" s="1410">
        <f>-EI129/EI145</f>
        <v>1.4893925654545233</v>
      </c>
      <c r="EJ147" s="382"/>
      <c r="EK147" s="1410">
        <f>-EK129/EK145</f>
        <v>-51.544066037528729</v>
      </c>
      <c r="EL147" s="1410">
        <f>-EL129/EL145</f>
        <v>0.97749387385107556</v>
      </c>
      <c r="EM147" s="1410">
        <f>-EM129/EM145</f>
        <v>1.0447650653339902</v>
      </c>
      <c r="EN147" s="1410">
        <f>-EN129/EN145</f>
        <v>0.33288243604181189</v>
      </c>
      <c r="EO147" s="1410">
        <f>-EO129/EO145</f>
        <v>0.8056654401095239</v>
      </c>
      <c r="EP147" s="382"/>
      <c r="EQ147" s="1410">
        <f>-EQ129/EQ145</f>
        <v>1.5400125115287748</v>
      </c>
      <c r="ER147" s="1410">
        <f>-ER129/ER145</f>
        <v>0.81826975088120335</v>
      </c>
      <c r="ES147" s="1410">
        <f>-ES129/ES145</f>
        <v>0.96998739487484031</v>
      </c>
      <c r="ET147" s="1410">
        <f>-ET129/ET145</f>
        <v>0.37502149083240882</v>
      </c>
      <c r="EU147" s="1410">
        <f>-EU129/EU145</f>
        <v>0.71827582141672464</v>
      </c>
      <c r="EV147" s="45"/>
      <c r="EW147" s="45"/>
      <c r="FD147" s="45"/>
      <c r="FE147" s="45"/>
      <c r="FF147" s="45"/>
      <c r="FG147" s="45"/>
      <c r="FH147" s="45"/>
      <c r="FI147" s="45"/>
      <c r="FJ147" s="45"/>
      <c r="FK147" s="45"/>
      <c r="FL147" s="45"/>
      <c r="FM147" s="45"/>
      <c r="FN147" s="45"/>
      <c r="FO147" s="45"/>
      <c r="FP147" s="45"/>
    </row>
    <row r="148" spans="1:172" ht="12.75" customHeight="1">
      <c r="A148" s="1334" t="s">
        <v>90</v>
      </c>
      <c r="B148" s="428"/>
      <c r="C148" s="428"/>
      <c r="D148" s="428"/>
      <c r="E148" s="428"/>
      <c r="F148" s="428"/>
      <c r="G148" s="428"/>
      <c r="H148" s="428"/>
      <c r="I148" s="428"/>
      <c r="J148" s="428"/>
      <c r="K148" s="428"/>
      <c r="L148" s="428"/>
      <c r="M148" s="428"/>
      <c r="N148" s="428"/>
      <c r="O148" s="1335"/>
      <c r="P148" s="1335"/>
      <c r="Q148" s="1335"/>
      <c r="R148" s="1335"/>
      <c r="S148" s="1335"/>
      <c r="T148" s="1335"/>
      <c r="U148" s="1335"/>
      <c r="V148" s="1335"/>
      <c r="W148" s="1335"/>
      <c r="X148" s="1335"/>
      <c r="Y148" s="1335"/>
      <c r="Z148" s="1335"/>
      <c r="AA148" s="1335"/>
      <c r="AB148" s="1335"/>
      <c r="AC148" s="1335"/>
      <c r="AD148" s="1335"/>
      <c r="AE148" s="1335"/>
      <c r="AF148" s="1335"/>
      <c r="AG148" s="1335"/>
      <c r="AH148" s="1335"/>
      <c r="AI148" s="1335"/>
      <c r="AJ148" s="1335"/>
      <c r="AK148" s="1335"/>
      <c r="AL148" s="1335"/>
      <c r="AM148" s="1335"/>
      <c r="AN148" s="1335"/>
      <c r="AO148" s="1335"/>
      <c r="AP148" s="1335"/>
      <c r="AQ148" s="1335"/>
      <c r="AR148" s="382"/>
      <c r="AS148" s="1335"/>
      <c r="AT148" s="1335"/>
      <c r="AU148" s="1335"/>
      <c r="AV148" s="1335"/>
      <c r="AW148" s="1335"/>
      <c r="AX148" s="382"/>
      <c r="AY148" s="1335"/>
      <c r="AZ148" s="1335"/>
      <c r="BA148" s="1335"/>
      <c r="BB148" s="1335"/>
      <c r="BC148" s="1335"/>
      <c r="BD148" s="382"/>
      <c r="BE148" s="382"/>
      <c r="BF148" s="382"/>
      <c r="BG148" s="382"/>
      <c r="BH148" s="382"/>
      <c r="BI148" s="382"/>
      <c r="BJ148" s="382"/>
      <c r="BK148" s="382"/>
      <c r="BL148" s="382"/>
      <c r="BM148" s="382"/>
      <c r="BN148" s="382"/>
      <c r="BO148" s="1409">
        <f>BO145+BO129</f>
        <v>386.9</v>
      </c>
      <c r="BP148" s="382"/>
      <c r="BQ148" s="1409">
        <f>BQ145+BQ129</f>
        <v>184.8</v>
      </c>
      <c r="BR148" s="1409">
        <f>BR145+BR129</f>
        <v>-199.89999999999998</v>
      </c>
      <c r="BS148" s="1409">
        <f>BS145+BS129</f>
        <v>11.999999999999972</v>
      </c>
      <c r="BT148" s="1409">
        <f>BT145+BT129</f>
        <v>105.29999999999998</v>
      </c>
      <c r="BU148" s="1409">
        <f>BU145+BU129</f>
        <v>102.20000000000005</v>
      </c>
      <c r="BV148" s="382"/>
      <c r="BW148" s="1409">
        <f>BW145+BW129</f>
        <v>-84.600000000000023</v>
      </c>
      <c r="BX148" s="1409">
        <f>BX145+BX129</f>
        <v>188.4</v>
      </c>
      <c r="BY148" s="1409">
        <f>BY145+BY129</f>
        <v>87.999999999999972</v>
      </c>
      <c r="BZ148" s="1409">
        <f>BZ145+BZ129</f>
        <v>67.080000000000013</v>
      </c>
      <c r="CA148" s="1409">
        <f>CA145+CA129</f>
        <v>258.88</v>
      </c>
      <c r="CB148" s="382"/>
      <c r="CC148" s="1409">
        <f>CC145+CC129</f>
        <v>13.6</v>
      </c>
      <c r="CD148" s="1409">
        <f>CD145+CD129</f>
        <v>36.59999999999998</v>
      </c>
      <c r="CE148" s="1409">
        <f>CE145+CE129</f>
        <v>1.4000000000000199</v>
      </c>
      <c r="CF148" s="1409">
        <f>CF145+CF129</f>
        <v>92.999999999999972</v>
      </c>
      <c r="CG148" s="1409">
        <f>CG145+CG129</f>
        <v>144.59999999999997</v>
      </c>
      <c r="CH148" s="382"/>
      <c r="CI148" s="1409">
        <f>CI145+CI129</f>
        <v>74.499999999999986</v>
      </c>
      <c r="CJ148" s="1409">
        <f>CJ145+CJ129</f>
        <v>35.799999999999983</v>
      </c>
      <c r="CK148" s="1409">
        <f>CK145+CK129</f>
        <v>32.400000000000034</v>
      </c>
      <c r="CL148" s="1409">
        <f>CL145+CL129</f>
        <v>89.500000000000028</v>
      </c>
      <c r="CM148" s="1409">
        <f>CM145+CM129</f>
        <v>232.2</v>
      </c>
      <c r="CN148" s="382"/>
      <c r="CO148" s="1409">
        <f>CO145+CO129</f>
        <v>36.399999999999977</v>
      </c>
      <c r="CP148" s="1409">
        <f>CP145+CP129</f>
        <v>15</v>
      </c>
      <c r="CQ148" s="1409">
        <f>CQ145+CQ129</f>
        <v>34.500000000000028</v>
      </c>
      <c r="CR148" s="1409">
        <f>CR145+CR129</f>
        <v>97.199999999999989</v>
      </c>
      <c r="CS148" s="1409">
        <f>CS145+CS129</f>
        <v>183.10000000000002</v>
      </c>
      <c r="CT148" s="382"/>
      <c r="CU148" s="1409">
        <f>CU145+CU129</f>
        <v>28.59999999999998</v>
      </c>
      <c r="CV148" s="1409">
        <f>CV145+CV129</f>
        <v>-20.700000000000017</v>
      </c>
      <c r="CW148" s="1409">
        <f>CW145+CW129</f>
        <v>10.400000000000034</v>
      </c>
      <c r="CX148" s="1409">
        <f>CX145+CX129</f>
        <v>53.200000000000045</v>
      </c>
      <c r="CY148" s="1409">
        <f>CY145+CY129</f>
        <v>71.500000000000057</v>
      </c>
      <c r="CZ148" s="382"/>
      <c r="DA148" s="1409">
        <f>DA145+DA129</f>
        <v>69.100000000000023</v>
      </c>
      <c r="DB148" s="1409">
        <f>DB145+DB129</f>
        <v>-62.100000000000037</v>
      </c>
      <c r="DC148" s="1409">
        <f>DC145+DC129</f>
        <v>-0.69999999999993179</v>
      </c>
      <c r="DD148" s="1409">
        <f>DD145+DD129</f>
        <v>69.199999999999989</v>
      </c>
      <c r="DE148" s="1409">
        <f>DE145+DE129</f>
        <v>75.5</v>
      </c>
      <c r="DF148" s="382"/>
      <c r="DG148" s="1409">
        <f>DG145+DG129</f>
        <v>101.69999999999999</v>
      </c>
      <c r="DH148" s="1409">
        <f>DH145+DH129</f>
        <v>-22.699999999999989</v>
      </c>
      <c r="DI148" s="1409">
        <f>DI145+DI129</f>
        <v>4.2999999999999829</v>
      </c>
      <c r="DJ148" s="1409">
        <f>DJ145+DJ129</f>
        <v>176.90000000000009</v>
      </c>
      <c r="DK148" s="1409">
        <f>DK145+DK129</f>
        <v>260.20000000000005</v>
      </c>
      <c r="DL148" s="382"/>
      <c r="DM148" s="1409">
        <f>DM145+DM129</f>
        <v>-21.40000000000002</v>
      </c>
      <c r="DN148" s="1409">
        <f>DN145+DN129</f>
        <v>-52.399999999999977</v>
      </c>
      <c r="DO148" s="1409">
        <f>DO145+DO129</f>
        <v>-81.600000000000023</v>
      </c>
      <c r="DP148" s="1409">
        <f>DP145+DP129</f>
        <v>-12.600000000000023</v>
      </c>
      <c r="DQ148" s="1409">
        <f>DQ145+DQ129</f>
        <v>-168</v>
      </c>
      <c r="DR148" s="382"/>
      <c r="DS148" s="1409">
        <f>DS145+DS129</f>
        <v>23.600000000000037</v>
      </c>
      <c r="DT148" s="1409">
        <f>DT145+DT129</f>
        <v>-189.8</v>
      </c>
      <c r="DU148" s="1409">
        <f>DU145+DU129</f>
        <v>-142.4</v>
      </c>
      <c r="DV148" s="1409">
        <f>DV145+DV129</f>
        <v>-295.60000000000014</v>
      </c>
      <c r="DW148" s="1409">
        <f>DW145+DW129</f>
        <v>-604.20000000000005</v>
      </c>
      <c r="DX148" s="382"/>
      <c r="DY148" s="1409">
        <f>DY145+DY129</f>
        <v>-159.29999999999995</v>
      </c>
      <c r="DZ148" s="1409">
        <f>DZ145+DZ129</f>
        <v>-209.60000000000008</v>
      </c>
      <c r="EA148" s="1409">
        <f>EA145+EA129</f>
        <v>-186.59999999999997</v>
      </c>
      <c r="EB148" s="1409">
        <f>EB145+EB129</f>
        <v>-193.3</v>
      </c>
      <c r="EC148" s="1409">
        <f>EC145+EC129</f>
        <v>-748.80000000000007</v>
      </c>
      <c r="ED148" s="382"/>
      <c r="EE148" s="1409">
        <f>EE145+EE129</f>
        <v>-171.66051319949977</v>
      </c>
      <c r="EF148" s="1409">
        <f>EF145+EF129</f>
        <v>-135.30603717716394</v>
      </c>
      <c r="EG148" s="1409">
        <f>EG145+EG129</f>
        <v>-155.10041632004209</v>
      </c>
      <c r="EH148" s="1409">
        <f>EH145+EH129</f>
        <v>198.73568649866939</v>
      </c>
      <c r="EI148" s="1409">
        <f>EI145+EI129</f>
        <v>-263.33128019803632</v>
      </c>
      <c r="EJ148" s="382"/>
      <c r="EK148" s="1409">
        <f>EK145+EK129</f>
        <v>-229.76919247012228</v>
      </c>
      <c r="EL148" s="1409">
        <f>EL145+EL129</f>
        <v>5.1895954035662157</v>
      </c>
      <c r="EM148" s="1409">
        <f>EM145+EM129</f>
        <v>-9.6575591351060837</v>
      </c>
      <c r="EN148" s="1409">
        <f>EN145+EN129</f>
        <v>451.70852784443991</v>
      </c>
      <c r="EO148" s="1409">
        <f>EO145+EO129</f>
        <v>217.47137164277774</v>
      </c>
      <c r="EP148" s="382"/>
      <c r="EQ148" s="1409">
        <f>EQ145+EQ129</f>
        <v>-88.915789921108512</v>
      </c>
      <c r="ER148" s="1409">
        <f>ER145+ER129</f>
        <v>56.315772167387166</v>
      </c>
      <c r="ES148" s="1409">
        <f>ES145+ES129</f>
        <v>7.8457943758494366</v>
      </c>
      <c r="ET148" s="1409">
        <f>ET145+ET129</f>
        <v>422.57932587073344</v>
      </c>
      <c r="EU148" s="1409">
        <f>EU145+EU129</f>
        <v>397.82510249286145</v>
      </c>
      <c r="EV148" s="45"/>
      <c r="EW148" s="45"/>
      <c r="FD148" s="45"/>
      <c r="FE148" s="45"/>
      <c r="FF148" s="45"/>
      <c r="FG148" s="45"/>
      <c r="FH148" s="45"/>
      <c r="FI148" s="45"/>
      <c r="FJ148" s="45"/>
      <c r="FK148" s="45"/>
      <c r="FL148" s="45"/>
      <c r="FM148" s="45"/>
      <c r="FN148" s="45"/>
      <c r="FO148" s="45"/>
      <c r="FP148" s="45"/>
    </row>
    <row r="149" spans="1:172">
      <c r="A149" s="82" t="s">
        <v>5651</v>
      </c>
      <c r="B149" s="653"/>
      <c r="C149" s="653"/>
      <c r="D149" s="653"/>
      <c r="E149" s="653"/>
      <c r="F149" s="653"/>
      <c r="G149" s="653"/>
      <c r="H149" s="653"/>
      <c r="I149" s="653"/>
      <c r="J149" s="653"/>
      <c r="K149" s="653"/>
      <c r="L149" s="653"/>
      <c r="M149" s="653"/>
      <c r="N149" s="654"/>
      <c r="O149" s="655" t="str">
        <f>IF(ROUND(O143,1)=ROUND(BS!O9,1),"cool","not cool")</f>
        <v>not cool</v>
      </c>
      <c r="P149" s="655" t="str">
        <f>IF(ROUND(P143,1)=ROUND(BS!P9,1),"cool","not cool")</f>
        <v>not cool</v>
      </c>
      <c r="Q149" s="655" t="str">
        <f>IF(ROUND(Q143,1)=ROUND(BS!Q9,1),"cool","not cool")</f>
        <v>not cool</v>
      </c>
      <c r="R149" s="655" t="str">
        <f>IF(ROUND(R143,1)=ROUND(BS!R9,1),"cool","not cool")</f>
        <v>not cool</v>
      </c>
      <c r="S149" s="655" t="str">
        <f>IF(ROUND(S143,1)=ROUND(BS!S9,1),"cool","not cool")</f>
        <v>not cool</v>
      </c>
      <c r="T149" s="654"/>
      <c r="U149" s="655" t="str">
        <f>IF(ROUND(U143,1)=ROUND(BS!U9,1),"cool","not cool")</f>
        <v>not cool</v>
      </c>
      <c r="V149" s="655" t="str">
        <f>IF(ROUND(V143,1)=ROUND(BS!V9,1),"cool","not cool")</f>
        <v>not cool</v>
      </c>
      <c r="W149" s="655" t="str">
        <f>IF(ROUND(W143,1)=ROUND(BS!W9,1),"cool","not cool")</f>
        <v>not cool</v>
      </c>
      <c r="X149" s="655" t="str">
        <f>IF(ROUND(X143,1)=ROUND(BS!X9,1),"cool","not cool")</f>
        <v>not cool</v>
      </c>
      <c r="Y149" s="655" t="str">
        <f>IF(ROUND(Y143,1)=ROUND(BS!Y9,1),"cool","not cool")</f>
        <v>not cool</v>
      </c>
      <c r="Z149" s="654"/>
      <c r="AA149" s="655" t="str">
        <f>IF(AA143=BS!AA9,"cool","not cool")</f>
        <v>not cool</v>
      </c>
      <c r="AB149" s="655" t="str">
        <f>IF(ROUND(AB143,2)=ROUND(BS!AB9,2),"cool","not cool")</f>
        <v>not cool</v>
      </c>
      <c r="AC149" s="655" t="str">
        <f>IF(ROUND(AC143,2)=ROUND(BS!AC9,2),"cool","not cool")</f>
        <v>not cool</v>
      </c>
      <c r="AD149" s="655" t="str">
        <f>IF(ROUND(AD143,2)=ROUND(BS!AD9,2),"cool","not cool")</f>
        <v>not cool</v>
      </c>
      <c r="AE149" s="655" t="str">
        <f>IF(ROUND(AE143,2)=ROUND(BS!AE9,2),"cool","not cool")</f>
        <v>not cool</v>
      </c>
      <c r="AF149" s="654"/>
      <c r="AG149" s="655" t="str">
        <f>IF(AG143=BS!AG9,"cool","not cool")</f>
        <v>cool</v>
      </c>
      <c r="AH149" s="655" t="str">
        <f>IF(AH143=BS!AH9,"cool","not cool")</f>
        <v>cool</v>
      </c>
      <c r="AI149" s="655" t="str">
        <f>IF(AI143=BS!AI9,"cool","not cool")</f>
        <v>cool</v>
      </c>
      <c r="AJ149" s="655" t="str">
        <f>IF(AJ143=BS!AJ9,"cool","not cool")</f>
        <v>cool</v>
      </c>
      <c r="AK149" s="655" t="str">
        <f>IF(AK143=BS!AK9,"cool","not cool")</f>
        <v>cool</v>
      </c>
      <c r="AL149" s="654"/>
      <c r="AM149" s="655" t="str">
        <f>IF(AM143=BS!AM9,"cool","not cool")</f>
        <v>cool</v>
      </c>
      <c r="AN149" s="655" t="str">
        <f>IF(AN143=BS!AN9,"cool","not cool")</f>
        <v>cool</v>
      </c>
      <c r="AO149" s="655" t="str">
        <f>IF(AO143=BS!AO9,"cool","not cool")</f>
        <v>cool</v>
      </c>
      <c r="AP149" s="655" t="str">
        <f>IF(AP143=BS!AP9,"cool","not cool")</f>
        <v>cool</v>
      </c>
      <c r="AQ149" s="655" t="str">
        <f>IF(AQ143=BS!AQ9,"cool","not cool")</f>
        <v>cool</v>
      </c>
      <c r="AR149" s="654"/>
      <c r="AS149" s="655" t="str">
        <f>IF(AS143=BS!AS9,"cool","not cool")</f>
        <v>cool</v>
      </c>
      <c r="AT149" s="655" t="str">
        <f>IF(AT143=BS!AT9,"cool","not cool")</f>
        <v>cool</v>
      </c>
      <c r="AU149" s="655" t="str">
        <f>IF(AU143=BS!AU9,"cool","not cool")</f>
        <v>cool</v>
      </c>
      <c r="AV149" s="655" t="str">
        <f>IF(AV143=BS!AV9,"cool","not cool")</f>
        <v>cool</v>
      </c>
      <c r="AW149" s="655" t="str">
        <f>IF(AW143=BS!AW9,"cool","not cool")</f>
        <v>cool</v>
      </c>
      <c r="AX149" s="654"/>
      <c r="AY149" s="655" t="str">
        <f>IF(AY143=BS!AY9,"cool","not cool")</f>
        <v>not cool</v>
      </c>
      <c r="AZ149" s="655" t="str">
        <f>IF(AZ143=BS!AZ9,"cool","not cool")</f>
        <v>not cool</v>
      </c>
      <c r="BA149" s="655" t="str">
        <f>IF(BA143=BS!BA9,"cool","not cool")</f>
        <v>not cool</v>
      </c>
      <c r="BB149" s="655" t="str">
        <f>IF(BB143=BS!BB9,"cool","not cool")</f>
        <v>not cool</v>
      </c>
      <c r="BC149" s="655" t="str">
        <f>IF(BC143=BS!BC9,"cool","not cool")</f>
        <v>not cool</v>
      </c>
      <c r="BD149" s="655"/>
      <c r="BE149" s="655" t="str">
        <f>IF(BE143=BS!BE9,"cool","not cool")</f>
        <v>not cool</v>
      </c>
      <c r="BF149" s="656" t="str">
        <f>IF(BF143=BS!BF9,"cool","not cool")</f>
        <v>not cool</v>
      </c>
      <c r="BG149" s="655" t="str">
        <f>IF(BG143=BS!BG9,"cool","not cool")</f>
        <v>not cool</v>
      </c>
      <c r="BH149" s="655" t="str">
        <f>IF(BH143=BS!BH9,"cool","not cool")</f>
        <v>not cool</v>
      </c>
      <c r="BI149" s="655" t="str">
        <f>IF(BI143=BS!BI9,"cool","not cool")</f>
        <v>not cool</v>
      </c>
      <c r="BJ149" s="653"/>
      <c r="BK149" s="655" t="str">
        <f>IF(BK143=BS!BK9,"cool","not cool")</f>
        <v>not cool</v>
      </c>
      <c r="BL149" s="655" t="str">
        <f>IF(BL143=BS!BL9,"cool","not cool")</f>
        <v>not cool</v>
      </c>
      <c r="BM149" s="655" t="str">
        <f>IF(BM143=BS!BM9,"cool","not cool")</f>
        <v>not cool</v>
      </c>
      <c r="BN149" s="655" t="str">
        <f>IF(BN143=BS!BN9,"cool","not cool")</f>
        <v>not cool</v>
      </c>
      <c r="BO149" s="655" t="str">
        <f>IF(BO143=BS!BO9,"cool","not cool")</f>
        <v>not cool</v>
      </c>
      <c r="BP149" s="653"/>
      <c r="BQ149" s="655" t="str">
        <f>IF(BQ143=BS!BQ9,"cool","not cool")</f>
        <v>not cool</v>
      </c>
      <c r="BR149" s="655" t="str">
        <f>IF(BR143=BS!BR9,"cool","not cool")</f>
        <v>not cool</v>
      </c>
      <c r="BS149" s="655" t="str">
        <f>IF(BS143=BS!BS9,"cool","not cool")</f>
        <v>not cool</v>
      </c>
      <c r="BT149" s="655" t="str">
        <f>IF(BT143=BS!BT9,"cool","not cool")</f>
        <v>not cool</v>
      </c>
      <c r="BU149" s="655" t="str">
        <f>IF(BU143=BS!BU9,"cool","not cool")</f>
        <v>not cool</v>
      </c>
      <c r="BV149" s="653"/>
      <c r="BW149" s="655" t="str">
        <f>IF(BW143=BS!BW9,"cool","not cool")</f>
        <v>not cool</v>
      </c>
      <c r="BX149" s="655" t="str">
        <f>IF(BX143=BS!BX9,"cool","not cool")</f>
        <v>not cool</v>
      </c>
      <c r="BY149" s="655" t="str">
        <f>IF(BY143=BS!BY9,"cool","not cool")</f>
        <v>not cool</v>
      </c>
      <c r="BZ149" s="655" t="str">
        <f>IF(BZ143=BS!BZ9,"cool","not cool")</f>
        <v>not cool</v>
      </c>
      <c r="CA149" s="655" t="str">
        <f>IF(CA143=BS!CA9,"cool","not cool")</f>
        <v>not cool</v>
      </c>
      <c r="CB149" s="653"/>
      <c r="CC149" s="655" t="str">
        <f>IF(CC143=BS!CC9,"cool","not cool")</f>
        <v>not cool</v>
      </c>
      <c r="CD149" s="655" t="str">
        <f>IF(CD143=BS!CD9,"cool","not cool")</f>
        <v>not cool</v>
      </c>
      <c r="CE149" s="655" t="str">
        <f>IF(CE143=BS!CE9,"cool","not cool")</f>
        <v>not cool</v>
      </c>
      <c r="CF149" s="655" t="str">
        <f>IF(CF143=BS!CF9,"cool","not cool")</f>
        <v>not cool</v>
      </c>
      <c r="CG149" s="655" t="str">
        <f>IF(CG143=BS!CG9,"cool","not cool")</f>
        <v>not cool</v>
      </c>
      <c r="CH149" s="653"/>
      <c r="CI149" s="655" t="str">
        <f>IF(CI143=BS!CI9,"cool","not cool")</f>
        <v>not cool</v>
      </c>
      <c r="CJ149" s="655" t="str">
        <f>IF(CJ143=BS!CJ9,"cool","not cool")</f>
        <v>not cool</v>
      </c>
      <c r="CK149" s="655" t="str">
        <f>IF(CK143=BS!CK9,"cool","not cool")</f>
        <v>not cool</v>
      </c>
      <c r="CL149" s="655" t="str">
        <f>IF(CL143=BS!CL9,"cool","not cool")</f>
        <v>not cool</v>
      </c>
      <c r="CM149" s="655" t="str">
        <f>IF(CM143=BS!CM9,"cool","not cool")</f>
        <v>not cool</v>
      </c>
      <c r="CN149" s="653"/>
      <c r="CO149" s="655" t="str">
        <f>IF(CO143=BS!CO9,"cool","not cool")</f>
        <v>not cool</v>
      </c>
      <c r="CP149" s="655" t="str">
        <f>IF(CP143=BS!CP9,"cool","not cool")</f>
        <v>not cool</v>
      </c>
      <c r="CQ149" s="655" t="str">
        <f>IF(CQ143=BS!CQ9,"cool","not cool")</f>
        <v>not cool</v>
      </c>
      <c r="CR149" s="655" t="str">
        <f>IF(CR143=BS!CR9,"cool","not cool")</f>
        <v>not cool</v>
      </c>
      <c r="CS149" s="655" t="str">
        <f>IF(CS143=BS!CS9,"cool","not cool")</f>
        <v>not cool</v>
      </c>
      <c r="CT149" s="653"/>
      <c r="CU149" s="655" t="str">
        <f>IF(CU143=BS!CU9,"cool","not cool")</f>
        <v>not cool</v>
      </c>
      <c r="CV149" s="655" t="str">
        <f>IF(CV143=BS!CV9,"cool","not cool")</f>
        <v>not cool</v>
      </c>
      <c r="CW149" s="655" t="str">
        <f>IF(CW143=BS!CW9,"cool","not cool")</f>
        <v>not cool</v>
      </c>
      <c r="CX149" s="655" t="str">
        <f>IF(CX143=BS!CX9,"cool","not cool")</f>
        <v>not cool</v>
      </c>
      <c r="CY149" s="655" t="str">
        <f>IF(CY143=BS!CY9,"cool","not cool")</f>
        <v>not cool</v>
      </c>
      <c r="CZ149" s="653"/>
      <c r="DA149" s="655" t="str">
        <f>IF(DA143=BS!DA9,"cool","not cool")</f>
        <v>not cool</v>
      </c>
      <c r="DB149" s="655" t="str">
        <f>IF(DB143=BS!DB9,"cool","not cool")</f>
        <v>not cool</v>
      </c>
      <c r="DC149" s="655" t="str">
        <f>IF(DC143=BS!DC9,"cool","not cool")</f>
        <v>not cool</v>
      </c>
      <c r="DD149" s="655" t="str">
        <f>IF(DD143=BS!DD9,"cool","not cool")</f>
        <v>not cool</v>
      </c>
      <c r="DE149" s="655" t="str">
        <f>IF(DE143=BS!DE9,"cool","not cool")</f>
        <v>not cool</v>
      </c>
      <c r="DF149" s="653"/>
      <c r="DG149" s="655" t="str">
        <f>IF(DG143=BS!DG9,"cool","not cool")</f>
        <v>not cool</v>
      </c>
      <c r="DH149" s="655" t="str">
        <f>IF(DH143=BS!DH9,"cool","not cool")</f>
        <v>not cool</v>
      </c>
      <c r="DI149" s="655" t="str">
        <f>IF(DI143=BS!DI9,"cool","not cool")</f>
        <v>not cool</v>
      </c>
      <c r="DJ149" s="655" t="str">
        <f>IF(DJ143=BS!DJ9,"cool","not cool")</f>
        <v>not cool</v>
      </c>
      <c r="DK149" s="655" t="str">
        <f>IF(DK143=BS!DK9,"cool","not cool")</f>
        <v>not cool</v>
      </c>
      <c r="DL149" s="653"/>
      <c r="DM149" s="655" t="str">
        <f>IF(DM143=BS!DM9,"cool","not cool")</f>
        <v>not cool</v>
      </c>
      <c r="DN149" s="655" t="str">
        <f>IF(DN143=BS!DN9,"cool","not cool")</f>
        <v>not cool</v>
      </c>
      <c r="DO149" s="655" t="str">
        <f>IF(DO143=BS!DO9,"cool","not cool")</f>
        <v>not cool</v>
      </c>
      <c r="DP149" s="655" t="str">
        <f>IF(DP143=BS!DP9,"cool","not cool")</f>
        <v>not cool</v>
      </c>
      <c r="DQ149" s="655" t="str">
        <f>IF(DQ143=BS!DQ9,"cool","not cool")</f>
        <v>not cool</v>
      </c>
      <c r="DR149" s="653"/>
      <c r="DS149" s="655" t="str">
        <f>IF(DS143=BS!DS9,"cool","not cool")</f>
        <v>not cool</v>
      </c>
      <c r="DT149" s="2078" t="str">
        <f>IF(DT143=BS!DT9,"cool","not cool")</f>
        <v>cool</v>
      </c>
      <c r="DU149" s="2064" t="str">
        <f>IF(DU143=BS!DU9,"cool","not cool")</f>
        <v>cool</v>
      </c>
      <c r="DV149" s="655" t="str">
        <f>IF(DV143=BS!DV9,"cool","not cool")</f>
        <v>not cool</v>
      </c>
      <c r="DW149" s="655" t="str">
        <f>IF(DW143=BS!DW9,"cool","not cool")</f>
        <v>not cool</v>
      </c>
      <c r="DX149" s="653"/>
      <c r="DY149" s="655" t="str">
        <f>IF(DY143=BS!DY9,"cool","not cool")</f>
        <v>not cool</v>
      </c>
      <c r="DZ149" s="655" t="str">
        <f>IF(DZ143=BS!DZ9,"cool","not cool")</f>
        <v>not cool</v>
      </c>
      <c r="EA149" s="655" t="str">
        <f>IF(EA143=BS!EA9,"cool","not cool")</f>
        <v>cool</v>
      </c>
      <c r="EB149" s="655" t="str">
        <f>IF(EB143=BS!EB9,"cool","not cool")</f>
        <v>not cool</v>
      </c>
      <c r="EC149" s="655" t="str">
        <f>IF(EC143=BS!EC9,"cool","not cool")</f>
        <v>not cool</v>
      </c>
      <c r="ED149" s="653"/>
      <c r="EE149" s="655" t="str">
        <f>IF(EE143=BS!EE9,"cool","not cool")</f>
        <v>cool</v>
      </c>
      <c r="EF149" s="655" t="str">
        <f>IF(EF143=BS!EF9,"cool","not cool")</f>
        <v>cool</v>
      </c>
      <c r="EG149" s="655" t="str">
        <f>IF(EG143=BS!EG9,"cool","not cool")</f>
        <v>cool</v>
      </c>
      <c r="EH149" s="655" t="str">
        <f>IF(EH143=BS!EH9,"cool","not cool")</f>
        <v>cool</v>
      </c>
      <c r="EI149" s="655" t="str">
        <f>IF(EI143=BS!EI9,"cool","not cool")</f>
        <v>cool</v>
      </c>
      <c r="EJ149" s="653"/>
      <c r="EK149" s="655" t="str">
        <f>IF(EK143=BS!EK9,"cool","not cool")</f>
        <v>cool</v>
      </c>
      <c r="EL149" s="655" t="str">
        <f>IF(EL143=BS!EL9,"cool","not cool")</f>
        <v>cool</v>
      </c>
      <c r="EM149" s="655" t="str">
        <f>IF(EM143=BS!EM9,"cool","not cool")</f>
        <v>cool</v>
      </c>
      <c r="EN149" s="655" t="str">
        <f>IF(EN143=BS!EN9,"cool","not cool")</f>
        <v>cool</v>
      </c>
      <c r="EO149" s="655" t="str">
        <f>IF(EO143=BS!EO9,"cool","not cool")</f>
        <v>cool</v>
      </c>
      <c r="EP149" s="653"/>
      <c r="EQ149" s="655" t="str">
        <f>IF(EQ143=BS!EQ9,"cool","not cool")</f>
        <v>cool</v>
      </c>
      <c r="ER149" s="655" t="str">
        <f>IF(ER143=BS!ER9,"cool","not cool")</f>
        <v>cool</v>
      </c>
      <c r="ES149" s="655" t="str">
        <f>IF(ES143=BS!ES9,"cool","not cool")</f>
        <v>cool</v>
      </c>
      <c r="ET149" s="655" t="str">
        <f>IF(ET143=BS!ET9,"cool","not cool")</f>
        <v>cool</v>
      </c>
      <c r="EU149" s="655" t="str">
        <f>IF(EU143=BS!EU9,"cool","not cool")</f>
        <v>cool</v>
      </c>
      <c r="EV149" s="654"/>
      <c r="EW149" s="654"/>
      <c r="FD149" s="654"/>
      <c r="FE149" s="654"/>
      <c r="FF149" s="654"/>
      <c r="FG149" s="654"/>
      <c r="FH149" s="654"/>
      <c r="FI149" s="654"/>
      <c r="FJ149" s="654"/>
      <c r="FK149" s="654"/>
      <c r="FL149" s="654"/>
      <c r="FM149" s="654"/>
      <c r="FN149" s="654"/>
      <c r="FO149" s="654"/>
      <c r="FP149" s="654"/>
    </row>
    <row r="150" spans="1:172">
      <c r="A150" s="82" t="s">
        <v>4236</v>
      </c>
      <c r="B150" s="359"/>
      <c r="C150" s="359"/>
      <c r="D150" s="359"/>
      <c r="E150" s="359"/>
      <c r="F150" s="359"/>
      <c r="G150" s="886"/>
      <c r="H150" s="886"/>
      <c r="I150" s="886"/>
      <c r="J150" s="886"/>
      <c r="K150" s="886"/>
      <c r="L150" s="886"/>
      <c r="M150" s="886"/>
      <c r="N150" s="887"/>
      <c r="O150" s="368"/>
      <c r="P150" s="368"/>
      <c r="Q150" s="368"/>
      <c r="R150" s="368"/>
      <c r="S150" s="368"/>
      <c r="T150" s="365"/>
      <c r="U150" s="368"/>
      <c r="V150" s="368"/>
      <c r="W150" s="368"/>
      <c r="X150" s="368"/>
      <c r="Y150" s="368"/>
      <c r="Z150" s="368"/>
      <c r="AA150" s="368"/>
      <c r="AB150" s="368"/>
      <c r="AC150" s="368"/>
      <c r="AD150" s="368"/>
      <c r="AE150" s="368"/>
      <c r="AF150" s="368"/>
      <c r="AG150" s="368"/>
      <c r="AH150" s="368"/>
      <c r="AI150" s="368"/>
      <c r="AJ150" s="368"/>
      <c r="AK150" s="368"/>
      <c r="AL150" s="368"/>
      <c r="AM150" s="368"/>
      <c r="AN150" s="368"/>
      <c r="AO150" s="368"/>
      <c r="AP150" s="368"/>
      <c r="AQ150" s="548">
        <f>AQ139-27.23</f>
        <v>1.4600000000001216</v>
      </c>
      <c r="AR150" s="368"/>
      <c r="AS150" s="368"/>
      <c r="AT150" s="368"/>
      <c r="AU150" s="368"/>
      <c r="AV150" s="368"/>
      <c r="AW150" s="368"/>
      <c r="AX150" s="368"/>
      <c r="AY150" s="368"/>
      <c r="AZ150" s="368"/>
      <c r="BA150" s="368"/>
      <c r="BB150" s="368"/>
      <c r="BC150" s="368"/>
      <c r="BD150" s="368"/>
      <c r="BE150" s="368"/>
      <c r="BF150" s="548"/>
      <c r="BG150" s="368"/>
      <c r="BH150" s="368"/>
      <c r="BI150" s="368"/>
      <c r="BJ150" s="367"/>
      <c r="BK150" s="368"/>
      <c r="BL150" s="368"/>
      <c r="BM150" s="368"/>
      <c r="BN150" s="368"/>
      <c r="BO150" s="368"/>
      <c r="BP150" s="367"/>
      <c r="BQ150" s="368"/>
      <c r="BR150" s="368"/>
      <c r="BS150" s="368"/>
      <c r="BT150" s="368"/>
      <c r="BU150" s="368"/>
      <c r="BV150" s="367"/>
      <c r="BW150" s="368"/>
      <c r="BX150" s="368"/>
      <c r="BY150" s="368"/>
      <c r="BZ150" s="368"/>
      <c r="CA150" s="368"/>
      <c r="CB150" s="367"/>
      <c r="CC150" s="368"/>
      <c r="CD150" s="368"/>
      <c r="CE150" s="368"/>
      <c r="CF150" s="368"/>
      <c r="CG150" s="368"/>
      <c r="CH150" s="367"/>
      <c r="CI150" s="368"/>
      <c r="CJ150" s="368"/>
      <c r="CK150" s="368"/>
      <c r="CL150" s="368"/>
      <c r="CM150" s="368"/>
      <c r="CN150" s="367"/>
      <c r="CO150" s="368"/>
      <c r="CP150" s="368"/>
      <c r="CQ150" s="368"/>
      <c r="CR150" s="368"/>
      <c r="CS150" s="368"/>
      <c r="CT150" s="367"/>
      <c r="CU150" s="368"/>
      <c r="CV150" s="368"/>
      <c r="CW150" s="368"/>
      <c r="CX150" s="368"/>
      <c r="CY150" s="368"/>
      <c r="CZ150" s="367"/>
      <c r="DA150" s="368"/>
      <c r="DB150" s="368"/>
      <c r="DC150" s="368"/>
      <c r="DD150" s="368"/>
      <c r="DE150" s="368"/>
      <c r="DF150" s="367"/>
      <c r="DG150" s="368"/>
      <c r="DH150" s="368"/>
      <c r="DI150" s="368"/>
      <c r="DJ150" s="368"/>
      <c r="DK150" s="1363"/>
      <c r="DL150" s="367"/>
      <c r="DM150" s="368"/>
      <c r="DN150" s="368"/>
      <c r="DO150" s="368"/>
      <c r="DP150" s="368"/>
      <c r="DQ150" s="368"/>
      <c r="DR150" s="367"/>
      <c r="DS150" s="368"/>
      <c r="DT150" s="2013"/>
      <c r="DU150" s="368"/>
      <c r="DV150" s="368"/>
      <c r="DW150" s="2024"/>
      <c r="DX150" s="2024"/>
      <c r="DY150" s="2024"/>
      <c r="DZ150" s="1817"/>
      <c r="EA150" s="2024"/>
      <c r="EB150" s="2024"/>
      <c r="EC150" s="2024"/>
      <c r="ED150" s="2024"/>
      <c r="EE150" s="2024"/>
      <c r="EF150" s="2024"/>
      <c r="EG150" s="2024"/>
      <c r="EH150" s="2024"/>
      <c r="EI150" s="2024"/>
      <c r="EV150" s="2024"/>
      <c r="EW150" s="2024"/>
      <c r="FD150" s="366"/>
      <c r="FE150" s="366"/>
      <c r="FF150" s="366"/>
      <c r="FG150" s="366"/>
      <c r="FH150" s="366"/>
      <c r="FI150" s="366"/>
      <c r="FJ150" s="366"/>
      <c r="FK150" s="366"/>
      <c r="FL150" s="366"/>
      <c r="FM150" s="366"/>
      <c r="FN150" s="366"/>
      <c r="FO150" s="366"/>
      <c r="FP150" s="366"/>
    </row>
    <row r="152" spans="1:172">
      <c r="A152" s="427" t="s">
        <v>6998</v>
      </c>
      <c r="O152" s="1803">
        <f>O145-Model!O93*(1-Model!O101)</f>
        <v>-1.3398076469199909</v>
      </c>
      <c r="P152" s="1803">
        <f>P145-Model!P93*(1-Model!P101)</f>
        <v>-5.3244254833860349</v>
      </c>
      <c r="Q152" s="1803">
        <f>Q145-Model!Q93*(1-Model!Q101)</f>
        <v>-2.55741907633274</v>
      </c>
      <c r="R152" s="1803">
        <f>R145-Model!R93*(1-Model!R101)</f>
        <v>-2.1087943592552025</v>
      </c>
      <c r="S152" s="1803">
        <f>S145-Model!S93*(1-Model!S101)</f>
        <v>-11.328729666818321</v>
      </c>
      <c r="T152" s="1800"/>
      <c r="U152" s="1803">
        <f>U145-Model!U93*(1-Model!U101)</f>
        <v>-3.057225961538462</v>
      </c>
      <c r="V152" s="1803">
        <f>V145-Model!V93*(1-Model!V101)</f>
        <v>-3.9574608487746534</v>
      </c>
      <c r="W152" s="1803">
        <f>W145-Model!W93*(1-Model!W101)</f>
        <v>-4.3992987955729186</v>
      </c>
      <c r="X152" s="1803">
        <f>X145-Model!X93*(1-Model!X101)</f>
        <v>-4.3249654980135226</v>
      </c>
      <c r="Y152" s="1803">
        <f>Y145-Model!Y93*(1-Model!Y101)</f>
        <v>-15.738554569787112</v>
      </c>
      <c r="Z152" s="1800"/>
      <c r="AA152" s="1803">
        <f>AA145-Model!AA93*(1-Model!AA101)</f>
        <v>-2.0094910312030696</v>
      </c>
      <c r="AB152" s="1803">
        <f>AB145-Model!AB93*(1-Model!AB101)</f>
        <v>-2.8918711078928321</v>
      </c>
      <c r="AC152" s="1803">
        <f>AC145-Model!AC93*(1-Model!AC101)</f>
        <v>-4.2804404318148812</v>
      </c>
      <c r="AD152" s="1803">
        <f>AD145-Model!AD93*(1-Model!AD101)</f>
        <v>-5.012575903427396</v>
      </c>
      <c r="AE152" s="1803">
        <f>AE145-Model!AE93*(1-Model!AE101)</f>
        <v>-14.196447206168806</v>
      </c>
      <c r="AF152" s="1800"/>
      <c r="AG152" s="1803">
        <f>AG145-Model!AG93*(1-Model!AG101)</f>
        <v>-3.4851176696379054</v>
      </c>
      <c r="AH152" s="1803">
        <f>AH145-Model!AH93*(1-Model!AH101)</f>
        <v>-5.6012865983277429</v>
      </c>
      <c r="AI152" s="1803">
        <f>AI145-Model!AI93*(1-Model!AI101)</f>
        <v>-3.0274270534660142</v>
      </c>
      <c r="AJ152" s="1803">
        <f>AJ145-Model!AJ93*(1-Model!AJ101)</f>
        <v>-1.221513197700802</v>
      </c>
      <c r="AK152" s="1803">
        <f>AK145-Model!AK93*(1-Model!AK101)</f>
        <v>-13.335218734899431</v>
      </c>
      <c r="AL152" s="1800"/>
      <c r="AM152" s="1803">
        <f>AM145-Model!AM93*(1-Model!AM101)</f>
        <v>-2.1675873658005296</v>
      </c>
      <c r="AN152" s="1803">
        <f>AN145-Model!AN93*(1-Model!AN101)</f>
        <v>-4.1691888732110476</v>
      </c>
      <c r="AO152" s="1803">
        <f>AO145-Model!AO93*(1-Model!AO101)</f>
        <v>-1.8148042875157606</v>
      </c>
      <c r="AP152" s="1803">
        <f>AP145-Model!AP93*(1-Model!AP101)</f>
        <v>-1.6928717689265023</v>
      </c>
      <c r="AQ152" s="1803">
        <f>AQ145-Model!AQ93*(1-Model!AQ101)</f>
        <v>-9.8409878016564925</v>
      </c>
      <c r="AR152" s="1800"/>
      <c r="AS152" s="1803">
        <f>AS145-Model!AS93*(1-Model!AS101)</f>
        <v>-2.4867067516955155</v>
      </c>
      <c r="AT152" s="1803">
        <f>AT145-Model!AT93*(1-Model!AT101)</f>
        <v>-2.3331350302745268</v>
      </c>
      <c r="AU152" s="1803">
        <f>AU145-Model!AU93*(1-Model!AU101)</f>
        <v>-1.3717878635064717</v>
      </c>
      <c r="AV152" s="1803">
        <f>AV145-Model!AV93*(1-Model!AV101)</f>
        <v>-6.6970644069740777</v>
      </c>
      <c r="AW152" s="1803">
        <f>AW145-Model!AW93*(1-Model!AW101)</f>
        <v>-12.888700440737782</v>
      </c>
      <c r="AX152" s="1800"/>
      <c r="AY152" s="1803">
        <f>AY145-Model!AY93*(1-Model!AY101)</f>
        <v>-1.9166430277420543</v>
      </c>
      <c r="AZ152" s="1803">
        <f>AZ145-Model!AZ93*(1-Model!AZ101)</f>
        <v>-1.7724381625441699</v>
      </c>
      <c r="BA152" s="1803">
        <f>BA145-Model!BA93*(1-Model!BA101)</f>
        <v>-2.2206896551724138</v>
      </c>
      <c r="BB152" s="1803">
        <f>BB145-Model!BB93*(1-Model!BB101)</f>
        <v>-3.1857292759706186</v>
      </c>
      <c r="BC152" s="1803">
        <f>BC145-Model!BC93*(1-Model!BC101)</f>
        <v>-9.0968094464180425</v>
      </c>
      <c r="BD152" s="1800"/>
      <c r="BE152" s="1803">
        <f>BE145-Model!BE93*(1-Model!BE101)</f>
        <v>-2.3760245901639343</v>
      </c>
      <c r="BF152" s="1803">
        <f>BF145-Model!BF93*(1-Model!BF101)</f>
        <v>-2.2194764397905757</v>
      </c>
      <c r="BG152" s="1803">
        <f>BG145-Model!BG93*(1-Model!BG101)</f>
        <v>-2.5407035175879398</v>
      </c>
      <c r="BH152" s="1803">
        <f>BH145-Model!BH93*(1-Model!BH101)</f>
        <v>-3.452920353982301</v>
      </c>
      <c r="BI152" s="1803">
        <f>BI145-Model!BI93*(1-Model!BI101)</f>
        <v>-10.573668639053253</v>
      </c>
      <c r="BJ152" s="1800"/>
      <c r="BK152" s="1803">
        <f>BK145-Model!BK93*(1-Model!BK101)</f>
        <v>-2.6843447905477982</v>
      </c>
      <c r="BL152" s="1803">
        <f>BL145-Model!BL93*(1-Model!BL101)</f>
        <v>-2.2824531516183986</v>
      </c>
      <c r="BM152" s="1803">
        <f>BM145-Model!BM93*(1-Model!BM101)</f>
        <v>-4.6067615658362984</v>
      </c>
      <c r="BN152" s="1803">
        <f>BN145-Model!BN93*(1-Model!BN101)</f>
        <v>-3.4736301369863014</v>
      </c>
      <c r="BO152" s="1803">
        <f>BO145-Model!BO93*(1-Model!BO101)</f>
        <v>528.18844673298997</v>
      </c>
      <c r="BP152" s="1800"/>
      <c r="BQ152" s="1803">
        <f>BQ145-Model!BQ93*(1-Model!BQ101)</f>
        <v>177.4292957746479</v>
      </c>
      <c r="BR152" s="1803">
        <f>BR145-Model!BR93*(1-Model!BR101)</f>
        <v>122.64233171408749</v>
      </c>
      <c r="BS152" s="1803">
        <f>BS145-Model!BS93*(1-Model!BS101)</f>
        <v>144.22135678391956</v>
      </c>
      <c r="BT152" s="1803">
        <f>BT145-Model!BT93*(1-Model!BT101)</f>
        <v>199.75483870967741</v>
      </c>
      <c r="BU152" s="1803">
        <f>BU145-Model!BU93*(1-Model!BU101)</f>
        <v>644.04021543985641</v>
      </c>
      <c r="BV152" s="1800"/>
      <c r="BW152" s="1803">
        <f>BW145-Model!BW93*(1-Model!BW101)</f>
        <v>166.79791798107254</v>
      </c>
      <c r="BX152" s="1803">
        <f>BX145-Model!BX93*(1-Model!BX101)</f>
        <v>183.85695701357469</v>
      </c>
      <c r="BY152" s="1803">
        <f>BY145-Model!BY93*(1-Model!BY101)</f>
        <v>90.547550432276623</v>
      </c>
      <c r="BZ152" s="1803">
        <f>BZ145-Model!BZ93*(1-Model!BZ101)</f>
        <v>68.747193675889335</v>
      </c>
      <c r="CA152" s="1803">
        <f>CA145-Model!CA93*(1-Model!CA101)</f>
        <v>509.35309731486234</v>
      </c>
      <c r="CB152" s="1800"/>
      <c r="CC152" s="1803">
        <f>CC145-Model!CC93*(1-Model!CC101)</f>
        <v>13.6</v>
      </c>
      <c r="CD152" s="1803">
        <f>CD145-Model!CD93*(1-Model!CD101)</f>
        <v>28.617236842105246</v>
      </c>
      <c r="CE152" s="1803">
        <f>CE145-Model!CE93*(1-Model!CE101)</f>
        <v>36.429769137302571</v>
      </c>
      <c r="CF152" s="1803">
        <f>CF145-Model!CF93*(1-Model!CF101)</f>
        <v>114.81593886462881</v>
      </c>
      <c r="CG152" s="1803">
        <f>CG145-Model!CG93*(1-Model!CG101)</f>
        <v>193.40549558390578</v>
      </c>
      <c r="CH152" s="1800"/>
      <c r="CI152" s="1803">
        <f>CI145-Model!CI93*(1-Model!CI101)</f>
        <v>135.78306364617043</v>
      </c>
      <c r="CJ152" s="1803">
        <f>CJ145-Model!CJ93*(1-Model!CJ101)</f>
        <v>106.12697594501715</v>
      </c>
      <c r="CK152" s="1803">
        <f>CK145-Model!CK93*(1-Model!CK101)</f>
        <v>105.47607003891055</v>
      </c>
      <c r="CL152" s="1803">
        <f>CL145-Model!CL93*(1-Model!CL101)</f>
        <v>164.6229767441861</v>
      </c>
      <c r="CM152" s="1803">
        <f>CM145-Model!CM93*(1-Model!CM101)</f>
        <v>512.05593705293279</v>
      </c>
      <c r="CN152" s="1800"/>
      <c r="CO152" s="1803">
        <f>CO145-Model!CO93*(1-Model!CO101)</f>
        <v>100.57735999999997</v>
      </c>
      <c r="CP152" s="1803">
        <f>CP145-Model!CP93*(1-Model!CP101)</f>
        <v>116.4</v>
      </c>
      <c r="CQ152" s="1803">
        <f>CQ145-Model!CQ93*(1-Model!CQ101)</f>
        <v>127.97540381791484</v>
      </c>
      <c r="CR152" s="1803">
        <f>CR145-Model!CR93*(1-Model!CR101)</f>
        <v>160.07519434628972</v>
      </c>
      <c r="CS152" s="1803">
        <f>CS145-Model!CS93*(1-Model!CS101)</f>
        <v>505.02668762715001</v>
      </c>
      <c r="CU152" s="1803">
        <f>CU145-Model!CU93*(1-Model!CU101)</f>
        <v>125.2097643097643</v>
      </c>
      <c r="CV152" s="1803">
        <f>CV145-Model!CV93*(1-Model!CV101)</f>
        <v>87.247169811320745</v>
      </c>
      <c r="CW152" s="1803">
        <f>CW145-Model!CW93*(1-Model!CW101)</f>
        <v>140.74889502762434</v>
      </c>
      <c r="CX152" s="1803">
        <f>CX145-Model!CX93*(1-Model!CX101)</f>
        <v>142.56625567813111</v>
      </c>
      <c r="CY152" s="1803">
        <f>CY145-Model!CY93*(1-Model!CY101)</f>
        <v>495.75135951661639</v>
      </c>
      <c r="DA152" s="1803">
        <f>DA145-Model!DA93*(1-Model!DA101)</f>
        <v>204.03924148606814</v>
      </c>
      <c r="DB152" s="1803">
        <f>DB145-Model!DB93*(1-Model!DB101)</f>
        <v>49.706518518518507</v>
      </c>
      <c r="DC152" s="1803">
        <f>DC145-Model!DC93*(1-Model!DC101)</f>
        <v>77.587164906580057</v>
      </c>
      <c r="DD152" s="1803">
        <f>DD145-Model!DD93*(1-Model!DD101)</f>
        <v>170.10949208992508</v>
      </c>
      <c r="DE152" s="1803">
        <f>DE145-Model!DE93*(1-Model!DE101)</f>
        <v>501.6558533701222</v>
      </c>
      <c r="DF152" s="1803"/>
      <c r="DG152" s="1803">
        <f>DG145-Model!DG93*(1-Model!DG101)</f>
        <v>206.43636363636364</v>
      </c>
      <c r="DH152" s="1803">
        <f>DH145-Model!DH93*(1-Model!DH101)</f>
        <v>81.823518850987455</v>
      </c>
      <c r="DI152" s="1803">
        <f>DI145-Model!DI93*(1-Model!DI101)</f>
        <v>109.30141025641025</v>
      </c>
      <c r="DJ152" s="1803">
        <f>DJ145-Model!DJ93*(1-Model!DJ101)</f>
        <v>245.68894472361814</v>
      </c>
      <c r="DK152" s="1803">
        <f>DK145-Model!DK93*(1-Model!DK101)</f>
        <v>643.25521739130431</v>
      </c>
      <c r="DL152" s="1803"/>
      <c r="DM152" s="1803">
        <f>DM145-Model!DM93*(1-Model!DM101)</f>
        <v>74.51788008565309</v>
      </c>
      <c r="DN152" s="1803">
        <f>DN145-Model!DN93*(1-Model!DN101)</f>
        <v>64.19629629629631</v>
      </c>
      <c r="DO152" s="1803">
        <f>DO145-Model!DO93*(1-Model!DO101)</f>
        <v>73.69599999999997</v>
      </c>
      <c r="DP152" s="1803">
        <f>DP145-Model!DP93*(1-Model!DP101)</f>
        <v>149.03647912885663</v>
      </c>
      <c r="DQ152" s="1803">
        <f>DQ145-Model!DQ93*(1-Model!DQ101)</f>
        <v>361.76188290524669</v>
      </c>
      <c r="DR152" s="1803"/>
      <c r="DS152" s="1803">
        <f>DS145-Model!DS93*(1-Model!DS101)</f>
        <v>145.02874938447886</v>
      </c>
      <c r="DT152" s="1791">
        <f>DT145-Model!DT93*(1-Model!DT101)</f>
        <v>-30.956521739130416</v>
      </c>
      <c r="DU152" s="1803">
        <f>DU145-Model!DU93*(1-Model!DU101)</f>
        <v>-7.5476280834914506</v>
      </c>
      <c r="DV152" s="1803">
        <f>DV145-Model!DV93*(1-Model!DV101)</f>
        <v>5.2919805589306881</v>
      </c>
      <c r="DW152" s="1803">
        <f>DW145-Model!DW93*(1-Model!DW101)</f>
        <v>111.82655717474378</v>
      </c>
      <c r="DX152" s="1803"/>
      <c r="DY152" s="1803">
        <f>DY145-Model!DY93*(1-Model!DY101)</f>
        <v>42.15319148936176</v>
      </c>
      <c r="DZ152" s="1803">
        <f>DZ145-Model!DZ93*(1-Model!DZ101)</f>
        <v>-86.383284457478084</v>
      </c>
      <c r="EA152" s="1803">
        <f>EA145-Model!EA93*(1-Model!EA101)</f>
        <v>-56.874789915966353</v>
      </c>
      <c r="EB152" s="1803">
        <f>EB145-Model!EB93*(1-Model!EB101)</f>
        <v>74.753903345724936</v>
      </c>
      <c r="EC152" s="1803">
        <f>EC145-Model!EC93*(1-Model!EC101)</f>
        <v>-26.350382741823271</v>
      </c>
      <c r="ED152" s="1803"/>
      <c r="EE152" s="1803">
        <f>EE145-Model!EE93*(1-Model!EE101)</f>
        <v>40.97540952777296</v>
      </c>
      <c r="EF152" s="1803">
        <f>EF145-Model!EF93*(1-Model!EF101)</f>
        <v>77.329885550108784</v>
      </c>
      <c r="EG152" s="1803">
        <f>EG145-Model!EG93*(1-Model!EG101)</f>
        <v>57.535506407230621</v>
      </c>
      <c r="EH152" s="1803">
        <f>EH145-Model!EH93*(1-Model!EH101)</f>
        <v>411.37160922594217</v>
      </c>
      <c r="EI152" s="1803">
        <f>EI145-Model!EI93*(1-Model!EI101)</f>
        <v>587.21241071105453</v>
      </c>
      <c r="EJ152" s="1803"/>
      <c r="EK152" s="1803">
        <f>EK145-Model!EK93*(1-Model!EK101)</f>
        <v>4.8671143480595251</v>
      </c>
      <c r="EL152" s="1803">
        <f>EL145-Model!EL93*(1-Model!EL101)</f>
        <v>239.82590222174804</v>
      </c>
      <c r="EM152" s="1803">
        <f>EM145-Model!EM93*(1-Model!EM101)</f>
        <v>224.9787476830758</v>
      </c>
      <c r="EN152" s="1803">
        <f>EN145-Model!EN93*(1-Model!EN101)</f>
        <v>686.34483466262168</v>
      </c>
      <c r="EO152" s="1803">
        <f>EO145-Model!EO93*(1-Model!EO101)</f>
        <v>1156.016598915505</v>
      </c>
      <c r="EP152" s="1803"/>
      <c r="EQ152" s="1803">
        <f>EQ145-Model!EQ93*(1-Model!EQ101)</f>
        <v>173.89505524934603</v>
      </c>
      <c r="ER152" s="1803">
        <f>ER145-Model!ER93*(1-Model!ER101)</f>
        <v>319.12661733784171</v>
      </c>
      <c r="ES152" s="1803">
        <f>ES145-Model!ES93*(1-Model!ES101)</f>
        <v>270.65663954630401</v>
      </c>
      <c r="ET152" s="1803">
        <f>ET145-Model!ET93*(1-Model!ET101)</f>
        <v>685.39017104118795</v>
      </c>
      <c r="EU152" s="1803">
        <f>EU145-Model!EU93*(1-Model!EU101)</f>
        <v>1449.0684831746796</v>
      </c>
      <c r="EV152" s="1803"/>
      <c r="EW152" s="1803"/>
    </row>
    <row r="153" spans="1:172" s="1790" customFormat="1">
      <c r="A153" s="1790" t="s">
        <v>6999</v>
      </c>
      <c r="O153" s="1458"/>
      <c r="P153" s="1458"/>
      <c r="Q153" s="1458"/>
      <c r="R153" s="1458"/>
      <c r="S153" s="1458"/>
      <c r="U153" s="1458">
        <f>U152/O152-1</f>
        <v>1.2818394629755612</v>
      </c>
      <c r="V153" s="1458">
        <f>V152/P152-1</f>
        <v>-0.25673467285376839</v>
      </c>
      <c r="W153" s="1458">
        <f>W152/Q152-1</f>
        <v>0.72021036219115775</v>
      </c>
      <c r="X153" s="1458">
        <f>X152/R152-1</f>
        <v>1.0509185635061362</v>
      </c>
      <c r="Y153" s="1458">
        <f>Y152/S152-1</f>
        <v>0.38926031714615839</v>
      </c>
      <c r="AA153" s="1458">
        <f>AA152/U152-1</f>
        <v>-0.3427077172300832</v>
      </c>
      <c r="AB153" s="1458">
        <f>AB152/V152-1</f>
        <v>-0.26926096848482006</v>
      </c>
      <c r="AC153" s="1458">
        <f>AC152/W152-1</f>
        <v>-2.7017570135869473E-2</v>
      </c>
      <c r="AD153" s="1458">
        <f>AD152/X152-1</f>
        <v>0.15898633312328059</v>
      </c>
      <c r="AE153" s="1458">
        <f>AE152/Y152-1</f>
        <v>-9.79827821405308E-2</v>
      </c>
      <c r="AG153" s="1458">
        <f>AG152/AA152-1</f>
        <v>0.73432855161905719</v>
      </c>
      <c r="AH153" s="1458">
        <f>AH152/AB152-1</f>
        <v>0.93690741715287995</v>
      </c>
      <c r="AI153" s="1458">
        <f>AI152/AC152-1</f>
        <v>-0.29273001185478398</v>
      </c>
      <c r="AJ153" s="1458">
        <f>AJ152/AD152-1</f>
        <v>-0.75631028412645462</v>
      </c>
      <c r="AK153" s="1458">
        <f>AK152/AE152-1</f>
        <v>-6.066507054632253E-2</v>
      </c>
      <c r="AM153" s="1458">
        <f>AM152/AG152-1</f>
        <v>-0.3780447114642943</v>
      </c>
      <c r="AN153" s="1458">
        <f>AN152/AH152-1</f>
        <v>-0.25567299583353698</v>
      </c>
      <c r="AO153" s="1458">
        <f>AO152/AI152-1</f>
        <v>-0.4005456595764898</v>
      </c>
      <c r="AP153" s="1458">
        <f>AP152/AJ152-1</f>
        <v>0.38588086654562281</v>
      </c>
      <c r="AQ153" s="1458">
        <f>AQ152/AK152-1</f>
        <v>-0.26203026757245695</v>
      </c>
      <c r="AS153" s="1458">
        <f>AS152/AM152-1</f>
        <v>0.14722330962522912</v>
      </c>
      <c r="AT153" s="1458">
        <f>AT152/AN152-1</f>
        <v>-0.44038634342857663</v>
      </c>
      <c r="AU153" s="1458">
        <f>AU152/AO152-1</f>
        <v>-0.24411250681786889</v>
      </c>
      <c r="AV153" s="1458">
        <f>AV152/AP152-1</f>
        <v>2.9560376219286089</v>
      </c>
      <c r="AW153" s="1458">
        <f>AW152/AQ152-1</f>
        <v>0.30969580498497118</v>
      </c>
      <c r="AY153" s="1458">
        <f>AY152/AS152-1</f>
        <v>-0.22924445094491885</v>
      </c>
      <c r="AZ153" s="1458">
        <f>AZ152/AT152-1</f>
        <v>-0.24031908160256932</v>
      </c>
      <c r="BA153" s="1458">
        <f>BA152/AU152-1</f>
        <v>0.6188287666403729</v>
      </c>
      <c r="BB153" s="1458">
        <f>BB152/AV152-1</f>
        <v>-0.52430959561130741</v>
      </c>
      <c r="BC153" s="1458">
        <f>BC152/AW152-1</f>
        <v>-0.29420274074603925</v>
      </c>
      <c r="BE153" s="1458">
        <f>BE152/AY152-1</f>
        <v>0.23968029297717752</v>
      </c>
      <c r="BF153" s="1458">
        <f>BF152/AZ152-1</f>
        <v>0.25221657189141311</v>
      </c>
      <c r="BG153" s="1458">
        <f>BG152/BA152-1</f>
        <v>0.14410562127407234</v>
      </c>
      <c r="BH153" s="1458">
        <f>BH152/BB152-1</f>
        <v>8.387124418482661E-2</v>
      </c>
      <c r="BI153" s="1458">
        <f>BI152/BC152-1</f>
        <v>0.16234914024902847</v>
      </c>
      <c r="BK153" s="1458">
        <f>BK152/BE152-1</f>
        <v>0.12976305113180309</v>
      </c>
      <c r="BL153" s="1458">
        <f>BL152/BF152-1</f>
        <v>2.8374580013007522E-2</v>
      </c>
      <c r="BM153" s="1458">
        <f>BM152/BG152-1</f>
        <v>0.81318344857876457</v>
      </c>
      <c r="BN153" s="1458">
        <f>BN152/BH152-1</f>
        <v>5.9977586740787014E-3</v>
      </c>
      <c r="BO153" s="1458">
        <f>BO152/BI152-1</f>
        <v>-50.953186993410739</v>
      </c>
      <c r="BQ153" s="1458"/>
      <c r="BR153" s="1458"/>
      <c r="BS153" s="1458"/>
      <c r="BT153" s="1458"/>
      <c r="BU153" s="1458">
        <f>BU152/BO152-1</f>
        <v>0.21933794543111595</v>
      </c>
      <c r="BW153" s="1458">
        <f>BW152/BQ152-1</f>
        <v>-5.9918953897434291E-2</v>
      </c>
      <c r="BX153" s="1458">
        <f>BX152/BR152-1</f>
        <v>0.49913129050901506</v>
      </c>
      <c r="BY153" s="1458">
        <f>BY152/BS152-1</f>
        <v>-0.37216267790393909</v>
      </c>
      <c r="BZ153" s="1458">
        <f>BZ152/BT152-1</f>
        <v>-0.65584216072079171</v>
      </c>
      <c r="CA153" s="1458">
        <f>CA152/BU152-1</f>
        <v>-0.20912842846779001</v>
      </c>
      <c r="CC153" s="1458">
        <f>CC152/BW152-1</f>
        <v>-0.9184642100775906</v>
      </c>
      <c r="CD153" s="1458">
        <f>CD152/BX152-1</f>
        <v>-0.84435053583535402</v>
      </c>
      <c r="CE153" s="1458">
        <f>CE152/BY152-1</f>
        <v>-0.59767250507180147</v>
      </c>
      <c r="CF153" s="1458">
        <f>CF152/BZ152-1</f>
        <v>0.67011819283754215</v>
      </c>
      <c r="CG153" s="1458">
        <f>CG152/CA152-1</f>
        <v>-0.62029190240822274</v>
      </c>
      <c r="CH153" s="1458"/>
      <c r="CI153" s="1458">
        <f>CI152/CC152-1</f>
        <v>8.984048797512532</v>
      </c>
      <c r="CJ153" s="1458">
        <f>CJ152/CD152-1</f>
        <v>2.7084983616891312</v>
      </c>
      <c r="CK153" s="1458">
        <f>CK152/CE152-1</f>
        <v>1.8953263371330955</v>
      </c>
      <c r="CL153" s="1458">
        <f>CL152/CF152-1</f>
        <v>0.43379898620418178</v>
      </c>
      <c r="CM153" s="1458">
        <f>CM152/CG152-1</f>
        <v>1.6475769755507583</v>
      </c>
      <c r="CN153" s="1458"/>
      <c r="CO153" s="1458">
        <f>CO152/CI152-1</f>
        <v>-0.25927904924807899</v>
      </c>
      <c r="CP153" s="1458">
        <f>CP152/CJ152-1</f>
        <v>9.6799366640816675E-2</v>
      </c>
      <c r="CQ153" s="1458">
        <f>CQ152/CK152-1</f>
        <v>0.21331221167705805</v>
      </c>
      <c r="CR153" s="1458">
        <f>CR152/CL152-1</f>
        <v>-2.762544140459422E-2</v>
      </c>
      <c r="CS153" s="1458">
        <f>CS152/CM152-1</f>
        <v>-1.3727503026795596E-2</v>
      </c>
      <c r="CT153" s="1458"/>
      <c r="CU153" s="1458">
        <f>CU152/CO152-1</f>
        <v>0.24491003054528715</v>
      </c>
      <c r="CV153" s="1458">
        <f>CV152/CP152-1</f>
        <v>-0.25045386760033728</v>
      </c>
      <c r="CW153" s="1458">
        <f>CW152/CQ152-1</f>
        <v>9.9812079732788384E-2</v>
      </c>
      <c r="CX153" s="1458">
        <f>CX152/CR152-1</f>
        <v>-0.10937946219375894</v>
      </c>
      <c r="CY153" s="1458">
        <f>CY152/CS152-1</f>
        <v>-1.8366015772579125E-2</v>
      </c>
      <c r="CZ153" s="1458"/>
      <c r="DA153" s="1458">
        <f>DA152/CU152-1</f>
        <v>0.62957931125309563</v>
      </c>
      <c r="DB153" s="1458">
        <f>DB152/CV152-1</f>
        <v>-0.43027930159782857</v>
      </c>
      <c r="DC153" s="1458">
        <f>DC152/CW152-1</f>
        <v>-0.44875471390839505</v>
      </c>
      <c r="DD153" s="1458">
        <f>DD152/CX152-1</f>
        <v>0.19319604264544732</v>
      </c>
      <c r="DE153" s="1458">
        <f>DE152/CY152-1</f>
        <v>1.1910191954416449E-2</v>
      </c>
      <c r="DF153" s="1458"/>
      <c r="DG153" s="1458">
        <f>DG152/DA152-1</f>
        <v>1.1748338862841656E-2</v>
      </c>
      <c r="DH153" s="1458">
        <f>DH152/DB152-1</f>
        <v>0.64613256550050946</v>
      </c>
      <c r="DI153" s="1458">
        <f>DI152/DC152-1</f>
        <v>0.40875633731450534</v>
      </c>
      <c r="DJ153" s="1458">
        <f>DJ152/DD152-1</f>
        <v>0.44429885543212033</v>
      </c>
      <c r="DK153" s="1458">
        <f>DK152/DE152-1</f>
        <v>0.28226395260798443</v>
      </c>
      <c r="DL153" s="1458"/>
      <c r="DM153" s="1458">
        <f>DM152/DG152-1</f>
        <v>-0.63902735558297341</v>
      </c>
      <c r="DN153" s="1458">
        <f>DN152/DH152-1</f>
        <v>-0.21542977865316304</v>
      </c>
      <c r="DO153" s="1458">
        <f>DO152/DI152-1</f>
        <v>-0.32575435369848871</v>
      </c>
      <c r="DP153" s="1458">
        <f>DP152/DJ152-1</f>
        <v>-0.39339362910076547</v>
      </c>
      <c r="DQ153" s="1458">
        <f>DQ152/DK152-1</f>
        <v>-0.43760754188305306</v>
      </c>
      <c r="DR153" s="1458"/>
      <c r="DS153" s="1458">
        <f>DS152/DM152-1</f>
        <v>0.94622752576668123</v>
      </c>
      <c r="DT153" s="1458">
        <f>DT152/DN152-1</f>
        <v>-1.4822166312562863</v>
      </c>
      <c r="DU153" s="1458">
        <f>DU152/DO152-1</f>
        <v>-1.1024157089053876</v>
      </c>
      <c r="DV153" s="1458">
        <f>DV152/DP152-1</f>
        <v>-0.96449204523709087</v>
      </c>
      <c r="DW153" s="1458">
        <f>DW152/DQ152-1</f>
        <v>-0.69088352737252423</v>
      </c>
      <c r="DX153" s="1458"/>
      <c r="DY153" s="1458">
        <f>DY152/DS152-1</f>
        <v>-0.70934596300205666</v>
      </c>
      <c r="DZ153" s="1458">
        <f>DZ152/DT152-1</f>
        <v>1.7904712675870744</v>
      </c>
      <c r="EA153" s="1458">
        <f>EA152/DU152-1</f>
        <v>6.5354521032065342</v>
      </c>
      <c r="EB153" s="1458">
        <f>EB152/DV152-1</f>
        <v>13.125883969768383</v>
      </c>
      <c r="EC153" s="1458">
        <f>EC152/DW152-1</f>
        <v>-1.2356361798803062</v>
      </c>
      <c r="ED153" s="1458"/>
      <c r="EE153" s="1458">
        <f>EE152/DY152-1</f>
        <v>-2.7940516956730055E-2</v>
      </c>
      <c r="EF153" s="1458">
        <f>EF152/DZ152-1</f>
        <v>-1.8951950141253797</v>
      </c>
      <c r="EG153" s="1458">
        <f>EG152/EA152-1</f>
        <v>-2.0116170361638344</v>
      </c>
      <c r="EH153" s="1458">
        <f>EH152/EB152-1</f>
        <v>4.5030117601139006</v>
      </c>
      <c r="EI153" s="1458">
        <f>EI152/EC152-1</f>
        <v>-23.284777282533824</v>
      </c>
      <c r="EJ153" s="1458"/>
      <c r="EK153" s="1458">
        <f>EK152/EE152-1</f>
        <v>-0.88121865274438282</v>
      </c>
      <c r="EL153" s="1458">
        <f>EL152/EF152-1</f>
        <v>2.1013352795711033</v>
      </c>
      <c r="EM153" s="1458">
        <f>EM152/EG152-1</f>
        <v>2.9102592769532345</v>
      </c>
      <c r="EN153" s="1458">
        <f>EN152/EH152-1</f>
        <v>0.66843024474655199</v>
      </c>
      <c r="EO153" s="1458">
        <f>EO152/EI152-1</f>
        <v>0.96865150979300063</v>
      </c>
      <c r="EP153" s="1458"/>
      <c r="EQ153" s="1458">
        <f>EQ152/EK152-1</f>
        <v>34.728574020184347</v>
      </c>
      <c r="ER153" s="1458">
        <f>ER152/EL152-1</f>
        <v>0.33065950917499554</v>
      </c>
      <c r="ES153" s="1458">
        <f>ES152/EM152-1</f>
        <v>0.20303203006345272</v>
      </c>
      <c r="ET153" s="1458">
        <f>ET152/EN152-1</f>
        <v>-1.3909387427720743E-3</v>
      </c>
      <c r="EU153" s="1458">
        <f>EU152/EO152-1</f>
        <v>0.25350145018168035</v>
      </c>
      <c r="EV153" s="1458"/>
      <c r="EX153"/>
      <c r="EY153"/>
      <c r="EZ153"/>
      <c r="FA153"/>
      <c r="FB153"/>
      <c r="FC153"/>
    </row>
    <row r="156" spans="1:172">
      <c r="DW156" s="2038"/>
      <c r="DX156" s="2038"/>
      <c r="DY156" s="2038"/>
      <c r="DZ156" s="2038"/>
      <c r="EA156" s="2038"/>
      <c r="EB156" s="2038"/>
      <c r="EC156" s="2038"/>
      <c r="ED156" s="2038"/>
      <c r="EE156" s="2038"/>
      <c r="EF156" s="2038"/>
      <c r="EG156" s="2038"/>
      <c r="EH156" s="2038"/>
      <c r="EI156" s="2038"/>
      <c r="EV156" s="2038"/>
    </row>
    <row r="157" spans="1:172">
      <c r="DQ157" s="1964"/>
      <c r="DR157" s="1964"/>
      <c r="DS157" s="1964"/>
      <c r="DT157" s="2065"/>
      <c r="DU157" s="1964"/>
      <c r="DV157" s="1964"/>
      <c r="DW157" s="2038"/>
      <c r="DX157" s="2038"/>
      <c r="DY157" s="2038"/>
      <c r="DZ157" s="2038"/>
      <c r="EA157" s="2038"/>
      <c r="EB157" s="2038"/>
      <c r="EC157" s="2038"/>
      <c r="ED157" s="2038"/>
      <c r="EE157" s="2038"/>
      <c r="EF157" s="2038"/>
      <c r="EG157" s="2038"/>
      <c r="EH157" s="2038"/>
      <c r="EI157" s="2038"/>
      <c r="EV157" s="2038"/>
    </row>
    <row r="158" spans="1:172">
      <c r="DW158" s="2039"/>
      <c r="DX158" s="2039"/>
      <c r="DY158" s="2039"/>
      <c r="DZ158" s="2039"/>
      <c r="EA158" s="2039"/>
      <c r="EB158" s="2039"/>
      <c r="EC158" s="2039"/>
      <c r="ED158" s="2039"/>
      <c r="EE158" s="2039"/>
      <c r="EF158" s="2039"/>
      <c r="EG158" s="2039"/>
      <c r="EH158" s="2039"/>
      <c r="EI158" s="2039"/>
    </row>
    <row r="159" spans="1:172">
      <c r="DW159" s="2039"/>
      <c r="DX159" s="2039"/>
      <c r="DY159" s="2039"/>
      <c r="DZ159" s="2039"/>
      <c r="EA159" s="2039"/>
      <c r="EB159" s="2039"/>
      <c r="EC159" s="2039"/>
      <c r="ED159" s="2039"/>
      <c r="EE159" s="2039"/>
      <c r="EF159" s="2039"/>
      <c r="EG159" s="2039"/>
      <c r="EH159" s="2039"/>
      <c r="EI159" s="2039"/>
    </row>
    <row r="160" spans="1:172">
      <c r="DW160" s="2039"/>
      <c r="DX160" s="2039"/>
      <c r="DY160" s="2039"/>
      <c r="DZ160" s="2039"/>
      <c r="EA160" s="2039"/>
      <c r="EB160" s="2039"/>
      <c r="EC160" s="2039"/>
      <c r="ED160" s="2039"/>
      <c r="EE160" s="2039"/>
      <c r="EF160" s="2039"/>
      <c r="EG160" s="2039"/>
      <c r="EH160" s="2039"/>
      <c r="EI160" s="2039"/>
    </row>
    <row r="161" spans="111:139">
      <c r="DG161" s="2025"/>
      <c r="DW161" s="2039"/>
      <c r="DX161" s="2039"/>
      <c r="DY161" s="2039"/>
      <c r="DZ161" s="2039"/>
      <c r="EA161" s="2039"/>
      <c r="EB161" s="2039"/>
      <c r="EC161" s="2039"/>
      <c r="ED161" s="2039"/>
      <c r="EE161" s="2039"/>
      <c r="EF161" s="2039"/>
      <c r="EG161" s="2039"/>
      <c r="EH161" s="2039"/>
      <c r="EI161" s="2039"/>
    </row>
    <row r="162" spans="111:139">
      <c r="DW162" s="2039"/>
      <c r="DX162" s="2039"/>
      <c r="DY162" s="2039"/>
      <c r="DZ162" s="2039"/>
      <c r="EA162" s="2039"/>
      <c r="EB162" s="2039"/>
      <c r="EC162" s="2039"/>
      <c r="ED162" s="2039"/>
      <c r="EE162" s="2039"/>
      <c r="EF162" s="2039"/>
      <c r="EG162" s="2039"/>
      <c r="EH162" s="2039"/>
      <c r="EI162" s="2039"/>
    </row>
    <row r="163" spans="111:139">
      <c r="DW163" s="2039"/>
      <c r="DX163" s="2039"/>
      <c r="DY163" s="2039"/>
      <c r="DZ163" s="2039"/>
      <c r="EA163" s="2039"/>
      <c r="EB163" s="2039"/>
      <c r="EC163" s="2039"/>
      <c r="ED163" s="2039"/>
      <c r="EE163" s="2039"/>
      <c r="EF163" s="2039"/>
      <c r="EG163" s="2039"/>
      <c r="EH163" s="2039"/>
      <c r="EI163" s="2039"/>
    </row>
    <row r="164" spans="111:139">
      <c r="DW164" s="2039"/>
      <c r="DX164" s="2039"/>
      <c r="DY164" s="2039"/>
      <c r="DZ164" s="2039"/>
      <c r="EA164" s="2039"/>
      <c r="EB164" s="2039"/>
      <c r="EC164" s="2039"/>
      <c r="ED164" s="2039"/>
      <c r="EE164" s="2039"/>
      <c r="EF164" s="2039"/>
      <c r="EG164" s="2039"/>
      <c r="EH164" s="2039"/>
      <c r="EI164" s="2039"/>
    </row>
    <row r="165" spans="111:139">
      <c r="DW165" s="2039"/>
      <c r="DX165" s="2039"/>
      <c r="DY165" s="2039"/>
      <c r="DZ165" s="2039"/>
      <c r="EA165" s="2039"/>
      <c r="EB165" s="2039"/>
      <c r="EC165" s="2039"/>
      <c r="ED165" s="2039"/>
      <c r="EE165" s="2039"/>
      <c r="EF165" s="2039"/>
      <c r="EG165" s="2039"/>
      <c r="EH165" s="2039"/>
      <c r="EI165" s="2039"/>
    </row>
    <row r="166" spans="111:139">
      <c r="DX166" s="2039"/>
      <c r="DY166" s="2039"/>
      <c r="DZ166" s="2039"/>
      <c r="EA166" s="2039"/>
      <c r="EB166" s="2039"/>
      <c r="EC166" s="2039"/>
      <c r="ED166" s="2039"/>
      <c r="EE166" s="2039"/>
      <c r="EF166" s="2039"/>
      <c r="EG166" s="2039"/>
      <c r="EH166" s="2039"/>
      <c r="EI166" s="2039"/>
    </row>
  </sheetData>
  <customSheetViews>
    <customSheetView guid="{7ADDAC9C-E12E-468B-A7D0-D44A9895D58E}" scale="90" showGridLines="0" hiddenRows="1" hiddenColumns="1" showRuler="0"/>
    <customSheetView guid="{5A095E4E-6841-4715-B354-198715F5FF0A}" scale="90" showGridLines="0" hiddenRows="1" hiddenColumns="1" showRuler="0"/>
  </customSheetViews>
  <mergeCells count="1">
    <mergeCell ref="CU6:CX6"/>
  </mergeCells>
  <phoneticPr fontId="3" type="noConversion"/>
  <pageMargins left="0" right="0" top="0" bottom="0" header="0" footer="0"/>
  <pageSetup paperSize="5" orientation="landscape" r:id="rId1"/>
  <headerFooter alignWithMargins="0">
    <oddFooter>&amp;L&amp;"Arial,Bold"&amp;8Keith Weiss - 212.761.0156&amp;R&amp;"Arial,Bold"&amp;8Morgan Stanley Equity Research</oddFooter>
  </headerFooter>
  <rowBreaks count="1" manualBreakCount="1">
    <brk id="75" max="66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1815" bestFit="1" customWidth="1"/>
    <col min="2" max="2" width="19.85546875" style="2332" customWidth="1"/>
    <col min="3" max="3" width="12" style="1815" bestFit="1" customWidth="1"/>
    <col min="4" max="256" width="9.140625" style="1815"/>
    <col min="257" max="257" width="29.5703125" style="1815" bestFit="1" customWidth="1"/>
    <col min="258" max="258" width="19.85546875" style="1815" customWidth="1"/>
    <col min="259" max="259" width="12" style="1815" bestFit="1" customWidth="1"/>
    <col min="260" max="512" width="9.140625" style="1815"/>
    <col min="513" max="513" width="29.5703125" style="1815" bestFit="1" customWidth="1"/>
    <col min="514" max="514" width="19.85546875" style="1815" customWidth="1"/>
    <col min="515" max="515" width="12" style="1815" bestFit="1" customWidth="1"/>
    <col min="516" max="768" width="9.140625" style="1815"/>
    <col min="769" max="769" width="29.5703125" style="1815" bestFit="1" customWidth="1"/>
    <col min="770" max="770" width="19.85546875" style="1815" customWidth="1"/>
    <col min="771" max="771" width="12" style="1815" bestFit="1" customWidth="1"/>
    <col min="772" max="1024" width="9.140625" style="1815"/>
    <col min="1025" max="1025" width="29.5703125" style="1815" bestFit="1" customWidth="1"/>
    <col min="1026" max="1026" width="19.85546875" style="1815" customWidth="1"/>
    <col min="1027" max="1027" width="12" style="1815" bestFit="1" customWidth="1"/>
    <col min="1028" max="1280" width="9.140625" style="1815"/>
    <col min="1281" max="1281" width="29.5703125" style="1815" bestFit="1" customWidth="1"/>
    <col min="1282" max="1282" width="19.85546875" style="1815" customWidth="1"/>
    <col min="1283" max="1283" width="12" style="1815" bestFit="1" customWidth="1"/>
    <col min="1284" max="1536" width="9.140625" style="1815"/>
    <col min="1537" max="1537" width="29.5703125" style="1815" bestFit="1" customWidth="1"/>
    <col min="1538" max="1538" width="19.85546875" style="1815" customWidth="1"/>
    <col min="1539" max="1539" width="12" style="1815" bestFit="1" customWidth="1"/>
    <col min="1540" max="1792" width="9.140625" style="1815"/>
    <col min="1793" max="1793" width="29.5703125" style="1815" bestFit="1" customWidth="1"/>
    <col min="1794" max="1794" width="19.85546875" style="1815" customWidth="1"/>
    <col min="1795" max="1795" width="12" style="1815" bestFit="1" customWidth="1"/>
    <col min="1796" max="2048" width="9.140625" style="1815"/>
    <col min="2049" max="2049" width="29.5703125" style="1815" bestFit="1" customWidth="1"/>
    <col min="2050" max="2050" width="19.85546875" style="1815" customWidth="1"/>
    <col min="2051" max="2051" width="12" style="1815" bestFit="1" customWidth="1"/>
    <col min="2052" max="2304" width="9.140625" style="1815"/>
    <col min="2305" max="2305" width="29.5703125" style="1815" bestFit="1" customWidth="1"/>
    <col min="2306" max="2306" width="19.85546875" style="1815" customWidth="1"/>
    <col min="2307" max="2307" width="12" style="1815" bestFit="1" customWidth="1"/>
    <col min="2308" max="2560" width="9.140625" style="1815"/>
    <col min="2561" max="2561" width="29.5703125" style="1815" bestFit="1" customWidth="1"/>
    <col min="2562" max="2562" width="19.85546875" style="1815" customWidth="1"/>
    <col min="2563" max="2563" width="12" style="1815" bestFit="1" customWidth="1"/>
    <col min="2564" max="2816" width="9.140625" style="1815"/>
    <col min="2817" max="2817" width="29.5703125" style="1815" bestFit="1" customWidth="1"/>
    <col min="2818" max="2818" width="19.85546875" style="1815" customWidth="1"/>
    <col min="2819" max="2819" width="12" style="1815" bestFit="1" customWidth="1"/>
    <col min="2820" max="3072" width="9.140625" style="1815"/>
    <col min="3073" max="3073" width="29.5703125" style="1815" bestFit="1" customWidth="1"/>
    <col min="3074" max="3074" width="19.85546875" style="1815" customWidth="1"/>
    <col min="3075" max="3075" width="12" style="1815" bestFit="1" customWidth="1"/>
    <col min="3076" max="3328" width="9.140625" style="1815"/>
    <col min="3329" max="3329" width="29.5703125" style="1815" bestFit="1" customWidth="1"/>
    <col min="3330" max="3330" width="19.85546875" style="1815" customWidth="1"/>
    <col min="3331" max="3331" width="12" style="1815" bestFit="1" customWidth="1"/>
    <col min="3332" max="3584" width="9.140625" style="1815"/>
    <col min="3585" max="3585" width="29.5703125" style="1815" bestFit="1" customWidth="1"/>
    <col min="3586" max="3586" width="19.85546875" style="1815" customWidth="1"/>
    <col min="3587" max="3587" width="12" style="1815" bestFit="1" customWidth="1"/>
    <col min="3588" max="3840" width="9.140625" style="1815"/>
    <col min="3841" max="3841" width="29.5703125" style="1815" bestFit="1" customWidth="1"/>
    <col min="3842" max="3842" width="19.85546875" style="1815" customWidth="1"/>
    <col min="3843" max="3843" width="12" style="1815" bestFit="1" customWidth="1"/>
    <col min="3844" max="4096" width="9.140625" style="1815"/>
    <col min="4097" max="4097" width="29.5703125" style="1815" bestFit="1" customWidth="1"/>
    <col min="4098" max="4098" width="19.85546875" style="1815" customWidth="1"/>
    <col min="4099" max="4099" width="12" style="1815" bestFit="1" customWidth="1"/>
    <col min="4100" max="4352" width="9.140625" style="1815"/>
    <col min="4353" max="4353" width="29.5703125" style="1815" bestFit="1" customWidth="1"/>
    <col min="4354" max="4354" width="19.85546875" style="1815" customWidth="1"/>
    <col min="4355" max="4355" width="12" style="1815" bestFit="1" customWidth="1"/>
    <col min="4356" max="4608" width="9.140625" style="1815"/>
    <col min="4609" max="4609" width="29.5703125" style="1815" bestFit="1" customWidth="1"/>
    <col min="4610" max="4610" width="19.85546875" style="1815" customWidth="1"/>
    <col min="4611" max="4611" width="12" style="1815" bestFit="1" customWidth="1"/>
    <col min="4612" max="4864" width="9.140625" style="1815"/>
    <col min="4865" max="4865" width="29.5703125" style="1815" bestFit="1" customWidth="1"/>
    <col min="4866" max="4866" width="19.85546875" style="1815" customWidth="1"/>
    <col min="4867" max="4867" width="12" style="1815" bestFit="1" customWidth="1"/>
    <col min="4868" max="5120" width="9.140625" style="1815"/>
    <col min="5121" max="5121" width="29.5703125" style="1815" bestFit="1" customWidth="1"/>
    <col min="5122" max="5122" width="19.85546875" style="1815" customWidth="1"/>
    <col min="5123" max="5123" width="12" style="1815" bestFit="1" customWidth="1"/>
    <col min="5124" max="5376" width="9.140625" style="1815"/>
    <col min="5377" max="5377" width="29.5703125" style="1815" bestFit="1" customWidth="1"/>
    <col min="5378" max="5378" width="19.85546875" style="1815" customWidth="1"/>
    <col min="5379" max="5379" width="12" style="1815" bestFit="1" customWidth="1"/>
    <col min="5380" max="5632" width="9.140625" style="1815"/>
    <col min="5633" max="5633" width="29.5703125" style="1815" bestFit="1" customWidth="1"/>
    <col min="5634" max="5634" width="19.85546875" style="1815" customWidth="1"/>
    <col min="5635" max="5635" width="12" style="1815" bestFit="1" customWidth="1"/>
    <col min="5636" max="5888" width="9.140625" style="1815"/>
    <col min="5889" max="5889" width="29.5703125" style="1815" bestFit="1" customWidth="1"/>
    <col min="5890" max="5890" width="19.85546875" style="1815" customWidth="1"/>
    <col min="5891" max="5891" width="12" style="1815" bestFit="1" customWidth="1"/>
    <col min="5892" max="6144" width="9.140625" style="1815"/>
    <col min="6145" max="6145" width="29.5703125" style="1815" bestFit="1" customWidth="1"/>
    <col min="6146" max="6146" width="19.85546875" style="1815" customWidth="1"/>
    <col min="6147" max="6147" width="12" style="1815" bestFit="1" customWidth="1"/>
    <col min="6148" max="6400" width="9.140625" style="1815"/>
    <col min="6401" max="6401" width="29.5703125" style="1815" bestFit="1" customWidth="1"/>
    <col min="6402" max="6402" width="19.85546875" style="1815" customWidth="1"/>
    <col min="6403" max="6403" width="12" style="1815" bestFit="1" customWidth="1"/>
    <col min="6404" max="6656" width="9.140625" style="1815"/>
    <col min="6657" max="6657" width="29.5703125" style="1815" bestFit="1" customWidth="1"/>
    <col min="6658" max="6658" width="19.85546875" style="1815" customWidth="1"/>
    <col min="6659" max="6659" width="12" style="1815" bestFit="1" customWidth="1"/>
    <col min="6660" max="6912" width="9.140625" style="1815"/>
    <col min="6913" max="6913" width="29.5703125" style="1815" bestFit="1" customWidth="1"/>
    <col min="6914" max="6914" width="19.85546875" style="1815" customWidth="1"/>
    <col min="6915" max="6915" width="12" style="1815" bestFit="1" customWidth="1"/>
    <col min="6916" max="7168" width="9.140625" style="1815"/>
    <col min="7169" max="7169" width="29.5703125" style="1815" bestFit="1" customWidth="1"/>
    <col min="7170" max="7170" width="19.85546875" style="1815" customWidth="1"/>
    <col min="7171" max="7171" width="12" style="1815" bestFit="1" customWidth="1"/>
    <col min="7172" max="7424" width="9.140625" style="1815"/>
    <col min="7425" max="7425" width="29.5703125" style="1815" bestFit="1" customWidth="1"/>
    <col min="7426" max="7426" width="19.85546875" style="1815" customWidth="1"/>
    <col min="7427" max="7427" width="12" style="1815" bestFit="1" customWidth="1"/>
    <col min="7428" max="7680" width="9.140625" style="1815"/>
    <col min="7681" max="7681" width="29.5703125" style="1815" bestFit="1" customWidth="1"/>
    <col min="7682" max="7682" width="19.85546875" style="1815" customWidth="1"/>
    <col min="7683" max="7683" width="12" style="1815" bestFit="1" customWidth="1"/>
    <col min="7684" max="7936" width="9.140625" style="1815"/>
    <col min="7937" max="7937" width="29.5703125" style="1815" bestFit="1" customWidth="1"/>
    <col min="7938" max="7938" width="19.85546875" style="1815" customWidth="1"/>
    <col min="7939" max="7939" width="12" style="1815" bestFit="1" customWidth="1"/>
    <col min="7940" max="8192" width="9.140625" style="1815"/>
    <col min="8193" max="8193" width="29.5703125" style="1815" bestFit="1" customWidth="1"/>
    <col min="8194" max="8194" width="19.85546875" style="1815" customWidth="1"/>
    <col min="8195" max="8195" width="12" style="1815" bestFit="1" customWidth="1"/>
    <col min="8196" max="8448" width="9.140625" style="1815"/>
    <col min="8449" max="8449" width="29.5703125" style="1815" bestFit="1" customWidth="1"/>
    <col min="8450" max="8450" width="19.85546875" style="1815" customWidth="1"/>
    <col min="8451" max="8451" width="12" style="1815" bestFit="1" customWidth="1"/>
    <col min="8452" max="8704" width="9.140625" style="1815"/>
    <col min="8705" max="8705" width="29.5703125" style="1815" bestFit="1" customWidth="1"/>
    <col min="8706" max="8706" width="19.85546875" style="1815" customWidth="1"/>
    <col min="8707" max="8707" width="12" style="1815" bestFit="1" customWidth="1"/>
    <col min="8708" max="8960" width="9.140625" style="1815"/>
    <col min="8961" max="8961" width="29.5703125" style="1815" bestFit="1" customWidth="1"/>
    <col min="8962" max="8962" width="19.85546875" style="1815" customWidth="1"/>
    <col min="8963" max="8963" width="12" style="1815" bestFit="1" customWidth="1"/>
    <col min="8964" max="9216" width="9.140625" style="1815"/>
    <col min="9217" max="9217" width="29.5703125" style="1815" bestFit="1" customWidth="1"/>
    <col min="9218" max="9218" width="19.85546875" style="1815" customWidth="1"/>
    <col min="9219" max="9219" width="12" style="1815" bestFit="1" customWidth="1"/>
    <col min="9220" max="9472" width="9.140625" style="1815"/>
    <col min="9473" max="9473" width="29.5703125" style="1815" bestFit="1" customWidth="1"/>
    <col min="9474" max="9474" width="19.85546875" style="1815" customWidth="1"/>
    <col min="9475" max="9475" width="12" style="1815" bestFit="1" customWidth="1"/>
    <col min="9476" max="9728" width="9.140625" style="1815"/>
    <col min="9729" max="9729" width="29.5703125" style="1815" bestFit="1" customWidth="1"/>
    <col min="9730" max="9730" width="19.85546875" style="1815" customWidth="1"/>
    <col min="9731" max="9731" width="12" style="1815" bestFit="1" customWidth="1"/>
    <col min="9732" max="9984" width="9.140625" style="1815"/>
    <col min="9985" max="9985" width="29.5703125" style="1815" bestFit="1" customWidth="1"/>
    <col min="9986" max="9986" width="19.85546875" style="1815" customWidth="1"/>
    <col min="9987" max="9987" width="12" style="1815" bestFit="1" customWidth="1"/>
    <col min="9988" max="10240" width="9.140625" style="1815"/>
    <col min="10241" max="10241" width="29.5703125" style="1815" bestFit="1" customWidth="1"/>
    <col min="10242" max="10242" width="19.85546875" style="1815" customWidth="1"/>
    <col min="10243" max="10243" width="12" style="1815" bestFit="1" customWidth="1"/>
    <col min="10244" max="10496" width="9.140625" style="1815"/>
    <col min="10497" max="10497" width="29.5703125" style="1815" bestFit="1" customWidth="1"/>
    <col min="10498" max="10498" width="19.85546875" style="1815" customWidth="1"/>
    <col min="10499" max="10499" width="12" style="1815" bestFit="1" customWidth="1"/>
    <col min="10500" max="10752" width="9.140625" style="1815"/>
    <col min="10753" max="10753" width="29.5703125" style="1815" bestFit="1" customWidth="1"/>
    <col min="10754" max="10754" width="19.85546875" style="1815" customWidth="1"/>
    <col min="10755" max="10755" width="12" style="1815" bestFit="1" customWidth="1"/>
    <col min="10756" max="11008" width="9.140625" style="1815"/>
    <col min="11009" max="11009" width="29.5703125" style="1815" bestFit="1" customWidth="1"/>
    <col min="11010" max="11010" width="19.85546875" style="1815" customWidth="1"/>
    <col min="11011" max="11011" width="12" style="1815" bestFit="1" customWidth="1"/>
    <col min="11012" max="11264" width="9.140625" style="1815"/>
    <col min="11265" max="11265" width="29.5703125" style="1815" bestFit="1" customWidth="1"/>
    <col min="11266" max="11266" width="19.85546875" style="1815" customWidth="1"/>
    <col min="11267" max="11267" width="12" style="1815" bestFit="1" customWidth="1"/>
    <col min="11268" max="11520" width="9.140625" style="1815"/>
    <col min="11521" max="11521" width="29.5703125" style="1815" bestFit="1" customWidth="1"/>
    <col min="11522" max="11522" width="19.85546875" style="1815" customWidth="1"/>
    <col min="11523" max="11523" width="12" style="1815" bestFit="1" customWidth="1"/>
    <col min="11524" max="11776" width="9.140625" style="1815"/>
    <col min="11777" max="11777" width="29.5703125" style="1815" bestFit="1" customWidth="1"/>
    <col min="11778" max="11778" width="19.85546875" style="1815" customWidth="1"/>
    <col min="11779" max="11779" width="12" style="1815" bestFit="1" customWidth="1"/>
    <col min="11780" max="12032" width="9.140625" style="1815"/>
    <col min="12033" max="12033" width="29.5703125" style="1815" bestFit="1" customWidth="1"/>
    <col min="12034" max="12034" width="19.85546875" style="1815" customWidth="1"/>
    <col min="12035" max="12035" width="12" style="1815" bestFit="1" customWidth="1"/>
    <col min="12036" max="12288" width="9.140625" style="1815"/>
    <col min="12289" max="12289" width="29.5703125" style="1815" bestFit="1" customWidth="1"/>
    <col min="12290" max="12290" width="19.85546875" style="1815" customWidth="1"/>
    <col min="12291" max="12291" width="12" style="1815" bestFit="1" customWidth="1"/>
    <col min="12292" max="12544" width="9.140625" style="1815"/>
    <col min="12545" max="12545" width="29.5703125" style="1815" bestFit="1" customWidth="1"/>
    <col min="12546" max="12546" width="19.85546875" style="1815" customWidth="1"/>
    <col min="12547" max="12547" width="12" style="1815" bestFit="1" customWidth="1"/>
    <col min="12548" max="12800" width="9.140625" style="1815"/>
    <col min="12801" max="12801" width="29.5703125" style="1815" bestFit="1" customWidth="1"/>
    <col min="12802" max="12802" width="19.85546875" style="1815" customWidth="1"/>
    <col min="12803" max="12803" width="12" style="1815" bestFit="1" customWidth="1"/>
    <col min="12804" max="13056" width="9.140625" style="1815"/>
    <col min="13057" max="13057" width="29.5703125" style="1815" bestFit="1" customWidth="1"/>
    <col min="13058" max="13058" width="19.85546875" style="1815" customWidth="1"/>
    <col min="13059" max="13059" width="12" style="1815" bestFit="1" customWidth="1"/>
    <col min="13060" max="13312" width="9.140625" style="1815"/>
    <col min="13313" max="13313" width="29.5703125" style="1815" bestFit="1" customWidth="1"/>
    <col min="13314" max="13314" width="19.85546875" style="1815" customWidth="1"/>
    <col min="13315" max="13315" width="12" style="1815" bestFit="1" customWidth="1"/>
    <col min="13316" max="13568" width="9.140625" style="1815"/>
    <col min="13569" max="13569" width="29.5703125" style="1815" bestFit="1" customWidth="1"/>
    <col min="13570" max="13570" width="19.85546875" style="1815" customWidth="1"/>
    <col min="13571" max="13571" width="12" style="1815" bestFit="1" customWidth="1"/>
    <col min="13572" max="13824" width="9.140625" style="1815"/>
    <col min="13825" max="13825" width="29.5703125" style="1815" bestFit="1" customWidth="1"/>
    <col min="13826" max="13826" width="19.85546875" style="1815" customWidth="1"/>
    <col min="13827" max="13827" width="12" style="1815" bestFit="1" customWidth="1"/>
    <col min="13828" max="14080" width="9.140625" style="1815"/>
    <col min="14081" max="14081" width="29.5703125" style="1815" bestFit="1" customWidth="1"/>
    <col min="14082" max="14082" width="19.85546875" style="1815" customWidth="1"/>
    <col min="14083" max="14083" width="12" style="1815" bestFit="1" customWidth="1"/>
    <col min="14084" max="14336" width="9.140625" style="1815"/>
    <col min="14337" max="14337" width="29.5703125" style="1815" bestFit="1" customWidth="1"/>
    <col min="14338" max="14338" width="19.85546875" style="1815" customWidth="1"/>
    <col min="14339" max="14339" width="12" style="1815" bestFit="1" customWidth="1"/>
    <col min="14340" max="14592" width="9.140625" style="1815"/>
    <col min="14593" max="14593" width="29.5703125" style="1815" bestFit="1" customWidth="1"/>
    <col min="14594" max="14594" width="19.85546875" style="1815" customWidth="1"/>
    <col min="14595" max="14595" width="12" style="1815" bestFit="1" customWidth="1"/>
    <col min="14596" max="14848" width="9.140625" style="1815"/>
    <col min="14849" max="14849" width="29.5703125" style="1815" bestFit="1" customWidth="1"/>
    <col min="14850" max="14850" width="19.85546875" style="1815" customWidth="1"/>
    <col min="14851" max="14851" width="12" style="1815" bestFit="1" customWidth="1"/>
    <col min="14852" max="15104" width="9.140625" style="1815"/>
    <col min="15105" max="15105" width="29.5703125" style="1815" bestFit="1" customWidth="1"/>
    <col min="15106" max="15106" width="19.85546875" style="1815" customWidth="1"/>
    <col min="15107" max="15107" width="12" style="1815" bestFit="1" customWidth="1"/>
    <col min="15108" max="15360" width="9.140625" style="1815"/>
    <col min="15361" max="15361" width="29.5703125" style="1815" bestFit="1" customWidth="1"/>
    <col min="15362" max="15362" width="19.85546875" style="1815" customWidth="1"/>
    <col min="15363" max="15363" width="12" style="1815" bestFit="1" customWidth="1"/>
    <col min="15364" max="15616" width="9.140625" style="1815"/>
    <col min="15617" max="15617" width="29.5703125" style="1815" bestFit="1" customWidth="1"/>
    <col min="15618" max="15618" width="19.85546875" style="1815" customWidth="1"/>
    <col min="15619" max="15619" width="12" style="1815" bestFit="1" customWidth="1"/>
    <col min="15620" max="15872" width="9.140625" style="1815"/>
    <col min="15873" max="15873" width="29.5703125" style="1815" bestFit="1" customWidth="1"/>
    <col min="15874" max="15874" width="19.85546875" style="1815" customWidth="1"/>
    <col min="15875" max="15875" width="12" style="1815" bestFit="1" customWidth="1"/>
    <col min="15876" max="16128" width="9.140625" style="1815"/>
    <col min="16129" max="16129" width="29.5703125" style="1815" bestFit="1" customWidth="1"/>
    <col min="16130" max="16130" width="19.85546875" style="1815" customWidth="1"/>
    <col min="16131" max="16131" width="12" style="1815" bestFit="1" customWidth="1"/>
    <col min="16132" max="16384" width="9.140625" style="1815"/>
  </cols>
  <sheetData>
    <row r="1" spans="1:2">
      <c r="A1" s="1815" t="s">
        <v>7549</v>
      </c>
      <c r="B1" s="2331">
        <v>6.1</v>
      </c>
    </row>
    <row r="2" spans="1:2">
      <c r="A2" s="1815" t="s">
        <v>7550</v>
      </c>
      <c r="B2" s="2335">
        <v>43166.508657407408</v>
      </c>
    </row>
    <row r="3" spans="1:2">
      <c r="A3" s="1815" t="s">
        <v>7551</v>
      </c>
      <c r="B3" s="2332" t="s">
        <v>7247</v>
      </c>
    </row>
    <row r="4" spans="1:2">
      <c r="A4" s="1815" t="s">
        <v>7552</v>
      </c>
      <c r="B4" s="2332" t="s">
        <v>7553</v>
      </c>
    </row>
    <row r="5" spans="1:2">
      <c r="A5" s="1815" t="s">
        <v>7554</v>
      </c>
      <c r="B5" s="2332" t="s">
        <v>7555</v>
      </c>
    </row>
    <row r="6" spans="1:2">
      <c r="A6" s="1815" t="s">
        <v>7556</v>
      </c>
    </row>
    <row r="7" spans="1:2">
      <c r="A7" s="1815" t="s">
        <v>4688</v>
      </c>
      <c r="B7" s="2332" t="s">
        <v>5257</v>
      </c>
    </row>
    <row r="8" spans="1:2">
      <c r="A8" s="1815" t="s">
        <v>7557</v>
      </c>
      <c r="B8" s="2332" t="s">
        <v>7558</v>
      </c>
    </row>
    <row r="9" spans="1:2">
      <c r="A9" s="1815" t="s">
        <v>7559</v>
      </c>
      <c r="B9" s="2332" t="s">
        <v>7596</v>
      </c>
    </row>
    <row r="10" spans="1:2">
      <c r="A10" s="1815" t="s">
        <v>7560</v>
      </c>
    </row>
    <row r="11" spans="1:2">
      <c r="A11" s="1815" t="s">
        <v>7561</v>
      </c>
    </row>
    <row r="12" spans="1:2">
      <c r="A12" s="1815" t="s">
        <v>7562</v>
      </c>
    </row>
    <row r="13" spans="1:2">
      <c r="A13" s="1815" t="s">
        <v>7563</v>
      </c>
    </row>
    <row r="14" spans="1:2">
      <c r="A14" s="1815" t="s">
        <v>7564</v>
      </c>
    </row>
    <row r="15" spans="1:2">
      <c r="A15" s="1815" t="s">
        <v>7565</v>
      </c>
    </row>
    <row r="16" spans="1:2">
      <c r="A16" s="1815" t="s">
        <v>7566</v>
      </c>
    </row>
    <row r="17" spans="1:4">
      <c r="A17" s="1815" t="s">
        <v>7567</v>
      </c>
      <c r="B17" s="2332" t="s">
        <v>7597</v>
      </c>
    </row>
    <row r="18" spans="1:4">
      <c r="A18" s="1815" t="s">
        <v>7568</v>
      </c>
      <c r="B18" s="2332" t="s">
        <v>7248</v>
      </c>
    </row>
    <row r="19" spans="1:4">
      <c r="A19" s="1815" t="s">
        <v>7569</v>
      </c>
      <c r="B19" s="2332" t="s">
        <v>6593</v>
      </c>
    </row>
    <row r="20" spans="1:4">
      <c r="A20" s="1815" t="s">
        <v>7570</v>
      </c>
      <c r="B20" s="2333">
        <v>52769106</v>
      </c>
    </row>
    <row r="21" spans="1:4">
      <c r="A21" s="1815" t="s">
        <v>7571</v>
      </c>
      <c r="B21" s="2332" t="s">
        <v>6593</v>
      </c>
    </row>
    <row r="22" spans="1:4">
      <c r="A22" s="1815" t="s">
        <v>7572</v>
      </c>
      <c r="B22" s="2333">
        <v>2065159</v>
      </c>
    </row>
    <row r="23" spans="1:4">
      <c r="A23" s="1815" t="s">
        <v>3940</v>
      </c>
      <c r="B23" s="2331">
        <v>119.68</v>
      </c>
    </row>
    <row r="24" spans="1:4">
      <c r="A24" s="1815" t="s">
        <v>6072</v>
      </c>
      <c r="B24" s="2332" t="s">
        <v>6592</v>
      </c>
      <c r="D24" s="1815" t="s">
        <v>3000</v>
      </c>
    </row>
    <row r="25" spans="1:4">
      <c r="A25" s="1815" t="s">
        <v>7573</v>
      </c>
      <c r="B25" s="2332" t="s">
        <v>7600</v>
      </c>
    </row>
    <row r="26" spans="1:4">
      <c r="A26" s="1815" t="s">
        <v>7574</v>
      </c>
      <c r="B26" s="2332">
        <v>0</v>
      </c>
    </row>
    <row r="27" spans="1:4">
      <c r="A27" s="1815" t="s">
        <v>7575</v>
      </c>
      <c r="B27" s="2332" t="s">
        <v>7576</v>
      </c>
    </row>
    <row r="28" spans="1:4">
      <c r="A28" s="1815" t="s">
        <v>7577</v>
      </c>
      <c r="B28" s="2332" t="s">
        <v>7578</v>
      </c>
    </row>
    <row r="29" spans="1:4">
      <c r="A29" s="1815" t="s">
        <v>7579</v>
      </c>
    </row>
    <row r="30" spans="1:4">
      <c r="A30" s="1815" t="s">
        <v>7580</v>
      </c>
    </row>
    <row r="31" spans="1:4">
      <c r="A31" s="1815" t="s">
        <v>7581</v>
      </c>
    </row>
    <row r="32" spans="1:4">
      <c r="A32" s="1815" t="s">
        <v>7582</v>
      </c>
      <c r="B32" s="2331"/>
    </row>
    <row r="33" spans="1:2">
      <c r="A33" s="1815" t="s">
        <v>7583</v>
      </c>
      <c r="B33" s="2331"/>
    </row>
    <row r="34" spans="1:2">
      <c r="A34" s="1815" t="s">
        <v>7584</v>
      </c>
      <c r="B34" s="2331"/>
    </row>
    <row r="35" spans="1:2">
      <c r="A35" s="1815" t="s">
        <v>7585</v>
      </c>
      <c r="B35" s="2332">
        <v>1000000</v>
      </c>
    </row>
    <row r="36" spans="1:2">
      <c r="A36" s="1815" t="s">
        <v>7586</v>
      </c>
      <c r="B36" s="2332" t="s">
        <v>7598</v>
      </c>
    </row>
    <row r="37" spans="1:2">
      <c r="A37" s="1815" t="s">
        <v>7587</v>
      </c>
      <c r="B37" s="2332" t="s">
        <v>7588</v>
      </c>
    </row>
    <row r="38" spans="1:2">
      <c r="A38" s="1815" t="s">
        <v>7589</v>
      </c>
      <c r="B38" s="2332" t="s">
        <v>7590</v>
      </c>
    </row>
    <row r="39" spans="1:2">
      <c r="A39" s="1815" t="s">
        <v>7591</v>
      </c>
      <c r="B39" s="2332" t="s">
        <v>7599</v>
      </c>
    </row>
    <row r="40" spans="1:2">
      <c r="A40" s="1815" t="s">
        <v>7592</v>
      </c>
      <c r="B40" s="2332">
        <v>1500000168</v>
      </c>
    </row>
    <row r="41" spans="1:2">
      <c r="A41" s="1815" t="s">
        <v>7593</v>
      </c>
      <c r="B41" s="2332">
        <v>1</v>
      </c>
    </row>
    <row r="42" spans="1:2">
      <c r="A42" s="2334" t="s">
        <v>7594</v>
      </c>
      <c r="B42" s="2332" t="s">
        <v>7601</v>
      </c>
    </row>
    <row r="43" spans="1:2">
      <c r="A43" s="1815" t="s">
        <v>7595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1815" bestFit="1" customWidth="1"/>
    <col min="2" max="256" width="9.140625" style="1815"/>
    <col min="257" max="257" width="28.5703125" style="1815" bestFit="1" customWidth="1"/>
    <col min="258" max="512" width="9.140625" style="1815"/>
    <col min="513" max="513" width="28.5703125" style="1815" bestFit="1" customWidth="1"/>
    <col min="514" max="768" width="9.140625" style="1815"/>
    <col min="769" max="769" width="28.5703125" style="1815" bestFit="1" customWidth="1"/>
    <col min="770" max="1024" width="9.140625" style="1815"/>
    <col min="1025" max="1025" width="28.5703125" style="1815" bestFit="1" customWidth="1"/>
    <col min="1026" max="1280" width="9.140625" style="1815"/>
    <col min="1281" max="1281" width="28.5703125" style="1815" bestFit="1" customWidth="1"/>
    <col min="1282" max="1536" width="9.140625" style="1815"/>
    <col min="1537" max="1537" width="28.5703125" style="1815" bestFit="1" customWidth="1"/>
    <col min="1538" max="1792" width="9.140625" style="1815"/>
    <col min="1793" max="1793" width="28.5703125" style="1815" bestFit="1" customWidth="1"/>
    <col min="1794" max="2048" width="9.140625" style="1815"/>
    <col min="2049" max="2049" width="28.5703125" style="1815" bestFit="1" customWidth="1"/>
    <col min="2050" max="2304" width="9.140625" style="1815"/>
    <col min="2305" max="2305" width="28.5703125" style="1815" bestFit="1" customWidth="1"/>
    <col min="2306" max="2560" width="9.140625" style="1815"/>
    <col min="2561" max="2561" width="28.5703125" style="1815" bestFit="1" customWidth="1"/>
    <col min="2562" max="2816" width="9.140625" style="1815"/>
    <col min="2817" max="2817" width="28.5703125" style="1815" bestFit="1" customWidth="1"/>
    <col min="2818" max="3072" width="9.140625" style="1815"/>
    <col min="3073" max="3073" width="28.5703125" style="1815" bestFit="1" customWidth="1"/>
    <col min="3074" max="3328" width="9.140625" style="1815"/>
    <col min="3329" max="3329" width="28.5703125" style="1815" bestFit="1" customWidth="1"/>
    <col min="3330" max="3584" width="9.140625" style="1815"/>
    <col min="3585" max="3585" width="28.5703125" style="1815" bestFit="1" customWidth="1"/>
    <col min="3586" max="3840" width="9.140625" style="1815"/>
    <col min="3841" max="3841" width="28.5703125" style="1815" bestFit="1" customWidth="1"/>
    <col min="3842" max="4096" width="9.140625" style="1815"/>
    <col min="4097" max="4097" width="28.5703125" style="1815" bestFit="1" customWidth="1"/>
    <col min="4098" max="4352" width="9.140625" style="1815"/>
    <col min="4353" max="4353" width="28.5703125" style="1815" bestFit="1" customWidth="1"/>
    <col min="4354" max="4608" width="9.140625" style="1815"/>
    <col min="4609" max="4609" width="28.5703125" style="1815" bestFit="1" customWidth="1"/>
    <col min="4610" max="4864" width="9.140625" style="1815"/>
    <col min="4865" max="4865" width="28.5703125" style="1815" bestFit="1" customWidth="1"/>
    <col min="4866" max="5120" width="9.140625" style="1815"/>
    <col min="5121" max="5121" width="28.5703125" style="1815" bestFit="1" customWidth="1"/>
    <col min="5122" max="5376" width="9.140625" style="1815"/>
    <col min="5377" max="5377" width="28.5703125" style="1815" bestFit="1" customWidth="1"/>
    <col min="5378" max="5632" width="9.140625" style="1815"/>
    <col min="5633" max="5633" width="28.5703125" style="1815" bestFit="1" customWidth="1"/>
    <col min="5634" max="5888" width="9.140625" style="1815"/>
    <col min="5889" max="5889" width="28.5703125" style="1815" bestFit="1" customWidth="1"/>
    <col min="5890" max="6144" width="9.140625" style="1815"/>
    <col min="6145" max="6145" width="28.5703125" style="1815" bestFit="1" customWidth="1"/>
    <col min="6146" max="6400" width="9.140625" style="1815"/>
    <col min="6401" max="6401" width="28.5703125" style="1815" bestFit="1" customWidth="1"/>
    <col min="6402" max="6656" width="9.140625" style="1815"/>
    <col min="6657" max="6657" width="28.5703125" style="1815" bestFit="1" customWidth="1"/>
    <col min="6658" max="6912" width="9.140625" style="1815"/>
    <col min="6913" max="6913" width="28.5703125" style="1815" bestFit="1" customWidth="1"/>
    <col min="6914" max="7168" width="9.140625" style="1815"/>
    <col min="7169" max="7169" width="28.5703125" style="1815" bestFit="1" customWidth="1"/>
    <col min="7170" max="7424" width="9.140625" style="1815"/>
    <col min="7425" max="7425" width="28.5703125" style="1815" bestFit="1" customWidth="1"/>
    <col min="7426" max="7680" width="9.140625" style="1815"/>
    <col min="7681" max="7681" width="28.5703125" style="1815" bestFit="1" customWidth="1"/>
    <col min="7682" max="7936" width="9.140625" style="1815"/>
    <col min="7937" max="7937" width="28.5703125" style="1815" bestFit="1" customWidth="1"/>
    <col min="7938" max="8192" width="9.140625" style="1815"/>
    <col min="8193" max="8193" width="28.5703125" style="1815" bestFit="1" customWidth="1"/>
    <col min="8194" max="8448" width="9.140625" style="1815"/>
    <col min="8449" max="8449" width="28.5703125" style="1815" bestFit="1" customWidth="1"/>
    <col min="8450" max="8704" width="9.140625" style="1815"/>
    <col min="8705" max="8705" width="28.5703125" style="1815" bestFit="1" customWidth="1"/>
    <col min="8706" max="8960" width="9.140625" style="1815"/>
    <col min="8961" max="8961" width="28.5703125" style="1815" bestFit="1" customWidth="1"/>
    <col min="8962" max="9216" width="9.140625" style="1815"/>
    <col min="9217" max="9217" width="28.5703125" style="1815" bestFit="1" customWidth="1"/>
    <col min="9218" max="9472" width="9.140625" style="1815"/>
    <col min="9473" max="9473" width="28.5703125" style="1815" bestFit="1" customWidth="1"/>
    <col min="9474" max="9728" width="9.140625" style="1815"/>
    <col min="9729" max="9729" width="28.5703125" style="1815" bestFit="1" customWidth="1"/>
    <col min="9730" max="9984" width="9.140625" style="1815"/>
    <col min="9985" max="9985" width="28.5703125" style="1815" bestFit="1" customWidth="1"/>
    <col min="9986" max="10240" width="9.140625" style="1815"/>
    <col min="10241" max="10241" width="28.5703125" style="1815" bestFit="1" customWidth="1"/>
    <col min="10242" max="10496" width="9.140625" style="1815"/>
    <col min="10497" max="10497" width="28.5703125" style="1815" bestFit="1" customWidth="1"/>
    <col min="10498" max="10752" width="9.140625" style="1815"/>
    <col min="10753" max="10753" width="28.5703125" style="1815" bestFit="1" customWidth="1"/>
    <col min="10754" max="11008" width="9.140625" style="1815"/>
    <col min="11009" max="11009" width="28.5703125" style="1815" bestFit="1" customWidth="1"/>
    <col min="11010" max="11264" width="9.140625" style="1815"/>
    <col min="11265" max="11265" width="28.5703125" style="1815" bestFit="1" customWidth="1"/>
    <col min="11266" max="11520" width="9.140625" style="1815"/>
    <col min="11521" max="11521" width="28.5703125" style="1815" bestFit="1" customWidth="1"/>
    <col min="11522" max="11776" width="9.140625" style="1815"/>
    <col min="11777" max="11777" width="28.5703125" style="1815" bestFit="1" customWidth="1"/>
    <col min="11778" max="12032" width="9.140625" style="1815"/>
    <col min="12033" max="12033" width="28.5703125" style="1815" bestFit="1" customWidth="1"/>
    <col min="12034" max="12288" width="9.140625" style="1815"/>
    <col min="12289" max="12289" width="28.5703125" style="1815" bestFit="1" customWidth="1"/>
    <col min="12290" max="12544" width="9.140625" style="1815"/>
    <col min="12545" max="12545" width="28.5703125" style="1815" bestFit="1" customWidth="1"/>
    <col min="12546" max="12800" width="9.140625" style="1815"/>
    <col min="12801" max="12801" width="28.5703125" style="1815" bestFit="1" customWidth="1"/>
    <col min="12802" max="13056" width="9.140625" style="1815"/>
    <col min="13057" max="13057" width="28.5703125" style="1815" bestFit="1" customWidth="1"/>
    <col min="13058" max="13312" width="9.140625" style="1815"/>
    <col min="13313" max="13313" width="28.5703125" style="1815" bestFit="1" customWidth="1"/>
    <col min="13314" max="13568" width="9.140625" style="1815"/>
    <col min="13569" max="13569" width="28.5703125" style="1815" bestFit="1" customWidth="1"/>
    <col min="13570" max="13824" width="9.140625" style="1815"/>
    <col min="13825" max="13825" width="28.5703125" style="1815" bestFit="1" customWidth="1"/>
    <col min="13826" max="14080" width="9.140625" style="1815"/>
    <col min="14081" max="14081" width="28.5703125" style="1815" bestFit="1" customWidth="1"/>
    <col min="14082" max="14336" width="9.140625" style="1815"/>
    <col min="14337" max="14337" width="28.5703125" style="1815" bestFit="1" customWidth="1"/>
    <col min="14338" max="14592" width="9.140625" style="1815"/>
    <col min="14593" max="14593" width="28.5703125" style="1815" bestFit="1" customWidth="1"/>
    <col min="14594" max="14848" width="9.140625" style="1815"/>
    <col min="14849" max="14849" width="28.5703125" style="1815" bestFit="1" customWidth="1"/>
    <col min="14850" max="15104" width="9.140625" style="1815"/>
    <col min="15105" max="15105" width="28.5703125" style="1815" bestFit="1" customWidth="1"/>
    <col min="15106" max="15360" width="9.140625" style="1815"/>
    <col min="15361" max="15361" width="28.5703125" style="1815" bestFit="1" customWidth="1"/>
    <col min="15362" max="15616" width="9.140625" style="1815"/>
    <col min="15617" max="15617" width="28.5703125" style="1815" bestFit="1" customWidth="1"/>
    <col min="15618" max="15872" width="9.140625" style="1815"/>
    <col min="15873" max="15873" width="28.5703125" style="1815" bestFit="1" customWidth="1"/>
    <col min="15874" max="16128" width="9.140625" style="1815"/>
    <col min="16129" max="16129" width="28.5703125" style="1815" bestFit="1" customWidth="1"/>
    <col min="16130" max="16384" width="9.140625" style="1815"/>
  </cols>
  <sheetData>
    <row r="1" spans="1:1">
      <c r="A1" s="2336" t="s">
        <v>7602</v>
      </c>
    </row>
    <row r="2" spans="1:1">
      <c r="A2" s="2336" t="s">
        <v>7607</v>
      </c>
    </row>
    <row r="3" spans="1:1">
      <c r="A3" s="2336" t="s">
        <v>7608</v>
      </c>
    </row>
    <row r="4" spans="1:1">
      <c r="A4" s="2336" t="s">
        <v>7609</v>
      </c>
    </row>
    <row r="5" spans="1:1">
      <c r="A5" s="2336" t="s">
        <v>7610</v>
      </c>
    </row>
    <row r="6" spans="1:1">
      <c r="A6" s="2336" t="s">
        <v>7603</v>
      </c>
    </row>
    <row r="7" spans="1:1">
      <c r="A7" s="2336" t="s">
        <v>7611</v>
      </c>
    </row>
    <row r="8" spans="1:1">
      <c r="A8" s="2336" t="s">
        <v>7612</v>
      </c>
    </row>
    <row r="9" spans="1:1">
      <c r="A9" s="2336" t="s">
        <v>7613</v>
      </c>
    </row>
    <row r="10" spans="1:1">
      <c r="A10" s="2336" t="s">
        <v>7604</v>
      </c>
    </row>
    <row r="11" spans="1:1">
      <c r="A11" s="2336" t="s">
        <v>7614</v>
      </c>
    </row>
    <row r="12" spans="1:1">
      <c r="A12" s="2336" t="s">
        <v>7605</v>
      </c>
    </row>
    <row r="13" spans="1:1">
      <c r="A13" s="2336" t="s">
        <v>7606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IV49"/>
  <sheetViews>
    <sheetView workbookViewId="0"/>
  </sheetViews>
  <sheetFormatPr defaultRowHeight="12.75"/>
  <sheetData>
    <row r="1" spans="1:256">
      <c r="A1" t="s">
        <v>776</v>
      </c>
    </row>
    <row r="2" spans="1:256" s="1408" customFormat="1">
      <c r="A2" s="1408" t="s">
        <v>984</v>
      </c>
      <c r="B2" s="1408" t="s">
        <v>2514</v>
      </c>
      <c r="C2" s="1408" t="s">
        <v>3681</v>
      </c>
      <c r="D2" s="1408" t="s">
        <v>2514</v>
      </c>
      <c r="E2" s="1408" t="s">
        <v>4145</v>
      </c>
      <c r="F2" s="1408" t="s">
        <v>2514</v>
      </c>
      <c r="G2" s="1408" t="s">
        <v>3042</v>
      </c>
      <c r="H2" s="1408" t="s">
        <v>2514</v>
      </c>
      <c r="I2" s="1408" t="s">
        <v>6007</v>
      </c>
      <c r="J2" s="1408" t="s">
        <v>2514</v>
      </c>
      <c r="K2" s="1408" t="s">
        <v>6237</v>
      </c>
      <c r="L2" s="1408" t="s">
        <v>2514</v>
      </c>
      <c r="M2" s="1408" t="s">
        <v>5197</v>
      </c>
      <c r="N2" s="1408" t="s">
        <v>2514</v>
      </c>
      <c r="O2" s="1408" t="s">
        <v>2051</v>
      </c>
      <c r="P2" s="1408" t="s">
        <v>2514</v>
      </c>
      <c r="Q2" s="1408" t="s">
        <v>6766</v>
      </c>
      <c r="R2" s="1408" t="s">
        <v>2514</v>
      </c>
      <c r="S2" s="1408" t="s">
        <v>5403</v>
      </c>
      <c r="T2" s="1408" t="s">
        <v>2514</v>
      </c>
      <c r="U2" s="1408" t="s">
        <v>1462</v>
      </c>
      <c r="V2" s="1408" t="s">
        <v>2514</v>
      </c>
      <c r="W2" s="1408" t="s">
        <v>1433</v>
      </c>
      <c r="X2" s="1408" t="s">
        <v>2514</v>
      </c>
      <c r="Y2" s="1408" t="s">
        <v>3610</v>
      </c>
      <c r="Z2" s="1408" t="s">
        <v>2514</v>
      </c>
      <c r="AA2" s="1408" t="s">
        <v>6452</v>
      </c>
      <c r="AB2" s="1408" t="s">
        <v>2514</v>
      </c>
      <c r="AC2" s="1408" t="s">
        <v>1592</v>
      </c>
      <c r="AD2" s="1408" t="s">
        <v>2514</v>
      </c>
      <c r="AE2" s="1408" t="s">
        <v>3980</v>
      </c>
      <c r="AF2" s="1408" t="s">
        <v>2514</v>
      </c>
      <c r="AG2" s="1408" t="s">
        <v>5216</v>
      </c>
      <c r="AH2" s="1408" t="s">
        <v>2514</v>
      </c>
      <c r="AI2" s="1408" t="s">
        <v>6370</v>
      </c>
      <c r="AJ2" s="1408" t="s">
        <v>2514</v>
      </c>
      <c r="AK2" s="1408" t="s">
        <v>6280</v>
      </c>
      <c r="AL2" s="1408" t="s">
        <v>2514</v>
      </c>
      <c r="AM2" s="1408" t="s">
        <v>4335</v>
      </c>
      <c r="AN2" s="1408" t="s">
        <v>2514</v>
      </c>
      <c r="AO2" s="1408" t="s">
        <v>17</v>
      </c>
      <c r="AP2" s="1408" t="s">
        <v>2514</v>
      </c>
      <c r="AQ2" s="1408" t="s">
        <v>2685</v>
      </c>
      <c r="AR2" s="1408" t="s">
        <v>2514</v>
      </c>
      <c r="AS2" s="1408" t="s">
        <v>4714</v>
      </c>
      <c r="AT2" s="1408" t="s">
        <v>2514</v>
      </c>
      <c r="AU2" s="1408" t="s">
        <v>1104</v>
      </c>
      <c r="AV2" s="1408" t="s">
        <v>2514</v>
      </c>
      <c r="AW2" s="1408" t="s">
        <v>690</v>
      </c>
      <c r="AX2" s="1408" t="s">
        <v>2514</v>
      </c>
      <c r="AY2" s="1408" t="s">
        <v>5398</v>
      </c>
      <c r="AZ2" s="1408" t="s">
        <v>2514</v>
      </c>
      <c r="BA2" s="1408" t="s">
        <v>1616</v>
      </c>
      <c r="BB2" s="1408" t="s">
        <v>2514</v>
      </c>
      <c r="BC2" s="1408" t="s">
        <v>4622</v>
      </c>
      <c r="BD2" s="1408" t="s">
        <v>2514</v>
      </c>
      <c r="BE2" s="1408" t="s">
        <v>1139</v>
      </c>
      <c r="BF2" s="1408" t="s">
        <v>2514</v>
      </c>
      <c r="BG2" s="1408" t="s">
        <v>3229</v>
      </c>
      <c r="BH2" s="1408" t="s">
        <v>2514</v>
      </c>
      <c r="BI2" s="1408" t="s">
        <v>5468</v>
      </c>
      <c r="BJ2" s="1408" t="s">
        <v>2514</v>
      </c>
      <c r="BK2" s="1408" t="s">
        <v>3198</v>
      </c>
      <c r="BL2" s="1408" t="s">
        <v>2514</v>
      </c>
      <c r="BM2" s="1408" t="s">
        <v>558</v>
      </c>
      <c r="BN2" s="1408" t="s">
        <v>2514</v>
      </c>
      <c r="BO2" s="1408" t="s">
        <v>6612</v>
      </c>
      <c r="BP2" s="1408" t="s">
        <v>2514</v>
      </c>
      <c r="BQ2" s="1408" t="s">
        <v>5448</v>
      </c>
      <c r="BR2" s="1408" t="s">
        <v>2514</v>
      </c>
      <c r="BS2" s="1408" t="s">
        <v>5269</v>
      </c>
      <c r="BT2" s="1408" t="s">
        <v>2514</v>
      </c>
      <c r="BU2" s="1408" t="s">
        <v>932</v>
      </c>
      <c r="BV2" s="1408" t="s">
        <v>2514</v>
      </c>
      <c r="BW2" s="1408" t="s">
        <v>3223</v>
      </c>
      <c r="BX2" s="1408" t="s">
        <v>2514</v>
      </c>
      <c r="BY2" s="1408" t="s">
        <v>951</v>
      </c>
      <c r="BZ2" s="1408" t="s">
        <v>2514</v>
      </c>
      <c r="CA2" s="1408" t="s">
        <v>5850</v>
      </c>
      <c r="CB2" s="1408" t="s">
        <v>2514</v>
      </c>
      <c r="CC2" s="1408" t="s">
        <v>1759</v>
      </c>
      <c r="CD2" s="1408" t="s">
        <v>2514</v>
      </c>
      <c r="CE2" s="1408" t="s">
        <v>477</v>
      </c>
      <c r="CF2" s="1408" t="s">
        <v>2514</v>
      </c>
      <c r="CG2" s="1408" t="s">
        <v>613</v>
      </c>
      <c r="CH2" s="1408" t="s">
        <v>2514</v>
      </c>
      <c r="CI2" s="1408" t="s">
        <v>2749</v>
      </c>
      <c r="CJ2" s="1408" t="s">
        <v>2514</v>
      </c>
      <c r="CK2" s="1408" t="s">
        <v>6771</v>
      </c>
      <c r="CL2" s="1408" t="s">
        <v>2514</v>
      </c>
      <c r="CM2" s="1408" t="s">
        <v>5273</v>
      </c>
      <c r="CN2" s="1408" t="s">
        <v>2514</v>
      </c>
      <c r="CO2" s="1408" t="s">
        <v>6479</v>
      </c>
      <c r="CP2" s="1408" t="s">
        <v>2514</v>
      </c>
      <c r="CQ2" s="1408" t="s">
        <v>4965</v>
      </c>
      <c r="CR2" s="1408" t="s">
        <v>2514</v>
      </c>
      <c r="CS2" s="1408" t="s">
        <v>4023</v>
      </c>
      <c r="CT2" s="1408" t="s">
        <v>2514</v>
      </c>
      <c r="CU2" s="1408" t="s">
        <v>2212</v>
      </c>
      <c r="CV2" s="1408" t="s">
        <v>2514</v>
      </c>
      <c r="CW2" s="1408" t="s">
        <v>5814</v>
      </c>
      <c r="CX2" s="1408" t="s">
        <v>2514</v>
      </c>
      <c r="CY2" s="1408" t="s">
        <v>6951</v>
      </c>
      <c r="CZ2" s="1408" t="s">
        <v>2514</v>
      </c>
      <c r="DA2" s="1408" t="s">
        <v>4219</v>
      </c>
      <c r="DB2" s="1408" t="s">
        <v>2514</v>
      </c>
      <c r="DC2" s="1408" t="s">
        <v>3657</v>
      </c>
      <c r="DD2" s="1408" t="s">
        <v>2514</v>
      </c>
      <c r="DE2" s="1408" t="s">
        <v>5453</v>
      </c>
      <c r="DF2" s="1408" t="s">
        <v>2514</v>
      </c>
      <c r="DG2" s="1408" t="s">
        <v>18</v>
      </c>
      <c r="DH2" s="1408" t="s">
        <v>2514</v>
      </c>
      <c r="DI2" s="1408" t="s">
        <v>2942</v>
      </c>
      <c r="DJ2" s="1408" t="s">
        <v>2514</v>
      </c>
      <c r="DK2" s="1408" t="s">
        <v>305</v>
      </c>
      <c r="DL2" s="1408" t="s">
        <v>2514</v>
      </c>
      <c r="DM2" s="1408" t="s">
        <v>6892</v>
      </c>
      <c r="DN2" s="1408" t="s">
        <v>2514</v>
      </c>
      <c r="DO2" s="1408" t="s">
        <v>116</v>
      </c>
      <c r="DP2" s="1408" t="s">
        <v>2514</v>
      </c>
      <c r="DQ2" s="1408" t="s">
        <v>4349</v>
      </c>
      <c r="DR2" s="1408" t="s">
        <v>2514</v>
      </c>
      <c r="DS2" s="1408" t="s">
        <v>3598</v>
      </c>
      <c r="DT2" s="1408" t="s">
        <v>2514</v>
      </c>
      <c r="DU2" s="1408" t="s">
        <v>978</v>
      </c>
      <c r="DV2" s="1408" t="s">
        <v>2514</v>
      </c>
      <c r="DW2" s="1408" t="s">
        <v>2972</v>
      </c>
      <c r="DX2" s="1408" t="s">
        <v>2514</v>
      </c>
      <c r="DY2" s="1408" t="s">
        <v>4056</v>
      </c>
      <c r="DZ2" s="1408" t="s">
        <v>2514</v>
      </c>
      <c r="EA2" s="1408" t="s">
        <v>5485</v>
      </c>
      <c r="EB2" s="1408" t="s">
        <v>2514</v>
      </c>
      <c r="EC2" s="1408" t="s">
        <v>4841</v>
      </c>
      <c r="ED2" s="1408" t="s">
        <v>2514</v>
      </c>
      <c r="EE2" s="1408" t="s">
        <v>3433</v>
      </c>
      <c r="EF2" s="1408" t="s">
        <v>2514</v>
      </c>
      <c r="EG2" s="1408" t="s">
        <v>3559</v>
      </c>
      <c r="EH2" s="1408" t="s">
        <v>2514</v>
      </c>
      <c r="EI2" s="1408" t="s">
        <v>3230</v>
      </c>
      <c r="EJ2" s="1408" t="s">
        <v>2514</v>
      </c>
      <c r="EK2" s="1408" t="s">
        <v>919</v>
      </c>
      <c r="EL2" s="1408" t="s">
        <v>2514</v>
      </c>
      <c r="EM2" s="1408" t="s">
        <v>990</v>
      </c>
      <c r="EN2" s="1408" t="s">
        <v>2514</v>
      </c>
      <c r="EO2" s="1408" t="s">
        <v>6597</v>
      </c>
      <c r="EP2" s="1408" t="s">
        <v>2514</v>
      </c>
      <c r="EQ2" s="1408" t="s">
        <v>2587</v>
      </c>
      <c r="ER2" s="1408" t="s">
        <v>2514</v>
      </c>
      <c r="ES2" s="1408" t="s">
        <v>2229</v>
      </c>
      <c r="ET2" s="1408" t="s">
        <v>2514</v>
      </c>
      <c r="EU2" s="1408" t="s">
        <v>2641</v>
      </c>
      <c r="EV2" s="1408" t="s">
        <v>2514</v>
      </c>
      <c r="EW2" s="1408" t="s">
        <v>4878</v>
      </c>
      <c r="EX2" s="1408" t="s">
        <v>2514</v>
      </c>
      <c r="EY2" s="1408" t="s">
        <v>2470</v>
      </c>
      <c r="EZ2" s="1408" t="s">
        <v>2514</v>
      </c>
      <c r="FA2" s="1408" t="s">
        <v>2177</v>
      </c>
      <c r="FB2" s="1408" t="s">
        <v>2514</v>
      </c>
      <c r="FC2" s="1408" t="s">
        <v>728</v>
      </c>
      <c r="FD2" s="1408" t="s">
        <v>2514</v>
      </c>
      <c r="FE2" s="1408" t="s">
        <v>2036</v>
      </c>
      <c r="FF2" s="1408" t="s">
        <v>2514</v>
      </c>
      <c r="FG2" s="1408" t="s">
        <v>3149</v>
      </c>
      <c r="FH2" s="1408" t="s">
        <v>2514</v>
      </c>
      <c r="FI2" s="1408" t="s">
        <v>2152</v>
      </c>
      <c r="FJ2" s="1408" t="s">
        <v>2514</v>
      </c>
      <c r="FK2" s="1408" t="s">
        <v>6150</v>
      </c>
      <c r="FL2" s="1408" t="s">
        <v>2514</v>
      </c>
      <c r="FM2" s="1408" t="s">
        <v>1613</v>
      </c>
      <c r="FN2" s="1408" t="s">
        <v>2514</v>
      </c>
      <c r="FO2" s="1408" t="s">
        <v>68</v>
      </c>
      <c r="FP2" s="1408" t="s">
        <v>2514</v>
      </c>
      <c r="FQ2" s="1408" t="s">
        <v>4770</v>
      </c>
      <c r="FR2" s="1408" t="s">
        <v>2514</v>
      </c>
      <c r="FS2" s="1408" t="s">
        <v>2487</v>
      </c>
      <c r="FT2" s="1408" t="s">
        <v>2514</v>
      </c>
      <c r="FU2" s="1408" t="s">
        <v>4540</v>
      </c>
      <c r="FV2" s="1408" t="s">
        <v>2514</v>
      </c>
      <c r="FW2" s="1408" t="s">
        <v>5427</v>
      </c>
      <c r="FX2" s="1408" t="s">
        <v>2514</v>
      </c>
      <c r="FY2" s="1408" t="s">
        <v>775</v>
      </c>
      <c r="FZ2" s="1408" t="s">
        <v>2514</v>
      </c>
      <c r="GA2" s="1408" t="s">
        <v>3892</v>
      </c>
      <c r="GB2" s="1408" t="s">
        <v>2514</v>
      </c>
      <c r="GC2" s="1408" t="s">
        <v>1344</v>
      </c>
      <c r="GD2" s="1408" t="s">
        <v>2514</v>
      </c>
      <c r="GE2" s="1408" t="s">
        <v>1550</v>
      </c>
      <c r="GF2" s="1408" t="s">
        <v>2514</v>
      </c>
      <c r="GG2" s="1408" t="s">
        <v>4928</v>
      </c>
      <c r="GH2" s="1408" t="s">
        <v>2514</v>
      </c>
      <c r="GI2" s="1408" t="s">
        <v>2046</v>
      </c>
      <c r="GJ2" s="1408" t="s">
        <v>2514</v>
      </c>
      <c r="GK2" s="1408" t="s">
        <v>3977</v>
      </c>
      <c r="GL2" s="1408" t="s">
        <v>2514</v>
      </c>
      <c r="GM2" s="1408" t="s">
        <v>4662</v>
      </c>
      <c r="GN2" s="1408" t="s">
        <v>2514</v>
      </c>
      <c r="GO2" s="1408" t="s">
        <v>6830</v>
      </c>
      <c r="GP2" s="1408" t="s">
        <v>2514</v>
      </c>
      <c r="GQ2" s="1408" t="s">
        <v>1</v>
      </c>
      <c r="GR2" s="1408" t="s">
        <v>2514</v>
      </c>
      <c r="GS2" s="1408" t="s">
        <v>3774</v>
      </c>
      <c r="GT2" s="1408" t="s">
        <v>2514</v>
      </c>
      <c r="GU2" s="1408" t="s">
        <v>4048</v>
      </c>
      <c r="GV2" s="1408" t="s">
        <v>2514</v>
      </c>
      <c r="GW2" s="1408" t="s">
        <v>4359</v>
      </c>
      <c r="GX2" s="1408" t="s">
        <v>2514</v>
      </c>
      <c r="GY2" s="1408" t="s">
        <v>6838</v>
      </c>
      <c r="GZ2" s="1408" t="s">
        <v>2514</v>
      </c>
      <c r="HA2" s="1408" t="s">
        <v>2040</v>
      </c>
      <c r="HB2" s="1408" t="s">
        <v>2514</v>
      </c>
      <c r="HC2" s="1408" t="s">
        <v>6929</v>
      </c>
      <c r="HD2" s="1408" t="s">
        <v>2514</v>
      </c>
      <c r="HE2" s="1408" t="s">
        <v>462</v>
      </c>
      <c r="HF2" s="1408" t="s">
        <v>2514</v>
      </c>
      <c r="HG2" s="1408" t="s">
        <v>3700</v>
      </c>
      <c r="HH2" s="1408" t="s">
        <v>2514</v>
      </c>
      <c r="HI2" s="1408" t="s">
        <v>2117</v>
      </c>
      <c r="HJ2" s="1408" t="s">
        <v>2514</v>
      </c>
      <c r="HK2" s="1408" t="s">
        <v>2171</v>
      </c>
      <c r="HL2" s="1408" t="s">
        <v>2514</v>
      </c>
      <c r="HM2" s="1408" t="s">
        <v>386</v>
      </c>
      <c r="HN2" s="1408" t="s">
        <v>2514</v>
      </c>
      <c r="HO2" s="1408" t="s">
        <v>6534</v>
      </c>
      <c r="HP2" s="1408" t="s">
        <v>2514</v>
      </c>
      <c r="HQ2" s="1408" t="s">
        <v>4085</v>
      </c>
      <c r="HR2" s="1408" t="s">
        <v>2514</v>
      </c>
      <c r="HS2" s="1408" t="s">
        <v>5816</v>
      </c>
      <c r="HT2" s="1408" t="s">
        <v>2514</v>
      </c>
      <c r="HU2" s="1408" t="s">
        <v>2091</v>
      </c>
      <c r="HV2" s="1408" t="s">
        <v>2514</v>
      </c>
      <c r="HW2" s="1408" t="s">
        <v>2443</v>
      </c>
      <c r="HX2" s="1408" t="s">
        <v>2514</v>
      </c>
      <c r="HY2" s="1408" t="s">
        <v>4948</v>
      </c>
      <c r="HZ2" s="1408" t="s">
        <v>2514</v>
      </c>
      <c r="IA2" s="1408" t="s">
        <v>529</v>
      </c>
      <c r="IB2" s="1408" t="s">
        <v>2514</v>
      </c>
      <c r="IC2" s="1408" t="s">
        <v>4780</v>
      </c>
      <c r="ID2" s="1408" t="s">
        <v>2514</v>
      </c>
      <c r="IE2" s="1408" t="s">
        <v>6558</v>
      </c>
      <c r="IF2" s="1408" t="s">
        <v>2514</v>
      </c>
      <c r="IG2" s="1408" t="s">
        <v>4034</v>
      </c>
      <c r="IH2" s="1408" t="s">
        <v>2514</v>
      </c>
      <c r="II2" s="1408" t="s">
        <v>3366</v>
      </c>
      <c r="IJ2" s="1408" t="s">
        <v>2514</v>
      </c>
      <c r="IK2" s="1408" t="s">
        <v>4163</v>
      </c>
      <c r="IL2" s="1408" t="s">
        <v>2514</v>
      </c>
      <c r="IM2" s="1408" t="s">
        <v>2292</v>
      </c>
      <c r="IN2" s="1408" t="s">
        <v>2514</v>
      </c>
      <c r="IO2" s="1408" t="s">
        <v>6524</v>
      </c>
      <c r="IP2" s="1408" t="s">
        <v>2514</v>
      </c>
      <c r="IQ2" s="1408" t="s">
        <v>5765</v>
      </c>
      <c r="IR2" s="1408" t="s">
        <v>2514</v>
      </c>
      <c r="IS2" s="1408" t="s">
        <v>5015</v>
      </c>
      <c r="IT2" s="1408" t="s">
        <v>2514</v>
      </c>
      <c r="IU2" s="1408" t="s">
        <v>699</v>
      </c>
      <c r="IV2" s="1408" t="s">
        <v>2514</v>
      </c>
    </row>
    <row r="3" spans="1:256" s="1408" customFormat="1">
      <c r="A3" s="1408" t="s">
        <v>6522</v>
      </c>
      <c r="B3" s="1408" t="s">
        <v>2514</v>
      </c>
      <c r="C3" s="1408" t="s">
        <v>3699</v>
      </c>
      <c r="D3" s="1408" t="s">
        <v>2514</v>
      </c>
      <c r="E3" s="1408" t="s">
        <v>452</v>
      </c>
      <c r="F3" s="1408" t="s">
        <v>2514</v>
      </c>
      <c r="G3" s="1408" t="s">
        <v>2376</v>
      </c>
      <c r="H3" s="1408" t="s">
        <v>2514</v>
      </c>
      <c r="I3" s="1408" t="s">
        <v>3703</v>
      </c>
      <c r="J3" s="1408" t="s">
        <v>2514</v>
      </c>
      <c r="K3" s="1408" t="s">
        <v>6491</v>
      </c>
      <c r="L3" s="1408" t="s">
        <v>2514</v>
      </c>
      <c r="M3" s="1408" t="s">
        <v>3312</v>
      </c>
      <c r="N3" s="1408" t="s">
        <v>2514</v>
      </c>
      <c r="O3" s="1408" t="s">
        <v>3674</v>
      </c>
      <c r="P3" s="1408" t="s">
        <v>2514</v>
      </c>
      <c r="Q3" s="1408" t="s">
        <v>6165</v>
      </c>
      <c r="R3" s="1408" t="s">
        <v>2514</v>
      </c>
      <c r="S3" s="1408" t="s">
        <v>4141</v>
      </c>
      <c r="T3" s="1408" t="s">
        <v>2514</v>
      </c>
      <c r="U3" s="1408" t="s">
        <v>5383</v>
      </c>
      <c r="V3" s="1408" t="s">
        <v>2514</v>
      </c>
      <c r="W3" s="1408" t="s">
        <v>2915</v>
      </c>
      <c r="X3" s="1408" t="s">
        <v>2514</v>
      </c>
      <c r="Y3" s="1408" t="s">
        <v>4342</v>
      </c>
      <c r="Z3" s="1408" t="s">
        <v>2514</v>
      </c>
      <c r="AA3" s="1408" t="s">
        <v>5281</v>
      </c>
      <c r="AB3" s="1408" t="s">
        <v>2514</v>
      </c>
      <c r="AC3" s="1408" t="s">
        <v>5046</v>
      </c>
      <c r="AD3" s="1408" t="s">
        <v>2514</v>
      </c>
      <c r="AE3" s="1408" t="s">
        <v>2634</v>
      </c>
      <c r="AF3" s="1408" t="s">
        <v>2514</v>
      </c>
      <c r="AG3" s="1408" t="s">
        <v>5666</v>
      </c>
      <c r="AH3" s="1408" t="s">
        <v>2514</v>
      </c>
      <c r="AI3" s="1408" t="s">
        <v>4516</v>
      </c>
      <c r="AJ3" s="1408" t="s">
        <v>2514</v>
      </c>
      <c r="AK3" s="1408" t="s">
        <v>1712</v>
      </c>
      <c r="AL3" s="1408" t="s">
        <v>2514</v>
      </c>
      <c r="AM3" s="1408" t="s">
        <v>1193</v>
      </c>
      <c r="AN3" s="1408" t="s">
        <v>2514</v>
      </c>
      <c r="AO3" s="1408" t="s">
        <v>5749</v>
      </c>
      <c r="AP3" s="1408" t="s">
        <v>2514</v>
      </c>
      <c r="AQ3" s="1408" t="s">
        <v>2838</v>
      </c>
      <c r="AR3" s="1408" t="s">
        <v>2514</v>
      </c>
      <c r="AS3" s="1408" t="s">
        <v>2089</v>
      </c>
      <c r="AT3" s="1408" t="s">
        <v>2514</v>
      </c>
      <c r="AU3" s="1408" t="s">
        <v>2378</v>
      </c>
      <c r="AV3" s="1408" t="s">
        <v>2514</v>
      </c>
      <c r="AW3" s="1408" t="s">
        <v>3662</v>
      </c>
      <c r="AX3" s="1408" t="s">
        <v>2514</v>
      </c>
      <c r="AY3" s="1408" t="s">
        <v>1579</v>
      </c>
      <c r="AZ3" s="1408" t="s">
        <v>2514</v>
      </c>
      <c r="BA3" s="1408" t="s">
        <v>6489</v>
      </c>
      <c r="BB3" s="1408" t="s">
        <v>2514</v>
      </c>
      <c r="BC3" s="1408" t="s">
        <v>3429</v>
      </c>
      <c r="BD3" s="1408" t="s">
        <v>2514</v>
      </c>
      <c r="BE3" s="1408" t="s">
        <v>5925</v>
      </c>
      <c r="BF3" s="1408" t="s">
        <v>2514</v>
      </c>
      <c r="BG3" s="1408" t="s">
        <v>4286</v>
      </c>
      <c r="BH3" s="1408" t="s">
        <v>2514</v>
      </c>
      <c r="BI3" s="1408" t="s">
        <v>2900</v>
      </c>
      <c r="BJ3" s="1408" t="s">
        <v>2514</v>
      </c>
      <c r="BK3" s="1408" t="s">
        <v>3094</v>
      </c>
      <c r="BL3" s="1408" t="s">
        <v>2514</v>
      </c>
      <c r="BM3" s="1408" t="s">
        <v>3869</v>
      </c>
      <c r="BN3" s="1408" t="s">
        <v>2514</v>
      </c>
      <c r="BO3" s="1408" t="s">
        <v>6824</v>
      </c>
      <c r="BP3" s="1408" t="s">
        <v>2514</v>
      </c>
      <c r="BQ3" s="1408" t="s">
        <v>3991</v>
      </c>
      <c r="BR3" s="1408" t="s">
        <v>2514</v>
      </c>
      <c r="BS3" s="1408" t="s">
        <v>2084</v>
      </c>
      <c r="BT3" s="1408" t="s">
        <v>2514</v>
      </c>
      <c r="BU3" s="1408" t="s">
        <v>1412</v>
      </c>
      <c r="BV3" s="1408" t="s">
        <v>2514</v>
      </c>
      <c r="BW3" s="1408" t="s">
        <v>4277</v>
      </c>
      <c r="BX3" s="1408" t="s">
        <v>2514</v>
      </c>
      <c r="BY3" s="1408" t="s">
        <v>2348</v>
      </c>
      <c r="BZ3" s="1408" t="s">
        <v>2514</v>
      </c>
      <c r="CA3" s="1408" t="s">
        <v>4898</v>
      </c>
      <c r="CB3" s="1408" t="s">
        <v>2514</v>
      </c>
      <c r="CC3" s="1408" t="s">
        <v>1164</v>
      </c>
      <c r="CD3" s="1408" t="s">
        <v>2514</v>
      </c>
      <c r="CE3" s="1408" t="s">
        <v>3840</v>
      </c>
      <c r="CF3" s="1408" t="s">
        <v>2514</v>
      </c>
      <c r="CG3" s="1408" t="s">
        <v>6945</v>
      </c>
      <c r="CH3" s="1408" t="s">
        <v>2514</v>
      </c>
      <c r="CI3" s="1408" t="s">
        <v>2833</v>
      </c>
      <c r="CJ3" s="1408" t="s">
        <v>2514</v>
      </c>
      <c r="CK3" s="1408" t="s">
        <v>422</v>
      </c>
      <c r="CL3" s="1408" t="s">
        <v>2514</v>
      </c>
      <c r="CM3" s="1408" t="s">
        <v>5809</v>
      </c>
      <c r="CN3" s="1408" t="s">
        <v>2514</v>
      </c>
      <c r="CO3" s="1408" t="s">
        <v>4625</v>
      </c>
      <c r="CP3" s="1408" t="s">
        <v>2514</v>
      </c>
      <c r="CQ3" s="1408" t="s">
        <v>4869</v>
      </c>
      <c r="CR3" s="1408" t="s">
        <v>2514</v>
      </c>
      <c r="CS3" s="1408" t="s">
        <v>1961</v>
      </c>
      <c r="CT3" s="1408" t="s">
        <v>2514</v>
      </c>
      <c r="CU3" s="1408" t="s">
        <v>490</v>
      </c>
      <c r="CV3" s="1408" t="s">
        <v>2514</v>
      </c>
      <c r="CW3" s="1408" t="s">
        <v>4097</v>
      </c>
      <c r="CX3" s="1408" t="s">
        <v>2514</v>
      </c>
      <c r="CY3" s="1408" t="s">
        <v>693</v>
      </c>
      <c r="CZ3" s="1408" t="s">
        <v>2514</v>
      </c>
      <c r="DA3" s="1408" t="s">
        <v>3972</v>
      </c>
      <c r="DB3" s="1408" t="s">
        <v>2514</v>
      </c>
      <c r="DC3" s="1408" t="s">
        <v>1497</v>
      </c>
      <c r="DD3" s="1408" t="s">
        <v>2514</v>
      </c>
      <c r="DE3" s="1408" t="s">
        <v>3635</v>
      </c>
      <c r="DF3" s="1408" t="s">
        <v>2514</v>
      </c>
      <c r="DG3" s="1408" t="s">
        <v>4968</v>
      </c>
      <c r="DH3" s="1408" t="s">
        <v>2514</v>
      </c>
      <c r="DI3" s="1408" t="s">
        <v>1621</v>
      </c>
      <c r="DJ3" s="1408" t="s">
        <v>2514</v>
      </c>
      <c r="DK3" s="1408" t="s">
        <v>2829</v>
      </c>
      <c r="DL3" s="1408" t="s">
        <v>2514</v>
      </c>
      <c r="DM3" s="1408" t="s">
        <v>4300</v>
      </c>
      <c r="DN3" s="1408" t="s">
        <v>2514</v>
      </c>
      <c r="DO3" s="1408" t="s">
        <v>1077</v>
      </c>
      <c r="DP3" s="1408" t="s">
        <v>2514</v>
      </c>
      <c r="DQ3" s="1408" t="s">
        <v>4953</v>
      </c>
      <c r="DR3" s="1408" t="s">
        <v>2514</v>
      </c>
      <c r="DS3" s="1408" t="s">
        <v>3372</v>
      </c>
      <c r="DT3" s="1408" t="s">
        <v>2514</v>
      </c>
      <c r="DU3" s="1408" t="s">
        <v>857</v>
      </c>
      <c r="DV3" s="1408" t="s">
        <v>2514</v>
      </c>
      <c r="DW3" s="1408" t="s">
        <v>3921</v>
      </c>
      <c r="DX3" s="1408" t="s">
        <v>2514</v>
      </c>
      <c r="DY3" s="1408" t="s">
        <v>1529</v>
      </c>
      <c r="DZ3" s="1408" t="s">
        <v>2514</v>
      </c>
      <c r="EA3" s="1408" t="s">
        <v>1558</v>
      </c>
      <c r="EB3" s="1408" t="s">
        <v>2514</v>
      </c>
      <c r="EC3" s="1408" t="s">
        <v>5828</v>
      </c>
      <c r="ED3" s="1408" t="s">
        <v>2514</v>
      </c>
      <c r="EE3" s="1408" t="s">
        <v>876</v>
      </c>
      <c r="EF3" s="1408" t="s">
        <v>2514</v>
      </c>
      <c r="EG3" s="1408" t="s">
        <v>4726</v>
      </c>
      <c r="EH3" s="1408" t="s">
        <v>2514</v>
      </c>
      <c r="EI3" s="1408" t="s">
        <v>6728</v>
      </c>
      <c r="EJ3" s="1408" t="s">
        <v>2514</v>
      </c>
      <c r="EK3" s="1408" t="s">
        <v>5931</v>
      </c>
      <c r="EL3" s="1408" t="s">
        <v>2514</v>
      </c>
      <c r="EM3" s="1408" t="s">
        <v>216</v>
      </c>
      <c r="EN3" s="1408" t="s">
        <v>2514</v>
      </c>
      <c r="EO3" s="1408" t="s">
        <v>1808</v>
      </c>
      <c r="EP3" s="1408" t="s">
        <v>2514</v>
      </c>
      <c r="EQ3" s="1408" t="s">
        <v>6073</v>
      </c>
      <c r="ER3" s="1408" t="s">
        <v>2514</v>
      </c>
      <c r="ES3" s="1408" t="s">
        <v>3897</v>
      </c>
      <c r="ET3" s="1408" t="s">
        <v>2514</v>
      </c>
      <c r="EU3" s="1408" t="s">
        <v>4519</v>
      </c>
      <c r="EV3" s="1408" t="s">
        <v>2514</v>
      </c>
      <c r="EW3" s="1408" t="s">
        <v>1706</v>
      </c>
      <c r="EX3" s="1408" t="s">
        <v>2514</v>
      </c>
      <c r="EY3" s="1408" t="s">
        <v>2547</v>
      </c>
      <c r="EZ3" s="1408" t="s">
        <v>2514</v>
      </c>
      <c r="FA3" s="1408" t="s">
        <v>4909</v>
      </c>
      <c r="FB3" s="1408" t="s">
        <v>2514</v>
      </c>
      <c r="FC3" s="1408" t="s">
        <v>2988</v>
      </c>
      <c r="FD3" s="1408" t="s">
        <v>2514</v>
      </c>
      <c r="FE3" s="1408" t="s">
        <v>1239</v>
      </c>
      <c r="FF3" s="1408" t="s">
        <v>2514</v>
      </c>
      <c r="FG3" s="1408" t="s">
        <v>5849</v>
      </c>
      <c r="FH3" s="1408" t="s">
        <v>2514</v>
      </c>
      <c r="FI3" s="1408" t="s">
        <v>258</v>
      </c>
      <c r="FJ3" s="1408" t="s">
        <v>2514</v>
      </c>
      <c r="FK3" s="1408" t="s">
        <v>2468</v>
      </c>
      <c r="FL3" s="1408" t="s">
        <v>2514</v>
      </c>
      <c r="FM3" s="1408" t="s">
        <v>5100</v>
      </c>
      <c r="FN3" s="1408" t="s">
        <v>2514</v>
      </c>
      <c r="FO3" s="1408" t="s">
        <v>590</v>
      </c>
      <c r="FP3" s="1408" t="s">
        <v>2514</v>
      </c>
      <c r="FQ3" s="1408" t="s">
        <v>120</v>
      </c>
      <c r="FR3" s="1408" t="s">
        <v>2514</v>
      </c>
      <c r="FS3" s="1408" t="s">
        <v>1298</v>
      </c>
      <c r="FT3" s="1408" t="s">
        <v>2514</v>
      </c>
      <c r="FU3" s="1408" t="s">
        <v>142</v>
      </c>
      <c r="FV3" s="1408" t="s">
        <v>2514</v>
      </c>
      <c r="FW3" s="1408" t="s">
        <v>2672</v>
      </c>
      <c r="FX3" s="1408" t="s">
        <v>2514</v>
      </c>
      <c r="FY3" s="1408" t="s">
        <v>3408</v>
      </c>
      <c r="FZ3" s="1408" t="s">
        <v>2514</v>
      </c>
      <c r="GA3" s="1408" t="s">
        <v>4833</v>
      </c>
      <c r="GB3" s="1408" t="s">
        <v>2514</v>
      </c>
      <c r="GC3" s="1408" t="s">
        <v>2943</v>
      </c>
      <c r="GD3" s="1408" t="s">
        <v>2514</v>
      </c>
      <c r="GE3" s="1408" t="s">
        <v>6392</v>
      </c>
      <c r="GF3" s="1408" t="s">
        <v>2514</v>
      </c>
      <c r="GG3" s="1408" t="s">
        <v>5029</v>
      </c>
      <c r="GH3" s="1408" t="s">
        <v>2514</v>
      </c>
      <c r="GI3" s="1408" t="s">
        <v>4843</v>
      </c>
      <c r="GJ3" s="1408" t="s">
        <v>2514</v>
      </c>
      <c r="GK3" s="1408" t="s">
        <v>2705</v>
      </c>
      <c r="GL3" s="1408" t="s">
        <v>2514</v>
      </c>
      <c r="GM3" s="1408" t="s">
        <v>3528</v>
      </c>
      <c r="GN3" s="1408" t="s">
        <v>2514</v>
      </c>
      <c r="GO3" s="1408" t="s">
        <v>2453</v>
      </c>
      <c r="GP3" s="1408" t="s">
        <v>2514</v>
      </c>
      <c r="GQ3" s="1408" t="s">
        <v>192</v>
      </c>
      <c r="GR3" s="1408" t="s">
        <v>2514</v>
      </c>
      <c r="GS3" s="1408" t="s">
        <v>882</v>
      </c>
      <c r="GT3" s="1408" t="s">
        <v>2514</v>
      </c>
      <c r="GU3" s="1408" t="s">
        <v>311</v>
      </c>
      <c r="GV3" s="1408" t="s">
        <v>2514</v>
      </c>
      <c r="GW3" s="1408" t="s">
        <v>5970</v>
      </c>
      <c r="GX3" s="1408" t="s">
        <v>2514</v>
      </c>
      <c r="GY3" s="1408" t="s">
        <v>1314</v>
      </c>
      <c r="GZ3" s="1408" t="s">
        <v>2514</v>
      </c>
      <c r="HA3" s="1408" t="s">
        <v>2147</v>
      </c>
      <c r="HB3" s="1408" t="s">
        <v>2514</v>
      </c>
      <c r="HC3" s="1408" t="s">
        <v>251</v>
      </c>
      <c r="HD3" s="1408" t="s">
        <v>2514</v>
      </c>
      <c r="HE3" s="1408" t="s">
        <v>3988</v>
      </c>
      <c r="HF3" s="1408" t="s">
        <v>2514</v>
      </c>
      <c r="HG3" s="1408" t="s">
        <v>6494</v>
      </c>
      <c r="HH3" s="1408" t="s">
        <v>2514</v>
      </c>
      <c r="HI3" s="1408" t="s">
        <v>2739</v>
      </c>
      <c r="HJ3" s="1408" t="s">
        <v>2514</v>
      </c>
      <c r="HK3" s="1408" t="s">
        <v>5384</v>
      </c>
      <c r="HL3" s="1408" t="s">
        <v>2514</v>
      </c>
      <c r="HM3" s="1408" t="s">
        <v>6930</v>
      </c>
      <c r="HN3" s="1408" t="s">
        <v>2514</v>
      </c>
      <c r="HO3" s="1408" t="s">
        <v>3911</v>
      </c>
      <c r="HP3" s="1408" t="s">
        <v>2514</v>
      </c>
      <c r="HQ3" s="1408" t="s">
        <v>5864</v>
      </c>
      <c r="HR3" s="1408" t="s">
        <v>2514</v>
      </c>
      <c r="HS3" s="1408" t="s">
        <v>742</v>
      </c>
      <c r="HT3" s="1408" t="s">
        <v>2514</v>
      </c>
      <c r="HU3" s="1408" t="s">
        <v>306</v>
      </c>
      <c r="HV3" s="1408" t="s">
        <v>2514</v>
      </c>
      <c r="HW3" s="1408" t="s">
        <v>3669</v>
      </c>
      <c r="HX3" s="1408" t="s">
        <v>2514</v>
      </c>
      <c r="HY3" s="1408" t="s">
        <v>4985</v>
      </c>
      <c r="HZ3" s="1408" t="s">
        <v>2514</v>
      </c>
      <c r="IA3" s="1408" t="s">
        <v>5731</v>
      </c>
      <c r="IB3" s="1408" t="s">
        <v>2514</v>
      </c>
      <c r="IC3" s="1408" t="s">
        <v>2956</v>
      </c>
      <c r="ID3" s="1408" t="s">
        <v>2514</v>
      </c>
      <c r="IE3" s="1408" t="s">
        <v>3752</v>
      </c>
      <c r="IF3" s="1408" t="s">
        <v>2514</v>
      </c>
      <c r="IG3" s="1408" t="s">
        <v>2320</v>
      </c>
      <c r="IH3" s="1408" t="s">
        <v>2514</v>
      </c>
      <c r="II3" s="1408" t="s">
        <v>1889</v>
      </c>
      <c r="IJ3" s="1408" t="s">
        <v>2514</v>
      </c>
      <c r="IK3" s="1408" t="s">
        <v>5534</v>
      </c>
      <c r="IL3" s="1408" t="s">
        <v>2514</v>
      </c>
      <c r="IM3" s="1408" t="s">
        <v>193</v>
      </c>
      <c r="IN3" s="1408" t="s">
        <v>2514</v>
      </c>
      <c r="IO3" s="1408" t="s">
        <v>5200</v>
      </c>
      <c r="IP3" s="1408" t="s">
        <v>2514</v>
      </c>
      <c r="IQ3" s="1408" t="s">
        <v>3194</v>
      </c>
      <c r="IR3" s="1408" t="s">
        <v>2514</v>
      </c>
      <c r="IS3" s="1408" t="s">
        <v>5124</v>
      </c>
      <c r="IT3" s="1408" t="s">
        <v>2514</v>
      </c>
      <c r="IU3" s="1408" t="s">
        <v>4854</v>
      </c>
      <c r="IV3" s="1408" t="s">
        <v>2514</v>
      </c>
    </row>
    <row r="4" spans="1:256" s="1408" customFormat="1">
      <c r="A4" s="1408" t="s">
        <v>5410</v>
      </c>
      <c r="B4" s="1408" t="s">
        <v>2514</v>
      </c>
      <c r="C4" s="1408" t="s">
        <v>4164</v>
      </c>
      <c r="D4" s="1408" t="s">
        <v>2514</v>
      </c>
      <c r="E4" s="1408" t="s">
        <v>1671</v>
      </c>
      <c r="F4" s="1408" t="s">
        <v>2514</v>
      </c>
      <c r="G4" s="1408" t="s">
        <v>5466</v>
      </c>
      <c r="H4" s="1408" t="s">
        <v>2514</v>
      </c>
      <c r="I4" s="1408" t="s">
        <v>6903</v>
      </c>
      <c r="J4" s="1408" t="s">
        <v>2514</v>
      </c>
      <c r="K4" s="1408" t="s">
        <v>5007</v>
      </c>
      <c r="L4" s="1408" t="s">
        <v>2514</v>
      </c>
      <c r="M4" s="1408" t="s">
        <v>3181</v>
      </c>
      <c r="N4" s="1408" t="s">
        <v>2514</v>
      </c>
      <c r="O4" s="1408" t="s">
        <v>3373</v>
      </c>
      <c r="P4" s="1408" t="s">
        <v>2514</v>
      </c>
      <c r="Q4" s="1408" t="s">
        <v>1912</v>
      </c>
      <c r="R4" s="1408" t="s">
        <v>2514</v>
      </c>
      <c r="S4" s="1408" t="s">
        <v>4768</v>
      </c>
      <c r="T4" s="1408" t="s">
        <v>2514</v>
      </c>
      <c r="U4" s="1408" t="s">
        <v>2397</v>
      </c>
      <c r="V4" s="1408" t="s">
        <v>2514</v>
      </c>
      <c r="W4" s="1408" t="s">
        <v>4315</v>
      </c>
      <c r="X4" s="1408" t="s">
        <v>2514</v>
      </c>
      <c r="Y4" s="1408" t="s">
        <v>4138</v>
      </c>
      <c r="Z4" s="1408" t="s">
        <v>2514</v>
      </c>
      <c r="AA4" s="1408" t="s">
        <v>1680</v>
      </c>
      <c r="AB4" s="1408" t="s">
        <v>2514</v>
      </c>
      <c r="AC4" s="1408" t="s">
        <v>3727</v>
      </c>
      <c r="AD4" s="1408" t="s">
        <v>2514</v>
      </c>
      <c r="AE4" s="1408" t="s">
        <v>3859</v>
      </c>
      <c r="AF4" s="1408" t="s">
        <v>2514</v>
      </c>
      <c r="AG4" s="1408" t="s">
        <v>6573</v>
      </c>
      <c r="AH4" s="1408" t="s">
        <v>2514</v>
      </c>
      <c r="AI4" s="1408" t="s">
        <v>721</v>
      </c>
      <c r="AJ4" s="1408" t="s">
        <v>2514</v>
      </c>
      <c r="AK4" s="1408" t="s">
        <v>1553</v>
      </c>
      <c r="AL4" s="1408" t="s">
        <v>2514</v>
      </c>
      <c r="AM4" s="1408" t="s">
        <v>181</v>
      </c>
      <c r="AN4" s="1408" t="s">
        <v>2514</v>
      </c>
      <c r="AO4" s="1408" t="s">
        <v>1723</v>
      </c>
      <c r="AP4" s="1408" t="s">
        <v>2514</v>
      </c>
      <c r="AQ4" s="1408" t="s">
        <v>2979</v>
      </c>
      <c r="AR4" s="1408" t="s">
        <v>2514</v>
      </c>
      <c r="AS4" s="1408" t="s">
        <v>454</v>
      </c>
      <c r="AT4" s="1408" t="s">
        <v>2514</v>
      </c>
      <c r="AU4" s="1408" t="s">
        <v>1330</v>
      </c>
      <c r="AV4" s="1408" t="s">
        <v>2514</v>
      </c>
      <c r="AW4" s="1408" t="s">
        <v>2140</v>
      </c>
      <c r="AX4" s="1408" t="s">
        <v>2514</v>
      </c>
      <c r="AY4" s="1408" t="s">
        <v>3276</v>
      </c>
      <c r="AZ4" s="1408" t="s">
        <v>2514</v>
      </c>
      <c r="BA4" s="1408" t="s">
        <v>4538</v>
      </c>
      <c r="BB4" s="1408" t="s">
        <v>2514</v>
      </c>
      <c r="BC4" s="1408" t="s">
        <v>2802</v>
      </c>
      <c r="BD4" s="1408" t="s">
        <v>2514</v>
      </c>
      <c r="BE4" s="1408" t="s">
        <v>2740</v>
      </c>
      <c r="BF4" s="1408" t="s">
        <v>2514</v>
      </c>
      <c r="BG4" s="1408" t="s">
        <v>5957</v>
      </c>
      <c r="BH4" s="1408" t="s">
        <v>2514</v>
      </c>
      <c r="BI4" s="1408" t="s">
        <v>3899</v>
      </c>
      <c r="BJ4" s="1408" t="s">
        <v>2514</v>
      </c>
      <c r="BK4" s="1408" t="s">
        <v>4693</v>
      </c>
      <c r="BL4" s="1408" t="s">
        <v>2514</v>
      </c>
      <c r="BM4" s="1408" t="s">
        <v>6373</v>
      </c>
      <c r="BN4" s="1408" t="s">
        <v>2514</v>
      </c>
      <c r="BO4" s="1408" t="s">
        <v>229</v>
      </c>
      <c r="BP4" s="1408" t="s">
        <v>2514</v>
      </c>
      <c r="BQ4" s="1408" t="s">
        <v>12</v>
      </c>
      <c r="BR4" s="1408" t="s">
        <v>2514</v>
      </c>
      <c r="BS4" s="1408" t="s">
        <v>2606</v>
      </c>
      <c r="BT4" s="1408" t="s">
        <v>2514</v>
      </c>
      <c r="BU4" s="1408" t="s">
        <v>894</v>
      </c>
      <c r="BV4" s="1408" t="s">
        <v>2514</v>
      </c>
      <c r="BW4" s="1408" t="s">
        <v>1738</v>
      </c>
      <c r="BX4" s="1408" t="s">
        <v>2514</v>
      </c>
      <c r="BY4" s="1408" t="s">
        <v>6167</v>
      </c>
      <c r="BZ4" s="1408" t="s">
        <v>2514</v>
      </c>
      <c r="CA4" s="1408" t="s">
        <v>2157</v>
      </c>
      <c r="CB4" s="1408" t="s">
        <v>2514</v>
      </c>
      <c r="CC4" s="1408" t="s">
        <v>5810</v>
      </c>
      <c r="CD4" s="1408" t="s">
        <v>2514</v>
      </c>
      <c r="CE4" s="1408" t="s">
        <v>801</v>
      </c>
      <c r="CF4" s="1408" t="s">
        <v>2514</v>
      </c>
      <c r="CG4" s="1408" t="s">
        <v>1778</v>
      </c>
      <c r="CH4" s="1408" t="s">
        <v>2514</v>
      </c>
      <c r="CI4" s="1408" t="s">
        <v>5392</v>
      </c>
      <c r="CJ4" s="1408" t="s">
        <v>2514</v>
      </c>
      <c r="CK4" s="1408" t="s">
        <v>3983</v>
      </c>
      <c r="CL4" s="1408" t="s">
        <v>2514</v>
      </c>
      <c r="CM4" s="1408" t="s">
        <v>6333</v>
      </c>
      <c r="CN4" s="1408" t="s">
        <v>2514</v>
      </c>
      <c r="CO4" s="1408" t="s">
        <v>5390</v>
      </c>
      <c r="CP4" s="1408" t="s">
        <v>2514</v>
      </c>
      <c r="CQ4" s="1408" t="s">
        <v>5024</v>
      </c>
      <c r="CR4" s="1408" t="s">
        <v>2514</v>
      </c>
      <c r="CS4" s="1408" t="s">
        <v>3516</v>
      </c>
      <c r="CT4" s="1408" t="s">
        <v>2514</v>
      </c>
      <c r="CU4" s="1408" t="s">
        <v>6099</v>
      </c>
      <c r="CV4" s="1408" t="s">
        <v>2514</v>
      </c>
      <c r="CW4" s="1408" t="s">
        <v>4039</v>
      </c>
      <c r="CX4" s="1408" t="s">
        <v>2514</v>
      </c>
      <c r="CY4" s="1408" t="s">
        <v>6762</v>
      </c>
      <c r="CZ4" s="1408" t="s">
        <v>2514</v>
      </c>
      <c r="DA4" s="1408" t="s">
        <v>117</v>
      </c>
      <c r="DB4" s="1408" t="s">
        <v>2514</v>
      </c>
      <c r="DC4" s="1408" t="s">
        <v>146</v>
      </c>
      <c r="DD4" s="1408" t="s">
        <v>2514</v>
      </c>
      <c r="DE4" s="1408" t="s">
        <v>4658</v>
      </c>
      <c r="DF4" s="1408" t="s">
        <v>2514</v>
      </c>
      <c r="DG4" s="1408" t="s">
        <v>2178</v>
      </c>
      <c r="DH4" s="1408" t="s">
        <v>2514</v>
      </c>
      <c r="DI4" s="1408" t="s">
        <v>6398</v>
      </c>
      <c r="DJ4" s="1408" t="s">
        <v>2514</v>
      </c>
      <c r="DK4" s="1408" t="s">
        <v>2021</v>
      </c>
      <c r="DL4" s="1408" t="s">
        <v>2514</v>
      </c>
      <c r="DM4" s="1408" t="s">
        <v>5230</v>
      </c>
      <c r="DN4" s="1408" t="s">
        <v>2514</v>
      </c>
      <c r="DO4" s="1408" t="s">
        <v>6837</v>
      </c>
      <c r="DP4" s="1408" t="s">
        <v>2514</v>
      </c>
      <c r="DQ4" s="1408" t="s">
        <v>2294</v>
      </c>
      <c r="DR4" s="1408" t="s">
        <v>2514</v>
      </c>
      <c r="DS4" s="1408" t="s">
        <v>1348</v>
      </c>
      <c r="DT4" s="1408" t="s">
        <v>2514</v>
      </c>
      <c r="DU4" s="1408" t="s">
        <v>288</v>
      </c>
      <c r="DV4" s="1408" t="s">
        <v>2514</v>
      </c>
      <c r="DW4" s="1408" t="s">
        <v>818</v>
      </c>
      <c r="DX4" s="1408" t="s">
        <v>2514</v>
      </c>
      <c r="DY4" s="1408" t="s">
        <v>3306</v>
      </c>
      <c r="DZ4" s="1408" t="s">
        <v>2514</v>
      </c>
      <c r="EA4" s="1408" t="s">
        <v>4541</v>
      </c>
      <c r="EB4" s="1408" t="s">
        <v>2514</v>
      </c>
      <c r="EC4" s="1408" t="s">
        <v>3032</v>
      </c>
      <c r="ED4" s="1408" t="s">
        <v>2514</v>
      </c>
      <c r="EE4" s="1408" t="s">
        <v>6184</v>
      </c>
      <c r="EF4" s="1408" t="s">
        <v>2514</v>
      </c>
      <c r="EG4" s="1408" t="s">
        <v>4887</v>
      </c>
      <c r="EH4" s="1408" t="s">
        <v>2514</v>
      </c>
      <c r="EI4" s="1408" t="s">
        <v>4884</v>
      </c>
      <c r="EJ4" s="1408" t="s">
        <v>2514</v>
      </c>
      <c r="EK4" s="1408" t="s">
        <v>3653</v>
      </c>
      <c r="EL4" s="1408" t="s">
        <v>2514</v>
      </c>
      <c r="EM4" s="1408" t="s">
        <v>133</v>
      </c>
      <c r="EN4" s="1408" t="s">
        <v>2514</v>
      </c>
      <c r="EO4" s="1408" t="s">
        <v>1477</v>
      </c>
      <c r="EP4" s="1408" t="s">
        <v>2514</v>
      </c>
      <c r="EQ4" s="1408" t="s">
        <v>2254</v>
      </c>
      <c r="ER4" s="1408" t="s">
        <v>2514</v>
      </c>
      <c r="ES4" s="1408" t="s">
        <v>4168</v>
      </c>
      <c r="ET4" s="1408" t="s">
        <v>2514</v>
      </c>
      <c r="EU4" s="1408" t="s">
        <v>5865</v>
      </c>
      <c r="EV4" s="1408" t="s">
        <v>2514</v>
      </c>
      <c r="EW4" s="1408" t="s">
        <v>406</v>
      </c>
      <c r="EX4" s="1408" t="s">
        <v>2514</v>
      </c>
      <c r="EY4" s="1408" t="s">
        <v>5759</v>
      </c>
      <c r="EZ4" s="1408" t="s">
        <v>2514</v>
      </c>
      <c r="FA4" s="1408" t="s">
        <v>6769</v>
      </c>
      <c r="FB4" s="1408" t="s">
        <v>2514</v>
      </c>
      <c r="FC4" s="1408" t="s">
        <v>6359</v>
      </c>
      <c r="FD4" s="1408" t="s">
        <v>2514</v>
      </c>
      <c r="FE4" s="1408" t="s">
        <v>799</v>
      </c>
      <c r="FF4" s="1408" t="s">
        <v>2514</v>
      </c>
      <c r="FG4" s="1408" t="s">
        <v>4874</v>
      </c>
      <c r="FH4" s="1408" t="s">
        <v>2514</v>
      </c>
      <c r="FI4" s="1408" t="s">
        <v>5927</v>
      </c>
      <c r="FJ4" s="1408" t="s">
        <v>2514</v>
      </c>
      <c r="FK4" s="1408" t="s">
        <v>794</v>
      </c>
      <c r="FL4" s="1408" t="s">
        <v>2514</v>
      </c>
      <c r="FM4" s="1408" t="s">
        <v>4121</v>
      </c>
      <c r="FN4" s="1408" t="s">
        <v>2514</v>
      </c>
      <c r="FO4" s="1408" t="s">
        <v>5205</v>
      </c>
      <c r="FP4" s="1408" t="s">
        <v>2514</v>
      </c>
      <c r="FQ4" s="1408" t="s">
        <v>1034</v>
      </c>
      <c r="FR4" s="1408" t="s">
        <v>2514</v>
      </c>
      <c r="FS4" s="1408" t="s">
        <v>2785</v>
      </c>
      <c r="FT4" s="1408" t="s">
        <v>2514</v>
      </c>
      <c r="FU4" s="1408" t="s">
        <v>1187</v>
      </c>
      <c r="FV4" s="1408" t="s">
        <v>2514</v>
      </c>
      <c r="FW4" s="1408" t="s">
        <v>3119</v>
      </c>
      <c r="FX4" s="1408" t="s">
        <v>2514</v>
      </c>
      <c r="FY4" s="1408" t="s">
        <v>2804</v>
      </c>
      <c r="FZ4" s="1408" t="s">
        <v>2514</v>
      </c>
      <c r="GA4" s="1408" t="s">
        <v>4656</v>
      </c>
      <c r="GB4" s="1408" t="s">
        <v>2514</v>
      </c>
      <c r="GC4" s="1408" t="s">
        <v>1361</v>
      </c>
      <c r="GD4" s="1408" t="s">
        <v>2514</v>
      </c>
      <c r="GE4" s="1408" t="s">
        <v>3838</v>
      </c>
      <c r="GF4" s="1408" t="s">
        <v>2514</v>
      </c>
      <c r="GG4" s="1408" t="s">
        <v>2283</v>
      </c>
      <c r="GH4" s="1408" t="s">
        <v>2514</v>
      </c>
      <c r="GI4" s="1408" t="s">
        <v>5303</v>
      </c>
      <c r="GJ4" s="1408" t="s">
        <v>2514</v>
      </c>
      <c r="GK4" s="1408" t="s">
        <v>5635</v>
      </c>
      <c r="GL4" s="1408" t="s">
        <v>2514</v>
      </c>
      <c r="GM4" s="1408" t="s">
        <v>4820</v>
      </c>
      <c r="GN4" s="1408" t="s">
        <v>2514</v>
      </c>
      <c r="GO4" s="1408" t="s">
        <v>3003</v>
      </c>
      <c r="GP4" s="1408" t="s">
        <v>2514</v>
      </c>
      <c r="GQ4" s="1408" t="s">
        <v>1367</v>
      </c>
      <c r="GR4" s="1408" t="s">
        <v>2514</v>
      </c>
      <c r="GS4" s="1408" t="s">
        <v>1376</v>
      </c>
      <c r="GT4" s="1408" t="s">
        <v>2514</v>
      </c>
      <c r="GU4" s="1408" t="s">
        <v>3615</v>
      </c>
      <c r="GV4" s="1408" t="s">
        <v>2514</v>
      </c>
      <c r="GW4" s="1408" t="s">
        <v>6823</v>
      </c>
      <c r="GX4" s="1408" t="s">
        <v>2514</v>
      </c>
      <c r="GY4" s="1408" t="s">
        <v>4637</v>
      </c>
      <c r="GZ4" s="1408" t="s">
        <v>2514</v>
      </c>
      <c r="HA4" s="1408" t="s">
        <v>4330</v>
      </c>
      <c r="HB4" s="1408" t="s">
        <v>2514</v>
      </c>
      <c r="HC4" s="1408" t="s">
        <v>2928</v>
      </c>
      <c r="HD4" s="1408" t="s">
        <v>2514</v>
      </c>
      <c r="HE4" s="1408" t="s">
        <v>361</v>
      </c>
      <c r="HF4" s="1408" t="s">
        <v>2514</v>
      </c>
      <c r="HG4" s="1408" t="s">
        <v>2118</v>
      </c>
      <c r="HH4" s="1408" t="s">
        <v>2514</v>
      </c>
      <c r="HI4" s="1408" t="s">
        <v>5088</v>
      </c>
      <c r="HJ4" s="1408" t="s">
        <v>2514</v>
      </c>
      <c r="HK4" s="1408" t="s">
        <v>2851</v>
      </c>
      <c r="HL4" s="1408" t="s">
        <v>2514</v>
      </c>
      <c r="HM4" s="1408" t="s">
        <v>2496</v>
      </c>
      <c r="HN4" s="1408" t="s">
        <v>6139</v>
      </c>
      <c r="HO4" s="1408" t="s">
        <v>6579</v>
      </c>
      <c r="HP4" s="1408" t="s">
        <v>2514</v>
      </c>
      <c r="HQ4" s="1408" t="s">
        <v>4812</v>
      </c>
      <c r="HR4" s="1408" t="s">
        <v>2514</v>
      </c>
      <c r="HS4" s="1408" t="s">
        <v>5593</v>
      </c>
      <c r="HT4" s="1408" t="s">
        <v>2514</v>
      </c>
      <c r="HU4" s="1408" t="s">
        <v>3684</v>
      </c>
      <c r="HV4" s="1408" t="s">
        <v>2514</v>
      </c>
      <c r="HW4" s="1408" t="s">
        <v>6425</v>
      </c>
      <c r="HX4" s="1408" t="s">
        <v>2514</v>
      </c>
      <c r="HY4" s="1408" t="s">
        <v>3138</v>
      </c>
      <c r="HZ4" s="1408" t="s">
        <v>2514</v>
      </c>
      <c r="IA4" s="1408" t="s">
        <v>540</v>
      </c>
      <c r="IB4" s="1408" t="s">
        <v>2514</v>
      </c>
      <c r="IC4" s="1408" t="s">
        <v>4005</v>
      </c>
      <c r="ID4" s="1408" t="s">
        <v>2514</v>
      </c>
      <c r="IE4" s="1408" t="s">
        <v>5733</v>
      </c>
      <c r="IF4" s="1408" t="s">
        <v>2514</v>
      </c>
      <c r="IG4" s="1408" t="s">
        <v>4775</v>
      </c>
      <c r="IH4" s="1408" t="s">
        <v>2514</v>
      </c>
      <c r="II4" s="1408" t="s">
        <v>3751</v>
      </c>
      <c r="IJ4" s="1408" t="s">
        <v>2514</v>
      </c>
      <c r="IK4" s="1408" t="s">
        <v>2275</v>
      </c>
      <c r="IL4" s="1408" t="s">
        <v>2514</v>
      </c>
      <c r="IM4" s="1408" t="s">
        <v>6466</v>
      </c>
      <c r="IN4" s="1408" t="s">
        <v>2514</v>
      </c>
      <c r="IO4" s="1408" t="s">
        <v>5313</v>
      </c>
      <c r="IP4" s="1408" t="s">
        <v>2514</v>
      </c>
      <c r="IQ4" s="1408" t="s">
        <v>78</v>
      </c>
      <c r="IR4" s="1408" t="s">
        <v>2514</v>
      </c>
      <c r="IS4" s="1408" t="s">
        <v>3391</v>
      </c>
      <c r="IT4" s="1408" t="s">
        <v>2514</v>
      </c>
      <c r="IU4" s="1408" t="s">
        <v>118</v>
      </c>
      <c r="IV4" s="1408" t="s">
        <v>2514</v>
      </c>
    </row>
    <row r="5" spans="1:256" s="1408" customFormat="1">
      <c r="A5" s="1408" t="s">
        <v>1980</v>
      </c>
      <c r="B5" s="1408" t="s">
        <v>2514</v>
      </c>
      <c r="C5" s="1408" t="s">
        <v>1226</v>
      </c>
      <c r="D5" s="1408" t="s">
        <v>2514</v>
      </c>
      <c r="E5" s="1408" t="s">
        <v>272</v>
      </c>
      <c r="F5" s="1408" t="s">
        <v>2514</v>
      </c>
      <c r="G5" s="1408" t="s">
        <v>4119</v>
      </c>
      <c r="H5" s="1408" t="s">
        <v>2514</v>
      </c>
      <c r="I5" s="1408" t="s">
        <v>5095</v>
      </c>
      <c r="J5" s="1408" t="s">
        <v>2514</v>
      </c>
      <c r="K5" s="1408" t="s">
        <v>4664</v>
      </c>
      <c r="L5" s="1408" t="s">
        <v>2514</v>
      </c>
      <c r="M5" s="1408" t="s">
        <v>692</v>
      </c>
      <c r="N5" s="1408" t="s">
        <v>2514</v>
      </c>
      <c r="O5" s="1408" t="s">
        <v>2511</v>
      </c>
      <c r="P5" s="1408" t="s">
        <v>2513</v>
      </c>
      <c r="Q5" s="1408" t="s">
        <v>1455</v>
      </c>
      <c r="R5" s="1408" t="s">
        <v>2514</v>
      </c>
      <c r="S5" s="1408" t="s">
        <v>1974</v>
      </c>
      <c r="T5" s="1408" t="s">
        <v>2514</v>
      </c>
      <c r="U5" s="1408" t="s">
        <v>1654</v>
      </c>
      <c r="V5" s="1408" t="s">
        <v>2514</v>
      </c>
      <c r="W5" s="1408" t="s">
        <v>6242</v>
      </c>
      <c r="X5" s="1408" t="s">
        <v>2514</v>
      </c>
      <c r="Y5" s="1408" t="s">
        <v>6142</v>
      </c>
      <c r="Z5" s="1408" t="s">
        <v>2514</v>
      </c>
      <c r="AA5" s="1408" t="s">
        <v>6402</v>
      </c>
      <c r="AB5" s="1408" t="s">
        <v>2514</v>
      </c>
      <c r="AC5" s="1408" t="s">
        <v>1184</v>
      </c>
      <c r="AD5" s="1408" t="s">
        <v>2514</v>
      </c>
      <c r="AE5" s="1408" t="s">
        <v>5299</v>
      </c>
      <c r="AF5" s="1408" t="s">
        <v>2514</v>
      </c>
      <c r="AG5" s="1408" t="s">
        <v>4404</v>
      </c>
      <c r="AH5" s="1408" t="s">
        <v>2514</v>
      </c>
      <c r="AI5" s="1408" t="s">
        <v>1453</v>
      </c>
      <c r="AJ5" s="1408" t="s">
        <v>2514</v>
      </c>
      <c r="AK5" s="1408" t="s">
        <v>5337</v>
      </c>
      <c r="AL5" s="1408" t="s">
        <v>2514</v>
      </c>
      <c r="AM5" s="1408" t="s">
        <v>3132</v>
      </c>
      <c r="AN5" s="1408" t="s">
        <v>2514</v>
      </c>
      <c r="AO5" s="1408" t="s">
        <v>1166</v>
      </c>
      <c r="AP5" s="1408" t="s">
        <v>2514</v>
      </c>
      <c r="AQ5" s="1408" t="s">
        <v>2311</v>
      </c>
      <c r="AR5" s="1408" t="s">
        <v>2514</v>
      </c>
      <c r="AS5" s="1408" t="s">
        <v>5835</v>
      </c>
      <c r="AT5" s="1408" t="s">
        <v>2514</v>
      </c>
      <c r="AU5" s="1408" t="s">
        <v>3215</v>
      </c>
      <c r="AV5" s="1408" t="s">
        <v>2514</v>
      </c>
      <c r="AW5" s="1408" t="s">
        <v>970</v>
      </c>
      <c r="AX5" s="1408" t="s">
        <v>2514</v>
      </c>
      <c r="AY5" s="1408" t="s">
        <v>2987</v>
      </c>
      <c r="AZ5" s="1408" t="s">
        <v>2514</v>
      </c>
      <c r="BA5" s="1408" t="s">
        <v>6720</v>
      </c>
      <c r="BB5" s="1408" t="s">
        <v>2514</v>
      </c>
      <c r="BC5" s="1408" t="s">
        <v>6268</v>
      </c>
      <c r="BD5" s="1408" t="s">
        <v>2514</v>
      </c>
      <c r="BE5" s="1408" t="s">
        <v>1734</v>
      </c>
      <c r="BF5" s="1408" t="s">
        <v>2514</v>
      </c>
      <c r="BG5" s="1408" t="s">
        <v>5486</v>
      </c>
      <c r="BH5" s="1408" t="s">
        <v>2514</v>
      </c>
      <c r="BI5" s="1408" t="s">
        <v>32</v>
      </c>
      <c r="BJ5" s="1408" t="s">
        <v>2514</v>
      </c>
      <c r="BK5" s="1408" t="s">
        <v>1006</v>
      </c>
      <c r="BL5" s="1408" t="s">
        <v>2514</v>
      </c>
      <c r="BM5" s="1408" t="s">
        <v>5114</v>
      </c>
      <c r="BN5" s="1408" t="s">
        <v>2514</v>
      </c>
      <c r="BO5" s="1408" t="s">
        <v>1586</v>
      </c>
      <c r="BP5" s="1408" t="s">
        <v>2514</v>
      </c>
      <c r="BQ5" s="1408" t="s">
        <v>4534</v>
      </c>
      <c r="BR5" s="1408" t="s">
        <v>2514</v>
      </c>
      <c r="BS5" s="1408" t="s">
        <v>6833</v>
      </c>
      <c r="BT5" s="1408" t="s">
        <v>2514</v>
      </c>
      <c r="BU5" s="1408" t="s">
        <v>3020</v>
      </c>
      <c r="BV5" s="1408" t="s">
        <v>2514</v>
      </c>
      <c r="BW5" s="1408" t="s">
        <v>2800</v>
      </c>
      <c r="BX5" s="1408" t="s">
        <v>2514</v>
      </c>
      <c r="BY5" s="1408" t="s">
        <v>1202</v>
      </c>
      <c r="BZ5" s="1408" t="s">
        <v>2514</v>
      </c>
      <c r="CA5" s="1408" t="s">
        <v>972</v>
      </c>
      <c r="CB5" s="1408" t="s">
        <v>2514</v>
      </c>
      <c r="CC5" s="1408" t="s">
        <v>6330</v>
      </c>
      <c r="CD5" s="1408" t="s">
        <v>2514</v>
      </c>
      <c r="CE5" s="1408" t="s">
        <v>729</v>
      </c>
      <c r="CF5" s="1408" t="s">
        <v>2514</v>
      </c>
      <c r="CG5" s="1408" t="s">
        <v>4866</v>
      </c>
      <c r="CH5" s="1408" t="s">
        <v>2514</v>
      </c>
      <c r="CI5" s="1408" t="s">
        <v>5603</v>
      </c>
      <c r="CJ5" s="1408" t="s">
        <v>2514</v>
      </c>
      <c r="CK5" s="1408" t="s">
        <v>5726</v>
      </c>
      <c r="CL5" s="1408" t="s">
        <v>2514</v>
      </c>
      <c r="CM5" s="1408" t="s">
        <v>3562</v>
      </c>
      <c r="CN5" s="1408" t="s">
        <v>2514</v>
      </c>
      <c r="CO5" s="1408" t="s">
        <v>202</v>
      </c>
      <c r="CP5" s="1408" t="s">
        <v>2514</v>
      </c>
      <c r="CQ5" s="1408" t="s">
        <v>2303</v>
      </c>
      <c r="CR5" s="1408" t="s">
        <v>2514</v>
      </c>
      <c r="CS5" s="1408" t="s">
        <v>5323</v>
      </c>
      <c r="CT5" s="1408" t="s">
        <v>2514</v>
      </c>
      <c r="CU5" s="1408" t="s">
        <v>937</v>
      </c>
      <c r="CV5" s="1408" t="s">
        <v>2514</v>
      </c>
      <c r="CW5" s="1408" t="s">
        <v>4525</v>
      </c>
      <c r="CX5" s="1408" t="s">
        <v>2514</v>
      </c>
      <c r="CY5" s="1408" t="s">
        <v>1528</v>
      </c>
      <c r="CZ5" s="1408" t="s">
        <v>2514</v>
      </c>
      <c r="DA5" s="1408" t="s">
        <v>632</v>
      </c>
      <c r="DB5" s="1408" t="s">
        <v>2514</v>
      </c>
      <c r="DC5" s="1408" t="s">
        <v>5846</v>
      </c>
      <c r="DD5" s="1408" t="s">
        <v>2514</v>
      </c>
      <c r="DE5" s="1408" t="s">
        <v>398</v>
      </c>
      <c r="DF5" s="1408" t="s">
        <v>2514</v>
      </c>
      <c r="DG5" s="1408" t="s">
        <v>495</v>
      </c>
      <c r="DH5" s="1408" t="s">
        <v>2514</v>
      </c>
      <c r="DI5" s="1408" t="s">
        <v>3863</v>
      </c>
      <c r="DJ5" s="1408" t="s">
        <v>2514</v>
      </c>
      <c r="DK5" s="1408" t="s">
        <v>6374</v>
      </c>
      <c r="DL5" s="1408" t="s">
        <v>2514</v>
      </c>
      <c r="DM5" s="1408" t="s">
        <v>633</v>
      </c>
      <c r="DN5" s="1408" t="s">
        <v>2514</v>
      </c>
      <c r="DO5" s="1408" t="s">
        <v>790</v>
      </c>
      <c r="DP5" s="1408" t="s">
        <v>2514</v>
      </c>
      <c r="DQ5" s="1408" t="s">
        <v>591</v>
      </c>
      <c r="DR5" s="1408" t="s">
        <v>2514</v>
      </c>
      <c r="DS5" s="1408" t="s">
        <v>3236</v>
      </c>
      <c r="DT5" s="1408" t="s">
        <v>2514</v>
      </c>
      <c r="DU5" s="1408" t="s">
        <v>3284</v>
      </c>
      <c r="DV5" s="1408" t="s">
        <v>2514</v>
      </c>
      <c r="DW5" s="1408" t="s">
        <v>5775</v>
      </c>
      <c r="DX5" s="1408" t="s">
        <v>2514</v>
      </c>
      <c r="DY5" s="1408" t="s">
        <v>1665</v>
      </c>
      <c r="DZ5" s="1408" t="s">
        <v>2514</v>
      </c>
      <c r="EA5" s="1408" t="s">
        <v>4358</v>
      </c>
      <c r="EB5" s="1408" t="s">
        <v>2514</v>
      </c>
      <c r="EC5" s="1408" t="s">
        <v>6938</v>
      </c>
      <c r="ED5" s="1408" t="s">
        <v>2514</v>
      </c>
      <c r="EE5" s="1408" t="s">
        <v>827</v>
      </c>
      <c r="EF5" s="1408" t="s">
        <v>2514</v>
      </c>
      <c r="EG5" s="1408" t="s">
        <v>3331</v>
      </c>
      <c r="EH5" s="1408" t="s">
        <v>2514</v>
      </c>
      <c r="EI5" s="1408" t="s">
        <v>4327</v>
      </c>
      <c r="EJ5" s="1408" t="s">
        <v>2514</v>
      </c>
      <c r="EK5" s="1408" t="s">
        <v>3457</v>
      </c>
      <c r="EL5" s="1408" t="s">
        <v>2514</v>
      </c>
      <c r="EM5" s="1408" t="s">
        <v>2555</v>
      </c>
      <c r="EN5" s="1408" t="s">
        <v>2514</v>
      </c>
      <c r="EO5" s="1408" t="s">
        <v>1119</v>
      </c>
      <c r="EP5" s="1408" t="s">
        <v>2514</v>
      </c>
      <c r="EQ5" s="1408" t="s">
        <v>5675</v>
      </c>
      <c r="ER5" s="1408" t="s">
        <v>2514</v>
      </c>
      <c r="ES5" s="1408" t="s">
        <v>3974</v>
      </c>
      <c r="ET5" s="1408" t="s">
        <v>2514</v>
      </c>
      <c r="EU5" s="1408" t="s">
        <v>5506</v>
      </c>
      <c r="EV5" s="1408" t="s">
        <v>2514</v>
      </c>
      <c r="EW5" s="1408" t="s">
        <v>3485</v>
      </c>
      <c r="EX5" s="1408" t="s">
        <v>2514</v>
      </c>
      <c r="EY5" s="1408" t="s">
        <v>6113</v>
      </c>
      <c r="EZ5" s="1408" t="s">
        <v>2514</v>
      </c>
      <c r="FA5" s="1408" t="s">
        <v>4659</v>
      </c>
      <c r="FB5" s="1408" t="s">
        <v>2514</v>
      </c>
      <c r="FC5" s="1408" t="s">
        <v>4620</v>
      </c>
      <c r="FD5" s="1408" t="s">
        <v>2514</v>
      </c>
      <c r="FE5" s="1408" t="s">
        <v>1189</v>
      </c>
      <c r="FF5" s="1408" t="s">
        <v>2514</v>
      </c>
      <c r="FG5" s="1408" t="s">
        <v>4819</v>
      </c>
      <c r="FH5" s="1408" t="s">
        <v>2514</v>
      </c>
      <c r="FI5" s="1408" t="s">
        <v>5338</v>
      </c>
      <c r="FJ5" s="1408" t="s">
        <v>2514</v>
      </c>
      <c r="FK5" s="1408" t="s">
        <v>695</v>
      </c>
      <c r="FL5" s="1408" t="s">
        <v>2514</v>
      </c>
      <c r="FM5" s="1408" t="s">
        <v>1315</v>
      </c>
      <c r="FN5" s="1408" t="s">
        <v>2514</v>
      </c>
      <c r="FO5" s="1408" t="s">
        <v>5054</v>
      </c>
      <c r="FP5" s="1408" t="s">
        <v>2514</v>
      </c>
      <c r="FQ5" s="1408" t="s">
        <v>298</v>
      </c>
      <c r="FR5" s="1408" t="s">
        <v>2514</v>
      </c>
      <c r="FS5" s="1408" t="s">
        <v>3556</v>
      </c>
      <c r="FT5" s="1408" t="s">
        <v>2514</v>
      </c>
      <c r="FU5" s="1408" t="s">
        <v>2673</v>
      </c>
      <c r="FV5" s="1408" t="s">
        <v>2514</v>
      </c>
      <c r="FW5" s="1408" t="s">
        <v>2439</v>
      </c>
      <c r="FX5" s="1408" t="s">
        <v>2514</v>
      </c>
      <c r="FY5" s="1408" t="s">
        <v>5896</v>
      </c>
      <c r="FZ5" s="1408" t="s">
        <v>2514</v>
      </c>
      <c r="GA5" s="1408" t="s">
        <v>1004</v>
      </c>
      <c r="GB5" s="1408" t="s">
        <v>2514</v>
      </c>
      <c r="GC5" s="1408" t="s">
        <v>1014</v>
      </c>
      <c r="GD5" s="1408" t="s">
        <v>2514</v>
      </c>
      <c r="GE5" s="1408" t="s">
        <v>6384</v>
      </c>
      <c r="GF5" s="1408" t="s">
        <v>2514</v>
      </c>
      <c r="GG5" s="1408" t="s">
        <v>6148</v>
      </c>
      <c r="GH5" s="1408" t="s">
        <v>2514</v>
      </c>
      <c r="GI5" s="1408" t="s">
        <v>1018</v>
      </c>
      <c r="GJ5" s="1408" t="s">
        <v>2514</v>
      </c>
      <c r="GK5" s="1408" t="s">
        <v>3105</v>
      </c>
      <c r="GL5" s="1408" t="s">
        <v>2514</v>
      </c>
      <c r="GM5" s="1408" t="s">
        <v>1689</v>
      </c>
      <c r="GN5" s="1408" t="s">
        <v>2514</v>
      </c>
      <c r="GO5" s="1408" t="s">
        <v>4983</v>
      </c>
      <c r="GP5" s="1408" t="s">
        <v>2514</v>
      </c>
      <c r="GQ5" s="1408" t="s">
        <v>6911</v>
      </c>
      <c r="GR5" s="1408" t="s">
        <v>2514</v>
      </c>
      <c r="GS5" s="1408" t="s">
        <v>252</v>
      </c>
      <c r="GT5" s="1408" t="s">
        <v>2514</v>
      </c>
      <c r="GU5" s="1408" t="s">
        <v>1667</v>
      </c>
      <c r="GV5" s="1408" t="s">
        <v>2514</v>
      </c>
      <c r="GW5" s="1408" t="s">
        <v>475</v>
      </c>
      <c r="GX5" s="1408" t="s">
        <v>2514</v>
      </c>
      <c r="GY5" s="1408" t="s">
        <v>2753</v>
      </c>
      <c r="GZ5" s="1408" t="s">
        <v>2514</v>
      </c>
      <c r="HA5" s="1408" t="s">
        <v>5421</v>
      </c>
      <c r="HB5" s="1408" t="s">
        <v>2514</v>
      </c>
      <c r="HC5" s="1408" t="s">
        <v>6773</v>
      </c>
      <c r="HD5" s="1408" t="s">
        <v>2514</v>
      </c>
      <c r="HE5" s="1408" t="s">
        <v>2936</v>
      </c>
      <c r="HF5" s="1408" t="s">
        <v>2514</v>
      </c>
      <c r="HG5" s="1408" t="s">
        <v>6134</v>
      </c>
      <c r="HH5" s="1408" t="s">
        <v>2514</v>
      </c>
      <c r="HI5" s="1408" t="s">
        <v>5895</v>
      </c>
      <c r="HJ5" s="1408" t="s">
        <v>2514</v>
      </c>
      <c r="HK5" s="1408" t="s">
        <v>971</v>
      </c>
      <c r="HL5" s="1408" t="s">
        <v>2514</v>
      </c>
      <c r="HM5" s="1408" t="s">
        <v>6557</v>
      </c>
      <c r="HN5" s="1408" t="s">
        <v>2514</v>
      </c>
      <c r="HO5" s="1408" t="s">
        <v>69</v>
      </c>
      <c r="HP5" s="1408" t="s">
        <v>2514</v>
      </c>
      <c r="HQ5" s="1408" t="s">
        <v>5043</v>
      </c>
      <c r="HR5" s="1408" t="s">
        <v>2514</v>
      </c>
      <c r="HS5" s="1408" t="s">
        <v>2963</v>
      </c>
      <c r="HT5" s="1408" t="s">
        <v>2514</v>
      </c>
      <c r="HU5" s="1408" t="s">
        <v>4636</v>
      </c>
      <c r="HV5" s="1408" t="s">
        <v>2514</v>
      </c>
      <c r="HW5" s="1408" t="s">
        <v>2808</v>
      </c>
      <c r="HX5" s="1408" t="s">
        <v>2514</v>
      </c>
      <c r="HY5" s="1408" t="s">
        <v>4015</v>
      </c>
      <c r="HZ5" s="1408" t="s">
        <v>2514</v>
      </c>
      <c r="IA5" s="1408" t="s">
        <v>4830</v>
      </c>
      <c r="IB5" s="1408" t="s">
        <v>2514</v>
      </c>
      <c r="IC5" s="1408" t="s">
        <v>725</v>
      </c>
      <c r="ID5" s="1408" t="s">
        <v>2514</v>
      </c>
      <c r="IE5" s="1408" t="s">
        <v>3019</v>
      </c>
      <c r="IF5" s="1408" t="s">
        <v>2514</v>
      </c>
      <c r="IG5" s="1408" t="s">
        <v>3915</v>
      </c>
      <c r="IH5" s="1408" t="s">
        <v>2514</v>
      </c>
      <c r="II5" s="1408" t="s">
        <v>557</v>
      </c>
      <c r="IJ5" s="1408" t="s">
        <v>2514</v>
      </c>
      <c r="IK5" s="1408" t="s">
        <v>1146</v>
      </c>
      <c r="IL5" s="1408" t="s">
        <v>2514</v>
      </c>
      <c r="IM5" s="1408" t="s">
        <v>2233</v>
      </c>
      <c r="IN5" s="1408" t="s">
        <v>2514</v>
      </c>
      <c r="IO5" s="1408" t="s">
        <v>962</v>
      </c>
      <c r="IP5" s="1408" t="s">
        <v>2514</v>
      </c>
      <c r="IQ5" s="1408" t="s">
        <v>1365</v>
      </c>
      <c r="IR5" s="1408" t="s">
        <v>2514</v>
      </c>
      <c r="IS5" s="1408" t="s">
        <v>4203</v>
      </c>
      <c r="IT5" s="1408" t="s">
        <v>2514</v>
      </c>
      <c r="IU5" s="1408" t="s">
        <v>2006</v>
      </c>
      <c r="IV5" s="1408" t="s">
        <v>2514</v>
      </c>
    </row>
    <row r="6" spans="1:256" s="1408" customFormat="1">
      <c r="A6" s="1408" t="s">
        <v>941</v>
      </c>
      <c r="B6" s="1408" t="s">
        <v>2514</v>
      </c>
      <c r="C6" s="1408" t="s">
        <v>3934</v>
      </c>
      <c r="D6" s="1408" t="s">
        <v>2514</v>
      </c>
      <c r="E6" s="1408" t="s">
        <v>5777</v>
      </c>
      <c r="F6" s="1408" t="s">
        <v>2514</v>
      </c>
      <c r="G6" s="1408" t="s">
        <v>1037</v>
      </c>
      <c r="H6" s="1408" t="s">
        <v>2514</v>
      </c>
      <c r="I6" s="1408" t="s">
        <v>6343</v>
      </c>
      <c r="J6" s="1408" t="s">
        <v>2514</v>
      </c>
      <c r="K6" s="1408" t="s">
        <v>5690</v>
      </c>
      <c r="L6" s="1408" t="s">
        <v>2514</v>
      </c>
      <c r="M6" s="1408" t="s">
        <v>1679</v>
      </c>
      <c r="N6" s="1408" t="s">
        <v>2514</v>
      </c>
      <c r="O6" s="1408" t="s">
        <v>1901</v>
      </c>
      <c r="P6" s="1408" t="s">
        <v>2514</v>
      </c>
      <c r="Q6" s="1408" t="s">
        <v>6509</v>
      </c>
      <c r="R6" s="1408" t="s">
        <v>2514</v>
      </c>
      <c r="S6" s="1408" t="s">
        <v>6734</v>
      </c>
      <c r="T6" s="1408" t="s">
        <v>2514</v>
      </c>
      <c r="U6" s="1408" t="s">
        <v>3080</v>
      </c>
      <c r="V6" s="1408" t="s">
        <v>2514</v>
      </c>
      <c r="W6" s="1408" t="s">
        <v>5930</v>
      </c>
      <c r="X6" s="1408" t="s">
        <v>2514</v>
      </c>
      <c r="Y6" s="1408" t="s">
        <v>2530</v>
      </c>
      <c r="Z6" s="1408" t="s">
        <v>2514</v>
      </c>
      <c r="AA6" s="1408" t="s">
        <v>1732</v>
      </c>
      <c r="AB6" s="1408" t="s">
        <v>2514</v>
      </c>
      <c r="AC6" s="1408" t="s">
        <v>2202</v>
      </c>
      <c r="AD6" s="1408" t="s">
        <v>2514</v>
      </c>
      <c r="AE6" s="1408" t="s">
        <v>4896</v>
      </c>
      <c r="AF6" s="1408" t="s">
        <v>2514</v>
      </c>
      <c r="AG6" s="1408" t="s">
        <v>3098</v>
      </c>
      <c r="AH6" s="1408" t="s">
        <v>2514</v>
      </c>
      <c r="AI6" s="1408" t="s">
        <v>114</v>
      </c>
      <c r="AJ6" s="1408" t="s">
        <v>2514</v>
      </c>
      <c r="AK6" s="1408" t="s">
        <v>1491</v>
      </c>
      <c r="AL6" s="1408" t="s">
        <v>2514</v>
      </c>
      <c r="AM6" s="1408" t="s">
        <v>4803</v>
      </c>
      <c r="AN6" s="1408" t="s">
        <v>2514</v>
      </c>
      <c r="AO6" s="1408" t="s">
        <v>5090</v>
      </c>
      <c r="AP6" s="1408" t="s">
        <v>2514</v>
      </c>
      <c r="AQ6" s="1408" t="s">
        <v>5770</v>
      </c>
      <c r="AR6" s="1408" t="s">
        <v>2514</v>
      </c>
      <c r="AS6" s="1408" t="s">
        <v>2886</v>
      </c>
      <c r="AT6" s="1408" t="s">
        <v>2514</v>
      </c>
      <c r="AU6" s="1408" t="s">
        <v>865</v>
      </c>
      <c r="AV6" s="1408" t="s">
        <v>2514</v>
      </c>
      <c r="AW6" s="1408" t="s">
        <v>3144</v>
      </c>
      <c r="AX6" s="1408" t="s">
        <v>2514</v>
      </c>
      <c r="AY6" s="1408" t="s">
        <v>4172</v>
      </c>
      <c r="AZ6" s="1408" t="s">
        <v>2514</v>
      </c>
      <c r="BA6" s="1408" t="s">
        <v>5424</v>
      </c>
      <c r="BB6" s="1408" t="s">
        <v>2514</v>
      </c>
      <c r="BC6" s="1408" t="s">
        <v>5971</v>
      </c>
      <c r="BD6" s="1408" t="s">
        <v>2514</v>
      </c>
      <c r="BE6" s="1408" t="s">
        <v>2919</v>
      </c>
      <c r="BF6" s="1408" t="s">
        <v>2514</v>
      </c>
      <c r="BG6" s="1408" t="s">
        <v>1662</v>
      </c>
      <c r="BH6" s="1408" t="s">
        <v>2514</v>
      </c>
      <c r="BI6" s="1408" t="s">
        <v>5589</v>
      </c>
      <c r="BJ6" s="1408" t="s">
        <v>2514</v>
      </c>
      <c r="BK6" s="1408" t="s">
        <v>3715</v>
      </c>
      <c r="BL6" s="1408" t="s">
        <v>2514</v>
      </c>
      <c r="BM6" s="1408" t="s">
        <v>3540</v>
      </c>
      <c r="BN6" s="1408" t="s">
        <v>2514</v>
      </c>
      <c r="BO6" s="1408" t="s">
        <v>5319</v>
      </c>
      <c r="BP6" s="1408" t="s">
        <v>2514</v>
      </c>
      <c r="BQ6" s="1408" t="s">
        <v>3581</v>
      </c>
      <c r="BR6" s="1408" t="s">
        <v>2514</v>
      </c>
      <c r="BS6" s="1408" t="s">
        <v>5987</v>
      </c>
      <c r="BT6" s="1408" t="s">
        <v>2514</v>
      </c>
      <c r="BU6" s="1408" t="s">
        <v>412</v>
      </c>
      <c r="BV6" s="1408" t="s">
        <v>2514</v>
      </c>
      <c r="BW6" s="1408" t="s">
        <v>599</v>
      </c>
      <c r="BX6" s="1408" t="s">
        <v>2514</v>
      </c>
      <c r="BY6" s="1408" t="s">
        <v>6931</v>
      </c>
      <c r="BZ6" s="1408" t="s">
        <v>2514</v>
      </c>
      <c r="CA6" s="1408" t="s">
        <v>2633</v>
      </c>
      <c r="CB6" s="1408" t="s">
        <v>2514</v>
      </c>
      <c r="CC6" s="1408" t="s">
        <v>2062</v>
      </c>
      <c r="CD6" s="1408" t="s">
        <v>2514</v>
      </c>
      <c r="CE6" s="1408" t="s">
        <v>4013</v>
      </c>
      <c r="CF6" s="1408" t="s">
        <v>2514</v>
      </c>
      <c r="CG6" s="1408" t="s">
        <v>208</v>
      </c>
      <c r="CH6" s="1408" t="s">
        <v>2514</v>
      </c>
      <c r="CI6" s="1408" t="s">
        <v>1204</v>
      </c>
      <c r="CJ6" s="1408" t="s">
        <v>2514</v>
      </c>
      <c r="CK6" s="1408" t="s">
        <v>5221</v>
      </c>
      <c r="CL6" s="1408" t="s">
        <v>2514</v>
      </c>
      <c r="CM6" s="1408" t="s">
        <v>395</v>
      </c>
      <c r="CN6" s="1408" t="s">
        <v>2514</v>
      </c>
      <c r="CO6" s="1408" t="s">
        <v>4707</v>
      </c>
      <c r="CP6" s="1408" t="s">
        <v>2514</v>
      </c>
      <c r="CQ6" s="1408" t="s">
        <v>4451</v>
      </c>
      <c r="CR6" s="1408" t="s">
        <v>2514</v>
      </c>
      <c r="CS6" s="1408" t="s">
        <v>1155</v>
      </c>
      <c r="CT6" s="1408" t="s">
        <v>2514</v>
      </c>
      <c r="CU6" s="1408" t="s">
        <v>5048</v>
      </c>
      <c r="CV6" s="1408" t="s">
        <v>2514</v>
      </c>
      <c r="CW6" s="1408" t="s">
        <v>5915</v>
      </c>
      <c r="CX6" s="1408" t="s">
        <v>2514</v>
      </c>
      <c r="CY6" s="1408" t="s">
        <v>6308</v>
      </c>
      <c r="CZ6" s="1408" t="s">
        <v>2514</v>
      </c>
      <c r="DA6" s="1408" t="s">
        <v>4346</v>
      </c>
      <c r="DB6" s="1408" t="s">
        <v>2514</v>
      </c>
      <c r="DC6" s="1408" t="s">
        <v>975</v>
      </c>
      <c r="DD6" s="1408" t="s">
        <v>2514</v>
      </c>
      <c r="DE6" s="1408" t="s">
        <v>5116</v>
      </c>
      <c r="DF6" s="1408" t="s">
        <v>2514</v>
      </c>
      <c r="DG6" s="1408" t="s">
        <v>1678</v>
      </c>
      <c r="DH6" s="1408" t="s">
        <v>2514</v>
      </c>
      <c r="DI6" s="1408" t="s">
        <v>6744</v>
      </c>
      <c r="DJ6" s="1408" t="s">
        <v>2514</v>
      </c>
      <c r="DK6" s="1408" t="s">
        <v>2399</v>
      </c>
      <c r="DL6" s="1408" t="s">
        <v>2514</v>
      </c>
      <c r="DM6" s="1408" t="s">
        <v>3174</v>
      </c>
      <c r="DN6" s="1408" t="s">
        <v>2514</v>
      </c>
      <c r="DO6" s="1408" t="s">
        <v>4042</v>
      </c>
      <c r="DP6" s="1408" t="s">
        <v>2514</v>
      </c>
      <c r="DQ6" s="1408" t="s">
        <v>5348</v>
      </c>
      <c r="DR6" s="1408" t="s">
        <v>2514</v>
      </c>
      <c r="DS6" s="1408" t="s">
        <v>1708</v>
      </c>
      <c r="DT6" s="1408" t="s">
        <v>2514</v>
      </c>
      <c r="DU6" s="1408" t="s">
        <v>828</v>
      </c>
      <c r="DV6" s="1408" t="s">
        <v>2514</v>
      </c>
      <c r="DW6" s="1408" t="s">
        <v>1570</v>
      </c>
      <c r="DX6" s="1408" t="s">
        <v>2514</v>
      </c>
      <c r="DY6" s="1408" t="s">
        <v>1847</v>
      </c>
      <c r="DZ6" s="1408" t="s">
        <v>2514</v>
      </c>
      <c r="EA6" s="1408" t="s">
        <v>3862</v>
      </c>
      <c r="EB6" s="1408" t="s">
        <v>2514</v>
      </c>
      <c r="EC6" s="1408" t="s">
        <v>2011</v>
      </c>
      <c r="ED6" s="1408" t="s">
        <v>2514</v>
      </c>
      <c r="EE6" s="1408" t="s">
        <v>1465</v>
      </c>
      <c r="EF6" s="1408" t="s">
        <v>2514</v>
      </c>
      <c r="EG6" s="1408" t="s">
        <v>825</v>
      </c>
      <c r="EH6" s="1408" t="s">
        <v>2514</v>
      </c>
      <c r="EI6" s="1408" t="s">
        <v>2277</v>
      </c>
      <c r="EJ6" s="1408" t="s">
        <v>2514</v>
      </c>
      <c r="EK6" s="1408" t="s">
        <v>2005</v>
      </c>
      <c r="EL6" s="1408" t="s">
        <v>2514</v>
      </c>
      <c r="EM6" s="1408" t="s">
        <v>4054</v>
      </c>
      <c r="EN6" s="1408" t="s">
        <v>2514</v>
      </c>
      <c r="EO6" s="1408" t="s">
        <v>3257</v>
      </c>
      <c r="EP6" s="1408" t="s">
        <v>2514</v>
      </c>
      <c r="EQ6" s="1408" t="s">
        <v>6324</v>
      </c>
      <c r="ER6" s="1408" t="s">
        <v>2514</v>
      </c>
      <c r="ES6" s="1408" t="s">
        <v>3401</v>
      </c>
      <c r="ET6" s="1408" t="s">
        <v>2514</v>
      </c>
      <c r="EU6" s="1408" t="s">
        <v>3749</v>
      </c>
      <c r="EV6" s="1408" t="s">
        <v>2514</v>
      </c>
      <c r="EW6" s="1408" t="s">
        <v>4612</v>
      </c>
      <c r="EX6" s="1408" t="s">
        <v>2514</v>
      </c>
      <c r="EY6" s="1408" t="s">
        <v>1174</v>
      </c>
      <c r="EZ6" s="1408" t="s">
        <v>2514</v>
      </c>
      <c r="FA6" s="1408" t="s">
        <v>1525</v>
      </c>
      <c r="FB6" s="1408" t="s">
        <v>2514</v>
      </c>
      <c r="FC6" s="1408" t="s">
        <v>434</v>
      </c>
      <c r="FD6" s="1408" t="s">
        <v>2514</v>
      </c>
      <c r="FE6" s="1408" t="s">
        <v>363</v>
      </c>
      <c r="FF6" s="1408" t="s">
        <v>2514</v>
      </c>
      <c r="FG6" s="1408" t="s">
        <v>1821</v>
      </c>
      <c r="FH6" s="1408" t="s">
        <v>2514</v>
      </c>
      <c r="FI6" s="1408" t="s">
        <v>1994</v>
      </c>
      <c r="FJ6" s="1408" t="s">
        <v>2514</v>
      </c>
      <c r="FK6" s="1408" t="s">
        <v>1705</v>
      </c>
      <c r="FL6" s="1408" t="s">
        <v>2514</v>
      </c>
      <c r="FM6" s="1408" t="s">
        <v>4973</v>
      </c>
      <c r="FN6" s="1408" t="s">
        <v>2514</v>
      </c>
      <c r="FO6" s="1408" t="s">
        <v>676</v>
      </c>
      <c r="FP6" s="1408" t="s">
        <v>2514</v>
      </c>
      <c r="FQ6" s="1408" t="s">
        <v>1909</v>
      </c>
      <c r="FR6" s="1408" t="s">
        <v>2514</v>
      </c>
      <c r="FS6" s="1408" t="s">
        <v>609</v>
      </c>
      <c r="FT6" s="1408" t="s">
        <v>2514</v>
      </c>
      <c r="FU6" s="1408" t="s">
        <v>6845</v>
      </c>
      <c r="FV6" s="1408" t="s">
        <v>2514</v>
      </c>
      <c r="FW6" s="1408" t="s">
        <v>6232</v>
      </c>
      <c r="FX6" s="1408" t="s">
        <v>2514</v>
      </c>
      <c r="FY6" s="1408" t="s">
        <v>6144</v>
      </c>
      <c r="FZ6" s="1408" t="s">
        <v>2514</v>
      </c>
      <c r="GA6" s="1408" t="s">
        <v>5475</v>
      </c>
      <c r="GB6" s="1408" t="s">
        <v>2514</v>
      </c>
      <c r="GC6" s="1408" t="s">
        <v>2004</v>
      </c>
      <c r="GD6" s="1408" t="s">
        <v>2514</v>
      </c>
      <c r="GE6" s="1408" t="s">
        <v>3171</v>
      </c>
      <c r="GF6" s="1408" t="s">
        <v>2514</v>
      </c>
      <c r="GG6" s="1408" t="s">
        <v>2119</v>
      </c>
      <c r="GH6" s="1408" t="s">
        <v>2514</v>
      </c>
      <c r="GI6" s="1408" t="s">
        <v>3666</v>
      </c>
      <c r="GJ6" s="1408" t="s">
        <v>2514</v>
      </c>
      <c r="GK6" s="1408" t="s">
        <v>5866</v>
      </c>
      <c r="GL6" s="1408" t="s">
        <v>2514</v>
      </c>
      <c r="GM6" s="1408" t="s">
        <v>276</v>
      </c>
      <c r="GN6" s="1408" t="s">
        <v>2514</v>
      </c>
      <c r="GO6" s="1408" t="s">
        <v>1293</v>
      </c>
      <c r="GP6" s="1408" t="s">
        <v>2514</v>
      </c>
      <c r="GQ6" s="1408" t="s">
        <v>6594</v>
      </c>
      <c r="GR6" s="1408" t="s">
        <v>2514</v>
      </c>
      <c r="GS6" s="1408" t="s">
        <v>5388</v>
      </c>
      <c r="GT6" s="1408" t="s">
        <v>2514</v>
      </c>
      <c r="GU6" s="1408" t="s">
        <v>1242</v>
      </c>
      <c r="GV6" s="1408" t="s">
        <v>2514</v>
      </c>
      <c r="GW6" s="1408" t="s">
        <v>3184</v>
      </c>
      <c r="GX6" s="1408" t="s">
        <v>2514</v>
      </c>
      <c r="GY6" s="1408" t="s">
        <v>6478</v>
      </c>
      <c r="GZ6" s="1408" t="s">
        <v>2514</v>
      </c>
      <c r="HA6" s="1408" t="s">
        <v>679</v>
      </c>
      <c r="HB6" s="1408" t="s">
        <v>2514</v>
      </c>
      <c r="HC6" s="1408" t="s">
        <v>381</v>
      </c>
      <c r="HD6" s="1408" t="s">
        <v>2514</v>
      </c>
      <c r="HE6" s="1408" t="s">
        <v>1081</v>
      </c>
      <c r="HF6" s="1408" t="s">
        <v>2514</v>
      </c>
      <c r="HG6" s="1408" t="s">
        <v>4845</v>
      </c>
      <c r="HH6" s="1408" t="s">
        <v>2514</v>
      </c>
      <c r="HI6" s="1408" t="s">
        <v>3371</v>
      </c>
      <c r="HJ6" s="1408" t="s">
        <v>2514</v>
      </c>
      <c r="HK6" s="1408" t="s">
        <v>2662</v>
      </c>
      <c r="HL6" s="1408" t="s">
        <v>2514</v>
      </c>
      <c r="HM6" s="1408" t="s">
        <v>3142</v>
      </c>
      <c r="HN6" s="1408" t="s">
        <v>2514</v>
      </c>
      <c r="HO6" s="1408" t="s">
        <v>1652</v>
      </c>
      <c r="HP6" s="1408" t="s">
        <v>2514</v>
      </c>
      <c r="HQ6" s="1408" t="s">
        <v>3269</v>
      </c>
      <c r="HR6" s="1408" t="s">
        <v>2514</v>
      </c>
      <c r="HS6" s="1408" t="s">
        <v>5757</v>
      </c>
      <c r="HT6" s="1408" t="s">
        <v>2514</v>
      </c>
      <c r="HU6" s="1408" t="s">
        <v>2187</v>
      </c>
      <c r="HV6" s="1408" t="s">
        <v>2514</v>
      </c>
      <c r="HW6" s="1408" t="s">
        <v>3423</v>
      </c>
      <c r="HX6" s="1408" t="s">
        <v>2514</v>
      </c>
      <c r="HY6" s="1408" t="s">
        <v>3741</v>
      </c>
      <c r="HZ6" s="1408" t="s">
        <v>2514</v>
      </c>
      <c r="IA6" s="1408" t="s">
        <v>5508</v>
      </c>
      <c r="IB6" s="1408" t="s">
        <v>2514</v>
      </c>
      <c r="IC6" s="1408" t="s">
        <v>4453</v>
      </c>
      <c r="ID6" s="1408" t="s">
        <v>2514</v>
      </c>
      <c r="IE6" s="1408" t="s">
        <v>1845</v>
      </c>
      <c r="IF6" s="1408" t="s">
        <v>2514</v>
      </c>
      <c r="IG6" s="1408" t="s">
        <v>6158</v>
      </c>
      <c r="IH6" s="1408" t="s">
        <v>2514</v>
      </c>
      <c r="II6" s="1408" t="s">
        <v>3560</v>
      </c>
      <c r="IJ6" s="1408" t="s">
        <v>2514</v>
      </c>
      <c r="IK6" s="1408" t="s">
        <v>257</v>
      </c>
      <c r="IL6" s="1408" t="s">
        <v>2514</v>
      </c>
      <c r="IM6" s="1408" t="s">
        <v>5796</v>
      </c>
      <c r="IN6" s="1408" t="s">
        <v>2514</v>
      </c>
      <c r="IO6" s="1408" t="s">
        <v>2779</v>
      </c>
      <c r="IP6" s="1408" t="s">
        <v>2514</v>
      </c>
      <c r="IQ6" s="1408" t="s">
        <v>5415</v>
      </c>
      <c r="IR6" s="1408" t="s">
        <v>2514</v>
      </c>
      <c r="IS6" s="1408" t="s">
        <v>1729</v>
      </c>
      <c r="IT6" s="1408" t="s">
        <v>2514</v>
      </c>
      <c r="IU6" s="1408" t="s">
        <v>4370</v>
      </c>
      <c r="IV6" s="1408" t="s">
        <v>2514</v>
      </c>
    </row>
    <row r="7" spans="1:256" s="1408" customFormat="1">
      <c r="A7" s="1408" t="s">
        <v>634</v>
      </c>
      <c r="B7" s="1408" t="s">
        <v>2514</v>
      </c>
      <c r="C7" s="1408" t="s">
        <v>5310</v>
      </c>
      <c r="D7" s="1408" t="s">
        <v>2514</v>
      </c>
      <c r="E7" s="1408" t="s">
        <v>275</v>
      </c>
      <c r="F7" s="1408" t="s">
        <v>2514</v>
      </c>
      <c r="G7" s="1408" t="s">
        <v>4091</v>
      </c>
      <c r="H7" s="1408" t="s">
        <v>2514</v>
      </c>
      <c r="I7" s="1408" t="s">
        <v>3091</v>
      </c>
      <c r="J7" s="1408" t="s">
        <v>2514</v>
      </c>
      <c r="K7" s="1408" t="s">
        <v>5692</v>
      </c>
      <c r="L7" s="1408" t="s">
        <v>2514</v>
      </c>
      <c r="M7" s="1408" t="s">
        <v>5844</v>
      </c>
      <c r="N7" s="1408" t="s">
        <v>2514</v>
      </c>
      <c r="O7" s="1408" t="s">
        <v>3301</v>
      </c>
      <c r="P7" s="1408" t="s">
        <v>2514</v>
      </c>
      <c r="Q7" s="1408" t="s">
        <v>6229</v>
      </c>
      <c r="R7" s="1408" t="s">
        <v>2514</v>
      </c>
      <c r="S7" s="1408" t="s">
        <v>5045</v>
      </c>
      <c r="T7" s="1408" t="s">
        <v>2514</v>
      </c>
      <c r="U7" s="1408" t="s">
        <v>866</v>
      </c>
      <c r="V7" s="1408" t="s">
        <v>2514</v>
      </c>
      <c r="W7" s="1408" t="s">
        <v>2113</v>
      </c>
      <c r="X7" s="1408" t="s">
        <v>2514</v>
      </c>
      <c r="Y7" s="1408" t="s">
        <v>1241</v>
      </c>
      <c r="Z7" s="1408" t="s">
        <v>2514</v>
      </c>
      <c r="AA7" s="1408" t="s">
        <v>920</v>
      </c>
      <c r="AB7" s="1408" t="s">
        <v>2514</v>
      </c>
      <c r="AC7" s="1408" t="s">
        <v>5289</v>
      </c>
      <c r="AD7" s="1408" t="s">
        <v>2514</v>
      </c>
      <c r="AE7" s="1408" t="s">
        <v>5533</v>
      </c>
      <c r="AF7" s="1408" t="s">
        <v>2514</v>
      </c>
      <c r="AG7" s="1408" t="s">
        <v>2866</v>
      </c>
      <c r="AH7" s="1408" t="s">
        <v>2514</v>
      </c>
      <c r="AI7" s="1408" t="s">
        <v>3624</v>
      </c>
      <c r="AJ7" s="1408" t="s">
        <v>2514</v>
      </c>
      <c r="AK7" s="1408" t="s">
        <v>1403</v>
      </c>
      <c r="AL7" s="1408" t="s">
        <v>2514</v>
      </c>
      <c r="AM7" s="1408" t="s">
        <v>3550</v>
      </c>
      <c r="AN7" s="1408" t="s">
        <v>2514</v>
      </c>
      <c r="AO7" s="1408" t="s">
        <v>6115</v>
      </c>
      <c r="AP7" s="1408" t="s">
        <v>2514</v>
      </c>
      <c r="AQ7" s="1408" t="s">
        <v>6409</v>
      </c>
      <c r="AR7" s="1408" t="s">
        <v>2514</v>
      </c>
      <c r="AS7" s="1408" t="s">
        <v>3937</v>
      </c>
      <c r="AT7" s="1408" t="s">
        <v>2514</v>
      </c>
      <c r="AU7" s="1408" t="s">
        <v>6204</v>
      </c>
      <c r="AV7" s="1408" t="s">
        <v>2514</v>
      </c>
      <c r="AW7" s="1408" t="s">
        <v>2251</v>
      </c>
      <c r="AX7" s="1408" t="s">
        <v>2514</v>
      </c>
      <c r="AY7" s="1408" t="s">
        <v>3722</v>
      </c>
      <c r="AZ7" s="1408" t="s">
        <v>2514</v>
      </c>
      <c r="BA7" s="1408" t="s">
        <v>4044</v>
      </c>
      <c r="BB7" s="1408" t="s">
        <v>2514</v>
      </c>
      <c r="BC7" s="1408" t="s">
        <v>4466</v>
      </c>
      <c r="BD7" s="1408" t="s">
        <v>2514</v>
      </c>
      <c r="BE7" s="1408" t="s">
        <v>5091</v>
      </c>
      <c r="BF7" s="1408" t="s">
        <v>2514</v>
      </c>
      <c r="BG7" s="1408" t="s">
        <v>855</v>
      </c>
      <c r="BH7" s="1408" t="s">
        <v>2514</v>
      </c>
      <c r="BI7" s="1408" t="s">
        <v>4518</v>
      </c>
      <c r="BJ7" s="1408" t="s">
        <v>2514</v>
      </c>
      <c r="BK7" s="1408" t="s">
        <v>2729</v>
      </c>
      <c r="BL7" s="1408" t="s">
        <v>2514</v>
      </c>
      <c r="BM7" s="1408" t="s">
        <v>347</v>
      </c>
      <c r="BN7" s="1408" t="s">
        <v>2514</v>
      </c>
      <c r="BO7" s="1408" t="s">
        <v>3117</v>
      </c>
      <c r="BP7" s="1408" t="s">
        <v>2514</v>
      </c>
      <c r="BQ7" s="1408" t="s">
        <v>1959</v>
      </c>
      <c r="BR7" s="1408" t="s">
        <v>2514</v>
      </c>
      <c r="BS7" s="1408" t="s">
        <v>854</v>
      </c>
      <c r="BT7" s="1408" t="s">
        <v>2514</v>
      </c>
      <c r="BU7" s="1408" t="s">
        <v>3450</v>
      </c>
      <c r="BV7" s="1408" t="s">
        <v>2514</v>
      </c>
      <c r="BW7" s="1408" t="s">
        <v>563</v>
      </c>
      <c r="BX7" s="1408" t="s">
        <v>2514</v>
      </c>
      <c r="BY7" s="1408" t="s">
        <v>3076</v>
      </c>
      <c r="BZ7" s="1408" t="s">
        <v>2514</v>
      </c>
      <c r="CA7" s="1408" t="s">
        <v>3941</v>
      </c>
      <c r="CB7" s="1408" t="s">
        <v>2514</v>
      </c>
      <c r="CC7" s="1408" t="s">
        <v>4515</v>
      </c>
      <c r="CD7" s="1408" t="s">
        <v>2514</v>
      </c>
      <c r="CE7" s="1408" t="s">
        <v>3714</v>
      </c>
      <c r="CF7" s="1408" t="s">
        <v>2514</v>
      </c>
      <c r="CG7" s="1408" t="s">
        <v>3745</v>
      </c>
      <c r="CH7" s="1408" t="s">
        <v>2514</v>
      </c>
      <c r="CI7" s="1408" t="s">
        <v>62</v>
      </c>
      <c r="CJ7" s="1408" t="s">
        <v>2514</v>
      </c>
      <c r="CK7" s="1408" t="s">
        <v>624</v>
      </c>
      <c r="CL7" s="1408" t="s">
        <v>2514</v>
      </c>
      <c r="CM7" s="1408" t="s">
        <v>5135</v>
      </c>
      <c r="CN7" s="1408" t="s">
        <v>2514</v>
      </c>
      <c r="CO7" s="1408" t="s">
        <v>4135</v>
      </c>
      <c r="CP7" s="1408" t="s">
        <v>2514</v>
      </c>
      <c r="CQ7" s="1408" t="s">
        <v>1780</v>
      </c>
      <c r="CR7" s="1408" t="s">
        <v>2514</v>
      </c>
      <c r="CS7" s="1408" t="s">
        <v>4984</v>
      </c>
      <c r="CT7" s="1408" t="s">
        <v>2514</v>
      </c>
      <c r="CU7" s="1408" t="s">
        <v>702</v>
      </c>
      <c r="CV7" s="1408" t="s">
        <v>2514</v>
      </c>
      <c r="CW7" s="1408" t="s">
        <v>5049</v>
      </c>
      <c r="CX7" s="1408" t="s">
        <v>2514</v>
      </c>
      <c r="CY7" s="1408" t="s">
        <v>5897</v>
      </c>
      <c r="CZ7" s="1408" t="s">
        <v>2514</v>
      </c>
      <c r="DA7" s="1408" t="s">
        <v>3845</v>
      </c>
      <c r="DB7" s="1408" t="s">
        <v>2514</v>
      </c>
      <c r="DC7" s="1408" t="s">
        <v>1871</v>
      </c>
      <c r="DD7" s="1408" t="s">
        <v>2514</v>
      </c>
      <c r="DE7" s="1408" t="s">
        <v>5739</v>
      </c>
      <c r="DF7" s="1408" t="s">
        <v>2514</v>
      </c>
      <c r="DG7" s="1408" t="s">
        <v>2027</v>
      </c>
      <c r="DH7" s="1408" t="s">
        <v>2514</v>
      </c>
      <c r="DI7" s="1408" t="s">
        <v>1266</v>
      </c>
      <c r="DJ7" s="1408" t="s">
        <v>2514</v>
      </c>
      <c r="DK7" s="1408" t="s">
        <v>4888</v>
      </c>
      <c r="DL7" s="1408" t="s">
        <v>2514</v>
      </c>
      <c r="DM7" s="1408" t="s">
        <v>4485</v>
      </c>
      <c r="DN7" s="1408" t="s">
        <v>2514</v>
      </c>
      <c r="DO7" s="1408" t="s">
        <v>1699</v>
      </c>
      <c r="DP7" s="1408" t="s">
        <v>2514</v>
      </c>
      <c r="DQ7" s="1408" t="s">
        <v>2825</v>
      </c>
      <c r="DR7" s="1408" t="s">
        <v>2514</v>
      </c>
      <c r="DS7" s="1408" t="s">
        <v>4698</v>
      </c>
      <c r="DT7" s="1408" t="s">
        <v>2514</v>
      </c>
      <c r="DU7" s="1408" t="s">
        <v>2270</v>
      </c>
      <c r="DV7" s="1408" t="s">
        <v>2514</v>
      </c>
      <c r="DW7" s="1408" t="s">
        <v>2568</v>
      </c>
      <c r="DX7" s="1408" t="s">
        <v>2514</v>
      </c>
      <c r="DY7" s="1408" t="s">
        <v>1125</v>
      </c>
      <c r="DZ7" s="1408" t="s">
        <v>2514</v>
      </c>
      <c r="EA7" s="1408" t="s">
        <v>3307</v>
      </c>
      <c r="EB7" s="1408" t="s">
        <v>2514</v>
      </c>
      <c r="EC7" s="1408" t="s">
        <v>6338</v>
      </c>
      <c r="ED7" s="1408" t="s">
        <v>2514</v>
      </c>
      <c r="EE7" s="1408" t="s">
        <v>3936</v>
      </c>
      <c r="EF7" s="1408" t="s">
        <v>2514</v>
      </c>
      <c r="EG7" s="1408" t="s">
        <v>1540</v>
      </c>
      <c r="EH7" s="1408" t="s">
        <v>2514</v>
      </c>
      <c r="EI7" s="1408" t="s">
        <v>2938</v>
      </c>
      <c r="EJ7" s="1408" t="s">
        <v>2514</v>
      </c>
      <c r="EK7" s="1408" t="s">
        <v>5000</v>
      </c>
      <c r="EL7" s="1408" t="s">
        <v>2514</v>
      </c>
      <c r="EM7" s="1408" t="s">
        <v>1253</v>
      </c>
      <c r="EN7" s="1408" t="s">
        <v>2514</v>
      </c>
      <c r="EO7" s="1408" t="s">
        <v>618</v>
      </c>
      <c r="EP7" s="1408" t="s">
        <v>2514</v>
      </c>
      <c r="EQ7" s="1408" t="s">
        <v>3930</v>
      </c>
      <c r="ER7" s="1408" t="s">
        <v>2514</v>
      </c>
      <c r="ES7" s="1408" t="s">
        <v>94</v>
      </c>
      <c r="ET7" s="1408" t="s">
        <v>2514</v>
      </c>
      <c r="EU7" s="1408" t="s">
        <v>493</v>
      </c>
      <c r="EV7" s="1408" t="s">
        <v>2514</v>
      </c>
      <c r="EW7" s="1408" t="s">
        <v>3279</v>
      </c>
      <c r="EX7" s="1408" t="s">
        <v>2514</v>
      </c>
      <c r="EY7" s="1408" t="s">
        <v>5998</v>
      </c>
      <c r="EZ7" s="1408" t="s">
        <v>2514</v>
      </c>
      <c r="FA7" s="1408" t="s">
        <v>3924</v>
      </c>
      <c r="FB7" s="1408" t="s">
        <v>2514</v>
      </c>
      <c r="FC7" s="1408" t="s">
        <v>4545</v>
      </c>
      <c r="FD7" s="1408" t="s">
        <v>2514</v>
      </c>
      <c r="FE7" s="1408" t="s">
        <v>5766</v>
      </c>
      <c r="FF7" s="1408" t="s">
        <v>2514</v>
      </c>
      <c r="FG7" s="1408" t="s">
        <v>4087</v>
      </c>
      <c r="FH7" s="1408" t="s">
        <v>2514</v>
      </c>
      <c r="FI7" s="1408" t="s">
        <v>3778</v>
      </c>
      <c r="FJ7" s="1408" t="s">
        <v>2514</v>
      </c>
      <c r="FK7" s="1408" t="s">
        <v>2449</v>
      </c>
      <c r="FL7" s="1408" t="s">
        <v>2514</v>
      </c>
      <c r="FM7" s="1408" t="s">
        <v>5827</v>
      </c>
      <c r="FN7" s="1408" t="s">
        <v>2514</v>
      </c>
      <c r="FO7" s="1408" t="s">
        <v>2847</v>
      </c>
      <c r="FP7" s="1408" t="s">
        <v>2514</v>
      </c>
      <c r="FQ7" s="1408" t="s">
        <v>3976</v>
      </c>
      <c r="FR7" s="1408" t="s">
        <v>2514</v>
      </c>
      <c r="FS7" s="1408" t="s">
        <v>5676</v>
      </c>
      <c r="FT7" s="1408" t="s">
        <v>2514</v>
      </c>
      <c r="FU7" s="1408" t="s">
        <v>3434</v>
      </c>
      <c r="FV7" s="1408" t="s">
        <v>2514</v>
      </c>
      <c r="FW7" s="1408" t="s">
        <v>6635</v>
      </c>
      <c r="FX7" s="1408" t="s">
        <v>2514</v>
      </c>
      <c r="FY7" s="1408" t="s">
        <v>1702</v>
      </c>
      <c r="FZ7" s="1408" t="s">
        <v>2514</v>
      </c>
      <c r="GA7" s="1408" t="s">
        <v>5691</v>
      </c>
      <c r="GB7" s="1408" t="s">
        <v>2514</v>
      </c>
      <c r="GC7" s="1408" t="s">
        <v>6784</v>
      </c>
      <c r="GD7" s="1408" t="s">
        <v>2514</v>
      </c>
      <c r="GE7" s="1408" t="s">
        <v>3069</v>
      </c>
      <c r="GF7" s="1408" t="s">
        <v>2514</v>
      </c>
      <c r="GG7" s="1408" t="s">
        <v>5353</v>
      </c>
      <c r="GH7" s="1408" t="s">
        <v>2514</v>
      </c>
      <c r="GI7" s="1408" t="s">
        <v>3704</v>
      </c>
      <c r="GJ7" s="1408" t="s">
        <v>2514</v>
      </c>
      <c r="GK7" s="1408" t="s">
        <v>3254</v>
      </c>
      <c r="GL7" s="1408" t="s">
        <v>2514</v>
      </c>
      <c r="GM7" s="1408" t="s">
        <v>2541</v>
      </c>
      <c r="GN7" s="1408" t="s">
        <v>2514</v>
      </c>
      <c r="GO7" s="1408" t="s">
        <v>1954</v>
      </c>
      <c r="GP7" s="1408" t="s">
        <v>2514</v>
      </c>
      <c r="GQ7" s="1408" t="s">
        <v>5703</v>
      </c>
      <c r="GR7" s="1408" t="s">
        <v>2514</v>
      </c>
      <c r="GS7" s="1408" t="s">
        <v>640</v>
      </c>
      <c r="GT7" s="1408" t="s">
        <v>2514</v>
      </c>
      <c r="GU7" s="1408" t="s">
        <v>1245</v>
      </c>
      <c r="GV7" s="1408" t="s">
        <v>2514</v>
      </c>
      <c r="GW7" s="1408" t="s">
        <v>844</v>
      </c>
      <c r="GX7" s="1408" t="s">
        <v>2514</v>
      </c>
      <c r="GY7" s="1408" t="s">
        <v>1561</v>
      </c>
      <c r="GZ7" s="1408" t="s">
        <v>2514</v>
      </c>
      <c r="HA7" s="1408" t="s">
        <v>2493</v>
      </c>
      <c r="HB7" s="1408" t="s">
        <v>2514</v>
      </c>
      <c r="HC7" s="1408" t="s">
        <v>5848</v>
      </c>
      <c r="HD7" s="1408" t="s">
        <v>2514</v>
      </c>
      <c r="HE7" s="1408" t="s">
        <v>1774</v>
      </c>
      <c r="HF7" s="1408" t="s">
        <v>2514</v>
      </c>
      <c r="HG7" s="1408" t="s">
        <v>1677</v>
      </c>
      <c r="HH7" s="1408" t="s">
        <v>2514</v>
      </c>
      <c r="HI7" s="1408" t="s">
        <v>1576</v>
      </c>
      <c r="HJ7" s="1408" t="s">
        <v>2514</v>
      </c>
      <c r="HK7" s="1408" t="s">
        <v>3308</v>
      </c>
      <c r="HL7" s="1408" t="s">
        <v>2514</v>
      </c>
      <c r="HM7" s="1408" t="s">
        <v>4120</v>
      </c>
      <c r="HN7" s="1408" t="s">
        <v>2514</v>
      </c>
      <c r="HO7" s="1408" t="s">
        <v>6366</v>
      </c>
      <c r="HP7" s="1408" t="s">
        <v>2514</v>
      </c>
      <c r="HQ7" s="1408" t="s">
        <v>2143</v>
      </c>
      <c r="HR7" s="1408" t="s">
        <v>2514</v>
      </c>
      <c r="HS7" s="1408" t="s">
        <v>737</v>
      </c>
      <c r="HT7" s="1408" t="s">
        <v>2514</v>
      </c>
      <c r="HU7" s="1408" t="s">
        <v>1069</v>
      </c>
      <c r="HV7" s="1408" t="s">
        <v>2514</v>
      </c>
      <c r="HW7" s="1408" t="s">
        <v>2260</v>
      </c>
      <c r="HX7" s="1408" t="s">
        <v>2514</v>
      </c>
      <c r="HY7" s="1408" t="s">
        <v>4205</v>
      </c>
      <c r="HZ7" s="1408" t="s">
        <v>2514</v>
      </c>
      <c r="IA7" s="1408" t="s">
        <v>1563</v>
      </c>
      <c r="IB7" s="1408" t="s">
        <v>2514</v>
      </c>
      <c r="IC7" s="1408" t="s">
        <v>2757</v>
      </c>
      <c r="ID7" s="1408" t="s">
        <v>2514</v>
      </c>
      <c r="IE7" s="1408" t="s">
        <v>1341</v>
      </c>
      <c r="IF7" s="1408" t="s">
        <v>2514</v>
      </c>
      <c r="IG7" s="1408" t="s">
        <v>1509</v>
      </c>
      <c r="IH7" s="1408" t="s">
        <v>2514</v>
      </c>
      <c r="II7" s="1408" t="s">
        <v>3616</v>
      </c>
      <c r="IJ7" s="1408" t="s">
        <v>2514</v>
      </c>
      <c r="IK7" s="1408" t="s">
        <v>1482</v>
      </c>
      <c r="IL7" s="1408" t="s">
        <v>2514</v>
      </c>
      <c r="IM7" s="1408" t="s">
        <v>4072</v>
      </c>
      <c r="IN7" s="1408" t="s">
        <v>2514</v>
      </c>
      <c r="IO7" s="1408" t="s">
        <v>1235</v>
      </c>
      <c r="IP7" s="1408" t="s">
        <v>2514</v>
      </c>
      <c r="IQ7" s="1408" t="s">
        <v>2716</v>
      </c>
      <c r="IR7" s="1408" t="s">
        <v>2514</v>
      </c>
      <c r="IS7" s="1408" t="s">
        <v>4006</v>
      </c>
      <c r="IT7" s="1408" t="s">
        <v>2514</v>
      </c>
      <c r="IU7" s="1408" t="s">
        <v>200</v>
      </c>
      <c r="IV7" s="1408" t="s">
        <v>2514</v>
      </c>
    </row>
    <row r="8" spans="1:256" s="1408" customFormat="1">
      <c r="A8" s="1408" t="s">
        <v>1099</v>
      </c>
      <c r="B8" s="1408" t="s">
        <v>2514</v>
      </c>
      <c r="C8" s="1408" t="s">
        <v>3766</v>
      </c>
      <c r="D8" s="1408" t="s">
        <v>2514</v>
      </c>
      <c r="E8" s="1408" t="s">
        <v>6783</v>
      </c>
      <c r="F8" s="1408" t="s">
        <v>2514</v>
      </c>
      <c r="G8" s="1408" t="s">
        <v>4385</v>
      </c>
      <c r="H8" s="1408" t="s">
        <v>2514</v>
      </c>
      <c r="I8" s="1408" t="s">
        <v>5491</v>
      </c>
      <c r="J8" s="1408" t="s">
        <v>2514</v>
      </c>
      <c r="K8" s="1408" t="s">
        <v>4772</v>
      </c>
      <c r="L8" s="1408" t="s">
        <v>2514</v>
      </c>
      <c r="M8" s="1408" t="s">
        <v>6738</v>
      </c>
      <c r="N8" s="1408" t="s">
        <v>2514</v>
      </c>
      <c r="O8" s="1408" t="s">
        <v>5824</v>
      </c>
      <c r="P8" s="1408" t="s">
        <v>2514</v>
      </c>
      <c r="Q8" s="1408" t="s">
        <v>2952</v>
      </c>
      <c r="R8" s="1408" t="s">
        <v>2514</v>
      </c>
      <c r="S8" s="1408" t="s">
        <v>5985</v>
      </c>
      <c r="T8" s="1408" t="s">
        <v>2514</v>
      </c>
      <c r="U8" s="1408" t="s">
        <v>4270</v>
      </c>
      <c r="V8" s="1408" t="s">
        <v>2514</v>
      </c>
      <c r="W8" s="1408" t="s">
        <v>3108</v>
      </c>
      <c r="X8" s="1408" t="s">
        <v>2514</v>
      </c>
      <c r="Y8" s="1408" t="s">
        <v>1711</v>
      </c>
      <c r="Z8" s="1408" t="s">
        <v>2514</v>
      </c>
      <c r="AA8" s="1408" t="s">
        <v>3597</v>
      </c>
      <c r="AB8" s="1408" t="s">
        <v>2514</v>
      </c>
      <c r="AC8" s="1408" t="s">
        <v>4696</v>
      </c>
      <c r="AD8" s="1408" t="s">
        <v>2514</v>
      </c>
      <c r="AE8" s="1408" t="s">
        <v>241</v>
      </c>
      <c r="AF8" s="1408" t="s">
        <v>2514</v>
      </c>
      <c r="AG8" s="1408" t="s">
        <v>4602</v>
      </c>
      <c r="AH8" s="1408" t="s">
        <v>2514</v>
      </c>
      <c r="AI8" s="1408" t="s">
        <v>3295</v>
      </c>
      <c r="AJ8" s="1408" t="s">
        <v>2514</v>
      </c>
      <c r="AK8" s="1408" t="s">
        <v>1421</v>
      </c>
      <c r="AL8" s="1408" t="s">
        <v>2514</v>
      </c>
      <c r="AM8" s="1408" t="s">
        <v>3135</v>
      </c>
      <c r="AN8" s="1408" t="s">
        <v>2514</v>
      </c>
      <c r="AO8" s="1408" t="s">
        <v>4430</v>
      </c>
      <c r="AP8" s="1408" t="s">
        <v>2514</v>
      </c>
      <c r="AQ8" s="1408" t="s">
        <v>2168</v>
      </c>
      <c r="AR8" s="1408" t="s">
        <v>2514</v>
      </c>
      <c r="AS8" s="1408" t="s">
        <v>4302</v>
      </c>
      <c r="AT8" s="1408" t="s">
        <v>2514</v>
      </c>
      <c r="AU8" s="1408" t="s">
        <v>3885</v>
      </c>
      <c r="AV8" s="1408" t="s">
        <v>2514</v>
      </c>
      <c r="AW8" s="1408" t="s">
        <v>5027</v>
      </c>
      <c r="AX8" s="1408" t="s">
        <v>2514</v>
      </c>
      <c r="AY8" s="1408" t="s">
        <v>6168</v>
      </c>
      <c r="AZ8" s="1408" t="s">
        <v>2514</v>
      </c>
      <c r="BA8" s="1408" t="s">
        <v>530</v>
      </c>
      <c r="BB8" s="1408" t="s">
        <v>2514</v>
      </c>
      <c r="BC8" s="1408" t="s">
        <v>6956</v>
      </c>
      <c r="BD8" s="1408" t="s">
        <v>2514</v>
      </c>
      <c r="BE8" s="1408" t="s">
        <v>3125</v>
      </c>
      <c r="BF8" s="1408" t="s">
        <v>2514</v>
      </c>
      <c r="BG8" s="1408" t="s">
        <v>64</v>
      </c>
      <c r="BH8" s="1408" t="s">
        <v>2514</v>
      </c>
      <c r="BI8" s="1408" t="s">
        <v>4553</v>
      </c>
      <c r="BJ8" s="1408" t="s">
        <v>2514</v>
      </c>
      <c r="BK8" s="1408" t="s">
        <v>1488</v>
      </c>
      <c r="BL8" s="1408" t="s">
        <v>2514</v>
      </c>
      <c r="BM8" s="1408" t="s">
        <v>2055</v>
      </c>
      <c r="BN8" s="1408" t="s">
        <v>2514</v>
      </c>
      <c r="BO8" s="1408" t="s">
        <v>1696</v>
      </c>
      <c r="BP8" s="1408" t="s">
        <v>2514</v>
      </c>
      <c r="BQ8" s="1408" t="s">
        <v>2573</v>
      </c>
      <c r="BR8" s="1408" t="s">
        <v>2514</v>
      </c>
      <c r="BS8" s="1408" t="s">
        <v>6095</v>
      </c>
      <c r="BT8" s="1408" t="s">
        <v>2514</v>
      </c>
      <c r="BU8" s="1408" t="s">
        <v>6191</v>
      </c>
      <c r="BV8" s="1408" t="s">
        <v>2514</v>
      </c>
      <c r="BW8" s="1408" t="s">
        <v>6465</v>
      </c>
      <c r="BX8" s="1408" t="s">
        <v>2514</v>
      </c>
      <c r="BY8" s="1408" t="s">
        <v>6096</v>
      </c>
      <c r="BZ8" s="1408" t="s">
        <v>2514</v>
      </c>
      <c r="CA8" s="1408" t="s">
        <v>4116</v>
      </c>
      <c r="CB8" s="1408" t="s">
        <v>2514</v>
      </c>
      <c r="CC8" s="1408" t="s">
        <v>5507</v>
      </c>
      <c r="CD8" s="1408" t="s">
        <v>2514</v>
      </c>
      <c r="CE8" s="1408" t="s">
        <v>41</v>
      </c>
      <c r="CF8" s="1408" t="s">
        <v>2514</v>
      </c>
      <c r="CG8" s="1408" t="s">
        <v>3517</v>
      </c>
      <c r="CH8" s="1408" t="s">
        <v>2514</v>
      </c>
      <c r="CI8" s="1408" t="s">
        <v>4160</v>
      </c>
      <c r="CJ8" s="1408" t="s">
        <v>2514</v>
      </c>
      <c r="CK8" s="1408" t="s">
        <v>6241</v>
      </c>
      <c r="CL8" s="1408" t="s">
        <v>2514</v>
      </c>
      <c r="CM8" s="1408" t="s">
        <v>3180</v>
      </c>
      <c r="CN8" s="1408" t="s">
        <v>2514</v>
      </c>
      <c r="CO8" s="1408" t="s">
        <v>4360</v>
      </c>
      <c r="CP8" s="1408" t="s">
        <v>2514</v>
      </c>
      <c r="CQ8" s="1408" t="s">
        <v>3698</v>
      </c>
      <c r="CR8" s="1408" t="s">
        <v>2514</v>
      </c>
      <c r="CS8" s="1408" t="s">
        <v>6844</v>
      </c>
      <c r="CT8" s="1408" t="s">
        <v>2514</v>
      </c>
      <c r="CU8" s="1408" t="s">
        <v>5838</v>
      </c>
      <c r="CV8" s="1408" t="s">
        <v>2514</v>
      </c>
      <c r="CW8" s="1408" t="s">
        <v>1773</v>
      </c>
      <c r="CX8" s="1408" t="s">
        <v>2514</v>
      </c>
      <c r="CY8" s="1408" t="s">
        <v>3629</v>
      </c>
      <c r="CZ8" s="1408" t="s">
        <v>2514</v>
      </c>
      <c r="DA8" s="1408" t="s">
        <v>5034</v>
      </c>
      <c r="DB8" s="1408" t="s">
        <v>2514</v>
      </c>
      <c r="DC8" s="1408" t="s">
        <v>6890</v>
      </c>
      <c r="DD8" s="1408" t="s">
        <v>2514</v>
      </c>
      <c r="DE8" s="1408" t="s">
        <v>2933</v>
      </c>
      <c r="DF8" s="1408" t="s">
        <v>2514</v>
      </c>
      <c r="DG8" s="1408" t="s">
        <v>3754</v>
      </c>
      <c r="DH8" s="1408" t="s">
        <v>2514</v>
      </c>
      <c r="DI8" s="1408" t="s">
        <v>5934</v>
      </c>
      <c r="DJ8" s="1408" t="s">
        <v>2514</v>
      </c>
      <c r="DK8" s="1408" t="s">
        <v>5055</v>
      </c>
      <c r="DL8" s="1408" t="s">
        <v>2514</v>
      </c>
      <c r="DM8" s="1408" t="s">
        <v>4417</v>
      </c>
      <c r="DN8" s="1408" t="s">
        <v>2514</v>
      </c>
      <c r="DO8" s="1408" t="s">
        <v>4921</v>
      </c>
      <c r="DP8" s="1408" t="s">
        <v>2514</v>
      </c>
      <c r="DQ8" s="1408" t="s">
        <v>418</v>
      </c>
      <c r="DR8" s="1408" t="s">
        <v>2514</v>
      </c>
      <c r="DS8" s="1408" t="s">
        <v>3644</v>
      </c>
      <c r="DT8" s="1408" t="s">
        <v>2514</v>
      </c>
      <c r="DU8" s="1408" t="s">
        <v>5011</v>
      </c>
      <c r="DV8" s="1408" t="s">
        <v>2514</v>
      </c>
      <c r="DW8" s="1408" t="s">
        <v>3446</v>
      </c>
      <c r="DX8" s="1408" t="s">
        <v>2514</v>
      </c>
      <c r="DY8" s="1408" t="s">
        <v>5382</v>
      </c>
      <c r="DZ8" s="1408" t="s">
        <v>2514</v>
      </c>
      <c r="EA8" s="1408" t="s">
        <v>6391</v>
      </c>
      <c r="EB8" s="1408" t="s">
        <v>2514</v>
      </c>
      <c r="EC8" s="1408" t="s">
        <v>5318</v>
      </c>
      <c r="ED8" s="1408" t="s">
        <v>2514</v>
      </c>
      <c r="EE8" s="1408" t="s">
        <v>175</v>
      </c>
      <c r="EF8" s="1408" t="s">
        <v>2514</v>
      </c>
      <c r="EG8" s="1408" t="s">
        <v>4465</v>
      </c>
      <c r="EH8" s="1408" t="s">
        <v>2514</v>
      </c>
      <c r="EI8" s="1408" t="s">
        <v>4891</v>
      </c>
      <c r="EJ8" s="1408" t="s">
        <v>2514</v>
      </c>
      <c r="EK8" s="1408" t="s">
        <v>97</v>
      </c>
      <c r="EL8" s="1408" t="s">
        <v>2514</v>
      </c>
      <c r="EM8" s="1408" t="s">
        <v>3554</v>
      </c>
      <c r="EN8" s="1408" t="s">
        <v>2514</v>
      </c>
      <c r="EO8" s="1408" t="s">
        <v>2306</v>
      </c>
      <c r="EP8" s="1408" t="s">
        <v>2514</v>
      </c>
      <c r="EQ8" s="1408" t="s">
        <v>4624</v>
      </c>
      <c r="ER8" s="1408" t="s">
        <v>2514</v>
      </c>
      <c r="ES8" s="1408" t="s">
        <v>1372</v>
      </c>
      <c r="ET8" s="1408" t="s">
        <v>2514</v>
      </c>
      <c r="EU8" s="1408" t="s">
        <v>4844</v>
      </c>
      <c r="EV8" s="1408" t="s">
        <v>2514</v>
      </c>
      <c r="EW8" s="1408" t="s">
        <v>1969</v>
      </c>
      <c r="EX8" s="1408" t="s">
        <v>2514</v>
      </c>
      <c r="EY8" s="1408" t="s">
        <v>2445</v>
      </c>
      <c r="EZ8" s="1408" t="s">
        <v>2514</v>
      </c>
      <c r="FA8" s="1408" t="s">
        <v>4137</v>
      </c>
      <c r="FB8" s="1408" t="s">
        <v>2514</v>
      </c>
      <c r="FC8" s="1408" t="s">
        <v>2892</v>
      </c>
      <c r="FD8" s="1408" t="s">
        <v>2514</v>
      </c>
      <c r="FE8" s="1408" t="s">
        <v>3063</v>
      </c>
      <c r="FF8" s="1408" t="s">
        <v>2514</v>
      </c>
      <c r="FG8" s="1408" t="s">
        <v>3005</v>
      </c>
      <c r="FH8" s="1408" t="s">
        <v>2514</v>
      </c>
      <c r="FI8" s="1408" t="s">
        <v>597</v>
      </c>
      <c r="FJ8" s="1408" t="s">
        <v>2514</v>
      </c>
      <c r="FK8" s="1408" t="s">
        <v>6663</v>
      </c>
      <c r="FL8" s="1408" t="s">
        <v>2514</v>
      </c>
      <c r="FM8" s="1408" t="s">
        <v>6822</v>
      </c>
      <c r="FN8" s="1408" t="s">
        <v>2514</v>
      </c>
      <c r="FO8" s="1408" t="s">
        <v>1152</v>
      </c>
      <c r="FP8" s="1408" t="s">
        <v>2514</v>
      </c>
      <c r="FQ8" s="1408" t="s">
        <v>1317</v>
      </c>
      <c r="FR8" s="1408" t="s">
        <v>2514</v>
      </c>
      <c r="FS8" s="1408" t="s">
        <v>4942</v>
      </c>
      <c r="FT8" s="1408" t="s">
        <v>2514</v>
      </c>
      <c r="FU8" s="1408" t="s">
        <v>5960</v>
      </c>
      <c r="FV8" s="1408" t="s">
        <v>2514</v>
      </c>
      <c r="FW8" s="1408" t="s">
        <v>4221</v>
      </c>
      <c r="FX8" s="1408" t="s">
        <v>2514</v>
      </c>
      <c r="FY8" s="1408" t="s">
        <v>6276</v>
      </c>
      <c r="FZ8" s="1408" t="s">
        <v>2514</v>
      </c>
      <c r="GA8" s="1408" t="s">
        <v>6000</v>
      </c>
      <c r="GB8" s="1408" t="s">
        <v>2514</v>
      </c>
      <c r="GC8" s="1408" t="s">
        <v>4429</v>
      </c>
      <c r="GD8" s="1408" t="s">
        <v>2514</v>
      </c>
      <c r="GE8" s="1408" t="s">
        <v>1300</v>
      </c>
      <c r="GF8" s="1408" t="s">
        <v>2514</v>
      </c>
      <c r="GG8" s="1408" t="s">
        <v>1520</v>
      </c>
      <c r="GH8" s="1408" t="s">
        <v>2514</v>
      </c>
      <c r="GI8" s="1408" t="s">
        <v>456</v>
      </c>
      <c r="GJ8" s="1408" t="s">
        <v>2514</v>
      </c>
      <c r="GK8" s="1408" t="s">
        <v>6269</v>
      </c>
      <c r="GL8" s="1408" t="s">
        <v>2514</v>
      </c>
      <c r="GM8" s="1408" t="s">
        <v>5196</v>
      </c>
      <c r="GN8" s="1408" t="s">
        <v>2514</v>
      </c>
      <c r="GO8" s="1408" t="s">
        <v>6195</v>
      </c>
      <c r="GP8" s="1408" t="s">
        <v>2514</v>
      </c>
      <c r="GQ8" s="1408" t="s">
        <v>4387</v>
      </c>
      <c r="GR8" s="1408" t="s">
        <v>2514</v>
      </c>
      <c r="GS8" s="1408" t="s">
        <v>5495</v>
      </c>
      <c r="GT8" s="1408" t="s">
        <v>2514</v>
      </c>
      <c r="GU8" s="1408" t="s">
        <v>2526</v>
      </c>
      <c r="GV8" s="1408" t="s">
        <v>2514</v>
      </c>
      <c r="GW8" s="1408" t="s">
        <v>1100</v>
      </c>
      <c r="GX8" s="1408" t="s">
        <v>2514</v>
      </c>
      <c r="GY8" s="1408" t="s">
        <v>4285</v>
      </c>
      <c r="GZ8" s="1408" t="s">
        <v>2514</v>
      </c>
      <c r="HA8" s="1408" t="s">
        <v>1195</v>
      </c>
      <c r="HB8" s="1408" t="s">
        <v>2514</v>
      </c>
      <c r="HC8" s="1408" t="s">
        <v>2429</v>
      </c>
      <c r="HD8" s="1408" t="s">
        <v>2514</v>
      </c>
      <c r="HE8" s="1408" t="s">
        <v>5994</v>
      </c>
      <c r="HF8" s="1408" t="s">
        <v>2514</v>
      </c>
      <c r="HG8" s="1408" t="s">
        <v>995</v>
      </c>
      <c r="HH8" s="1408" t="s">
        <v>2514</v>
      </c>
      <c r="HI8" s="1408" t="s">
        <v>4473</v>
      </c>
      <c r="HJ8" s="1408" t="s">
        <v>2514</v>
      </c>
      <c r="HK8" s="1408" t="s">
        <v>2697</v>
      </c>
      <c r="HL8" s="1408" t="s">
        <v>2514</v>
      </c>
      <c r="HM8" s="1408" t="s">
        <v>2491</v>
      </c>
      <c r="HN8" s="1408" t="s">
        <v>2514</v>
      </c>
      <c r="HO8" s="1408" t="s">
        <v>4108</v>
      </c>
      <c r="HP8" s="1408" t="s">
        <v>2514</v>
      </c>
      <c r="HQ8" s="1408" t="s">
        <v>2909</v>
      </c>
      <c r="HR8" s="1408" t="s">
        <v>2514</v>
      </c>
      <c r="HS8" s="1408" t="s">
        <v>2427</v>
      </c>
      <c r="HT8" s="1408" t="s">
        <v>2514</v>
      </c>
      <c r="HU8" s="1408" t="s">
        <v>902</v>
      </c>
      <c r="HV8" s="1408" t="s">
        <v>2514</v>
      </c>
      <c r="HW8" s="1408" t="s">
        <v>6920</v>
      </c>
      <c r="HX8" s="1408" t="s">
        <v>2514</v>
      </c>
      <c r="HY8" s="1408" t="s">
        <v>6750</v>
      </c>
      <c r="HZ8" s="1408" t="s">
        <v>2514</v>
      </c>
      <c r="IA8" s="1408" t="s">
        <v>5561</v>
      </c>
      <c r="IB8" s="1408" t="s">
        <v>2514</v>
      </c>
      <c r="IC8" s="1408" t="s">
        <v>5911</v>
      </c>
      <c r="ID8" s="1408" t="s">
        <v>2514</v>
      </c>
      <c r="IE8" s="1408" t="s">
        <v>3587</v>
      </c>
      <c r="IF8" s="1408" t="s">
        <v>2514</v>
      </c>
      <c r="IG8" s="1408" t="s">
        <v>5320</v>
      </c>
      <c r="IH8" s="1408" t="s">
        <v>2514</v>
      </c>
      <c r="II8" s="1408" t="s">
        <v>2135</v>
      </c>
      <c r="IJ8" s="1408" t="s">
        <v>2514</v>
      </c>
      <c r="IK8" s="1408" t="s">
        <v>5325</v>
      </c>
      <c r="IL8" s="1408" t="s">
        <v>2514</v>
      </c>
      <c r="IM8" s="1408" t="s">
        <v>1072</v>
      </c>
      <c r="IN8" s="1408" t="s">
        <v>2514</v>
      </c>
      <c r="IO8" s="1408" t="s">
        <v>2462</v>
      </c>
      <c r="IP8" s="1408" t="s">
        <v>2514</v>
      </c>
      <c r="IQ8" s="1408" t="s">
        <v>4366</v>
      </c>
      <c r="IR8" s="1408" t="s">
        <v>2514</v>
      </c>
      <c r="IS8" s="1408" t="s">
        <v>1268</v>
      </c>
      <c r="IT8" s="1408" t="s">
        <v>2514</v>
      </c>
      <c r="IU8" s="1408" t="s">
        <v>858</v>
      </c>
      <c r="IV8" s="1408" t="s">
        <v>2514</v>
      </c>
    </row>
    <row r="9" spans="1:256" s="1408" customFormat="1">
      <c r="A9" s="1408" t="s">
        <v>6016</v>
      </c>
      <c r="B9" s="1408" t="s">
        <v>2514</v>
      </c>
      <c r="C9" s="1408" t="s">
        <v>1846</v>
      </c>
      <c r="D9" s="1408" t="s">
        <v>2514</v>
      </c>
      <c r="E9" s="1408" t="s">
        <v>5218</v>
      </c>
      <c r="F9" s="1408" t="s">
        <v>2514</v>
      </c>
      <c r="G9" s="1408" t="s">
        <v>767</v>
      </c>
      <c r="H9" s="1408" t="s">
        <v>2514</v>
      </c>
      <c r="I9" s="1408" t="s">
        <v>289</v>
      </c>
      <c r="J9" s="1408" t="s">
        <v>2514</v>
      </c>
      <c r="K9" s="1408" t="s">
        <v>1319</v>
      </c>
      <c r="L9" s="1408" t="s">
        <v>2514</v>
      </c>
      <c r="M9" s="1408" t="s">
        <v>3064</v>
      </c>
      <c r="N9" s="1408" t="s">
        <v>2514</v>
      </c>
      <c r="O9" s="1408" t="s">
        <v>3982</v>
      </c>
      <c r="P9" s="1408" t="s">
        <v>2514</v>
      </c>
      <c r="Q9" s="1408" t="s">
        <v>4971</v>
      </c>
      <c r="R9" s="1408" t="s">
        <v>2514</v>
      </c>
      <c r="S9" s="1408" t="s">
        <v>5397</v>
      </c>
      <c r="T9" s="1408" t="s">
        <v>2514</v>
      </c>
      <c r="U9" s="1408" t="s">
        <v>5684</v>
      </c>
      <c r="V9" s="1408" t="s">
        <v>2514</v>
      </c>
      <c r="W9" s="1408" t="s">
        <v>5882</v>
      </c>
      <c r="X9" s="1408" t="s">
        <v>2514</v>
      </c>
      <c r="Y9" s="1408" t="s">
        <v>3271</v>
      </c>
      <c r="Z9" s="1408" t="s">
        <v>2514</v>
      </c>
      <c r="AA9" s="1408" t="s">
        <v>5968</v>
      </c>
      <c r="AB9" s="1408" t="s">
        <v>2514</v>
      </c>
      <c r="AC9" s="1408" t="s">
        <v>4932</v>
      </c>
      <c r="AD9" s="1408" t="s">
        <v>2514</v>
      </c>
      <c r="AE9" s="1408" t="s">
        <v>2594</v>
      </c>
      <c r="AF9" s="1408" t="s">
        <v>2514</v>
      </c>
      <c r="AG9" s="1408" t="s">
        <v>6224</v>
      </c>
      <c r="AH9" s="1408" t="s">
        <v>2514</v>
      </c>
      <c r="AI9" s="1408" t="s">
        <v>4623</v>
      </c>
      <c r="AJ9" s="1408" t="s">
        <v>2514</v>
      </c>
      <c r="AK9" s="1408" t="s">
        <v>6008</v>
      </c>
      <c r="AL9" s="1408" t="s">
        <v>2514</v>
      </c>
      <c r="AM9" s="1408" t="s">
        <v>3631</v>
      </c>
      <c r="AN9" s="1408" t="s">
        <v>2514</v>
      </c>
      <c r="AO9" s="1408" t="s">
        <v>1109</v>
      </c>
      <c r="AP9" s="1408" t="s">
        <v>2514</v>
      </c>
      <c r="AQ9" s="1408" t="s">
        <v>224</v>
      </c>
      <c r="AR9" s="1408" t="s">
        <v>2514</v>
      </c>
      <c r="AS9" s="1408" t="s">
        <v>3522</v>
      </c>
      <c r="AT9" s="1408" t="s">
        <v>2514</v>
      </c>
      <c r="AU9" s="1408" t="s">
        <v>4092</v>
      </c>
      <c r="AV9" s="1408" t="s">
        <v>2514</v>
      </c>
      <c r="AW9" s="1408" t="s">
        <v>2162</v>
      </c>
      <c r="AX9" s="1408" t="s">
        <v>2514</v>
      </c>
      <c r="AY9" s="1408" t="s">
        <v>534</v>
      </c>
      <c r="AZ9" s="1408" t="s">
        <v>2514</v>
      </c>
      <c r="BA9" s="1408" t="s">
        <v>6756</v>
      </c>
      <c r="BB9" s="1408" t="s">
        <v>2514</v>
      </c>
      <c r="BC9" s="1408" t="s">
        <v>2841</v>
      </c>
      <c r="BD9" s="1408" t="s">
        <v>2514</v>
      </c>
      <c r="BE9" s="1408" t="s">
        <v>5076</v>
      </c>
      <c r="BF9" s="1408" t="s">
        <v>2514</v>
      </c>
      <c r="BG9" s="1408" t="s">
        <v>5763</v>
      </c>
      <c r="BH9" s="1408" t="s">
        <v>2514</v>
      </c>
      <c r="BI9" s="1408" t="s">
        <v>1153</v>
      </c>
      <c r="BJ9" s="1408" t="s">
        <v>2514</v>
      </c>
      <c r="BK9" s="1408" t="s">
        <v>2293</v>
      </c>
      <c r="BL9" s="1408" t="s">
        <v>2514</v>
      </c>
      <c r="BM9" s="1408" t="s">
        <v>3995</v>
      </c>
      <c r="BN9" s="1408" t="s">
        <v>2514</v>
      </c>
      <c r="BO9" s="1408" t="s">
        <v>1811</v>
      </c>
      <c r="BP9" s="1408" t="s">
        <v>2514</v>
      </c>
      <c r="BQ9" s="1408" t="s">
        <v>5746</v>
      </c>
      <c r="BR9" s="1408" t="s">
        <v>2514</v>
      </c>
      <c r="BS9" s="1408" t="s">
        <v>1246</v>
      </c>
      <c r="BT9" s="1408" t="s">
        <v>2514</v>
      </c>
      <c r="BU9" s="1408" t="s">
        <v>2088</v>
      </c>
      <c r="BV9" s="1408" t="s">
        <v>2514</v>
      </c>
      <c r="BW9" s="1408" t="s">
        <v>2583</v>
      </c>
      <c r="BX9" s="1408" t="s">
        <v>2514</v>
      </c>
      <c r="BY9" s="1408" t="s">
        <v>2899</v>
      </c>
      <c r="BZ9" s="1408" t="s">
        <v>2514</v>
      </c>
      <c r="CA9" s="1408" t="s">
        <v>1255</v>
      </c>
      <c r="CB9" s="1408" t="s">
        <v>2514</v>
      </c>
      <c r="CC9" s="1408" t="s">
        <v>733</v>
      </c>
      <c r="CD9" s="1408" t="s">
        <v>2514</v>
      </c>
      <c r="CE9" s="1408" t="s">
        <v>938</v>
      </c>
      <c r="CF9" s="1408" t="s">
        <v>2514</v>
      </c>
      <c r="CG9" s="1408" t="s">
        <v>5528</v>
      </c>
      <c r="CH9" s="1408" t="s">
        <v>2514</v>
      </c>
      <c r="CI9" s="1408" t="s">
        <v>3077</v>
      </c>
      <c r="CJ9" s="1408" t="s">
        <v>2514</v>
      </c>
      <c r="CK9" s="1408" t="s">
        <v>326</v>
      </c>
      <c r="CL9" s="1408" t="s">
        <v>2514</v>
      </c>
      <c r="CM9" s="1408" t="s">
        <v>5367</v>
      </c>
      <c r="CN9" s="1408" t="s">
        <v>2514</v>
      </c>
      <c r="CO9" s="1408" t="s">
        <v>1807</v>
      </c>
      <c r="CP9" s="1408" t="s">
        <v>2514</v>
      </c>
      <c r="CQ9" s="1408" t="s">
        <v>1158</v>
      </c>
      <c r="CR9" s="1408" t="s">
        <v>2514</v>
      </c>
      <c r="CS9" s="1408" t="s">
        <v>6328</v>
      </c>
      <c r="CT9" s="1408" t="s">
        <v>2514</v>
      </c>
      <c r="CU9" s="1408" t="s">
        <v>6262</v>
      </c>
      <c r="CV9" s="1408" t="s">
        <v>2514</v>
      </c>
      <c r="CW9" s="1408" t="s">
        <v>5308</v>
      </c>
      <c r="CX9" s="1408" t="s">
        <v>2514</v>
      </c>
      <c r="CY9" s="1408" t="s">
        <v>285</v>
      </c>
      <c r="CZ9" s="1408" t="s">
        <v>2514</v>
      </c>
      <c r="DA9" s="1408" t="s">
        <v>1428</v>
      </c>
      <c r="DB9" s="1408" t="s">
        <v>2514</v>
      </c>
      <c r="DC9" s="1408" t="s">
        <v>3849</v>
      </c>
      <c r="DD9" s="1408" t="s">
        <v>2514</v>
      </c>
      <c r="DE9" s="1408" t="s">
        <v>1154</v>
      </c>
      <c r="DF9" s="1408" t="s">
        <v>2514</v>
      </c>
      <c r="DG9" s="1408" t="s">
        <v>6376</v>
      </c>
      <c r="DH9" s="1408" t="s">
        <v>2514</v>
      </c>
      <c r="DI9" s="1408" t="s">
        <v>5842</v>
      </c>
      <c r="DJ9" s="1408" t="s">
        <v>2514</v>
      </c>
      <c r="DK9" s="1408" t="s">
        <v>982</v>
      </c>
      <c r="DL9" s="1408" t="s">
        <v>2514</v>
      </c>
      <c r="DM9" s="1408" t="s">
        <v>1117</v>
      </c>
      <c r="DN9" s="1408" t="s">
        <v>2514</v>
      </c>
      <c r="DO9" s="1408" t="s">
        <v>5359</v>
      </c>
      <c r="DP9" s="1408" t="s">
        <v>2514</v>
      </c>
      <c r="DQ9" s="1408" t="s">
        <v>549</v>
      </c>
      <c r="DR9" s="1408" t="s">
        <v>2514</v>
      </c>
      <c r="DS9" s="1408" t="s">
        <v>2218</v>
      </c>
      <c r="DT9" s="1408" t="s">
        <v>2514</v>
      </c>
      <c r="DU9" s="1408" t="s">
        <v>1467</v>
      </c>
      <c r="DV9" s="1408" t="s">
        <v>2514</v>
      </c>
      <c r="DW9" s="1408" t="s">
        <v>2669</v>
      </c>
      <c r="DX9" s="1408" t="s">
        <v>2514</v>
      </c>
      <c r="DY9" s="1408" t="s">
        <v>219</v>
      </c>
      <c r="DZ9" s="1408" t="s">
        <v>2514</v>
      </c>
      <c r="EA9" s="1408" t="s">
        <v>1545</v>
      </c>
      <c r="EB9" s="1408" t="s">
        <v>2514</v>
      </c>
      <c r="EC9" s="1408" t="s">
        <v>1102</v>
      </c>
      <c r="ED9" s="1408" t="s">
        <v>2514</v>
      </c>
      <c r="EE9" s="1408" t="s">
        <v>5347</v>
      </c>
      <c r="EF9" s="1408" t="s">
        <v>2514</v>
      </c>
      <c r="EG9" s="1408" t="s">
        <v>293</v>
      </c>
      <c r="EH9" s="1408" t="s">
        <v>2514</v>
      </c>
      <c r="EI9" s="1408" t="s">
        <v>574</v>
      </c>
      <c r="EJ9" s="1408" t="s">
        <v>2514</v>
      </c>
      <c r="EK9" s="1408" t="s">
        <v>4639</v>
      </c>
      <c r="EL9" s="1408" t="s">
        <v>2514</v>
      </c>
      <c r="EM9" s="1408" t="s">
        <v>6799</v>
      </c>
      <c r="EN9" s="1408" t="s">
        <v>2514</v>
      </c>
      <c r="EO9" s="1408" t="s">
        <v>3532</v>
      </c>
      <c r="EP9" s="1408" t="s">
        <v>2514</v>
      </c>
      <c r="EQ9" s="1408" t="s">
        <v>2723</v>
      </c>
      <c r="ER9" s="1408" t="s">
        <v>2514</v>
      </c>
      <c r="ES9" s="1408" t="s">
        <v>4100</v>
      </c>
      <c r="ET9" s="1408" t="s">
        <v>2514</v>
      </c>
      <c r="EU9" s="1408" t="s">
        <v>1201</v>
      </c>
      <c r="EV9" s="1408" t="s">
        <v>2514</v>
      </c>
      <c r="EW9" s="1408" t="s">
        <v>1294</v>
      </c>
      <c r="EX9" s="1408" t="s">
        <v>2514</v>
      </c>
      <c r="EY9" s="1408" t="s">
        <v>6721</v>
      </c>
      <c r="EZ9" s="1408" t="s">
        <v>2514</v>
      </c>
      <c r="FA9" s="1408" t="s">
        <v>4490</v>
      </c>
      <c r="FB9" s="1408" t="s">
        <v>2514</v>
      </c>
      <c r="FC9" s="1408" t="s">
        <v>2122</v>
      </c>
      <c r="FD9" s="1408" t="s">
        <v>2514</v>
      </c>
      <c r="FE9" s="1408" t="s">
        <v>2975</v>
      </c>
      <c r="FF9" s="1408" t="s">
        <v>2514</v>
      </c>
      <c r="FG9" s="1408" t="s">
        <v>6737</v>
      </c>
      <c r="FH9" s="1408" t="s">
        <v>2514</v>
      </c>
      <c r="FI9" s="1408" t="s">
        <v>1408</v>
      </c>
      <c r="FJ9" s="1408" t="s">
        <v>2514</v>
      </c>
      <c r="FK9" s="1408" t="s">
        <v>2022</v>
      </c>
      <c r="FL9" s="1408" t="s">
        <v>2514</v>
      </c>
      <c r="FM9" s="1408" t="s">
        <v>4157</v>
      </c>
      <c r="FN9" s="1408" t="s">
        <v>2514</v>
      </c>
      <c r="FO9" s="1408" t="s">
        <v>6541</v>
      </c>
      <c r="FP9" s="1408" t="s">
        <v>2514</v>
      </c>
      <c r="FQ9" s="1408" t="s">
        <v>4166</v>
      </c>
      <c r="FR9" s="1408" t="s">
        <v>2514</v>
      </c>
      <c r="FS9" s="1408" t="s">
        <v>5792</v>
      </c>
      <c r="FT9" s="1408" t="s">
        <v>2514</v>
      </c>
      <c r="FU9" s="1408" t="s">
        <v>6696</v>
      </c>
      <c r="FV9" s="1408" t="s">
        <v>2514</v>
      </c>
      <c r="FW9" s="1408" t="s">
        <v>1060</v>
      </c>
      <c r="FX9" s="1408" t="s">
        <v>2514</v>
      </c>
      <c r="FY9" s="1408" t="s">
        <v>5434</v>
      </c>
      <c r="FZ9" s="1408" t="s">
        <v>2514</v>
      </c>
      <c r="GA9" s="1408" t="s">
        <v>2912</v>
      </c>
      <c r="GB9" s="1408" t="s">
        <v>2514</v>
      </c>
      <c r="GC9" s="1408" t="s">
        <v>4454</v>
      </c>
      <c r="GD9" s="1408" t="s">
        <v>2514</v>
      </c>
      <c r="GE9" s="1408" t="s">
        <v>4379</v>
      </c>
      <c r="GF9" s="1408" t="s">
        <v>2514</v>
      </c>
      <c r="GG9" s="1408" t="s">
        <v>4949</v>
      </c>
      <c r="GH9" s="1408" t="s">
        <v>2514</v>
      </c>
      <c r="GI9" s="1408" t="s">
        <v>218</v>
      </c>
      <c r="GJ9" s="1408" t="s">
        <v>2514</v>
      </c>
      <c r="GK9" s="1408" t="s">
        <v>4976</v>
      </c>
      <c r="GL9" s="1408" t="s">
        <v>2514</v>
      </c>
      <c r="GM9" s="1408" t="s">
        <v>3256</v>
      </c>
      <c r="GN9" s="1408" t="s">
        <v>2514</v>
      </c>
      <c r="GO9" s="1408" t="s">
        <v>425</v>
      </c>
      <c r="GP9" s="1408" t="s">
        <v>2514</v>
      </c>
      <c r="GQ9" s="1408" t="s">
        <v>3518</v>
      </c>
      <c r="GR9" s="1408" t="s">
        <v>2514</v>
      </c>
      <c r="GS9" s="1408" t="s">
        <v>3123</v>
      </c>
      <c r="GT9" s="1408" t="s">
        <v>2514</v>
      </c>
      <c r="GU9" s="1408" t="s">
        <v>304</v>
      </c>
      <c r="GV9" s="1408" t="s">
        <v>2514</v>
      </c>
      <c r="GW9" s="1408" t="s">
        <v>993</v>
      </c>
      <c r="GX9" s="1408" t="s">
        <v>2514</v>
      </c>
      <c r="GY9" s="1408" t="s">
        <v>5206</v>
      </c>
      <c r="GZ9" s="1408" t="s">
        <v>2514</v>
      </c>
      <c r="HA9" s="1408" t="s">
        <v>2447</v>
      </c>
      <c r="HB9" s="1408" t="s">
        <v>2514</v>
      </c>
      <c r="HC9" s="1408" t="s">
        <v>719</v>
      </c>
      <c r="HD9" s="1408" t="s">
        <v>2514</v>
      </c>
      <c r="HE9" s="1408" t="s">
        <v>1446</v>
      </c>
      <c r="HF9" s="1408" t="s">
        <v>2514</v>
      </c>
      <c r="HG9" s="1408" t="s">
        <v>883</v>
      </c>
      <c r="HH9" s="1408" t="s">
        <v>2514</v>
      </c>
      <c r="HI9" s="1408" t="s">
        <v>3375</v>
      </c>
      <c r="HJ9" s="1408" t="s">
        <v>2514</v>
      </c>
      <c r="HK9" s="1408" t="s">
        <v>295</v>
      </c>
      <c r="HL9" s="1408" t="s">
        <v>2514</v>
      </c>
      <c r="HM9" s="1408" t="s">
        <v>3568</v>
      </c>
      <c r="HN9" s="1408" t="s">
        <v>2514</v>
      </c>
      <c r="HO9" s="1408" t="s">
        <v>2227</v>
      </c>
      <c r="HP9" s="1408" t="s">
        <v>2514</v>
      </c>
      <c r="HQ9" s="1408" t="s">
        <v>3858</v>
      </c>
      <c r="HR9" s="1408" t="s">
        <v>2514</v>
      </c>
      <c r="HS9" s="1408" t="s">
        <v>108</v>
      </c>
      <c r="HT9" s="1408" t="s">
        <v>2514</v>
      </c>
      <c r="HU9" s="1408" t="s">
        <v>2486</v>
      </c>
      <c r="HV9" s="1408" t="s">
        <v>2514</v>
      </c>
      <c r="HW9" s="1408" t="s">
        <v>5417</v>
      </c>
      <c r="HX9" s="1408" t="s">
        <v>2514</v>
      </c>
      <c r="HY9" s="1408" t="s">
        <v>0</v>
      </c>
      <c r="HZ9" s="1408" t="s">
        <v>2514</v>
      </c>
      <c r="IA9" s="1408" t="s">
        <v>5905</v>
      </c>
      <c r="IB9" s="1408" t="s">
        <v>2514</v>
      </c>
      <c r="IC9" s="1408" t="s">
        <v>6698</v>
      </c>
      <c r="ID9" s="1408" t="s">
        <v>2514</v>
      </c>
      <c r="IE9" s="1408" t="s">
        <v>3421</v>
      </c>
      <c r="IF9" s="1408" t="s">
        <v>2514</v>
      </c>
      <c r="IG9" s="1408" t="s">
        <v>2382</v>
      </c>
      <c r="IH9" s="1408" t="s">
        <v>2514</v>
      </c>
      <c r="II9" s="1408" t="s">
        <v>6454</v>
      </c>
      <c r="IJ9" s="1408" t="s">
        <v>2514</v>
      </c>
      <c r="IK9" s="1408" t="s">
        <v>3893</v>
      </c>
      <c r="IL9" s="1408" t="s">
        <v>2514</v>
      </c>
      <c r="IM9" s="1408" t="s">
        <v>450</v>
      </c>
      <c r="IN9" s="1408" t="s">
        <v>2514</v>
      </c>
      <c r="IO9" s="1408" t="s">
        <v>6761</v>
      </c>
      <c r="IP9" s="1408" t="s">
        <v>2514</v>
      </c>
      <c r="IQ9" s="1408" t="s">
        <v>5889</v>
      </c>
      <c r="IR9" s="1408" t="s">
        <v>2514</v>
      </c>
      <c r="IS9" s="1408" t="s">
        <v>1922</v>
      </c>
      <c r="IT9" s="1408" t="s">
        <v>2514</v>
      </c>
      <c r="IU9" s="1408" t="s">
        <v>2103</v>
      </c>
      <c r="IV9" s="1408" t="s">
        <v>2514</v>
      </c>
    </row>
    <row r="10" spans="1:256" s="1408" customFormat="1">
      <c r="A10" s="1408" t="s">
        <v>5126</v>
      </c>
      <c r="B10" s="1408" t="s">
        <v>2514</v>
      </c>
      <c r="C10" s="1408" t="s">
        <v>3894</v>
      </c>
      <c r="D10" s="1408" t="s">
        <v>2514</v>
      </c>
      <c r="E10" s="1408" t="s">
        <v>6786</v>
      </c>
      <c r="F10" s="1408" t="s">
        <v>2514</v>
      </c>
      <c r="G10" s="1408" t="s">
        <v>4409</v>
      </c>
      <c r="H10" s="1408" t="s">
        <v>2514</v>
      </c>
      <c r="I10" s="1408" t="s">
        <v>1647</v>
      </c>
      <c r="J10" s="1408" t="s">
        <v>2514</v>
      </c>
      <c r="K10" s="1408" t="s">
        <v>1584</v>
      </c>
      <c r="L10" s="1408" t="s">
        <v>2514</v>
      </c>
      <c r="M10" s="1408" t="s">
        <v>614</v>
      </c>
      <c r="N10" s="1408" t="s">
        <v>2514</v>
      </c>
      <c r="O10" s="1408" t="s">
        <v>2416</v>
      </c>
      <c r="P10" s="1408" t="s">
        <v>2514</v>
      </c>
      <c r="Q10" s="1408" t="s">
        <v>331</v>
      </c>
      <c r="R10" s="1408" t="s">
        <v>2514</v>
      </c>
      <c r="S10" s="1408" t="s">
        <v>255</v>
      </c>
      <c r="T10" s="1408" t="s">
        <v>2514</v>
      </c>
      <c r="U10" s="1408" t="s">
        <v>1288</v>
      </c>
      <c r="V10" s="1408" t="s">
        <v>2514</v>
      </c>
      <c r="W10" s="1408" t="s">
        <v>1748</v>
      </c>
      <c r="X10" s="1408" t="s">
        <v>2514</v>
      </c>
      <c r="Y10" s="1408" t="s">
        <v>6205</v>
      </c>
      <c r="Z10" s="1408" t="s">
        <v>2514</v>
      </c>
      <c r="AA10" s="1408" t="s">
        <v>2686</v>
      </c>
      <c r="AB10" s="1408" t="s">
        <v>2514</v>
      </c>
      <c r="AC10" s="1408" t="s">
        <v>3370</v>
      </c>
      <c r="AD10" s="1408" t="s">
        <v>2514</v>
      </c>
      <c r="AE10" s="1408" t="s">
        <v>5031</v>
      </c>
      <c r="AF10" s="1408" t="s">
        <v>2514</v>
      </c>
      <c r="AG10" s="1408" t="s">
        <v>1011</v>
      </c>
      <c r="AH10" s="1408" t="s">
        <v>2514</v>
      </c>
      <c r="AI10" s="1408" t="s">
        <v>5811</v>
      </c>
      <c r="AJ10" s="1408" t="s">
        <v>2514</v>
      </c>
      <c r="AK10" s="1408" t="s">
        <v>2830</v>
      </c>
      <c r="AL10" s="1408" t="s">
        <v>2514</v>
      </c>
      <c r="AM10" s="1408" t="s">
        <v>129</v>
      </c>
      <c r="AN10" s="1408" t="s">
        <v>2514</v>
      </c>
      <c r="AO10" s="1408" t="s">
        <v>4881</v>
      </c>
      <c r="AP10" s="1408" t="s">
        <v>2514</v>
      </c>
      <c r="AQ10" s="1408" t="s">
        <v>762</v>
      </c>
      <c r="AR10" s="1408" t="s">
        <v>2514</v>
      </c>
      <c r="AS10" s="1408" t="s">
        <v>768</v>
      </c>
      <c r="AT10" s="1408" t="s">
        <v>2514</v>
      </c>
      <c r="AU10" s="1408" t="s">
        <v>6094</v>
      </c>
      <c r="AV10" s="1408" t="s">
        <v>2514</v>
      </c>
      <c r="AW10" s="1408" t="s">
        <v>5443</v>
      </c>
      <c r="AX10" s="1408" t="s">
        <v>2514</v>
      </c>
      <c r="AY10" s="1408" t="s">
        <v>6883</v>
      </c>
      <c r="AZ10" s="1408" t="s">
        <v>2514</v>
      </c>
      <c r="BA10" s="1408" t="s">
        <v>1817</v>
      </c>
      <c r="BB10" s="1408" t="s">
        <v>2514</v>
      </c>
      <c r="BC10" s="1408" t="s">
        <v>303</v>
      </c>
      <c r="BD10" s="1408" t="s">
        <v>2514</v>
      </c>
      <c r="BE10" s="1408" t="s">
        <v>1733</v>
      </c>
      <c r="BF10" s="1408" t="s">
        <v>2514</v>
      </c>
      <c r="BG10" s="1408" t="s">
        <v>3204</v>
      </c>
      <c r="BH10" s="1408" t="s">
        <v>2514</v>
      </c>
      <c r="BI10" s="1408" t="s">
        <v>3574</v>
      </c>
      <c r="BJ10" s="1408" t="s">
        <v>2514</v>
      </c>
      <c r="BK10" s="1408" t="s">
        <v>4403</v>
      </c>
      <c r="BL10" s="1408" t="s">
        <v>2514</v>
      </c>
      <c r="BM10" s="1408" t="s">
        <v>2479</v>
      </c>
      <c r="BN10" s="1408" t="s">
        <v>2514</v>
      </c>
      <c r="BO10" s="1408" t="s">
        <v>3057</v>
      </c>
      <c r="BP10" s="1408" t="s">
        <v>2514</v>
      </c>
      <c r="BQ10" s="1408" t="s">
        <v>2304</v>
      </c>
      <c r="BR10" s="1408" t="s">
        <v>2514</v>
      </c>
      <c r="BS10" s="1408" t="s">
        <v>1737</v>
      </c>
      <c r="BT10" s="1408" t="s">
        <v>2514</v>
      </c>
      <c r="BU10" s="1408" t="s">
        <v>6678</v>
      </c>
      <c r="BV10" s="1408" t="s">
        <v>2514</v>
      </c>
      <c r="BW10" s="1408" t="s">
        <v>2371</v>
      </c>
      <c r="BX10" s="1408" t="s">
        <v>2514</v>
      </c>
      <c r="BY10" s="1408" t="s">
        <v>6517</v>
      </c>
      <c r="BZ10" s="1408" t="s">
        <v>2514</v>
      </c>
      <c r="CA10" s="1408" t="s">
        <v>545</v>
      </c>
      <c r="CB10" s="1408" t="s">
        <v>2514</v>
      </c>
      <c r="CC10" s="1408" t="s">
        <v>3459</v>
      </c>
      <c r="CD10" s="1408" t="s">
        <v>2514</v>
      </c>
      <c r="CE10" s="1408" t="s">
        <v>4345</v>
      </c>
      <c r="CF10" s="1408" t="s">
        <v>2514</v>
      </c>
      <c r="CG10" s="1408" t="s">
        <v>3268</v>
      </c>
      <c r="CH10" s="1408" t="s">
        <v>2514</v>
      </c>
      <c r="CI10" s="1408" t="s">
        <v>2139</v>
      </c>
      <c r="CJ10" s="1408" t="s">
        <v>2514</v>
      </c>
      <c r="CK10" s="1408" t="s">
        <v>1207</v>
      </c>
      <c r="CL10" s="1408" t="s">
        <v>2514</v>
      </c>
      <c r="CM10" s="1408" t="s">
        <v>5278</v>
      </c>
      <c r="CN10" s="1408" t="s">
        <v>2514</v>
      </c>
      <c r="CO10" s="1408" t="s">
        <v>5857</v>
      </c>
      <c r="CP10" s="1408" t="s">
        <v>2514</v>
      </c>
      <c r="CQ10" s="1408" t="s">
        <v>4910</v>
      </c>
      <c r="CR10" s="1408" t="s">
        <v>2514</v>
      </c>
      <c r="CS10" s="1408" t="s">
        <v>6424</v>
      </c>
      <c r="CT10" s="1408" t="s">
        <v>2514</v>
      </c>
      <c r="CU10" s="1408" t="s">
        <v>4376</v>
      </c>
      <c r="CV10" s="1408" t="s">
        <v>2514</v>
      </c>
      <c r="CW10" s="1408" t="s">
        <v>2816</v>
      </c>
      <c r="CX10" s="1408" t="s">
        <v>2514</v>
      </c>
      <c r="CY10" s="1408" t="s">
        <v>958</v>
      </c>
      <c r="CZ10" s="1408" t="s">
        <v>2514</v>
      </c>
      <c r="DA10" s="1408" t="s">
        <v>6562</v>
      </c>
      <c r="DB10" s="1408" t="s">
        <v>2514</v>
      </c>
      <c r="DC10" s="1408" t="s">
        <v>2164</v>
      </c>
      <c r="DD10" s="1408" t="s">
        <v>2514</v>
      </c>
      <c r="DE10" s="1408" t="s">
        <v>2551</v>
      </c>
      <c r="DF10" s="1408" t="s">
        <v>2514</v>
      </c>
      <c r="DG10" s="1408" t="s">
        <v>4631</v>
      </c>
      <c r="DH10" s="1408" t="s">
        <v>2514</v>
      </c>
      <c r="DI10" s="1408" t="s">
        <v>4373</v>
      </c>
      <c r="DJ10" s="1408" t="s">
        <v>2514</v>
      </c>
      <c r="DK10" s="1408" t="s">
        <v>1601</v>
      </c>
      <c r="DL10" s="1408" t="s">
        <v>2514</v>
      </c>
      <c r="DM10" s="1408" t="s">
        <v>6136</v>
      </c>
      <c r="DN10" s="1408" t="s">
        <v>2514</v>
      </c>
      <c r="DO10" s="1408" t="s">
        <v>2842</v>
      </c>
      <c r="DP10" s="1408" t="s">
        <v>2514</v>
      </c>
      <c r="DQ10" s="1408" t="s">
        <v>5063</v>
      </c>
      <c r="DR10" s="1408" t="s">
        <v>2514</v>
      </c>
      <c r="DS10" s="1408" t="s">
        <v>2738</v>
      </c>
      <c r="DT10" s="1408" t="s">
        <v>2514</v>
      </c>
      <c r="DU10" s="1408" t="s">
        <v>2845</v>
      </c>
      <c r="DV10" s="1408" t="s">
        <v>2514</v>
      </c>
      <c r="DW10" s="1408" t="s">
        <v>3162</v>
      </c>
      <c r="DX10" s="1408" t="s">
        <v>2514</v>
      </c>
      <c r="DY10" s="1408" t="s">
        <v>3148</v>
      </c>
      <c r="DZ10" s="1408" t="s">
        <v>2514</v>
      </c>
      <c r="EA10" s="1408" t="s">
        <v>3645</v>
      </c>
      <c r="EB10" s="1408" t="s">
        <v>2514</v>
      </c>
      <c r="EC10" s="1408" t="s">
        <v>1377</v>
      </c>
      <c r="ED10" s="1408" t="s">
        <v>2514</v>
      </c>
      <c r="EE10" s="1408" t="s">
        <v>6173</v>
      </c>
      <c r="EF10" s="1408" t="s">
        <v>2514</v>
      </c>
      <c r="EG10" s="1408" t="s">
        <v>2708</v>
      </c>
      <c r="EH10" s="1408" t="s">
        <v>2514</v>
      </c>
      <c r="EI10" s="1408" t="s">
        <v>4851</v>
      </c>
      <c r="EJ10" s="1408" t="s">
        <v>2514</v>
      </c>
      <c r="EK10" s="1408" t="s">
        <v>3267</v>
      </c>
      <c r="EL10" s="1408" t="s">
        <v>2514</v>
      </c>
      <c r="EM10" s="1408" t="s">
        <v>3260</v>
      </c>
      <c r="EN10" s="1408" t="s">
        <v>2514</v>
      </c>
      <c r="EO10" s="1408" t="s">
        <v>4480</v>
      </c>
      <c r="EP10" s="1408" t="s">
        <v>2514</v>
      </c>
      <c r="EQ10" s="1408" t="s">
        <v>4381</v>
      </c>
      <c r="ER10" s="1408" t="s">
        <v>2514</v>
      </c>
      <c r="ES10" s="1408" t="s">
        <v>1907</v>
      </c>
      <c r="ET10" s="1408" t="s">
        <v>2514</v>
      </c>
      <c r="EU10" s="1408" t="s">
        <v>5853</v>
      </c>
      <c r="EV10" s="1408" t="s">
        <v>2514</v>
      </c>
      <c r="EW10" s="1408" t="s">
        <v>6798</v>
      </c>
      <c r="EX10" s="1408" t="s">
        <v>2514</v>
      </c>
      <c r="EY10" s="1408" t="s">
        <v>5712</v>
      </c>
      <c r="EZ10" s="1408" t="s">
        <v>2514</v>
      </c>
      <c r="FA10" s="1408" t="s">
        <v>5316</v>
      </c>
      <c r="FB10" s="1408" t="s">
        <v>2514</v>
      </c>
      <c r="FC10" s="1408" t="s">
        <v>3081</v>
      </c>
      <c r="FD10" s="1408" t="s">
        <v>2514</v>
      </c>
      <c r="FE10" s="1408" t="s">
        <v>1303</v>
      </c>
      <c r="FF10" s="1408" t="s">
        <v>2514</v>
      </c>
      <c r="FG10" s="1408" t="s">
        <v>1275</v>
      </c>
      <c r="FH10" s="1408" t="s">
        <v>2514</v>
      </c>
      <c r="FI10" s="1408" t="s">
        <v>771</v>
      </c>
      <c r="FJ10" s="1408" t="s">
        <v>2514</v>
      </c>
      <c r="FK10" s="1408" t="s">
        <v>6513</v>
      </c>
      <c r="FL10" s="1408" t="s">
        <v>2514</v>
      </c>
      <c r="FM10" s="1408" t="s">
        <v>2678</v>
      </c>
      <c r="FN10" s="1408" t="s">
        <v>2514</v>
      </c>
      <c r="FO10" s="1408" t="s">
        <v>4797</v>
      </c>
      <c r="FP10" s="1408" t="s">
        <v>2514</v>
      </c>
      <c r="FQ10" s="1408" t="s">
        <v>1399</v>
      </c>
      <c r="FR10" s="1408" t="s">
        <v>2514</v>
      </c>
      <c r="FS10" s="1408" t="s">
        <v>5698</v>
      </c>
      <c r="FT10" s="1408" t="s">
        <v>2514</v>
      </c>
      <c r="FU10" s="1408" t="s">
        <v>1192</v>
      </c>
      <c r="FV10" s="1408" t="s">
        <v>2514</v>
      </c>
      <c r="FW10" s="1408" t="s">
        <v>5596</v>
      </c>
      <c r="FX10" s="1408" t="s">
        <v>2514</v>
      </c>
      <c r="FY10" s="1408" t="s">
        <v>2884</v>
      </c>
      <c r="FZ10" s="1408" t="s">
        <v>2514</v>
      </c>
      <c r="GA10" s="1408" t="s">
        <v>723</v>
      </c>
      <c r="GB10" s="1408" t="s">
        <v>2514</v>
      </c>
      <c r="GC10" s="1408" t="s">
        <v>199</v>
      </c>
      <c r="GD10" s="1408" t="s">
        <v>2514</v>
      </c>
      <c r="GE10" s="1408" t="s">
        <v>955</v>
      </c>
      <c r="GF10" s="1408" t="s">
        <v>2514</v>
      </c>
      <c r="GG10" s="1408" t="s">
        <v>6367</v>
      </c>
      <c r="GH10" s="1408" t="s">
        <v>2514</v>
      </c>
      <c r="GI10" s="1408" t="s">
        <v>4226</v>
      </c>
      <c r="GJ10" s="1408" t="s">
        <v>2514</v>
      </c>
      <c r="GK10" s="1408" t="s">
        <v>6527</v>
      </c>
      <c r="GL10" s="1408" t="s">
        <v>2514</v>
      </c>
      <c r="GM10" s="1408" t="s">
        <v>2596</v>
      </c>
      <c r="GN10" s="1408" t="s">
        <v>2514</v>
      </c>
      <c r="GO10" s="1408" t="s">
        <v>177</v>
      </c>
      <c r="GP10" s="1408" t="s">
        <v>2514</v>
      </c>
      <c r="GQ10" s="1408" t="s">
        <v>3217</v>
      </c>
      <c r="GR10" s="1408" t="s">
        <v>2514</v>
      </c>
      <c r="GS10" s="1408" t="s">
        <v>861</v>
      </c>
      <c r="GT10" s="1408" t="s">
        <v>2514</v>
      </c>
      <c r="GU10" s="1408" t="s">
        <v>1169</v>
      </c>
      <c r="GV10" s="1408" t="s">
        <v>2514</v>
      </c>
      <c r="GW10" s="1408" t="s">
        <v>3913</v>
      </c>
      <c r="GX10" s="1408" t="s">
        <v>2514</v>
      </c>
      <c r="GY10" s="1408" t="s">
        <v>4508</v>
      </c>
      <c r="GZ10" s="1408" t="s">
        <v>2514</v>
      </c>
      <c r="HA10" s="1408" t="s">
        <v>3998</v>
      </c>
      <c r="HB10" s="1408" t="s">
        <v>2514</v>
      </c>
      <c r="HC10" s="1408" t="s">
        <v>2733</v>
      </c>
      <c r="HD10" s="1408" t="s">
        <v>2514</v>
      </c>
      <c r="HE10" s="1408" t="s">
        <v>491</v>
      </c>
      <c r="HF10" s="1408" t="s">
        <v>2514</v>
      </c>
      <c r="HG10" s="1408" t="s">
        <v>189</v>
      </c>
      <c r="HH10" s="1408" t="s">
        <v>2514</v>
      </c>
      <c r="HI10" s="1408" t="s">
        <v>6540</v>
      </c>
      <c r="HJ10" s="1408" t="s">
        <v>2514</v>
      </c>
      <c r="HK10" s="1408" t="s">
        <v>5271</v>
      </c>
      <c r="HL10" s="1408" t="s">
        <v>2514</v>
      </c>
      <c r="HM10" s="1408" t="s">
        <v>1402</v>
      </c>
      <c r="HN10" s="1408" t="s">
        <v>2514</v>
      </c>
      <c r="HO10" s="1408" t="s">
        <v>3905</v>
      </c>
      <c r="HP10" s="1408" t="s">
        <v>2514</v>
      </c>
      <c r="HQ10" s="1408" t="s">
        <v>2567</v>
      </c>
      <c r="HR10" s="1408" t="s">
        <v>2514</v>
      </c>
      <c r="HS10" s="1408" t="s">
        <v>1879</v>
      </c>
      <c r="HT10" s="1408" t="s">
        <v>2514</v>
      </c>
      <c r="HU10" s="1408" t="s">
        <v>4369</v>
      </c>
      <c r="HV10" s="1408" t="s">
        <v>2514</v>
      </c>
      <c r="HW10" s="1408" t="s">
        <v>2605</v>
      </c>
      <c r="HX10" s="1408" t="s">
        <v>2514</v>
      </c>
      <c r="HY10" s="1408" t="s">
        <v>3147</v>
      </c>
      <c r="HZ10" s="1408" t="s">
        <v>2514</v>
      </c>
      <c r="IA10" s="1408" t="s">
        <v>3159</v>
      </c>
      <c r="IB10" s="1408" t="s">
        <v>2514</v>
      </c>
      <c r="IC10" s="1408" t="s">
        <v>4824</v>
      </c>
      <c r="ID10" s="1408" t="s">
        <v>2514</v>
      </c>
      <c r="IE10" s="1408" t="s">
        <v>6256</v>
      </c>
      <c r="IF10" s="1408" t="s">
        <v>2514</v>
      </c>
      <c r="IG10" s="1408" t="s">
        <v>3713</v>
      </c>
      <c r="IH10" s="1408" t="s">
        <v>2514</v>
      </c>
      <c r="II10" s="1408" t="s">
        <v>6933</v>
      </c>
      <c r="IJ10" s="1408" t="s">
        <v>2514</v>
      </c>
      <c r="IK10" s="1408" t="s">
        <v>4865</v>
      </c>
      <c r="IL10" s="1408" t="s">
        <v>2514</v>
      </c>
      <c r="IM10" s="1408" t="s">
        <v>4426</v>
      </c>
      <c r="IN10" s="1408" t="s">
        <v>2514</v>
      </c>
      <c r="IO10" s="1408" t="s">
        <v>393</v>
      </c>
      <c r="IP10" s="1408" t="s">
        <v>2514</v>
      </c>
      <c r="IQ10" s="1408" t="s">
        <v>822</v>
      </c>
      <c r="IR10" s="1408" t="s">
        <v>2514</v>
      </c>
      <c r="IS10" s="1408" t="s">
        <v>2767</v>
      </c>
      <c r="IT10" s="1408" t="s">
        <v>2514</v>
      </c>
      <c r="IU10" s="1408" t="s">
        <v>3529</v>
      </c>
      <c r="IV10" s="1408" t="s">
        <v>2514</v>
      </c>
    </row>
    <row r="11" spans="1:256" s="1408" customFormat="1">
      <c r="A11" s="1408" t="s">
        <v>2224</v>
      </c>
      <c r="B11" s="1408" t="s">
        <v>2514</v>
      </c>
      <c r="C11" s="1408" t="s">
        <v>2413</v>
      </c>
      <c r="D11" s="1408" t="s">
        <v>2514</v>
      </c>
      <c r="E11" s="1408" t="s">
        <v>3320</v>
      </c>
      <c r="F11" s="1408" t="s">
        <v>2514</v>
      </c>
      <c r="G11" s="1408" t="s">
        <v>3321</v>
      </c>
      <c r="H11" s="1408" t="s">
        <v>2514</v>
      </c>
      <c r="I11" s="1408" t="s">
        <v>3036</v>
      </c>
      <c r="J11" s="1408" t="s">
        <v>2514</v>
      </c>
      <c r="K11" s="1408" t="s">
        <v>5939</v>
      </c>
      <c r="L11" s="1408" t="s">
        <v>2514</v>
      </c>
      <c r="M11" s="1408" t="s">
        <v>6274</v>
      </c>
      <c r="N11" s="1408" t="s">
        <v>2514</v>
      </c>
      <c r="O11" s="1408" t="s">
        <v>2097</v>
      </c>
      <c r="P11" s="1408" t="s">
        <v>2514</v>
      </c>
      <c r="Q11" s="1408" t="s">
        <v>1988</v>
      </c>
      <c r="R11" s="1408" t="s">
        <v>2514</v>
      </c>
      <c r="S11" s="1408" t="s">
        <v>6220</v>
      </c>
      <c r="T11" s="1408" t="s">
        <v>2514</v>
      </c>
      <c r="U11" s="1408" t="s">
        <v>4920</v>
      </c>
      <c r="V11" s="1408" t="s">
        <v>2514</v>
      </c>
      <c r="W11" s="1408" t="s">
        <v>5973</v>
      </c>
      <c r="X11" s="1408" t="s">
        <v>2514</v>
      </c>
      <c r="Y11" s="1408" t="s">
        <v>1308</v>
      </c>
      <c r="Z11" s="1408" t="s">
        <v>2514</v>
      </c>
      <c r="AA11" s="1408" t="s">
        <v>6219</v>
      </c>
      <c r="AB11" s="1408" t="s">
        <v>2514</v>
      </c>
      <c r="AC11" s="1408" t="s">
        <v>4052</v>
      </c>
      <c r="AD11" s="1408" t="s">
        <v>2514</v>
      </c>
      <c r="AE11" s="1408" t="s">
        <v>3035</v>
      </c>
      <c r="AF11" s="1408" t="s">
        <v>2514</v>
      </c>
      <c r="AG11" s="1408" t="s">
        <v>5023</v>
      </c>
      <c r="AH11" s="1408" t="s">
        <v>2514</v>
      </c>
      <c r="AI11" s="1408" t="s">
        <v>1908</v>
      </c>
      <c r="AJ11" s="1408" t="s">
        <v>2514</v>
      </c>
      <c r="AK11" s="1408" t="s">
        <v>296</v>
      </c>
      <c r="AL11" s="1408" t="s">
        <v>2514</v>
      </c>
      <c r="AM11" s="1408" t="s">
        <v>3515</v>
      </c>
      <c r="AN11" s="1408" t="s">
        <v>2514</v>
      </c>
      <c r="AO11" s="1408" t="s">
        <v>3628</v>
      </c>
      <c r="AP11" s="1408" t="s">
        <v>2514</v>
      </c>
      <c r="AQ11" s="1408" t="s">
        <v>4284</v>
      </c>
      <c r="AR11" s="1408" t="s">
        <v>2514</v>
      </c>
      <c r="AS11" s="1408" t="s">
        <v>5695</v>
      </c>
      <c r="AT11" s="1408" t="s">
        <v>2514</v>
      </c>
      <c r="AU11" s="1408" t="s">
        <v>3114</v>
      </c>
      <c r="AV11" s="1408" t="s">
        <v>2514</v>
      </c>
      <c r="AW11" s="1408" t="s">
        <v>5280</v>
      </c>
      <c r="AX11" s="1408" t="s">
        <v>2514</v>
      </c>
      <c r="AY11" s="1408" t="s">
        <v>510</v>
      </c>
      <c r="AZ11" s="1408" t="s">
        <v>2514</v>
      </c>
      <c r="BA11" s="1408" t="s">
        <v>6189</v>
      </c>
      <c r="BB11" s="1408" t="s">
        <v>2514</v>
      </c>
      <c r="BC11" s="1408" t="s">
        <v>3246</v>
      </c>
      <c r="BD11" s="1408" t="s">
        <v>2514</v>
      </c>
      <c r="BE11" s="1408" t="s">
        <v>568</v>
      </c>
      <c r="BF11" s="1408" t="s">
        <v>2514</v>
      </c>
      <c r="BG11" s="1408" t="s">
        <v>1107</v>
      </c>
      <c r="BH11" s="1408" t="s">
        <v>2514</v>
      </c>
      <c r="BI11" s="1408" t="s">
        <v>6088</v>
      </c>
      <c r="BJ11" s="1408" t="s">
        <v>2514</v>
      </c>
      <c r="BK11" s="1408" t="s">
        <v>1281</v>
      </c>
      <c r="BL11" s="1408" t="s">
        <v>2514</v>
      </c>
      <c r="BM11" s="1408" t="s">
        <v>6251</v>
      </c>
      <c r="BN11" s="1408" t="s">
        <v>2514</v>
      </c>
      <c r="BO11" s="1408" t="s">
        <v>6955</v>
      </c>
      <c r="BP11" s="1408" t="s">
        <v>2514</v>
      </c>
      <c r="BQ11" s="1408" t="s">
        <v>6405</v>
      </c>
      <c r="BR11" s="1408" t="s">
        <v>2514</v>
      </c>
      <c r="BS11" s="1408" t="s">
        <v>3687</v>
      </c>
      <c r="BT11" s="1408" t="s">
        <v>2514</v>
      </c>
      <c r="BU11" s="1408" t="s">
        <v>738</v>
      </c>
      <c r="BV11" s="1408" t="s">
        <v>2514</v>
      </c>
      <c r="BW11" s="1408" t="s">
        <v>3037</v>
      </c>
      <c r="BX11" s="1408" t="s">
        <v>2514</v>
      </c>
      <c r="BY11" s="1408" t="s">
        <v>2019</v>
      </c>
      <c r="BZ11" s="1408" t="s">
        <v>2514</v>
      </c>
      <c r="CA11" s="1408" t="s">
        <v>6463</v>
      </c>
      <c r="CB11" s="1408" t="s">
        <v>2514</v>
      </c>
      <c r="CC11" s="1408" t="s">
        <v>3761</v>
      </c>
      <c r="CD11" s="1408" t="s">
        <v>2514</v>
      </c>
      <c r="CE11" s="1408" t="s">
        <v>1581</v>
      </c>
      <c r="CF11" s="1408" t="s">
        <v>2514</v>
      </c>
      <c r="CG11" s="1408" t="s">
        <v>4386</v>
      </c>
      <c r="CH11" s="1408" t="s">
        <v>2514</v>
      </c>
      <c r="CI11" s="1408" t="s">
        <v>4271</v>
      </c>
      <c r="CJ11" s="1408" t="s">
        <v>2514</v>
      </c>
      <c r="CK11" s="1408" t="s">
        <v>6941</v>
      </c>
      <c r="CL11" s="1408" t="s">
        <v>2514</v>
      </c>
      <c r="CM11" s="1408" t="s">
        <v>4852</v>
      </c>
      <c r="CN11" s="1408" t="s">
        <v>2514</v>
      </c>
      <c r="CO11" s="1408" t="s">
        <v>6633</v>
      </c>
      <c r="CP11" s="1408" t="s">
        <v>2514</v>
      </c>
      <c r="CQ11" s="1408" t="s">
        <v>489</v>
      </c>
      <c r="CR11" s="1408" t="s">
        <v>2514</v>
      </c>
      <c r="CS11" s="1408" t="s">
        <v>394</v>
      </c>
      <c r="CT11" s="1408" t="s">
        <v>2514</v>
      </c>
      <c r="CU11" s="1408" t="s">
        <v>2980</v>
      </c>
      <c r="CV11" s="1408" t="s">
        <v>2514</v>
      </c>
      <c r="CW11" s="1408" t="s">
        <v>3137</v>
      </c>
      <c r="CX11" s="1408" t="s">
        <v>2514</v>
      </c>
      <c r="CY11" s="1408" t="s">
        <v>3898</v>
      </c>
      <c r="CZ11" s="1408" t="s">
        <v>2514</v>
      </c>
      <c r="DA11" s="1408" t="s">
        <v>4118</v>
      </c>
      <c r="DB11" s="1408" t="s">
        <v>2514</v>
      </c>
      <c r="DC11" s="1408" t="s">
        <v>535</v>
      </c>
      <c r="DD11" s="1408" t="s">
        <v>2514</v>
      </c>
      <c r="DE11" s="1408" t="s">
        <v>2944</v>
      </c>
      <c r="DF11" s="1408" t="s">
        <v>2514</v>
      </c>
      <c r="DG11" s="1408" t="s">
        <v>2784</v>
      </c>
      <c r="DH11" s="1408" t="s">
        <v>2514</v>
      </c>
      <c r="DI11" s="1408" t="s">
        <v>2694</v>
      </c>
      <c r="DJ11" s="1408" t="s">
        <v>2514</v>
      </c>
      <c r="DK11" s="1408" t="s">
        <v>3945</v>
      </c>
      <c r="DL11" s="1408" t="s">
        <v>2514</v>
      </c>
      <c r="DM11" s="1408" t="s">
        <v>3145</v>
      </c>
      <c r="DN11" s="1408" t="s">
        <v>2514</v>
      </c>
      <c r="DO11" s="1408" t="s">
        <v>518</v>
      </c>
      <c r="DP11" s="1408" t="s">
        <v>2514</v>
      </c>
      <c r="DQ11" s="1408" t="s">
        <v>4043</v>
      </c>
      <c r="DR11" s="1408" t="s">
        <v>2514</v>
      </c>
      <c r="DS11" s="1408" t="s">
        <v>1017</v>
      </c>
      <c r="DT11" s="1408" t="s">
        <v>2514</v>
      </c>
      <c r="DU11" s="1408" t="s">
        <v>1483</v>
      </c>
      <c r="DV11" s="1408" t="s">
        <v>2514</v>
      </c>
      <c r="DW11" s="1408" t="s">
        <v>3392</v>
      </c>
      <c r="DX11" s="1408" t="s">
        <v>2514</v>
      </c>
      <c r="DY11" s="1408" t="s">
        <v>4494</v>
      </c>
      <c r="DZ11" s="1408" t="s">
        <v>2514</v>
      </c>
      <c r="EA11" s="1408" t="s">
        <v>850</v>
      </c>
      <c r="EB11" s="1408" t="s">
        <v>2514</v>
      </c>
      <c r="EC11" s="1408" t="s">
        <v>5735</v>
      </c>
      <c r="ED11" s="1408" t="s">
        <v>2514</v>
      </c>
      <c r="EE11" s="1408" t="s">
        <v>5492</v>
      </c>
      <c r="EF11" s="1408" t="s">
        <v>2514</v>
      </c>
      <c r="EG11" s="1408" t="s">
        <v>5610</v>
      </c>
      <c r="EH11" s="1408" t="s">
        <v>2514</v>
      </c>
      <c r="EI11" s="1408" t="s">
        <v>4388</v>
      </c>
      <c r="EJ11" s="1408" t="s">
        <v>2514</v>
      </c>
      <c r="EK11" s="1408" t="s">
        <v>1008</v>
      </c>
      <c r="EL11" s="1408" t="s">
        <v>2514</v>
      </c>
      <c r="EM11" s="1408" t="s">
        <v>6849</v>
      </c>
      <c r="EN11" s="1408" t="s">
        <v>2514</v>
      </c>
      <c r="EO11" s="1408" t="s">
        <v>6278</v>
      </c>
      <c r="EP11" s="1408" t="s">
        <v>2514</v>
      </c>
      <c r="EQ11" s="1408" t="s">
        <v>3886</v>
      </c>
      <c r="ER11" s="1408" t="s">
        <v>2514</v>
      </c>
      <c r="ES11" s="1408" t="s">
        <v>4064</v>
      </c>
      <c r="ET11" s="1408" t="s">
        <v>2514</v>
      </c>
      <c r="EU11" s="1408" t="s">
        <v>4343</v>
      </c>
      <c r="EV11" s="1408" t="s">
        <v>2514</v>
      </c>
      <c r="EW11" s="1408" t="s">
        <v>3330</v>
      </c>
      <c r="EX11" s="1408" t="s">
        <v>2514</v>
      </c>
      <c r="EY11" s="1408" t="s">
        <v>4083</v>
      </c>
      <c r="EZ11" s="1408" t="s">
        <v>2514</v>
      </c>
      <c r="FA11" s="1408" t="s">
        <v>5069</v>
      </c>
      <c r="FB11" s="1408" t="s">
        <v>2514</v>
      </c>
      <c r="FC11" s="1408" t="s">
        <v>4561</v>
      </c>
      <c r="FD11" s="1408" t="s">
        <v>2514</v>
      </c>
      <c r="FE11" s="1408" t="s">
        <v>2578</v>
      </c>
      <c r="FF11" s="1408" t="s">
        <v>2514</v>
      </c>
      <c r="FG11" s="1408" t="s">
        <v>851</v>
      </c>
      <c r="FH11" s="1408" t="s">
        <v>2514</v>
      </c>
      <c r="FI11" s="1408" t="s">
        <v>6676</v>
      </c>
      <c r="FJ11" s="1408" t="s">
        <v>2514</v>
      </c>
      <c r="FK11" s="1408" t="s">
        <v>4197</v>
      </c>
      <c r="FL11" s="1408" t="s">
        <v>2514</v>
      </c>
      <c r="FM11" s="1408" t="s">
        <v>6049</v>
      </c>
      <c r="FN11" s="1408" t="s">
        <v>2514</v>
      </c>
      <c r="FO11" s="1408" t="s">
        <v>895</v>
      </c>
      <c r="FP11" s="1408" t="s">
        <v>2514</v>
      </c>
      <c r="FQ11" s="1408" t="s">
        <v>403</v>
      </c>
      <c r="FR11" s="1408" t="s">
        <v>2514</v>
      </c>
      <c r="FS11" s="1408" t="s">
        <v>804</v>
      </c>
      <c r="FT11" s="1408" t="s">
        <v>2514</v>
      </c>
      <c r="FU11" s="1408" t="s">
        <v>3407</v>
      </c>
      <c r="FV11" s="1408" t="s">
        <v>2514</v>
      </c>
      <c r="FW11" s="1408" t="s">
        <v>323</v>
      </c>
      <c r="FX11" s="1408" t="s">
        <v>2514</v>
      </c>
      <c r="FY11" s="1408" t="s">
        <v>1240</v>
      </c>
      <c r="FZ11" s="1408" t="s">
        <v>2514</v>
      </c>
      <c r="GA11" s="1408" t="s">
        <v>5369</v>
      </c>
      <c r="GB11" s="1408" t="s">
        <v>2514</v>
      </c>
      <c r="GC11" s="1408" t="s">
        <v>2958</v>
      </c>
      <c r="GD11" s="1408" t="s">
        <v>2514</v>
      </c>
      <c r="GE11" s="1408" t="s">
        <v>5531</v>
      </c>
      <c r="GF11" s="1408" t="s">
        <v>2514</v>
      </c>
      <c r="GG11" s="1408" t="s">
        <v>1070</v>
      </c>
      <c r="GH11" s="1408" t="s">
        <v>2514</v>
      </c>
      <c r="GI11" s="1408" t="s">
        <v>4782</v>
      </c>
      <c r="GJ11" s="1408" t="s">
        <v>2514</v>
      </c>
      <c r="GK11" s="1408" t="s">
        <v>4548</v>
      </c>
      <c r="GL11" s="1408" t="s">
        <v>2514</v>
      </c>
      <c r="GM11" s="1408" t="s">
        <v>6339</v>
      </c>
      <c r="GN11" s="1408" t="s">
        <v>2514</v>
      </c>
      <c r="GO11" s="1408" t="s">
        <v>6012</v>
      </c>
      <c r="GP11" s="1408" t="s">
        <v>2514</v>
      </c>
      <c r="GQ11" s="1408" t="s">
        <v>3009</v>
      </c>
      <c r="GR11" s="1408" t="s">
        <v>2514</v>
      </c>
      <c r="GS11" s="1408" t="s">
        <v>6595</v>
      </c>
      <c r="GT11" s="1408" t="s">
        <v>2514</v>
      </c>
      <c r="GU11" s="1408" t="s">
        <v>6483</v>
      </c>
      <c r="GV11" s="1408" t="s">
        <v>2514</v>
      </c>
      <c r="GW11" s="1408" t="s">
        <v>4435</v>
      </c>
      <c r="GX11" s="1408" t="s">
        <v>2514</v>
      </c>
      <c r="GY11" s="1408" t="s">
        <v>1783</v>
      </c>
      <c r="GZ11" s="1408" t="s">
        <v>2514</v>
      </c>
      <c r="HA11" s="1408" t="s">
        <v>322</v>
      </c>
      <c r="HB11" s="1408" t="s">
        <v>2514</v>
      </c>
      <c r="HC11" s="1408" t="s">
        <v>5936</v>
      </c>
      <c r="HD11" s="1408" t="s">
        <v>2514</v>
      </c>
      <c r="HE11" s="1408" t="s">
        <v>5732</v>
      </c>
      <c r="HF11" s="1408" t="s">
        <v>2514</v>
      </c>
      <c r="HG11" s="1408" t="s">
        <v>950</v>
      </c>
      <c r="HH11" s="1408" t="s">
        <v>2514</v>
      </c>
      <c r="HI11" s="1408" t="s">
        <v>4412</v>
      </c>
      <c r="HJ11" s="1408" t="s">
        <v>2514</v>
      </c>
      <c r="HK11" s="1408" t="s">
        <v>905</v>
      </c>
      <c r="HL11" s="1408" t="s">
        <v>2514</v>
      </c>
      <c r="HM11" s="1408" t="s">
        <v>4419</v>
      </c>
      <c r="HN11" s="1408" t="s">
        <v>2514</v>
      </c>
      <c r="HO11" s="1408" t="s">
        <v>3526</v>
      </c>
      <c r="HP11" s="1408" t="s">
        <v>2514</v>
      </c>
      <c r="HQ11" s="1408" t="s">
        <v>4718</v>
      </c>
      <c r="HR11" s="1408" t="s">
        <v>2514</v>
      </c>
      <c r="HS11" s="1408" t="s">
        <v>1512</v>
      </c>
      <c r="HT11" s="1408" t="s">
        <v>2514</v>
      </c>
      <c r="HU11" s="1408" t="s">
        <v>840</v>
      </c>
      <c r="HV11" s="1408" t="s">
        <v>2514</v>
      </c>
      <c r="HW11" s="1408" t="s">
        <v>6329</v>
      </c>
      <c r="HX11" s="1408" t="s">
        <v>2514</v>
      </c>
      <c r="HY11" s="1408" t="s">
        <v>2454</v>
      </c>
      <c r="HZ11" s="1408" t="s">
        <v>2514</v>
      </c>
      <c r="IA11" s="1408" t="s">
        <v>1022</v>
      </c>
      <c r="IB11" s="1408" t="s">
        <v>2514</v>
      </c>
      <c r="IC11" s="1408" t="s">
        <v>6114</v>
      </c>
      <c r="ID11" s="1408" t="s">
        <v>2514</v>
      </c>
      <c r="IE11" s="1408" t="s">
        <v>3304</v>
      </c>
      <c r="IF11" s="1408" t="s">
        <v>2514</v>
      </c>
      <c r="IG11" s="1408" t="s">
        <v>5053</v>
      </c>
      <c r="IH11" s="1408" t="s">
        <v>2514</v>
      </c>
      <c r="II11" s="1408" t="s">
        <v>2538</v>
      </c>
      <c r="IJ11" s="1408" t="s">
        <v>2514</v>
      </c>
      <c r="IK11" s="1408" t="s">
        <v>1697</v>
      </c>
      <c r="IL11" s="1408" t="s">
        <v>2514</v>
      </c>
      <c r="IM11" s="1408" t="s">
        <v>4794</v>
      </c>
      <c r="IN11" s="1408" t="s">
        <v>2514</v>
      </c>
      <c r="IO11" s="1408" t="s">
        <v>5462</v>
      </c>
      <c r="IP11" s="1408" t="s">
        <v>2514</v>
      </c>
      <c r="IQ11" s="1408" t="s">
        <v>1810</v>
      </c>
      <c r="IR11" s="1408" t="s">
        <v>2514</v>
      </c>
      <c r="IS11" s="1408" t="s">
        <v>1383</v>
      </c>
      <c r="IT11" s="1408" t="s">
        <v>2514</v>
      </c>
      <c r="IU11" s="1408" t="s">
        <v>256</v>
      </c>
      <c r="IV11" s="1408" t="s">
        <v>2514</v>
      </c>
    </row>
    <row r="12" spans="1:256" s="1408" customFormat="1">
      <c r="A12" s="1408" t="s">
        <v>6768</v>
      </c>
      <c r="B12" s="1408" t="s">
        <v>2514</v>
      </c>
      <c r="C12" s="1408" t="s">
        <v>6602</v>
      </c>
      <c r="D12" s="1408" t="s">
        <v>2514</v>
      </c>
      <c r="E12" s="1408" t="s">
        <v>1133</v>
      </c>
      <c r="F12" s="1408" t="s">
        <v>2514</v>
      </c>
      <c r="G12" s="1408" t="s">
        <v>816</v>
      </c>
      <c r="H12" s="1408" t="s">
        <v>2514</v>
      </c>
      <c r="I12" s="1408" t="s">
        <v>277</v>
      </c>
      <c r="J12" s="1408" t="s">
        <v>2514</v>
      </c>
      <c r="K12" s="1408" t="s">
        <v>4961</v>
      </c>
      <c r="L12" s="1408" t="s">
        <v>2514</v>
      </c>
      <c r="M12" s="1408" t="s">
        <v>2196</v>
      </c>
      <c r="N12" s="1408" t="s">
        <v>2514</v>
      </c>
      <c r="O12" s="1408" t="s">
        <v>2372</v>
      </c>
      <c r="P12" s="1408" t="s">
        <v>2514</v>
      </c>
      <c r="Q12" s="1408" t="s">
        <v>517</v>
      </c>
      <c r="R12" s="1408" t="s">
        <v>2514</v>
      </c>
      <c r="S12" s="1408" t="s">
        <v>5680</v>
      </c>
      <c r="T12" s="1408" t="s">
        <v>2514</v>
      </c>
      <c r="U12" s="1408" t="s">
        <v>1424</v>
      </c>
      <c r="V12" s="1408" t="s">
        <v>2514</v>
      </c>
      <c r="W12" s="1408" t="s">
        <v>1362</v>
      </c>
      <c r="X12" s="1408" t="s">
        <v>2514</v>
      </c>
      <c r="Y12" s="1408" t="s">
        <v>552</v>
      </c>
      <c r="Z12" s="1408" t="s">
        <v>2514</v>
      </c>
      <c r="AA12" s="1408" t="s">
        <v>5361</v>
      </c>
      <c r="AB12" s="1408" t="s">
        <v>2514</v>
      </c>
      <c r="AC12" s="1408" t="s">
        <v>4460</v>
      </c>
      <c r="AD12" s="1408" t="s">
        <v>2514</v>
      </c>
      <c r="AE12" s="1408" t="s">
        <v>4974</v>
      </c>
      <c r="AF12" s="1408" t="s">
        <v>2514</v>
      </c>
      <c r="AG12" s="1408" t="s">
        <v>1150</v>
      </c>
      <c r="AH12" s="1408" t="s">
        <v>2514</v>
      </c>
      <c r="AI12" s="1408" t="s">
        <v>5730</v>
      </c>
      <c r="AJ12" s="1408" t="s">
        <v>2514</v>
      </c>
      <c r="AK12" s="1408" t="s">
        <v>4129</v>
      </c>
      <c r="AL12" s="1408" t="s">
        <v>2514</v>
      </c>
      <c r="AM12" s="1408" t="s">
        <v>5886</v>
      </c>
      <c r="AN12" s="1408" t="s">
        <v>2514</v>
      </c>
      <c r="AO12" s="1408" t="s">
        <v>3637</v>
      </c>
      <c r="AP12" s="1408" t="s">
        <v>2514</v>
      </c>
      <c r="AQ12" s="1408" t="s">
        <v>4501</v>
      </c>
      <c r="AR12" s="1408" t="s">
        <v>2514</v>
      </c>
      <c r="AS12" s="1408" t="s">
        <v>6193</v>
      </c>
      <c r="AT12" s="1408" t="s">
        <v>2514</v>
      </c>
      <c r="AU12" s="1408" t="s">
        <v>6327</v>
      </c>
      <c r="AV12" s="1408" t="s">
        <v>2514</v>
      </c>
      <c r="AW12" s="1408" t="s">
        <v>3288</v>
      </c>
      <c r="AX12" s="1408" t="s">
        <v>2514</v>
      </c>
      <c r="AY12" s="1408" t="s">
        <v>1504</v>
      </c>
      <c r="AZ12" s="1408" t="s">
        <v>2514</v>
      </c>
      <c r="BA12" s="1408" t="s">
        <v>4040</v>
      </c>
      <c r="BB12" s="1408" t="s">
        <v>2514</v>
      </c>
      <c r="BC12" s="1408" t="s">
        <v>5416</v>
      </c>
      <c r="BD12" s="1408" t="s">
        <v>2514</v>
      </c>
      <c r="BE12" s="1408" t="s">
        <v>1924</v>
      </c>
      <c r="BF12" s="1408" t="s">
        <v>2514</v>
      </c>
      <c r="BG12" s="1408" t="s">
        <v>3101</v>
      </c>
      <c r="BH12" s="1408" t="s">
        <v>2514</v>
      </c>
      <c r="BI12" s="1408" t="s">
        <v>4405</v>
      </c>
      <c r="BJ12" s="1408" t="s">
        <v>2514</v>
      </c>
      <c r="BK12" s="1408" t="s">
        <v>4894</v>
      </c>
      <c r="BL12" s="1408" t="s">
        <v>2514</v>
      </c>
      <c r="BM12" s="1408" t="s">
        <v>2775</v>
      </c>
      <c r="BN12" s="1408" t="s">
        <v>2514</v>
      </c>
      <c r="BO12" s="1408" t="s">
        <v>6332</v>
      </c>
      <c r="BP12" s="1408" t="s">
        <v>2514</v>
      </c>
      <c r="BQ12" s="1408" t="s">
        <v>3731</v>
      </c>
      <c r="BR12" s="1408" t="s">
        <v>2514</v>
      </c>
      <c r="BS12" s="1408" t="s">
        <v>6624</v>
      </c>
      <c r="BT12" s="1408" t="s">
        <v>2514</v>
      </c>
      <c r="BU12" s="1408" t="s">
        <v>3430</v>
      </c>
      <c r="BV12" s="1408" t="s">
        <v>2514</v>
      </c>
      <c r="BW12" s="1408" t="s">
        <v>37</v>
      </c>
      <c r="BX12" s="1408" t="s">
        <v>2514</v>
      </c>
      <c r="BY12" s="1408" t="s">
        <v>5710</v>
      </c>
      <c r="BZ12" s="1408" t="s">
        <v>2514</v>
      </c>
      <c r="CA12" s="1408" t="s">
        <v>4648</v>
      </c>
      <c r="CB12" s="1408" t="s">
        <v>2514</v>
      </c>
      <c r="CC12" s="1408" t="s">
        <v>3884</v>
      </c>
      <c r="CD12" s="1408" t="s">
        <v>2514</v>
      </c>
      <c r="CE12" s="1408" t="s">
        <v>6250</v>
      </c>
      <c r="CF12" s="1408" t="s">
        <v>2514</v>
      </c>
      <c r="CG12" s="1408" t="s">
        <v>622</v>
      </c>
      <c r="CH12" s="1408" t="s">
        <v>2514</v>
      </c>
      <c r="CI12" s="1408" t="s">
        <v>506</v>
      </c>
      <c r="CJ12" s="1408" t="s">
        <v>2514</v>
      </c>
      <c r="CK12" s="1408" t="s">
        <v>5134</v>
      </c>
      <c r="CL12" s="1408" t="s">
        <v>2514</v>
      </c>
      <c r="CM12" s="1408" t="s">
        <v>444</v>
      </c>
      <c r="CN12" s="1408" t="s">
        <v>2514</v>
      </c>
      <c r="CO12" s="1408" t="s">
        <v>6553</v>
      </c>
      <c r="CP12" s="1408" t="s">
        <v>2514</v>
      </c>
      <c r="CQ12" s="1408" t="s">
        <v>4668</v>
      </c>
      <c r="CR12" s="1408" t="s">
        <v>2514</v>
      </c>
      <c r="CS12" s="1408" t="s">
        <v>5505</v>
      </c>
      <c r="CT12" s="1408" t="s">
        <v>2514</v>
      </c>
      <c r="CU12" s="1408" t="s">
        <v>4292</v>
      </c>
      <c r="CV12" s="1408" t="s">
        <v>2514</v>
      </c>
      <c r="CW12" s="1408" t="s">
        <v>745</v>
      </c>
      <c r="CX12" s="1408" t="s">
        <v>2514</v>
      </c>
      <c r="CY12" s="1408" t="s">
        <v>3442</v>
      </c>
      <c r="CZ12" s="1408" t="s">
        <v>2514</v>
      </c>
      <c r="DA12" s="1408" t="s">
        <v>4399</v>
      </c>
      <c r="DB12" s="1408" t="s">
        <v>2514</v>
      </c>
      <c r="DC12" s="1408" t="s">
        <v>1535</v>
      </c>
      <c r="DD12" s="1408" t="s">
        <v>2514</v>
      </c>
      <c r="DE12" s="1408" t="s">
        <v>3073</v>
      </c>
      <c r="DF12" s="1408" t="s">
        <v>2514</v>
      </c>
      <c r="DG12" s="1408" t="s">
        <v>644</v>
      </c>
      <c r="DH12" s="1408" t="s">
        <v>2514</v>
      </c>
      <c r="DI12" s="1408" t="s">
        <v>786</v>
      </c>
      <c r="DJ12" s="1408" t="s">
        <v>2514</v>
      </c>
      <c r="DK12" s="1408" t="s">
        <v>174</v>
      </c>
      <c r="DL12" s="1408" t="s">
        <v>2514</v>
      </c>
      <c r="DM12" s="1408" t="s">
        <v>246</v>
      </c>
      <c r="DN12" s="1408" t="s">
        <v>2514</v>
      </c>
      <c r="DO12" s="1408" t="s">
        <v>3576</v>
      </c>
      <c r="DP12" s="1408" t="s">
        <v>2514</v>
      </c>
      <c r="DQ12" s="1408" t="s">
        <v>6211</v>
      </c>
      <c r="DR12" s="1408" t="s">
        <v>2514</v>
      </c>
      <c r="DS12" s="1408" t="s">
        <v>6530</v>
      </c>
      <c r="DT12" s="1408" t="s">
        <v>2514</v>
      </c>
      <c r="DU12" s="1408" t="s">
        <v>4267</v>
      </c>
      <c r="DV12" s="1408" t="s">
        <v>2514</v>
      </c>
      <c r="DW12" s="1408" t="s">
        <v>6712</v>
      </c>
      <c r="DX12" s="1408" t="s">
        <v>2514</v>
      </c>
      <c r="DY12" s="1408" t="s">
        <v>1385</v>
      </c>
      <c r="DZ12" s="1408" t="s">
        <v>2514</v>
      </c>
      <c r="EA12" s="1408" t="s">
        <v>5952</v>
      </c>
      <c r="EB12" s="1408" t="s">
        <v>2514</v>
      </c>
      <c r="EC12" s="1408" t="s">
        <v>244</v>
      </c>
      <c r="ED12" s="1408" t="s">
        <v>2514</v>
      </c>
      <c r="EE12" s="1408" t="s">
        <v>5913</v>
      </c>
      <c r="EF12" s="1408" t="s">
        <v>2514</v>
      </c>
      <c r="EG12" s="1408" t="s">
        <v>1883</v>
      </c>
      <c r="EH12" s="1408" t="s">
        <v>2514</v>
      </c>
      <c r="EI12" s="1408" t="s">
        <v>3316</v>
      </c>
      <c r="EJ12" s="1408" t="s">
        <v>2514</v>
      </c>
      <c r="EK12" s="1408" t="s">
        <v>4450</v>
      </c>
      <c r="EL12" s="1408" t="s">
        <v>2514</v>
      </c>
      <c r="EM12" s="1408" t="s">
        <v>3541</v>
      </c>
      <c r="EN12" s="1408" t="s">
        <v>2514</v>
      </c>
      <c r="EO12" s="1408" t="s">
        <v>3124</v>
      </c>
      <c r="EP12" s="1408" t="s">
        <v>2514</v>
      </c>
      <c r="EQ12" s="1408" t="s">
        <v>1322</v>
      </c>
      <c r="ER12" s="1408" t="s">
        <v>2514</v>
      </c>
      <c r="ES12" s="1408" t="s">
        <v>4449</v>
      </c>
      <c r="ET12" s="1408" t="s">
        <v>2514</v>
      </c>
      <c r="EU12" s="1408" t="s">
        <v>802</v>
      </c>
      <c r="EV12" s="1408" t="s">
        <v>2514</v>
      </c>
      <c r="EW12" s="1408" t="s">
        <v>4509</v>
      </c>
      <c r="EX12" s="1408" t="s">
        <v>2514</v>
      </c>
      <c r="EY12" s="1408" t="s">
        <v>4304</v>
      </c>
      <c r="EZ12" s="1408" t="s">
        <v>2514</v>
      </c>
      <c r="FA12" s="1408" t="s">
        <v>3851</v>
      </c>
      <c r="FB12" s="1408" t="s">
        <v>2514</v>
      </c>
      <c r="FC12" s="1408" t="s">
        <v>595</v>
      </c>
      <c r="FD12" s="1408" t="s">
        <v>2514</v>
      </c>
      <c r="FE12" s="1408" t="s">
        <v>5858</v>
      </c>
      <c r="FF12" s="1408" t="s">
        <v>2514</v>
      </c>
      <c r="FG12" s="1408" t="s">
        <v>5671</v>
      </c>
      <c r="FH12" s="1408" t="s">
        <v>2514</v>
      </c>
      <c r="FI12" s="1408" t="s">
        <v>3131</v>
      </c>
      <c r="FJ12" s="1408" t="s">
        <v>2514</v>
      </c>
      <c r="FK12" s="1408" t="s">
        <v>135</v>
      </c>
      <c r="FL12" s="1408" t="s">
        <v>2514</v>
      </c>
      <c r="FM12" s="1408" t="s">
        <v>6759</v>
      </c>
      <c r="FN12" s="1408" t="s">
        <v>2514</v>
      </c>
      <c r="FO12" s="1408" t="s">
        <v>6621</v>
      </c>
      <c r="FP12" s="1408" t="s">
        <v>2514</v>
      </c>
      <c r="FQ12" s="1408" t="s">
        <v>5783</v>
      </c>
      <c r="FR12" s="1408" t="s">
        <v>2514</v>
      </c>
      <c r="FS12" s="1408" t="s">
        <v>6277</v>
      </c>
      <c r="FT12" s="1408" t="s">
        <v>2514</v>
      </c>
      <c r="FU12" s="1408" t="s">
        <v>5391</v>
      </c>
      <c r="FV12" s="1408" t="s">
        <v>2514</v>
      </c>
      <c r="FW12" s="1408" t="s">
        <v>946</v>
      </c>
      <c r="FX12" s="1408" t="s">
        <v>2514</v>
      </c>
      <c r="FY12" s="1408" t="s">
        <v>5400</v>
      </c>
      <c r="FZ12" s="1408" t="s">
        <v>2514</v>
      </c>
      <c r="GA12" s="1408" t="s">
        <v>4036</v>
      </c>
      <c r="GB12" s="1408" t="s">
        <v>2514</v>
      </c>
      <c r="GC12" s="1408" t="s">
        <v>1120</v>
      </c>
      <c r="GD12" s="1408" t="s">
        <v>2514</v>
      </c>
      <c r="GE12" s="1408" t="s">
        <v>2728</v>
      </c>
      <c r="GF12" s="1408" t="s">
        <v>2514</v>
      </c>
      <c r="GG12" s="1408" t="s">
        <v>4713</v>
      </c>
      <c r="GH12" s="1408" t="s">
        <v>2514</v>
      </c>
      <c r="GI12" s="1408" t="s">
        <v>2425</v>
      </c>
      <c r="GJ12" s="1408" t="s">
        <v>2514</v>
      </c>
      <c r="GK12" s="1408" t="s">
        <v>6699</v>
      </c>
      <c r="GL12" s="1408" t="s">
        <v>2514</v>
      </c>
      <c r="GM12" s="1408" t="s">
        <v>262</v>
      </c>
      <c r="GN12" s="1408" t="s">
        <v>2514</v>
      </c>
      <c r="GO12" s="1408" t="s">
        <v>5503</v>
      </c>
      <c r="GP12" s="1408" t="s">
        <v>2514</v>
      </c>
      <c r="GQ12" s="1408" t="s">
        <v>4694</v>
      </c>
      <c r="GR12" s="1408" t="s">
        <v>2514</v>
      </c>
      <c r="GS12" s="1408" t="s">
        <v>6704</v>
      </c>
      <c r="GT12" s="1408" t="s">
        <v>2514</v>
      </c>
      <c r="GU12" s="1408" t="s">
        <v>2692</v>
      </c>
      <c r="GV12" s="1408" t="s">
        <v>2514</v>
      </c>
      <c r="GW12" s="1408" t="s">
        <v>6419</v>
      </c>
      <c r="GX12" s="1408" t="s">
        <v>2514</v>
      </c>
      <c r="GY12" s="1408" t="s">
        <v>6556</v>
      </c>
      <c r="GZ12" s="1408" t="s">
        <v>2514</v>
      </c>
      <c r="HA12" s="1408" t="s">
        <v>2971</v>
      </c>
      <c r="HB12" s="1408" t="s">
        <v>2514</v>
      </c>
      <c r="HC12" s="1408" t="s">
        <v>814</v>
      </c>
      <c r="HD12" s="1408" t="s">
        <v>2514</v>
      </c>
      <c r="HE12" s="1408" t="s">
        <v>5123</v>
      </c>
      <c r="HF12" s="1408" t="s">
        <v>2514</v>
      </c>
      <c r="HG12" s="1408" t="s">
        <v>2932</v>
      </c>
      <c r="HH12" s="1408" t="s">
        <v>2514</v>
      </c>
      <c r="HI12" s="1408" t="s">
        <v>2621</v>
      </c>
      <c r="HJ12" s="1408" t="s">
        <v>2514</v>
      </c>
      <c r="HK12" s="1408" t="s">
        <v>2770</v>
      </c>
      <c r="HL12" s="1408" t="s">
        <v>2514</v>
      </c>
      <c r="HM12" s="1408" t="s">
        <v>3130</v>
      </c>
      <c r="HN12" s="1408" t="s">
        <v>2514</v>
      </c>
      <c r="HO12" s="1408" t="s">
        <v>1766</v>
      </c>
      <c r="HP12" s="1408" t="s">
        <v>2514</v>
      </c>
      <c r="HQ12" s="1408" t="s">
        <v>4101</v>
      </c>
      <c r="HR12" s="1408" t="s">
        <v>2514</v>
      </c>
      <c r="HS12" s="1408" t="s">
        <v>4470</v>
      </c>
      <c r="HT12" s="1408" t="s">
        <v>2514</v>
      </c>
      <c r="HU12" s="1408" t="s">
        <v>3397</v>
      </c>
      <c r="HV12" s="1408" t="s">
        <v>2514</v>
      </c>
      <c r="HW12" s="1408" t="s">
        <v>2346</v>
      </c>
      <c r="HX12" s="1408" t="s">
        <v>2514</v>
      </c>
      <c r="HY12" s="1408" t="s">
        <v>4301</v>
      </c>
      <c r="HZ12" s="1408" t="s">
        <v>2514</v>
      </c>
      <c r="IA12" s="1408" t="s">
        <v>1005</v>
      </c>
      <c r="IB12" s="1408" t="s">
        <v>2514</v>
      </c>
      <c r="IC12" s="1408" t="s">
        <v>4868</v>
      </c>
      <c r="ID12" s="1408" t="s">
        <v>2514</v>
      </c>
      <c r="IE12" s="1408" t="s">
        <v>2407</v>
      </c>
      <c r="IF12" s="1408" t="s">
        <v>2514</v>
      </c>
      <c r="IG12" s="1408" t="s">
        <v>38</v>
      </c>
      <c r="IH12" s="1408" t="s">
        <v>2514</v>
      </c>
      <c r="II12" s="1408" t="s">
        <v>5991</v>
      </c>
      <c r="IJ12" s="1408" t="s">
        <v>2514</v>
      </c>
      <c r="IK12" s="1408" t="s">
        <v>2485</v>
      </c>
      <c r="IL12" s="1408" t="s">
        <v>2514</v>
      </c>
      <c r="IM12" s="1408" t="s">
        <v>3418</v>
      </c>
      <c r="IN12" s="1408" t="s">
        <v>2514</v>
      </c>
      <c r="IO12" s="1408" t="s">
        <v>703</v>
      </c>
      <c r="IP12" s="1408" t="s">
        <v>2514</v>
      </c>
      <c r="IQ12" s="1408" t="s">
        <v>580</v>
      </c>
      <c r="IR12" s="1408" t="s">
        <v>2514</v>
      </c>
      <c r="IS12" s="1408" t="s">
        <v>566</v>
      </c>
      <c r="IT12" s="1408" t="s">
        <v>2514</v>
      </c>
      <c r="IU12" s="1408" t="s">
        <v>5795</v>
      </c>
      <c r="IV12" s="1408" t="s">
        <v>2514</v>
      </c>
    </row>
    <row r="13" spans="1:256" s="1408" customFormat="1">
      <c r="A13" s="1408" t="s">
        <v>1564</v>
      </c>
      <c r="B13" s="1408" t="s">
        <v>2514</v>
      </c>
      <c r="C13" s="1408" t="s">
        <v>5773</v>
      </c>
      <c r="D13" s="1408" t="s">
        <v>2514</v>
      </c>
      <c r="E13" s="1408" t="s">
        <v>2158</v>
      </c>
      <c r="F13" s="1408" t="s">
        <v>2514</v>
      </c>
      <c r="G13" s="1408" t="s">
        <v>5820</v>
      </c>
      <c r="H13" s="1408" t="s">
        <v>2514</v>
      </c>
      <c r="I13" s="1408" t="s">
        <v>3441</v>
      </c>
      <c r="J13" s="1408" t="s">
        <v>2514</v>
      </c>
      <c r="K13" s="1408" t="s">
        <v>6733</v>
      </c>
      <c r="L13" s="1408" t="s">
        <v>2514</v>
      </c>
      <c r="M13" s="1408" t="s">
        <v>6261</v>
      </c>
      <c r="N13" s="1408" t="s">
        <v>2514</v>
      </c>
      <c r="O13" s="1408" t="s">
        <v>6708</v>
      </c>
      <c r="P13" s="1408" t="s">
        <v>2514</v>
      </c>
      <c r="Q13" s="1408" t="s">
        <v>1215</v>
      </c>
      <c r="R13" s="1408" t="s">
        <v>2514</v>
      </c>
      <c r="S13" s="1408" t="s">
        <v>5868</v>
      </c>
      <c r="T13" s="1408" t="s">
        <v>2514</v>
      </c>
      <c r="U13" s="1408" t="s">
        <v>3390</v>
      </c>
      <c r="V13" s="1408" t="s">
        <v>2514</v>
      </c>
      <c r="W13" s="1408" t="s">
        <v>1167</v>
      </c>
      <c r="X13" s="1408" t="s">
        <v>2514</v>
      </c>
      <c r="Y13" s="1408" t="s">
        <v>2263</v>
      </c>
      <c r="Z13" s="1408" t="s">
        <v>2514</v>
      </c>
      <c r="AA13" s="1408" t="s">
        <v>1832</v>
      </c>
      <c r="AB13" s="1408" t="s">
        <v>2514</v>
      </c>
      <c r="AC13" s="1408" t="s">
        <v>3617</v>
      </c>
      <c r="AD13" s="1408" t="s">
        <v>2514</v>
      </c>
      <c r="AE13" s="1408" t="s">
        <v>212</v>
      </c>
      <c r="AF13" s="1408" t="s">
        <v>2514</v>
      </c>
      <c r="AG13" s="1408" t="s">
        <v>1276</v>
      </c>
      <c r="AH13" s="1408" t="s">
        <v>2514</v>
      </c>
      <c r="AI13" s="1408" t="s">
        <v>4266</v>
      </c>
      <c r="AJ13" s="1408" t="s">
        <v>2514</v>
      </c>
      <c r="AK13" s="1408" t="s">
        <v>58</v>
      </c>
      <c r="AL13" s="1408" t="s">
        <v>2514</v>
      </c>
      <c r="AM13" s="1408" t="s">
        <v>2216</v>
      </c>
      <c r="AN13" s="1408" t="s">
        <v>2514</v>
      </c>
      <c r="AO13" s="1408" t="s">
        <v>2347</v>
      </c>
      <c r="AP13" s="1408" t="s">
        <v>2514</v>
      </c>
      <c r="AQ13" s="1408" t="s">
        <v>1997</v>
      </c>
      <c r="AR13" s="1408" t="s">
        <v>2514</v>
      </c>
      <c r="AS13" s="1408" t="s">
        <v>6488</v>
      </c>
      <c r="AT13" s="1408" t="s">
        <v>2514</v>
      </c>
      <c r="AU13" s="1408" t="s">
        <v>4030</v>
      </c>
      <c r="AV13" s="1408" t="s">
        <v>2514</v>
      </c>
      <c r="AW13" s="1408" t="s">
        <v>6571</v>
      </c>
      <c r="AX13" s="1408" t="s">
        <v>2514</v>
      </c>
      <c r="AY13" s="1408" t="s">
        <v>1270</v>
      </c>
      <c r="AZ13" s="1408" t="s">
        <v>2514</v>
      </c>
      <c r="BA13" s="1408" t="s">
        <v>1978</v>
      </c>
      <c r="BB13" s="1408" t="s">
        <v>2514</v>
      </c>
      <c r="BC13" s="1408" t="s">
        <v>4831</v>
      </c>
      <c r="BD13" s="1408" t="s">
        <v>2514</v>
      </c>
      <c r="BE13" s="1408" t="s">
        <v>3514</v>
      </c>
      <c r="BF13" s="1408" t="s">
        <v>2514</v>
      </c>
      <c r="BG13" s="1408" t="s">
        <v>5066</v>
      </c>
      <c r="BH13" s="1408" t="s">
        <v>2514</v>
      </c>
      <c r="BI13" s="1408" t="s">
        <v>2809</v>
      </c>
      <c r="BJ13" s="1408" t="s">
        <v>2514</v>
      </c>
      <c r="BK13" s="1408" t="s">
        <v>6586</v>
      </c>
      <c r="BL13" s="1408" t="s">
        <v>2514</v>
      </c>
      <c r="BM13" s="1408" t="s">
        <v>4095</v>
      </c>
      <c r="BN13" s="1408" t="s">
        <v>2514</v>
      </c>
      <c r="BO13" s="1408" t="s">
        <v>4276</v>
      </c>
      <c r="BP13" s="1408" t="s">
        <v>2514</v>
      </c>
      <c r="BQ13" s="1408" t="s">
        <v>3997</v>
      </c>
      <c r="BR13" s="1408" t="s">
        <v>2514</v>
      </c>
      <c r="BS13" s="1408" t="s">
        <v>3721</v>
      </c>
      <c r="BT13" s="1408" t="s">
        <v>2514</v>
      </c>
      <c r="BU13" s="1408" t="s">
        <v>1999</v>
      </c>
      <c r="BV13" s="1408" t="s">
        <v>2514</v>
      </c>
      <c r="BW13" s="1408" t="s">
        <v>1750</v>
      </c>
      <c r="BX13" s="1408" t="s">
        <v>2514</v>
      </c>
      <c r="BY13" s="1408" t="s">
        <v>4392</v>
      </c>
      <c r="BZ13" s="1408" t="s">
        <v>2514</v>
      </c>
      <c r="CA13" s="1408" t="s">
        <v>2262</v>
      </c>
      <c r="CB13" s="1408" t="s">
        <v>2514</v>
      </c>
      <c r="CC13" s="1408" t="s">
        <v>4613</v>
      </c>
      <c r="CD13" s="1408" t="s">
        <v>2514</v>
      </c>
      <c r="CE13" s="1408" t="s">
        <v>1311</v>
      </c>
      <c r="CF13" s="1408" t="s">
        <v>2514</v>
      </c>
      <c r="CG13" s="1408" t="s">
        <v>5096</v>
      </c>
      <c r="CH13" s="1408" t="s">
        <v>2514</v>
      </c>
      <c r="CI13" s="1408" t="s">
        <v>5608</v>
      </c>
      <c r="CJ13" s="1408" t="s">
        <v>2514</v>
      </c>
      <c r="CK13" s="1408" t="s">
        <v>1764</v>
      </c>
      <c r="CL13" s="1408" t="s">
        <v>2514</v>
      </c>
      <c r="CM13" s="1408" t="s">
        <v>2209</v>
      </c>
      <c r="CN13" s="1408" t="s">
        <v>2514</v>
      </c>
      <c r="CO13" s="1408" t="s">
        <v>6651</v>
      </c>
      <c r="CP13" s="1408" t="s">
        <v>2514</v>
      </c>
      <c r="CQ13" s="1408" t="s">
        <v>5530</v>
      </c>
      <c r="CR13" s="1408" t="s">
        <v>2514</v>
      </c>
      <c r="CS13" s="1408" t="s">
        <v>3425</v>
      </c>
      <c r="CT13" s="1408" t="s">
        <v>2514</v>
      </c>
      <c r="CU13" s="1408" t="s">
        <v>6782</v>
      </c>
      <c r="CV13" s="1408" t="s">
        <v>2514</v>
      </c>
      <c r="CW13" s="1408" t="s">
        <v>3393</v>
      </c>
      <c r="CX13" s="1408" t="s">
        <v>2514</v>
      </c>
      <c r="CY13" s="1408" t="s">
        <v>5284</v>
      </c>
      <c r="CZ13" s="1408" t="s">
        <v>2514</v>
      </c>
      <c r="DA13" s="1408" t="s">
        <v>5950</v>
      </c>
      <c r="DB13" s="1408" t="s">
        <v>2514</v>
      </c>
      <c r="DC13" s="1408" t="s">
        <v>4804</v>
      </c>
      <c r="DD13" s="1408" t="s">
        <v>2514</v>
      </c>
      <c r="DE13" s="1408" t="s">
        <v>228</v>
      </c>
      <c r="DF13" s="1408" t="s">
        <v>2514</v>
      </c>
      <c r="DG13" s="1408" t="s">
        <v>1251</v>
      </c>
      <c r="DH13" s="1408" t="s">
        <v>2514</v>
      </c>
      <c r="DI13" s="1408" t="s">
        <v>5734</v>
      </c>
      <c r="DJ13" s="1408" t="s">
        <v>2514</v>
      </c>
      <c r="DK13" s="1408" t="s">
        <v>6009</v>
      </c>
      <c r="DL13" s="1408" t="s">
        <v>2514</v>
      </c>
      <c r="DM13" s="1408" t="s">
        <v>5700</v>
      </c>
      <c r="DN13" s="1408" t="s">
        <v>2514</v>
      </c>
      <c r="DO13" s="1408" t="s">
        <v>2282</v>
      </c>
      <c r="DP13" s="1408" t="s">
        <v>2514</v>
      </c>
      <c r="DQ13" s="1408" t="s">
        <v>3293</v>
      </c>
      <c r="DR13" s="1408" t="s">
        <v>2514</v>
      </c>
      <c r="DS13" s="1408" t="s">
        <v>2434</v>
      </c>
      <c r="DT13" s="1408" t="s">
        <v>2514</v>
      </c>
      <c r="DU13" s="1408" t="s">
        <v>5540</v>
      </c>
      <c r="DV13" s="1408" t="s">
        <v>2514</v>
      </c>
      <c r="DW13" s="1408" t="s">
        <v>2638</v>
      </c>
      <c r="DX13" s="1408" t="s">
        <v>2514</v>
      </c>
      <c r="DY13" s="1408" t="s">
        <v>5516</v>
      </c>
      <c r="DZ13" s="1408" t="s">
        <v>2514</v>
      </c>
      <c r="EA13" s="1408" t="s">
        <v>4291</v>
      </c>
      <c r="EB13" s="1408" t="s">
        <v>2514</v>
      </c>
      <c r="EC13" s="1408" t="s">
        <v>2878</v>
      </c>
      <c r="ED13" s="1408" t="s">
        <v>2514</v>
      </c>
      <c r="EE13" s="1408" t="s">
        <v>2718</v>
      </c>
      <c r="EF13" s="1408" t="s">
        <v>2514</v>
      </c>
      <c r="EG13" s="1408" t="s">
        <v>3311</v>
      </c>
      <c r="EH13" s="1408" t="s">
        <v>2514</v>
      </c>
      <c r="EI13" s="1408" t="s">
        <v>4604</v>
      </c>
      <c r="EJ13" s="1408" t="s">
        <v>2514</v>
      </c>
      <c r="EK13" s="1408" t="s">
        <v>3167</v>
      </c>
      <c r="EL13" s="1408" t="s">
        <v>2514</v>
      </c>
      <c r="EM13" s="1408" t="s">
        <v>2778</v>
      </c>
      <c r="EN13" s="1408" t="s">
        <v>2514</v>
      </c>
      <c r="EO13" s="1408" t="s">
        <v>2600</v>
      </c>
      <c r="EP13" s="1408" t="s">
        <v>2514</v>
      </c>
      <c r="EQ13" s="1408" t="s">
        <v>1948</v>
      </c>
      <c r="ER13" s="1408" t="s">
        <v>2514</v>
      </c>
      <c r="ES13" s="1408" t="s">
        <v>4126</v>
      </c>
      <c r="ET13" s="1408" t="s">
        <v>2514</v>
      </c>
      <c r="EU13" s="1408" t="s">
        <v>4170</v>
      </c>
      <c r="EV13" s="1408" t="s">
        <v>2514</v>
      </c>
      <c r="EW13" s="1408" t="s">
        <v>6634</v>
      </c>
      <c r="EX13" s="1408" t="s">
        <v>2514</v>
      </c>
      <c r="EY13" s="1408" t="s">
        <v>6819</v>
      </c>
      <c r="EZ13" s="1408" t="s">
        <v>2514</v>
      </c>
      <c r="FA13" s="1408" t="s">
        <v>4645</v>
      </c>
      <c r="FB13" s="1408" t="s">
        <v>2514</v>
      </c>
      <c r="FC13" s="1408" t="s">
        <v>3126</v>
      </c>
      <c r="FD13" s="1408" t="s">
        <v>2514</v>
      </c>
      <c r="FE13" s="1408" t="s">
        <v>1028</v>
      </c>
      <c r="FF13" s="1408" t="s">
        <v>2514</v>
      </c>
      <c r="FG13" s="1408" t="s">
        <v>6629</v>
      </c>
      <c r="FH13" s="1408" t="s">
        <v>2514</v>
      </c>
      <c r="FI13" s="1408" t="s">
        <v>2732</v>
      </c>
      <c r="FJ13" s="1408" t="s">
        <v>2514</v>
      </c>
      <c r="FK13" s="1408" t="s">
        <v>813</v>
      </c>
      <c r="FL13" s="1408" t="s">
        <v>2514</v>
      </c>
      <c r="FM13" s="1408" t="s">
        <v>3034</v>
      </c>
      <c r="FN13" s="1408" t="s">
        <v>2514</v>
      </c>
      <c r="FO13" s="1408" t="s">
        <v>2420</v>
      </c>
      <c r="FP13" s="1408" t="s">
        <v>2514</v>
      </c>
      <c r="FQ13" s="1408" t="s">
        <v>6670</v>
      </c>
      <c r="FR13" s="1408" t="s">
        <v>2514</v>
      </c>
      <c r="FS13" s="1408" t="s">
        <v>5028</v>
      </c>
      <c r="FT13" s="1408" t="s">
        <v>2514</v>
      </c>
      <c r="FU13" s="1408" t="s">
        <v>991</v>
      </c>
      <c r="FV13" s="1408" t="s">
        <v>2514</v>
      </c>
      <c r="FW13" s="1408" t="s">
        <v>3966</v>
      </c>
      <c r="FX13" s="1408" t="s">
        <v>2514</v>
      </c>
      <c r="FY13" s="1408" t="s">
        <v>1690</v>
      </c>
      <c r="FZ13" s="1408" t="s">
        <v>2514</v>
      </c>
      <c r="GA13" s="1408" t="s">
        <v>2446</v>
      </c>
      <c r="GB13" s="1408" t="s">
        <v>2514</v>
      </c>
      <c r="GC13" s="1408" t="s">
        <v>2047</v>
      </c>
      <c r="GD13" s="1408" t="s">
        <v>2514</v>
      </c>
      <c r="GE13" s="1408" t="s">
        <v>3422</v>
      </c>
      <c r="GF13" s="1408" t="s">
        <v>2514</v>
      </c>
      <c r="GG13" s="1408" t="s">
        <v>2643</v>
      </c>
      <c r="GH13" s="1408" t="s">
        <v>2514</v>
      </c>
      <c r="GI13" s="1408" t="s">
        <v>1898</v>
      </c>
      <c r="GJ13" s="1408" t="s">
        <v>2514</v>
      </c>
      <c r="GK13" s="1408" t="s">
        <v>2591</v>
      </c>
      <c r="GL13" s="1408" t="s">
        <v>2514</v>
      </c>
      <c r="GM13" s="1408" t="s">
        <v>3055</v>
      </c>
      <c r="GN13" s="1408" t="s">
        <v>2514</v>
      </c>
      <c r="GO13" s="1408" t="s">
        <v>3505</v>
      </c>
      <c r="GP13" s="1408" t="s">
        <v>2514</v>
      </c>
      <c r="GQ13" s="1408" t="s">
        <v>4114</v>
      </c>
      <c r="GR13" s="1408" t="s">
        <v>2514</v>
      </c>
      <c r="GS13" s="1408" t="s">
        <v>6001</v>
      </c>
      <c r="GT13" s="1408" t="s">
        <v>2514</v>
      </c>
      <c r="GU13" s="1408" t="s">
        <v>675</v>
      </c>
      <c r="GV13" s="1408" t="s">
        <v>2514</v>
      </c>
      <c r="GW13" s="1408" t="s">
        <v>6669</v>
      </c>
      <c r="GX13" s="1408" t="s">
        <v>2514</v>
      </c>
      <c r="GY13" s="1408" t="s">
        <v>5510</v>
      </c>
      <c r="GZ13" s="1408" t="s">
        <v>2514</v>
      </c>
      <c r="HA13" s="1408" t="s">
        <v>1852</v>
      </c>
      <c r="HB13" s="1408" t="s">
        <v>2514</v>
      </c>
      <c r="HC13" s="1408" t="s">
        <v>5439</v>
      </c>
      <c r="HD13" s="1408" t="s">
        <v>2514</v>
      </c>
      <c r="HE13" s="1408" t="s">
        <v>5958</v>
      </c>
      <c r="HF13" s="1408" t="s">
        <v>2514</v>
      </c>
      <c r="HG13" s="1408" t="s">
        <v>513</v>
      </c>
      <c r="HH13" s="1408" t="s">
        <v>2514</v>
      </c>
      <c r="HI13" s="1408" t="s">
        <v>2341</v>
      </c>
      <c r="HJ13" s="1408" t="s">
        <v>2514</v>
      </c>
      <c r="HK13" s="1408" t="s">
        <v>1963</v>
      </c>
      <c r="HL13" s="1408" t="s">
        <v>2514</v>
      </c>
      <c r="HM13" s="1408" t="s">
        <v>4148</v>
      </c>
      <c r="HN13" s="1408" t="s">
        <v>2514</v>
      </c>
      <c r="HO13" s="1408" t="s">
        <v>6695</v>
      </c>
      <c r="HP13" s="1408" t="s">
        <v>2514</v>
      </c>
      <c r="HQ13" s="1408" t="s">
        <v>5654</v>
      </c>
      <c r="HR13" s="1408" t="s">
        <v>2514</v>
      </c>
      <c r="HS13" s="1408" t="s">
        <v>2223</v>
      </c>
      <c r="HT13" s="1408" t="s">
        <v>2514</v>
      </c>
      <c r="HU13" s="1408" t="s">
        <v>3143</v>
      </c>
      <c r="HV13" s="1408" t="s">
        <v>2514</v>
      </c>
      <c r="HW13" s="1408" t="s">
        <v>182</v>
      </c>
      <c r="HX13" s="1408" t="s">
        <v>2514</v>
      </c>
      <c r="HY13" s="1408" t="s">
        <v>2070</v>
      </c>
      <c r="HZ13" s="1408" t="s">
        <v>2514</v>
      </c>
      <c r="IA13" s="1408" t="s">
        <v>3683</v>
      </c>
      <c r="IB13" s="1408" t="s">
        <v>2514</v>
      </c>
      <c r="IC13" s="1408" t="s">
        <v>203</v>
      </c>
      <c r="ID13" s="1408" t="s">
        <v>2514</v>
      </c>
      <c r="IE13" s="1408" t="s">
        <v>4483</v>
      </c>
      <c r="IF13" s="1408" t="s">
        <v>2514</v>
      </c>
      <c r="IG13" s="1408" t="s">
        <v>1096</v>
      </c>
      <c r="IH13" s="1408" t="s">
        <v>2514</v>
      </c>
      <c r="II13" s="1408" t="s">
        <v>603</v>
      </c>
      <c r="IJ13" s="1408" t="s">
        <v>2514</v>
      </c>
      <c r="IK13" s="1408" t="s">
        <v>3281</v>
      </c>
      <c r="IL13" s="1408" t="s">
        <v>2514</v>
      </c>
      <c r="IM13" s="1408" t="s">
        <v>2629</v>
      </c>
      <c r="IN13" s="1408" t="s">
        <v>2514</v>
      </c>
      <c r="IO13" s="1408" t="s">
        <v>4294</v>
      </c>
      <c r="IP13" s="1408" t="s">
        <v>2514</v>
      </c>
      <c r="IQ13" s="1408" t="s">
        <v>4491</v>
      </c>
      <c r="IR13" s="1408" t="s">
        <v>2514</v>
      </c>
      <c r="IS13" s="1408" t="s">
        <v>1534</v>
      </c>
      <c r="IT13" s="1408" t="s">
        <v>2514</v>
      </c>
      <c r="IU13" s="1408" t="s">
        <v>3120</v>
      </c>
      <c r="IV13" s="1408" t="s">
        <v>2514</v>
      </c>
    </row>
    <row r="14" spans="1:256" s="1408" customFormat="1">
      <c r="A14" s="1408" t="s">
        <v>2890</v>
      </c>
      <c r="B14" s="1408" t="s">
        <v>2514</v>
      </c>
      <c r="C14" s="1408" t="s">
        <v>3992</v>
      </c>
      <c r="D14" s="1408" t="s">
        <v>2514</v>
      </c>
      <c r="E14" s="1408" t="s">
        <v>3476</v>
      </c>
      <c r="F14" s="1408" t="s">
        <v>2514</v>
      </c>
      <c r="G14" s="1408" t="s">
        <v>1958</v>
      </c>
      <c r="H14" s="1408" t="s">
        <v>2514</v>
      </c>
      <c r="I14" s="1408" t="s">
        <v>3428</v>
      </c>
      <c r="J14" s="1408" t="s">
        <v>2514</v>
      </c>
      <c r="K14" s="1408" t="s">
        <v>7</v>
      </c>
      <c r="L14" s="1408" t="s">
        <v>2514</v>
      </c>
      <c r="M14" s="1408" t="s">
        <v>5432</v>
      </c>
      <c r="N14" s="1408" t="s">
        <v>2514</v>
      </c>
      <c r="O14" s="1408" t="s">
        <v>4522</v>
      </c>
      <c r="P14" s="1408" t="s">
        <v>2514</v>
      </c>
      <c r="Q14" s="1408" t="s">
        <v>6110</v>
      </c>
      <c r="R14" s="1408" t="s">
        <v>2514</v>
      </c>
      <c r="S14" s="1408" t="s">
        <v>4057</v>
      </c>
      <c r="T14" s="1408" t="s">
        <v>2514</v>
      </c>
      <c r="U14" s="1408" t="s">
        <v>3480</v>
      </c>
      <c r="V14" s="1408" t="s">
        <v>2514</v>
      </c>
      <c r="W14" s="1408" t="s">
        <v>787</v>
      </c>
      <c r="X14" s="1408" t="s">
        <v>2514</v>
      </c>
      <c r="Y14" s="1408" t="s">
        <v>6321</v>
      </c>
      <c r="Z14" s="1408" t="s">
        <v>2514</v>
      </c>
      <c r="AA14" s="1408" t="s">
        <v>5919</v>
      </c>
      <c r="AB14" s="1408" t="s">
        <v>2514</v>
      </c>
      <c r="AC14" s="1408" t="s">
        <v>3670</v>
      </c>
      <c r="AD14" s="1408" t="s">
        <v>2514</v>
      </c>
      <c r="AE14" s="1408" t="s">
        <v>389</v>
      </c>
      <c r="AF14" s="1408" t="s">
        <v>2514</v>
      </c>
      <c r="AG14" s="1408" t="s">
        <v>6334</v>
      </c>
      <c r="AH14" s="1408" t="s">
        <v>2514</v>
      </c>
      <c r="AI14" s="1408" t="s">
        <v>1122</v>
      </c>
      <c r="AJ14" s="1408" t="s">
        <v>2514</v>
      </c>
      <c r="AK14" s="1408" t="s">
        <v>5107</v>
      </c>
      <c r="AL14" s="1408" t="s">
        <v>2514</v>
      </c>
      <c r="AM14" s="1408" t="s">
        <v>6652</v>
      </c>
      <c r="AN14" s="1408" t="s">
        <v>2514</v>
      </c>
      <c r="AO14" s="1408" t="s">
        <v>824</v>
      </c>
      <c r="AP14" s="1408" t="s">
        <v>2514</v>
      </c>
      <c r="AQ14" s="1408" t="s">
        <v>1083</v>
      </c>
      <c r="AR14" s="1408" t="s">
        <v>2514</v>
      </c>
      <c r="AS14" s="1408" t="s">
        <v>5420</v>
      </c>
      <c r="AT14" s="1408" t="s">
        <v>2514</v>
      </c>
      <c r="AU14" s="1408" t="s">
        <v>148</v>
      </c>
      <c r="AV14" s="1408" t="s">
        <v>2514</v>
      </c>
      <c r="AW14" s="1408" t="s">
        <v>6723</v>
      </c>
      <c r="AX14" s="1408" t="s">
        <v>2514</v>
      </c>
      <c r="AY14" s="1408" t="s">
        <v>3087</v>
      </c>
      <c r="AZ14" s="1408" t="s">
        <v>2514</v>
      </c>
      <c r="BA14" s="1408" t="s">
        <v>1589</v>
      </c>
      <c r="BB14" s="1408" t="s">
        <v>2514</v>
      </c>
      <c r="BC14" s="1408" t="s">
        <v>448</v>
      </c>
      <c r="BD14" s="1408" t="s">
        <v>2514</v>
      </c>
      <c r="BE14" s="1408" t="s">
        <v>6260</v>
      </c>
      <c r="BF14" s="1408" t="s">
        <v>2514</v>
      </c>
      <c r="BG14" s="1408" t="s">
        <v>1739</v>
      </c>
      <c r="BH14" s="1408" t="s">
        <v>2514</v>
      </c>
      <c r="BI14" s="1408" t="s">
        <v>1763</v>
      </c>
      <c r="BJ14" s="1408" t="s">
        <v>2514</v>
      </c>
      <c r="BK14" s="1408" t="s">
        <v>2268</v>
      </c>
      <c r="BL14" s="1408" t="s">
        <v>2514</v>
      </c>
      <c r="BM14" s="1408" t="s">
        <v>930</v>
      </c>
      <c r="BN14" s="1408" t="s">
        <v>2514</v>
      </c>
      <c r="BO14" s="1408" t="s">
        <v>4788</v>
      </c>
      <c r="BP14" s="1408" t="s">
        <v>2514</v>
      </c>
      <c r="BQ14" s="1408" t="s">
        <v>1964</v>
      </c>
      <c r="BR14" s="1408" t="s">
        <v>2514</v>
      </c>
      <c r="BS14" s="1408" t="s">
        <v>3756</v>
      </c>
      <c r="BT14" s="1408" t="s">
        <v>2514</v>
      </c>
      <c r="BU14" s="1408" t="s">
        <v>710</v>
      </c>
      <c r="BV14" s="1408" t="s">
        <v>2514</v>
      </c>
      <c r="BW14" s="1408" t="s">
        <v>1651</v>
      </c>
      <c r="BX14" s="1408" t="s">
        <v>2514</v>
      </c>
      <c r="BY14" s="1408" t="s">
        <v>935</v>
      </c>
      <c r="BZ14" s="1408" t="s">
        <v>2514</v>
      </c>
      <c r="CA14" s="1408" t="s">
        <v>6568</v>
      </c>
      <c r="CB14" s="1408" t="s">
        <v>2514</v>
      </c>
      <c r="CC14" s="1408" t="s">
        <v>5482</v>
      </c>
      <c r="CD14" s="1408" t="s">
        <v>2514</v>
      </c>
      <c r="CE14" s="1408" t="s">
        <v>5356</v>
      </c>
      <c r="CF14" s="1408" t="s">
        <v>2514</v>
      </c>
      <c r="CG14" s="1408" t="s">
        <v>3916</v>
      </c>
      <c r="CH14" s="1408" t="s">
        <v>2514</v>
      </c>
      <c r="CI14" s="1408" t="s">
        <v>5657</v>
      </c>
      <c r="CJ14" s="1408" t="s">
        <v>2514</v>
      </c>
      <c r="CK14" s="1408" t="s">
        <v>1645</v>
      </c>
      <c r="CL14" s="1408" t="s">
        <v>2514</v>
      </c>
      <c r="CM14" s="1408" t="s">
        <v>4867</v>
      </c>
      <c r="CN14" s="1408" t="s">
        <v>2514</v>
      </c>
      <c r="CO14" s="1408" t="s">
        <v>2221</v>
      </c>
      <c r="CP14" s="1408" t="s">
        <v>2514</v>
      </c>
      <c r="CQ14" s="1408" t="s">
        <v>5305</v>
      </c>
      <c r="CR14" s="1408" t="s">
        <v>2514</v>
      </c>
      <c r="CS14" s="1408" t="s">
        <v>6741</v>
      </c>
      <c r="CT14" s="1408" t="s">
        <v>2514</v>
      </c>
      <c r="CU14" s="1408" t="s">
        <v>3929</v>
      </c>
      <c r="CV14" s="1408" t="s">
        <v>2514</v>
      </c>
      <c r="CW14" s="1408" t="s">
        <v>2582</v>
      </c>
      <c r="CX14" s="1408" t="s">
        <v>2514</v>
      </c>
      <c r="CY14" s="1408" t="s">
        <v>3210</v>
      </c>
      <c r="CZ14" s="1408" t="s">
        <v>2514</v>
      </c>
      <c r="DA14" s="1408" t="s">
        <v>6622</v>
      </c>
      <c r="DB14" s="1408" t="s">
        <v>2514</v>
      </c>
      <c r="DC14" s="1408" t="s">
        <v>1358</v>
      </c>
      <c r="DD14" s="1408" t="s">
        <v>2514</v>
      </c>
      <c r="DE14" s="1408" t="s">
        <v>2034</v>
      </c>
      <c r="DF14" s="1408" t="s">
        <v>2514</v>
      </c>
      <c r="DG14" s="1408" t="s">
        <v>4065</v>
      </c>
      <c r="DH14" s="1408" t="s">
        <v>2514</v>
      </c>
      <c r="DI14" s="1408" t="s">
        <v>2843</v>
      </c>
      <c r="DJ14" s="1408" t="s">
        <v>2514</v>
      </c>
      <c r="DK14" s="1408" t="s">
        <v>2922</v>
      </c>
      <c r="DL14" s="1408" t="s">
        <v>2514</v>
      </c>
      <c r="DM14" s="1408" t="s">
        <v>169</v>
      </c>
      <c r="DN14" s="1408" t="s">
        <v>2514</v>
      </c>
      <c r="DO14" s="1408" t="s">
        <v>3072</v>
      </c>
      <c r="DP14" s="1408" t="s">
        <v>2514</v>
      </c>
      <c r="DQ14" s="1408" t="s">
        <v>4533</v>
      </c>
      <c r="DR14" s="1408" t="s">
        <v>2514</v>
      </c>
      <c r="DS14" s="1408" t="s">
        <v>3299</v>
      </c>
      <c r="DT14" s="1408" t="s">
        <v>2514</v>
      </c>
      <c r="DU14" s="1408" t="s">
        <v>2467</v>
      </c>
      <c r="DV14" s="1408" t="s">
        <v>2514</v>
      </c>
      <c r="DW14" s="1408" t="s">
        <v>1401</v>
      </c>
      <c r="DX14" s="1408" t="s">
        <v>2514</v>
      </c>
      <c r="DY14" s="1408" t="s">
        <v>4229</v>
      </c>
      <c r="DZ14" s="1408" t="s">
        <v>2514</v>
      </c>
      <c r="EA14" s="1408" t="s">
        <v>1767</v>
      </c>
      <c r="EB14" s="1408" t="s">
        <v>2514</v>
      </c>
      <c r="EC14" s="1408" t="s">
        <v>2512</v>
      </c>
      <c r="ED14" s="1408" t="s">
        <v>7246</v>
      </c>
      <c r="EE14" s="1408" t="s">
        <v>6584</v>
      </c>
      <c r="EF14" s="1408" t="s">
        <v>2514</v>
      </c>
      <c r="EG14" s="1408" t="s">
        <v>863</v>
      </c>
      <c r="EH14" s="1408" t="s">
        <v>2514</v>
      </c>
      <c r="EI14" s="1408" t="s">
        <v>1991</v>
      </c>
      <c r="EJ14" s="1408" t="s">
        <v>2514</v>
      </c>
      <c r="EK14" s="1408" t="s">
        <v>2855</v>
      </c>
      <c r="EL14" s="1408" t="s">
        <v>2514</v>
      </c>
      <c r="EM14" s="1408" t="s">
        <v>1903</v>
      </c>
      <c r="EN14" s="1408" t="s">
        <v>2514</v>
      </c>
      <c r="EO14" s="1408" t="s">
        <v>3095</v>
      </c>
      <c r="EP14" s="1408" t="s">
        <v>2514</v>
      </c>
      <c r="EQ14" s="1408" t="s">
        <v>1568</v>
      </c>
      <c r="ER14" s="1408" t="s">
        <v>2514</v>
      </c>
      <c r="ES14" s="1408" t="s">
        <v>6617</v>
      </c>
      <c r="ET14" s="1408" t="s">
        <v>2514</v>
      </c>
      <c r="EU14" s="1408" t="s">
        <v>502</v>
      </c>
      <c r="EV14" s="1408" t="s">
        <v>2514</v>
      </c>
      <c r="EW14" s="1408" t="s">
        <v>3466</v>
      </c>
      <c r="EX14" s="1408" t="s">
        <v>2514</v>
      </c>
      <c r="EY14" s="1408" t="s">
        <v>6608</v>
      </c>
      <c r="EZ14" s="1408" t="s">
        <v>2514</v>
      </c>
      <c r="FA14" s="1408" t="s">
        <v>4</v>
      </c>
      <c r="FB14" s="1408" t="s">
        <v>2514</v>
      </c>
      <c r="FC14" s="1408" t="s">
        <v>4512</v>
      </c>
      <c r="FD14" s="1408" t="s">
        <v>2514</v>
      </c>
      <c r="FE14" s="1408" t="s">
        <v>5815</v>
      </c>
      <c r="FF14" s="1408" t="s">
        <v>2514</v>
      </c>
      <c r="FG14" s="1408" t="s">
        <v>3970</v>
      </c>
      <c r="FH14" s="1408" t="s">
        <v>2514</v>
      </c>
      <c r="FI14" s="1408" t="s">
        <v>1273</v>
      </c>
      <c r="FJ14" s="1408" t="s">
        <v>2514</v>
      </c>
      <c r="FK14" s="1408" t="s">
        <v>3682</v>
      </c>
      <c r="FL14" s="1408" t="s">
        <v>2514</v>
      </c>
      <c r="FM14" s="1408" t="s">
        <v>4220</v>
      </c>
      <c r="FN14" s="1408" t="s">
        <v>2514</v>
      </c>
      <c r="FO14" s="1408" t="s">
        <v>2026</v>
      </c>
      <c r="FP14" s="1408" t="s">
        <v>2514</v>
      </c>
      <c r="FQ14" s="1408" t="s">
        <v>6643</v>
      </c>
      <c r="FR14" s="1408" t="s">
        <v>2514</v>
      </c>
      <c r="FS14" s="1408" t="s">
        <v>1513</v>
      </c>
      <c r="FT14" s="1408" t="s">
        <v>2514</v>
      </c>
      <c r="FU14" s="1408" t="s">
        <v>913</v>
      </c>
      <c r="FV14" s="1408" t="s">
        <v>2514</v>
      </c>
      <c r="FW14" s="1408" t="s">
        <v>5535</v>
      </c>
      <c r="FX14" s="1408" t="s">
        <v>2514</v>
      </c>
      <c r="FY14" s="1408" t="s">
        <v>1753</v>
      </c>
      <c r="FZ14" s="1408" t="s">
        <v>2514</v>
      </c>
      <c r="GA14" s="1408" t="s">
        <v>3973</v>
      </c>
      <c r="GB14" s="1408" t="s">
        <v>2514</v>
      </c>
      <c r="GC14" s="1408" t="s">
        <v>6248</v>
      </c>
      <c r="GD14" s="1408" t="s">
        <v>2514</v>
      </c>
      <c r="GE14" s="1408" t="s">
        <v>2590</v>
      </c>
      <c r="GF14" s="1408" t="s">
        <v>2514</v>
      </c>
      <c r="GG14" s="1408" t="s">
        <v>282</v>
      </c>
      <c r="GH14" s="1408" t="s">
        <v>2514</v>
      </c>
      <c r="GI14" s="1408" t="s">
        <v>909</v>
      </c>
      <c r="GJ14" s="1408" t="s">
        <v>2514</v>
      </c>
      <c r="GK14" s="1408" t="s">
        <v>3686</v>
      </c>
      <c r="GL14" s="1408" t="s">
        <v>2514</v>
      </c>
      <c r="GM14" s="1408" t="s">
        <v>778</v>
      </c>
      <c r="GN14" s="1408" t="s">
        <v>2514</v>
      </c>
      <c r="GO14" s="1408" t="s">
        <v>1389</v>
      </c>
      <c r="GP14" s="1408" t="s">
        <v>2514</v>
      </c>
      <c r="GQ14" s="1408" t="s">
        <v>4151</v>
      </c>
      <c r="GR14" s="1408" t="s">
        <v>2514</v>
      </c>
      <c r="GS14" s="1408" t="s">
        <v>6153</v>
      </c>
      <c r="GT14" s="1408" t="s">
        <v>2514</v>
      </c>
      <c r="GU14" s="1408" t="s">
        <v>211</v>
      </c>
      <c r="GV14" s="1408" t="s">
        <v>2514</v>
      </c>
      <c r="GW14" s="1408" t="s">
        <v>4524</v>
      </c>
      <c r="GX14" s="1408" t="s">
        <v>2514</v>
      </c>
      <c r="GY14" s="1408" t="s">
        <v>5412</v>
      </c>
      <c r="GZ14" s="1408" t="s">
        <v>2514</v>
      </c>
      <c r="HA14" s="1408" t="s">
        <v>1145</v>
      </c>
      <c r="HB14" s="1408" t="s">
        <v>2514</v>
      </c>
      <c r="HC14" s="1408" t="s">
        <v>4914</v>
      </c>
      <c r="HD14" s="1408" t="s">
        <v>2514</v>
      </c>
      <c r="HE14" s="1408" t="s">
        <v>5426</v>
      </c>
      <c r="HF14" s="1408" t="s">
        <v>2514</v>
      </c>
      <c r="HG14" s="1408" t="s">
        <v>3277</v>
      </c>
      <c r="HH14" s="1408" t="s">
        <v>2514</v>
      </c>
      <c r="HI14" s="1408" t="s">
        <v>5279</v>
      </c>
      <c r="HJ14" s="1408" t="s">
        <v>2514</v>
      </c>
      <c r="HK14" s="1408" t="s">
        <v>1302</v>
      </c>
      <c r="HL14" s="1408" t="s">
        <v>2514</v>
      </c>
      <c r="HM14" s="1408" t="s">
        <v>567</v>
      </c>
      <c r="HN14" s="1408" t="s">
        <v>2514</v>
      </c>
      <c r="HO14" s="1408" t="s">
        <v>1714</v>
      </c>
      <c r="HP14" s="1408" t="s">
        <v>2514</v>
      </c>
      <c r="HQ14" s="1408" t="s">
        <v>6510</v>
      </c>
      <c r="HR14" s="1408" t="s">
        <v>2514</v>
      </c>
      <c r="HS14" s="1408" t="s">
        <v>4361</v>
      </c>
      <c r="HT14" s="1408" t="s">
        <v>2514</v>
      </c>
      <c r="HU14" s="1408" t="s">
        <v>5606</v>
      </c>
      <c r="HV14" s="1408" t="s">
        <v>2514</v>
      </c>
      <c r="HW14" s="1408" t="s">
        <v>5877</v>
      </c>
      <c r="HX14" s="1408" t="s">
        <v>2514</v>
      </c>
      <c r="HY14" s="1408" t="s">
        <v>4191</v>
      </c>
      <c r="HZ14" s="1408" t="s">
        <v>2514</v>
      </c>
      <c r="IA14" s="1408" t="s">
        <v>2460</v>
      </c>
      <c r="IB14" s="1408" t="s">
        <v>2514</v>
      </c>
      <c r="IC14" s="1408" t="s">
        <v>3028</v>
      </c>
      <c r="ID14" s="1408" t="s">
        <v>2514</v>
      </c>
      <c r="IE14" s="1408" t="s">
        <v>3053</v>
      </c>
      <c r="IF14" s="1408" t="s">
        <v>2514</v>
      </c>
      <c r="IG14" s="1408" t="s">
        <v>1351</v>
      </c>
      <c r="IH14" s="1408" t="s">
        <v>2514</v>
      </c>
      <c r="II14" s="1408" t="s">
        <v>5822</v>
      </c>
      <c r="IJ14" s="1408" t="s">
        <v>2514</v>
      </c>
      <c r="IK14" s="1408" t="s">
        <v>1456</v>
      </c>
      <c r="IL14" s="1408" t="s">
        <v>2514</v>
      </c>
      <c r="IM14" s="1408" t="s">
        <v>4805</v>
      </c>
      <c r="IN14" s="1408" t="s">
        <v>2514</v>
      </c>
      <c r="IO14" s="1408" t="s">
        <v>1141</v>
      </c>
      <c r="IP14" s="1408" t="s">
        <v>2514</v>
      </c>
      <c r="IQ14" s="1408" t="s">
        <v>2722</v>
      </c>
      <c r="IR14" s="1408" t="s">
        <v>2514</v>
      </c>
      <c r="IS14" s="1408" t="s">
        <v>1181</v>
      </c>
      <c r="IT14" s="1408" t="s">
        <v>2514</v>
      </c>
      <c r="IU14" s="1408" t="s">
        <v>6533</v>
      </c>
      <c r="IV14" s="1408" t="s">
        <v>2514</v>
      </c>
    </row>
    <row r="15" spans="1:256" s="1408" customFormat="1">
      <c r="A15" s="1408" t="s">
        <v>2797</v>
      </c>
      <c r="B15" s="1408" t="s">
        <v>2514</v>
      </c>
      <c r="C15" s="1408" t="s">
        <v>4140</v>
      </c>
      <c r="D15" s="1408" t="s">
        <v>2514</v>
      </c>
      <c r="E15" s="1408" t="s">
        <v>6038</v>
      </c>
      <c r="F15" s="1408" t="s">
        <v>2514</v>
      </c>
      <c r="G15" s="1408" t="s">
        <v>5099</v>
      </c>
      <c r="H15" s="1408" t="s">
        <v>2514</v>
      </c>
      <c r="I15" s="1408" t="s">
        <v>2261</v>
      </c>
      <c r="J15" s="1408" t="s">
        <v>2514</v>
      </c>
      <c r="K15" s="1408" t="s">
        <v>2565</v>
      </c>
      <c r="L15" s="1408" t="s">
        <v>2514</v>
      </c>
      <c r="M15" s="1408" t="s">
        <v>3557</v>
      </c>
      <c r="N15" s="1408" t="s">
        <v>2514</v>
      </c>
      <c r="O15" s="1408" t="s">
        <v>2458</v>
      </c>
      <c r="P15" s="1408" t="s">
        <v>2514</v>
      </c>
      <c r="Q15" s="1408" t="s">
        <v>3999</v>
      </c>
      <c r="R15" s="1408" t="s">
        <v>2514</v>
      </c>
      <c r="S15" s="1408" t="s">
        <v>4990</v>
      </c>
      <c r="T15" s="1408" t="s">
        <v>2514</v>
      </c>
      <c r="U15" s="1408" t="s">
        <v>1296</v>
      </c>
      <c r="V15" s="1408" t="s">
        <v>2514</v>
      </c>
      <c r="W15" s="1408" t="s">
        <v>3896</v>
      </c>
      <c r="X15" s="1408" t="s">
        <v>2514</v>
      </c>
      <c r="Y15" s="1408" t="s">
        <v>2231</v>
      </c>
      <c r="Z15" s="1408" t="s">
        <v>2514</v>
      </c>
      <c r="AA15" s="1408" t="s">
        <v>6502</v>
      </c>
      <c r="AB15" s="1408" t="s">
        <v>2514</v>
      </c>
      <c r="AC15" s="1408" t="s">
        <v>2031</v>
      </c>
      <c r="AD15" s="1408" t="s">
        <v>2514</v>
      </c>
      <c r="AE15" s="1408" t="s">
        <v>5207</v>
      </c>
      <c r="AF15" s="1408" t="s">
        <v>2514</v>
      </c>
      <c r="AG15" s="1408" t="s">
        <v>1574</v>
      </c>
      <c r="AH15" s="1408" t="s">
        <v>2514</v>
      </c>
      <c r="AI15" s="1408" t="s">
        <v>3895</v>
      </c>
      <c r="AJ15" s="1408" t="s">
        <v>2514</v>
      </c>
      <c r="AK15" s="1408" t="s">
        <v>2924</v>
      </c>
      <c r="AL15" s="1408" t="s">
        <v>2514</v>
      </c>
      <c r="AM15" s="1408" t="s">
        <v>443</v>
      </c>
      <c r="AN15" s="1408" t="s">
        <v>2514</v>
      </c>
      <c r="AO15" s="1408" t="s">
        <v>3707</v>
      </c>
      <c r="AP15" s="1408" t="s">
        <v>2514</v>
      </c>
      <c r="AQ15" s="1408" t="s">
        <v>6927</v>
      </c>
      <c r="AR15" s="1408" t="s">
        <v>2514</v>
      </c>
      <c r="AS15" s="1408" t="s">
        <v>5378</v>
      </c>
      <c r="AT15" s="1408" t="s">
        <v>2514</v>
      </c>
      <c r="AU15" s="1408" t="s">
        <v>2853</v>
      </c>
      <c r="AV15" s="1408" t="s">
        <v>2514</v>
      </c>
      <c r="AW15" s="1408" t="s">
        <v>1602</v>
      </c>
      <c r="AX15" s="1408" t="s">
        <v>2514</v>
      </c>
      <c r="AY15" s="1408" t="s">
        <v>3389</v>
      </c>
      <c r="AZ15" s="1408" t="s">
        <v>2514</v>
      </c>
      <c r="BA15" s="1408" t="s">
        <v>1873</v>
      </c>
      <c r="BB15" s="1408" t="s">
        <v>2514</v>
      </c>
      <c r="BC15" s="1408" t="s">
        <v>1552</v>
      </c>
      <c r="BD15" s="1408" t="s">
        <v>2514</v>
      </c>
      <c r="BE15" s="1408" t="s">
        <v>5452</v>
      </c>
      <c r="BF15" s="1408" t="s">
        <v>2514</v>
      </c>
      <c r="BG15" s="1408" t="s">
        <v>4190</v>
      </c>
      <c r="BH15" s="1408" t="s">
        <v>2514</v>
      </c>
      <c r="BI15" s="1408" t="s">
        <v>6537</v>
      </c>
      <c r="BJ15" s="1408" t="s">
        <v>2514</v>
      </c>
      <c r="BK15" s="1408" t="s">
        <v>6015</v>
      </c>
      <c r="BL15" s="1408" t="s">
        <v>2514</v>
      </c>
      <c r="BM15" s="1408" t="s">
        <v>1508</v>
      </c>
      <c r="BN15" s="1408" t="s">
        <v>2514</v>
      </c>
      <c r="BO15" s="1408" t="s">
        <v>5760</v>
      </c>
      <c r="BP15" s="1408" t="s">
        <v>2514</v>
      </c>
      <c r="BQ15" s="1408" t="s">
        <v>2228</v>
      </c>
      <c r="BR15" s="1408" t="s">
        <v>2514</v>
      </c>
      <c r="BS15" s="1408" t="s">
        <v>3291</v>
      </c>
      <c r="BT15" s="1408" t="s">
        <v>2514</v>
      </c>
      <c r="BU15" s="1408" t="s">
        <v>6706</v>
      </c>
      <c r="BV15" s="1408" t="s">
        <v>2514</v>
      </c>
      <c r="BW15" s="1408" t="s">
        <v>4035</v>
      </c>
      <c r="BX15" s="1408" t="s">
        <v>2514</v>
      </c>
      <c r="BY15" s="1408" t="s">
        <v>940</v>
      </c>
      <c r="BZ15" s="1408" t="s">
        <v>2514</v>
      </c>
      <c r="CA15" s="1408" t="s">
        <v>4321</v>
      </c>
      <c r="CB15" s="1408" t="s">
        <v>2514</v>
      </c>
      <c r="CC15" s="1408" t="s">
        <v>5704</v>
      </c>
      <c r="CD15" s="1408" t="s">
        <v>2514</v>
      </c>
      <c r="CE15" s="1408" t="s">
        <v>1191</v>
      </c>
      <c r="CF15" s="1408" t="s">
        <v>2514</v>
      </c>
      <c r="CG15" s="1408" t="s">
        <v>4351</v>
      </c>
      <c r="CH15" s="1408" t="s">
        <v>2514</v>
      </c>
      <c r="CI15" s="1408" t="s">
        <v>612</v>
      </c>
      <c r="CJ15" s="1408" t="s">
        <v>2514</v>
      </c>
      <c r="CK15" s="1408" t="s">
        <v>34</v>
      </c>
      <c r="CL15" s="1408" t="s">
        <v>2514</v>
      </c>
      <c r="CM15" s="1408" t="s">
        <v>6089</v>
      </c>
      <c r="CN15" s="1408" t="s">
        <v>2514</v>
      </c>
      <c r="CO15" s="1408" t="s">
        <v>6552</v>
      </c>
      <c r="CP15" s="1408" t="s">
        <v>2514</v>
      </c>
      <c r="CQ15" s="1408" t="s">
        <v>6039</v>
      </c>
      <c r="CR15" s="1408" t="s">
        <v>2514</v>
      </c>
      <c r="CS15" s="1408" t="s">
        <v>1136</v>
      </c>
      <c r="CT15" s="1408" t="s">
        <v>2514</v>
      </c>
      <c r="CU15" s="1408" t="s">
        <v>5500</v>
      </c>
      <c r="CV15" s="1408" t="s">
        <v>2514</v>
      </c>
      <c r="CW15" s="1408" t="s">
        <v>1717</v>
      </c>
      <c r="CX15" s="1408" t="s">
        <v>2514</v>
      </c>
      <c r="CY15" s="1408" t="s">
        <v>985</v>
      </c>
      <c r="CZ15" s="1408" t="s">
        <v>2514</v>
      </c>
      <c r="DA15" s="1408" t="s">
        <v>3676</v>
      </c>
      <c r="DB15" s="1408" t="s">
        <v>2514</v>
      </c>
      <c r="DC15" s="1408" t="s">
        <v>2537</v>
      </c>
      <c r="DD15" s="1408" t="s">
        <v>2514</v>
      </c>
      <c r="DE15" s="1408" t="s">
        <v>6710</v>
      </c>
      <c r="DF15" s="1408" t="s">
        <v>2514</v>
      </c>
      <c r="DG15" s="1408" t="s">
        <v>3907</v>
      </c>
      <c r="DH15" s="1408" t="s">
        <v>2514</v>
      </c>
      <c r="DI15" s="1408" t="s">
        <v>3979</v>
      </c>
      <c r="DJ15" s="1408" t="s">
        <v>2514</v>
      </c>
      <c r="DK15" s="1408" t="s">
        <v>2707</v>
      </c>
      <c r="DL15" s="1408" t="s">
        <v>2514</v>
      </c>
      <c r="DM15" s="1408" t="s">
        <v>6210</v>
      </c>
      <c r="DN15" s="1408" t="s">
        <v>2514</v>
      </c>
      <c r="DO15" s="1408" t="s">
        <v>4209</v>
      </c>
      <c r="DP15" s="1408" t="s">
        <v>2514</v>
      </c>
      <c r="DQ15" s="1408" t="s">
        <v>2033</v>
      </c>
      <c r="DR15" s="1408" t="s">
        <v>2514</v>
      </c>
      <c r="DS15" s="1408" t="s">
        <v>5702</v>
      </c>
      <c r="DT15" s="1408" t="s">
        <v>2514</v>
      </c>
      <c r="DU15" s="1408" t="s">
        <v>1685</v>
      </c>
      <c r="DV15" s="1408" t="s">
        <v>2514</v>
      </c>
      <c r="DW15" s="1408" t="s">
        <v>5010</v>
      </c>
      <c r="DX15" s="1408" t="s">
        <v>2514</v>
      </c>
      <c r="DY15" s="1408" t="s">
        <v>3417</v>
      </c>
      <c r="DZ15" s="1408" t="s">
        <v>2514</v>
      </c>
      <c r="EA15" s="1408" t="s">
        <v>2016</v>
      </c>
      <c r="EB15" s="1408" t="s">
        <v>2514</v>
      </c>
      <c r="EC15" s="1408" t="s">
        <v>4539</v>
      </c>
      <c r="ED15" s="1408" t="s">
        <v>2514</v>
      </c>
      <c r="EE15" s="1408" t="s">
        <v>3552</v>
      </c>
      <c r="EF15" s="1408" t="s">
        <v>2514</v>
      </c>
      <c r="EG15" s="1408" t="s">
        <v>3322</v>
      </c>
      <c r="EH15" s="1408" t="s">
        <v>2514</v>
      </c>
      <c r="EI15" s="1408" t="s">
        <v>4165</v>
      </c>
      <c r="EJ15" s="1408" t="s">
        <v>2514</v>
      </c>
      <c r="EK15" s="1408" t="s">
        <v>2854</v>
      </c>
      <c r="EL15" s="1408" t="s">
        <v>2514</v>
      </c>
      <c r="EM15" s="1408" t="s">
        <v>6109</v>
      </c>
      <c r="EN15" s="1408" t="s">
        <v>2514</v>
      </c>
      <c r="EO15" s="1408" t="s">
        <v>3400</v>
      </c>
      <c r="EP15" s="1408" t="s">
        <v>2514</v>
      </c>
      <c r="EQ15" s="1408" t="s">
        <v>1804</v>
      </c>
      <c r="ER15" s="1408" t="s">
        <v>2514</v>
      </c>
      <c r="ES15" s="1408" t="s">
        <v>1223</v>
      </c>
      <c r="ET15" s="1408" t="s">
        <v>2514</v>
      </c>
      <c r="EU15" s="1408" t="s">
        <v>2125</v>
      </c>
      <c r="EV15" s="1408" t="s">
        <v>2514</v>
      </c>
      <c r="EW15" s="1408" t="s">
        <v>6160</v>
      </c>
      <c r="EX15" s="1408" t="s">
        <v>2514</v>
      </c>
      <c r="EY15" s="1408" t="s">
        <v>3742</v>
      </c>
      <c r="EZ15" s="1408" t="s">
        <v>2514</v>
      </c>
      <c r="FA15" s="1408" t="s">
        <v>6154</v>
      </c>
      <c r="FB15" s="1408" t="s">
        <v>2514</v>
      </c>
      <c r="FC15" s="1408" t="s">
        <v>2130</v>
      </c>
      <c r="FD15" s="1408" t="s">
        <v>2514</v>
      </c>
      <c r="FE15" s="1408" t="s">
        <v>4993</v>
      </c>
      <c r="FF15" s="1408" t="s">
        <v>2514</v>
      </c>
      <c r="FG15" s="1408" t="s">
        <v>6319</v>
      </c>
      <c r="FH15" s="1408" t="s">
        <v>2514</v>
      </c>
      <c r="FI15" s="1408" t="s">
        <v>6457</v>
      </c>
      <c r="FJ15" s="1408" t="s">
        <v>2514</v>
      </c>
      <c r="FK15" s="1408" t="s">
        <v>1375</v>
      </c>
      <c r="FL15" s="1408" t="s">
        <v>2514</v>
      </c>
      <c r="FM15" s="1408" t="s">
        <v>2670</v>
      </c>
      <c r="FN15" s="1408" t="s">
        <v>2514</v>
      </c>
      <c r="FO15" s="1408" t="s">
        <v>6739</v>
      </c>
      <c r="FP15" s="1408" t="s">
        <v>2514</v>
      </c>
      <c r="FQ15" s="1408" t="s">
        <v>769</v>
      </c>
      <c r="FR15" s="1408" t="s">
        <v>2514</v>
      </c>
      <c r="FS15" s="1408" t="s">
        <v>2422</v>
      </c>
      <c r="FT15" s="1408" t="s">
        <v>2514</v>
      </c>
      <c r="FU15" s="1408" t="s">
        <v>2654</v>
      </c>
      <c r="FV15" s="1408" t="s">
        <v>2514</v>
      </c>
      <c r="FW15" s="1408" t="s">
        <v>4290</v>
      </c>
      <c r="FX15" s="1408" t="s">
        <v>2514</v>
      </c>
      <c r="FY15" s="1408" t="s">
        <v>5317</v>
      </c>
      <c r="FZ15" s="1408" t="s">
        <v>2514</v>
      </c>
      <c r="GA15" s="1408" t="s">
        <v>1990</v>
      </c>
      <c r="GB15" s="1408" t="s">
        <v>2514</v>
      </c>
      <c r="GC15" s="1408" t="s">
        <v>4940</v>
      </c>
      <c r="GD15" s="1408" t="s">
        <v>2514</v>
      </c>
      <c r="GE15" s="1408" t="s">
        <v>4146</v>
      </c>
      <c r="GF15" s="1408" t="s">
        <v>2514</v>
      </c>
      <c r="GG15" s="1408" t="s">
        <v>3043</v>
      </c>
      <c r="GH15" s="1408" t="s">
        <v>2514</v>
      </c>
      <c r="GI15" s="1408" t="s">
        <v>3452</v>
      </c>
      <c r="GJ15" s="1408" t="s">
        <v>2514</v>
      </c>
      <c r="GK15" s="1408" t="s">
        <v>291</v>
      </c>
      <c r="GL15" s="1408" t="s">
        <v>2514</v>
      </c>
      <c r="GM15" s="1408" t="s">
        <v>3302</v>
      </c>
      <c r="GN15" s="1408" t="s">
        <v>2514</v>
      </c>
      <c r="GO15" s="1408" t="s">
        <v>466</v>
      </c>
      <c r="GP15" s="1408" t="s">
        <v>2514</v>
      </c>
      <c r="GQ15" s="1408" t="s">
        <v>2645</v>
      </c>
      <c r="GR15" s="1408" t="s">
        <v>2514</v>
      </c>
      <c r="GS15" s="1408" t="s">
        <v>1221</v>
      </c>
      <c r="GT15" s="1408" t="s">
        <v>2514</v>
      </c>
      <c r="GU15" s="1408" t="s">
        <v>1326</v>
      </c>
      <c r="GV15" s="1408" t="s">
        <v>2514</v>
      </c>
      <c r="GW15" s="1408" t="s">
        <v>2945</v>
      </c>
      <c r="GX15" s="1408" t="s">
        <v>2514</v>
      </c>
      <c r="GY15" s="1408" t="s">
        <v>6081</v>
      </c>
      <c r="GZ15" s="1408" t="s">
        <v>2514</v>
      </c>
      <c r="HA15" s="1408" t="s">
        <v>1695</v>
      </c>
      <c r="HB15" s="1408" t="s">
        <v>2514</v>
      </c>
      <c r="HC15" s="1408" t="s">
        <v>1084</v>
      </c>
      <c r="HD15" s="1408" t="s">
        <v>2514</v>
      </c>
      <c r="HE15" s="1408" t="s">
        <v>1442</v>
      </c>
      <c r="HF15" s="1408" t="s">
        <v>2514</v>
      </c>
      <c r="HG15" s="1408" t="s">
        <v>4173</v>
      </c>
      <c r="HH15" s="1408" t="s">
        <v>2514</v>
      </c>
      <c r="HI15" s="1408" t="s">
        <v>3106</v>
      </c>
      <c r="HJ15" s="1408" t="s">
        <v>2514</v>
      </c>
      <c r="HK15" s="1408" t="s">
        <v>696</v>
      </c>
      <c r="HL15" s="1408" t="s">
        <v>2514</v>
      </c>
      <c r="HM15" s="1408" t="s">
        <v>227</v>
      </c>
      <c r="HN15" s="1408" t="s">
        <v>2514</v>
      </c>
      <c r="HO15" s="1408" t="s">
        <v>2984</v>
      </c>
      <c r="HP15" s="1408" t="s">
        <v>2514</v>
      </c>
      <c r="HQ15" s="1408" t="s">
        <v>2683</v>
      </c>
      <c r="HR15" s="1408" t="s">
        <v>2514</v>
      </c>
      <c r="HS15" s="1408" t="s">
        <v>1742</v>
      </c>
      <c r="HT15" s="1408" t="s">
        <v>2514</v>
      </c>
      <c r="HU15" s="1408" t="s">
        <v>5315</v>
      </c>
      <c r="HV15" s="1408" t="s">
        <v>2514</v>
      </c>
      <c r="HW15" s="1408" t="s">
        <v>6423</v>
      </c>
      <c r="HX15" s="1408" t="s">
        <v>2514</v>
      </c>
      <c r="HY15" s="1408" t="s">
        <v>1105</v>
      </c>
      <c r="HZ15" s="1408" t="s">
        <v>2514</v>
      </c>
      <c r="IA15" s="1408" t="s">
        <v>6884</v>
      </c>
      <c r="IB15" s="1408" t="s">
        <v>2514</v>
      </c>
      <c r="IC15" s="1408" t="s">
        <v>4562</v>
      </c>
      <c r="ID15" s="1408" t="s">
        <v>2514</v>
      </c>
      <c r="IE15" s="1408" t="s">
        <v>4872</v>
      </c>
      <c r="IF15" s="1408" t="s">
        <v>2514</v>
      </c>
      <c r="IG15" s="1408" t="s">
        <v>1475</v>
      </c>
      <c r="IH15" s="1408" t="s">
        <v>2514</v>
      </c>
      <c r="II15" s="1408" t="s">
        <v>1291</v>
      </c>
      <c r="IJ15" s="1408" t="s">
        <v>2514</v>
      </c>
      <c r="IK15" s="1408" t="s">
        <v>1144</v>
      </c>
      <c r="IL15" s="1408" t="s">
        <v>2514</v>
      </c>
      <c r="IM15" s="1408" t="s">
        <v>1521</v>
      </c>
      <c r="IN15" s="1408" t="s">
        <v>2514</v>
      </c>
      <c r="IO15" s="1408" t="s">
        <v>1758</v>
      </c>
      <c r="IP15" s="1408" t="s">
        <v>2514</v>
      </c>
      <c r="IQ15" s="1408" t="s">
        <v>4547</v>
      </c>
      <c r="IR15" s="1408" t="s">
        <v>2514</v>
      </c>
      <c r="IS15" s="1408" t="s">
        <v>1179</v>
      </c>
      <c r="IT15" s="1408" t="s">
        <v>2514</v>
      </c>
      <c r="IU15" s="1408" t="s">
        <v>3943</v>
      </c>
      <c r="IV15" s="1408" t="s">
        <v>2514</v>
      </c>
    </row>
    <row r="16" spans="1:256" s="1408" customFormat="1">
      <c r="A16" s="1408" t="s">
        <v>1149</v>
      </c>
      <c r="B16" s="1408" t="s">
        <v>2514</v>
      </c>
      <c r="C16" s="1408" t="s">
        <v>2009</v>
      </c>
      <c r="D16" s="1408" t="s">
        <v>2514</v>
      </c>
      <c r="E16" s="1408" t="s">
        <v>6939</v>
      </c>
      <c r="F16" s="1408" t="s">
        <v>2514</v>
      </c>
      <c r="G16" s="1408" t="s">
        <v>4879</v>
      </c>
      <c r="H16" s="1408" t="s">
        <v>2514</v>
      </c>
      <c r="I16" s="1408" t="s">
        <v>2880</v>
      </c>
      <c r="J16" s="1408" t="s">
        <v>2514</v>
      </c>
      <c r="K16" s="1408" t="s">
        <v>2846</v>
      </c>
      <c r="L16" s="1408" t="s">
        <v>2514</v>
      </c>
      <c r="M16" s="1408" t="s">
        <v>2581</v>
      </c>
      <c r="N16" s="1408" t="s">
        <v>2514</v>
      </c>
      <c r="O16" s="1408" t="s">
        <v>3023</v>
      </c>
      <c r="P16" s="1408" t="s">
        <v>2514</v>
      </c>
      <c r="Q16" s="1408" t="s">
        <v>6401</v>
      </c>
      <c r="R16" s="1408" t="s">
        <v>2514</v>
      </c>
      <c r="S16" s="1408" t="s">
        <v>572</v>
      </c>
      <c r="T16" s="1408" t="s">
        <v>2514</v>
      </c>
      <c r="U16" s="1408" t="s">
        <v>3931</v>
      </c>
      <c r="V16" s="1408" t="s">
        <v>2514</v>
      </c>
      <c r="W16" s="1408" t="s">
        <v>2536</v>
      </c>
      <c r="X16" s="1408" t="s">
        <v>2514</v>
      </c>
      <c r="Y16" s="1408" t="s">
        <v>1279</v>
      </c>
      <c r="Z16" s="1408" t="s">
        <v>2514</v>
      </c>
      <c r="AA16" s="1408" t="s">
        <v>3061</v>
      </c>
      <c r="AB16" s="1408" t="s">
        <v>2514</v>
      </c>
      <c r="AC16" s="1408" t="s">
        <v>4611</v>
      </c>
      <c r="AD16" s="1408" t="s">
        <v>2514</v>
      </c>
      <c r="AE16" s="1408" t="s">
        <v>1824</v>
      </c>
      <c r="AF16" s="1408" t="s">
        <v>2514</v>
      </c>
      <c r="AG16" s="1408" t="s">
        <v>3746</v>
      </c>
      <c r="AH16" s="1408" t="s">
        <v>2514</v>
      </c>
      <c r="AI16" s="1408" t="s">
        <v>1196</v>
      </c>
      <c r="AJ16" s="1408" t="s">
        <v>2514</v>
      </c>
      <c r="AK16" s="1408" t="s">
        <v>4427</v>
      </c>
      <c r="AL16" s="1408" t="s">
        <v>2514</v>
      </c>
      <c r="AM16" s="1408" t="s">
        <v>122</v>
      </c>
      <c r="AN16" s="1408" t="s">
        <v>2514</v>
      </c>
      <c r="AO16" s="1408" t="s">
        <v>2646</v>
      </c>
      <c r="AP16" s="1408" t="s">
        <v>2514</v>
      </c>
      <c r="AQ16" s="1408" t="s">
        <v>4318</v>
      </c>
      <c r="AR16" s="1408" t="s">
        <v>2514</v>
      </c>
      <c r="AS16" s="1408" t="s">
        <v>5092</v>
      </c>
      <c r="AT16" s="1408" t="s">
        <v>2514</v>
      </c>
      <c r="AU16" s="1408" t="s">
        <v>4201</v>
      </c>
      <c r="AV16" s="1408" t="s">
        <v>2514</v>
      </c>
      <c r="AW16" s="1408" t="s">
        <v>3078</v>
      </c>
      <c r="AX16" s="1408" t="s">
        <v>2514</v>
      </c>
      <c r="AY16" s="1408" t="s">
        <v>6203</v>
      </c>
      <c r="AZ16" s="1408" t="s">
        <v>2514</v>
      </c>
      <c r="BA16" s="1408" t="s">
        <v>6820</v>
      </c>
      <c r="BB16" s="1408" t="s">
        <v>2514</v>
      </c>
      <c r="BC16" s="1408" t="s">
        <v>4790</v>
      </c>
      <c r="BD16" s="1408" t="s">
        <v>2514</v>
      </c>
      <c r="BE16" s="1408" t="s">
        <v>3955</v>
      </c>
      <c r="BF16" s="1408" t="s">
        <v>2514</v>
      </c>
      <c r="BG16" s="1408" t="s">
        <v>4913</v>
      </c>
      <c r="BH16" s="1408" t="s">
        <v>2514</v>
      </c>
      <c r="BI16" s="1408" t="s">
        <v>1866</v>
      </c>
      <c r="BJ16" s="1408" t="s">
        <v>2514</v>
      </c>
      <c r="BK16" s="1408" t="s">
        <v>269</v>
      </c>
      <c r="BL16" s="1408" t="s">
        <v>2514</v>
      </c>
      <c r="BM16" s="1408" t="s">
        <v>358</v>
      </c>
      <c r="BN16" s="1408" t="s">
        <v>2514</v>
      </c>
      <c r="BO16" s="1408" t="s">
        <v>4025</v>
      </c>
      <c r="BP16" s="1408" t="s">
        <v>2514</v>
      </c>
      <c r="BQ16" s="1408" t="s">
        <v>2281</v>
      </c>
      <c r="BR16" s="1408" t="s">
        <v>2514</v>
      </c>
      <c r="BS16" s="1408" t="s">
        <v>2527</v>
      </c>
      <c r="BT16" s="1408" t="s">
        <v>2514</v>
      </c>
      <c r="BU16" s="1408" t="s">
        <v>1900</v>
      </c>
      <c r="BV16" s="1408" t="s">
        <v>2514</v>
      </c>
      <c r="BW16" s="1408" t="s">
        <v>4010</v>
      </c>
      <c r="BX16" s="1408" t="s">
        <v>2514</v>
      </c>
      <c r="BY16" s="1408" t="s">
        <v>2291</v>
      </c>
      <c r="BZ16" s="1408" t="s">
        <v>2514</v>
      </c>
      <c r="CA16" s="1408" t="s">
        <v>5594</v>
      </c>
      <c r="CB16" s="1408" t="s">
        <v>2514</v>
      </c>
      <c r="CC16" s="1408" t="s">
        <v>4893</v>
      </c>
      <c r="CD16" s="1408" t="s">
        <v>2514</v>
      </c>
      <c r="CE16" s="1408" t="s">
        <v>5524</v>
      </c>
      <c r="CF16" s="1408" t="s">
        <v>2514</v>
      </c>
      <c r="CG16" s="1408" t="s">
        <v>823</v>
      </c>
      <c r="CH16" s="1408" t="s">
        <v>2514</v>
      </c>
      <c r="CI16" s="1408" t="s">
        <v>5694</v>
      </c>
      <c r="CJ16" s="1408" t="s">
        <v>2514</v>
      </c>
      <c r="CK16" s="1408" t="s">
        <v>1888</v>
      </c>
      <c r="CL16" s="1408" t="s">
        <v>2514</v>
      </c>
      <c r="CM16" s="1408" t="s">
        <v>5322</v>
      </c>
      <c r="CN16" s="1408" t="s">
        <v>2514</v>
      </c>
      <c r="CO16" s="1408" t="s">
        <v>3444</v>
      </c>
      <c r="CP16" s="1408" t="s">
        <v>2514</v>
      </c>
      <c r="CQ16" s="1408" t="s">
        <v>5481</v>
      </c>
      <c r="CR16" s="1408" t="s">
        <v>2514</v>
      </c>
      <c r="CS16" s="1408" t="s">
        <v>28</v>
      </c>
      <c r="CT16" s="1408" t="s">
        <v>2514</v>
      </c>
      <c r="CU16" s="1408" t="s">
        <v>2369</v>
      </c>
      <c r="CV16" s="1408" t="s">
        <v>2514</v>
      </c>
      <c r="CW16" s="1408" t="s">
        <v>3199</v>
      </c>
      <c r="CX16" s="1408" t="s">
        <v>2514</v>
      </c>
      <c r="CY16" s="1408" t="s">
        <v>5077</v>
      </c>
      <c r="CZ16" s="1408" t="s">
        <v>2514</v>
      </c>
      <c r="DA16" s="1408" t="s">
        <v>464</v>
      </c>
      <c r="DB16" s="1408" t="s">
        <v>2514</v>
      </c>
      <c r="DC16" s="1408" t="s">
        <v>1062</v>
      </c>
      <c r="DD16" s="1408" t="s">
        <v>2514</v>
      </c>
      <c r="DE16" s="1408" t="s">
        <v>1583</v>
      </c>
      <c r="DF16" s="1408" t="s">
        <v>2514</v>
      </c>
      <c r="DG16" s="1408" t="s">
        <v>3856</v>
      </c>
      <c r="DH16" s="1408" t="s">
        <v>2514</v>
      </c>
      <c r="DI16" s="1408" t="s">
        <v>6917</v>
      </c>
      <c r="DJ16" s="1408" t="s">
        <v>2514</v>
      </c>
      <c r="DK16" s="1408" t="s">
        <v>5345</v>
      </c>
      <c r="DL16" s="1408" t="s">
        <v>2514</v>
      </c>
      <c r="DM16" s="1408" t="s">
        <v>3041</v>
      </c>
      <c r="DN16" s="1408" t="s">
        <v>2514</v>
      </c>
      <c r="DO16" s="1408" t="s">
        <v>2189</v>
      </c>
      <c r="DP16" s="1408" t="s">
        <v>2514</v>
      </c>
      <c r="DQ16" s="1408" t="s">
        <v>2644</v>
      </c>
      <c r="DR16" s="1408" t="s">
        <v>2514</v>
      </c>
      <c r="DS16" s="1408" t="s">
        <v>2586</v>
      </c>
      <c r="DT16" s="1408" t="s">
        <v>2514</v>
      </c>
      <c r="DU16" s="1408" t="s">
        <v>5823</v>
      </c>
      <c r="DV16" s="1408" t="s">
        <v>2514</v>
      </c>
      <c r="DW16" s="1408" t="s">
        <v>79</v>
      </c>
      <c r="DX16" s="1408" t="s">
        <v>2514</v>
      </c>
      <c r="DY16" s="1408" t="s">
        <v>5227</v>
      </c>
      <c r="DZ16" s="1408" t="s">
        <v>2514</v>
      </c>
      <c r="EA16" s="1408" t="s">
        <v>4210</v>
      </c>
      <c r="EB16" s="1408" t="s">
        <v>2514</v>
      </c>
      <c r="EC16" s="1408" t="s">
        <v>6035</v>
      </c>
      <c r="ED16" s="1408" t="s">
        <v>2514</v>
      </c>
      <c r="EE16" s="1408" t="s">
        <v>2170</v>
      </c>
      <c r="EF16" s="1408" t="s">
        <v>2514</v>
      </c>
      <c r="EG16" s="1408" t="s">
        <v>3310</v>
      </c>
      <c r="EH16" s="1408" t="s">
        <v>2514</v>
      </c>
      <c r="EI16" s="1408" t="s">
        <v>1256</v>
      </c>
      <c r="EJ16" s="1408" t="s">
        <v>2514</v>
      </c>
      <c r="EK16" s="1408" t="s">
        <v>3621</v>
      </c>
      <c r="EL16" s="1408" t="s">
        <v>2514</v>
      </c>
      <c r="EM16" s="1408" t="s">
        <v>5472</v>
      </c>
      <c r="EN16" s="1408" t="s">
        <v>2514</v>
      </c>
      <c r="EO16" s="1408" t="s">
        <v>1134</v>
      </c>
      <c r="EP16" s="1408" t="s">
        <v>2514</v>
      </c>
      <c r="EQ16" s="1408" t="s">
        <v>2620</v>
      </c>
      <c r="ER16" s="1408" t="s">
        <v>2514</v>
      </c>
      <c r="ES16" s="1408" t="s">
        <v>4966</v>
      </c>
      <c r="ET16" s="1408" t="s">
        <v>2514</v>
      </c>
      <c r="EU16" s="1408" t="s">
        <v>5084</v>
      </c>
      <c r="EV16" s="1408" t="s">
        <v>2514</v>
      </c>
      <c r="EW16" s="1408" t="s">
        <v>4230</v>
      </c>
      <c r="EX16" s="1408" t="s">
        <v>2514</v>
      </c>
      <c r="EY16" s="1408" t="s">
        <v>6546</v>
      </c>
      <c r="EZ16" s="1408" t="s">
        <v>2514</v>
      </c>
      <c r="FA16" s="1408" t="s">
        <v>5036</v>
      </c>
      <c r="FB16" s="1408" t="s">
        <v>2514</v>
      </c>
      <c r="FC16" s="1408" t="s">
        <v>248</v>
      </c>
      <c r="FD16" s="1408" t="s">
        <v>2514</v>
      </c>
      <c r="FE16" s="1408" t="s">
        <v>4982</v>
      </c>
      <c r="FF16" s="1408" t="s">
        <v>2514</v>
      </c>
      <c r="FG16" s="1408" t="s">
        <v>2349</v>
      </c>
      <c r="FH16" s="1408" t="s">
        <v>2514</v>
      </c>
      <c r="FI16" s="1408" t="s">
        <v>740</v>
      </c>
      <c r="FJ16" s="1408" t="s">
        <v>2514</v>
      </c>
      <c r="FK16" s="1408" t="s">
        <v>6393</v>
      </c>
      <c r="FL16" s="1408" t="s">
        <v>2514</v>
      </c>
      <c r="FM16" s="1408" t="s">
        <v>4892</v>
      </c>
      <c r="FN16" s="1408" t="s">
        <v>2514</v>
      </c>
      <c r="FO16" s="1408" t="s">
        <v>4329</v>
      </c>
      <c r="FP16" s="1408" t="s">
        <v>2514</v>
      </c>
      <c r="FQ16" s="1408" t="s">
        <v>5559</v>
      </c>
      <c r="FR16" s="1408" t="s">
        <v>2514</v>
      </c>
      <c r="FS16" s="1408" t="s">
        <v>2650</v>
      </c>
      <c r="FT16" s="1408" t="s">
        <v>2514</v>
      </c>
      <c r="FU16" s="1408" t="s">
        <v>1664</v>
      </c>
      <c r="FV16" s="1408" t="s">
        <v>2514</v>
      </c>
      <c r="FW16" s="1408" t="s">
        <v>3604</v>
      </c>
      <c r="FX16" s="1408" t="s">
        <v>2514</v>
      </c>
      <c r="FY16" s="1408" t="s">
        <v>4231</v>
      </c>
      <c r="FZ16" s="1408" t="s">
        <v>2514</v>
      </c>
      <c r="GA16" s="1408" t="s">
        <v>797</v>
      </c>
      <c r="GB16" s="1408" t="s">
        <v>2514</v>
      </c>
      <c r="GC16" s="1408" t="s">
        <v>2471</v>
      </c>
      <c r="GD16" s="1408" t="s">
        <v>2514</v>
      </c>
      <c r="GE16" s="1408" t="s">
        <v>5488</v>
      </c>
      <c r="GF16" s="1408" t="s">
        <v>2514</v>
      </c>
      <c r="GG16" s="1408" t="s">
        <v>1126</v>
      </c>
      <c r="GH16" s="1408" t="s">
        <v>2514</v>
      </c>
      <c r="GI16" s="1408" t="s">
        <v>5743</v>
      </c>
      <c r="GJ16" s="1408" t="s">
        <v>2514</v>
      </c>
      <c r="GK16" s="1408" t="s">
        <v>808</v>
      </c>
      <c r="GL16" s="1408" t="s">
        <v>2514</v>
      </c>
      <c r="GM16" s="1408" t="s">
        <v>283</v>
      </c>
      <c r="GN16" s="1408" t="s">
        <v>2514</v>
      </c>
      <c r="GO16" s="1408" t="s">
        <v>4671</v>
      </c>
      <c r="GP16" s="1408" t="s">
        <v>2514</v>
      </c>
      <c r="GQ16" s="1408" t="s">
        <v>3066</v>
      </c>
      <c r="GR16" s="1408" t="s">
        <v>2514</v>
      </c>
      <c r="GS16" s="1408" t="s">
        <v>5104</v>
      </c>
      <c r="GT16" s="1408" t="s">
        <v>2514</v>
      </c>
      <c r="GU16" s="1408" t="s">
        <v>3082</v>
      </c>
      <c r="GV16" s="1408" t="s">
        <v>2514</v>
      </c>
      <c r="GW16" s="1408" t="s">
        <v>4469</v>
      </c>
      <c r="GX16" s="1408" t="s">
        <v>2514</v>
      </c>
      <c r="GY16" s="1408" t="s">
        <v>6464</v>
      </c>
      <c r="GZ16" s="1408" t="s">
        <v>2514</v>
      </c>
      <c r="HA16" s="1408" t="s">
        <v>2730</v>
      </c>
      <c r="HB16" s="1408" t="s">
        <v>2514</v>
      </c>
      <c r="HC16" s="1408" t="s">
        <v>2780</v>
      </c>
      <c r="HD16" s="1408" t="s">
        <v>2514</v>
      </c>
      <c r="HE16" s="1408" t="s">
        <v>2622</v>
      </c>
      <c r="HF16" s="1408" t="s">
        <v>2514</v>
      </c>
      <c r="HG16" s="1408" t="s">
        <v>4413</v>
      </c>
      <c r="HH16" s="1408" t="s">
        <v>2514</v>
      </c>
      <c r="HI16" s="1408" t="s">
        <v>5856</v>
      </c>
      <c r="HJ16" s="1408" t="s">
        <v>2514</v>
      </c>
      <c r="HK16" s="1408" t="s">
        <v>6508</v>
      </c>
      <c r="HL16" s="1408" t="s">
        <v>2514</v>
      </c>
      <c r="HM16" s="1408" t="s">
        <v>4657</v>
      </c>
      <c r="HN16" s="1408" t="s">
        <v>2514</v>
      </c>
      <c r="HO16" s="1408" t="s">
        <v>1228</v>
      </c>
      <c r="HP16" s="1408" t="s">
        <v>2514</v>
      </c>
      <c r="HQ16" s="1408" t="s">
        <v>512</v>
      </c>
      <c r="HR16" s="1408" t="s">
        <v>2514</v>
      </c>
      <c r="HS16" s="1408" t="s">
        <v>3134</v>
      </c>
      <c r="HT16" s="1408" t="s">
        <v>2514</v>
      </c>
      <c r="HU16" s="1408" t="s">
        <v>4510</v>
      </c>
      <c r="HV16" s="1408" t="s">
        <v>2514</v>
      </c>
      <c r="HW16" s="1408" t="s">
        <v>453</v>
      </c>
      <c r="HX16" s="1408" t="s">
        <v>2514</v>
      </c>
      <c r="HY16" s="1408" t="s">
        <v>5537</v>
      </c>
      <c r="HZ16" s="1408" t="s">
        <v>2514</v>
      </c>
      <c r="IA16" s="1408" t="s">
        <v>5609</v>
      </c>
      <c r="IB16" s="1408" t="s">
        <v>2514</v>
      </c>
      <c r="IC16" s="1408" t="s">
        <v>1844</v>
      </c>
      <c r="ID16" s="1408" t="s">
        <v>2514</v>
      </c>
      <c r="IE16" s="1408" t="s">
        <v>1019</v>
      </c>
      <c r="IF16" s="1408" t="s">
        <v>2514</v>
      </c>
      <c r="IG16" s="1408" t="s">
        <v>3368</v>
      </c>
      <c r="IH16" s="1408" t="s">
        <v>2514</v>
      </c>
      <c r="II16" s="1408" t="s">
        <v>5127</v>
      </c>
      <c r="IJ16" s="1408" t="s">
        <v>2514</v>
      </c>
      <c r="IK16" s="1408" t="s">
        <v>6887</v>
      </c>
      <c r="IL16" s="1408" t="s">
        <v>2514</v>
      </c>
      <c r="IM16" s="1408" t="s">
        <v>6954</v>
      </c>
      <c r="IN16" s="1408" t="s">
        <v>2514</v>
      </c>
      <c r="IO16" s="1408" t="s">
        <v>4721</v>
      </c>
      <c r="IP16" s="1408" t="s">
        <v>2514</v>
      </c>
      <c r="IQ16" s="1408" t="s">
        <v>3655</v>
      </c>
      <c r="IR16" s="1408" t="s">
        <v>2514</v>
      </c>
      <c r="IS16" s="1408" t="s">
        <v>677</v>
      </c>
      <c r="IT16" s="1408" t="s">
        <v>2514</v>
      </c>
      <c r="IU16" s="1408" t="s">
        <v>1986</v>
      </c>
      <c r="IV16" s="1408" t="s">
        <v>2514</v>
      </c>
    </row>
    <row r="17" spans="1:256" s="1408" customFormat="1">
      <c r="A17" s="1408" t="s">
        <v>3054</v>
      </c>
      <c r="B17" s="1408" t="s">
        <v>2514</v>
      </c>
      <c r="C17" s="1408" t="s">
        <v>6460</v>
      </c>
      <c r="D17" s="1408" t="s">
        <v>2514</v>
      </c>
      <c r="E17" s="1408" t="s">
        <v>5951</v>
      </c>
      <c r="F17" s="1408" t="s">
        <v>2514</v>
      </c>
      <c r="G17" s="1408" t="s">
        <v>76</v>
      </c>
      <c r="H17" s="1408" t="s">
        <v>2514</v>
      </c>
      <c r="I17" s="1408" t="s">
        <v>57</v>
      </c>
      <c r="J17" s="1408" t="s">
        <v>2514</v>
      </c>
      <c r="K17" s="1408" t="s">
        <v>324</v>
      </c>
      <c r="L17" s="1408" t="s">
        <v>2514</v>
      </c>
      <c r="M17" s="1408" t="s">
        <v>2273</v>
      </c>
      <c r="N17" s="1408" t="s">
        <v>2514</v>
      </c>
      <c r="O17" s="1408" t="s">
        <v>1945</v>
      </c>
      <c r="P17" s="1408" t="s">
        <v>2514</v>
      </c>
      <c r="Q17" s="1408" t="s">
        <v>164</v>
      </c>
      <c r="R17" s="1408" t="s">
        <v>2514</v>
      </c>
      <c r="S17" s="1408" t="s">
        <v>3729</v>
      </c>
      <c r="T17" s="1408" t="s">
        <v>2514</v>
      </c>
      <c r="U17" s="1408" t="s">
        <v>359</v>
      </c>
      <c r="V17" s="1408" t="s">
        <v>2514</v>
      </c>
      <c r="W17" s="1408" t="s">
        <v>4212</v>
      </c>
      <c r="X17" s="1408" t="s">
        <v>2514</v>
      </c>
      <c r="Y17" s="1408" t="s">
        <v>5085</v>
      </c>
      <c r="Z17" s="1408" t="s">
        <v>2514</v>
      </c>
      <c r="AA17" s="1408" t="s">
        <v>4004</v>
      </c>
      <c r="AB17" s="1408" t="s">
        <v>2514</v>
      </c>
      <c r="AC17" s="1408" t="s">
        <v>6005</v>
      </c>
      <c r="AD17" s="1408" t="s">
        <v>2514</v>
      </c>
      <c r="AE17" s="1408" t="s">
        <v>2090</v>
      </c>
      <c r="AF17" s="1408" t="s">
        <v>2514</v>
      </c>
      <c r="AG17" s="1408" t="s">
        <v>6390</v>
      </c>
      <c r="AH17" s="1408" t="s">
        <v>2514</v>
      </c>
      <c r="AI17" s="1408" t="s">
        <v>5898</v>
      </c>
      <c r="AJ17" s="1408" t="s">
        <v>2514</v>
      </c>
      <c r="AK17" s="1408" t="s">
        <v>1615</v>
      </c>
      <c r="AL17" s="1408" t="s">
        <v>2514</v>
      </c>
      <c r="AM17" s="1408" t="s">
        <v>1097</v>
      </c>
      <c r="AN17" s="1408" t="s">
        <v>2514</v>
      </c>
      <c r="AO17" s="1408" t="s">
        <v>3769</v>
      </c>
      <c r="AP17" s="1408" t="s">
        <v>2514</v>
      </c>
      <c r="AQ17" s="1408" t="s">
        <v>6217</v>
      </c>
      <c r="AR17" s="1408" t="s">
        <v>2514</v>
      </c>
      <c r="AS17" s="1408" t="s">
        <v>5891</v>
      </c>
      <c r="AT17" s="1408" t="s">
        <v>2514</v>
      </c>
      <c r="AU17" s="1408" t="s">
        <v>1619</v>
      </c>
      <c r="AV17" s="1408" t="s">
        <v>2514</v>
      </c>
      <c r="AW17" s="1408" t="s">
        <v>803</v>
      </c>
      <c r="AX17" s="1408" t="s">
        <v>2514</v>
      </c>
      <c r="AY17" s="1408" t="s">
        <v>6197</v>
      </c>
      <c r="AZ17" s="1408" t="s">
        <v>2514</v>
      </c>
      <c r="BA17" s="1408" t="s">
        <v>4161</v>
      </c>
      <c r="BB17" s="1408" t="s">
        <v>2514</v>
      </c>
      <c r="BC17" s="1408" t="s">
        <v>5788</v>
      </c>
      <c r="BD17" s="1408" t="s">
        <v>2514</v>
      </c>
      <c r="BE17" s="1408" t="s">
        <v>2042</v>
      </c>
      <c r="BF17" s="1408" t="s">
        <v>2514</v>
      </c>
      <c r="BG17" s="1408" t="s">
        <v>6400</v>
      </c>
      <c r="BH17" s="1408" t="s">
        <v>2514</v>
      </c>
      <c r="BI17" s="1408" t="s">
        <v>6671</v>
      </c>
      <c r="BJ17" s="1408" t="s">
        <v>2514</v>
      </c>
      <c r="BK17" s="1408" t="s">
        <v>82</v>
      </c>
      <c r="BL17" s="1408" t="s">
        <v>2514</v>
      </c>
      <c r="BM17" s="1408" t="s">
        <v>205</v>
      </c>
      <c r="BN17" s="1408" t="s">
        <v>2514</v>
      </c>
      <c r="BO17" s="1408" t="s">
        <v>2142</v>
      </c>
      <c r="BP17" s="1408" t="s">
        <v>2514</v>
      </c>
      <c r="BQ17" s="1408" t="s">
        <v>928</v>
      </c>
      <c r="BR17" s="1408" t="s">
        <v>2514</v>
      </c>
      <c r="BS17" s="1408" t="s">
        <v>6307</v>
      </c>
      <c r="BT17" s="1408" t="s">
        <v>2514</v>
      </c>
      <c r="BU17" s="1408" t="s">
        <v>744</v>
      </c>
      <c r="BV17" s="1408" t="s">
        <v>2514</v>
      </c>
      <c r="BW17" s="1408" t="s">
        <v>4439</v>
      </c>
      <c r="BX17" s="1408" t="s">
        <v>2514</v>
      </c>
      <c r="BY17" s="1408" t="s">
        <v>4927</v>
      </c>
      <c r="BZ17" s="1408" t="s">
        <v>2514</v>
      </c>
      <c r="CA17" s="1408" t="s">
        <v>2465</v>
      </c>
      <c r="CB17" s="1408" t="s">
        <v>2514</v>
      </c>
      <c r="CC17" s="1408" t="s">
        <v>1170</v>
      </c>
      <c r="CD17" s="1408" t="s">
        <v>2514</v>
      </c>
      <c r="CE17" s="1408" t="s">
        <v>4629</v>
      </c>
      <c r="CF17" s="1408" t="s">
        <v>2514</v>
      </c>
      <c r="CG17" s="1408" t="s">
        <v>5351</v>
      </c>
      <c r="CH17" s="1408" t="s">
        <v>2514</v>
      </c>
      <c r="CI17" s="1408" t="s">
        <v>1454</v>
      </c>
      <c r="CJ17" s="1408" t="s">
        <v>2514</v>
      </c>
      <c r="CK17" s="1408" t="s">
        <v>3405</v>
      </c>
      <c r="CL17" s="1408" t="s">
        <v>2514</v>
      </c>
      <c r="CM17" s="1408" t="s">
        <v>2522</v>
      </c>
      <c r="CN17" s="1408" t="s">
        <v>2514</v>
      </c>
      <c r="CO17" s="1408" t="s">
        <v>1420</v>
      </c>
      <c r="CP17" s="1408" t="s">
        <v>2514</v>
      </c>
      <c r="CQ17" s="1408" t="s">
        <v>2983</v>
      </c>
      <c r="CR17" s="1408" t="s">
        <v>2514</v>
      </c>
      <c r="CS17" s="1408" t="s">
        <v>5025</v>
      </c>
      <c r="CT17" s="1408" t="s">
        <v>2514</v>
      </c>
      <c r="CU17" s="1408" t="s">
        <v>4710</v>
      </c>
      <c r="CV17" s="1408" t="s">
        <v>2514</v>
      </c>
      <c r="CW17" s="1408" t="s">
        <v>459</v>
      </c>
      <c r="CX17" s="1408" t="s">
        <v>2514</v>
      </c>
      <c r="CY17" s="1408" t="s">
        <v>587</v>
      </c>
      <c r="CZ17" s="1408" t="s">
        <v>2514</v>
      </c>
      <c r="DA17" s="1408" t="s">
        <v>3678</v>
      </c>
      <c r="DB17" s="1408" t="s">
        <v>2514</v>
      </c>
      <c r="DC17" s="1408" t="s">
        <v>3740</v>
      </c>
      <c r="DD17" s="1408" t="s">
        <v>2514</v>
      </c>
      <c r="DE17" s="1408" t="s">
        <v>4839</v>
      </c>
      <c r="DF17" s="1408" t="s">
        <v>2514</v>
      </c>
      <c r="DG17" s="1408" t="s">
        <v>1656</v>
      </c>
      <c r="DH17" s="1408" t="s">
        <v>2514</v>
      </c>
      <c r="DI17" s="1408" t="s">
        <v>1863</v>
      </c>
      <c r="DJ17" s="1408" t="s">
        <v>2514</v>
      </c>
      <c r="DK17" s="1408" t="s">
        <v>3049</v>
      </c>
      <c r="DL17" s="1408" t="s">
        <v>2514</v>
      </c>
      <c r="DM17" s="1408" t="s">
        <v>2951</v>
      </c>
      <c r="DN17" s="1408" t="s">
        <v>2514</v>
      </c>
      <c r="DO17" s="1408" t="s">
        <v>3874</v>
      </c>
      <c r="DP17" s="1408" t="s">
        <v>2514</v>
      </c>
      <c r="DQ17" s="1408" t="s">
        <v>5600</v>
      </c>
      <c r="DR17" s="1408" t="s">
        <v>2514</v>
      </c>
      <c r="DS17" s="1408" t="s">
        <v>5329</v>
      </c>
      <c r="DT17" s="1408" t="s">
        <v>2514</v>
      </c>
      <c r="DU17" s="1408" t="s">
        <v>402</v>
      </c>
      <c r="DV17" s="1408" t="s">
        <v>2514</v>
      </c>
      <c r="DW17" s="1408" t="s">
        <v>4630</v>
      </c>
      <c r="DX17" s="1408" t="s">
        <v>2514</v>
      </c>
      <c r="DY17" s="1408" t="s">
        <v>4446</v>
      </c>
      <c r="DZ17" s="1408" t="s">
        <v>2514</v>
      </c>
      <c r="EA17" s="1408" t="s">
        <v>4055</v>
      </c>
      <c r="EB17" s="1408" t="s">
        <v>2514</v>
      </c>
      <c r="EC17" s="1408" t="s">
        <v>6716</v>
      </c>
      <c r="ED17" s="1408" t="s">
        <v>2514</v>
      </c>
      <c r="EE17" s="1408" t="s">
        <v>4371</v>
      </c>
      <c r="EF17" s="1408" t="s">
        <v>2514</v>
      </c>
      <c r="EG17" s="1408" t="s">
        <v>5834</v>
      </c>
      <c r="EH17" s="1408" t="s">
        <v>2514</v>
      </c>
      <c r="EI17" s="1408" t="s">
        <v>1762</v>
      </c>
      <c r="EJ17" s="1408" t="s">
        <v>2514</v>
      </c>
      <c r="EK17" s="1408" t="s">
        <v>2029</v>
      </c>
      <c r="EL17" s="1408" t="s">
        <v>2514</v>
      </c>
      <c r="EM17" s="1408" t="s">
        <v>606</v>
      </c>
      <c r="EN17" s="1408" t="s">
        <v>2514</v>
      </c>
      <c r="EO17" s="1408" t="s">
        <v>2840</v>
      </c>
      <c r="EP17" s="1408" t="s">
        <v>2514</v>
      </c>
      <c r="EQ17" s="1408" t="s">
        <v>6459</v>
      </c>
      <c r="ER17" s="1408" t="s">
        <v>2514</v>
      </c>
      <c r="ES17" s="1408" t="s">
        <v>5115</v>
      </c>
      <c r="ET17" s="1408" t="s">
        <v>2514</v>
      </c>
      <c r="EU17" s="1408" t="s">
        <v>1614</v>
      </c>
      <c r="EV17" s="1408" t="s">
        <v>2514</v>
      </c>
      <c r="EW17" s="1408" t="s">
        <v>6707</v>
      </c>
      <c r="EX17" s="1408" t="s">
        <v>2514</v>
      </c>
      <c r="EY17" s="1408" t="s">
        <v>5742</v>
      </c>
      <c r="EZ17" s="1408" t="s">
        <v>2514</v>
      </c>
      <c r="FA17" s="1408" t="s">
        <v>2253</v>
      </c>
      <c r="FB17" s="1408" t="s">
        <v>2514</v>
      </c>
      <c r="FC17" s="1408" t="s">
        <v>6497</v>
      </c>
      <c r="FD17" s="1408" t="s">
        <v>2514</v>
      </c>
      <c r="FE17" s="1408" t="s">
        <v>5701</v>
      </c>
      <c r="FF17" s="1408" t="s">
        <v>2514</v>
      </c>
      <c r="FG17" s="1408" t="s">
        <v>2751</v>
      </c>
      <c r="FH17" s="1408" t="s">
        <v>2514</v>
      </c>
      <c r="FI17" s="1408" t="s">
        <v>1309</v>
      </c>
      <c r="FJ17" s="1408" t="s">
        <v>2514</v>
      </c>
      <c r="FK17" s="1408" t="s">
        <v>5121</v>
      </c>
      <c r="FL17" s="1408" t="s">
        <v>2514</v>
      </c>
      <c r="FM17" s="1408" t="s">
        <v>5750</v>
      </c>
      <c r="FN17" s="1408" t="s">
        <v>2514</v>
      </c>
      <c r="FO17" s="1408" t="s">
        <v>1243</v>
      </c>
      <c r="FP17" s="1408" t="s">
        <v>2514</v>
      </c>
      <c r="FQ17" s="1408" t="s">
        <v>6075</v>
      </c>
      <c r="FR17" s="1408" t="s">
        <v>2514</v>
      </c>
      <c r="FS17" s="1408" t="s">
        <v>4263</v>
      </c>
      <c r="FT17" s="1408" t="s">
        <v>2514</v>
      </c>
      <c r="FU17" s="1408" t="s">
        <v>1151</v>
      </c>
      <c r="FV17" s="1408" t="s">
        <v>2514</v>
      </c>
      <c r="FW17" s="1408" t="s">
        <v>2151</v>
      </c>
      <c r="FX17" s="1408" t="s">
        <v>2514</v>
      </c>
      <c r="FY17" s="1408" t="s">
        <v>2181</v>
      </c>
      <c r="FZ17" s="1408" t="s">
        <v>2514</v>
      </c>
      <c r="GA17" s="1408" t="s">
        <v>6516</v>
      </c>
      <c r="GB17" s="1408" t="s">
        <v>2514</v>
      </c>
      <c r="GC17" s="1408" t="s">
        <v>1878</v>
      </c>
      <c r="GD17" s="1408" t="s">
        <v>2514</v>
      </c>
      <c r="GE17" s="1408" t="s">
        <v>5755</v>
      </c>
      <c r="GF17" s="1408" t="s">
        <v>2514</v>
      </c>
      <c r="GG17" s="1408" t="s">
        <v>2302</v>
      </c>
      <c r="GH17" s="1408" t="s">
        <v>2514</v>
      </c>
      <c r="GI17" s="1408" t="s">
        <v>2883</v>
      </c>
      <c r="GJ17" s="1408" t="s">
        <v>2514</v>
      </c>
      <c r="GK17" s="1408" t="s">
        <v>6757</v>
      </c>
      <c r="GL17" s="1408" t="s">
        <v>2514</v>
      </c>
      <c r="GM17" s="1408" t="s">
        <v>6603</v>
      </c>
      <c r="GN17" s="1408" t="s">
        <v>2514</v>
      </c>
      <c r="GO17" s="1408" t="s">
        <v>1755</v>
      </c>
      <c r="GP17" s="1408" t="s">
        <v>2514</v>
      </c>
      <c r="GQ17" s="1408" t="s">
        <v>5312</v>
      </c>
      <c r="GR17" s="1408" t="s">
        <v>2514</v>
      </c>
      <c r="GS17" s="1408" t="s">
        <v>3507</v>
      </c>
      <c r="GT17" s="1408" t="s">
        <v>2514</v>
      </c>
      <c r="GU17" s="1408" t="s">
        <v>963</v>
      </c>
      <c r="GV17" s="1408" t="s">
        <v>2514</v>
      </c>
      <c r="GW17" s="1408" t="s">
        <v>1010</v>
      </c>
      <c r="GX17" s="1408" t="s">
        <v>2514</v>
      </c>
      <c r="GY17" s="1408" t="s">
        <v>1178</v>
      </c>
      <c r="GZ17" s="1408" t="s">
        <v>2514</v>
      </c>
      <c r="HA17" s="1408" t="s">
        <v>360</v>
      </c>
      <c r="HB17" s="1408" t="s">
        <v>2514</v>
      </c>
      <c r="HC17" s="1408" t="s">
        <v>3989</v>
      </c>
      <c r="HD17" s="1408" t="s">
        <v>2514</v>
      </c>
      <c r="HE17" s="1408" t="s">
        <v>2020</v>
      </c>
      <c r="HF17" s="1408" t="s">
        <v>2514</v>
      </c>
      <c r="HG17" s="1408" t="s">
        <v>1593</v>
      </c>
      <c r="HH17" s="1408" t="s">
        <v>2514</v>
      </c>
      <c r="HI17" s="1408" t="s">
        <v>4367</v>
      </c>
      <c r="HJ17" s="1408" t="s">
        <v>2514</v>
      </c>
      <c r="HK17" s="1408" t="s">
        <v>743</v>
      </c>
      <c r="HL17" s="1408" t="s">
        <v>2514</v>
      </c>
      <c r="HM17" s="1408" t="s">
        <v>2918</v>
      </c>
      <c r="HN17" s="1408" t="s">
        <v>2514</v>
      </c>
      <c r="HO17" s="1408" t="s">
        <v>6702</v>
      </c>
      <c r="HP17" s="1408" t="s">
        <v>2514</v>
      </c>
      <c r="HQ17" s="1408" t="s">
        <v>1849</v>
      </c>
      <c r="HR17" s="1408" t="s">
        <v>2514</v>
      </c>
      <c r="HS17" s="1408" t="s">
        <v>3636</v>
      </c>
      <c r="HT17" s="1408" t="s">
        <v>2514</v>
      </c>
      <c r="HU17" s="1408" t="s">
        <v>1368</v>
      </c>
      <c r="HV17" s="1408" t="s">
        <v>2514</v>
      </c>
      <c r="HW17" s="1408" t="s">
        <v>1831</v>
      </c>
      <c r="HX17" s="1408" t="s">
        <v>2514</v>
      </c>
      <c r="HY17" s="1408" t="s">
        <v>2931</v>
      </c>
      <c r="HZ17" s="1408" t="s">
        <v>2514</v>
      </c>
      <c r="IA17" s="1408" t="s">
        <v>6235</v>
      </c>
      <c r="IB17" s="1408" t="s">
        <v>2514</v>
      </c>
      <c r="IC17" s="1408" t="s">
        <v>4445</v>
      </c>
      <c r="ID17" s="1408" t="s">
        <v>2514</v>
      </c>
      <c r="IE17" s="1408" t="s">
        <v>2472</v>
      </c>
      <c r="IF17" s="1408" t="s">
        <v>2514</v>
      </c>
      <c r="IG17" s="1408" t="s">
        <v>5729</v>
      </c>
      <c r="IH17" s="1408" t="s">
        <v>2514</v>
      </c>
      <c r="II17" s="1408" t="s">
        <v>6084</v>
      </c>
      <c r="IJ17" s="1408" t="s">
        <v>2514</v>
      </c>
      <c r="IK17" s="1408" t="s">
        <v>6123</v>
      </c>
      <c r="IL17" s="1408" t="s">
        <v>2514</v>
      </c>
      <c r="IM17" s="1408" t="s">
        <v>5830</v>
      </c>
      <c r="IN17" s="1408" t="s">
        <v>2514</v>
      </c>
      <c r="IO17" s="1408" t="s">
        <v>3406</v>
      </c>
      <c r="IP17" s="1408" t="s">
        <v>2514</v>
      </c>
      <c r="IQ17" s="1408" t="s">
        <v>4352</v>
      </c>
      <c r="IR17" s="1408" t="s">
        <v>2514</v>
      </c>
      <c r="IS17" s="1408" t="s">
        <v>4106</v>
      </c>
      <c r="IT17" s="1408" t="s">
        <v>2514</v>
      </c>
      <c r="IU17" s="1408" t="s">
        <v>6507</v>
      </c>
      <c r="IV17" s="1408" t="s">
        <v>2514</v>
      </c>
    </row>
    <row r="18" spans="1:256" s="1408" customFormat="1">
      <c r="A18" s="1408" t="s">
        <v>2477</v>
      </c>
      <c r="B18" s="1408" t="s">
        <v>2514</v>
      </c>
      <c r="C18" s="1408" t="s">
        <v>5225</v>
      </c>
      <c r="D18" s="1408" t="s">
        <v>2514</v>
      </c>
      <c r="E18" s="1408" t="s">
        <v>3470</v>
      </c>
      <c r="F18" s="1408" t="s">
        <v>2514</v>
      </c>
      <c r="G18" s="1408" t="s">
        <v>4520</v>
      </c>
      <c r="H18" s="1408" t="s">
        <v>2514</v>
      </c>
      <c r="I18" s="1408" t="s">
        <v>2574</v>
      </c>
      <c r="J18" s="1408" t="s">
        <v>2514</v>
      </c>
      <c r="K18" s="1408" t="s">
        <v>297</v>
      </c>
      <c r="L18" s="1408" t="s">
        <v>2514</v>
      </c>
      <c r="M18" s="1408" t="s">
        <v>6746</v>
      </c>
      <c r="N18" s="1408" t="s">
        <v>2514</v>
      </c>
      <c r="O18" s="1408" t="s">
        <v>1183</v>
      </c>
      <c r="P18" s="1408" t="s">
        <v>2514</v>
      </c>
      <c r="Q18" s="1408" t="s">
        <v>1299</v>
      </c>
      <c r="R18" s="1408" t="s">
        <v>2514</v>
      </c>
      <c r="S18" s="1408" t="s">
        <v>6619</v>
      </c>
      <c r="T18" s="1408" t="s">
        <v>2514</v>
      </c>
      <c r="U18" s="1408" t="s">
        <v>4348</v>
      </c>
      <c r="V18" s="1408" t="s">
        <v>2514</v>
      </c>
      <c r="W18" s="1408" t="s">
        <v>2965</v>
      </c>
      <c r="X18" s="1408" t="s">
        <v>2514</v>
      </c>
      <c r="Y18" s="1408" t="s">
        <v>6455</v>
      </c>
      <c r="Z18" s="1408" t="s">
        <v>2514</v>
      </c>
      <c r="AA18" s="1408" t="s">
        <v>6664</v>
      </c>
      <c r="AB18" s="1408" t="s">
        <v>2514</v>
      </c>
      <c r="AC18" s="1408" t="s">
        <v>4644</v>
      </c>
      <c r="AD18" s="1408" t="s">
        <v>2514</v>
      </c>
      <c r="AE18" s="1408" t="s">
        <v>1726</v>
      </c>
      <c r="AF18" s="1408" t="s">
        <v>2514</v>
      </c>
      <c r="AG18" s="1408" t="s">
        <v>1612</v>
      </c>
      <c r="AH18" s="1408" t="s">
        <v>2514</v>
      </c>
      <c r="AI18" s="1408" t="s">
        <v>6614</v>
      </c>
      <c r="AJ18" s="1408" t="s">
        <v>2514</v>
      </c>
      <c r="AK18" s="1408" t="s">
        <v>3536</v>
      </c>
      <c r="AL18" s="1408" t="s">
        <v>2514</v>
      </c>
      <c r="AM18" s="1408" t="s">
        <v>4791</v>
      </c>
      <c r="AN18" s="1408" t="s">
        <v>2514</v>
      </c>
      <c r="AO18" s="1408" t="s">
        <v>4447</v>
      </c>
      <c r="AP18" s="1408" t="s">
        <v>2514</v>
      </c>
      <c r="AQ18" s="1408" t="s">
        <v>3776</v>
      </c>
      <c r="AR18" s="1408" t="s">
        <v>2514</v>
      </c>
      <c r="AS18" s="1408" t="s">
        <v>4643</v>
      </c>
      <c r="AT18" s="1408" t="s">
        <v>2514</v>
      </c>
      <c r="AU18" s="1408" t="s">
        <v>405</v>
      </c>
      <c r="AV18" s="1408" t="s">
        <v>2514</v>
      </c>
      <c r="AW18" s="1408" t="s">
        <v>6899</v>
      </c>
      <c r="AX18" s="1408" t="s">
        <v>2514</v>
      </c>
      <c r="AY18" s="1408" t="s">
        <v>498</v>
      </c>
      <c r="AZ18" s="1408" t="s">
        <v>2514</v>
      </c>
      <c r="BA18" s="1408" t="s">
        <v>1557</v>
      </c>
      <c r="BB18" s="1408" t="s">
        <v>2514</v>
      </c>
      <c r="BC18" s="1408" t="s">
        <v>4912</v>
      </c>
      <c r="BD18" s="1408" t="s">
        <v>2514</v>
      </c>
      <c r="BE18" s="1408" t="s">
        <v>5343</v>
      </c>
      <c r="BF18" s="1408" t="s">
        <v>2514</v>
      </c>
      <c r="BG18" s="1408" t="s">
        <v>115</v>
      </c>
      <c r="BH18" s="1408" t="s">
        <v>2514</v>
      </c>
      <c r="BI18" s="1408" t="s">
        <v>5926</v>
      </c>
      <c r="BJ18" s="1408" t="s">
        <v>2514</v>
      </c>
      <c r="BK18" s="1408" t="s">
        <v>2269</v>
      </c>
      <c r="BL18" s="1408" t="s">
        <v>2514</v>
      </c>
      <c r="BM18" s="1408" t="s">
        <v>5362</v>
      </c>
      <c r="BN18" s="1408" t="s">
        <v>2514</v>
      </c>
      <c r="BO18" s="1408" t="s">
        <v>997</v>
      </c>
      <c r="BP18" s="1408" t="s">
        <v>2514</v>
      </c>
      <c r="BQ18" s="1408" t="s">
        <v>6561</v>
      </c>
      <c r="BR18" s="1408" t="s">
        <v>2514</v>
      </c>
      <c r="BS18" s="1408" t="s">
        <v>926</v>
      </c>
      <c r="BT18" s="1408" t="s">
        <v>2514</v>
      </c>
      <c r="BU18" s="1408" t="s">
        <v>5444</v>
      </c>
      <c r="BV18" s="1408" t="s">
        <v>2514</v>
      </c>
      <c r="BW18" s="1408" t="s">
        <v>620</v>
      </c>
      <c r="BX18" s="1408" t="s">
        <v>2514</v>
      </c>
      <c r="BY18" s="1408" t="s">
        <v>1877</v>
      </c>
      <c r="BZ18" s="1408" t="s">
        <v>2514</v>
      </c>
      <c r="CA18" s="1408" t="s">
        <v>5672</v>
      </c>
      <c r="CB18" s="1408" t="s">
        <v>2514</v>
      </c>
      <c r="CC18" s="1408" t="s">
        <v>67</v>
      </c>
      <c r="CD18" s="1408" t="s">
        <v>2514</v>
      </c>
      <c r="CE18" s="1408" t="s">
        <v>2193</v>
      </c>
      <c r="CF18" s="1408" t="s">
        <v>2514</v>
      </c>
      <c r="CG18" s="1408" t="s">
        <v>5819</v>
      </c>
      <c r="CH18" s="1408" t="s">
        <v>2514</v>
      </c>
      <c r="CI18" s="1408" t="s">
        <v>1506</v>
      </c>
      <c r="CJ18" s="1408" t="s">
        <v>2514</v>
      </c>
      <c r="CK18" s="1408" t="s">
        <v>4273</v>
      </c>
      <c r="CL18" s="1408" t="s">
        <v>2514</v>
      </c>
      <c r="CM18" s="1408" t="s">
        <v>817</v>
      </c>
      <c r="CN18" s="1408" t="s">
        <v>2514</v>
      </c>
      <c r="CO18" s="1408" t="s">
        <v>3739</v>
      </c>
      <c r="CP18" s="1408" t="s">
        <v>2514</v>
      </c>
      <c r="CQ18" s="1408" t="s">
        <v>4189</v>
      </c>
      <c r="CR18" s="1408" t="s">
        <v>2514</v>
      </c>
      <c r="CS18" s="1408" t="s">
        <v>5455</v>
      </c>
      <c r="CT18" s="1408" t="s">
        <v>2514</v>
      </c>
      <c r="CU18" s="1408" t="s">
        <v>5764</v>
      </c>
      <c r="CV18" s="1408" t="s">
        <v>2514</v>
      </c>
      <c r="CW18" s="1408" t="s">
        <v>238</v>
      </c>
      <c r="CX18" s="1408" t="s">
        <v>2514</v>
      </c>
      <c r="CY18" s="1408" t="s">
        <v>4496</v>
      </c>
      <c r="CZ18" s="1408" t="s">
        <v>2514</v>
      </c>
      <c r="DA18" s="1408" t="s">
        <v>3585</v>
      </c>
      <c r="DB18" s="1408" t="s">
        <v>2514</v>
      </c>
      <c r="DC18" s="1408" t="s">
        <v>2256</v>
      </c>
      <c r="DD18" s="1408" t="s">
        <v>2514</v>
      </c>
      <c r="DE18" s="1408" t="s">
        <v>6179</v>
      </c>
      <c r="DF18" s="1408" t="s">
        <v>2514</v>
      </c>
      <c r="DG18" s="1408" t="s">
        <v>4265</v>
      </c>
      <c r="DH18" s="1408" t="s">
        <v>2514</v>
      </c>
      <c r="DI18" s="1408" t="s">
        <v>2370</v>
      </c>
      <c r="DJ18" s="1408" t="s">
        <v>2514</v>
      </c>
      <c r="DK18" s="1408" t="s">
        <v>5885</v>
      </c>
      <c r="DL18" s="1408" t="s">
        <v>2514</v>
      </c>
      <c r="DM18" s="1408" t="s">
        <v>3555</v>
      </c>
      <c r="DN18" s="1408" t="s">
        <v>2514</v>
      </c>
      <c r="DO18" s="1408" t="s">
        <v>2839</v>
      </c>
      <c r="DP18" s="1408" t="s">
        <v>2514</v>
      </c>
      <c r="DQ18" s="1408" t="s">
        <v>3572</v>
      </c>
      <c r="DR18" s="1408" t="s">
        <v>2514</v>
      </c>
      <c r="DS18" s="1408" t="s">
        <v>3297</v>
      </c>
      <c r="DT18" s="1408" t="s">
        <v>2514</v>
      </c>
      <c r="DU18" s="1408" t="s">
        <v>1622</v>
      </c>
      <c r="DV18" s="1408" t="s">
        <v>2514</v>
      </c>
      <c r="DW18" s="1408" t="s">
        <v>2524</v>
      </c>
      <c r="DX18" s="1408" t="s">
        <v>2514</v>
      </c>
      <c r="DY18" s="1408" t="s">
        <v>4375</v>
      </c>
      <c r="DZ18" s="1408" t="s">
        <v>2514</v>
      </c>
      <c r="EA18" s="1408" t="s">
        <v>986</v>
      </c>
      <c r="EB18" s="1408" t="s">
        <v>2514</v>
      </c>
      <c r="EC18" s="1408" t="s">
        <v>4935</v>
      </c>
      <c r="ED18" s="1408" t="s">
        <v>2514</v>
      </c>
      <c r="EE18" s="1408" t="s">
        <v>2457</v>
      </c>
      <c r="EF18" s="1408" t="s">
        <v>2514</v>
      </c>
      <c r="EG18" s="1408" t="s">
        <v>5214</v>
      </c>
      <c r="EH18" s="1408" t="s">
        <v>2514</v>
      </c>
      <c r="EI18" s="1408" t="s">
        <v>4123</v>
      </c>
      <c r="EJ18" s="1408" t="s">
        <v>2514</v>
      </c>
      <c r="EK18" s="1408" t="s">
        <v>5352</v>
      </c>
      <c r="EL18" s="1408" t="s">
        <v>2514</v>
      </c>
      <c r="EM18" s="1408" t="s">
        <v>6320</v>
      </c>
      <c r="EN18" s="1408" t="s">
        <v>2514</v>
      </c>
      <c r="EO18" s="1408" t="s">
        <v>5428</v>
      </c>
      <c r="EP18" s="1408" t="s">
        <v>2514</v>
      </c>
      <c r="EQ18" s="1408" t="s">
        <v>4122</v>
      </c>
      <c r="ER18" s="1408" t="s">
        <v>2514</v>
      </c>
      <c r="ES18" s="1408" t="s">
        <v>4959</v>
      </c>
      <c r="ET18" s="1408" t="s">
        <v>2514</v>
      </c>
      <c r="EU18" s="1408" t="s">
        <v>5014</v>
      </c>
      <c r="EV18" s="1408" t="s">
        <v>2514</v>
      </c>
      <c r="EW18" s="1408" t="s">
        <v>996</v>
      </c>
      <c r="EX18" s="1408" t="s">
        <v>2514</v>
      </c>
      <c r="EY18" s="1408" t="s">
        <v>2343</v>
      </c>
      <c r="EZ18" s="1408" t="s">
        <v>2514</v>
      </c>
      <c r="FA18" s="1408" t="s">
        <v>6550</v>
      </c>
      <c r="FB18" s="1408" t="s">
        <v>2514</v>
      </c>
      <c r="FC18" s="1408" t="s">
        <v>6156</v>
      </c>
      <c r="FD18" s="1408" t="s">
        <v>2514</v>
      </c>
      <c r="FE18" s="1408" t="s">
        <v>3564</v>
      </c>
      <c r="FF18" s="1408" t="s">
        <v>2514</v>
      </c>
      <c r="FG18" s="1408" t="s">
        <v>3706</v>
      </c>
      <c r="FH18" s="1408" t="s">
        <v>2514</v>
      </c>
      <c r="FI18" s="1408" t="s">
        <v>5102</v>
      </c>
      <c r="FJ18" s="1408" t="s">
        <v>2514</v>
      </c>
      <c r="FK18" s="1408" t="s">
        <v>3990</v>
      </c>
      <c r="FL18" s="1408" t="s">
        <v>2514</v>
      </c>
      <c r="FM18" s="1408" t="s">
        <v>3232</v>
      </c>
      <c r="FN18" s="1408" t="s">
        <v>2514</v>
      </c>
      <c r="FO18" s="1408" t="s">
        <v>2066</v>
      </c>
      <c r="FP18" s="1408" t="s">
        <v>2514</v>
      </c>
      <c r="FQ18" s="1408" t="s">
        <v>187</v>
      </c>
      <c r="FR18" s="1408" t="s">
        <v>2514</v>
      </c>
      <c r="FS18" s="1408" t="s">
        <v>826</v>
      </c>
      <c r="FT18" s="1408" t="s">
        <v>2514</v>
      </c>
      <c r="FU18" s="1408" t="s">
        <v>3227</v>
      </c>
      <c r="FV18" s="1408" t="s">
        <v>2514</v>
      </c>
      <c r="FW18" s="1408" t="s">
        <v>5916</v>
      </c>
      <c r="FX18" s="1408" t="s">
        <v>2514</v>
      </c>
      <c r="FY18" s="1408" t="s">
        <v>3294</v>
      </c>
      <c r="FZ18" s="1408" t="s">
        <v>2514</v>
      </c>
      <c r="GA18" s="1408" t="s">
        <v>281</v>
      </c>
      <c r="GB18" s="1408" t="s">
        <v>2514</v>
      </c>
      <c r="GC18" s="1408" t="s">
        <v>6323</v>
      </c>
      <c r="GD18" s="1408" t="s">
        <v>2514</v>
      </c>
      <c r="GE18" s="1408" t="s">
        <v>5921</v>
      </c>
      <c r="GF18" s="1408" t="s">
        <v>2514</v>
      </c>
      <c r="GG18" s="1408" t="s">
        <v>141</v>
      </c>
      <c r="GH18" s="1408" t="s">
        <v>2514</v>
      </c>
      <c r="GI18" s="1408" t="s">
        <v>2773</v>
      </c>
      <c r="GJ18" s="1408" t="s">
        <v>2514</v>
      </c>
      <c r="GK18" s="1408" t="s">
        <v>6898</v>
      </c>
      <c r="GL18" s="1408" t="s">
        <v>2514</v>
      </c>
      <c r="GM18" s="1408" t="s">
        <v>2689</v>
      </c>
      <c r="GN18" s="1408" t="s">
        <v>2514</v>
      </c>
      <c r="GO18" s="1408" t="s">
        <v>727</v>
      </c>
      <c r="GP18" s="1408" t="s">
        <v>2514</v>
      </c>
      <c r="GQ18" s="1408" t="s">
        <v>6243</v>
      </c>
      <c r="GR18" s="1408" t="s">
        <v>2514</v>
      </c>
      <c r="GS18" s="1408" t="s">
        <v>107</v>
      </c>
      <c r="GT18" s="1408" t="s">
        <v>2514</v>
      </c>
      <c r="GU18" s="1408" t="s">
        <v>5331</v>
      </c>
      <c r="GV18" s="1408" t="s">
        <v>2514</v>
      </c>
      <c r="GW18" s="1408" t="s">
        <v>6372</v>
      </c>
      <c r="GX18" s="1408" t="s">
        <v>2514</v>
      </c>
      <c r="GY18" s="1408" t="s">
        <v>6914</v>
      </c>
      <c r="GZ18" s="1408" t="s">
        <v>2514</v>
      </c>
      <c r="HA18" s="1408" t="s">
        <v>3244</v>
      </c>
      <c r="HB18" s="1408" t="s">
        <v>2514</v>
      </c>
      <c r="HC18" s="1408" t="s">
        <v>521</v>
      </c>
      <c r="HD18" s="1408" t="s">
        <v>2514</v>
      </c>
      <c r="HE18" s="1408" t="s">
        <v>5301</v>
      </c>
      <c r="HF18" s="1408" t="s">
        <v>2514</v>
      </c>
      <c r="HG18" s="1408" t="s">
        <v>2821</v>
      </c>
      <c r="HH18" s="1408" t="s">
        <v>2514</v>
      </c>
      <c r="HI18" s="1408" t="s">
        <v>4077</v>
      </c>
      <c r="HJ18" s="1408" t="s">
        <v>2514</v>
      </c>
      <c r="HK18" s="1408" t="s">
        <v>914</v>
      </c>
      <c r="HL18" s="1408" t="s">
        <v>2514</v>
      </c>
      <c r="HM18" s="1408" t="s">
        <v>1745</v>
      </c>
      <c r="HN18" s="1408" t="s">
        <v>2514</v>
      </c>
      <c r="HO18" s="1408" t="s">
        <v>317</v>
      </c>
      <c r="HP18" s="1408" t="s">
        <v>2514</v>
      </c>
      <c r="HQ18" s="1408" t="s">
        <v>604</v>
      </c>
      <c r="HR18" s="1408" t="s">
        <v>2514</v>
      </c>
      <c r="HS18" s="1408" t="s">
        <v>1131</v>
      </c>
      <c r="HT18" s="1408" t="s">
        <v>2514</v>
      </c>
      <c r="HU18" s="1408" t="s">
        <v>2264</v>
      </c>
      <c r="HV18" s="1408" t="s">
        <v>2514</v>
      </c>
      <c r="HW18" s="1408" t="s">
        <v>4468</v>
      </c>
      <c r="HX18" s="1408" t="s">
        <v>2514</v>
      </c>
      <c r="HY18" s="1408" t="s">
        <v>5664</v>
      </c>
      <c r="HZ18" s="1408" t="s">
        <v>2514</v>
      </c>
      <c r="IA18" s="1408" t="s">
        <v>167</v>
      </c>
      <c r="IB18" s="1408" t="s">
        <v>2514</v>
      </c>
      <c r="IC18" s="1408" t="s">
        <v>947</v>
      </c>
      <c r="ID18" s="1408" t="s">
        <v>2514</v>
      </c>
      <c r="IE18" s="1408" t="s">
        <v>3633</v>
      </c>
      <c r="IF18" s="1408" t="s">
        <v>2514</v>
      </c>
      <c r="IG18" s="1408" t="s">
        <v>5562</v>
      </c>
      <c r="IH18" s="1408" t="s">
        <v>2514</v>
      </c>
      <c r="II18" s="1408" t="s">
        <v>3584</v>
      </c>
      <c r="IJ18" s="1408" t="s">
        <v>2514</v>
      </c>
      <c r="IK18" s="1408" t="s">
        <v>2082</v>
      </c>
      <c r="IL18" s="1408" t="s">
        <v>2514</v>
      </c>
      <c r="IM18" s="1408" t="s">
        <v>3723</v>
      </c>
      <c r="IN18" s="1408" t="s">
        <v>2514</v>
      </c>
      <c r="IO18" s="1408" t="s">
        <v>156</v>
      </c>
      <c r="IP18" s="1408" t="s">
        <v>2514</v>
      </c>
      <c r="IQ18" s="1408" t="s">
        <v>4661</v>
      </c>
      <c r="IR18" s="1408" t="s">
        <v>2514</v>
      </c>
      <c r="IS18" s="1408" t="s">
        <v>6905</v>
      </c>
      <c r="IT18" s="1408" t="s">
        <v>2514</v>
      </c>
      <c r="IU18" s="1408" t="s">
        <v>1530</v>
      </c>
      <c r="IV18" s="1408" t="s">
        <v>2514</v>
      </c>
    </row>
    <row r="19" spans="1:256" s="1408" customFormat="1">
      <c r="A19" s="1408" t="s">
        <v>4725</v>
      </c>
      <c r="B19" s="1408" t="s">
        <v>2514</v>
      </c>
      <c r="C19" s="1408" t="s">
        <v>3113</v>
      </c>
      <c r="D19" s="1408" t="s">
        <v>2514</v>
      </c>
      <c r="E19" s="1408" t="s">
        <v>6718</v>
      </c>
      <c r="F19" s="1408" t="s">
        <v>2514</v>
      </c>
      <c r="G19" s="1408" t="s">
        <v>2061</v>
      </c>
      <c r="H19" s="1408" t="s">
        <v>2514</v>
      </c>
      <c r="I19" s="1408" t="s">
        <v>5787</v>
      </c>
      <c r="J19" s="1408" t="s">
        <v>2514</v>
      </c>
      <c r="K19" s="1408" t="s">
        <v>1949</v>
      </c>
      <c r="L19" s="1408" t="s">
        <v>2514</v>
      </c>
      <c r="M19" s="1408" t="s">
        <v>6715</v>
      </c>
      <c r="N19" s="1408" t="s">
        <v>2514</v>
      </c>
      <c r="O19" s="1408" t="s">
        <v>5402</v>
      </c>
      <c r="P19" s="1408" t="s">
        <v>2514</v>
      </c>
      <c r="Q19" s="1408" t="s">
        <v>588</v>
      </c>
      <c r="R19" s="1408" t="s">
        <v>2514</v>
      </c>
      <c r="S19" s="1408" t="s">
        <v>3160</v>
      </c>
      <c r="T19" s="1408" t="s">
        <v>2514</v>
      </c>
      <c r="U19" s="1408" t="s">
        <v>5801</v>
      </c>
      <c r="V19" s="1408" t="s">
        <v>2514</v>
      </c>
      <c r="W19" s="1408" t="s">
        <v>4422</v>
      </c>
      <c r="X19" s="1408" t="s">
        <v>2514</v>
      </c>
      <c r="Y19" s="1408" t="s">
        <v>3454</v>
      </c>
      <c r="Z19" s="1408" t="s">
        <v>2514</v>
      </c>
      <c r="AA19" s="1408" t="s">
        <v>3099</v>
      </c>
      <c r="AB19" s="1408" t="s">
        <v>2514</v>
      </c>
      <c r="AC19" s="1408" t="s">
        <v>5869</v>
      </c>
      <c r="AD19" s="1408" t="s">
        <v>2514</v>
      </c>
      <c r="AE19" s="1408" t="s">
        <v>6949</v>
      </c>
      <c r="AF19" s="1408" t="s">
        <v>2514</v>
      </c>
      <c r="AG19" s="1408" t="s">
        <v>706</v>
      </c>
      <c r="AH19" s="1408" t="s">
        <v>2514</v>
      </c>
      <c r="AI19" s="1408" t="s">
        <v>2826</v>
      </c>
      <c r="AJ19" s="1408" t="s">
        <v>2514</v>
      </c>
      <c r="AK19" s="1408" t="s">
        <v>6152</v>
      </c>
      <c r="AL19" s="1408" t="s">
        <v>2514</v>
      </c>
      <c r="AM19" s="1408" t="s">
        <v>4926</v>
      </c>
      <c r="AN19" s="1408" t="s">
        <v>2514</v>
      </c>
      <c r="AO19" s="1408" t="s">
        <v>6157</v>
      </c>
      <c r="AP19" s="1408" t="s">
        <v>2514</v>
      </c>
      <c r="AQ19" s="1408" t="s">
        <v>2064</v>
      </c>
      <c r="AR19" s="1408" t="s">
        <v>2514</v>
      </c>
      <c r="AS19" s="1408" t="s">
        <v>3469</v>
      </c>
      <c r="AT19" s="1408" t="s">
        <v>2514</v>
      </c>
      <c r="AU19" s="1408" t="s">
        <v>6512</v>
      </c>
      <c r="AV19" s="1408" t="s">
        <v>2514</v>
      </c>
      <c r="AW19" s="1408" t="s">
        <v>1237</v>
      </c>
      <c r="AX19" s="1408" t="s">
        <v>2514</v>
      </c>
      <c r="AY19" s="1408" t="s">
        <v>1003</v>
      </c>
      <c r="AZ19" s="1408" t="s">
        <v>2514</v>
      </c>
      <c r="BA19" s="1408" t="s">
        <v>2618</v>
      </c>
      <c r="BB19" s="1408" t="s">
        <v>2514</v>
      </c>
      <c r="BC19" s="1408" t="s">
        <v>3900</v>
      </c>
      <c r="BD19" s="1408" t="s">
        <v>2514</v>
      </c>
      <c r="BE19" s="1408" t="s">
        <v>6543</v>
      </c>
      <c r="BF19" s="1408" t="s">
        <v>2514</v>
      </c>
      <c r="BG19" s="1408" t="s">
        <v>3477</v>
      </c>
      <c r="BH19" s="1408" t="s">
        <v>2514</v>
      </c>
      <c r="BI19" s="1408" t="s">
        <v>1555</v>
      </c>
      <c r="BJ19" s="1408" t="s">
        <v>2514</v>
      </c>
      <c r="BK19" s="1408" t="s">
        <v>5538</v>
      </c>
      <c r="BL19" s="1408" t="s">
        <v>2514</v>
      </c>
      <c r="BM19" s="1408" t="s">
        <v>6014</v>
      </c>
      <c r="BN19" s="1408" t="s">
        <v>2514</v>
      </c>
      <c r="BO19" s="1408" t="s">
        <v>3</v>
      </c>
      <c r="BP19" s="1408" t="s">
        <v>2514</v>
      </c>
      <c r="BQ19" s="1408" t="s">
        <v>5884</v>
      </c>
      <c r="BR19" s="1408" t="s">
        <v>2514</v>
      </c>
      <c r="BS19" s="1408" t="s">
        <v>2075</v>
      </c>
      <c r="BT19" s="1408" t="s">
        <v>2514</v>
      </c>
      <c r="BU19" s="1408" t="s">
        <v>3878</v>
      </c>
      <c r="BV19" s="1408" t="s">
        <v>2514</v>
      </c>
      <c r="BW19" s="1408" t="s">
        <v>100</v>
      </c>
      <c r="BX19" s="1408" t="s">
        <v>2514</v>
      </c>
      <c r="BY19" s="1408" t="s">
        <v>5689</v>
      </c>
      <c r="BZ19" s="1408" t="s">
        <v>2514</v>
      </c>
      <c r="CA19" s="1408" t="s">
        <v>191</v>
      </c>
      <c r="CB19" s="1408" t="s">
        <v>2514</v>
      </c>
      <c r="CC19" s="1408" t="s">
        <v>6825</v>
      </c>
      <c r="CD19" s="1408" t="s">
        <v>2514</v>
      </c>
      <c r="CE19" s="1408" t="s">
        <v>959</v>
      </c>
      <c r="CF19" s="1408" t="s">
        <v>2514</v>
      </c>
      <c r="CG19" s="1408" t="s">
        <v>2717</v>
      </c>
      <c r="CH19" s="1408" t="s">
        <v>2514</v>
      </c>
      <c r="CI19" s="1408" t="s">
        <v>5354</v>
      </c>
      <c r="CJ19" s="1408" t="s">
        <v>2514</v>
      </c>
      <c r="CK19" s="1408" t="s">
        <v>2882</v>
      </c>
      <c r="CL19" s="1408" t="s">
        <v>2514</v>
      </c>
      <c r="CM19" s="1408" t="s">
        <v>2601</v>
      </c>
      <c r="CN19" s="1408" t="s">
        <v>2514</v>
      </c>
      <c r="CO19" s="1408" t="s">
        <v>5458</v>
      </c>
      <c r="CP19" s="1408" t="s">
        <v>2514</v>
      </c>
      <c r="CQ19" s="1408" t="s">
        <v>1688</v>
      </c>
      <c r="CR19" s="1408" t="s">
        <v>2514</v>
      </c>
      <c r="CS19" s="1408" t="s">
        <v>382</v>
      </c>
      <c r="CT19" s="1408" t="s">
        <v>2514</v>
      </c>
      <c r="CU19" s="1408" t="s">
        <v>6253</v>
      </c>
      <c r="CV19" s="1408" t="s">
        <v>2514</v>
      </c>
      <c r="CW19" s="1408" t="s">
        <v>5604</v>
      </c>
      <c r="CX19" s="1408" t="s">
        <v>2514</v>
      </c>
      <c r="CY19" s="1408" t="s">
        <v>104</v>
      </c>
      <c r="CZ19" s="1408" t="s">
        <v>2514</v>
      </c>
      <c r="DA19" s="1408" t="s">
        <v>5947</v>
      </c>
      <c r="DB19" s="1408" t="s">
        <v>2514</v>
      </c>
      <c r="DC19" s="1408" t="s">
        <v>6754</v>
      </c>
      <c r="DD19" s="1408" t="s">
        <v>2514</v>
      </c>
      <c r="DE19" s="1408" t="s">
        <v>3394</v>
      </c>
      <c r="DF19" s="1408" t="s">
        <v>2514</v>
      </c>
      <c r="DG19" s="1408" t="s">
        <v>5790</v>
      </c>
      <c r="DH19" s="1408" t="s">
        <v>2514</v>
      </c>
      <c r="DI19" s="1408" t="s">
        <v>2992</v>
      </c>
      <c r="DJ19" s="1408" t="s">
        <v>2514</v>
      </c>
      <c r="DK19" s="1408" t="s">
        <v>2159</v>
      </c>
      <c r="DL19" s="1408" t="s">
        <v>2514</v>
      </c>
      <c r="DM19" s="1408" t="s">
        <v>5477</v>
      </c>
      <c r="DN19" s="1408" t="s">
        <v>2514</v>
      </c>
      <c r="DO19" s="1408" t="s">
        <v>6227</v>
      </c>
      <c r="DP19" s="1408" t="s">
        <v>2514</v>
      </c>
      <c r="DQ19" s="1408" t="s">
        <v>3141</v>
      </c>
      <c r="DR19" s="1408" t="s">
        <v>2514</v>
      </c>
      <c r="DS19" s="1408" t="s">
        <v>4542</v>
      </c>
      <c r="DT19" s="1408" t="s">
        <v>2514</v>
      </c>
      <c r="DU19" s="1408" t="s">
        <v>1406</v>
      </c>
      <c r="DV19" s="1408" t="s">
        <v>2514</v>
      </c>
      <c r="DW19" s="1408" t="s">
        <v>2539</v>
      </c>
      <c r="DX19" s="1408" t="s">
        <v>2514</v>
      </c>
      <c r="DY19" s="1408" t="s">
        <v>5033</v>
      </c>
      <c r="DZ19" s="1408" t="s">
        <v>2514</v>
      </c>
      <c r="EA19" s="1408" t="s">
        <v>4383</v>
      </c>
      <c r="EB19" s="1408" t="s">
        <v>2514</v>
      </c>
      <c r="EC19" s="1408" t="s">
        <v>1486</v>
      </c>
      <c r="ED19" s="1408" t="s">
        <v>2514</v>
      </c>
      <c r="EE19" s="1408" t="s">
        <v>321</v>
      </c>
      <c r="EF19" s="1408" t="s">
        <v>2514</v>
      </c>
      <c r="EG19" s="1408" t="s">
        <v>6306</v>
      </c>
      <c r="EH19" s="1408" t="s">
        <v>2514</v>
      </c>
      <c r="EI19" s="1408" t="s">
        <v>5</v>
      </c>
      <c r="EJ19" s="1408" t="s">
        <v>2514</v>
      </c>
      <c r="EK19" s="1408" t="s">
        <v>314</v>
      </c>
      <c r="EL19" s="1408" t="s">
        <v>2514</v>
      </c>
      <c r="EM19" s="1408" t="s">
        <v>1565</v>
      </c>
      <c r="EN19" s="1408" t="s">
        <v>2514</v>
      </c>
      <c r="EO19" s="1408" t="s">
        <v>2074</v>
      </c>
      <c r="EP19" s="1408" t="s">
        <v>2514</v>
      </c>
      <c r="EQ19" s="1408" t="s">
        <v>5946</v>
      </c>
      <c r="ER19" s="1408" t="s">
        <v>2514</v>
      </c>
      <c r="ES19" s="1408" t="s">
        <v>5887</v>
      </c>
      <c r="ET19" s="1408" t="s">
        <v>2514</v>
      </c>
      <c r="EU19" s="1408" t="s">
        <v>387</v>
      </c>
      <c r="EV19" s="1408" t="s">
        <v>2514</v>
      </c>
      <c r="EW19" s="1408" t="s">
        <v>254</v>
      </c>
      <c r="EX19" s="1408" t="s">
        <v>2514</v>
      </c>
      <c r="EY19" s="1408" t="s">
        <v>1532</v>
      </c>
      <c r="EZ19" s="1408" t="s">
        <v>2514</v>
      </c>
      <c r="FA19" s="1408" t="s">
        <v>5105</v>
      </c>
      <c r="FB19" s="1408" t="s">
        <v>2514</v>
      </c>
      <c r="FC19" s="1408" t="s">
        <v>3658</v>
      </c>
      <c r="FD19" s="1408" t="s">
        <v>2514</v>
      </c>
      <c r="FE19" s="1408" t="s">
        <v>4457</v>
      </c>
      <c r="FF19" s="1408" t="s">
        <v>2514</v>
      </c>
      <c r="FG19" s="1408" t="s">
        <v>4849</v>
      </c>
      <c r="FH19" s="1408" t="s">
        <v>2514</v>
      </c>
      <c r="FI19" s="1408" t="s">
        <v>6666</v>
      </c>
      <c r="FJ19" s="1408" t="s">
        <v>2514</v>
      </c>
      <c r="FK19" s="1408" t="s">
        <v>1517</v>
      </c>
      <c r="FL19" s="1408" t="s">
        <v>2514</v>
      </c>
      <c r="FM19" s="1408" t="s">
        <v>1663</v>
      </c>
      <c r="FN19" s="1408" t="s">
        <v>2514</v>
      </c>
      <c r="FO19" s="1408" t="s">
        <v>575</v>
      </c>
      <c r="FP19" s="1408" t="s">
        <v>2514</v>
      </c>
      <c r="FQ19" s="1408" t="s">
        <v>1962</v>
      </c>
      <c r="FR19" s="1408" t="s">
        <v>2514</v>
      </c>
      <c r="FS19" s="1408" t="s">
        <v>3912</v>
      </c>
      <c r="FT19" s="1408" t="s">
        <v>2514</v>
      </c>
      <c r="FU19" s="1408" t="s">
        <v>1390</v>
      </c>
      <c r="FV19" s="1408" t="s">
        <v>2514</v>
      </c>
      <c r="FW19" s="1408" t="s">
        <v>1979</v>
      </c>
      <c r="FX19" s="1408" t="s">
        <v>2514</v>
      </c>
      <c r="FY19" s="1408" t="s">
        <v>4258</v>
      </c>
      <c r="FZ19" s="1408" t="s">
        <v>2514</v>
      </c>
      <c r="GA19" s="1408" t="s">
        <v>4171</v>
      </c>
      <c r="GB19" s="1408" t="s">
        <v>2514</v>
      </c>
      <c r="GC19" s="1408" t="s">
        <v>1063</v>
      </c>
      <c r="GD19" s="1408" t="s">
        <v>2514</v>
      </c>
      <c r="GE19" s="1408" t="s">
        <v>2677</v>
      </c>
      <c r="GF19" s="1408" t="s">
        <v>2514</v>
      </c>
      <c r="GG19" s="1408" t="s">
        <v>6226</v>
      </c>
      <c r="GH19" s="1408" t="s">
        <v>2514</v>
      </c>
      <c r="GI19" s="1408" t="s">
        <v>1466</v>
      </c>
      <c r="GJ19" s="1408" t="s">
        <v>2514</v>
      </c>
      <c r="GK19" s="1408" t="s">
        <v>1027</v>
      </c>
      <c r="GL19" s="1408" t="s">
        <v>2514</v>
      </c>
      <c r="GM19" s="1408" t="s">
        <v>3578</v>
      </c>
      <c r="GN19" s="1408" t="s">
        <v>2514</v>
      </c>
      <c r="GO19" s="1408" t="s">
        <v>1527</v>
      </c>
      <c r="GP19" s="1408" t="s">
        <v>2514</v>
      </c>
      <c r="GQ19" s="1408" t="s">
        <v>3601</v>
      </c>
      <c r="GR19" s="1408" t="s">
        <v>2514</v>
      </c>
      <c r="GS19" s="1408" t="s">
        <v>1092</v>
      </c>
      <c r="GT19" s="1408" t="s">
        <v>2514</v>
      </c>
      <c r="GU19" s="1408" t="s">
        <v>4463</v>
      </c>
      <c r="GV19" s="1408" t="s">
        <v>2514</v>
      </c>
      <c r="GW19" s="1408" t="s">
        <v>5212</v>
      </c>
      <c r="GX19" s="1408" t="s">
        <v>2514</v>
      </c>
      <c r="GY19" s="1408" t="s">
        <v>2619</v>
      </c>
      <c r="GZ19" s="1408" t="s">
        <v>2514</v>
      </c>
      <c r="HA19" s="1408" t="s">
        <v>5042</v>
      </c>
      <c r="HB19" s="1408" t="s">
        <v>2514</v>
      </c>
      <c r="HC19" s="1408" t="s">
        <v>5285</v>
      </c>
      <c r="HD19" s="1408" t="s">
        <v>2514</v>
      </c>
      <c r="HE19" s="1408" t="s">
        <v>4826</v>
      </c>
      <c r="HF19" s="1408" t="s">
        <v>2514</v>
      </c>
      <c r="HG19" s="1408" t="s">
        <v>4536</v>
      </c>
      <c r="HH19" s="1408" t="s">
        <v>2514</v>
      </c>
      <c r="HI19" s="1408" t="s">
        <v>6940</v>
      </c>
      <c r="HJ19" s="1408" t="s">
        <v>2514</v>
      </c>
      <c r="HK19" s="1408" t="s">
        <v>3220</v>
      </c>
      <c r="HL19" s="1408" t="s">
        <v>2514</v>
      </c>
      <c r="HM19" s="1408" t="s">
        <v>4702</v>
      </c>
      <c r="HN19" s="1408" t="s">
        <v>2514</v>
      </c>
      <c r="HO19" s="1408" t="s">
        <v>4970</v>
      </c>
      <c r="HP19" s="1408" t="s">
        <v>2514</v>
      </c>
      <c r="HQ19" s="1408" t="s">
        <v>3577</v>
      </c>
      <c r="HR19" s="1408" t="s">
        <v>2514</v>
      </c>
      <c r="HS19" s="1408" t="s">
        <v>2959</v>
      </c>
      <c r="HT19" s="1408" t="s">
        <v>2514</v>
      </c>
      <c r="HU19" s="1408" t="s">
        <v>1495</v>
      </c>
      <c r="HV19" s="1408" t="s">
        <v>2514</v>
      </c>
      <c r="HW19" s="1408" t="s">
        <v>847</v>
      </c>
      <c r="HX19" s="1408" t="s">
        <v>2514</v>
      </c>
      <c r="HY19" s="1408" t="s">
        <v>1518</v>
      </c>
      <c r="HZ19" s="1408" t="s">
        <v>2514</v>
      </c>
      <c r="IA19" s="1408" t="s">
        <v>460</v>
      </c>
      <c r="IB19" s="1408" t="s">
        <v>2514</v>
      </c>
      <c r="IC19" s="1408" t="s">
        <v>1108</v>
      </c>
      <c r="ID19" s="1408" t="s">
        <v>2514</v>
      </c>
      <c r="IE19" s="1408" t="s">
        <v>3453</v>
      </c>
      <c r="IF19" s="1408" t="s">
        <v>2514</v>
      </c>
      <c r="IG19" s="1408" t="s">
        <v>349</v>
      </c>
      <c r="IH19" s="1408" t="s">
        <v>2514</v>
      </c>
      <c r="II19" s="1408" t="s">
        <v>3040</v>
      </c>
      <c r="IJ19" s="1408" t="s">
        <v>2514</v>
      </c>
      <c r="IK19" s="1408" t="s">
        <v>911</v>
      </c>
      <c r="IL19" s="1408" t="s">
        <v>2514</v>
      </c>
      <c r="IM19" s="1408" t="s">
        <v>4915</v>
      </c>
      <c r="IN19" s="1408" t="s">
        <v>2514</v>
      </c>
      <c r="IO19" s="1408" t="s">
        <v>2929</v>
      </c>
      <c r="IP19" s="1408" t="s">
        <v>2514</v>
      </c>
      <c r="IQ19" s="1408" t="s">
        <v>4187</v>
      </c>
      <c r="IR19" s="1408" t="s">
        <v>2514</v>
      </c>
      <c r="IS19" s="1408" t="s">
        <v>1260</v>
      </c>
      <c r="IT19" s="1408" t="s">
        <v>2514</v>
      </c>
      <c r="IU19" s="1408" t="s">
        <v>6104</v>
      </c>
      <c r="IV19" s="1408" t="s">
        <v>2514</v>
      </c>
    </row>
    <row r="20" spans="1:256" s="1408" customFormat="1">
      <c r="A20" s="1408" t="s">
        <v>5591</v>
      </c>
      <c r="B20" s="1408" t="s">
        <v>2514</v>
      </c>
      <c r="C20" s="1408" t="s">
        <v>565</v>
      </c>
      <c r="D20" s="1408" t="s">
        <v>2514</v>
      </c>
      <c r="E20" s="1408" t="s">
        <v>3416</v>
      </c>
      <c r="F20" s="1408" t="s">
        <v>2514</v>
      </c>
      <c r="G20" s="1408" t="s">
        <v>6895</v>
      </c>
      <c r="H20" s="1408" t="s">
        <v>2514</v>
      </c>
      <c r="I20" s="1408" t="s">
        <v>6544</v>
      </c>
      <c r="J20" s="1408" t="s">
        <v>2514</v>
      </c>
      <c r="K20" s="1408" t="s">
        <v>2138</v>
      </c>
      <c r="L20" s="1408" t="s">
        <v>2514</v>
      </c>
      <c r="M20" s="1408" t="s">
        <v>6315</v>
      </c>
      <c r="N20" s="1408" t="s">
        <v>2514</v>
      </c>
      <c r="O20" s="1408" t="s">
        <v>1339</v>
      </c>
      <c r="P20" s="1408" t="s">
        <v>2514</v>
      </c>
      <c r="Q20" s="1408" t="s">
        <v>5754</v>
      </c>
      <c r="R20" s="1408" t="s">
        <v>2514</v>
      </c>
      <c r="S20" s="1408" t="s">
        <v>355</v>
      </c>
      <c r="T20" s="1408" t="s">
        <v>2514</v>
      </c>
      <c r="U20" s="1408" t="s">
        <v>4825</v>
      </c>
      <c r="V20" s="1408" t="s">
        <v>2514</v>
      </c>
      <c r="W20" s="1408" t="s">
        <v>5350</v>
      </c>
      <c r="X20" s="1408" t="s">
        <v>2514</v>
      </c>
      <c r="Y20" s="1408" t="s">
        <v>1335</v>
      </c>
      <c r="Z20" s="1408" t="s">
        <v>2514</v>
      </c>
      <c r="AA20" s="1408" t="s">
        <v>848</v>
      </c>
      <c r="AB20" s="1408" t="s">
        <v>2514</v>
      </c>
      <c r="AC20" s="1408" t="s">
        <v>1841</v>
      </c>
      <c r="AD20" s="1408" t="s">
        <v>2514</v>
      </c>
      <c r="AE20" s="1408" t="s">
        <v>2432</v>
      </c>
      <c r="AF20" s="1408" t="s">
        <v>2514</v>
      </c>
      <c r="AG20" s="1408" t="s">
        <v>2083</v>
      </c>
      <c r="AH20" s="1408" t="s">
        <v>2514</v>
      </c>
      <c r="AI20" s="1408" t="s">
        <v>5860</v>
      </c>
      <c r="AJ20" s="1408" t="s">
        <v>2514</v>
      </c>
      <c r="AK20" s="1408" t="s">
        <v>6228</v>
      </c>
      <c r="AL20" s="1408" t="s">
        <v>2514</v>
      </c>
      <c r="AM20" s="1408" t="s">
        <v>4393</v>
      </c>
      <c r="AN20" s="1408" t="s">
        <v>2514</v>
      </c>
      <c r="AO20" s="1408" t="s">
        <v>1233</v>
      </c>
      <c r="AP20" s="1408" t="s">
        <v>2514</v>
      </c>
      <c r="AQ20" s="1408" t="s">
        <v>5117</v>
      </c>
      <c r="AR20" s="1408" t="s">
        <v>2514</v>
      </c>
      <c r="AS20" s="1408" t="s">
        <v>3013</v>
      </c>
      <c r="AT20" s="1408" t="s">
        <v>2514</v>
      </c>
      <c r="AU20" s="1408" t="s">
        <v>5923</v>
      </c>
      <c r="AV20" s="1408" t="s">
        <v>2514</v>
      </c>
      <c r="AW20" s="1408" t="s">
        <v>2862</v>
      </c>
      <c r="AX20" s="1408" t="s">
        <v>2514</v>
      </c>
      <c r="AY20" s="1408" t="s">
        <v>2365</v>
      </c>
      <c r="AZ20" s="1408" t="s">
        <v>2514</v>
      </c>
      <c r="BA20" s="1408" t="s">
        <v>3258</v>
      </c>
      <c r="BB20" s="1408" t="s">
        <v>2514</v>
      </c>
      <c r="BC20" s="1408" t="s">
        <v>6536</v>
      </c>
      <c r="BD20" s="1408" t="s">
        <v>2514</v>
      </c>
      <c r="BE20" s="1408" t="s">
        <v>3289</v>
      </c>
      <c r="BF20" s="1408" t="s">
        <v>2514</v>
      </c>
      <c r="BG20" s="1408" t="s">
        <v>1683</v>
      </c>
      <c r="BH20" s="1408" t="s">
        <v>2514</v>
      </c>
      <c r="BI20" s="1408" t="s">
        <v>5057</v>
      </c>
      <c r="BJ20" s="1408" t="s">
        <v>2514</v>
      </c>
      <c r="BK20" s="1408" t="s">
        <v>4975</v>
      </c>
      <c r="BL20" s="1408" t="s">
        <v>2514</v>
      </c>
      <c r="BM20" s="1408" t="s">
        <v>1071</v>
      </c>
      <c r="BN20" s="1408" t="s">
        <v>2514</v>
      </c>
      <c r="BO20" s="1408" t="s">
        <v>3379</v>
      </c>
      <c r="BP20" s="1408" t="s">
        <v>2514</v>
      </c>
      <c r="BQ20" s="1408" t="s">
        <v>4900</v>
      </c>
      <c r="BR20" s="1408" t="s">
        <v>2514</v>
      </c>
      <c r="BS20" s="1408" t="s">
        <v>1013</v>
      </c>
      <c r="BT20" s="1408" t="s">
        <v>2514</v>
      </c>
      <c r="BU20" s="1408" t="s">
        <v>4440</v>
      </c>
      <c r="BV20" s="1408" t="s">
        <v>2514</v>
      </c>
      <c r="BW20" s="1408" t="s">
        <v>2837</v>
      </c>
      <c r="BX20" s="1408" t="s">
        <v>2514</v>
      </c>
      <c r="BY20" s="1408" t="s">
        <v>2037</v>
      </c>
      <c r="BZ20" s="1408" t="s">
        <v>2514</v>
      </c>
      <c r="CA20" s="1408" t="s">
        <v>4652</v>
      </c>
      <c r="CB20" s="1408" t="s">
        <v>2514</v>
      </c>
      <c r="CC20" s="1408" t="s">
        <v>5520</v>
      </c>
      <c r="CD20" s="1408" t="s">
        <v>2514</v>
      </c>
      <c r="CE20" s="1408" t="s">
        <v>4410</v>
      </c>
      <c r="CF20" s="1408" t="s">
        <v>2514</v>
      </c>
      <c r="CG20" s="1408" t="s">
        <v>2272</v>
      </c>
      <c r="CH20" s="1408" t="s">
        <v>2514</v>
      </c>
      <c r="CI20" s="1408" t="s">
        <v>3240</v>
      </c>
      <c r="CJ20" s="1408" t="s">
        <v>2514</v>
      </c>
      <c r="CK20" s="1408" t="s">
        <v>4616</v>
      </c>
      <c r="CL20" s="1408" t="s">
        <v>2514</v>
      </c>
      <c r="CM20" s="1408" t="s">
        <v>2529</v>
      </c>
      <c r="CN20" s="1408" t="s">
        <v>2514</v>
      </c>
      <c r="CO20" s="1408" t="s">
        <v>6212</v>
      </c>
      <c r="CP20" s="1408" t="s">
        <v>2514</v>
      </c>
      <c r="CQ20" s="1408" t="s">
        <v>5595</v>
      </c>
      <c r="CR20" s="1408" t="s">
        <v>2514</v>
      </c>
      <c r="CS20" s="1408" t="s">
        <v>1280</v>
      </c>
      <c r="CT20" s="1408" t="s">
        <v>2514</v>
      </c>
      <c r="CU20" s="1408" t="s">
        <v>1414</v>
      </c>
      <c r="CV20" s="1408" t="s">
        <v>2514</v>
      </c>
      <c r="CW20" s="1408" t="s">
        <v>3846</v>
      </c>
      <c r="CX20" s="1408" t="s">
        <v>2514</v>
      </c>
      <c r="CY20" s="1408" t="s">
        <v>2927</v>
      </c>
      <c r="CZ20" s="1408" t="s">
        <v>2514</v>
      </c>
      <c r="DA20" s="1408" t="s">
        <v>1186</v>
      </c>
      <c r="DB20" s="1408" t="s">
        <v>2514</v>
      </c>
      <c r="DC20" s="1408" t="s">
        <v>3089</v>
      </c>
      <c r="DD20" s="1408" t="s">
        <v>2514</v>
      </c>
      <c r="DE20" s="1408" t="s">
        <v>3298</v>
      </c>
      <c r="DF20" s="1408" t="s">
        <v>2514</v>
      </c>
      <c r="DG20" s="1408" t="s">
        <v>4638</v>
      </c>
      <c r="DH20" s="1408" t="s">
        <v>2514</v>
      </c>
      <c r="DI20" s="1408" t="s">
        <v>5012</v>
      </c>
      <c r="DJ20" s="1408" t="s">
        <v>2514</v>
      </c>
      <c r="DK20" s="1408" t="s">
        <v>6950</v>
      </c>
      <c r="DL20" s="1408" t="s">
        <v>2514</v>
      </c>
      <c r="DM20" s="1408" t="s">
        <v>165</v>
      </c>
      <c r="DN20" s="1408" t="s">
        <v>2514</v>
      </c>
      <c r="DO20" s="1408" t="s">
        <v>5894</v>
      </c>
      <c r="DP20" s="1408" t="s">
        <v>2514</v>
      </c>
      <c r="DQ20" s="1408" t="s">
        <v>6218</v>
      </c>
      <c r="DR20" s="1408" t="s">
        <v>2514</v>
      </c>
      <c r="DS20" s="1408" t="s">
        <v>4344</v>
      </c>
      <c r="DT20" s="1408" t="s">
        <v>2514</v>
      </c>
      <c r="DU20" s="1408" t="s">
        <v>5709</v>
      </c>
      <c r="DV20" s="1408" t="s">
        <v>2514</v>
      </c>
      <c r="DW20" s="1408" t="s">
        <v>4002</v>
      </c>
      <c r="DX20" s="1408" t="s">
        <v>2514</v>
      </c>
      <c r="DY20" s="1408" t="s">
        <v>50</v>
      </c>
      <c r="DZ20" s="1408" t="s">
        <v>2514</v>
      </c>
      <c r="EA20" s="1408" t="s">
        <v>6709</v>
      </c>
      <c r="EB20" s="1408" t="s">
        <v>2514</v>
      </c>
      <c r="EC20" s="1408" t="s">
        <v>1996</v>
      </c>
      <c r="ED20" s="1408" t="s">
        <v>2514</v>
      </c>
      <c r="EE20" s="1408" t="s">
        <v>2295</v>
      </c>
      <c r="EF20" s="1408" t="s">
        <v>2514</v>
      </c>
      <c r="EG20" s="1408" t="s">
        <v>3161</v>
      </c>
      <c r="EH20" s="1408" t="s">
        <v>2514</v>
      </c>
      <c r="EI20" s="1408" t="s">
        <v>4559</v>
      </c>
      <c r="EJ20" s="1408" t="s">
        <v>2514</v>
      </c>
      <c r="EK20" s="1408" t="s">
        <v>1177</v>
      </c>
      <c r="EL20" s="1408" t="s">
        <v>2514</v>
      </c>
      <c r="EM20" s="1408" t="s">
        <v>2274</v>
      </c>
      <c r="EN20" s="1408" t="s">
        <v>2514</v>
      </c>
      <c r="EO20" s="1408" t="s">
        <v>2823</v>
      </c>
      <c r="EP20" s="1408" t="s">
        <v>2514</v>
      </c>
      <c r="EQ20" s="1408" t="s">
        <v>99</v>
      </c>
      <c r="ER20" s="1408" t="s">
        <v>2514</v>
      </c>
      <c r="ES20" s="1408" t="s">
        <v>3716</v>
      </c>
      <c r="ET20" s="1408" t="s">
        <v>2514</v>
      </c>
      <c r="EU20" s="1408" t="s">
        <v>6675</v>
      </c>
      <c r="EV20" s="1408" t="s">
        <v>2514</v>
      </c>
      <c r="EW20" s="1408" t="s">
        <v>223</v>
      </c>
      <c r="EX20" s="1408" t="s">
        <v>2514</v>
      </c>
      <c r="EY20" s="1408" t="s">
        <v>2709</v>
      </c>
      <c r="EZ20" s="1408" t="s">
        <v>2514</v>
      </c>
      <c r="FA20" s="1408" t="s">
        <v>5832</v>
      </c>
      <c r="FB20" s="1408" t="s">
        <v>2514</v>
      </c>
      <c r="FC20" s="1408" t="s">
        <v>5557</v>
      </c>
      <c r="FD20" s="1408" t="s">
        <v>2514</v>
      </c>
      <c r="FE20" s="1408" t="s">
        <v>431</v>
      </c>
      <c r="FF20" s="1408" t="s">
        <v>2514</v>
      </c>
      <c r="FG20" s="1408" t="s">
        <v>4362</v>
      </c>
      <c r="FH20" s="1408" t="s">
        <v>2514</v>
      </c>
      <c r="FI20" s="1408" t="s">
        <v>1786</v>
      </c>
      <c r="FJ20" s="1408" t="s">
        <v>2514</v>
      </c>
      <c r="FK20" s="1408" t="s">
        <v>5784</v>
      </c>
      <c r="FL20" s="1408" t="s">
        <v>2514</v>
      </c>
      <c r="FM20" s="1408" t="s">
        <v>2813</v>
      </c>
      <c r="FN20" s="1408" t="s">
        <v>2514</v>
      </c>
      <c r="FO20" s="1408" t="s">
        <v>267</v>
      </c>
      <c r="FP20" s="1408" t="s">
        <v>2514</v>
      </c>
      <c r="FQ20" s="1408" t="s">
        <v>6505</v>
      </c>
      <c r="FR20" s="1408" t="s">
        <v>2514</v>
      </c>
      <c r="FS20" s="1408" t="s">
        <v>2533</v>
      </c>
      <c r="FT20" s="1408" t="s">
        <v>2514</v>
      </c>
      <c r="FU20" s="1408" t="s">
        <v>3567</v>
      </c>
      <c r="FV20" s="1408" t="s">
        <v>2514</v>
      </c>
      <c r="FW20" s="1408" t="s">
        <v>4061</v>
      </c>
      <c r="FX20" s="1408" t="s">
        <v>2514</v>
      </c>
      <c r="FY20" s="1408" t="s">
        <v>5131</v>
      </c>
      <c r="FZ20" s="1408" t="s">
        <v>2514</v>
      </c>
      <c r="GA20" s="1408" t="s">
        <v>2415</v>
      </c>
      <c r="GB20" s="1408" t="s">
        <v>2514</v>
      </c>
      <c r="GC20" s="1408" t="s">
        <v>1542</v>
      </c>
      <c r="GD20" s="1408" t="s">
        <v>2514</v>
      </c>
      <c r="GE20" s="1408" t="s">
        <v>4897</v>
      </c>
      <c r="GF20" s="1408" t="s">
        <v>2514</v>
      </c>
      <c r="GG20" s="1408" t="s">
        <v>2124</v>
      </c>
      <c r="GH20" s="1408" t="s">
        <v>2514</v>
      </c>
      <c r="GI20" s="1408" t="s">
        <v>396</v>
      </c>
      <c r="GJ20" s="1408" t="s">
        <v>2514</v>
      </c>
      <c r="GK20" s="1408" t="s">
        <v>6318</v>
      </c>
      <c r="GL20" s="1408" t="s">
        <v>2514</v>
      </c>
      <c r="GM20" s="1408" t="s">
        <v>354</v>
      </c>
      <c r="GN20" s="1408" t="s">
        <v>2514</v>
      </c>
      <c r="GO20" s="1408" t="s">
        <v>5425</v>
      </c>
      <c r="GP20" s="1408" t="s">
        <v>2514</v>
      </c>
      <c r="GQ20" s="1408" t="s">
        <v>2801</v>
      </c>
      <c r="GR20" s="1408" t="s">
        <v>2514</v>
      </c>
      <c r="GS20" s="1408" t="s">
        <v>3025</v>
      </c>
      <c r="GT20" s="1408" t="s">
        <v>2514</v>
      </c>
      <c r="GU20" s="1408" t="s">
        <v>3202</v>
      </c>
      <c r="GV20" s="1408" t="s">
        <v>2514</v>
      </c>
      <c r="GW20" s="1408" t="s">
        <v>6623</v>
      </c>
      <c r="GX20" s="1408" t="s">
        <v>2514</v>
      </c>
      <c r="GY20" s="1408" t="s">
        <v>2235</v>
      </c>
      <c r="GZ20" s="1408" t="s">
        <v>2514</v>
      </c>
      <c r="HA20" s="1408" t="s">
        <v>1211</v>
      </c>
      <c r="HB20" s="1408" t="s">
        <v>2514</v>
      </c>
      <c r="HC20" s="1408" t="s">
        <v>3253</v>
      </c>
      <c r="HD20" s="1408" t="s">
        <v>2514</v>
      </c>
      <c r="HE20" s="1408" t="s">
        <v>1485</v>
      </c>
      <c r="HF20" s="1408" t="s">
        <v>2514</v>
      </c>
      <c r="HG20" s="1408" t="s">
        <v>2279</v>
      </c>
      <c r="HH20" s="1408" t="s">
        <v>2514</v>
      </c>
      <c r="HI20" s="1408" t="s">
        <v>543</v>
      </c>
      <c r="HJ20" s="1408" t="s">
        <v>2514</v>
      </c>
      <c r="HK20" s="1408" t="s">
        <v>2588</v>
      </c>
      <c r="HL20" s="1408" t="s">
        <v>2514</v>
      </c>
      <c r="HM20" s="1408" t="s">
        <v>757</v>
      </c>
      <c r="HN20" s="1408" t="s">
        <v>6139</v>
      </c>
      <c r="HO20" s="1408" t="s">
        <v>4275</v>
      </c>
      <c r="HP20" s="1408" t="s">
        <v>2514</v>
      </c>
      <c r="HQ20" s="1408" t="s">
        <v>3233</v>
      </c>
      <c r="HR20" s="1408" t="s">
        <v>2514</v>
      </c>
      <c r="HS20" s="1408" t="s">
        <v>3595</v>
      </c>
      <c r="HT20" s="1408" t="s">
        <v>2514</v>
      </c>
      <c r="HU20" s="1408" t="s">
        <v>3542</v>
      </c>
      <c r="HV20" s="1408" t="s">
        <v>2514</v>
      </c>
      <c r="HW20" s="1408" t="s">
        <v>1578</v>
      </c>
      <c r="HX20" s="1408" t="s">
        <v>2514</v>
      </c>
      <c r="HY20" s="1408" t="s">
        <v>3744</v>
      </c>
      <c r="HZ20" s="1408" t="s">
        <v>2514</v>
      </c>
      <c r="IA20" s="1408" t="s">
        <v>6636</v>
      </c>
      <c r="IB20" s="1408" t="s">
        <v>2514</v>
      </c>
      <c r="IC20" s="1408" t="s">
        <v>4615</v>
      </c>
      <c r="ID20" s="1408" t="s">
        <v>2514</v>
      </c>
      <c r="IE20" s="1408" t="s">
        <v>4149</v>
      </c>
      <c r="IF20" s="1408" t="s">
        <v>2514</v>
      </c>
      <c r="IG20" s="1408" t="s">
        <v>1573</v>
      </c>
      <c r="IH20" s="1408" t="s">
        <v>2514</v>
      </c>
      <c r="II20" s="1408" t="s">
        <v>3175</v>
      </c>
      <c r="IJ20" s="1408" t="s">
        <v>2514</v>
      </c>
      <c r="IK20" s="1408" t="s">
        <v>6331</v>
      </c>
      <c r="IL20" s="1408" t="s">
        <v>2514</v>
      </c>
      <c r="IM20" s="1408" t="s">
        <v>5867</v>
      </c>
      <c r="IN20" s="1408" t="s">
        <v>2514</v>
      </c>
      <c r="IO20" s="1408" t="s">
        <v>1496</v>
      </c>
      <c r="IP20" s="1408" t="s">
        <v>2514</v>
      </c>
      <c r="IQ20" s="1408" t="s">
        <v>6631</v>
      </c>
      <c r="IR20" s="1408" t="s">
        <v>2514</v>
      </c>
      <c r="IS20" s="1408" t="s">
        <v>4377</v>
      </c>
      <c r="IT20" s="1408" t="s">
        <v>2514</v>
      </c>
      <c r="IU20" s="1408" t="s">
        <v>637</v>
      </c>
      <c r="IV20" s="1408" t="s">
        <v>2514</v>
      </c>
    </row>
    <row r="21" spans="1:256" s="1408" customFormat="1">
      <c r="A21" s="1408" t="s">
        <v>6116</v>
      </c>
      <c r="B21" s="1408" t="s">
        <v>2514</v>
      </c>
      <c r="C21" s="1408" t="s">
        <v>6082</v>
      </c>
      <c r="D21" s="1408" t="s">
        <v>2514</v>
      </c>
      <c r="E21" s="1408" t="s">
        <v>2161</v>
      </c>
      <c r="F21" s="1408" t="s">
        <v>2514</v>
      </c>
      <c r="G21" s="1408" t="s">
        <v>4934</v>
      </c>
      <c r="H21" s="1408" t="s">
        <v>2514</v>
      </c>
      <c r="I21" s="1408" t="s">
        <v>2615</v>
      </c>
      <c r="J21" s="1408" t="s">
        <v>2514</v>
      </c>
      <c r="K21" s="1408" t="s">
        <v>3841</v>
      </c>
      <c r="L21" s="1408" t="s">
        <v>2514</v>
      </c>
      <c r="M21" s="1408" t="s">
        <v>2535</v>
      </c>
      <c r="N21" s="1408" t="s">
        <v>2514</v>
      </c>
      <c r="O21" s="1408" t="s">
        <v>537</v>
      </c>
      <c r="P21" s="1408" t="s">
        <v>2514</v>
      </c>
      <c r="Q21" s="1408" t="s">
        <v>1716</v>
      </c>
      <c r="R21" s="1408" t="s">
        <v>2514</v>
      </c>
      <c r="S21" s="1408" t="s">
        <v>499</v>
      </c>
      <c r="T21" s="1408" t="s">
        <v>2514</v>
      </c>
      <c r="U21" s="1408" t="s">
        <v>3926</v>
      </c>
      <c r="V21" s="1408" t="s">
        <v>2514</v>
      </c>
      <c r="W21" s="1408" t="s">
        <v>780</v>
      </c>
      <c r="X21" s="1408" t="s">
        <v>2514</v>
      </c>
      <c r="Y21" s="1408" t="s">
        <v>6474</v>
      </c>
      <c r="Z21" s="1408" t="s">
        <v>2514</v>
      </c>
      <c r="AA21" s="1408" t="s">
        <v>4654</v>
      </c>
      <c r="AB21" s="1408" t="s">
        <v>2514</v>
      </c>
      <c r="AC21" s="1408" t="s">
        <v>3922</v>
      </c>
      <c r="AD21" s="1408" t="s">
        <v>2514</v>
      </c>
      <c r="AE21" s="1408" t="s">
        <v>5659</v>
      </c>
      <c r="AF21" s="1408" t="s">
        <v>2514</v>
      </c>
      <c r="AG21" s="1408" t="s">
        <v>259</v>
      </c>
      <c r="AH21" s="1408" t="s">
        <v>2514</v>
      </c>
      <c r="AI21" s="1408" t="s">
        <v>4705</v>
      </c>
      <c r="AJ21" s="1408" t="s">
        <v>2514</v>
      </c>
      <c r="AK21" s="1408" t="s">
        <v>6199</v>
      </c>
      <c r="AL21" s="1408" t="s">
        <v>2514</v>
      </c>
      <c r="AM21" s="1408" t="s">
        <v>3127</v>
      </c>
      <c r="AN21" s="1408" t="s">
        <v>2514</v>
      </c>
      <c r="AO21" s="1408" t="s">
        <v>3531</v>
      </c>
      <c r="AP21" s="1408" t="s">
        <v>2514</v>
      </c>
      <c r="AQ21" s="1408" t="s">
        <v>5101</v>
      </c>
      <c r="AR21" s="1408" t="s">
        <v>2514</v>
      </c>
      <c r="AS21" s="1408" t="s">
        <v>1884</v>
      </c>
      <c r="AT21" s="1408" t="s">
        <v>2514</v>
      </c>
      <c r="AU21" s="1408" t="s">
        <v>3712</v>
      </c>
      <c r="AV21" s="1408" t="s">
        <v>2514</v>
      </c>
      <c r="AW21" s="1408" t="s">
        <v>4655</v>
      </c>
      <c r="AX21" s="1408" t="s">
        <v>2514</v>
      </c>
      <c r="AY21" s="1408" t="s">
        <v>2610</v>
      </c>
      <c r="AZ21" s="1408" t="s">
        <v>2514</v>
      </c>
      <c r="BA21" s="1408" t="s">
        <v>4018</v>
      </c>
      <c r="BB21" s="1408" t="s">
        <v>2514</v>
      </c>
      <c r="BC21" s="1408" t="s">
        <v>126</v>
      </c>
      <c r="BD21" s="1408" t="s">
        <v>2514</v>
      </c>
      <c r="BE21" s="1408" t="s">
        <v>5341</v>
      </c>
      <c r="BF21" s="1408" t="s">
        <v>2514</v>
      </c>
      <c r="BG21" s="1408" t="s">
        <v>3612</v>
      </c>
      <c r="BH21" s="1408" t="s">
        <v>2514</v>
      </c>
      <c r="BI21" s="1408" t="s">
        <v>4937</v>
      </c>
      <c r="BJ21" s="1408" t="s">
        <v>2514</v>
      </c>
      <c r="BK21" s="1408" t="s">
        <v>4260</v>
      </c>
      <c r="BL21" s="1408" t="s">
        <v>2514</v>
      </c>
      <c r="BM21" s="1408" t="s">
        <v>868</v>
      </c>
      <c r="BN21" s="1408" t="s">
        <v>2514</v>
      </c>
      <c r="BO21" s="1408" t="s">
        <v>4452</v>
      </c>
      <c r="BP21" s="1408" t="s">
        <v>2514</v>
      </c>
      <c r="BQ21" s="1408" t="s">
        <v>3861</v>
      </c>
      <c r="BR21" s="1408" t="s">
        <v>2514</v>
      </c>
      <c r="BS21" s="1408" t="s">
        <v>2647</v>
      </c>
      <c r="BT21" s="1408" t="s">
        <v>2514</v>
      </c>
      <c r="BU21" s="1408" t="s">
        <v>54</v>
      </c>
      <c r="BV21" s="1408" t="s">
        <v>2514</v>
      </c>
      <c r="BW21" s="1408" t="s">
        <v>4003</v>
      </c>
      <c r="BX21" s="1408" t="s">
        <v>2514</v>
      </c>
      <c r="BY21" s="1408" t="s">
        <v>3201</v>
      </c>
      <c r="BZ21" s="1408" t="s">
        <v>2514</v>
      </c>
      <c r="CA21" s="1408" t="s">
        <v>4951</v>
      </c>
      <c r="CB21" s="1408" t="s">
        <v>2514</v>
      </c>
      <c r="CC21" s="1408" t="s">
        <v>1693</v>
      </c>
      <c r="CD21" s="1408" t="s">
        <v>2514</v>
      </c>
      <c r="CE21" s="1408" t="s">
        <v>4857</v>
      </c>
      <c r="CF21" s="1408" t="s">
        <v>2514</v>
      </c>
      <c r="CG21" s="1408" t="s">
        <v>3022</v>
      </c>
      <c r="CH21" s="1408" t="s">
        <v>2514</v>
      </c>
      <c r="CI21" s="1408" t="s">
        <v>5307</v>
      </c>
      <c r="CJ21" s="1408" t="s">
        <v>2514</v>
      </c>
      <c r="CK21" s="1408" t="s">
        <v>5514</v>
      </c>
      <c r="CL21" s="1408" t="s">
        <v>2514</v>
      </c>
      <c r="CM21" s="1408" t="s">
        <v>437</v>
      </c>
      <c r="CN21" s="1408" t="s">
        <v>2514</v>
      </c>
      <c r="CO21" s="1408" t="s">
        <v>6835</v>
      </c>
      <c r="CP21" s="1408" t="s">
        <v>2514</v>
      </c>
      <c r="CQ21" s="1408" t="s">
        <v>3334</v>
      </c>
      <c r="CR21" s="1408" t="s">
        <v>2514</v>
      </c>
      <c r="CS21" s="1408" t="s">
        <v>1856</v>
      </c>
      <c r="CT21" s="1408" t="s">
        <v>2514</v>
      </c>
      <c r="CU21" s="1408" t="s">
        <v>4067</v>
      </c>
      <c r="CV21" s="1408" t="s">
        <v>2514</v>
      </c>
      <c r="CW21" s="1408" t="s">
        <v>5437</v>
      </c>
      <c r="CX21" s="1408" t="s">
        <v>2514</v>
      </c>
      <c r="CY21" s="1408" t="s">
        <v>1229</v>
      </c>
      <c r="CZ21" s="1408" t="s">
        <v>2514</v>
      </c>
      <c r="DA21" s="1408" t="s">
        <v>5089</v>
      </c>
      <c r="DB21" s="1408" t="s">
        <v>2514</v>
      </c>
      <c r="DC21" s="1408" t="s">
        <v>3157</v>
      </c>
      <c r="DD21" s="1408" t="s">
        <v>2514</v>
      </c>
      <c r="DE21" s="1408" t="s">
        <v>3650</v>
      </c>
      <c r="DF21" s="1408" t="s">
        <v>2514</v>
      </c>
      <c r="DG21" s="1408" t="s">
        <v>4908</v>
      </c>
      <c r="DH21" s="1408" t="s">
        <v>2514</v>
      </c>
      <c r="DI21" s="1408" t="s">
        <v>1210</v>
      </c>
      <c r="DJ21" s="1408" t="s">
        <v>2514</v>
      </c>
      <c r="DK21" s="1408" t="s">
        <v>5908</v>
      </c>
      <c r="DL21" s="1408" t="s">
        <v>2514</v>
      </c>
      <c r="DM21" s="1408" t="s">
        <v>1295</v>
      </c>
      <c r="DN21" s="1408" t="s">
        <v>2514</v>
      </c>
      <c r="DO21" s="1408" t="s">
        <v>5805</v>
      </c>
      <c r="DP21" s="1408" t="s">
        <v>2514</v>
      </c>
      <c r="DQ21" s="1408" t="s">
        <v>4493</v>
      </c>
      <c r="DR21" s="1408" t="s">
        <v>2514</v>
      </c>
      <c r="DS21" s="1408" t="s">
        <v>1830</v>
      </c>
      <c r="DT21" s="1408" t="s">
        <v>2514</v>
      </c>
      <c r="DU21" s="1408" t="s">
        <v>4708</v>
      </c>
      <c r="DV21" s="1408" t="s">
        <v>2514</v>
      </c>
      <c r="DW21" s="1408" t="s">
        <v>1650</v>
      </c>
      <c r="DX21" s="1408" t="s">
        <v>2514</v>
      </c>
      <c r="DY21" s="1408" t="s">
        <v>5825</v>
      </c>
      <c r="DZ21" s="1408" t="s">
        <v>2514</v>
      </c>
      <c r="EA21" s="1408" t="s">
        <v>3847</v>
      </c>
      <c r="EB21" s="1408" t="s">
        <v>2514</v>
      </c>
      <c r="EC21" s="1408" t="s">
        <v>4178</v>
      </c>
      <c r="ED21" s="1408" t="s">
        <v>2514</v>
      </c>
      <c r="EE21" s="1408" t="s">
        <v>5044</v>
      </c>
      <c r="EF21" s="1408" t="s">
        <v>2514</v>
      </c>
      <c r="EG21" s="1408" t="s">
        <v>2973</v>
      </c>
      <c r="EH21" s="1408" t="s">
        <v>2514</v>
      </c>
      <c r="EI21" s="1408" t="s">
        <v>6345</v>
      </c>
      <c r="EJ21" s="1408" t="s">
        <v>2514</v>
      </c>
      <c r="EK21" s="1408" t="s">
        <v>2287</v>
      </c>
      <c r="EL21" s="1408" t="s">
        <v>2514</v>
      </c>
      <c r="EM21" s="1408" t="s">
        <v>5005</v>
      </c>
      <c r="EN21" s="1408" t="s">
        <v>2514</v>
      </c>
      <c r="EO21" s="1408" t="s">
        <v>4956</v>
      </c>
      <c r="EP21" s="1408" t="s">
        <v>2514</v>
      </c>
      <c r="EQ21" s="1408" t="s">
        <v>3573</v>
      </c>
      <c r="ER21" s="1408" t="s">
        <v>2514</v>
      </c>
      <c r="ES21" s="1408" t="s">
        <v>71</v>
      </c>
      <c r="ET21" s="1408" t="s">
        <v>2514</v>
      </c>
      <c r="EU21" s="1408" t="s">
        <v>5051</v>
      </c>
      <c r="EV21" s="1408" t="s">
        <v>2514</v>
      </c>
      <c r="EW21" s="1408" t="s">
        <v>3873</v>
      </c>
      <c r="EX21" s="1408" t="s">
        <v>2514</v>
      </c>
      <c r="EY21" s="1408" t="s">
        <v>2907</v>
      </c>
      <c r="EZ21" s="1408" t="s">
        <v>2514</v>
      </c>
      <c r="FA21" s="1408" t="s">
        <v>678</v>
      </c>
      <c r="FB21" s="1408" t="s">
        <v>2514</v>
      </c>
      <c r="FC21" s="1408" t="s">
        <v>6481</v>
      </c>
      <c r="FD21" s="1408" t="s">
        <v>2514</v>
      </c>
      <c r="FE21" s="1408" t="s">
        <v>6337</v>
      </c>
      <c r="FF21" s="1408" t="s">
        <v>2514</v>
      </c>
      <c r="FG21" s="1408" t="s">
        <v>5112</v>
      </c>
      <c r="FH21" s="1408" t="s">
        <v>2514</v>
      </c>
      <c r="FI21" s="1408" t="s">
        <v>562</v>
      </c>
      <c r="FJ21" s="1408" t="s">
        <v>2514</v>
      </c>
      <c r="FK21" s="1408" t="s">
        <v>113</v>
      </c>
      <c r="FL21" s="1408" t="s">
        <v>2514</v>
      </c>
      <c r="FM21" s="1408" t="s">
        <v>3964</v>
      </c>
      <c r="FN21" s="1408" t="s">
        <v>2514</v>
      </c>
      <c r="FO21" s="1408" t="s">
        <v>4853</v>
      </c>
      <c r="FP21" s="1408" t="s">
        <v>2514</v>
      </c>
      <c r="FQ21" s="1408" t="s">
        <v>1106</v>
      </c>
      <c r="FR21" s="1408" t="s">
        <v>2514</v>
      </c>
      <c r="FS21" s="1408" t="s">
        <v>4046</v>
      </c>
      <c r="FT21" s="1408" t="s">
        <v>2514</v>
      </c>
      <c r="FU21" s="1408" t="s">
        <v>4769</v>
      </c>
      <c r="FV21" s="1408" t="s">
        <v>2514</v>
      </c>
      <c r="FW21" s="1408" t="s">
        <v>6135</v>
      </c>
      <c r="FX21" s="1408" t="s">
        <v>2514</v>
      </c>
      <c r="FY21" s="1408" t="s">
        <v>2671</v>
      </c>
      <c r="FZ21" s="1408" t="s">
        <v>2514</v>
      </c>
      <c r="GA21" s="1408" t="s">
        <v>578</v>
      </c>
      <c r="GB21" s="1408" t="s">
        <v>2514</v>
      </c>
      <c r="GC21" s="1408" t="s">
        <v>6745</v>
      </c>
      <c r="GD21" s="1408" t="s">
        <v>2514</v>
      </c>
      <c r="GE21" s="1408" t="s">
        <v>3140</v>
      </c>
      <c r="GF21" s="1408" t="s">
        <v>2514</v>
      </c>
      <c r="GG21" s="1408" t="s">
        <v>559</v>
      </c>
      <c r="GH21" s="1408" t="s">
        <v>2514</v>
      </c>
      <c r="GI21" s="1408" t="s">
        <v>6912</v>
      </c>
      <c r="GJ21" s="1408" t="s">
        <v>2514</v>
      </c>
      <c r="GK21" s="1408" t="s">
        <v>4211</v>
      </c>
      <c r="GL21" s="1408" t="s">
        <v>2514</v>
      </c>
      <c r="GM21" s="1408" t="s">
        <v>1868</v>
      </c>
      <c r="GN21" s="1408" t="s">
        <v>2514</v>
      </c>
      <c r="GO21" s="1408" t="s">
        <v>1346</v>
      </c>
      <c r="GP21" s="1408" t="s">
        <v>2514</v>
      </c>
      <c r="GQ21" s="1408" t="s">
        <v>5826</v>
      </c>
      <c r="GR21" s="1408" t="s">
        <v>2514</v>
      </c>
      <c r="GS21" s="1408" t="s">
        <v>4471</v>
      </c>
      <c r="GT21" s="1408" t="s">
        <v>2514</v>
      </c>
      <c r="GU21" s="1408" t="s">
        <v>5707</v>
      </c>
      <c r="GV21" s="1408" t="s">
        <v>2514</v>
      </c>
      <c r="GW21" s="1408" t="s">
        <v>2627</v>
      </c>
      <c r="GX21" s="1408" t="s">
        <v>2514</v>
      </c>
      <c r="GY21" s="1408" t="s">
        <v>2180</v>
      </c>
      <c r="GZ21" s="1408" t="s">
        <v>2514</v>
      </c>
      <c r="HA21" s="1408" t="s">
        <v>207</v>
      </c>
      <c r="HB21" s="1408" t="s">
        <v>2514</v>
      </c>
      <c r="HC21" s="1408" t="s">
        <v>5601</v>
      </c>
      <c r="HD21" s="1408" t="s">
        <v>2514</v>
      </c>
      <c r="HE21" s="1408" t="s">
        <v>2442</v>
      </c>
      <c r="HF21" s="1408" t="s">
        <v>2514</v>
      </c>
      <c r="HG21" s="1408" t="s">
        <v>1175</v>
      </c>
      <c r="HH21" s="1408" t="s">
        <v>2514</v>
      </c>
      <c r="HI21" s="1408" t="s">
        <v>615</v>
      </c>
      <c r="HJ21" s="1408" t="s">
        <v>2514</v>
      </c>
      <c r="HK21" s="1408" t="s">
        <v>4980</v>
      </c>
      <c r="HL21" s="1408" t="s">
        <v>2514</v>
      </c>
      <c r="HM21" s="1408" t="s">
        <v>4835</v>
      </c>
      <c r="HN21" s="1408" t="s">
        <v>2514</v>
      </c>
      <c r="HO21" s="1408" t="s">
        <v>2129</v>
      </c>
      <c r="HP21" s="1408" t="s">
        <v>2514</v>
      </c>
      <c r="HQ21" s="1408" t="s">
        <v>10</v>
      </c>
      <c r="HR21" s="1408" t="s">
        <v>2514</v>
      </c>
      <c r="HS21" s="1408" t="s">
        <v>2540</v>
      </c>
      <c r="HT21" s="1408" t="s">
        <v>2514</v>
      </c>
      <c r="HU21" s="1408" t="s">
        <v>4628</v>
      </c>
      <c r="HV21" s="1408" t="s">
        <v>2514</v>
      </c>
      <c r="HW21" s="1408" t="s">
        <v>1533</v>
      </c>
      <c r="HX21" s="1408" t="s">
        <v>2514</v>
      </c>
      <c r="HY21" s="1408" t="s">
        <v>2637</v>
      </c>
      <c r="HZ21" s="1408" t="s">
        <v>2514</v>
      </c>
      <c r="IA21" s="1408" t="s">
        <v>1503</v>
      </c>
      <c r="IB21" s="1408" t="s">
        <v>2514</v>
      </c>
      <c r="IC21" s="1408" t="s">
        <v>1002</v>
      </c>
      <c r="ID21" s="1408" t="s">
        <v>2514</v>
      </c>
      <c r="IE21" s="1408" t="s">
        <v>2964</v>
      </c>
      <c r="IF21" s="1408" t="s">
        <v>2514</v>
      </c>
      <c r="IG21" s="1408" t="s">
        <v>2058</v>
      </c>
      <c r="IH21" s="1408" t="s">
        <v>2514</v>
      </c>
      <c r="II21" s="1408" t="s">
        <v>5920</v>
      </c>
      <c r="IJ21" s="1408" t="s">
        <v>2514</v>
      </c>
      <c r="IK21" s="1408" t="s">
        <v>4032</v>
      </c>
      <c r="IL21" s="1408" t="s">
        <v>2514</v>
      </c>
      <c r="IM21" s="1408" t="s">
        <v>1975</v>
      </c>
      <c r="IN21" s="1408" t="s">
        <v>2514</v>
      </c>
      <c r="IO21" s="1408" t="s">
        <v>2081</v>
      </c>
      <c r="IP21" s="1408" t="s">
        <v>2514</v>
      </c>
      <c r="IQ21" s="1408" t="s">
        <v>5656</v>
      </c>
      <c r="IR21" s="1408" t="s">
        <v>2514</v>
      </c>
      <c r="IS21" s="1408" t="s">
        <v>1263</v>
      </c>
      <c r="IT21" s="1408" t="s">
        <v>2514</v>
      </c>
      <c r="IU21" s="1408" t="s">
        <v>3070</v>
      </c>
      <c r="IV21" s="1408" t="s">
        <v>2514</v>
      </c>
    </row>
    <row r="22" spans="1:256" s="1408" customFormat="1">
      <c r="A22" s="1408" t="s">
        <v>608</v>
      </c>
      <c r="B22" s="1408" t="s">
        <v>2514</v>
      </c>
      <c r="C22" s="1408" t="s">
        <v>969</v>
      </c>
      <c r="D22" s="1408" t="s">
        <v>2514</v>
      </c>
      <c r="E22" s="1408" t="s">
        <v>6926</v>
      </c>
      <c r="F22" s="1408" t="s">
        <v>2514</v>
      </c>
      <c r="G22" s="1408" t="s">
        <v>6668</v>
      </c>
      <c r="H22" s="1408" t="s">
        <v>2514</v>
      </c>
      <c r="I22" s="1408" t="s">
        <v>3443</v>
      </c>
      <c r="J22" s="1408" t="s">
        <v>2514</v>
      </c>
      <c r="K22" s="1408" t="s">
        <v>5752</v>
      </c>
      <c r="L22" s="1408" t="s">
        <v>2514</v>
      </c>
      <c r="M22" s="1408" t="s">
        <v>204</v>
      </c>
      <c r="N22" s="1408" t="s">
        <v>2514</v>
      </c>
      <c r="O22" s="1408" t="s">
        <v>4901</v>
      </c>
      <c r="P22" s="1408" t="s">
        <v>2514</v>
      </c>
      <c r="Q22" s="1408" t="s">
        <v>6107</v>
      </c>
      <c r="R22" s="1408" t="s">
        <v>2514</v>
      </c>
      <c r="S22" s="1408" t="s">
        <v>1548</v>
      </c>
      <c r="T22" s="1408" t="s">
        <v>2514</v>
      </c>
      <c r="U22" s="1408" t="s">
        <v>4931</v>
      </c>
      <c r="V22" s="1408" t="s">
        <v>2514</v>
      </c>
      <c r="W22" s="1408" t="s">
        <v>1157</v>
      </c>
      <c r="X22" s="1408" t="s">
        <v>2514</v>
      </c>
      <c r="Y22" s="1408" t="s">
        <v>3296</v>
      </c>
      <c r="Z22" s="1408" t="s">
        <v>2514</v>
      </c>
      <c r="AA22" s="1408" t="s">
        <v>6548</v>
      </c>
      <c r="AB22" s="1408" t="s">
        <v>2514</v>
      </c>
      <c r="AC22" s="1408" t="s">
        <v>1982</v>
      </c>
      <c r="AD22" s="1408" t="s">
        <v>2514</v>
      </c>
      <c r="AE22" s="1408" t="s">
        <v>3383</v>
      </c>
      <c r="AF22" s="1408" t="s">
        <v>2514</v>
      </c>
      <c r="AG22" s="1408" t="s">
        <v>150</v>
      </c>
      <c r="AH22" s="1408" t="s">
        <v>2514</v>
      </c>
      <c r="AI22" s="1408" t="s">
        <v>5108</v>
      </c>
      <c r="AJ22" s="1408" t="s">
        <v>2514</v>
      </c>
      <c r="AK22" s="1408" t="s">
        <v>674</v>
      </c>
      <c r="AL22" s="1408" t="s">
        <v>2514</v>
      </c>
      <c r="AM22" s="1408" t="s">
        <v>5004</v>
      </c>
      <c r="AN22" s="1408" t="s">
        <v>2514</v>
      </c>
      <c r="AO22" s="1408" t="s">
        <v>4945</v>
      </c>
      <c r="AP22" s="1408" t="s">
        <v>2514</v>
      </c>
      <c r="AQ22" s="1408" t="s">
        <v>2896</v>
      </c>
      <c r="AR22" s="1408" t="s">
        <v>2514</v>
      </c>
      <c r="AS22" s="1408" t="s">
        <v>70</v>
      </c>
      <c r="AT22" s="1408" t="s">
        <v>2514</v>
      </c>
      <c r="AU22" s="1408" t="s">
        <v>5339</v>
      </c>
      <c r="AV22" s="1408" t="s">
        <v>2514</v>
      </c>
      <c r="AW22" s="1408" t="s">
        <v>711</v>
      </c>
      <c r="AX22" s="1408" t="s">
        <v>2514</v>
      </c>
      <c r="AY22" s="1408" t="s">
        <v>5843</v>
      </c>
      <c r="AZ22" s="1408" t="s">
        <v>2514</v>
      </c>
      <c r="BA22" s="1408" t="s">
        <v>2700</v>
      </c>
      <c r="BB22" s="1408" t="s">
        <v>2514</v>
      </c>
      <c r="BC22" s="1408" t="s">
        <v>1110</v>
      </c>
      <c r="BD22" s="1408" t="s">
        <v>2514</v>
      </c>
      <c r="BE22" s="1408" t="s">
        <v>1666</v>
      </c>
      <c r="BF22" s="1408" t="s">
        <v>2514</v>
      </c>
      <c r="BG22" s="1408" t="s">
        <v>3255</v>
      </c>
      <c r="BH22" s="1408" t="s">
        <v>2514</v>
      </c>
      <c r="BI22" s="1408" t="s">
        <v>1910</v>
      </c>
      <c r="BJ22" s="1408" t="s">
        <v>2514</v>
      </c>
      <c r="BK22" s="1408" t="s">
        <v>3165</v>
      </c>
      <c r="BL22" s="1408" t="s">
        <v>2514</v>
      </c>
      <c r="BM22" s="1408" t="s">
        <v>6380</v>
      </c>
      <c r="BN22" s="1408" t="s">
        <v>2514</v>
      </c>
      <c r="BO22" s="1408" t="s">
        <v>2534</v>
      </c>
      <c r="BP22" s="1408" t="s">
        <v>2514</v>
      </c>
      <c r="BQ22" s="1408" t="s">
        <v>5502</v>
      </c>
      <c r="BR22" s="1408" t="s">
        <v>2514</v>
      </c>
      <c r="BS22" s="1408" t="s">
        <v>1985</v>
      </c>
      <c r="BT22" s="1408" t="s">
        <v>2514</v>
      </c>
      <c r="BU22" s="1408" t="s">
        <v>4537</v>
      </c>
      <c r="BV22" s="1408" t="s">
        <v>2514</v>
      </c>
      <c r="BW22" s="1408" t="s">
        <v>1740</v>
      </c>
      <c r="BX22" s="1408" t="s">
        <v>2514</v>
      </c>
      <c r="BY22" s="1408" t="s">
        <v>5665</v>
      </c>
      <c r="BZ22" s="1408" t="s">
        <v>2514</v>
      </c>
      <c r="CA22" s="1408" t="s">
        <v>3092</v>
      </c>
      <c r="CB22" s="1408" t="s">
        <v>2514</v>
      </c>
      <c r="CC22" s="1408" t="s">
        <v>2614</v>
      </c>
      <c r="CD22" s="1408" t="s">
        <v>2514</v>
      </c>
      <c r="CE22" s="1408" t="s">
        <v>6036</v>
      </c>
      <c r="CF22" s="1408" t="s">
        <v>2514</v>
      </c>
      <c r="CG22" s="1408" t="s">
        <v>5441</v>
      </c>
      <c r="CH22" s="1408" t="s">
        <v>2514</v>
      </c>
      <c r="CI22" s="1408" t="s">
        <v>2742</v>
      </c>
      <c r="CJ22" s="1408" t="s">
        <v>2514</v>
      </c>
      <c r="CK22" s="1408" t="s">
        <v>2049</v>
      </c>
      <c r="CL22" s="1408" t="s">
        <v>2514</v>
      </c>
      <c r="CM22" s="1408" t="s">
        <v>6080</v>
      </c>
      <c r="CN22" s="1408" t="s">
        <v>2514</v>
      </c>
      <c r="CO22" s="1408" t="s">
        <v>2316</v>
      </c>
      <c r="CP22" s="1408" t="s">
        <v>2514</v>
      </c>
      <c r="CQ22" s="1408" t="s">
        <v>6554</v>
      </c>
      <c r="CR22" s="1408" t="s">
        <v>2514</v>
      </c>
      <c r="CS22" s="1408" t="s">
        <v>835</v>
      </c>
      <c r="CT22" s="1408" t="s">
        <v>2514</v>
      </c>
      <c r="CU22" s="1408" t="s">
        <v>6164</v>
      </c>
      <c r="CV22" s="1408" t="s">
        <v>2514</v>
      </c>
      <c r="CW22" s="1408" t="s">
        <v>1461</v>
      </c>
      <c r="CX22" s="1408" t="s">
        <v>2514</v>
      </c>
      <c r="CY22" s="1408" t="s">
        <v>890</v>
      </c>
      <c r="CZ22" s="1408" t="s">
        <v>2514</v>
      </c>
      <c r="DA22" s="1408" t="s">
        <v>2950</v>
      </c>
      <c r="DB22" s="1408" t="s">
        <v>2514</v>
      </c>
      <c r="DC22" s="1408" t="s">
        <v>3226</v>
      </c>
      <c r="DD22" s="1408" t="s">
        <v>2514</v>
      </c>
      <c r="DE22" s="1408" t="s">
        <v>967</v>
      </c>
      <c r="DF22" s="1408" t="s">
        <v>2514</v>
      </c>
      <c r="DG22" s="1408" t="s">
        <v>2023</v>
      </c>
      <c r="DH22" s="1408" t="s">
        <v>2514</v>
      </c>
      <c r="DI22" s="1408" t="s">
        <v>5836</v>
      </c>
      <c r="DJ22" s="1408" t="s">
        <v>2514</v>
      </c>
      <c r="DK22" s="1408" t="s">
        <v>4786</v>
      </c>
      <c r="DL22" s="1408" t="s">
        <v>2514</v>
      </c>
      <c r="DM22" s="1408" t="s">
        <v>5747</v>
      </c>
      <c r="DN22" s="1408" t="s">
        <v>2514</v>
      </c>
      <c r="DO22" s="1408" t="s">
        <v>6213</v>
      </c>
      <c r="DP22" s="1408" t="s">
        <v>2514</v>
      </c>
      <c r="DQ22" s="1408" t="s">
        <v>3004</v>
      </c>
      <c r="DR22" s="1408" t="s">
        <v>2514</v>
      </c>
      <c r="DS22" s="1408" t="s">
        <v>4815</v>
      </c>
      <c r="DT22" s="1408" t="s">
        <v>2514</v>
      </c>
      <c r="DU22" s="1408" t="s">
        <v>4619</v>
      </c>
      <c r="DV22" s="1408" t="s">
        <v>2514</v>
      </c>
      <c r="DW22" s="1408" t="s">
        <v>1760</v>
      </c>
      <c r="DX22" s="1408" t="s">
        <v>2514</v>
      </c>
      <c r="DY22" s="1408" t="s">
        <v>6222</v>
      </c>
      <c r="DZ22" s="1408" t="s">
        <v>2514</v>
      </c>
      <c r="EA22" s="1408" t="s">
        <v>5072</v>
      </c>
      <c r="EB22" s="1408" t="s">
        <v>2514</v>
      </c>
      <c r="EC22" s="1408" t="s">
        <v>3592</v>
      </c>
      <c r="ED22" s="1408" t="s">
        <v>2514</v>
      </c>
      <c r="EE22" s="1408" t="s">
        <v>4017</v>
      </c>
      <c r="EF22" s="1408" t="s">
        <v>2514</v>
      </c>
      <c r="EG22" s="1408" t="s">
        <v>6379</v>
      </c>
      <c r="EH22" s="1408" t="s">
        <v>2514</v>
      </c>
      <c r="EI22" s="1408" t="s">
        <v>1736</v>
      </c>
      <c r="EJ22" s="1408" t="s">
        <v>2514</v>
      </c>
      <c r="EK22" s="1408" t="s">
        <v>2910</v>
      </c>
      <c r="EL22" s="1408" t="s">
        <v>2514</v>
      </c>
      <c r="EM22" s="1408" t="s">
        <v>149</v>
      </c>
      <c r="EN22" s="1408" t="s">
        <v>2514</v>
      </c>
      <c r="EO22" s="1408" t="s">
        <v>1588</v>
      </c>
      <c r="EP22" s="1408" t="s">
        <v>2514</v>
      </c>
      <c r="EQ22" s="1408" t="s">
        <v>162</v>
      </c>
      <c r="ER22" s="1408" t="s">
        <v>2514</v>
      </c>
      <c r="ES22" s="1408" t="s">
        <v>4012</v>
      </c>
      <c r="ET22" s="1408" t="s">
        <v>2514</v>
      </c>
      <c r="EU22" s="1408" t="s">
        <v>6928</v>
      </c>
      <c r="EV22" s="1408" t="s">
        <v>2514</v>
      </c>
      <c r="EW22" s="1408" t="s">
        <v>4179</v>
      </c>
      <c r="EX22" s="1408" t="s">
        <v>2514</v>
      </c>
      <c r="EY22" s="1408" t="s">
        <v>249</v>
      </c>
      <c r="EZ22" s="1408" t="s">
        <v>2514</v>
      </c>
      <c r="FA22" s="1408" t="s">
        <v>1484</v>
      </c>
      <c r="FB22" s="1408" t="s">
        <v>2514</v>
      </c>
      <c r="FC22" s="1408" t="s">
        <v>5349</v>
      </c>
      <c r="FD22" s="1408" t="s">
        <v>2514</v>
      </c>
      <c r="FE22" s="1408" t="s">
        <v>1205</v>
      </c>
      <c r="FF22" s="1408" t="s">
        <v>2514</v>
      </c>
      <c r="FG22" s="1408" t="s">
        <v>4326</v>
      </c>
      <c r="FH22" s="1408" t="s">
        <v>2514</v>
      </c>
      <c r="FI22" s="1408" t="s">
        <v>2612</v>
      </c>
      <c r="FJ22" s="1408" t="s">
        <v>2514</v>
      </c>
      <c r="FK22" s="1408" t="s">
        <v>772</v>
      </c>
      <c r="FL22" s="1408" t="s">
        <v>2514</v>
      </c>
      <c r="FM22" s="1408" t="s">
        <v>6639</v>
      </c>
      <c r="FN22" s="1408" t="s">
        <v>2514</v>
      </c>
      <c r="FO22" s="1408" t="s">
        <v>4074</v>
      </c>
      <c r="FP22" s="1408" t="s">
        <v>2514</v>
      </c>
      <c r="FQ22" s="1408" t="s">
        <v>1820</v>
      </c>
      <c r="FR22" s="1408" t="s">
        <v>2514</v>
      </c>
      <c r="FS22" s="1408" t="s">
        <v>159</v>
      </c>
      <c r="FT22" s="1408" t="s">
        <v>2514</v>
      </c>
      <c r="FU22" s="1408" t="s">
        <v>6569</v>
      </c>
      <c r="FV22" s="1408" t="s">
        <v>2514</v>
      </c>
      <c r="FW22" s="1408" t="s">
        <v>2215</v>
      </c>
      <c r="FX22" s="1408" t="s">
        <v>2514</v>
      </c>
      <c r="FY22" s="1408" t="s">
        <v>592</v>
      </c>
      <c r="FZ22" s="1408" t="s">
        <v>2514</v>
      </c>
      <c r="GA22" s="1408" t="s">
        <v>83</v>
      </c>
      <c r="GB22" s="1408" t="s">
        <v>2514</v>
      </c>
      <c r="GC22" s="1408" t="s">
        <v>5118</v>
      </c>
      <c r="GD22" s="1408" t="s">
        <v>2514</v>
      </c>
      <c r="GE22" s="1408" t="s">
        <v>1386</v>
      </c>
      <c r="GF22" s="1408" t="s">
        <v>2514</v>
      </c>
      <c r="GG22" s="1408" t="s">
        <v>6275</v>
      </c>
      <c r="GH22" s="1408" t="s">
        <v>2514</v>
      </c>
      <c r="GI22" s="1408" t="s">
        <v>1872</v>
      </c>
      <c r="GJ22" s="1408" t="s">
        <v>2514</v>
      </c>
      <c r="GK22" s="1408" t="s">
        <v>5083</v>
      </c>
      <c r="GL22" s="1408" t="s">
        <v>2514</v>
      </c>
      <c r="GM22" s="1408" t="s">
        <v>3773</v>
      </c>
      <c r="GN22" s="1408" t="s">
        <v>2514</v>
      </c>
      <c r="GO22" s="1408" t="s">
        <v>5461</v>
      </c>
      <c r="GP22" s="1408" t="s">
        <v>2514</v>
      </c>
      <c r="GQ22" s="1408" t="s">
        <v>4846</v>
      </c>
      <c r="GR22" s="1408" t="s">
        <v>2514</v>
      </c>
      <c r="GS22" s="1408" t="s">
        <v>2849</v>
      </c>
      <c r="GT22" s="1408" t="s">
        <v>2514</v>
      </c>
      <c r="GU22" s="1408" t="s">
        <v>4487</v>
      </c>
      <c r="GV22" s="1408" t="s">
        <v>2514</v>
      </c>
      <c r="GW22" s="1408" t="s">
        <v>6854</v>
      </c>
      <c r="GX22" s="1408" t="s">
        <v>2514</v>
      </c>
      <c r="GY22" s="1408" t="s">
        <v>3935</v>
      </c>
      <c r="GZ22" s="1408" t="s">
        <v>2514</v>
      </c>
      <c r="HA22" s="1408" t="s">
        <v>6231</v>
      </c>
      <c r="HB22" s="1408" t="s">
        <v>2514</v>
      </c>
      <c r="HC22" s="1408" t="s">
        <v>3606</v>
      </c>
      <c r="HD22" s="1408" t="s">
        <v>2514</v>
      </c>
      <c r="HE22" s="1408" t="s">
        <v>6780</v>
      </c>
      <c r="HF22" s="1408" t="s">
        <v>2514</v>
      </c>
      <c r="HG22" s="1408" t="s">
        <v>33</v>
      </c>
      <c r="HH22" s="1408" t="s">
        <v>2514</v>
      </c>
      <c r="HI22" s="1408" t="s">
        <v>1007</v>
      </c>
      <c r="HJ22" s="1408" t="s">
        <v>2514</v>
      </c>
      <c r="HK22" s="1408" t="s">
        <v>3176</v>
      </c>
      <c r="HL22" s="1408" t="s">
        <v>2514</v>
      </c>
      <c r="HM22" s="1408" t="s">
        <v>4183</v>
      </c>
      <c r="HN22" s="1408" t="s">
        <v>2514</v>
      </c>
      <c r="HO22" s="1408" t="s">
        <v>2469</v>
      </c>
      <c r="HP22" s="1408" t="s">
        <v>2514</v>
      </c>
      <c r="HQ22" s="1408" t="s">
        <v>5158</v>
      </c>
      <c r="HR22" s="1408" t="s">
        <v>2514</v>
      </c>
      <c r="HS22" s="1408" t="s">
        <v>3663</v>
      </c>
      <c r="HT22" s="1408" t="s">
        <v>2514</v>
      </c>
      <c r="HU22" s="1408" t="s">
        <v>6475</v>
      </c>
      <c r="HV22" s="1408" t="s">
        <v>2514</v>
      </c>
      <c r="HW22" s="1408" t="s">
        <v>2002</v>
      </c>
      <c r="HX22" s="1408" t="s">
        <v>2514</v>
      </c>
      <c r="HY22" s="1408" t="s">
        <v>520</v>
      </c>
      <c r="HZ22" s="1408" t="s">
        <v>2514</v>
      </c>
      <c r="IA22" s="1408" t="s">
        <v>4513</v>
      </c>
      <c r="IB22" s="1408" t="s">
        <v>2514</v>
      </c>
      <c r="IC22" s="1408" t="s">
        <v>1993</v>
      </c>
      <c r="ID22" s="1408" t="s">
        <v>2514</v>
      </c>
      <c r="IE22" s="1408" t="s">
        <v>5454</v>
      </c>
      <c r="IF22" s="1408" t="s">
        <v>2514</v>
      </c>
      <c r="IG22" s="1408" t="s">
        <v>4019</v>
      </c>
      <c r="IH22" s="1408" t="s">
        <v>2514</v>
      </c>
      <c r="II22" s="1408" t="s">
        <v>6214</v>
      </c>
      <c r="IJ22" s="1408" t="s">
        <v>2514</v>
      </c>
      <c r="IK22" s="1408" t="s">
        <v>681</v>
      </c>
      <c r="IL22" s="1408" t="s">
        <v>2514</v>
      </c>
      <c r="IM22" s="1408" t="s">
        <v>998</v>
      </c>
      <c r="IN22" s="1408" t="s">
        <v>2514</v>
      </c>
      <c r="IO22" s="1408" t="s">
        <v>1691</v>
      </c>
      <c r="IP22" s="1408" t="s">
        <v>2514</v>
      </c>
      <c r="IQ22" s="1408" t="s">
        <v>4832</v>
      </c>
      <c r="IR22" s="1408" t="s">
        <v>2514</v>
      </c>
      <c r="IS22" s="1408" t="s">
        <v>2871</v>
      </c>
      <c r="IT22" s="1408" t="s">
        <v>2514</v>
      </c>
      <c r="IU22" s="1408" t="s">
        <v>3582</v>
      </c>
      <c r="IV22" s="1408" t="s">
        <v>2514</v>
      </c>
    </row>
    <row r="23" spans="1:256" s="1408" customFormat="1">
      <c r="A23" s="1408" t="s">
        <v>315</v>
      </c>
      <c r="B23" s="1408" t="s">
        <v>2514</v>
      </c>
      <c r="C23" s="1408" t="s">
        <v>1407</v>
      </c>
      <c r="D23" s="1408" t="s">
        <v>2514</v>
      </c>
      <c r="E23" s="1408" t="s">
        <v>6133</v>
      </c>
      <c r="F23" s="1408" t="s">
        <v>2514</v>
      </c>
      <c r="G23" s="1408" t="s">
        <v>3627</v>
      </c>
      <c r="H23" s="1408" t="s">
        <v>2514</v>
      </c>
      <c r="I23" s="1408" t="s">
        <v>6947</v>
      </c>
      <c r="J23" s="1408" t="s">
        <v>2514</v>
      </c>
      <c r="K23" s="1408" t="s">
        <v>4180</v>
      </c>
      <c r="L23" s="1408" t="s">
        <v>2514</v>
      </c>
      <c r="M23" s="1408" t="s">
        <v>4264</v>
      </c>
      <c r="N23" s="1408" t="s">
        <v>2514</v>
      </c>
      <c r="O23" s="1408" t="s">
        <v>2018</v>
      </c>
      <c r="P23" s="1408" t="s">
        <v>2514</v>
      </c>
      <c r="Q23" s="1408" t="s">
        <v>4904</v>
      </c>
      <c r="R23" s="1408" t="s">
        <v>2514</v>
      </c>
      <c r="S23" s="1408" t="s">
        <v>3358</v>
      </c>
      <c r="T23" s="1408" t="s">
        <v>2514</v>
      </c>
      <c r="U23" s="1408" t="s">
        <v>4499</v>
      </c>
      <c r="V23" s="1408" t="s">
        <v>2514</v>
      </c>
      <c r="W23" s="1408" t="s">
        <v>1450</v>
      </c>
      <c r="X23" s="1408" t="s">
        <v>2514</v>
      </c>
      <c r="Y23" s="1408" t="s">
        <v>4950</v>
      </c>
      <c r="Z23" s="1408" t="s">
        <v>2514</v>
      </c>
      <c r="AA23" s="1408" t="s">
        <v>1457</v>
      </c>
      <c r="AB23" s="1408" t="s">
        <v>2514</v>
      </c>
      <c r="AC23" s="1408" t="s">
        <v>105</v>
      </c>
      <c r="AD23" s="1408" t="s">
        <v>2514</v>
      </c>
      <c r="AE23" s="1408" t="s">
        <v>1387</v>
      </c>
      <c r="AF23" s="1408" t="s">
        <v>2514</v>
      </c>
      <c r="AG23" s="1408" t="s">
        <v>5924</v>
      </c>
      <c r="AH23" s="1408" t="s">
        <v>2514</v>
      </c>
      <c r="AI23" s="1408" t="s">
        <v>2575</v>
      </c>
      <c r="AJ23" s="1408" t="s">
        <v>2514</v>
      </c>
      <c r="AK23" s="1408" t="s">
        <v>1950</v>
      </c>
      <c r="AL23" s="1408" t="s">
        <v>2514</v>
      </c>
      <c r="AM23" s="1408" t="s">
        <v>6477</v>
      </c>
      <c r="AN23" s="1408" t="s">
        <v>2514</v>
      </c>
      <c r="AO23" s="1408" t="s">
        <v>320</v>
      </c>
      <c r="AP23" s="1408" t="s">
        <v>2514</v>
      </c>
      <c r="AQ23" s="1408" t="s">
        <v>3248</v>
      </c>
      <c r="AR23" s="1408" t="s">
        <v>2514</v>
      </c>
      <c r="AS23" s="1408" t="s">
        <v>4673</v>
      </c>
      <c r="AT23" s="1408" t="s">
        <v>2514</v>
      </c>
      <c r="AU23" s="1408" t="s">
        <v>6413</v>
      </c>
      <c r="AV23" s="1408" t="s">
        <v>2514</v>
      </c>
      <c r="AW23" s="1408" t="s">
        <v>5111</v>
      </c>
      <c r="AX23" s="1408" t="s">
        <v>2514</v>
      </c>
      <c r="AY23" s="1408" t="s">
        <v>5841</v>
      </c>
      <c r="AZ23" s="1408" t="s">
        <v>2514</v>
      </c>
      <c r="BA23" s="1408" t="s">
        <v>4691</v>
      </c>
      <c r="BB23" s="1408" t="s">
        <v>2514</v>
      </c>
      <c r="BC23" s="1408" t="s">
        <v>5513</v>
      </c>
      <c r="BD23" s="1408" t="s">
        <v>2514</v>
      </c>
      <c r="BE23" s="1408" t="s">
        <v>3906</v>
      </c>
      <c r="BF23" s="1408" t="s">
        <v>2514</v>
      </c>
      <c r="BG23" s="1408" t="s">
        <v>5086</v>
      </c>
      <c r="BH23" s="1408" t="s">
        <v>2514</v>
      </c>
      <c r="BI23" s="1408" t="s">
        <v>4059</v>
      </c>
      <c r="BJ23" s="1408" t="s">
        <v>2514</v>
      </c>
      <c r="BK23" s="1408" t="s">
        <v>6797</v>
      </c>
      <c r="BL23" s="1408" t="s">
        <v>2514</v>
      </c>
      <c r="BM23" s="1408" t="s">
        <v>2741</v>
      </c>
      <c r="BN23" s="1408" t="s">
        <v>2514</v>
      </c>
      <c r="BO23" s="1408" t="s">
        <v>1198</v>
      </c>
      <c r="BP23" s="1408" t="s">
        <v>2514</v>
      </c>
      <c r="BQ23" s="1408" t="s">
        <v>1168</v>
      </c>
      <c r="BR23" s="1408" t="s">
        <v>2514</v>
      </c>
      <c r="BS23" s="1408" t="s">
        <v>155</v>
      </c>
      <c r="BT23" s="1408" t="s">
        <v>2514</v>
      </c>
      <c r="BU23" s="1408" t="s">
        <v>4610</v>
      </c>
      <c r="BV23" s="1408" t="s">
        <v>2514</v>
      </c>
      <c r="BW23" s="1408" t="s">
        <v>927</v>
      </c>
      <c r="BX23" s="1408" t="s">
        <v>2514</v>
      </c>
      <c r="BY23" s="1408" t="s">
        <v>3575</v>
      </c>
      <c r="BZ23" s="1408" t="s">
        <v>2514</v>
      </c>
      <c r="CA23" s="1408" t="s">
        <v>4306</v>
      </c>
      <c r="CB23" s="1408" t="s">
        <v>2514</v>
      </c>
      <c r="CC23" s="1408" t="s">
        <v>2674</v>
      </c>
      <c r="CD23" s="1408" t="s">
        <v>2514</v>
      </c>
      <c r="CE23" s="1408" t="s">
        <v>977</v>
      </c>
      <c r="CF23" s="1408" t="s">
        <v>2514</v>
      </c>
      <c r="CG23" s="1408" t="s">
        <v>4152</v>
      </c>
      <c r="CH23" s="1408" t="s">
        <v>2514</v>
      </c>
      <c r="CI23" s="1408" t="s">
        <v>2107</v>
      </c>
      <c r="CJ23" s="1408" t="s">
        <v>2514</v>
      </c>
      <c r="CK23" s="1408" t="s">
        <v>6630</v>
      </c>
      <c r="CL23" s="1408" t="s">
        <v>2514</v>
      </c>
      <c r="CM23" s="1408" t="s">
        <v>889</v>
      </c>
      <c r="CN23" s="1408" t="s">
        <v>2514</v>
      </c>
      <c r="CO23" s="1408" t="s">
        <v>4103</v>
      </c>
      <c r="CP23" s="1408" t="s">
        <v>2514</v>
      </c>
      <c r="CQ23" s="1408" t="s">
        <v>5658</v>
      </c>
      <c r="CR23" s="1408" t="s">
        <v>2514</v>
      </c>
      <c r="CS23" s="1408" t="s">
        <v>6245</v>
      </c>
      <c r="CT23" s="1408" t="s">
        <v>2514</v>
      </c>
      <c r="CU23" s="1408" t="s">
        <v>2528</v>
      </c>
      <c r="CV23" s="1408" t="s">
        <v>2514</v>
      </c>
      <c r="CW23" s="1408" t="s">
        <v>478</v>
      </c>
      <c r="CX23" s="1408" t="s">
        <v>2514</v>
      </c>
      <c r="CY23" s="1408" t="s">
        <v>2625</v>
      </c>
      <c r="CZ23" s="1408" t="s">
        <v>2514</v>
      </c>
      <c r="DA23" s="1408" t="s">
        <v>893</v>
      </c>
      <c r="DB23" s="1408" t="s">
        <v>2514</v>
      </c>
      <c r="DC23" s="1408" t="s">
        <v>2655</v>
      </c>
      <c r="DD23" s="1408" t="s">
        <v>2514</v>
      </c>
      <c r="DE23" s="1408" t="s">
        <v>795</v>
      </c>
      <c r="DF23" s="1408" t="s">
        <v>2514</v>
      </c>
      <c r="DG23" s="1408" t="s">
        <v>1220</v>
      </c>
      <c r="DH23" s="1408" t="s">
        <v>2514</v>
      </c>
      <c r="DI23" s="1408" t="s">
        <v>6567</v>
      </c>
      <c r="DJ23" s="1408" t="s">
        <v>2514</v>
      </c>
      <c r="DK23" s="1408" t="s">
        <v>6399</v>
      </c>
      <c r="DL23" s="1408" t="s">
        <v>2514</v>
      </c>
      <c r="DM23" s="1408" t="s">
        <v>6086</v>
      </c>
      <c r="DN23" s="1408" t="s">
        <v>2514</v>
      </c>
      <c r="DO23" s="1408" t="s">
        <v>1142</v>
      </c>
      <c r="DP23" s="1408" t="s">
        <v>2514</v>
      </c>
      <c r="DQ23" s="1408" t="s">
        <v>3613</v>
      </c>
      <c r="DR23" s="1408" t="s">
        <v>2514</v>
      </c>
      <c r="DS23" s="1408" t="s">
        <v>1000</v>
      </c>
      <c r="DT23" s="1408" t="s">
        <v>2514</v>
      </c>
      <c r="DU23" s="1408" t="s">
        <v>1209</v>
      </c>
      <c r="DV23" s="1408" t="s">
        <v>2514</v>
      </c>
      <c r="DW23" s="1408" t="s">
        <v>172</v>
      </c>
      <c r="DX23" s="1408" t="s">
        <v>2514</v>
      </c>
      <c r="DY23" s="1408" t="s">
        <v>3904</v>
      </c>
      <c r="DZ23" s="1408" t="s">
        <v>2514</v>
      </c>
      <c r="EA23" s="1408" t="s">
        <v>4350</v>
      </c>
      <c r="EB23" s="1408" t="s">
        <v>2514</v>
      </c>
      <c r="EC23" s="1408" t="s">
        <v>4423</v>
      </c>
      <c r="ED23" s="1408" t="s">
        <v>2514</v>
      </c>
      <c r="EE23" s="1408" t="s">
        <v>2368</v>
      </c>
      <c r="EF23" s="1408" t="s">
        <v>2514</v>
      </c>
      <c r="EG23" s="1408" t="s">
        <v>9</v>
      </c>
      <c r="EH23" s="1408" t="s">
        <v>2514</v>
      </c>
      <c r="EI23" s="1408" t="s">
        <v>2154</v>
      </c>
      <c r="EJ23" s="1408" t="s">
        <v>2514</v>
      </c>
      <c r="EK23" s="1408" t="s">
        <v>3772</v>
      </c>
      <c r="EL23" s="1408" t="s">
        <v>2514</v>
      </c>
      <c r="EM23" s="1408" t="s">
        <v>3052</v>
      </c>
      <c r="EN23" s="1408" t="s">
        <v>2514</v>
      </c>
      <c r="EO23" s="1408" t="s">
        <v>4563</v>
      </c>
      <c r="EP23" s="1408" t="s">
        <v>2514</v>
      </c>
      <c r="EQ23" s="1408" t="s">
        <v>2234</v>
      </c>
      <c r="ER23" s="1408" t="s">
        <v>2514</v>
      </c>
      <c r="ES23" s="1408" t="s">
        <v>110</v>
      </c>
      <c r="ET23" s="1408" t="s">
        <v>2514</v>
      </c>
      <c r="EU23" s="1408" t="s">
        <v>705</v>
      </c>
      <c r="EV23" s="1408" t="s">
        <v>2514</v>
      </c>
      <c r="EW23" s="1408" t="s">
        <v>6201</v>
      </c>
      <c r="EX23" s="1408" t="s">
        <v>2514</v>
      </c>
      <c r="EY23" s="1408" t="s">
        <v>617</v>
      </c>
      <c r="EZ23" s="1408" t="s">
        <v>2514</v>
      </c>
      <c r="FA23" s="1408" t="s">
        <v>5774</v>
      </c>
      <c r="FB23" s="1408" t="s">
        <v>2514</v>
      </c>
      <c r="FC23" s="1408" t="s">
        <v>2238</v>
      </c>
      <c r="FD23" s="1408" t="s">
        <v>2514</v>
      </c>
      <c r="FE23" s="1408" t="s">
        <v>6649</v>
      </c>
      <c r="FF23" s="1408" t="s">
        <v>2514</v>
      </c>
      <c r="FG23" s="1408" t="s">
        <v>1869</v>
      </c>
      <c r="FH23" s="1408" t="s">
        <v>2514</v>
      </c>
      <c r="FI23" s="1408" t="s">
        <v>1536</v>
      </c>
      <c r="FJ23" s="1408" t="s">
        <v>2514</v>
      </c>
      <c r="FK23" s="1408" t="s">
        <v>6209</v>
      </c>
      <c r="FL23" s="1408" t="s">
        <v>2514</v>
      </c>
      <c r="FM23" s="1408" t="s">
        <v>5223</v>
      </c>
      <c r="FN23" s="1408" t="s">
        <v>2514</v>
      </c>
      <c r="FO23" s="1408" t="s">
        <v>1064</v>
      </c>
      <c r="FP23" s="1408" t="s">
        <v>2514</v>
      </c>
      <c r="FQ23" s="1408" t="s">
        <v>158</v>
      </c>
      <c r="FR23" s="1408" t="s">
        <v>2514</v>
      </c>
      <c r="FS23" s="1408" t="s">
        <v>2906</v>
      </c>
      <c r="FT23" s="1408" t="s">
        <v>2514</v>
      </c>
      <c r="FU23" s="1408" t="s">
        <v>2421</v>
      </c>
      <c r="FV23" s="1408" t="s">
        <v>2514</v>
      </c>
      <c r="FW23" s="1408" t="s">
        <v>2879</v>
      </c>
      <c r="FX23" s="1408" t="s">
        <v>2514</v>
      </c>
      <c r="FY23" s="1408" t="s">
        <v>410</v>
      </c>
      <c r="FZ23" s="1408" t="s">
        <v>2514</v>
      </c>
      <c r="GA23" s="1408" t="s">
        <v>509</v>
      </c>
      <c r="GB23" s="1408" t="s">
        <v>2514</v>
      </c>
      <c r="GC23" s="1408" t="s">
        <v>2203</v>
      </c>
      <c r="GD23" s="1408" t="s">
        <v>2514</v>
      </c>
      <c r="GE23" s="1408" t="s">
        <v>440</v>
      </c>
      <c r="GF23" s="1408" t="s">
        <v>2514</v>
      </c>
      <c r="GG23" s="1408" t="s">
        <v>6143</v>
      </c>
      <c r="GH23" s="1408" t="s">
        <v>2514</v>
      </c>
      <c r="GI23" s="1408" t="s">
        <v>4441</v>
      </c>
      <c r="GJ23" s="1408" t="s">
        <v>2514</v>
      </c>
      <c r="GK23" s="1408" t="s">
        <v>1500</v>
      </c>
      <c r="GL23" s="1408" t="s">
        <v>2514</v>
      </c>
      <c r="GM23" s="1408" t="s">
        <v>4955</v>
      </c>
      <c r="GN23" s="1408" t="s">
        <v>2514</v>
      </c>
      <c r="GO23" s="1408" t="s">
        <v>4933</v>
      </c>
      <c r="GP23" s="1408" t="s">
        <v>2514</v>
      </c>
      <c r="GQ23" s="1408" t="s">
        <v>6473</v>
      </c>
      <c r="GR23" s="1408" t="s">
        <v>2514</v>
      </c>
      <c r="GS23" s="1408" t="s">
        <v>6266</v>
      </c>
      <c r="GT23" s="1408" t="s">
        <v>2514</v>
      </c>
      <c r="GU23" s="1408" t="s">
        <v>1854</v>
      </c>
      <c r="GV23" s="1408" t="s">
        <v>2514</v>
      </c>
      <c r="GW23" s="1408" t="s">
        <v>1609</v>
      </c>
      <c r="GX23" s="1408" t="s">
        <v>2514</v>
      </c>
      <c r="GY23" s="1408" t="s">
        <v>2989</v>
      </c>
      <c r="GZ23" s="1408" t="s">
        <v>2514</v>
      </c>
      <c r="HA23" s="1408" t="s">
        <v>5120</v>
      </c>
      <c r="HB23" s="1408" t="s">
        <v>2514</v>
      </c>
      <c r="HC23" s="1408" t="s">
        <v>2483</v>
      </c>
      <c r="HD23" s="1408" t="s">
        <v>2514</v>
      </c>
      <c r="HE23" s="1408" t="s">
        <v>1015</v>
      </c>
      <c r="HF23" s="1408" t="s">
        <v>2514</v>
      </c>
      <c r="HG23" s="1408" t="s">
        <v>4476</v>
      </c>
      <c r="HH23" s="1408" t="s">
        <v>2514</v>
      </c>
      <c r="HI23" s="1408" t="s">
        <v>1182</v>
      </c>
      <c r="HJ23" s="1408" t="s">
        <v>2514</v>
      </c>
      <c r="HK23" s="1408" t="s">
        <v>6742</v>
      </c>
      <c r="HL23" s="1408" t="s">
        <v>2514</v>
      </c>
      <c r="HM23" s="1408" t="s">
        <v>5975</v>
      </c>
      <c r="HN23" s="1408" t="s">
        <v>2514</v>
      </c>
      <c r="HO23" s="1408" t="s">
        <v>4184</v>
      </c>
      <c r="HP23" s="1408" t="s">
        <v>2514</v>
      </c>
      <c r="HQ23" s="1408" t="s">
        <v>217</v>
      </c>
      <c r="HR23" s="1408" t="s">
        <v>2514</v>
      </c>
      <c r="HS23" s="1408" t="s">
        <v>1479</v>
      </c>
      <c r="HT23" s="1408" t="s">
        <v>2514</v>
      </c>
      <c r="HU23" s="1408" t="s">
        <v>1623</v>
      </c>
      <c r="HV23" s="1408" t="s">
        <v>2514</v>
      </c>
      <c r="HW23" s="1408" t="s">
        <v>6258</v>
      </c>
      <c r="HX23" s="1408" t="s">
        <v>2514</v>
      </c>
      <c r="HY23" s="1408" t="s">
        <v>916</v>
      </c>
      <c r="HZ23" s="1408" t="s">
        <v>2514</v>
      </c>
      <c r="IA23" s="1408" t="s">
        <v>4711</v>
      </c>
      <c r="IB23" s="1408" t="s">
        <v>2514</v>
      </c>
      <c r="IC23" s="1408" t="s">
        <v>27</v>
      </c>
      <c r="ID23" s="1408" t="s">
        <v>2514</v>
      </c>
      <c r="IE23" s="1408" t="s">
        <v>2403</v>
      </c>
      <c r="IF23" s="1408" t="s">
        <v>2514</v>
      </c>
      <c r="IG23" s="1408" t="s">
        <v>4443</v>
      </c>
      <c r="IH23" s="1408" t="s">
        <v>2514</v>
      </c>
      <c r="II23" s="1408" t="s">
        <v>2940</v>
      </c>
      <c r="IJ23" s="1408" t="s">
        <v>2514</v>
      </c>
      <c r="IK23" s="1408" t="s">
        <v>6234</v>
      </c>
      <c r="IL23" s="1408" t="s">
        <v>2514</v>
      </c>
      <c r="IM23" s="1408" t="s">
        <v>625</v>
      </c>
      <c r="IN23" s="1408" t="s">
        <v>2514</v>
      </c>
      <c r="IO23" s="1408" t="s">
        <v>4813</v>
      </c>
      <c r="IP23" s="1408" t="s">
        <v>2514</v>
      </c>
      <c r="IQ23" s="1408" t="s">
        <v>4998</v>
      </c>
      <c r="IR23" s="1408" t="s">
        <v>2514</v>
      </c>
      <c r="IS23" s="1408" t="s">
        <v>5487</v>
      </c>
      <c r="IT23" s="1408" t="s">
        <v>2514</v>
      </c>
      <c r="IU23" s="1408" t="s">
        <v>3599</v>
      </c>
      <c r="IV23" s="1408" t="s">
        <v>2514</v>
      </c>
    </row>
    <row r="24" spans="1:256" s="1408" customFormat="1">
      <c r="A24" s="1408" t="s">
        <v>5433</v>
      </c>
      <c r="B24" s="1408" t="s">
        <v>2514</v>
      </c>
      <c r="C24" s="1408" t="s">
        <v>4486</v>
      </c>
      <c r="D24" s="1408" t="s">
        <v>2514</v>
      </c>
      <c r="E24" s="1408" t="s">
        <v>5130</v>
      </c>
      <c r="F24" s="1408" t="s">
        <v>2514</v>
      </c>
      <c r="G24" s="1408" t="s">
        <v>6247</v>
      </c>
      <c r="H24" s="1408" t="s">
        <v>2514</v>
      </c>
      <c r="I24" s="1408" t="s">
        <v>5751</v>
      </c>
      <c r="J24" s="1408" t="s">
        <v>2514</v>
      </c>
      <c r="K24" s="1408" t="s">
        <v>3843</v>
      </c>
      <c r="L24" s="1408" t="s">
        <v>2514</v>
      </c>
      <c r="M24" s="1408" t="s">
        <v>2719</v>
      </c>
      <c r="N24" s="1408" t="s">
        <v>2514</v>
      </c>
      <c r="O24" s="1408" t="s">
        <v>2651</v>
      </c>
      <c r="P24" s="1408" t="s">
        <v>2514</v>
      </c>
      <c r="Q24" s="1408" t="s">
        <v>5113</v>
      </c>
      <c r="R24" s="1408" t="s">
        <v>2514</v>
      </c>
      <c r="S24" s="1408" t="s">
        <v>1432</v>
      </c>
      <c r="T24" s="1408" t="s">
        <v>2514</v>
      </c>
      <c r="U24" s="1408" t="s">
        <v>4372</v>
      </c>
      <c r="V24" s="1408" t="s">
        <v>2514</v>
      </c>
      <c r="W24" s="1408" t="s">
        <v>2769</v>
      </c>
      <c r="X24" s="1408" t="s">
        <v>2514</v>
      </c>
      <c r="Y24" s="1408" t="s">
        <v>4938</v>
      </c>
      <c r="Z24" s="1408" t="s">
        <v>2514</v>
      </c>
      <c r="AA24" s="1408" t="s">
        <v>4767</v>
      </c>
      <c r="AB24" s="1408" t="s">
        <v>2514</v>
      </c>
      <c r="AC24" s="1408" t="s">
        <v>1474</v>
      </c>
      <c r="AD24" s="1408" t="s">
        <v>2514</v>
      </c>
      <c r="AE24" s="1408" t="s">
        <v>1304</v>
      </c>
      <c r="AF24" s="1408" t="s">
        <v>2514</v>
      </c>
      <c r="AG24" s="1408" t="s">
        <v>6176</v>
      </c>
      <c r="AH24" s="1408" t="s">
        <v>2514</v>
      </c>
      <c r="AI24" s="1408" t="s">
        <v>319</v>
      </c>
      <c r="AJ24" s="1408" t="s">
        <v>2514</v>
      </c>
      <c r="AK24" s="1408" t="s">
        <v>1413</v>
      </c>
      <c r="AL24" s="1408" t="s">
        <v>2514</v>
      </c>
      <c r="AM24" s="1408" t="s">
        <v>4506</v>
      </c>
      <c r="AN24" s="1408" t="s">
        <v>2514</v>
      </c>
      <c r="AO24" s="1408" t="s">
        <v>6644</v>
      </c>
      <c r="AP24" s="1408" t="s">
        <v>2514</v>
      </c>
      <c r="AQ24" s="1408" t="s">
        <v>1487</v>
      </c>
      <c r="AR24" s="1408" t="s">
        <v>2514</v>
      </c>
      <c r="AS24" s="1408" t="s">
        <v>3033</v>
      </c>
      <c r="AT24" s="1408" t="s">
        <v>2514</v>
      </c>
      <c r="AU24" s="1408" t="s">
        <v>3173</v>
      </c>
      <c r="AV24" s="1408" t="s">
        <v>2514</v>
      </c>
      <c r="AW24" s="1408" t="s">
        <v>4093</v>
      </c>
      <c r="AX24" s="1408" t="s">
        <v>2514</v>
      </c>
      <c r="AY24" s="1408" t="s">
        <v>6047</v>
      </c>
      <c r="AZ24" s="1408" t="s">
        <v>2514</v>
      </c>
      <c r="BA24" s="1408" t="s">
        <v>1957</v>
      </c>
      <c r="BB24" s="1408" t="s">
        <v>2514</v>
      </c>
      <c r="BC24" s="1408" t="s">
        <v>4078</v>
      </c>
      <c r="BD24" s="1408" t="s">
        <v>2514</v>
      </c>
      <c r="BE24" s="1408" t="s">
        <v>190</v>
      </c>
      <c r="BF24" s="1408" t="s">
        <v>2514</v>
      </c>
      <c r="BG24" s="1408" t="s">
        <v>1165</v>
      </c>
      <c r="BH24" s="1408" t="s">
        <v>2514</v>
      </c>
      <c r="BI24" s="1408" t="s">
        <v>4421</v>
      </c>
      <c r="BJ24" s="1408" t="s">
        <v>2514</v>
      </c>
      <c r="BK24" s="1408" t="s">
        <v>183</v>
      </c>
      <c r="BL24" s="1408" t="s">
        <v>2514</v>
      </c>
      <c r="BM24" s="1408" t="s">
        <v>3520</v>
      </c>
      <c r="BN24" s="1408" t="s">
        <v>2514</v>
      </c>
      <c r="BO24" s="1408" t="s">
        <v>4875</v>
      </c>
      <c r="BP24" s="1408" t="s">
        <v>2514</v>
      </c>
      <c r="BQ24" s="1408" t="s">
        <v>3952</v>
      </c>
      <c r="BR24" s="1408" t="s">
        <v>2514</v>
      </c>
      <c r="BS24" s="1408" t="s">
        <v>328</v>
      </c>
      <c r="BT24" s="1408" t="s">
        <v>2514</v>
      </c>
      <c r="BU24" s="1408" t="s">
        <v>1267</v>
      </c>
      <c r="BV24" s="1408" t="s">
        <v>2514</v>
      </c>
      <c r="BW24" s="1408" t="s">
        <v>4873</v>
      </c>
      <c r="BX24" s="1408" t="s">
        <v>2514</v>
      </c>
      <c r="BY24" s="1408" t="s">
        <v>2889</v>
      </c>
      <c r="BZ24" s="1408" t="s">
        <v>2514</v>
      </c>
      <c r="CA24" s="1408" t="s">
        <v>4930</v>
      </c>
      <c r="CB24" s="1408" t="s">
        <v>2514</v>
      </c>
      <c r="CC24" s="1408" t="s">
        <v>4341</v>
      </c>
      <c r="CD24" s="1408" t="s">
        <v>2514</v>
      </c>
      <c r="CE24" s="1408" t="s">
        <v>2205</v>
      </c>
      <c r="CF24" s="1408" t="s">
        <v>2514</v>
      </c>
      <c r="CG24" s="1408" t="s">
        <v>3231</v>
      </c>
      <c r="CH24" s="1408" t="s">
        <v>2514</v>
      </c>
      <c r="CI24" s="1408" t="s">
        <v>2914</v>
      </c>
      <c r="CJ24" s="1408" t="s">
        <v>2514</v>
      </c>
      <c r="CK24" s="1408" t="s">
        <v>4669</v>
      </c>
      <c r="CL24" s="1408" t="s">
        <v>2514</v>
      </c>
      <c r="CM24" s="1408" t="s">
        <v>5450</v>
      </c>
      <c r="CN24" s="1408" t="s">
        <v>2514</v>
      </c>
      <c r="CO24" s="1408" t="s">
        <v>949</v>
      </c>
      <c r="CP24" s="1408" t="s">
        <v>2514</v>
      </c>
      <c r="CQ24" s="1408" t="s">
        <v>3228</v>
      </c>
      <c r="CR24" s="1408" t="s">
        <v>2514</v>
      </c>
      <c r="CS24" s="1408" t="s">
        <v>4981</v>
      </c>
      <c r="CT24" s="1408" t="s">
        <v>2514</v>
      </c>
      <c r="CU24" s="1408" t="s">
        <v>4560</v>
      </c>
      <c r="CV24" s="1408" t="s">
        <v>2514</v>
      </c>
      <c r="CW24" s="1408" t="s">
        <v>3748</v>
      </c>
      <c r="CX24" s="1408" t="s">
        <v>2514</v>
      </c>
      <c r="CY24" s="1408" t="s">
        <v>2192</v>
      </c>
      <c r="CZ24" s="1408" t="s">
        <v>2514</v>
      </c>
      <c r="DA24" s="1408" t="s">
        <v>839</v>
      </c>
      <c r="DB24" s="1408" t="s">
        <v>2514</v>
      </c>
      <c r="DC24" s="1408" t="s">
        <v>4464</v>
      </c>
      <c r="DD24" s="1408" t="s">
        <v>2514</v>
      </c>
      <c r="DE24" s="1408" t="s">
        <v>3950</v>
      </c>
      <c r="DF24" s="1408" t="s">
        <v>2514</v>
      </c>
      <c r="DG24" s="1408" t="s">
        <v>4223</v>
      </c>
      <c r="DH24" s="1408" t="s">
        <v>2514</v>
      </c>
      <c r="DI24" s="1408" t="s">
        <v>1995</v>
      </c>
      <c r="DJ24" s="1408" t="s">
        <v>2514</v>
      </c>
      <c r="DK24" s="1408" t="s">
        <v>1719</v>
      </c>
      <c r="DL24" s="1408" t="s">
        <v>2514</v>
      </c>
      <c r="DM24" s="1408" t="s">
        <v>2307</v>
      </c>
      <c r="DN24" s="1408" t="s">
        <v>2514</v>
      </c>
      <c r="DO24" s="1408" t="s">
        <v>3942</v>
      </c>
      <c r="DP24" s="1408" t="s">
        <v>2514</v>
      </c>
      <c r="DQ24" s="1408" t="s">
        <v>302</v>
      </c>
      <c r="DR24" s="1408" t="s">
        <v>2514</v>
      </c>
      <c r="DS24" s="1408" t="s">
        <v>5097</v>
      </c>
      <c r="DT24" s="1408" t="s">
        <v>2514</v>
      </c>
      <c r="DU24" s="1408" t="s">
        <v>2613</v>
      </c>
      <c r="DV24" s="1408" t="s">
        <v>2514</v>
      </c>
      <c r="DW24" s="1408" t="s">
        <v>3305</v>
      </c>
      <c r="DX24" s="1408" t="s">
        <v>2514</v>
      </c>
      <c r="DY24" s="1408" t="s">
        <v>5494</v>
      </c>
      <c r="DZ24" s="1408" t="s">
        <v>2514</v>
      </c>
      <c r="EA24" s="1408" t="s">
        <v>4364</v>
      </c>
      <c r="EB24" s="1408" t="s">
        <v>2514</v>
      </c>
      <c r="EC24" s="1408" t="s">
        <v>6719</v>
      </c>
      <c r="ED24" s="1408" t="s">
        <v>2514</v>
      </c>
      <c r="EE24" s="1408" t="s">
        <v>2735</v>
      </c>
      <c r="EF24" s="1408" t="s">
        <v>2514</v>
      </c>
      <c r="EG24" s="1408" t="s">
        <v>5346</v>
      </c>
      <c r="EH24" s="1408" t="s">
        <v>2514</v>
      </c>
      <c r="EI24" s="1408" t="s">
        <v>461</v>
      </c>
      <c r="EJ24" s="1408" t="s">
        <v>2514</v>
      </c>
      <c r="EK24" s="1408" t="s">
        <v>2720</v>
      </c>
      <c r="EL24" s="1408" t="s">
        <v>2514</v>
      </c>
      <c r="EM24" s="1408" t="s">
        <v>1571</v>
      </c>
      <c r="EN24" s="1408" t="s">
        <v>2514</v>
      </c>
      <c r="EO24" s="1408" t="s">
        <v>5276</v>
      </c>
      <c r="EP24" s="1408" t="s">
        <v>2514</v>
      </c>
      <c r="EQ24" s="1408" t="s">
        <v>3545</v>
      </c>
      <c r="ER24" s="1408" t="s">
        <v>2514</v>
      </c>
      <c r="ES24" s="1408" t="s">
        <v>4967</v>
      </c>
      <c r="ET24" s="1408" t="s">
        <v>2514</v>
      </c>
      <c r="EU24" s="1408" t="s">
        <v>4331</v>
      </c>
      <c r="EV24" s="1408" t="s">
        <v>2514</v>
      </c>
      <c r="EW24" s="1408" t="s">
        <v>1549</v>
      </c>
      <c r="EX24" s="1408" t="s">
        <v>2514</v>
      </c>
      <c r="EY24" s="1408" t="s">
        <v>4796</v>
      </c>
      <c r="EZ24" s="1408" t="s">
        <v>2514</v>
      </c>
      <c r="FA24" s="1408" t="s">
        <v>2041</v>
      </c>
      <c r="FB24" s="1408" t="s">
        <v>2514</v>
      </c>
      <c r="FC24" s="1408" t="s">
        <v>3188</v>
      </c>
      <c r="FD24" s="1408" t="s">
        <v>2514</v>
      </c>
      <c r="FE24" s="1408" t="s">
        <v>4400</v>
      </c>
      <c r="FF24" s="1408" t="s">
        <v>2514</v>
      </c>
      <c r="FG24" s="1408" t="s">
        <v>1030</v>
      </c>
      <c r="FH24" s="1408" t="s">
        <v>2514</v>
      </c>
      <c r="FI24" s="1408" t="s">
        <v>365</v>
      </c>
      <c r="FJ24" s="1408" t="s">
        <v>2514</v>
      </c>
      <c r="FK24" s="1408" t="s">
        <v>3234</v>
      </c>
      <c r="FL24" s="1408" t="s">
        <v>2514</v>
      </c>
      <c r="FM24" s="1408" t="s">
        <v>4947</v>
      </c>
      <c r="FN24" s="1408" t="s">
        <v>2514</v>
      </c>
      <c r="FO24" s="1408" t="s">
        <v>709</v>
      </c>
      <c r="FP24" s="1408" t="s">
        <v>2514</v>
      </c>
      <c r="FQ24" s="1408" t="s">
        <v>5861</v>
      </c>
      <c r="FR24" s="1408" t="s">
        <v>2514</v>
      </c>
      <c r="FS24" s="1408" t="s">
        <v>2688</v>
      </c>
      <c r="FT24" s="1408" t="s">
        <v>2514</v>
      </c>
      <c r="FU24" s="1408" t="s">
        <v>5497</v>
      </c>
      <c r="FV24" s="1408" t="s">
        <v>2514</v>
      </c>
      <c r="FW24" s="1408" t="s">
        <v>6163</v>
      </c>
      <c r="FX24" s="1408" t="s">
        <v>2514</v>
      </c>
      <c r="FY24" s="1408" t="s">
        <v>4322</v>
      </c>
      <c r="FZ24" s="1408" t="s">
        <v>2514</v>
      </c>
      <c r="GA24" s="1408" t="s">
        <v>2067</v>
      </c>
      <c r="GB24" s="1408" t="s">
        <v>2514</v>
      </c>
      <c r="GC24" s="1408" t="s">
        <v>504</v>
      </c>
      <c r="GD24" s="1408" t="s">
        <v>2514</v>
      </c>
      <c r="GE24" s="1408" t="s">
        <v>2044</v>
      </c>
      <c r="GF24" s="1408" t="s">
        <v>2514</v>
      </c>
      <c r="GG24" s="1408" t="s">
        <v>6267</v>
      </c>
      <c r="GH24" s="1408" t="s">
        <v>2514</v>
      </c>
      <c r="GI24" s="1408" t="s">
        <v>6667</v>
      </c>
      <c r="GJ24" s="1408" t="s">
        <v>2514</v>
      </c>
      <c r="GK24" s="1408" t="s">
        <v>6944</v>
      </c>
      <c r="GL24" s="1408" t="s">
        <v>2514</v>
      </c>
      <c r="GM24" s="1408" t="s">
        <v>2711</v>
      </c>
      <c r="GN24" s="1408" t="s">
        <v>2514</v>
      </c>
      <c r="GO24" s="1408" t="s">
        <v>1605</v>
      </c>
      <c r="GP24" s="1408" t="s">
        <v>2514</v>
      </c>
      <c r="GQ24" s="1408" t="s">
        <v>290</v>
      </c>
      <c r="GR24" s="1408" t="s">
        <v>2514</v>
      </c>
      <c r="GS24" s="1408" t="s">
        <v>5771</v>
      </c>
      <c r="GT24" s="1408" t="s">
        <v>2514</v>
      </c>
      <c r="GU24" s="1408" t="s">
        <v>4855</v>
      </c>
      <c r="GV24" s="1408" t="s">
        <v>2514</v>
      </c>
      <c r="GW24" s="1408" t="s">
        <v>2864</v>
      </c>
      <c r="GX24" s="1408" t="s">
        <v>2514</v>
      </c>
      <c r="GY24" s="1408" t="s">
        <v>2459</v>
      </c>
      <c r="GZ24" s="1408" t="s">
        <v>2514</v>
      </c>
      <c r="HA24" s="1408" t="s">
        <v>5110</v>
      </c>
      <c r="HB24" s="1408" t="s">
        <v>2514</v>
      </c>
      <c r="HC24" s="1408" t="s">
        <v>140</v>
      </c>
      <c r="HD24" s="1408" t="s">
        <v>2514</v>
      </c>
      <c r="HE24" s="1408" t="s">
        <v>2699</v>
      </c>
      <c r="HF24" s="1408" t="s">
        <v>2514</v>
      </c>
      <c r="HG24" s="1408" t="s">
        <v>979</v>
      </c>
      <c r="HH24" s="1408" t="s">
        <v>2514</v>
      </c>
      <c r="HI24" s="1408" t="s">
        <v>1946</v>
      </c>
      <c r="HJ24" s="1408" t="s">
        <v>2514</v>
      </c>
      <c r="HK24" s="1408" t="s">
        <v>5515</v>
      </c>
      <c r="HL24" s="1408" t="s">
        <v>2514</v>
      </c>
      <c r="HM24" s="1408" t="s">
        <v>539</v>
      </c>
      <c r="HN24" s="1408" t="s">
        <v>2514</v>
      </c>
      <c r="HO24" s="1408" t="s">
        <v>1707</v>
      </c>
      <c r="HP24" s="1408" t="s">
        <v>2514</v>
      </c>
      <c r="HQ24" s="1408" t="s">
        <v>4962</v>
      </c>
      <c r="HR24" s="1408" t="s">
        <v>2514</v>
      </c>
      <c r="HS24" s="1408" t="s">
        <v>4484</v>
      </c>
      <c r="HT24" s="1408" t="s">
        <v>2514</v>
      </c>
      <c r="HU24" s="1408" t="s">
        <v>5490</v>
      </c>
      <c r="HV24" s="1408" t="s">
        <v>2514</v>
      </c>
      <c r="HW24" s="1408" t="s">
        <v>1896</v>
      </c>
      <c r="HX24" s="1408" t="s">
        <v>2514</v>
      </c>
      <c r="HY24" s="1408" t="s">
        <v>2676</v>
      </c>
      <c r="HZ24" s="1408" t="s">
        <v>2514</v>
      </c>
      <c r="IA24" s="1408" t="s">
        <v>3583</v>
      </c>
      <c r="IB24" s="1408" t="s">
        <v>2514</v>
      </c>
      <c r="IC24" s="1408" t="s">
        <v>433</v>
      </c>
      <c r="ID24" s="1408" t="s">
        <v>2514</v>
      </c>
      <c r="IE24" s="1408" t="s">
        <v>5833</v>
      </c>
      <c r="IF24" s="1408" t="s">
        <v>2514</v>
      </c>
      <c r="IG24" s="1408" t="s">
        <v>4175</v>
      </c>
      <c r="IH24" s="1408" t="s">
        <v>2514</v>
      </c>
      <c r="II24" s="1408" t="s">
        <v>3978</v>
      </c>
      <c r="IJ24" s="1408" t="s">
        <v>2514</v>
      </c>
      <c r="IK24" s="1408" t="s">
        <v>299</v>
      </c>
      <c r="IL24" s="1408" t="s">
        <v>2514</v>
      </c>
      <c r="IM24" s="1408" t="s">
        <v>463</v>
      </c>
      <c r="IN24" s="1408" t="s">
        <v>2514</v>
      </c>
      <c r="IO24" s="1408" t="s">
        <v>2318</v>
      </c>
      <c r="IP24" s="1408" t="s">
        <v>2514</v>
      </c>
      <c r="IQ24" s="1408" t="s">
        <v>1216</v>
      </c>
      <c r="IR24" s="1408" t="s">
        <v>2514</v>
      </c>
      <c r="IS24" s="1408" t="s">
        <v>1569</v>
      </c>
      <c r="IT24" s="1408" t="s">
        <v>2514</v>
      </c>
      <c r="IU24" s="1408" t="s">
        <v>3775</v>
      </c>
      <c r="IV24" s="1408" t="s">
        <v>2514</v>
      </c>
    </row>
    <row r="25" spans="1:256" s="1408" customFormat="1">
      <c r="A25" s="1408" t="s">
        <v>3646</v>
      </c>
      <c r="B25" s="1408" t="s">
        <v>2514</v>
      </c>
      <c r="C25" s="1408" t="s">
        <v>6121</v>
      </c>
      <c r="D25" s="1408" t="s">
        <v>2514</v>
      </c>
      <c r="E25" s="1408" t="s">
        <v>4800</v>
      </c>
      <c r="F25" s="1408" t="s">
        <v>2514</v>
      </c>
      <c r="G25" s="1408" t="s">
        <v>2664</v>
      </c>
      <c r="H25" s="1408" t="s">
        <v>2514</v>
      </c>
      <c r="I25" s="1408" t="s">
        <v>4192</v>
      </c>
      <c r="J25" s="1408" t="s">
        <v>2514</v>
      </c>
      <c r="K25" s="1408" t="s">
        <v>810</v>
      </c>
      <c r="L25" s="1408" t="s">
        <v>2514</v>
      </c>
      <c r="M25" s="1408" t="s">
        <v>1190</v>
      </c>
      <c r="N25" s="1408" t="s">
        <v>2514</v>
      </c>
      <c r="O25" s="1408" t="s">
        <v>1132</v>
      </c>
      <c r="P25" s="1408" t="s">
        <v>2514</v>
      </c>
      <c r="Q25" s="1408" t="s">
        <v>4099</v>
      </c>
      <c r="R25" s="1408" t="s">
        <v>2514</v>
      </c>
      <c r="S25" s="1408" t="s">
        <v>4080</v>
      </c>
      <c r="T25" s="1408" t="s">
        <v>2514</v>
      </c>
      <c r="U25" s="1408" t="s">
        <v>2194</v>
      </c>
      <c r="V25" s="1408" t="s">
        <v>2514</v>
      </c>
      <c r="W25" s="1408" t="s">
        <v>1127</v>
      </c>
      <c r="X25" s="1408" t="s">
        <v>2514</v>
      </c>
      <c r="Y25" s="1408" t="s">
        <v>401</v>
      </c>
      <c r="Z25" s="1408" t="s">
        <v>2514</v>
      </c>
      <c r="AA25" s="1408" t="s">
        <v>6529</v>
      </c>
      <c r="AB25" s="1408" t="s">
        <v>2514</v>
      </c>
      <c r="AC25" s="1408" t="s">
        <v>4199</v>
      </c>
      <c r="AD25" s="1408" t="s">
        <v>2514</v>
      </c>
      <c r="AE25" s="1408" t="s">
        <v>522</v>
      </c>
      <c r="AF25" s="1408" t="s">
        <v>2514</v>
      </c>
      <c r="AG25" s="1408" t="s">
        <v>3832</v>
      </c>
      <c r="AH25" s="1408" t="s">
        <v>2514</v>
      </c>
      <c r="AI25" s="1408" t="s">
        <v>3203</v>
      </c>
      <c r="AJ25" s="1408" t="s">
        <v>2514</v>
      </c>
      <c r="AK25" s="1408" t="s">
        <v>1686</v>
      </c>
      <c r="AL25" s="1408" t="s">
        <v>2514</v>
      </c>
      <c r="AM25" s="1408" t="s">
        <v>2510</v>
      </c>
      <c r="AN25" s="1408" t="s">
        <v>6592</v>
      </c>
      <c r="AO25" s="1408" t="s">
        <v>2185</v>
      </c>
      <c r="AP25" s="1408" t="s">
        <v>2514</v>
      </c>
      <c r="AQ25" s="1408" t="s">
        <v>5727</v>
      </c>
      <c r="AR25" s="1408" t="s">
        <v>2514</v>
      </c>
      <c r="AS25" s="1408" t="s">
        <v>3409</v>
      </c>
      <c r="AT25" s="1408" t="s">
        <v>2514</v>
      </c>
      <c r="AU25" s="1408" t="s">
        <v>42</v>
      </c>
      <c r="AV25" s="1408" t="s">
        <v>2514</v>
      </c>
      <c r="AW25" s="1408" t="s">
        <v>419</v>
      </c>
      <c r="AX25" s="1408" t="s">
        <v>2514</v>
      </c>
      <c r="AY25" s="1408" t="s">
        <v>1441</v>
      </c>
      <c r="AZ25" s="1408" t="s">
        <v>2514</v>
      </c>
      <c r="BA25" s="1408" t="s">
        <v>2003</v>
      </c>
      <c r="BB25" s="1408" t="s">
        <v>2514</v>
      </c>
      <c r="BC25" s="1408" t="s">
        <v>6263</v>
      </c>
      <c r="BD25" s="1408" t="s">
        <v>2514</v>
      </c>
      <c r="BE25" s="1408" t="s">
        <v>6411</v>
      </c>
      <c r="BF25" s="1408" t="s">
        <v>2514</v>
      </c>
      <c r="BG25" s="1408" t="s">
        <v>6147</v>
      </c>
      <c r="BH25" s="1408" t="s">
        <v>2514</v>
      </c>
      <c r="BI25" s="1408" t="s">
        <v>6378</v>
      </c>
      <c r="BJ25" s="1408" t="s">
        <v>2514</v>
      </c>
      <c r="BK25" s="1408" t="s">
        <v>6162</v>
      </c>
      <c r="BL25" s="1408" t="s">
        <v>2514</v>
      </c>
      <c r="BM25" s="1408" t="s">
        <v>3917</v>
      </c>
      <c r="BN25" s="1408" t="s">
        <v>2514</v>
      </c>
      <c r="BO25" s="1408" t="s">
        <v>2726</v>
      </c>
      <c r="BP25" s="1408" t="s">
        <v>2514</v>
      </c>
      <c r="BQ25" s="1408" t="s">
        <v>2796</v>
      </c>
      <c r="BR25" s="1408" t="s">
        <v>2514</v>
      </c>
      <c r="BS25" s="1408" t="s">
        <v>1855</v>
      </c>
      <c r="BT25" s="1408" t="s">
        <v>2514</v>
      </c>
      <c r="BU25" s="1408" t="s">
        <v>3386</v>
      </c>
      <c r="BV25" s="1408" t="s">
        <v>2514</v>
      </c>
      <c r="BW25" s="1408" t="s">
        <v>739</v>
      </c>
      <c r="BX25" s="1408" t="s">
        <v>2514</v>
      </c>
      <c r="BY25" s="1408" t="s">
        <v>6736</v>
      </c>
      <c r="BZ25" s="1408" t="s">
        <v>2514</v>
      </c>
      <c r="CA25" s="1408" t="s">
        <v>3987</v>
      </c>
      <c r="CB25" s="1408" t="s">
        <v>2514</v>
      </c>
      <c r="CC25" s="1408" t="s">
        <v>220</v>
      </c>
      <c r="CD25" s="1408" t="s">
        <v>2514</v>
      </c>
      <c r="CE25" s="1408" t="s">
        <v>1269</v>
      </c>
      <c r="CF25" s="1408" t="s">
        <v>2514</v>
      </c>
      <c r="CG25" s="1408" t="s">
        <v>185</v>
      </c>
      <c r="CH25" s="1408" t="s">
        <v>2514</v>
      </c>
      <c r="CI25" s="1408" t="s">
        <v>132</v>
      </c>
      <c r="CJ25" s="1408" t="s">
        <v>2514</v>
      </c>
      <c r="CK25" s="1408" t="s">
        <v>3608</v>
      </c>
      <c r="CL25" s="1408" t="s">
        <v>2514</v>
      </c>
      <c r="CM25" s="1408" t="s">
        <v>5674</v>
      </c>
      <c r="CN25" s="1408" t="s">
        <v>2514</v>
      </c>
      <c r="CO25" s="1408" t="s">
        <v>2054</v>
      </c>
      <c r="CP25" s="1408" t="s">
        <v>2514</v>
      </c>
      <c r="CQ25" s="1408" t="s">
        <v>3594</v>
      </c>
      <c r="CR25" s="1408" t="s">
        <v>2514</v>
      </c>
      <c r="CS25" s="1408" t="s">
        <v>6532</v>
      </c>
      <c r="CT25" s="1408" t="s">
        <v>2514</v>
      </c>
      <c r="CU25" s="1408" t="s">
        <v>5119</v>
      </c>
      <c r="CV25" s="1408" t="s">
        <v>2514</v>
      </c>
      <c r="CW25" s="1408" t="s">
        <v>2492</v>
      </c>
      <c r="CX25" s="1408" t="s">
        <v>2514</v>
      </c>
      <c r="CY25" s="1408" t="s">
        <v>6309</v>
      </c>
      <c r="CZ25" s="1408" t="s">
        <v>2514</v>
      </c>
      <c r="DA25" s="1408" t="s">
        <v>6910</v>
      </c>
      <c r="DB25" s="1408" t="s">
        <v>2514</v>
      </c>
      <c r="DC25" s="1408" t="s">
        <v>3463</v>
      </c>
      <c r="DD25" s="1408" t="s">
        <v>2514</v>
      </c>
      <c r="DE25" s="1408" t="s">
        <v>5881</v>
      </c>
      <c r="DF25" s="1408" t="s">
        <v>2514</v>
      </c>
      <c r="DG25" s="1408" t="s">
        <v>6493</v>
      </c>
      <c r="DH25" s="1408" t="s">
        <v>2514</v>
      </c>
      <c r="DI25" s="1408" t="s">
        <v>1287</v>
      </c>
      <c r="DJ25" s="1408" t="s">
        <v>2514</v>
      </c>
      <c r="DK25" s="1408" t="s">
        <v>4989</v>
      </c>
      <c r="DL25" s="1408" t="s">
        <v>2514</v>
      </c>
      <c r="DM25" s="1408" t="s">
        <v>4840</v>
      </c>
      <c r="DN25" s="1408" t="s">
        <v>2514</v>
      </c>
      <c r="DO25" s="1408" t="s">
        <v>4778</v>
      </c>
      <c r="DP25" s="1408" t="s">
        <v>2514</v>
      </c>
      <c r="DQ25" s="1408" t="s">
        <v>4086</v>
      </c>
      <c r="DR25" s="1408" t="s">
        <v>2514</v>
      </c>
      <c r="DS25" s="1408" t="s">
        <v>44</v>
      </c>
      <c r="DT25" s="1408" t="s">
        <v>2514</v>
      </c>
      <c r="DU25" s="1408" t="s">
        <v>243</v>
      </c>
      <c r="DV25" s="1408" t="s">
        <v>2514</v>
      </c>
      <c r="DW25" s="1408" t="s">
        <v>3015</v>
      </c>
      <c r="DX25" s="1408" t="s">
        <v>2514</v>
      </c>
      <c r="DY25" s="1408" t="s">
        <v>6111</v>
      </c>
      <c r="DZ25" s="1408" t="s">
        <v>2514</v>
      </c>
      <c r="EA25" s="1408" t="s">
        <v>3448</v>
      </c>
      <c r="EB25" s="1408" t="s">
        <v>2514</v>
      </c>
      <c r="EC25" s="1408" t="s">
        <v>4084</v>
      </c>
      <c r="ED25" s="1408" t="s">
        <v>2514</v>
      </c>
      <c r="EE25" s="1408" t="s">
        <v>3994</v>
      </c>
      <c r="EF25" s="1408" t="s">
        <v>2514</v>
      </c>
      <c r="EG25" s="1408" t="s">
        <v>4011</v>
      </c>
      <c r="EH25" s="1408" t="s">
        <v>2514</v>
      </c>
      <c r="EI25" s="1408" t="s">
        <v>5634</v>
      </c>
      <c r="EJ25" s="1408" t="s">
        <v>2514</v>
      </c>
      <c r="EK25" s="1408" t="s">
        <v>957</v>
      </c>
      <c r="EL25" s="1408" t="s">
        <v>2514</v>
      </c>
      <c r="EM25" s="1408" t="s">
        <v>5564</v>
      </c>
      <c r="EN25" s="1408" t="s">
        <v>2514</v>
      </c>
      <c r="EO25" s="1408" t="s">
        <v>496</v>
      </c>
      <c r="EP25" s="1408" t="s">
        <v>2514</v>
      </c>
      <c r="EQ25" s="1408" t="s">
        <v>3661</v>
      </c>
      <c r="ER25" s="1408" t="s">
        <v>2514</v>
      </c>
      <c r="ES25" s="1408" t="s">
        <v>4785</v>
      </c>
      <c r="ET25" s="1408" t="s">
        <v>2514</v>
      </c>
      <c r="EU25" s="1408" t="s">
        <v>253</v>
      </c>
      <c r="EV25" s="1408" t="s">
        <v>2514</v>
      </c>
      <c r="EW25" s="1408" t="s">
        <v>687</v>
      </c>
      <c r="EX25" s="1408" t="s">
        <v>2514</v>
      </c>
      <c r="EY25" s="1408" t="s">
        <v>3411</v>
      </c>
      <c r="EZ25" s="1408" t="s">
        <v>2514</v>
      </c>
      <c r="FA25" s="1408" t="s">
        <v>2962</v>
      </c>
      <c r="FB25" s="1408" t="s">
        <v>2514</v>
      </c>
      <c r="FC25" s="1408" t="s">
        <v>2941</v>
      </c>
      <c r="FD25" s="1408" t="s">
        <v>2514</v>
      </c>
      <c r="FE25" s="1408" t="s">
        <v>732</v>
      </c>
      <c r="FF25" s="1408" t="s">
        <v>2514</v>
      </c>
      <c r="FG25" s="1408" t="s">
        <v>1775</v>
      </c>
      <c r="FH25" s="1408" t="s">
        <v>2514</v>
      </c>
      <c r="FI25" s="1408" t="s">
        <v>188</v>
      </c>
      <c r="FJ25" s="1408" t="s">
        <v>2514</v>
      </c>
      <c r="FK25" s="1408" t="s">
        <v>4870</v>
      </c>
      <c r="FL25" s="1408" t="s">
        <v>2514</v>
      </c>
      <c r="FM25" s="1408" t="s">
        <v>1531</v>
      </c>
      <c r="FN25" s="1408" t="s">
        <v>2514</v>
      </c>
      <c r="FO25" s="1408" t="s">
        <v>2197</v>
      </c>
      <c r="FP25" s="1408" t="s">
        <v>2514</v>
      </c>
      <c r="FQ25" s="1408" t="s">
        <v>3779</v>
      </c>
      <c r="FR25" s="1408" t="s">
        <v>2514</v>
      </c>
      <c r="FS25" s="1408" t="s">
        <v>6697</v>
      </c>
      <c r="FT25" s="1408" t="s">
        <v>2514</v>
      </c>
      <c r="FU25" s="1408" t="s">
        <v>560</v>
      </c>
      <c r="FV25" s="1408" t="s">
        <v>2514</v>
      </c>
      <c r="FW25" s="1408" t="s">
        <v>1864</v>
      </c>
      <c r="FX25" s="1408" t="s">
        <v>2514</v>
      </c>
      <c r="FY25" s="1408" t="s">
        <v>2593</v>
      </c>
      <c r="FZ25" s="1408" t="s">
        <v>2514</v>
      </c>
      <c r="GA25" s="1408" t="s">
        <v>2545</v>
      </c>
      <c r="GB25" s="1408" t="s">
        <v>2514</v>
      </c>
      <c r="GC25" s="1408" t="s">
        <v>5598</v>
      </c>
      <c r="GD25" s="1408" t="s">
        <v>2514</v>
      </c>
      <c r="GE25" s="1408" t="s">
        <v>2649</v>
      </c>
      <c r="GF25" s="1408" t="s">
        <v>2514</v>
      </c>
      <c r="GG25" s="1408" t="s">
        <v>5728</v>
      </c>
      <c r="GH25" s="1408" t="s">
        <v>2514</v>
      </c>
      <c r="GI25" s="1408" t="s">
        <v>3286</v>
      </c>
      <c r="GJ25" s="1408" t="s">
        <v>2514</v>
      </c>
      <c r="GK25" s="1408" t="s">
        <v>2895</v>
      </c>
      <c r="GL25" s="1408" t="s">
        <v>2514</v>
      </c>
      <c r="GM25" s="1408" t="s">
        <v>6244</v>
      </c>
      <c r="GN25" s="1408" t="s">
        <v>2514</v>
      </c>
      <c r="GO25" s="1408" t="s">
        <v>1754</v>
      </c>
      <c r="GP25" s="1408" t="s">
        <v>2514</v>
      </c>
      <c r="GQ25" s="1408" t="s">
        <v>708</v>
      </c>
      <c r="GR25" s="1408" t="s">
        <v>2514</v>
      </c>
      <c r="GS25" s="1408" t="s">
        <v>6092</v>
      </c>
      <c r="GT25" s="1408" t="s">
        <v>2514</v>
      </c>
      <c r="GU25" s="1408" t="s">
        <v>1460</v>
      </c>
      <c r="GV25" s="1408" t="s">
        <v>2514</v>
      </c>
      <c r="GW25" s="1408" t="s">
        <v>1955</v>
      </c>
      <c r="GX25" s="1408" t="s">
        <v>2514</v>
      </c>
      <c r="GY25" s="1408" t="s">
        <v>161</v>
      </c>
      <c r="GZ25" s="1408" t="s">
        <v>2514</v>
      </c>
      <c r="HA25" s="1408" t="s">
        <v>3481</v>
      </c>
      <c r="HB25" s="1408" t="s">
        <v>2514</v>
      </c>
      <c r="HC25" s="1408" t="s">
        <v>6566</v>
      </c>
      <c r="HD25" s="1408" t="s">
        <v>2514</v>
      </c>
      <c r="HE25" s="1408" t="s">
        <v>1968</v>
      </c>
      <c r="HF25" s="1408" t="s">
        <v>2514</v>
      </c>
      <c r="HG25" s="1408" t="s">
        <v>800</v>
      </c>
      <c r="HH25" s="1408" t="s">
        <v>2514</v>
      </c>
      <c r="HI25" s="1408" t="s">
        <v>3757</v>
      </c>
      <c r="HJ25" s="1408" t="s">
        <v>2514</v>
      </c>
      <c r="HK25" s="1408" t="s">
        <v>3239</v>
      </c>
      <c r="HL25" s="1408" t="s">
        <v>2514</v>
      </c>
      <c r="HM25" s="1408" t="s">
        <v>1212</v>
      </c>
      <c r="HN25" s="1408" t="s">
        <v>2514</v>
      </c>
      <c r="HO25" s="1408" t="s">
        <v>6375</v>
      </c>
      <c r="HP25" s="1408" t="s">
        <v>2514</v>
      </c>
      <c r="HQ25" s="1408" t="s">
        <v>6105</v>
      </c>
      <c r="HR25" s="1408" t="s">
        <v>2514</v>
      </c>
      <c r="HS25" s="1408" t="s">
        <v>2182</v>
      </c>
      <c r="HT25" s="1408" t="s">
        <v>2514</v>
      </c>
      <c r="HU25" s="1408" t="s">
        <v>3030</v>
      </c>
      <c r="HV25" s="1408" t="s">
        <v>2514</v>
      </c>
      <c r="HW25" s="1408" t="s">
        <v>6932</v>
      </c>
      <c r="HX25" s="1408" t="s">
        <v>2514</v>
      </c>
      <c r="HY25" s="1408" t="s">
        <v>4156</v>
      </c>
      <c r="HZ25" s="1408" t="s">
        <v>2514</v>
      </c>
      <c r="IA25" s="1408" t="s">
        <v>3112</v>
      </c>
      <c r="IB25" s="1408" t="s">
        <v>2514</v>
      </c>
      <c r="IC25" s="1408" t="s">
        <v>131</v>
      </c>
      <c r="ID25" s="1408" t="s">
        <v>2514</v>
      </c>
      <c r="IE25" s="1408" t="s">
        <v>51</v>
      </c>
      <c r="IF25" s="1408" t="s">
        <v>2514</v>
      </c>
      <c r="IG25" s="1408" t="s">
        <v>6487</v>
      </c>
      <c r="IH25" s="1408" t="s">
        <v>2514</v>
      </c>
      <c r="II25" s="1408" t="s">
        <v>2990</v>
      </c>
      <c r="IJ25" s="1408" t="s">
        <v>2514</v>
      </c>
      <c r="IK25" s="1408" t="s">
        <v>1318</v>
      </c>
      <c r="IL25" s="1408" t="s">
        <v>2514</v>
      </c>
      <c r="IM25" s="1408" t="s">
        <v>6034</v>
      </c>
      <c r="IN25" s="1408" t="s">
        <v>2514</v>
      </c>
      <c r="IO25" s="1408" t="s">
        <v>4863</v>
      </c>
      <c r="IP25" s="1408" t="s">
        <v>2514</v>
      </c>
      <c r="IQ25" s="1408" t="s">
        <v>6747</v>
      </c>
      <c r="IR25" s="1408" t="s">
        <v>2514</v>
      </c>
      <c r="IS25" s="1408" t="s">
        <v>3530</v>
      </c>
      <c r="IT25" s="1408" t="s">
        <v>2514</v>
      </c>
      <c r="IU25" s="1408" t="s">
        <v>3282</v>
      </c>
      <c r="IV25" s="1408" t="s">
        <v>2514</v>
      </c>
    </row>
    <row r="26" spans="1:256" s="1408" customFormat="1">
      <c r="A26" s="1408" t="s">
        <v>5344</v>
      </c>
      <c r="B26" s="1408" t="s">
        <v>2514</v>
      </c>
      <c r="C26" s="1408" t="s">
        <v>1806</v>
      </c>
      <c r="D26" s="1408" t="s">
        <v>2514</v>
      </c>
      <c r="E26" s="1408" t="s">
        <v>3458</v>
      </c>
      <c r="F26" s="1408" t="s">
        <v>2514</v>
      </c>
      <c r="G26" s="1408" t="s">
        <v>4214</v>
      </c>
      <c r="H26" s="1408" t="s">
        <v>2514</v>
      </c>
      <c r="I26" s="1408" t="s">
        <v>821</v>
      </c>
      <c r="J26" s="1408" t="s">
        <v>2514</v>
      </c>
      <c r="K26" s="1408" t="s">
        <v>6904</v>
      </c>
      <c r="L26" s="1408" t="s">
        <v>2514</v>
      </c>
      <c r="M26" s="1408" t="s">
        <v>2684</v>
      </c>
      <c r="N26" s="1408" t="s">
        <v>2514</v>
      </c>
      <c r="O26" s="1408" t="s">
        <v>2473</v>
      </c>
      <c r="P26" s="1408" t="s">
        <v>2514</v>
      </c>
      <c r="Q26" s="1408" t="s">
        <v>5157</v>
      </c>
      <c r="R26" s="1408" t="s">
        <v>2514</v>
      </c>
      <c r="S26" s="1408" t="s">
        <v>2410</v>
      </c>
      <c r="T26" s="1408" t="s">
        <v>2514</v>
      </c>
      <c r="U26" s="1408" t="s">
        <v>1248</v>
      </c>
      <c r="V26" s="1408" t="s">
        <v>2514</v>
      </c>
      <c r="W26" s="1408" t="s">
        <v>1123</v>
      </c>
      <c r="X26" s="1408" t="s">
        <v>2514</v>
      </c>
      <c r="Y26" s="1408" t="s">
        <v>3996</v>
      </c>
      <c r="Z26" s="1408" t="s">
        <v>2514</v>
      </c>
      <c r="AA26" s="1408" t="s">
        <v>6486</v>
      </c>
      <c r="AB26" s="1408" t="s">
        <v>2514</v>
      </c>
      <c r="AC26" s="1408" t="s">
        <v>6701</v>
      </c>
      <c r="AD26" s="1408" t="s">
        <v>2514</v>
      </c>
      <c r="AE26" s="1408" t="s">
        <v>1217</v>
      </c>
      <c r="AF26" s="1408" t="s">
        <v>2514</v>
      </c>
      <c r="AG26" s="1408" t="s">
        <v>5479</v>
      </c>
      <c r="AH26" s="1408" t="s">
        <v>2514</v>
      </c>
      <c r="AI26" s="1408" t="s">
        <v>2974</v>
      </c>
      <c r="AJ26" s="1408" t="s">
        <v>2514</v>
      </c>
      <c r="AK26" s="1408" t="s">
        <v>2179</v>
      </c>
      <c r="AL26" s="1408" t="s">
        <v>2514</v>
      </c>
      <c r="AM26" s="1408" t="s">
        <v>3235</v>
      </c>
      <c r="AN26" s="1408" t="s">
        <v>2514</v>
      </c>
      <c r="AO26" s="1408" t="s">
        <v>6182</v>
      </c>
      <c r="AP26" s="1408" t="s">
        <v>2514</v>
      </c>
      <c r="AQ26" s="1408" t="s">
        <v>1721</v>
      </c>
      <c r="AR26" s="1408" t="s">
        <v>2514</v>
      </c>
      <c r="AS26" s="1408" t="s">
        <v>3051</v>
      </c>
      <c r="AT26" s="1408" t="s">
        <v>2514</v>
      </c>
      <c r="AU26" s="1408" t="s">
        <v>330</v>
      </c>
      <c r="AV26" s="1408" t="s">
        <v>2514</v>
      </c>
      <c r="AW26" s="1408" t="s">
        <v>3067</v>
      </c>
      <c r="AX26" s="1408" t="s">
        <v>2514</v>
      </c>
      <c r="AY26" s="1408" t="s">
        <v>4079</v>
      </c>
      <c r="AZ26" s="1408" t="s">
        <v>2514</v>
      </c>
      <c r="BA26" s="1408" t="s">
        <v>1349</v>
      </c>
      <c r="BB26" s="1408" t="s">
        <v>2514</v>
      </c>
      <c r="BC26" s="1408" t="s">
        <v>4621</v>
      </c>
      <c r="BD26" s="1408" t="s">
        <v>2514</v>
      </c>
      <c r="BE26" s="1408" t="s">
        <v>4062</v>
      </c>
      <c r="BF26" s="1408" t="s">
        <v>2514</v>
      </c>
      <c r="BG26" s="1408" t="s">
        <v>3888</v>
      </c>
      <c r="BH26" s="1408" t="s">
        <v>2514</v>
      </c>
      <c r="BI26" s="1408" t="s">
        <v>704</v>
      </c>
      <c r="BJ26" s="1408" t="s">
        <v>2514</v>
      </c>
      <c r="BK26" s="1408" t="s">
        <v>1171</v>
      </c>
      <c r="BL26" s="1408" t="s">
        <v>2514</v>
      </c>
      <c r="BM26" s="1408" t="s">
        <v>3218</v>
      </c>
      <c r="BN26" s="1408" t="s">
        <v>2514</v>
      </c>
      <c r="BO26" s="1408" t="s">
        <v>2667</v>
      </c>
      <c r="BP26" s="1408" t="s">
        <v>2514</v>
      </c>
      <c r="BQ26" s="1408" t="s">
        <v>66</v>
      </c>
      <c r="BR26" s="1408" t="s">
        <v>2514</v>
      </c>
      <c r="BS26" s="1408" t="s">
        <v>1828</v>
      </c>
      <c r="BT26" s="1408" t="s">
        <v>2514</v>
      </c>
      <c r="BU26" s="1408" t="s">
        <v>697</v>
      </c>
      <c r="BV26" s="1408" t="s">
        <v>2514</v>
      </c>
      <c r="BW26" s="1408" t="s">
        <v>5605</v>
      </c>
      <c r="BX26" s="1408" t="s">
        <v>2514</v>
      </c>
      <c r="BY26" s="1408" t="s">
        <v>2219</v>
      </c>
      <c r="BZ26" s="1408" t="s">
        <v>2514</v>
      </c>
      <c r="CA26" s="1408" t="s">
        <v>3007</v>
      </c>
      <c r="CB26" s="1408" t="s">
        <v>2514</v>
      </c>
      <c r="CC26" s="1408" t="s">
        <v>1418</v>
      </c>
      <c r="CD26" s="1408" t="s">
        <v>2514</v>
      </c>
      <c r="CE26" s="1408" t="s">
        <v>4864</v>
      </c>
      <c r="CF26" s="1408" t="s">
        <v>2514</v>
      </c>
      <c r="CG26" s="1408" t="s">
        <v>408</v>
      </c>
      <c r="CH26" s="1408" t="s">
        <v>2514</v>
      </c>
      <c r="CI26" s="1408" t="s">
        <v>6146</v>
      </c>
      <c r="CJ26" s="1408" t="s">
        <v>2514</v>
      </c>
      <c r="CK26" s="1408" t="s">
        <v>4672</v>
      </c>
      <c r="CL26" s="1408" t="s">
        <v>2514</v>
      </c>
      <c r="CM26" s="1408" t="s">
        <v>5332</v>
      </c>
      <c r="CN26" s="1408" t="s">
        <v>2514</v>
      </c>
      <c r="CO26" s="1408" t="s">
        <v>1657</v>
      </c>
      <c r="CP26" s="1408" t="s">
        <v>2514</v>
      </c>
      <c r="CQ26" s="1408" t="s">
        <v>2</v>
      </c>
      <c r="CR26" s="1408" t="s">
        <v>2514</v>
      </c>
      <c r="CS26" s="1408" t="s">
        <v>6724</v>
      </c>
      <c r="CT26" s="1408" t="s">
        <v>2514</v>
      </c>
      <c r="CU26" s="1408" t="s">
        <v>2580</v>
      </c>
      <c r="CV26" s="1408" t="s">
        <v>2514</v>
      </c>
      <c r="CW26" s="1408" t="s">
        <v>2602</v>
      </c>
      <c r="CX26" s="1408" t="s">
        <v>2514</v>
      </c>
      <c r="CY26" s="1408" t="s">
        <v>5791</v>
      </c>
      <c r="CZ26" s="1408" t="s">
        <v>2514</v>
      </c>
      <c r="DA26" s="1408" t="s">
        <v>6</v>
      </c>
      <c r="DB26" s="1408" t="s">
        <v>2514</v>
      </c>
      <c r="DC26" s="1408" t="s">
        <v>5039</v>
      </c>
      <c r="DD26" s="1408" t="s">
        <v>2514</v>
      </c>
      <c r="DE26" s="1408" t="s">
        <v>3614</v>
      </c>
      <c r="DF26" s="1408" t="s">
        <v>2514</v>
      </c>
      <c r="DG26" s="1408" t="s">
        <v>2860</v>
      </c>
      <c r="DH26" s="1408" t="s">
        <v>2514</v>
      </c>
      <c r="DI26" s="1408" t="s">
        <v>3753</v>
      </c>
      <c r="DJ26" s="1408" t="s">
        <v>2514</v>
      </c>
      <c r="DK26" s="1408" t="s">
        <v>1675</v>
      </c>
      <c r="DL26" s="1408" t="s">
        <v>2514</v>
      </c>
      <c r="DM26" s="1408" t="s">
        <v>4535</v>
      </c>
      <c r="DN26" s="1408" t="s">
        <v>2514</v>
      </c>
      <c r="DO26" s="1408" t="s">
        <v>5721</v>
      </c>
      <c r="DP26" s="1408" t="s">
        <v>2514</v>
      </c>
      <c r="DQ26" s="1408" t="s">
        <v>494</v>
      </c>
      <c r="DR26" s="1408" t="s">
        <v>2514</v>
      </c>
      <c r="DS26" s="1408" t="s">
        <v>2874</v>
      </c>
      <c r="DT26" s="1408" t="s">
        <v>2514</v>
      </c>
      <c r="DU26" s="1408" t="s">
        <v>6407</v>
      </c>
      <c r="DV26" s="1408" t="s">
        <v>2514</v>
      </c>
      <c r="DW26" s="1408" t="s">
        <v>1313</v>
      </c>
      <c r="DX26" s="1408" t="s">
        <v>2514</v>
      </c>
      <c r="DY26" s="1408" t="s">
        <v>1434</v>
      </c>
      <c r="DZ26" s="1408" t="s">
        <v>2514</v>
      </c>
      <c r="EA26" s="1408" t="s">
        <v>6314</v>
      </c>
      <c r="EB26" s="1408" t="s">
        <v>2514</v>
      </c>
      <c r="EC26" s="1408" t="s">
        <v>2267</v>
      </c>
      <c r="ED26" s="1408" t="s">
        <v>2514</v>
      </c>
      <c r="EE26" s="1408" t="s">
        <v>4308</v>
      </c>
      <c r="EF26" s="1408" t="s">
        <v>2514</v>
      </c>
      <c r="EG26" s="1408" t="s">
        <v>427</v>
      </c>
      <c r="EH26" s="1408" t="s">
        <v>2514</v>
      </c>
      <c r="EI26" s="1408" t="s">
        <v>1422</v>
      </c>
      <c r="EJ26" s="1408" t="s">
        <v>2514</v>
      </c>
      <c r="EK26" s="1408" t="s">
        <v>2060</v>
      </c>
      <c r="EL26" s="1408" t="s">
        <v>2514</v>
      </c>
      <c r="EM26" s="1408" t="s">
        <v>3527</v>
      </c>
      <c r="EN26" s="1408" t="s">
        <v>2514</v>
      </c>
      <c r="EO26" s="1408" t="s">
        <v>3247</v>
      </c>
      <c r="EP26" s="1408" t="s">
        <v>2514</v>
      </c>
      <c r="EQ26" s="1408" t="s">
        <v>2475</v>
      </c>
      <c r="ER26" s="1408" t="s">
        <v>2514</v>
      </c>
      <c r="ES26" s="1408" t="s">
        <v>2482</v>
      </c>
      <c r="ET26" s="1408" t="s">
        <v>2514</v>
      </c>
      <c r="EU26" s="1408" t="s">
        <v>777</v>
      </c>
      <c r="EV26" s="1408" t="s">
        <v>2514</v>
      </c>
      <c r="EW26" s="1408" t="s">
        <v>1342</v>
      </c>
      <c r="EX26" s="1408" t="s">
        <v>2514</v>
      </c>
      <c r="EY26" s="1408" t="s">
        <v>1199</v>
      </c>
      <c r="EZ26" s="1408" t="s">
        <v>2514</v>
      </c>
      <c r="FA26" s="1408" t="s">
        <v>6311</v>
      </c>
      <c r="FB26" s="1408" t="s">
        <v>2514</v>
      </c>
      <c r="FC26" s="1408" t="s">
        <v>6011</v>
      </c>
      <c r="FD26" s="1408" t="s">
        <v>2514</v>
      </c>
      <c r="FE26" s="1408" t="s">
        <v>1249</v>
      </c>
      <c r="FF26" s="1408" t="s">
        <v>2514</v>
      </c>
      <c r="FG26" s="1408" t="s">
        <v>176</v>
      </c>
      <c r="FH26" s="1408" t="s">
        <v>2514</v>
      </c>
      <c r="FI26" s="1408" t="s">
        <v>5969</v>
      </c>
      <c r="FJ26" s="1408" t="s">
        <v>2514</v>
      </c>
      <c r="FK26" s="1408" t="s">
        <v>4765</v>
      </c>
      <c r="FL26" s="1408" t="s">
        <v>2514</v>
      </c>
      <c r="FM26" s="1408" t="s">
        <v>3435</v>
      </c>
      <c r="FN26" s="1408" t="s">
        <v>2514</v>
      </c>
      <c r="FO26" s="1408" t="s">
        <v>5050</v>
      </c>
      <c r="FP26" s="1408" t="s">
        <v>2514</v>
      </c>
      <c r="FQ26" s="1408" t="s">
        <v>3468</v>
      </c>
      <c r="FR26" s="1408" t="s">
        <v>2514</v>
      </c>
      <c r="FS26" s="1408" t="s">
        <v>2436</v>
      </c>
      <c r="FT26" s="1408" t="s">
        <v>2514</v>
      </c>
      <c r="FU26" s="1408" t="s">
        <v>3136</v>
      </c>
      <c r="FV26" s="1408" t="s">
        <v>2514</v>
      </c>
      <c r="FW26" s="1408" t="s">
        <v>1516</v>
      </c>
      <c r="FX26" s="1408" t="s">
        <v>2514</v>
      </c>
      <c r="FY26" s="1408" t="s">
        <v>4723</v>
      </c>
      <c r="FZ26" s="1408" t="s">
        <v>2514</v>
      </c>
      <c r="GA26" s="1408" t="s">
        <v>4552</v>
      </c>
      <c r="GB26" s="1408" t="s">
        <v>2514</v>
      </c>
      <c r="GC26" s="1408" t="s">
        <v>6564</v>
      </c>
      <c r="GD26" s="1408" t="s">
        <v>2514</v>
      </c>
      <c r="GE26" s="1408" t="s">
        <v>3382</v>
      </c>
      <c r="GF26" s="1408" t="s">
        <v>2514</v>
      </c>
      <c r="GG26" s="1408" t="s">
        <v>4414</v>
      </c>
      <c r="GH26" s="1408" t="s">
        <v>2514</v>
      </c>
      <c r="GI26" s="1408" t="s">
        <v>3156</v>
      </c>
      <c r="GJ26" s="1408" t="s">
        <v>2514</v>
      </c>
      <c r="GK26" s="1408" t="s">
        <v>6456</v>
      </c>
      <c r="GL26" s="1408" t="s">
        <v>2514</v>
      </c>
      <c r="GM26" s="1408" t="s">
        <v>3677</v>
      </c>
      <c r="GN26" s="1408" t="s">
        <v>2514</v>
      </c>
      <c r="GO26" s="1408" t="s">
        <v>6172</v>
      </c>
      <c r="GP26" s="1408" t="s">
        <v>2514</v>
      </c>
      <c r="GQ26" s="1408" t="s">
        <v>3200</v>
      </c>
      <c r="GR26" s="1408" t="s">
        <v>2514</v>
      </c>
      <c r="GS26" s="1408" t="s">
        <v>4462</v>
      </c>
      <c r="GT26" s="1408" t="s">
        <v>2514</v>
      </c>
      <c r="GU26" s="1408" t="s">
        <v>4632</v>
      </c>
      <c r="GV26" s="1408" t="s">
        <v>2514</v>
      </c>
      <c r="GW26" s="1408" t="s">
        <v>694</v>
      </c>
      <c r="GX26" s="1408" t="s">
        <v>2514</v>
      </c>
      <c r="GY26" s="1408" t="s">
        <v>6079</v>
      </c>
      <c r="GZ26" s="1408" t="s">
        <v>2514</v>
      </c>
      <c r="HA26" s="1408" t="s">
        <v>6545</v>
      </c>
      <c r="HB26" s="1408" t="s">
        <v>2514</v>
      </c>
      <c r="HC26" s="1408" t="s">
        <v>3060</v>
      </c>
      <c r="HD26" s="1408" t="s">
        <v>2514</v>
      </c>
      <c r="HE26" s="1408" t="s">
        <v>170</v>
      </c>
      <c r="HF26" s="1408" t="s">
        <v>2514</v>
      </c>
      <c r="HG26" s="1408" t="s">
        <v>4169</v>
      </c>
      <c r="HH26" s="1408" t="s">
        <v>2514</v>
      </c>
      <c r="HI26" s="1408" t="s">
        <v>2589</v>
      </c>
      <c r="HJ26" s="1408" t="s">
        <v>2514</v>
      </c>
      <c r="HK26" s="1408" t="s">
        <v>1452</v>
      </c>
      <c r="HL26" s="1408" t="s">
        <v>2514</v>
      </c>
      <c r="HM26" s="1408" t="s">
        <v>2844</v>
      </c>
      <c r="HN26" s="1408" t="s">
        <v>2514</v>
      </c>
      <c r="HO26" s="1408" t="s">
        <v>4420</v>
      </c>
      <c r="HP26" s="1408" t="s">
        <v>2514</v>
      </c>
      <c r="HQ26" s="1408" t="s">
        <v>2553</v>
      </c>
      <c r="HR26" s="1408" t="s">
        <v>2514</v>
      </c>
      <c r="HS26" s="1408" t="s">
        <v>973</v>
      </c>
      <c r="HT26" s="1408" t="s">
        <v>2514</v>
      </c>
      <c r="HU26" s="1408" t="s">
        <v>2930</v>
      </c>
      <c r="HV26" s="1408" t="s">
        <v>2514</v>
      </c>
      <c r="HW26" s="1408" t="s">
        <v>11</v>
      </c>
      <c r="HX26" s="1408" t="s">
        <v>2514</v>
      </c>
      <c r="HY26" s="1408" t="s">
        <v>5125</v>
      </c>
      <c r="HZ26" s="1408" t="s">
        <v>2514</v>
      </c>
      <c r="IA26" s="1408" t="s">
        <v>2982</v>
      </c>
      <c r="IB26" s="1408" t="s">
        <v>2514</v>
      </c>
      <c r="IC26" s="1408" t="s">
        <v>4634</v>
      </c>
      <c r="ID26" s="1408" t="s">
        <v>2514</v>
      </c>
      <c r="IE26" s="1408" t="s">
        <v>3326</v>
      </c>
      <c r="IF26" s="1408" t="s">
        <v>2514</v>
      </c>
      <c r="IG26" s="1408" t="s">
        <v>2276</v>
      </c>
      <c r="IH26" s="1408" t="s">
        <v>2514</v>
      </c>
      <c r="II26" s="1408" t="s">
        <v>921</v>
      </c>
      <c r="IJ26" s="1408" t="s">
        <v>2514</v>
      </c>
      <c r="IK26" s="1408" t="s">
        <v>4771</v>
      </c>
      <c r="IL26" s="1408" t="s">
        <v>2514</v>
      </c>
      <c r="IM26" s="1408" t="s">
        <v>24</v>
      </c>
      <c r="IN26" s="1408" t="s">
        <v>2514</v>
      </c>
      <c r="IO26" s="1408" t="s">
        <v>514</v>
      </c>
      <c r="IP26" s="1408" t="s">
        <v>2514</v>
      </c>
      <c r="IQ26" s="1408" t="s">
        <v>623</v>
      </c>
      <c r="IR26" s="1408" t="s">
        <v>2514</v>
      </c>
      <c r="IS26" s="1408" t="s">
        <v>1356</v>
      </c>
      <c r="IT26" s="1408" t="s">
        <v>2514</v>
      </c>
      <c r="IU26" s="1408" t="s">
        <v>4999</v>
      </c>
      <c r="IV26" s="1408" t="s">
        <v>2514</v>
      </c>
    </row>
    <row r="27" spans="1:256" s="1408" customFormat="1">
      <c r="A27" s="1408" t="s">
        <v>784</v>
      </c>
      <c r="B27" s="1408" t="s">
        <v>2514</v>
      </c>
      <c r="C27" s="1408" t="s">
        <v>1135</v>
      </c>
      <c r="D27" s="1408" t="s">
        <v>2514</v>
      </c>
      <c r="E27" s="1408" t="s">
        <v>4986</v>
      </c>
      <c r="F27" s="1408" t="s">
        <v>2514</v>
      </c>
      <c r="G27" s="1408" t="s">
        <v>3750</v>
      </c>
      <c r="H27" s="1408" t="s">
        <v>2514</v>
      </c>
      <c r="I27" s="1408" t="s">
        <v>5800</v>
      </c>
      <c r="J27" s="1408" t="s">
        <v>2514</v>
      </c>
      <c r="K27" s="1408" t="s">
        <v>2913</v>
      </c>
      <c r="L27" s="1408" t="s">
        <v>2514</v>
      </c>
      <c r="M27" s="1408" t="s">
        <v>3178</v>
      </c>
      <c r="N27" s="1408" t="s">
        <v>2514</v>
      </c>
      <c r="O27" s="1408" t="s">
        <v>4918</v>
      </c>
      <c r="P27" s="1408" t="s">
        <v>2514</v>
      </c>
      <c r="Q27" s="1408" t="s">
        <v>4232</v>
      </c>
      <c r="R27" s="1408" t="s">
        <v>2514</v>
      </c>
      <c r="S27" s="1408" t="s">
        <v>4996</v>
      </c>
      <c r="T27" s="1408" t="s">
        <v>2514</v>
      </c>
      <c r="U27" s="1408" t="s">
        <v>6722</v>
      </c>
      <c r="V27" s="1408" t="s">
        <v>2514</v>
      </c>
      <c r="W27" s="1408" t="s">
        <v>2375</v>
      </c>
      <c r="X27" s="1408" t="s">
        <v>2514</v>
      </c>
      <c r="Y27" s="1408" t="s">
        <v>1537</v>
      </c>
      <c r="Z27" s="1408" t="s">
        <v>2514</v>
      </c>
      <c r="AA27" s="1408" t="s">
        <v>4096</v>
      </c>
      <c r="AB27" s="1408" t="s">
        <v>2514</v>
      </c>
      <c r="AC27" s="1408" t="s">
        <v>4609</v>
      </c>
      <c r="AD27" s="1408" t="s">
        <v>2514</v>
      </c>
      <c r="AE27" s="1408" t="s">
        <v>6637</v>
      </c>
      <c r="AF27" s="1408" t="s">
        <v>2514</v>
      </c>
      <c r="AG27" s="1408" t="s">
        <v>736</v>
      </c>
      <c r="AH27" s="1408" t="s">
        <v>2514</v>
      </c>
      <c r="AI27" s="1408" t="s">
        <v>1914</v>
      </c>
      <c r="AJ27" s="1408" t="s">
        <v>2514</v>
      </c>
      <c r="AK27" s="1408" t="s">
        <v>2258</v>
      </c>
      <c r="AL27" s="1408" t="s">
        <v>2514</v>
      </c>
      <c r="AM27" s="1408" t="s">
        <v>4882</v>
      </c>
      <c r="AN27" s="1408" t="s">
        <v>2514</v>
      </c>
      <c r="AO27" s="1408" t="s">
        <v>144</v>
      </c>
      <c r="AP27" s="1408" t="s">
        <v>2514</v>
      </c>
      <c r="AQ27" s="1408" t="s">
        <v>1757</v>
      </c>
      <c r="AR27" s="1408" t="s">
        <v>2514</v>
      </c>
      <c r="AS27" s="1408" t="s">
        <v>5993</v>
      </c>
      <c r="AT27" s="1408" t="s">
        <v>2514</v>
      </c>
      <c r="AU27" s="1408" t="s">
        <v>4021</v>
      </c>
      <c r="AV27" s="1408" t="s">
        <v>2514</v>
      </c>
      <c r="AW27" s="1408" t="s">
        <v>2288</v>
      </c>
      <c r="AX27" s="1408" t="s">
        <v>2514</v>
      </c>
      <c r="AY27" s="1408" t="s">
        <v>6469</v>
      </c>
      <c r="AZ27" s="1408" t="s">
        <v>2514</v>
      </c>
      <c r="BA27" s="1408" t="s">
        <v>6108</v>
      </c>
      <c r="BB27" s="1408" t="s">
        <v>2514</v>
      </c>
      <c r="BC27" s="1408" t="s">
        <v>6840</v>
      </c>
      <c r="BD27" s="1408" t="s">
        <v>2514</v>
      </c>
      <c r="BE27" s="1408" t="s">
        <v>4094</v>
      </c>
      <c r="BF27" s="1408" t="s">
        <v>2514</v>
      </c>
      <c r="BG27" s="1408" t="s">
        <v>2820</v>
      </c>
      <c r="BH27" s="1408" t="s">
        <v>2514</v>
      </c>
      <c r="BI27" s="1408" t="s">
        <v>6187</v>
      </c>
      <c r="BJ27" s="1408" t="s">
        <v>2514</v>
      </c>
      <c r="BK27" s="1408" t="s">
        <v>842</v>
      </c>
      <c r="BL27" s="1408" t="s">
        <v>2514</v>
      </c>
      <c r="BM27" s="1408" t="s">
        <v>2690</v>
      </c>
      <c r="BN27" s="1408" t="s">
        <v>2514</v>
      </c>
      <c r="BO27" s="1408" t="s">
        <v>6632</v>
      </c>
      <c r="BP27" s="1408" t="s">
        <v>2514</v>
      </c>
      <c r="BQ27" s="1408" t="s">
        <v>6751</v>
      </c>
      <c r="BR27" s="1408" t="s">
        <v>2514</v>
      </c>
      <c r="BS27" s="1408" t="s">
        <v>3877</v>
      </c>
      <c r="BT27" s="1408" t="s">
        <v>2514</v>
      </c>
      <c r="BU27" s="1408" t="s">
        <v>1431</v>
      </c>
      <c r="BV27" s="1408" t="s">
        <v>2514</v>
      </c>
      <c r="BW27" s="1408" t="s">
        <v>384</v>
      </c>
      <c r="BX27" s="1408" t="s">
        <v>2514</v>
      </c>
      <c r="BY27" s="1408" t="s">
        <v>878</v>
      </c>
      <c r="BZ27" s="1408" t="s">
        <v>2514</v>
      </c>
      <c r="CA27" s="1408" t="s">
        <v>1147</v>
      </c>
      <c r="CB27" s="1408" t="s">
        <v>2514</v>
      </c>
      <c r="CC27" s="1408" t="s">
        <v>1172</v>
      </c>
      <c r="CD27" s="1408" t="s">
        <v>2514</v>
      </c>
      <c r="CE27" s="1408" t="s">
        <v>3909</v>
      </c>
      <c r="CF27" s="1408" t="s">
        <v>2514</v>
      </c>
      <c r="CG27" s="1408" t="s">
        <v>5902</v>
      </c>
      <c r="CH27" s="1408" t="s">
        <v>2514</v>
      </c>
      <c r="CI27" s="1408" t="s">
        <v>103</v>
      </c>
      <c r="CJ27" s="1408" t="s">
        <v>2514</v>
      </c>
      <c r="CK27" s="1408" t="s">
        <v>945</v>
      </c>
      <c r="CL27" s="1408" t="s">
        <v>2514</v>
      </c>
      <c r="CM27" s="1408" t="s">
        <v>3361</v>
      </c>
      <c r="CN27" s="1408" t="s">
        <v>2514</v>
      </c>
      <c r="CO27" s="1408" t="s">
        <v>5081</v>
      </c>
      <c r="CP27" s="1408" t="s">
        <v>2514</v>
      </c>
      <c r="CQ27" s="1408" t="s">
        <v>1960</v>
      </c>
      <c r="CR27" s="1408" t="s">
        <v>2514</v>
      </c>
      <c r="CS27" s="1408" t="s">
        <v>892</v>
      </c>
      <c r="CT27" s="1408" t="s">
        <v>2514</v>
      </c>
      <c r="CU27" s="1408" t="s">
        <v>5408</v>
      </c>
      <c r="CV27" s="1408" t="s">
        <v>2514</v>
      </c>
      <c r="CW27" s="1408" t="s">
        <v>1694</v>
      </c>
      <c r="CX27" s="1408" t="s">
        <v>2514</v>
      </c>
      <c r="CY27" s="1408" t="s">
        <v>859</v>
      </c>
      <c r="CZ27" s="1408" t="s">
        <v>2514</v>
      </c>
      <c r="DA27" s="1408" t="s">
        <v>1710</v>
      </c>
      <c r="DB27" s="1408" t="s">
        <v>2514</v>
      </c>
      <c r="DC27" s="1408" t="s">
        <v>4943</v>
      </c>
      <c r="DD27" s="1408" t="s">
        <v>2514</v>
      </c>
      <c r="DE27" s="1408" t="s">
        <v>1981</v>
      </c>
      <c r="DF27" s="1408" t="s">
        <v>2514</v>
      </c>
      <c r="DG27" s="1408" t="s">
        <v>6770</v>
      </c>
      <c r="DH27" s="1408" t="s">
        <v>2514</v>
      </c>
      <c r="DI27" s="1408" t="s">
        <v>96</v>
      </c>
      <c r="DJ27" s="1408" t="s">
        <v>2514</v>
      </c>
      <c r="DK27" s="1408" t="s">
        <v>6658</v>
      </c>
      <c r="DL27" s="1408" t="s">
        <v>2514</v>
      </c>
      <c r="DM27" s="1408" t="s">
        <v>5519</v>
      </c>
      <c r="DN27" s="1408" t="s">
        <v>2514</v>
      </c>
      <c r="DO27" s="1408" t="s">
        <v>3031</v>
      </c>
      <c r="DP27" s="1408" t="s">
        <v>2514</v>
      </c>
      <c r="DQ27" s="1408" t="s">
        <v>853</v>
      </c>
      <c r="DR27" s="1408" t="s">
        <v>2514</v>
      </c>
      <c r="DS27" s="1408" t="s">
        <v>2706</v>
      </c>
      <c r="DT27" s="1408" t="s">
        <v>2514</v>
      </c>
      <c r="DU27" s="1408" t="s">
        <v>1502</v>
      </c>
      <c r="DV27" s="1408" t="s">
        <v>2514</v>
      </c>
      <c r="DW27" s="1408" t="s">
        <v>4060</v>
      </c>
      <c r="DX27" s="1408" t="s">
        <v>2514</v>
      </c>
      <c r="DY27" s="1408" t="s">
        <v>1292</v>
      </c>
      <c r="DZ27" s="1408" t="s">
        <v>2514</v>
      </c>
      <c r="EA27" s="1408" t="s">
        <v>948</v>
      </c>
      <c r="EB27" s="1408" t="s">
        <v>2514</v>
      </c>
      <c r="EC27" s="1408" t="s">
        <v>2024</v>
      </c>
      <c r="ED27" s="1408" t="s">
        <v>2514</v>
      </c>
      <c r="EE27" s="1408" t="s">
        <v>718</v>
      </c>
      <c r="EF27" s="1408" t="s">
        <v>2514</v>
      </c>
      <c r="EG27" s="1408" t="s">
        <v>3705</v>
      </c>
      <c r="EH27" s="1408" t="s">
        <v>2514</v>
      </c>
      <c r="EI27" s="1408" t="s">
        <v>5079</v>
      </c>
      <c r="EJ27" s="1408" t="s">
        <v>2514</v>
      </c>
      <c r="EK27" s="1408" t="s">
        <v>4764</v>
      </c>
      <c r="EL27" s="1408" t="s">
        <v>2514</v>
      </c>
      <c r="EM27" s="1408" t="s">
        <v>6902</v>
      </c>
      <c r="EN27" s="1408" t="s">
        <v>2514</v>
      </c>
      <c r="EO27" s="1408" t="s">
        <v>1471</v>
      </c>
      <c r="EP27" s="1408" t="s">
        <v>2514</v>
      </c>
      <c r="EQ27" s="1408" t="s">
        <v>4987</v>
      </c>
      <c r="ER27" s="1408" t="s">
        <v>2514</v>
      </c>
      <c r="ES27" s="1408" t="s">
        <v>4991</v>
      </c>
      <c r="ET27" s="1408" t="s">
        <v>2514</v>
      </c>
      <c r="EU27" s="1408" t="s">
        <v>2599</v>
      </c>
      <c r="EV27" s="1408" t="s">
        <v>2514</v>
      </c>
      <c r="EW27" s="1408" t="s">
        <v>1983</v>
      </c>
      <c r="EX27" s="1408" t="s">
        <v>2514</v>
      </c>
      <c r="EY27" s="1408" t="s">
        <v>5799</v>
      </c>
      <c r="EZ27" s="1408" t="s">
        <v>2514</v>
      </c>
      <c r="FA27" s="1408" t="s">
        <v>6681</v>
      </c>
      <c r="FB27" s="1408" t="s">
        <v>2514</v>
      </c>
      <c r="FC27" s="1408" t="s">
        <v>582</v>
      </c>
      <c r="FD27" s="1408" t="s">
        <v>2514</v>
      </c>
      <c r="FE27" s="1408" t="s">
        <v>2712</v>
      </c>
      <c r="FF27" s="1408" t="s">
        <v>2514</v>
      </c>
      <c r="FG27" s="1408" t="s">
        <v>5845</v>
      </c>
      <c r="FH27" s="1408" t="s">
        <v>2514</v>
      </c>
      <c r="FI27" s="1408" t="s">
        <v>811</v>
      </c>
      <c r="FJ27" s="1408" t="s">
        <v>2514</v>
      </c>
      <c r="FK27" s="1408" t="s">
        <v>4014</v>
      </c>
      <c r="FL27" s="1408" t="s">
        <v>2514</v>
      </c>
      <c r="FM27" s="1408" t="s">
        <v>409</v>
      </c>
      <c r="FN27" s="1408" t="s">
        <v>2514</v>
      </c>
      <c r="FO27" s="1408" t="s">
        <v>5291</v>
      </c>
      <c r="FP27" s="1408" t="s">
        <v>2514</v>
      </c>
      <c r="FQ27" s="1408" t="s">
        <v>524</v>
      </c>
      <c r="FR27" s="1408" t="s">
        <v>2514</v>
      </c>
      <c r="FS27" s="1408" t="s">
        <v>6265</v>
      </c>
      <c r="FT27" s="1408" t="s">
        <v>2514</v>
      </c>
      <c r="FU27" s="1408" t="s">
        <v>1394</v>
      </c>
      <c r="FV27" s="1408" t="s">
        <v>2514</v>
      </c>
      <c r="FW27" s="1408" t="s">
        <v>3547</v>
      </c>
      <c r="FX27" s="1408" t="s">
        <v>2514</v>
      </c>
      <c r="FY27" s="1408" t="s">
        <v>2789</v>
      </c>
      <c r="FZ27" s="1408" t="s">
        <v>2514</v>
      </c>
      <c r="GA27" s="1408" t="s">
        <v>700</v>
      </c>
      <c r="GB27" s="1408" t="s">
        <v>2514</v>
      </c>
      <c r="GC27" s="1408" t="s">
        <v>2086</v>
      </c>
      <c r="GD27" s="1408" t="s">
        <v>2514</v>
      </c>
      <c r="GE27" s="1408" t="s">
        <v>4312</v>
      </c>
      <c r="GF27" s="1408" t="s">
        <v>2514</v>
      </c>
      <c r="GG27" s="1408" t="s">
        <v>2754</v>
      </c>
      <c r="GH27" s="1408" t="s">
        <v>2514</v>
      </c>
      <c r="GI27" s="1408" t="s">
        <v>3668</v>
      </c>
      <c r="GJ27" s="1408" t="s">
        <v>2514</v>
      </c>
      <c r="GK27" s="1408" t="s">
        <v>1547</v>
      </c>
      <c r="GL27" s="1408" t="s">
        <v>2514</v>
      </c>
      <c r="GM27" s="1408" t="s">
        <v>5436</v>
      </c>
      <c r="GN27" s="1408" t="s">
        <v>2514</v>
      </c>
      <c r="GO27" s="1408" t="s">
        <v>3963</v>
      </c>
      <c r="GP27" s="1408" t="s">
        <v>2514</v>
      </c>
      <c r="GQ27" s="1408" t="s">
        <v>1384</v>
      </c>
      <c r="GR27" s="1408" t="s">
        <v>2514</v>
      </c>
      <c r="GS27" s="1408" t="s">
        <v>3586</v>
      </c>
      <c r="GT27" s="1408" t="s">
        <v>2514</v>
      </c>
      <c r="GU27" s="1408" t="s">
        <v>6515</v>
      </c>
      <c r="GV27" s="1408" t="s">
        <v>2514</v>
      </c>
      <c r="GW27" s="1408" t="s">
        <v>3623</v>
      </c>
      <c r="GX27" s="1408" t="s">
        <v>2514</v>
      </c>
      <c r="GY27" s="1408" t="s">
        <v>6490</v>
      </c>
      <c r="GZ27" s="1408" t="s">
        <v>2514</v>
      </c>
      <c r="HA27" s="1408" t="s">
        <v>2865</v>
      </c>
      <c r="HB27" s="1408" t="s">
        <v>2514</v>
      </c>
      <c r="HC27" s="1408" t="s">
        <v>2807</v>
      </c>
      <c r="HD27" s="1408" t="s">
        <v>2514</v>
      </c>
      <c r="HE27" s="1408" t="s">
        <v>1286</v>
      </c>
      <c r="HF27" s="1408" t="s">
        <v>2514</v>
      </c>
      <c r="HG27" s="1408" t="s">
        <v>3414</v>
      </c>
      <c r="HH27" s="1408" t="s">
        <v>2514</v>
      </c>
      <c r="HI27" s="1408" t="s">
        <v>1213</v>
      </c>
      <c r="HJ27" s="1408" t="s">
        <v>2514</v>
      </c>
      <c r="HK27" s="1408" t="s">
        <v>3008</v>
      </c>
      <c r="HL27" s="1408" t="s">
        <v>2514</v>
      </c>
      <c r="HM27" s="1408" t="s">
        <v>6826</v>
      </c>
      <c r="HN27" s="1408" t="s">
        <v>2514</v>
      </c>
      <c r="HO27" s="1408" t="s">
        <v>3883</v>
      </c>
      <c r="HP27" s="1408" t="s">
        <v>2514</v>
      </c>
      <c r="HQ27" s="1408" t="s">
        <v>2623</v>
      </c>
      <c r="HR27" s="1408" t="s">
        <v>2514</v>
      </c>
      <c r="HS27" s="1408" t="s">
        <v>6514</v>
      </c>
      <c r="HT27" s="1408" t="s">
        <v>2514</v>
      </c>
      <c r="HU27" s="1408" t="s">
        <v>953</v>
      </c>
      <c r="HV27" s="1408" t="s">
        <v>2514</v>
      </c>
      <c r="HW27" s="1408" t="s">
        <v>3696</v>
      </c>
      <c r="HX27" s="1408" t="s">
        <v>2514</v>
      </c>
      <c r="HY27" s="1408" t="s">
        <v>2696</v>
      </c>
      <c r="HZ27" s="1408" t="s">
        <v>2514</v>
      </c>
      <c r="IA27" s="1408" t="s">
        <v>4472</v>
      </c>
      <c r="IB27" s="1408" t="s">
        <v>2514</v>
      </c>
      <c r="IC27" s="1408" t="s">
        <v>503</v>
      </c>
      <c r="ID27" s="1408" t="s">
        <v>2514</v>
      </c>
      <c r="IE27" s="1408" t="s">
        <v>4456</v>
      </c>
      <c r="IF27" s="1408" t="s">
        <v>2514</v>
      </c>
      <c r="IG27" s="1408" t="s">
        <v>6948</v>
      </c>
      <c r="IH27" s="1408" t="s">
        <v>2514</v>
      </c>
      <c r="II27" s="1408" t="s">
        <v>4919</v>
      </c>
      <c r="IJ27" s="1408" t="s">
        <v>2514</v>
      </c>
      <c r="IK27" s="1408" t="s">
        <v>605</v>
      </c>
      <c r="IL27" s="1408" t="s">
        <v>2514</v>
      </c>
      <c r="IM27" s="1408" t="s">
        <v>5872</v>
      </c>
      <c r="IN27" s="1408" t="s">
        <v>2514</v>
      </c>
      <c r="IO27" s="1408" t="s">
        <v>6467</v>
      </c>
      <c r="IP27" s="1408" t="s">
        <v>2514</v>
      </c>
      <c r="IQ27" s="1408" t="s">
        <v>5948</v>
      </c>
      <c r="IR27" s="1408" t="s">
        <v>2514</v>
      </c>
      <c r="IS27" s="1408" t="s">
        <v>4031</v>
      </c>
      <c r="IT27" s="1408" t="s">
        <v>2514</v>
      </c>
      <c r="IU27" s="1408" t="s">
        <v>5558</v>
      </c>
      <c r="IV27" s="1408" t="s">
        <v>2514</v>
      </c>
    </row>
    <row r="28" spans="1:256" s="1408" customFormat="1">
      <c r="A28" s="1408" t="s">
        <v>1893</v>
      </c>
      <c r="B28" s="1408" t="s">
        <v>2514</v>
      </c>
      <c r="C28" s="1408" t="s">
        <v>6793</v>
      </c>
      <c r="D28" s="1408" t="s">
        <v>2514</v>
      </c>
      <c r="E28" s="1408" t="s">
        <v>226</v>
      </c>
      <c r="F28" s="1408" t="s">
        <v>2514</v>
      </c>
      <c r="G28" s="1408" t="s">
        <v>2481</v>
      </c>
      <c r="H28" s="1408" t="s">
        <v>2514</v>
      </c>
      <c r="I28" s="1408" t="s">
        <v>2456</v>
      </c>
      <c r="J28" s="1408" t="s">
        <v>2514</v>
      </c>
      <c r="K28" s="1408" t="s">
        <v>785</v>
      </c>
      <c r="L28" s="1408" t="s">
        <v>2514</v>
      </c>
      <c r="M28" s="1408" t="s">
        <v>3359</v>
      </c>
      <c r="N28" s="1408" t="s">
        <v>2514</v>
      </c>
      <c r="O28" s="1408" t="s">
        <v>3632</v>
      </c>
      <c r="P28" s="1408" t="s">
        <v>2514</v>
      </c>
      <c r="Q28" s="1408" t="s">
        <v>2747</v>
      </c>
      <c r="R28" s="1408" t="s">
        <v>2514</v>
      </c>
      <c r="S28" s="1408" t="s">
        <v>2120</v>
      </c>
      <c r="T28" s="1408" t="s">
        <v>2514</v>
      </c>
      <c r="U28" s="1408" t="s">
        <v>5431</v>
      </c>
      <c r="V28" s="1408" t="s">
        <v>2514</v>
      </c>
      <c r="W28" s="1408" t="s">
        <v>1114</v>
      </c>
      <c r="X28" s="1408" t="s">
        <v>2514</v>
      </c>
      <c r="Y28" s="1408" t="s">
        <v>5224</v>
      </c>
      <c r="Z28" s="1408" t="s">
        <v>2514</v>
      </c>
      <c r="AA28" s="1408" t="s">
        <v>4489</v>
      </c>
      <c r="AB28" s="1408" t="s">
        <v>2514</v>
      </c>
      <c r="AC28" s="1408" t="s">
        <v>6821</v>
      </c>
      <c r="AD28" s="1408" t="s">
        <v>2514</v>
      </c>
      <c r="AE28" s="1408" t="s">
        <v>2174</v>
      </c>
      <c r="AF28" s="1408" t="s">
        <v>2514</v>
      </c>
      <c r="AG28" s="1408" t="s">
        <v>648</v>
      </c>
      <c r="AH28" s="1408" t="s">
        <v>2514</v>
      </c>
      <c r="AI28" s="1408" t="s">
        <v>4000</v>
      </c>
      <c r="AJ28" s="1408" t="s">
        <v>2514</v>
      </c>
      <c r="AK28" s="1408" t="s">
        <v>2750</v>
      </c>
      <c r="AL28" s="1408" t="s">
        <v>2514</v>
      </c>
      <c r="AM28" s="1408" t="s">
        <v>6363</v>
      </c>
      <c r="AN28" s="1408" t="s">
        <v>2514</v>
      </c>
      <c r="AO28" s="1408" t="s">
        <v>1250</v>
      </c>
      <c r="AP28" s="1408" t="s">
        <v>2514</v>
      </c>
      <c r="AQ28" s="1408" t="s">
        <v>5364</v>
      </c>
      <c r="AR28" s="1408" t="s">
        <v>2514</v>
      </c>
      <c r="AS28" s="1408" t="s">
        <v>3867</v>
      </c>
      <c r="AT28" s="1408" t="s">
        <v>2514</v>
      </c>
      <c r="AU28" s="1408" t="s">
        <v>356</v>
      </c>
      <c r="AV28" s="1408" t="s">
        <v>2514</v>
      </c>
      <c r="AW28" s="1408" t="s">
        <v>4964</v>
      </c>
      <c r="AX28" s="1408" t="s">
        <v>2514</v>
      </c>
      <c r="AY28" s="1408" t="s">
        <v>4556</v>
      </c>
      <c r="AZ28" s="1408" t="s">
        <v>2514</v>
      </c>
      <c r="BA28" s="1408" t="s">
        <v>3044</v>
      </c>
      <c r="BB28" s="1408" t="s">
        <v>2514</v>
      </c>
      <c r="BC28" s="1408" t="s">
        <v>2419</v>
      </c>
      <c r="BD28" s="1408" t="s">
        <v>2514</v>
      </c>
      <c r="BE28" s="1408" t="s">
        <v>783</v>
      </c>
      <c r="BF28" s="1408" t="s">
        <v>2514</v>
      </c>
      <c r="BG28" s="1408" t="s">
        <v>3121</v>
      </c>
      <c r="BH28" s="1408" t="s">
        <v>2514</v>
      </c>
      <c r="BI28" s="1408" t="s">
        <v>4808</v>
      </c>
      <c r="BJ28" s="1408" t="s">
        <v>2514</v>
      </c>
      <c r="BK28" s="1408" t="s">
        <v>136</v>
      </c>
      <c r="BL28" s="1408" t="s">
        <v>2514</v>
      </c>
      <c r="BM28" s="1408" t="s">
        <v>6249</v>
      </c>
      <c r="BN28" s="1408" t="s">
        <v>2514</v>
      </c>
      <c r="BO28" s="1408" t="s">
        <v>6119</v>
      </c>
      <c r="BP28" s="1408" t="s">
        <v>2514</v>
      </c>
      <c r="BQ28" s="1408" t="s">
        <v>4695</v>
      </c>
      <c r="BR28" s="1408" t="s">
        <v>2514</v>
      </c>
      <c r="BS28" s="1408" t="s">
        <v>5539</v>
      </c>
      <c r="BT28" s="1408" t="s">
        <v>2514</v>
      </c>
      <c r="BU28" s="1408" t="s">
        <v>5035</v>
      </c>
      <c r="BV28" s="1408" t="s">
        <v>2514</v>
      </c>
      <c r="BW28" s="1408" t="s">
        <v>308</v>
      </c>
      <c r="BX28" s="1408" t="s">
        <v>2514</v>
      </c>
      <c r="BY28" s="1408" t="s">
        <v>5956</v>
      </c>
      <c r="BZ28" s="1408" t="s">
        <v>2514</v>
      </c>
      <c r="CA28" s="1408" t="s">
        <v>1815</v>
      </c>
      <c r="CB28" s="1408" t="s">
        <v>2514</v>
      </c>
      <c r="CC28" s="1408" t="s">
        <v>2795</v>
      </c>
      <c r="CD28" s="1408" t="s">
        <v>2514</v>
      </c>
      <c r="CE28" s="1408" t="s">
        <v>4278</v>
      </c>
      <c r="CF28" s="1408" t="s">
        <v>2514</v>
      </c>
      <c r="CG28" s="1408" t="s">
        <v>3548</v>
      </c>
      <c r="CH28" s="1408" t="s">
        <v>2514</v>
      </c>
      <c r="CI28" s="1408" t="s">
        <v>3639</v>
      </c>
      <c r="CJ28" s="1408" t="s">
        <v>2514</v>
      </c>
      <c r="CK28" s="1408" t="s">
        <v>2305</v>
      </c>
      <c r="CL28" s="1408" t="s">
        <v>2514</v>
      </c>
      <c r="CM28" s="1408" t="s">
        <v>4905</v>
      </c>
      <c r="CN28" s="1408" t="s">
        <v>2514</v>
      </c>
      <c r="CO28" s="1408" t="s">
        <v>546</v>
      </c>
      <c r="CP28" s="1408" t="s">
        <v>2514</v>
      </c>
      <c r="CQ28" s="1408" t="s">
        <v>5340</v>
      </c>
      <c r="CR28" s="1408" t="s">
        <v>2514</v>
      </c>
      <c r="CS28" s="1408" t="s">
        <v>2010</v>
      </c>
      <c r="CT28" s="1408" t="s">
        <v>2514</v>
      </c>
      <c r="CU28" s="1408" t="s">
        <v>4716</v>
      </c>
      <c r="CV28" s="1408" t="s">
        <v>2514</v>
      </c>
      <c r="CW28" s="1408" t="s">
        <v>584</v>
      </c>
      <c r="CX28" s="1408" t="s">
        <v>2514</v>
      </c>
      <c r="CY28" s="1408" t="s">
        <v>1713</v>
      </c>
      <c r="CZ28" s="1408" t="s">
        <v>2514</v>
      </c>
      <c r="DA28" s="1408" t="s">
        <v>4147</v>
      </c>
      <c r="DB28" s="1408" t="s">
        <v>2514</v>
      </c>
      <c r="DC28" s="1408" t="s">
        <v>4328</v>
      </c>
      <c r="DD28" s="1408" t="s">
        <v>2514</v>
      </c>
      <c r="DE28" s="1408" t="s">
        <v>2746</v>
      </c>
      <c r="DF28" s="1408" t="s">
        <v>2514</v>
      </c>
      <c r="DG28" s="1408" t="s">
        <v>3901</v>
      </c>
      <c r="DH28" s="1408" t="s">
        <v>2514</v>
      </c>
      <c r="DI28" s="1408" t="s">
        <v>260</v>
      </c>
      <c r="DJ28" s="1408" t="s">
        <v>2514</v>
      </c>
      <c r="DK28" s="1408" t="s">
        <v>420</v>
      </c>
      <c r="DL28" s="1408" t="s">
        <v>2514</v>
      </c>
      <c r="DM28" s="1408" t="s">
        <v>1425</v>
      </c>
      <c r="DN28" s="1408" t="s">
        <v>2514</v>
      </c>
      <c r="DO28" s="1408" t="s">
        <v>5899</v>
      </c>
      <c r="DP28" s="1408" t="s">
        <v>2514</v>
      </c>
      <c r="DQ28" s="1408" t="s">
        <v>6511</v>
      </c>
      <c r="DR28" s="1408" t="s">
        <v>2514</v>
      </c>
      <c r="DS28" s="1408" t="s">
        <v>40</v>
      </c>
      <c r="DT28" s="1408" t="s">
        <v>2514</v>
      </c>
      <c r="DU28" s="1408" t="s">
        <v>6100</v>
      </c>
      <c r="DV28" s="1408" t="s">
        <v>2514</v>
      </c>
      <c r="DW28" s="1408" t="s">
        <v>2489</v>
      </c>
      <c r="DX28" s="1408" t="s">
        <v>2514</v>
      </c>
      <c r="DY28" s="1408" t="s">
        <v>2201</v>
      </c>
      <c r="DZ28" s="1408" t="s">
        <v>2514</v>
      </c>
      <c r="EA28" s="1408" t="s">
        <v>397</v>
      </c>
      <c r="EB28" s="1408" t="s">
        <v>2514</v>
      </c>
      <c r="EC28" s="1408" t="s">
        <v>6640</v>
      </c>
      <c r="ED28" s="1408" t="s">
        <v>2514</v>
      </c>
      <c r="EE28" s="1408" t="s">
        <v>3465</v>
      </c>
      <c r="EF28" s="1408" t="s">
        <v>2514</v>
      </c>
      <c r="EG28" s="1408" t="s">
        <v>5211</v>
      </c>
      <c r="EH28" s="1408" t="s">
        <v>2514</v>
      </c>
      <c r="EI28" s="1408" t="s">
        <v>95</v>
      </c>
      <c r="EJ28" s="1408" t="s">
        <v>2514</v>
      </c>
      <c r="EK28" s="1408" t="s">
        <v>939</v>
      </c>
      <c r="EL28" s="1408" t="s">
        <v>2514</v>
      </c>
      <c r="EM28" s="1408" t="s">
        <v>2213</v>
      </c>
      <c r="EN28" s="1408" t="s">
        <v>2514</v>
      </c>
      <c r="EO28" s="1408" t="s">
        <v>1541</v>
      </c>
      <c r="EP28" s="1408" t="s">
        <v>2514</v>
      </c>
      <c r="EQ28" s="1408" t="s">
        <v>4618</v>
      </c>
      <c r="ER28" s="1408" t="s">
        <v>2514</v>
      </c>
      <c r="ES28" s="1408" t="s">
        <v>2030</v>
      </c>
      <c r="ET28" s="1408" t="s">
        <v>2514</v>
      </c>
      <c r="EU28" s="1408" t="s">
        <v>56</v>
      </c>
      <c r="EV28" s="1408" t="s">
        <v>2514</v>
      </c>
      <c r="EW28" s="1408" t="s">
        <v>137</v>
      </c>
      <c r="EX28" s="1408" t="s">
        <v>2514</v>
      </c>
      <c r="EY28" s="1408" t="s">
        <v>3325</v>
      </c>
      <c r="EZ28" s="1408" t="s">
        <v>2514</v>
      </c>
      <c r="FA28" s="1408" t="s">
        <v>1582</v>
      </c>
      <c r="FB28" s="1408" t="s">
        <v>2514</v>
      </c>
      <c r="FC28" s="1408" t="s">
        <v>3264</v>
      </c>
      <c r="FD28" s="1408" t="s">
        <v>2514</v>
      </c>
      <c r="FE28" s="1408" t="s">
        <v>1115</v>
      </c>
      <c r="FF28" s="1408" t="s">
        <v>2514</v>
      </c>
      <c r="FG28" s="1408" t="s">
        <v>4058</v>
      </c>
      <c r="FH28" s="1408" t="s">
        <v>2514</v>
      </c>
      <c r="FI28" s="1408" t="s">
        <v>472</v>
      </c>
      <c r="FJ28" s="1408" t="s">
        <v>2514</v>
      </c>
      <c r="FK28" s="1408" t="s">
        <v>3107</v>
      </c>
      <c r="FL28" s="1408" t="s">
        <v>2514</v>
      </c>
      <c r="FM28" s="1408" t="s">
        <v>5501</v>
      </c>
      <c r="FN28" s="1408" t="s">
        <v>2514</v>
      </c>
      <c r="FO28" s="1408" t="s">
        <v>4963</v>
      </c>
      <c r="FP28" s="1408" t="s">
        <v>2514</v>
      </c>
      <c r="FQ28" s="1408" t="s">
        <v>350</v>
      </c>
      <c r="FR28" s="1408" t="s">
        <v>2514</v>
      </c>
      <c r="FS28" s="1408" t="s">
        <v>4565</v>
      </c>
      <c r="FT28" s="1408" t="s">
        <v>2514</v>
      </c>
      <c r="FU28" s="1408" t="s">
        <v>5094</v>
      </c>
      <c r="FV28" s="1408" t="s">
        <v>2514</v>
      </c>
      <c r="FW28" s="1408" t="s">
        <v>6206</v>
      </c>
      <c r="FX28" s="1408" t="s">
        <v>2514</v>
      </c>
      <c r="FY28" s="1408" t="s">
        <v>2597</v>
      </c>
      <c r="FZ28" s="1408" t="s">
        <v>2514</v>
      </c>
      <c r="GA28" s="1408" t="s">
        <v>1336</v>
      </c>
      <c r="GB28" s="1408" t="s">
        <v>2514</v>
      </c>
      <c r="GC28" s="1408" t="s">
        <v>6714</v>
      </c>
      <c r="GD28" s="1408" t="s">
        <v>2514</v>
      </c>
      <c r="GE28" s="1408" t="s">
        <v>765</v>
      </c>
      <c r="GF28" s="1408" t="s">
        <v>2514</v>
      </c>
      <c r="GG28" s="1408" t="s">
        <v>5405</v>
      </c>
      <c r="GH28" s="1408" t="s">
        <v>2514</v>
      </c>
      <c r="GI28" s="1408" t="s">
        <v>6539</v>
      </c>
      <c r="GJ28" s="1408" t="s">
        <v>2514</v>
      </c>
      <c r="GK28" s="1408" t="s">
        <v>327</v>
      </c>
      <c r="GL28" s="1408" t="s">
        <v>2514</v>
      </c>
      <c r="GM28" s="1408" t="s">
        <v>3603</v>
      </c>
      <c r="GN28" s="1408" t="s">
        <v>2514</v>
      </c>
      <c r="GO28" s="1408" t="s">
        <v>416</v>
      </c>
      <c r="GP28" s="1408" t="s">
        <v>2514</v>
      </c>
      <c r="GQ28" s="1408" t="s">
        <v>2966</v>
      </c>
      <c r="GR28" s="1408" t="s">
        <v>2514</v>
      </c>
      <c r="GS28" s="1408" t="s">
        <v>2976</v>
      </c>
      <c r="GT28" s="1408" t="s">
        <v>2514</v>
      </c>
      <c r="GU28" s="1408" t="s">
        <v>5762</v>
      </c>
      <c r="GV28" s="1408" t="s">
        <v>2514</v>
      </c>
      <c r="GW28" s="1408" t="s">
        <v>1360</v>
      </c>
      <c r="GX28" s="1408" t="s">
        <v>2514</v>
      </c>
      <c r="GY28" s="1408" t="s">
        <v>3238</v>
      </c>
      <c r="GZ28" s="1408" t="s">
        <v>2514</v>
      </c>
      <c r="HA28" s="1408" t="s">
        <v>3956</v>
      </c>
      <c r="HB28" s="1408" t="s">
        <v>2514</v>
      </c>
      <c r="HC28" s="1408" t="s">
        <v>4395</v>
      </c>
      <c r="HD28" s="1408" t="s">
        <v>2514</v>
      </c>
      <c r="HE28" s="1408" t="s">
        <v>2668</v>
      </c>
      <c r="HF28" s="1408" t="s">
        <v>2514</v>
      </c>
      <c r="HG28" s="1408" t="s">
        <v>1833</v>
      </c>
      <c r="HH28" s="1408" t="s">
        <v>2514</v>
      </c>
      <c r="HI28" s="1408" t="s">
        <v>601</v>
      </c>
      <c r="HJ28" s="1408" t="s">
        <v>2514</v>
      </c>
      <c r="HK28" s="1408" t="s">
        <v>6922</v>
      </c>
      <c r="HL28" s="1408" t="s">
        <v>2514</v>
      </c>
      <c r="HM28" s="1408" t="s">
        <v>2014</v>
      </c>
      <c r="HN28" s="1408" t="s">
        <v>2514</v>
      </c>
      <c r="HO28" s="1408" t="s">
        <v>6383</v>
      </c>
      <c r="HP28" s="1408" t="s">
        <v>2514</v>
      </c>
      <c r="HQ28" s="1408" t="s">
        <v>1285</v>
      </c>
      <c r="HR28" s="1408" t="s">
        <v>2514</v>
      </c>
      <c r="HS28" s="1408" t="s">
        <v>1825</v>
      </c>
      <c r="HT28" s="1408" t="s">
        <v>2514</v>
      </c>
      <c r="HU28" s="1408" t="s">
        <v>497</v>
      </c>
      <c r="HV28" s="1408" t="s">
        <v>2514</v>
      </c>
      <c r="HW28" s="1408" t="s">
        <v>5813</v>
      </c>
      <c r="HX28" s="1408" t="s">
        <v>2514</v>
      </c>
      <c r="HY28" s="1408" t="s">
        <v>541</v>
      </c>
      <c r="HZ28" s="1408" t="s">
        <v>2514</v>
      </c>
      <c r="IA28" s="1408" t="s">
        <v>841</v>
      </c>
      <c r="IB28" s="1408" t="s">
        <v>2514</v>
      </c>
      <c r="IC28" s="1408" t="s">
        <v>2548</v>
      </c>
      <c r="ID28" s="1408" t="s">
        <v>2514</v>
      </c>
      <c r="IE28" s="1408" t="s">
        <v>610</v>
      </c>
      <c r="IF28" s="1408" t="s">
        <v>2514</v>
      </c>
      <c r="IG28" s="1408" t="s">
        <v>5903</v>
      </c>
      <c r="IH28" s="1408" t="s">
        <v>2514</v>
      </c>
      <c r="II28" s="1408" t="s">
        <v>3619</v>
      </c>
      <c r="IJ28" s="1408" t="s">
        <v>2514</v>
      </c>
      <c r="IK28" s="1408" t="s">
        <v>5056</v>
      </c>
      <c r="IL28" s="1408" t="s">
        <v>2514</v>
      </c>
      <c r="IM28" s="1408" t="s">
        <v>5409</v>
      </c>
      <c r="IN28" s="1408" t="s">
        <v>2514</v>
      </c>
      <c r="IO28" s="1408" t="s">
        <v>3546</v>
      </c>
      <c r="IP28" s="1408" t="s">
        <v>2514</v>
      </c>
      <c r="IQ28" s="1408" t="s">
        <v>5470</v>
      </c>
      <c r="IR28" s="1408" t="s">
        <v>2514</v>
      </c>
      <c r="IS28" s="1408" t="s">
        <v>1323</v>
      </c>
      <c r="IT28" s="1408" t="s">
        <v>2514</v>
      </c>
      <c r="IU28" s="1408" t="s">
        <v>5380</v>
      </c>
      <c r="IV28" s="1408" t="s">
        <v>2514</v>
      </c>
    </row>
    <row r="29" spans="1:256" s="1408" customFormat="1">
      <c r="A29" s="1408" t="s">
        <v>2947</v>
      </c>
      <c r="B29" s="1408" t="s">
        <v>2514</v>
      </c>
      <c r="C29" s="1408" t="s">
        <v>3903</v>
      </c>
      <c r="D29" s="1408" t="s">
        <v>2514</v>
      </c>
      <c r="E29" s="1408" t="s">
        <v>6763</v>
      </c>
      <c r="F29" s="1408" t="s">
        <v>2514</v>
      </c>
      <c r="G29" s="1408" t="s">
        <v>5847</v>
      </c>
      <c r="H29" s="1408" t="s">
        <v>2514</v>
      </c>
      <c r="I29" s="1408" t="s">
        <v>3420</v>
      </c>
      <c r="J29" s="1408" t="s">
        <v>2514</v>
      </c>
      <c r="K29" s="1408" t="s">
        <v>5396</v>
      </c>
      <c r="L29" s="1408" t="s">
        <v>2514</v>
      </c>
      <c r="M29" s="1408" t="s">
        <v>6526</v>
      </c>
      <c r="N29" s="1408" t="s">
        <v>2514</v>
      </c>
      <c r="O29" s="1408" t="s">
        <v>6851</v>
      </c>
      <c r="P29" s="1408" t="s">
        <v>2514</v>
      </c>
      <c r="Q29" s="1408" t="s">
        <v>515</v>
      </c>
      <c r="R29" s="1408" t="s">
        <v>2514</v>
      </c>
      <c r="S29" s="1408" t="s">
        <v>3968</v>
      </c>
      <c r="T29" s="1408" t="s">
        <v>2514</v>
      </c>
      <c r="U29" s="1408" t="s">
        <v>3109</v>
      </c>
      <c r="V29" s="1408" t="s">
        <v>2514</v>
      </c>
      <c r="W29" s="1408" t="s">
        <v>904</v>
      </c>
      <c r="X29" s="1408" t="s">
        <v>2514</v>
      </c>
      <c r="Y29" s="1408" t="s">
        <v>3649</v>
      </c>
      <c r="Z29" s="1408" t="s">
        <v>2514</v>
      </c>
      <c r="AA29" s="1408" t="s">
        <v>1113</v>
      </c>
      <c r="AB29" s="1408" t="s">
        <v>2514</v>
      </c>
      <c r="AC29" s="1408" t="s">
        <v>4001</v>
      </c>
      <c r="AD29" s="1408" t="s">
        <v>2514</v>
      </c>
      <c r="AE29" s="1408" t="s">
        <v>1585</v>
      </c>
      <c r="AF29" s="1408" t="s">
        <v>2514</v>
      </c>
      <c r="AG29" s="1408" t="s">
        <v>121</v>
      </c>
      <c r="AH29" s="1408" t="s">
        <v>2514</v>
      </c>
      <c r="AI29" s="1408" t="s">
        <v>4332</v>
      </c>
      <c r="AJ29" s="1408" t="s">
        <v>2514</v>
      </c>
      <c r="AK29" s="1408" t="s">
        <v>5304</v>
      </c>
      <c r="AL29" s="1408" t="s">
        <v>2514</v>
      </c>
      <c r="AM29" s="1408" t="s">
        <v>362</v>
      </c>
      <c r="AN29" s="1408" t="s">
        <v>2514</v>
      </c>
      <c r="AO29" s="1408" t="s">
        <v>5387</v>
      </c>
      <c r="AP29" s="1408" t="s">
        <v>2514</v>
      </c>
      <c r="AQ29" s="1408" t="s">
        <v>4459</v>
      </c>
      <c r="AR29" s="1408" t="s">
        <v>2514</v>
      </c>
      <c r="AS29" s="1408" t="s">
        <v>2703</v>
      </c>
      <c r="AT29" s="1408" t="s">
        <v>2514</v>
      </c>
      <c r="AU29" s="1408" t="s">
        <v>2969</v>
      </c>
      <c r="AV29" s="1408" t="s">
        <v>2514</v>
      </c>
      <c r="AW29" s="1408" t="s">
        <v>4066</v>
      </c>
      <c r="AX29" s="1408" t="s">
        <v>2514</v>
      </c>
      <c r="AY29" s="1408" t="s">
        <v>5463</v>
      </c>
      <c r="AZ29" s="1408" t="s">
        <v>2514</v>
      </c>
      <c r="BA29" s="1408" t="s">
        <v>792</v>
      </c>
      <c r="BB29" s="1408" t="s">
        <v>2514</v>
      </c>
      <c r="BC29" s="1408" t="s">
        <v>3928</v>
      </c>
      <c r="BD29" s="1408" t="s">
        <v>2514</v>
      </c>
      <c r="BE29" s="1408" t="s">
        <v>5906</v>
      </c>
      <c r="BF29" s="1408" t="s">
        <v>2514</v>
      </c>
      <c r="BG29" s="1408" t="s">
        <v>449</v>
      </c>
      <c r="BH29" s="1408" t="s">
        <v>2514</v>
      </c>
      <c r="BI29" s="1408" t="s">
        <v>3166</v>
      </c>
      <c r="BJ29" s="1408" t="s">
        <v>2514</v>
      </c>
      <c r="BK29" s="1408" t="s">
        <v>3290</v>
      </c>
      <c r="BL29" s="1408" t="s">
        <v>2514</v>
      </c>
      <c r="BM29" s="1408" t="s">
        <v>3245</v>
      </c>
      <c r="BN29" s="1408" t="s">
        <v>2514</v>
      </c>
      <c r="BO29" s="1408" t="s">
        <v>5423</v>
      </c>
      <c r="BP29" s="1408" t="s">
        <v>2514</v>
      </c>
      <c r="BQ29" s="1408" t="s">
        <v>2381</v>
      </c>
      <c r="BR29" s="1408" t="s">
        <v>2514</v>
      </c>
      <c r="BS29" s="1408" t="s">
        <v>3265</v>
      </c>
      <c r="BT29" s="1408" t="s">
        <v>2514</v>
      </c>
      <c r="BU29" s="1408" t="s">
        <v>179</v>
      </c>
      <c r="BV29" s="1408" t="s">
        <v>2514</v>
      </c>
      <c r="BW29" s="1408" t="s">
        <v>2978</v>
      </c>
      <c r="BX29" s="1408" t="s">
        <v>2514</v>
      </c>
      <c r="BY29" s="1408" t="s">
        <v>6004</v>
      </c>
      <c r="BZ29" s="1408" t="s">
        <v>2514</v>
      </c>
      <c r="CA29" s="1408" t="s">
        <v>1029</v>
      </c>
      <c r="CB29" s="1408" t="s">
        <v>2514</v>
      </c>
      <c r="CC29" s="1408" t="s">
        <v>701</v>
      </c>
      <c r="CD29" s="1408" t="s">
        <v>2514</v>
      </c>
      <c r="CE29" s="1408" t="s">
        <v>6843</v>
      </c>
      <c r="CF29" s="1408" t="s">
        <v>2514</v>
      </c>
      <c r="CG29" s="1408" t="s">
        <v>1761</v>
      </c>
      <c r="CH29" s="1408" t="s">
        <v>2514</v>
      </c>
      <c r="CI29" s="1408" t="s">
        <v>6498</v>
      </c>
      <c r="CJ29" s="1408" t="s">
        <v>2514</v>
      </c>
      <c r="CK29" s="1408" t="s">
        <v>2073</v>
      </c>
      <c r="CL29" s="1408" t="s">
        <v>2514</v>
      </c>
      <c r="CM29" s="1408" t="s">
        <v>2648</v>
      </c>
      <c r="CN29" s="1408" t="s">
        <v>2514</v>
      </c>
      <c r="CO29" s="1408" t="s">
        <v>5293</v>
      </c>
      <c r="CP29" s="1408" t="s">
        <v>2514</v>
      </c>
      <c r="CQ29" s="1408" t="s">
        <v>2236</v>
      </c>
      <c r="CR29" s="1408" t="s">
        <v>2514</v>
      </c>
      <c r="CS29" s="1408" t="s">
        <v>1704</v>
      </c>
      <c r="CT29" s="1408" t="s">
        <v>2514</v>
      </c>
      <c r="CU29" s="1408" t="s">
        <v>4073</v>
      </c>
      <c r="CV29" s="1408" t="s">
        <v>2514</v>
      </c>
      <c r="CW29" s="1408" t="s">
        <v>6732</v>
      </c>
      <c r="CX29" s="1408" t="s">
        <v>2514</v>
      </c>
      <c r="CY29" s="1408" t="s">
        <v>2136</v>
      </c>
      <c r="CZ29" s="1408" t="s">
        <v>2514</v>
      </c>
      <c r="DA29" s="1408" t="s">
        <v>6646</v>
      </c>
      <c r="DB29" s="1408" t="s">
        <v>2514</v>
      </c>
      <c r="DC29" s="1408" t="s">
        <v>1777</v>
      </c>
      <c r="DD29" s="1408" t="s">
        <v>2514</v>
      </c>
      <c r="DE29" s="1408" t="s">
        <v>6896</v>
      </c>
      <c r="DF29" s="1408" t="s">
        <v>2514</v>
      </c>
      <c r="DG29" s="1408" t="s">
        <v>5370</v>
      </c>
      <c r="DH29" s="1408" t="s">
        <v>2514</v>
      </c>
      <c r="DI29" s="1408" t="s">
        <v>5277</v>
      </c>
      <c r="DJ29" s="1408" t="s">
        <v>2514</v>
      </c>
      <c r="DK29" s="1408" t="s">
        <v>2768</v>
      </c>
      <c r="DL29" s="1408" t="s">
        <v>2514</v>
      </c>
      <c r="DM29" s="1408" t="s">
        <v>5478</v>
      </c>
      <c r="DN29" s="1408" t="s">
        <v>2514</v>
      </c>
      <c r="DO29" s="1408" t="s">
        <v>6255</v>
      </c>
      <c r="DP29" s="1408" t="s">
        <v>2514</v>
      </c>
      <c r="DQ29" s="1408" t="s">
        <v>236</v>
      </c>
      <c r="DR29" s="1408" t="s">
        <v>2514</v>
      </c>
      <c r="DS29" s="1408" t="s">
        <v>3151</v>
      </c>
      <c r="DT29" s="1408" t="s">
        <v>2514</v>
      </c>
      <c r="DU29" s="1408" t="s">
        <v>6127</v>
      </c>
      <c r="DV29" s="1408" t="s">
        <v>2514</v>
      </c>
      <c r="DW29" s="1408" t="s">
        <v>2525</v>
      </c>
      <c r="DX29" s="1408" t="s">
        <v>2514</v>
      </c>
      <c r="DY29" s="1408" t="s">
        <v>1972</v>
      </c>
      <c r="DZ29" s="1408" t="s">
        <v>2514</v>
      </c>
      <c r="EA29" s="1408" t="s">
        <v>125</v>
      </c>
      <c r="EB29" s="1408" t="s">
        <v>2514</v>
      </c>
      <c r="EC29" s="1408" t="s">
        <v>6791</v>
      </c>
      <c r="ED29" s="1408" t="s">
        <v>2514</v>
      </c>
      <c r="EE29" s="1408" t="s">
        <v>2727</v>
      </c>
      <c r="EF29" s="1408" t="s">
        <v>2514</v>
      </c>
      <c r="EG29" s="1408" t="s">
        <v>4557</v>
      </c>
      <c r="EH29" s="1408" t="s">
        <v>2514</v>
      </c>
      <c r="EI29" s="1408" t="s">
        <v>1728</v>
      </c>
      <c r="EJ29" s="1408" t="s">
        <v>2514</v>
      </c>
      <c r="EK29" s="1408" t="s">
        <v>1472</v>
      </c>
      <c r="EL29" s="1408" t="s">
        <v>2514</v>
      </c>
      <c r="EM29" s="1408" t="s">
        <v>3102</v>
      </c>
      <c r="EN29" s="1408" t="s">
        <v>2514</v>
      </c>
      <c r="EO29" s="1408" t="s">
        <v>1826</v>
      </c>
      <c r="EP29" s="1408" t="s">
        <v>2514</v>
      </c>
      <c r="EQ29" s="1408" t="s">
        <v>2043</v>
      </c>
      <c r="ER29" s="1408" t="s">
        <v>2514</v>
      </c>
      <c r="ES29" s="1408" t="s">
        <v>4008</v>
      </c>
      <c r="ET29" s="1408" t="s">
        <v>2514</v>
      </c>
      <c r="EU29" s="1408" t="s">
        <v>2310</v>
      </c>
      <c r="EV29" s="1408" t="s">
        <v>2514</v>
      </c>
      <c r="EW29" s="1408" t="s">
        <v>4070</v>
      </c>
      <c r="EX29" s="1408" t="s">
        <v>2514</v>
      </c>
      <c r="EY29" s="1408" t="s">
        <v>3711</v>
      </c>
      <c r="EZ29" s="1408" t="s">
        <v>2514</v>
      </c>
      <c r="FA29" s="1408" t="s">
        <v>6891</v>
      </c>
      <c r="FB29" s="1408" t="s">
        <v>2514</v>
      </c>
      <c r="FC29" s="1408" t="s">
        <v>734</v>
      </c>
      <c r="FD29" s="1408" t="s">
        <v>2514</v>
      </c>
      <c r="FE29" s="1408" t="s">
        <v>1143</v>
      </c>
      <c r="FF29" s="1408" t="s">
        <v>2514</v>
      </c>
      <c r="FG29" s="1408" t="s">
        <v>2000</v>
      </c>
      <c r="FH29" s="1408" t="s">
        <v>2514</v>
      </c>
      <c r="FI29" s="1408" t="s">
        <v>1393</v>
      </c>
      <c r="FJ29" s="1408" t="s">
        <v>2514</v>
      </c>
      <c r="FK29" s="1408" t="s">
        <v>163</v>
      </c>
      <c r="FL29" s="1408" t="s">
        <v>2514</v>
      </c>
      <c r="FM29" s="1408" t="s">
        <v>5963</v>
      </c>
      <c r="FN29" s="1408" t="s">
        <v>2514</v>
      </c>
      <c r="FO29" s="1408" t="s">
        <v>6159</v>
      </c>
      <c r="FP29" s="1408" t="s">
        <v>2514</v>
      </c>
      <c r="FQ29" s="1408" t="s">
        <v>6221</v>
      </c>
      <c r="FR29" s="1408" t="s">
        <v>2514</v>
      </c>
      <c r="FS29" s="1408" t="s">
        <v>2145</v>
      </c>
      <c r="FT29" s="1408" t="s">
        <v>2514</v>
      </c>
      <c r="FU29" s="1408" t="s">
        <v>523</v>
      </c>
      <c r="FV29" s="1408" t="s">
        <v>2514</v>
      </c>
      <c r="FW29" s="1408" t="s">
        <v>2799</v>
      </c>
      <c r="FX29" s="1408" t="s">
        <v>2514</v>
      </c>
      <c r="FY29" s="1408" t="s">
        <v>55</v>
      </c>
      <c r="FZ29" s="1408" t="s">
        <v>2514</v>
      </c>
      <c r="GA29" s="1408" t="s">
        <v>240</v>
      </c>
      <c r="GB29" s="1408" t="s">
        <v>2514</v>
      </c>
      <c r="GC29" s="1408" t="s">
        <v>2127</v>
      </c>
      <c r="GD29" s="1408" t="s">
        <v>2514</v>
      </c>
      <c r="GE29" s="1408" t="s">
        <v>1882</v>
      </c>
      <c r="GF29" s="1408" t="s">
        <v>2514</v>
      </c>
      <c r="GG29" s="1408" t="s">
        <v>5129</v>
      </c>
      <c r="GH29" s="1408" t="s">
        <v>2514</v>
      </c>
      <c r="GI29" s="1408" t="s">
        <v>6385</v>
      </c>
      <c r="GJ29" s="1408" t="s">
        <v>2514</v>
      </c>
      <c r="GK29" s="1408" t="s">
        <v>4992</v>
      </c>
      <c r="GL29" s="1408" t="s">
        <v>2514</v>
      </c>
      <c r="GM29" s="1408" t="s">
        <v>3014</v>
      </c>
      <c r="GN29" s="1408" t="s">
        <v>2514</v>
      </c>
      <c r="GO29" s="1408" t="s">
        <v>3710</v>
      </c>
      <c r="GP29" s="1408" t="s">
        <v>2514</v>
      </c>
      <c r="GQ29" s="1408" t="s">
        <v>4842</v>
      </c>
      <c r="GR29" s="1408" t="s">
        <v>2514</v>
      </c>
      <c r="GS29" s="1408" t="s">
        <v>3085</v>
      </c>
      <c r="GT29" s="1408" t="s">
        <v>2514</v>
      </c>
      <c r="GU29" s="1408" t="s">
        <v>4889</v>
      </c>
      <c r="GV29" s="1408" t="s">
        <v>2514</v>
      </c>
      <c r="GW29" s="1408" t="s">
        <v>2937</v>
      </c>
      <c r="GX29" s="1408" t="s">
        <v>2514</v>
      </c>
      <c r="GY29" s="1408" t="s">
        <v>411</v>
      </c>
      <c r="GZ29" s="1408" t="s">
        <v>2514</v>
      </c>
      <c r="HA29" s="1408" t="s">
        <v>4022</v>
      </c>
      <c r="HB29" s="1408" t="s">
        <v>2514</v>
      </c>
      <c r="HC29" s="1408" t="s">
        <v>3197</v>
      </c>
      <c r="HD29" s="1408" t="s">
        <v>2514</v>
      </c>
      <c r="HE29" s="1408" t="s">
        <v>3177</v>
      </c>
      <c r="HF29" s="1408" t="s">
        <v>2514</v>
      </c>
      <c r="HG29" s="1408" t="s">
        <v>6795</v>
      </c>
      <c r="HH29" s="1408" t="s">
        <v>2514</v>
      </c>
      <c r="HI29" s="1408" t="s">
        <v>6183</v>
      </c>
      <c r="HJ29" s="1408" t="s">
        <v>2514</v>
      </c>
      <c r="HK29" s="1408" t="s">
        <v>3262</v>
      </c>
      <c r="HL29" s="1408" t="s">
        <v>2514</v>
      </c>
      <c r="HM29" s="1408" t="s">
        <v>6748</v>
      </c>
      <c r="HN29" s="1408" t="s">
        <v>2514</v>
      </c>
      <c r="HO29" s="1408" t="s">
        <v>2901</v>
      </c>
      <c r="HP29" s="1408" t="s">
        <v>2514</v>
      </c>
      <c r="HQ29" s="1408" t="s">
        <v>316</v>
      </c>
      <c r="HR29" s="1408" t="s">
        <v>2514</v>
      </c>
      <c r="HS29" s="1408" t="s">
        <v>1768</v>
      </c>
      <c r="HT29" s="1408" t="s">
        <v>2514</v>
      </c>
      <c r="HU29" s="1408" t="s">
        <v>6886</v>
      </c>
      <c r="HV29" s="1408" t="s">
        <v>2514</v>
      </c>
      <c r="HW29" s="1408" t="s">
        <v>6326</v>
      </c>
      <c r="HX29" s="1408" t="s">
        <v>2514</v>
      </c>
      <c r="HY29" s="1408" t="s">
        <v>6090</v>
      </c>
      <c r="HZ29" s="1408" t="s">
        <v>2514</v>
      </c>
      <c r="IA29" s="1408" t="s">
        <v>525</v>
      </c>
      <c r="IB29" s="1408" t="s">
        <v>2514</v>
      </c>
      <c r="IC29" s="1408" t="s">
        <v>2255</v>
      </c>
      <c r="ID29" s="1408" t="s">
        <v>2514</v>
      </c>
      <c r="IE29" s="1408" t="s">
        <v>6915</v>
      </c>
      <c r="IF29" s="1408" t="s">
        <v>2514</v>
      </c>
      <c r="IG29" s="1408" t="s">
        <v>1366</v>
      </c>
      <c r="IH29" s="1408" t="s">
        <v>2514</v>
      </c>
      <c r="II29" s="1408" t="s">
        <v>4774</v>
      </c>
      <c r="IJ29" s="1408" t="s">
        <v>2514</v>
      </c>
      <c r="IK29" s="1408" t="s">
        <v>2788</v>
      </c>
      <c r="IL29" s="1408" t="s">
        <v>2514</v>
      </c>
      <c r="IM29" s="1408" t="s">
        <v>1649</v>
      </c>
      <c r="IN29" s="1408" t="s">
        <v>2514</v>
      </c>
      <c r="IO29" s="1408" t="s">
        <v>407</v>
      </c>
      <c r="IP29" s="1408" t="s">
        <v>2514</v>
      </c>
      <c r="IQ29" s="1408" t="s">
        <v>2190</v>
      </c>
      <c r="IR29" s="1408" t="s">
        <v>2514</v>
      </c>
      <c r="IS29" s="1408" t="s">
        <v>3396</v>
      </c>
      <c r="IT29" s="1408" t="s">
        <v>2514</v>
      </c>
      <c r="IU29" s="1408" t="s">
        <v>214</v>
      </c>
      <c r="IV29" s="1408" t="s">
        <v>2514</v>
      </c>
    </row>
    <row r="30" spans="1:256" s="1408" customFormat="1">
      <c r="A30" s="1408" t="s">
        <v>6410</v>
      </c>
      <c r="B30" s="1408" t="s">
        <v>2514</v>
      </c>
      <c r="C30" s="1408" t="s">
        <v>989</v>
      </c>
      <c r="D30" s="1408" t="s">
        <v>2514</v>
      </c>
      <c r="E30" s="1408" t="s">
        <v>3510</v>
      </c>
      <c r="F30" s="1408" t="s">
        <v>2514</v>
      </c>
      <c r="G30" s="1408" t="s">
        <v>1194</v>
      </c>
      <c r="H30" s="1408" t="s">
        <v>2514</v>
      </c>
      <c r="I30" s="1408" t="s">
        <v>1722</v>
      </c>
      <c r="J30" s="1408" t="s">
        <v>2514</v>
      </c>
      <c r="K30" s="1408" t="s">
        <v>4336</v>
      </c>
      <c r="L30" s="1408" t="s">
        <v>2514</v>
      </c>
      <c r="M30" s="1408" t="s">
        <v>2271</v>
      </c>
      <c r="N30" s="1408" t="s">
        <v>2514</v>
      </c>
      <c r="O30" s="1408" t="s">
        <v>2116</v>
      </c>
      <c r="P30" s="1408" t="s">
        <v>2514</v>
      </c>
      <c r="Q30" s="1408" t="s">
        <v>3436</v>
      </c>
      <c r="R30" s="1408" t="s">
        <v>2514</v>
      </c>
      <c r="S30" s="1408" t="s">
        <v>2636</v>
      </c>
      <c r="T30" s="1408" t="s">
        <v>2514</v>
      </c>
      <c r="U30" s="1408" t="s">
        <v>3519</v>
      </c>
      <c r="V30" s="1408" t="s">
        <v>2514</v>
      </c>
      <c r="W30" s="1408" t="s">
        <v>5679</v>
      </c>
      <c r="X30" s="1408" t="s">
        <v>2514</v>
      </c>
      <c r="Y30" s="1408" t="s">
        <v>980</v>
      </c>
      <c r="Z30" s="1408" t="s">
        <v>2514</v>
      </c>
      <c r="AA30" s="1408" t="s">
        <v>2559</v>
      </c>
      <c r="AB30" s="1408" t="s">
        <v>2514</v>
      </c>
      <c r="AC30" s="1408" t="s">
        <v>1232</v>
      </c>
      <c r="AD30" s="1408" t="s">
        <v>2514</v>
      </c>
      <c r="AE30" s="1408" t="s">
        <v>5394</v>
      </c>
      <c r="AF30" s="1408" t="s">
        <v>2514</v>
      </c>
      <c r="AG30" s="1408" t="s">
        <v>1227</v>
      </c>
      <c r="AH30" s="1408" t="s">
        <v>2514</v>
      </c>
      <c r="AI30" s="1408" t="s">
        <v>4461</v>
      </c>
      <c r="AJ30" s="1408" t="s">
        <v>2514</v>
      </c>
      <c r="AK30" s="1408" t="s">
        <v>925</v>
      </c>
      <c r="AL30" s="1408" t="s">
        <v>2514</v>
      </c>
      <c r="AM30" s="1408" t="s">
        <v>579</v>
      </c>
      <c r="AN30" s="1408" t="s">
        <v>2514</v>
      </c>
      <c r="AO30" s="1408" t="s">
        <v>4717</v>
      </c>
      <c r="AP30" s="1408" t="s">
        <v>2514</v>
      </c>
      <c r="AQ30" s="1408" t="s">
        <v>2001</v>
      </c>
      <c r="AR30" s="1408" t="s">
        <v>2514</v>
      </c>
      <c r="AS30" s="1408" t="s">
        <v>3835</v>
      </c>
      <c r="AT30" s="1408" t="s">
        <v>2514</v>
      </c>
      <c r="AU30" s="1408" t="s">
        <v>1572</v>
      </c>
      <c r="AV30" s="1408" t="s">
        <v>2514</v>
      </c>
      <c r="AW30" s="1408" t="s">
        <v>1417</v>
      </c>
      <c r="AX30" s="1408" t="s">
        <v>2514</v>
      </c>
      <c r="AY30" s="1408" t="s">
        <v>3222</v>
      </c>
      <c r="AZ30" s="1408" t="s">
        <v>2514</v>
      </c>
      <c r="BA30" s="1408" t="s">
        <v>5300</v>
      </c>
      <c r="BB30" s="1408" t="s">
        <v>2514</v>
      </c>
      <c r="BC30" s="1408" t="s">
        <v>3006</v>
      </c>
      <c r="BD30" s="1408" t="s">
        <v>2514</v>
      </c>
      <c r="BE30" s="1408" t="s">
        <v>5006</v>
      </c>
      <c r="BF30" s="1408" t="s">
        <v>2514</v>
      </c>
      <c r="BG30" s="1408" t="s">
        <v>1222</v>
      </c>
      <c r="BH30" s="1408" t="s">
        <v>2514</v>
      </c>
      <c r="BI30" s="1408" t="s">
        <v>2183</v>
      </c>
      <c r="BJ30" s="1408" t="s">
        <v>2514</v>
      </c>
      <c r="BK30" s="1408" t="s">
        <v>2451</v>
      </c>
      <c r="BL30" s="1408" t="s">
        <v>2514</v>
      </c>
      <c r="BM30" s="1408" t="s">
        <v>4994</v>
      </c>
      <c r="BN30" s="1408" t="s">
        <v>2514</v>
      </c>
      <c r="BO30" s="1408" t="s">
        <v>1363</v>
      </c>
      <c r="BP30" s="1408" t="s">
        <v>2514</v>
      </c>
      <c r="BQ30" s="1408" t="s">
        <v>5334</v>
      </c>
      <c r="BR30" s="1408" t="s">
        <v>2514</v>
      </c>
      <c r="BS30" s="1408" t="s">
        <v>3205</v>
      </c>
      <c r="BT30" s="1408" t="s">
        <v>2514</v>
      </c>
      <c r="BU30" s="1408" t="s">
        <v>6727</v>
      </c>
      <c r="BV30" s="1408" t="s">
        <v>2514</v>
      </c>
      <c r="BW30" s="1408" t="s">
        <v>5859</v>
      </c>
      <c r="BX30" s="1408" t="s">
        <v>2514</v>
      </c>
      <c r="BY30" s="1408" t="s">
        <v>2160</v>
      </c>
      <c r="BZ30" s="1408" t="s">
        <v>2514</v>
      </c>
      <c r="CA30" s="1408" t="s">
        <v>2068</v>
      </c>
      <c r="CB30" s="1408" t="s">
        <v>2514</v>
      </c>
      <c r="CC30" s="1408" t="s">
        <v>3395</v>
      </c>
      <c r="CD30" s="1408" t="s">
        <v>2514</v>
      </c>
      <c r="CE30" s="1408" t="s">
        <v>4641</v>
      </c>
      <c r="CF30" s="1408" t="s">
        <v>2514</v>
      </c>
      <c r="CG30" s="1408" t="s">
        <v>952</v>
      </c>
      <c r="CH30" s="1408" t="s">
        <v>2514</v>
      </c>
      <c r="CI30" s="1408" t="s">
        <v>5512</v>
      </c>
      <c r="CJ30" s="1408" t="s">
        <v>2514</v>
      </c>
      <c r="CK30" s="1408" t="s">
        <v>5682</v>
      </c>
      <c r="CL30" s="1408" t="s">
        <v>2514</v>
      </c>
      <c r="CM30" s="1408" t="s">
        <v>5358</v>
      </c>
      <c r="CN30" s="1408" t="s">
        <v>2514</v>
      </c>
      <c r="CO30" s="1408" t="s">
        <v>3011</v>
      </c>
      <c r="CP30" s="1408" t="s">
        <v>2514</v>
      </c>
      <c r="CQ30" s="1408" t="s">
        <v>722</v>
      </c>
      <c r="CR30" s="1408" t="s">
        <v>2514</v>
      </c>
      <c r="CS30" s="1408" t="s">
        <v>5852</v>
      </c>
      <c r="CT30" s="1408" t="s">
        <v>2514</v>
      </c>
      <c r="CU30" s="1408" t="s">
        <v>581</v>
      </c>
      <c r="CV30" s="1408" t="s">
        <v>2514</v>
      </c>
      <c r="CW30" s="1408" t="s">
        <v>6501</v>
      </c>
      <c r="CX30" s="1408" t="s">
        <v>2514</v>
      </c>
      <c r="CY30" s="1408" t="s">
        <v>6936</v>
      </c>
      <c r="CZ30" s="1408" t="s">
        <v>2514</v>
      </c>
      <c r="DA30" s="1408" t="s">
        <v>1103</v>
      </c>
      <c r="DB30" s="1408" t="s">
        <v>2514</v>
      </c>
      <c r="DC30" s="1408" t="s">
        <v>3967</v>
      </c>
      <c r="DD30" s="1408" t="s">
        <v>2514</v>
      </c>
      <c r="DE30" s="1408" t="s">
        <v>2908</v>
      </c>
      <c r="DF30" s="1408" t="s">
        <v>2514</v>
      </c>
      <c r="DG30" s="1408" t="s">
        <v>168</v>
      </c>
      <c r="DH30" s="1408" t="s">
        <v>2514</v>
      </c>
      <c r="DI30" s="1408" t="s">
        <v>1899</v>
      </c>
      <c r="DJ30" s="1408" t="s">
        <v>2514</v>
      </c>
      <c r="DK30" s="1408" t="s">
        <v>5914</v>
      </c>
      <c r="DL30" s="1408" t="s">
        <v>2514</v>
      </c>
      <c r="DM30" s="1408" t="s">
        <v>6360</v>
      </c>
      <c r="DN30" s="1408" t="s">
        <v>2514</v>
      </c>
      <c r="DO30" s="1408" t="s">
        <v>6764</v>
      </c>
      <c r="DP30" s="1408" t="s">
        <v>2514</v>
      </c>
      <c r="DQ30" s="1408" t="s">
        <v>5997</v>
      </c>
      <c r="DR30" s="1408" t="s">
        <v>2514</v>
      </c>
      <c r="DS30" s="1408" t="s">
        <v>3933</v>
      </c>
      <c r="DT30" s="1408" t="s">
        <v>2514</v>
      </c>
      <c r="DU30" s="1408" t="s">
        <v>4357</v>
      </c>
      <c r="DV30" s="1408" t="s">
        <v>2514</v>
      </c>
      <c r="DW30" s="1408" t="s">
        <v>4107</v>
      </c>
      <c r="DX30" s="1408" t="s">
        <v>2514</v>
      </c>
      <c r="DY30" s="1408" t="s">
        <v>2100</v>
      </c>
      <c r="DZ30" s="1408" t="s">
        <v>2514</v>
      </c>
      <c r="EA30" s="1408" t="s">
        <v>3855</v>
      </c>
      <c r="EB30" s="1408" t="s">
        <v>2514</v>
      </c>
      <c r="EC30" s="1408" t="s">
        <v>3385</v>
      </c>
      <c r="ED30" s="1408" t="s">
        <v>2514</v>
      </c>
      <c r="EE30" s="1408" t="s">
        <v>3183</v>
      </c>
      <c r="EF30" s="1408" t="s">
        <v>2514</v>
      </c>
      <c r="EG30" s="1408" t="s">
        <v>1580</v>
      </c>
      <c r="EH30" s="1408" t="s">
        <v>2514</v>
      </c>
      <c r="EI30" s="1408" t="s">
        <v>3724</v>
      </c>
      <c r="EJ30" s="1408" t="s">
        <v>2514</v>
      </c>
      <c r="EK30" s="1408" t="s">
        <v>6085</v>
      </c>
      <c r="EL30" s="1408" t="s">
        <v>2514</v>
      </c>
      <c r="EM30" s="1408" t="s">
        <v>4500</v>
      </c>
      <c r="EN30" s="1408" t="s">
        <v>2514</v>
      </c>
      <c r="EO30" s="1408" t="s">
        <v>5720</v>
      </c>
      <c r="EP30" s="1408" t="s">
        <v>2514</v>
      </c>
      <c r="EQ30" s="1408" t="s">
        <v>3319</v>
      </c>
      <c r="ER30" s="1408" t="s">
        <v>2514</v>
      </c>
      <c r="ES30" s="1408" t="s">
        <v>4646</v>
      </c>
      <c r="ET30" s="1408" t="s">
        <v>2514</v>
      </c>
      <c r="EU30" s="1408" t="s">
        <v>1411</v>
      </c>
      <c r="EV30" s="1408" t="s">
        <v>2514</v>
      </c>
      <c r="EW30" s="1408" t="s">
        <v>4198</v>
      </c>
      <c r="EX30" s="1408" t="s">
        <v>2514</v>
      </c>
      <c r="EY30" s="1408" t="s">
        <v>352</v>
      </c>
      <c r="EZ30" s="1408" t="s">
        <v>2514</v>
      </c>
      <c r="FA30" s="1408" t="s">
        <v>809</v>
      </c>
      <c r="FB30" s="1408" t="s">
        <v>2514</v>
      </c>
      <c r="FC30" s="1408" t="s">
        <v>2824</v>
      </c>
      <c r="FD30" s="1408" t="s">
        <v>2514</v>
      </c>
      <c r="FE30" s="1408" t="s">
        <v>4228</v>
      </c>
      <c r="FF30" s="1408" t="s">
        <v>2514</v>
      </c>
      <c r="FG30" s="1408" t="s">
        <v>1429</v>
      </c>
      <c r="FH30" s="1408" t="s">
        <v>2514</v>
      </c>
      <c r="FI30" s="1408" t="s">
        <v>1489</v>
      </c>
      <c r="FJ30" s="1408" t="s">
        <v>2514</v>
      </c>
      <c r="FK30" s="1408" t="s">
        <v>5871</v>
      </c>
      <c r="FL30" s="1408" t="s">
        <v>2514</v>
      </c>
      <c r="FM30" s="1408" t="s">
        <v>4704</v>
      </c>
      <c r="FN30" s="1408" t="s">
        <v>2514</v>
      </c>
      <c r="FO30" s="1408" t="s">
        <v>4038</v>
      </c>
      <c r="FP30" s="1408" t="s">
        <v>2514</v>
      </c>
      <c r="FQ30" s="1408" t="s">
        <v>3437</v>
      </c>
      <c r="FR30" s="1408" t="s">
        <v>2514</v>
      </c>
      <c r="FS30" s="1408" t="s">
        <v>1440</v>
      </c>
      <c r="FT30" s="1408" t="s">
        <v>2514</v>
      </c>
      <c r="FU30" s="1408" t="s">
        <v>2562</v>
      </c>
      <c r="FV30" s="1408" t="s">
        <v>2514</v>
      </c>
      <c r="FW30" s="1408" t="s">
        <v>3399</v>
      </c>
      <c r="FX30" s="1408" t="s">
        <v>2514</v>
      </c>
      <c r="FY30" s="1408" t="s">
        <v>2208</v>
      </c>
      <c r="FZ30" s="1408" t="s">
        <v>2514</v>
      </c>
      <c r="GA30" s="1408" t="s">
        <v>5901</v>
      </c>
      <c r="GB30" s="1408" t="s">
        <v>2514</v>
      </c>
      <c r="GC30" s="1408" t="s">
        <v>1463</v>
      </c>
      <c r="GD30" s="1408" t="s">
        <v>2514</v>
      </c>
      <c r="GE30" s="1408" t="s">
        <v>4848</v>
      </c>
      <c r="GF30" s="1408" t="s">
        <v>2514</v>
      </c>
      <c r="GG30" s="1408" t="s">
        <v>3213</v>
      </c>
      <c r="GH30" s="1408" t="s">
        <v>2514</v>
      </c>
      <c r="GI30" s="1408" t="s">
        <v>6365</v>
      </c>
      <c r="GJ30" s="1408" t="s">
        <v>2514</v>
      </c>
      <c r="GK30" s="1408" t="s">
        <v>2783</v>
      </c>
      <c r="GL30" s="1408" t="s">
        <v>2514</v>
      </c>
      <c r="GM30" s="1408" t="s">
        <v>4551</v>
      </c>
      <c r="GN30" s="1408" t="s">
        <v>2514</v>
      </c>
      <c r="GO30" s="1408" t="s">
        <v>5851</v>
      </c>
      <c r="GP30" s="1408" t="s">
        <v>2514</v>
      </c>
      <c r="GQ30" s="1408" t="s">
        <v>3508</v>
      </c>
      <c r="GR30" s="1408" t="s">
        <v>2514</v>
      </c>
      <c r="GS30" s="1408" t="s">
        <v>3479</v>
      </c>
      <c r="GT30" s="1408" t="s">
        <v>2514</v>
      </c>
      <c r="GU30" s="1408" t="s">
        <v>2631</v>
      </c>
      <c r="GV30" s="1408" t="s">
        <v>2514</v>
      </c>
      <c r="GW30" s="1408" t="s">
        <v>3475</v>
      </c>
      <c r="GX30" s="1408" t="s">
        <v>2514</v>
      </c>
      <c r="GY30" s="1408" t="s">
        <v>474</v>
      </c>
      <c r="GZ30" s="1408" t="s">
        <v>2514</v>
      </c>
      <c r="HA30" s="1408" t="s">
        <v>455</v>
      </c>
      <c r="HB30" s="1408" t="s">
        <v>2514</v>
      </c>
      <c r="HC30" s="1408" t="s">
        <v>636</v>
      </c>
      <c r="HD30" s="1408" t="s">
        <v>2514</v>
      </c>
      <c r="HE30" s="1408" t="s">
        <v>3561</v>
      </c>
      <c r="HF30" s="1408" t="s">
        <v>2514</v>
      </c>
      <c r="HG30" s="1408" t="s">
        <v>1118</v>
      </c>
      <c r="HH30" s="1408" t="s">
        <v>2514</v>
      </c>
      <c r="HI30" s="1408" t="s">
        <v>2146</v>
      </c>
      <c r="HJ30" s="1408" t="s">
        <v>2514</v>
      </c>
      <c r="HK30" s="1408" t="s">
        <v>820</v>
      </c>
      <c r="HL30" s="1408" t="s">
        <v>2514</v>
      </c>
      <c r="HM30" s="1408" t="s">
        <v>1343</v>
      </c>
      <c r="HN30" s="1408" t="s">
        <v>2514</v>
      </c>
      <c r="HO30" s="1408" t="s">
        <v>1730</v>
      </c>
      <c r="HP30" s="1408" t="s">
        <v>2514</v>
      </c>
      <c r="HQ30" s="1408" t="s">
        <v>6468</v>
      </c>
      <c r="HR30" s="1408" t="s">
        <v>2514</v>
      </c>
      <c r="HS30" s="1408" t="s">
        <v>2007</v>
      </c>
      <c r="HT30" s="1408" t="s">
        <v>2514</v>
      </c>
      <c r="HU30" s="1408" t="s">
        <v>621</v>
      </c>
      <c r="HV30" s="1408" t="s">
        <v>2514</v>
      </c>
      <c r="HW30" s="1408" t="s">
        <v>3387</v>
      </c>
      <c r="HX30" s="1408" t="s">
        <v>2514</v>
      </c>
      <c r="HY30" s="1408" t="s">
        <v>31</v>
      </c>
      <c r="HZ30" s="1408" t="s">
        <v>2514</v>
      </c>
      <c r="IA30" s="1408" t="s">
        <v>2856</v>
      </c>
      <c r="IB30" s="1408" t="s">
        <v>2514</v>
      </c>
      <c r="IC30" s="1408" t="s">
        <v>583</v>
      </c>
      <c r="ID30" s="1408" t="s">
        <v>2514</v>
      </c>
      <c r="IE30" s="1408" t="s">
        <v>870</v>
      </c>
      <c r="IF30" s="1408" t="s">
        <v>2514</v>
      </c>
      <c r="IG30" s="1408" t="s">
        <v>6611</v>
      </c>
      <c r="IH30" s="1408" t="s">
        <v>2514</v>
      </c>
      <c r="II30" s="1408" t="s">
        <v>1257</v>
      </c>
      <c r="IJ30" s="1408" t="s">
        <v>2514</v>
      </c>
      <c r="IK30" s="1408" t="s">
        <v>2752</v>
      </c>
      <c r="IL30" s="1408" t="s">
        <v>2514</v>
      </c>
      <c r="IM30" s="1408" t="s">
        <v>1470</v>
      </c>
      <c r="IN30" s="1408" t="s">
        <v>2514</v>
      </c>
      <c r="IO30" s="1408" t="s">
        <v>5590</v>
      </c>
      <c r="IP30" s="1408" t="s">
        <v>2514</v>
      </c>
      <c r="IQ30" s="1408" t="s">
        <v>2822</v>
      </c>
      <c r="IR30" s="1408" t="s">
        <v>2514</v>
      </c>
      <c r="IS30" s="1408" t="s">
        <v>3313</v>
      </c>
      <c r="IT30" s="1408" t="s">
        <v>2514</v>
      </c>
      <c r="IU30" s="1408" t="s">
        <v>4398</v>
      </c>
      <c r="IV30" s="1408" t="s">
        <v>2514</v>
      </c>
    </row>
    <row r="31" spans="1:256" s="1408" customFormat="1">
      <c r="A31" s="1408" t="s">
        <v>1718</v>
      </c>
      <c r="B31" s="1408" t="s">
        <v>2514</v>
      </c>
      <c r="C31" s="1408" t="s">
        <v>5705</v>
      </c>
      <c r="D31" s="1408" t="s">
        <v>2514</v>
      </c>
      <c r="E31" s="1408" t="s">
        <v>6551</v>
      </c>
      <c r="F31" s="1408" t="s">
        <v>2514</v>
      </c>
      <c r="G31" s="1408" t="s">
        <v>1603</v>
      </c>
      <c r="H31" s="1408" t="s">
        <v>2514</v>
      </c>
      <c r="I31" s="1408" t="s">
        <v>21</v>
      </c>
      <c r="J31" s="1408" t="s">
        <v>2514</v>
      </c>
      <c r="K31" s="1408" t="s">
        <v>2114</v>
      </c>
      <c r="L31" s="1408" t="s">
        <v>2514</v>
      </c>
      <c r="M31" s="1408" t="s">
        <v>1956</v>
      </c>
      <c r="N31" s="1408" t="s">
        <v>2514</v>
      </c>
      <c r="O31" s="1408" t="s">
        <v>2452</v>
      </c>
      <c r="P31" s="1408" t="s">
        <v>2514</v>
      </c>
      <c r="Q31" s="1408" t="s">
        <v>5660</v>
      </c>
      <c r="R31" s="1408" t="s">
        <v>2514</v>
      </c>
      <c r="S31" s="1408" t="s">
        <v>1078</v>
      </c>
      <c r="T31" s="1408" t="s">
        <v>2514</v>
      </c>
      <c r="U31" s="1408" t="s">
        <v>392</v>
      </c>
      <c r="V31" s="1408" t="s">
        <v>2514</v>
      </c>
      <c r="W31" s="1408" t="s">
        <v>2834</v>
      </c>
      <c r="X31" s="1408" t="s">
        <v>2514</v>
      </c>
      <c r="Y31" s="1408" t="s">
        <v>4314</v>
      </c>
      <c r="Z31" s="1408" t="s">
        <v>2514</v>
      </c>
      <c r="AA31" s="1408" t="s">
        <v>5966</v>
      </c>
      <c r="AB31" s="1408" t="s">
        <v>2514</v>
      </c>
      <c r="AC31" s="1408" t="s">
        <v>1559</v>
      </c>
      <c r="AD31" s="1408" t="s">
        <v>2514</v>
      </c>
      <c r="AE31" s="1408" t="s">
        <v>154</v>
      </c>
      <c r="AF31" s="1408" t="s">
        <v>2514</v>
      </c>
      <c r="AG31" s="1408" t="s">
        <v>3410</v>
      </c>
      <c r="AH31" s="1408" t="s">
        <v>2514</v>
      </c>
      <c r="AI31" s="1408" t="s">
        <v>5357</v>
      </c>
      <c r="AJ31" s="1408" t="s">
        <v>2514</v>
      </c>
      <c r="AK31" s="1408" t="s">
        <v>6335</v>
      </c>
      <c r="AL31" s="1408" t="s">
        <v>2514</v>
      </c>
      <c r="AM31" s="1408" t="s">
        <v>4504</v>
      </c>
      <c r="AN31" s="1408" t="s">
        <v>2514</v>
      </c>
      <c r="AO31" s="1408" t="s">
        <v>6601</v>
      </c>
      <c r="AP31" s="1408" t="s">
        <v>2514</v>
      </c>
      <c r="AQ31" s="1408" t="s">
        <v>3511</v>
      </c>
      <c r="AR31" s="1408" t="s">
        <v>2514</v>
      </c>
      <c r="AS31" s="1408" t="s">
        <v>4295</v>
      </c>
      <c r="AT31" s="1408" t="s">
        <v>2514</v>
      </c>
      <c r="AU31" s="1408" t="s">
        <v>1620</v>
      </c>
      <c r="AV31" s="1408" t="s">
        <v>2514</v>
      </c>
      <c r="AW31" s="1408" t="s">
        <v>553</v>
      </c>
      <c r="AX31" s="1408" t="s">
        <v>2514</v>
      </c>
      <c r="AY31" s="1408" t="s">
        <v>819</v>
      </c>
      <c r="AZ31" s="1408" t="s">
        <v>2514</v>
      </c>
      <c r="BA31" s="1408" t="s">
        <v>3726</v>
      </c>
      <c r="BB31" s="1408" t="s">
        <v>2514</v>
      </c>
      <c r="BC31" s="1408" t="s">
        <v>5001</v>
      </c>
      <c r="BD31" s="1408" t="s">
        <v>2514</v>
      </c>
      <c r="BE31" s="1408" t="s">
        <v>1325</v>
      </c>
      <c r="BF31" s="1408" t="s">
        <v>2514</v>
      </c>
      <c r="BG31" s="1408" t="s">
        <v>5296</v>
      </c>
      <c r="BH31" s="1408" t="s">
        <v>2514</v>
      </c>
      <c r="BI31" s="1408" t="s">
        <v>1016</v>
      </c>
      <c r="BJ31" s="1408" t="s">
        <v>2514</v>
      </c>
      <c r="BK31" s="1408" t="s">
        <v>3944</v>
      </c>
      <c r="BL31" s="1408" t="s">
        <v>2514</v>
      </c>
      <c r="BM31" s="1408" t="s">
        <v>3128</v>
      </c>
      <c r="BN31" s="1408" t="s">
        <v>2514</v>
      </c>
      <c r="BO31" s="1408" t="s">
        <v>353</v>
      </c>
      <c r="BP31" s="1408" t="s">
        <v>2514</v>
      </c>
      <c r="BQ31" s="1408" t="s">
        <v>2579</v>
      </c>
      <c r="BR31" s="1408" t="s">
        <v>2514</v>
      </c>
      <c r="BS31" s="1408" t="s">
        <v>3122</v>
      </c>
      <c r="BT31" s="1408" t="s">
        <v>2514</v>
      </c>
      <c r="BU31" s="1408" t="s">
        <v>5217</v>
      </c>
      <c r="BV31" s="1408" t="s">
        <v>2514</v>
      </c>
      <c r="BW31" s="1408" t="s">
        <v>4272</v>
      </c>
      <c r="BX31" s="1408" t="s">
        <v>2514</v>
      </c>
      <c r="BY31" s="1408" t="s">
        <v>2560</v>
      </c>
      <c r="BZ31" s="1408" t="s">
        <v>2514</v>
      </c>
      <c r="CA31" s="1408" t="s">
        <v>2265</v>
      </c>
      <c r="CB31" s="1408" t="s">
        <v>2514</v>
      </c>
      <c r="CC31" s="1408" t="s">
        <v>4133</v>
      </c>
      <c r="CD31" s="1408" t="s">
        <v>2514</v>
      </c>
      <c r="CE31" s="1408" t="s">
        <v>2373</v>
      </c>
      <c r="CF31" s="1408" t="s">
        <v>2514</v>
      </c>
      <c r="CG31" s="1408" t="s">
        <v>5961</v>
      </c>
      <c r="CH31" s="1408" t="s">
        <v>2514</v>
      </c>
      <c r="CI31" s="1408" t="s">
        <v>1012</v>
      </c>
      <c r="CJ31" s="1408" t="s">
        <v>2514</v>
      </c>
      <c r="CK31" s="1408" t="s">
        <v>445</v>
      </c>
      <c r="CL31" s="1408" t="s">
        <v>2514</v>
      </c>
      <c r="CM31" s="1408" t="s">
        <v>2438</v>
      </c>
      <c r="CN31" s="1408" t="s">
        <v>2514</v>
      </c>
      <c r="CO31" s="1408" t="s">
        <v>5373</v>
      </c>
      <c r="CP31" s="1408" t="s">
        <v>2514</v>
      </c>
      <c r="CQ31" s="1408" t="s">
        <v>2981</v>
      </c>
      <c r="CR31" s="1408" t="s">
        <v>2514</v>
      </c>
      <c r="CS31" s="1408" t="s">
        <v>4418</v>
      </c>
      <c r="CT31" s="1408" t="s">
        <v>2514</v>
      </c>
      <c r="CU31" s="1408" t="s">
        <v>4507</v>
      </c>
      <c r="CV31" s="1408" t="s">
        <v>2514</v>
      </c>
      <c r="CW31" s="1408" t="s">
        <v>5909</v>
      </c>
      <c r="CX31" s="1408" t="s">
        <v>2514</v>
      </c>
      <c r="CY31" s="1408" t="s">
        <v>2217</v>
      </c>
      <c r="CZ31" s="1408" t="s">
        <v>2514</v>
      </c>
      <c r="DA31" s="1408" t="s">
        <v>6580</v>
      </c>
      <c r="DB31" s="1408" t="s">
        <v>2514</v>
      </c>
      <c r="DC31" s="1408" t="s">
        <v>2199</v>
      </c>
      <c r="DD31" s="1408" t="s">
        <v>2514</v>
      </c>
      <c r="DE31" s="1408" t="s">
        <v>2869</v>
      </c>
      <c r="DF31" s="1408" t="s">
        <v>2514</v>
      </c>
      <c r="DG31" s="1408" t="s">
        <v>3259</v>
      </c>
      <c r="DH31" s="1408" t="s">
        <v>2514</v>
      </c>
      <c r="DI31" s="1408" t="s">
        <v>1756</v>
      </c>
      <c r="DJ31" s="1408" t="s">
        <v>2514</v>
      </c>
      <c r="DK31" s="1408" t="s">
        <v>3272</v>
      </c>
      <c r="DL31" s="1408" t="s">
        <v>2514</v>
      </c>
      <c r="DM31" s="1408" t="s">
        <v>6185</v>
      </c>
      <c r="DN31" s="1408" t="s">
        <v>2514</v>
      </c>
      <c r="DO31" s="1408" t="s">
        <v>6775</v>
      </c>
      <c r="DP31" s="1408" t="s">
        <v>2514</v>
      </c>
      <c r="DQ31" s="1408" t="s">
        <v>2819</v>
      </c>
      <c r="DR31" s="1408" t="s">
        <v>2514</v>
      </c>
      <c r="DS31" s="1408" t="s">
        <v>2868</v>
      </c>
      <c r="DT31" s="1408" t="s">
        <v>2514</v>
      </c>
      <c r="DU31" s="1408" t="s">
        <v>3563</v>
      </c>
      <c r="DV31" s="1408" t="s">
        <v>2514</v>
      </c>
      <c r="DW31" s="1408" t="s">
        <v>1080</v>
      </c>
      <c r="DX31" s="1408" t="s">
        <v>2514</v>
      </c>
      <c r="DY31" s="1408" t="s">
        <v>6215</v>
      </c>
      <c r="DZ31" s="1408" t="s">
        <v>2514</v>
      </c>
      <c r="EA31" s="1408" t="s">
        <v>3111</v>
      </c>
      <c r="EB31" s="1408" t="s">
        <v>2514</v>
      </c>
      <c r="EC31" s="1408" t="s">
        <v>6198</v>
      </c>
      <c r="ED31" s="1408" t="s">
        <v>2514</v>
      </c>
      <c r="EE31" s="1408" t="s">
        <v>4475</v>
      </c>
      <c r="EF31" s="1408" t="s">
        <v>2514</v>
      </c>
      <c r="EG31" s="1408" t="s">
        <v>2665</v>
      </c>
      <c r="EH31" s="1408" t="s">
        <v>2514</v>
      </c>
      <c r="EI31" s="1408" t="s">
        <v>2401</v>
      </c>
      <c r="EJ31" s="1408" t="s">
        <v>2514</v>
      </c>
      <c r="EK31" s="1408" t="s">
        <v>6408</v>
      </c>
      <c r="EL31" s="1408" t="s">
        <v>2514</v>
      </c>
      <c r="EM31" s="1408" t="s">
        <v>1236</v>
      </c>
      <c r="EN31" s="1408" t="s">
        <v>2514</v>
      </c>
      <c r="EO31" s="1408" t="s">
        <v>5989</v>
      </c>
      <c r="EP31" s="1408" t="s">
        <v>2514</v>
      </c>
      <c r="EQ31" s="1408" t="s">
        <v>3403</v>
      </c>
      <c r="ER31" s="1408" t="s">
        <v>2514</v>
      </c>
      <c r="ES31" s="1408" t="s">
        <v>3651</v>
      </c>
      <c r="ET31" s="1408" t="s">
        <v>2514</v>
      </c>
      <c r="EU31" s="1408" t="s">
        <v>4793</v>
      </c>
      <c r="EV31" s="1408" t="s">
        <v>2514</v>
      </c>
      <c r="EW31" s="1408" t="s">
        <v>4363</v>
      </c>
      <c r="EX31" s="1408" t="s">
        <v>2514</v>
      </c>
      <c r="EY31" s="1408" t="s">
        <v>1731</v>
      </c>
      <c r="EZ31" s="1408" t="s">
        <v>2514</v>
      </c>
      <c r="FA31" s="1408" t="s">
        <v>6765</v>
      </c>
      <c r="FB31" s="1408" t="s">
        <v>2514</v>
      </c>
      <c r="FC31" s="1408" t="s">
        <v>3939</v>
      </c>
      <c r="FD31" s="1408" t="s">
        <v>2514</v>
      </c>
      <c r="FE31" s="1408" t="s">
        <v>333</v>
      </c>
      <c r="FF31" s="1408" t="s">
        <v>2514</v>
      </c>
      <c r="FG31" s="1408" t="s">
        <v>5288</v>
      </c>
      <c r="FH31" s="1408" t="s">
        <v>2514</v>
      </c>
      <c r="FI31" s="1408" t="s">
        <v>6131</v>
      </c>
      <c r="FJ31" s="1408" t="s">
        <v>2514</v>
      </c>
      <c r="FK31" s="1408" t="s">
        <v>2108</v>
      </c>
      <c r="FL31" s="1408" t="s">
        <v>2514</v>
      </c>
      <c r="FM31" s="1408" t="s">
        <v>3833</v>
      </c>
      <c r="FN31" s="1408" t="s">
        <v>2514</v>
      </c>
      <c r="FO31" s="1408" t="s">
        <v>5892</v>
      </c>
      <c r="FP31" s="1408" t="s">
        <v>2514</v>
      </c>
      <c r="FQ31" s="1408" t="s">
        <v>5062</v>
      </c>
      <c r="FR31" s="1408" t="s">
        <v>2514</v>
      </c>
      <c r="FS31" s="1408" t="s">
        <v>5058</v>
      </c>
      <c r="FT31" s="1408" t="s">
        <v>2514</v>
      </c>
      <c r="FU31" s="1408" t="s">
        <v>3949</v>
      </c>
      <c r="FV31" s="1408" t="s">
        <v>2514</v>
      </c>
      <c r="FW31" s="1408" t="s">
        <v>5878</v>
      </c>
      <c r="FX31" s="1408" t="s">
        <v>2514</v>
      </c>
      <c r="FY31" s="1408" t="s">
        <v>3419</v>
      </c>
      <c r="FZ31" s="1408" t="s">
        <v>2514</v>
      </c>
      <c r="GA31" s="1408" t="s">
        <v>2859</v>
      </c>
      <c r="GB31" s="1408" t="s">
        <v>2514</v>
      </c>
      <c r="GC31" s="1408" t="s">
        <v>5536</v>
      </c>
      <c r="GD31" s="1408" t="s">
        <v>2514</v>
      </c>
      <c r="GE31" s="1408" t="s">
        <v>6259</v>
      </c>
      <c r="GF31" s="1408" t="s">
        <v>2514</v>
      </c>
      <c r="GG31" s="1408" t="s">
        <v>5986</v>
      </c>
      <c r="GH31" s="1408" t="s">
        <v>2514</v>
      </c>
      <c r="GI31" s="1408" t="s">
        <v>1646</v>
      </c>
      <c r="GJ31" s="1408" t="s">
        <v>2514</v>
      </c>
      <c r="GK31" s="1408" t="s">
        <v>1785</v>
      </c>
      <c r="GL31" s="1408" t="s">
        <v>2514</v>
      </c>
      <c r="GM31" s="1408" t="s">
        <v>5748</v>
      </c>
      <c r="GN31" s="1408" t="s">
        <v>2514</v>
      </c>
      <c r="GO31" s="1408" t="s">
        <v>3426</v>
      </c>
      <c r="GP31" s="1408" t="s">
        <v>2514</v>
      </c>
      <c r="GQ31" s="1408" t="s">
        <v>6499</v>
      </c>
      <c r="GR31" s="1408" t="s">
        <v>2514</v>
      </c>
      <c r="GS31" s="1408" t="s">
        <v>1350</v>
      </c>
      <c r="GT31" s="1408" t="s">
        <v>2514</v>
      </c>
      <c r="GU31" s="1408" t="s">
        <v>1735</v>
      </c>
      <c r="GV31" s="1408" t="s">
        <v>2514</v>
      </c>
      <c r="GW31" s="1408" t="s">
        <v>2810</v>
      </c>
      <c r="GX31" s="1408" t="s">
        <v>2514</v>
      </c>
      <c r="GY31" s="1408" t="s">
        <v>2921</v>
      </c>
      <c r="GZ31" s="1408" t="s">
        <v>2514</v>
      </c>
      <c r="HA31" s="1408" t="s">
        <v>682</v>
      </c>
      <c r="HB31" s="1408" t="s">
        <v>2514</v>
      </c>
      <c r="HC31" s="1408" t="s">
        <v>4810</v>
      </c>
      <c r="HD31" s="1408" t="s">
        <v>2514</v>
      </c>
      <c r="HE31" s="1408" t="s">
        <v>3538</v>
      </c>
      <c r="HF31" s="1408" t="s">
        <v>2514</v>
      </c>
      <c r="HG31" s="1408" t="s">
        <v>3056</v>
      </c>
      <c r="HH31" s="1408" t="s">
        <v>2514</v>
      </c>
      <c r="HI31" s="1408" t="s">
        <v>6574</v>
      </c>
      <c r="HJ31" s="1408" t="s">
        <v>2514</v>
      </c>
      <c r="HK31" s="1408" t="s">
        <v>5778</v>
      </c>
      <c r="HL31" s="1408" t="s">
        <v>2514</v>
      </c>
      <c r="HM31" s="1408" t="s">
        <v>1111</v>
      </c>
      <c r="HN31" s="1408" t="s">
        <v>2514</v>
      </c>
      <c r="HO31" s="1408" t="s">
        <v>3404</v>
      </c>
      <c r="HP31" s="1408" t="s">
        <v>2514</v>
      </c>
      <c r="HQ31" s="1408" t="s">
        <v>5668</v>
      </c>
      <c r="HR31" s="1408" t="s">
        <v>2514</v>
      </c>
      <c r="HS31" s="1408" t="s">
        <v>5797</v>
      </c>
      <c r="HT31" s="1408" t="s">
        <v>2514</v>
      </c>
      <c r="HU31" s="1408" t="s">
        <v>4177</v>
      </c>
      <c r="HV31" s="1408" t="s">
        <v>2514</v>
      </c>
      <c r="HW31" s="1408" t="s">
        <v>4936</v>
      </c>
      <c r="HX31" s="1408" t="s">
        <v>2514</v>
      </c>
      <c r="HY31" s="1408" t="s">
        <v>6271</v>
      </c>
      <c r="HZ31" s="1408" t="s">
        <v>2514</v>
      </c>
      <c r="IA31" s="1408" t="s">
        <v>6186</v>
      </c>
      <c r="IB31" s="1408" t="s">
        <v>2514</v>
      </c>
      <c r="IC31" s="1408" t="s">
        <v>467</v>
      </c>
      <c r="ID31" s="1408" t="s">
        <v>2514</v>
      </c>
      <c r="IE31" s="1408" t="s">
        <v>109</v>
      </c>
      <c r="IF31" s="1408" t="s">
        <v>2514</v>
      </c>
      <c r="IG31" s="1408" t="s">
        <v>1476</v>
      </c>
      <c r="IH31" s="1408" t="s">
        <v>2514</v>
      </c>
      <c r="II31" s="1408" t="s">
        <v>5368</v>
      </c>
      <c r="IJ31" s="1408" t="s">
        <v>2514</v>
      </c>
      <c r="IK31" s="1408" t="s">
        <v>5782</v>
      </c>
      <c r="IL31" s="1408" t="s">
        <v>2514</v>
      </c>
      <c r="IM31" s="1408" t="s">
        <v>4033</v>
      </c>
      <c r="IN31" s="1408" t="s">
        <v>2514</v>
      </c>
      <c r="IO31" s="1408" t="s">
        <v>2903</v>
      </c>
      <c r="IP31" s="1408" t="s">
        <v>2514</v>
      </c>
      <c r="IQ31" s="1408" t="s">
        <v>35</v>
      </c>
      <c r="IR31" s="1408" t="s">
        <v>2514</v>
      </c>
      <c r="IS31" s="1408" t="s">
        <v>36</v>
      </c>
      <c r="IT31" s="1408" t="s">
        <v>2514</v>
      </c>
      <c r="IU31" s="1408" t="s">
        <v>5527</v>
      </c>
      <c r="IV31" s="1408" t="s">
        <v>2514</v>
      </c>
    </row>
    <row r="32" spans="1:256" s="1408" customFormat="1">
      <c r="A32" s="1408" t="s">
        <v>6538</v>
      </c>
      <c r="B32" s="1408" t="s">
        <v>2514</v>
      </c>
      <c r="C32" s="1408" t="s">
        <v>309</v>
      </c>
      <c r="D32" s="1408" t="s">
        <v>2514</v>
      </c>
      <c r="E32" s="1408" t="s">
        <v>4766</v>
      </c>
      <c r="F32" s="1408" t="s">
        <v>2514</v>
      </c>
      <c r="G32" s="1408" t="s">
        <v>4415</v>
      </c>
      <c r="H32" s="1408" t="s">
        <v>2514</v>
      </c>
      <c r="I32" s="1408" t="s">
        <v>4130</v>
      </c>
      <c r="J32" s="1408" t="s">
        <v>2514</v>
      </c>
      <c r="K32" s="1408" t="s">
        <v>4885</v>
      </c>
      <c r="L32" s="1408" t="s">
        <v>2514</v>
      </c>
      <c r="M32" s="1408" t="s">
        <v>3620</v>
      </c>
      <c r="N32" s="1408" t="s">
        <v>2514</v>
      </c>
      <c r="O32" s="1408" t="s">
        <v>2426</v>
      </c>
      <c r="P32" s="1408" t="s">
        <v>2514</v>
      </c>
      <c r="Q32" s="1408" t="s">
        <v>3918</v>
      </c>
      <c r="R32" s="1408" t="s">
        <v>2514</v>
      </c>
      <c r="S32" s="1408" t="s">
        <v>138</v>
      </c>
      <c r="T32" s="1408" t="s">
        <v>2514</v>
      </c>
      <c r="U32" s="1408" t="s">
        <v>6120</v>
      </c>
      <c r="V32" s="1408" t="s">
        <v>2514</v>
      </c>
      <c r="W32" s="1408" t="s">
        <v>1813</v>
      </c>
      <c r="X32" s="1408" t="s">
        <v>2514</v>
      </c>
      <c r="Y32" s="1408" t="s">
        <v>2166</v>
      </c>
      <c r="Z32" s="1408" t="s">
        <v>2514</v>
      </c>
      <c r="AA32" s="1408" t="s">
        <v>4922</v>
      </c>
      <c r="AB32" s="1408" t="s">
        <v>2514</v>
      </c>
      <c r="AC32" s="1408" t="s">
        <v>5418</v>
      </c>
      <c r="AD32" s="1408" t="s">
        <v>2514</v>
      </c>
      <c r="AE32" s="1408" t="s">
        <v>2725</v>
      </c>
      <c r="AF32" s="1408" t="s">
        <v>2514</v>
      </c>
      <c r="AG32" s="1408" t="s">
        <v>885</v>
      </c>
      <c r="AH32" s="1408" t="s">
        <v>2514</v>
      </c>
      <c r="AI32" s="1408" t="s">
        <v>3083</v>
      </c>
      <c r="AJ32" s="1408" t="s">
        <v>2514</v>
      </c>
      <c r="AK32" s="1408" t="s">
        <v>589</v>
      </c>
      <c r="AL32" s="1408" t="s">
        <v>2514</v>
      </c>
      <c r="AM32" s="1408" t="s">
        <v>1247</v>
      </c>
      <c r="AN32" s="1408" t="s">
        <v>2514</v>
      </c>
      <c r="AO32" s="1408" t="s">
        <v>2286</v>
      </c>
      <c r="AP32" s="1408" t="s">
        <v>2514</v>
      </c>
      <c r="AQ32" s="1408" t="s">
        <v>1776</v>
      </c>
      <c r="AR32" s="1408" t="s">
        <v>2514</v>
      </c>
      <c r="AS32" s="1408" t="s">
        <v>6934</v>
      </c>
      <c r="AT32" s="1408" t="s">
        <v>2514</v>
      </c>
      <c r="AU32" s="1408" t="s">
        <v>3283</v>
      </c>
      <c r="AV32" s="1408" t="s">
        <v>2514</v>
      </c>
      <c r="AW32" s="1408" t="s">
        <v>856</v>
      </c>
      <c r="AX32" s="1408" t="s">
        <v>2514</v>
      </c>
      <c r="AY32" s="1408" t="s">
        <v>2106</v>
      </c>
      <c r="AZ32" s="1408" t="s">
        <v>2514</v>
      </c>
      <c r="BA32" s="1408" t="s">
        <v>3172</v>
      </c>
      <c r="BB32" s="1408" t="s">
        <v>2514</v>
      </c>
      <c r="BC32" s="1408" t="s">
        <v>5071</v>
      </c>
      <c r="BD32" s="1408" t="s">
        <v>2514</v>
      </c>
      <c r="BE32" s="1408" t="s">
        <v>527</v>
      </c>
      <c r="BF32" s="1408" t="s">
        <v>2514</v>
      </c>
      <c r="BG32" s="1408" t="s">
        <v>210</v>
      </c>
      <c r="BH32" s="1408" t="s">
        <v>2514</v>
      </c>
      <c r="BI32" s="1408" t="s">
        <v>586</v>
      </c>
      <c r="BJ32" s="1408" t="s">
        <v>2514</v>
      </c>
      <c r="BK32" s="1408" t="s">
        <v>6018</v>
      </c>
      <c r="BL32" s="1408" t="s">
        <v>2514</v>
      </c>
      <c r="BM32" s="1408" t="s">
        <v>278</v>
      </c>
      <c r="BN32" s="1408" t="s">
        <v>2514</v>
      </c>
      <c r="BO32" s="1408" t="s">
        <v>61</v>
      </c>
      <c r="BP32" s="1408" t="s">
        <v>2514</v>
      </c>
      <c r="BQ32" s="1408" t="s">
        <v>526</v>
      </c>
      <c r="BR32" s="1408" t="s">
        <v>2514</v>
      </c>
      <c r="BS32" s="1408" t="s">
        <v>4521</v>
      </c>
      <c r="BT32" s="1408" t="s">
        <v>2514</v>
      </c>
      <c r="BU32" s="1408" t="s">
        <v>5393</v>
      </c>
      <c r="BV32" s="1408" t="s">
        <v>2514</v>
      </c>
      <c r="BW32" s="1408" t="s">
        <v>2955</v>
      </c>
      <c r="BX32" s="1408" t="s">
        <v>2514</v>
      </c>
      <c r="BY32" s="1408" t="s">
        <v>60</v>
      </c>
      <c r="BZ32" s="1408" t="s">
        <v>2514</v>
      </c>
      <c r="CA32" s="1408" t="s">
        <v>4663</v>
      </c>
      <c r="CB32" s="1408" t="s">
        <v>2514</v>
      </c>
      <c r="CC32" s="1408" t="s">
        <v>5018</v>
      </c>
      <c r="CD32" s="1408" t="s">
        <v>2514</v>
      </c>
      <c r="CE32" s="1408" t="s">
        <v>284</v>
      </c>
      <c r="CF32" s="1408" t="s">
        <v>2514</v>
      </c>
      <c r="CG32" s="1408" t="s">
        <v>5883</v>
      </c>
      <c r="CH32" s="1408" t="s">
        <v>2514</v>
      </c>
      <c r="CI32" s="1408" t="s">
        <v>2063</v>
      </c>
      <c r="CJ32" s="1408" t="s">
        <v>2514</v>
      </c>
      <c r="CK32" s="1408" t="s">
        <v>5430</v>
      </c>
      <c r="CL32" s="1408" t="s">
        <v>2514</v>
      </c>
      <c r="CM32" s="1408" t="s">
        <v>3207</v>
      </c>
      <c r="CN32" s="1408" t="s">
        <v>2514</v>
      </c>
      <c r="CO32" s="1408" t="s">
        <v>611</v>
      </c>
      <c r="CP32" s="1408" t="s">
        <v>2514</v>
      </c>
      <c r="CQ32" s="1408" t="s">
        <v>5292</v>
      </c>
      <c r="CR32" s="1408" t="s">
        <v>2514</v>
      </c>
      <c r="CS32" s="1408" t="s">
        <v>6426</v>
      </c>
      <c r="CT32" s="1408" t="s">
        <v>2514</v>
      </c>
      <c r="CU32" s="1408" t="s">
        <v>429</v>
      </c>
      <c r="CV32" s="1408" t="s">
        <v>2514</v>
      </c>
      <c r="CW32" s="1408" t="s">
        <v>1687</v>
      </c>
      <c r="CX32" s="1408" t="s">
        <v>2514</v>
      </c>
      <c r="CY32" s="1408" t="s">
        <v>1468</v>
      </c>
      <c r="CZ32" s="1408" t="s">
        <v>2514</v>
      </c>
      <c r="DA32" s="1408" t="s">
        <v>6606</v>
      </c>
      <c r="DB32" s="1408" t="s">
        <v>2514</v>
      </c>
      <c r="DC32" s="1408" t="s">
        <v>3618</v>
      </c>
      <c r="DD32" s="1408" t="s">
        <v>2514</v>
      </c>
      <c r="DE32" s="1408" t="s">
        <v>2811</v>
      </c>
      <c r="DF32" s="1408" t="s">
        <v>2514</v>
      </c>
      <c r="DG32" s="1408" t="s">
        <v>5798</v>
      </c>
      <c r="DH32" s="1408" t="s">
        <v>2514</v>
      </c>
      <c r="DI32" s="1408" t="s">
        <v>1093</v>
      </c>
      <c r="DJ32" s="1408" t="s">
        <v>2514</v>
      </c>
      <c r="DK32" s="1408" t="s">
        <v>3879</v>
      </c>
      <c r="DL32" s="1408" t="s">
        <v>2514</v>
      </c>
      <c r="DM32" s="1408" t="s">
        <v>6582</v>
      </c>
      <c r="DN32" s="1408" t="s">
        <v>2514</v>
      </c>
      <c r="DO32" s="1408" t="s">
        <v>4834</v>
      </c>
      <c r="DP32" s="1408" t="s">
        <v>2514</v>
      </c>
      <c r="DQ32" s="1408" t="s">
        <v>5496</v>
      </c>
      <c r="DR32" s="1408" t="s">
        <v>2514</v>
      </c>
      <c r="DS32" s="1408" t="s">
        <v>639</v>
      </c>
      <c r="DT32" s="1408" t="s">
        <v>2514</v>
      </c>
      <c r="DU32" s="1408" t="s">
        <v>1918</v>
      </c>
      <c r="DV32" s="1408" t="s">
        <v>2514</v>
      </c>
      <c r="DW32" s="1408" t="s">
        <v>2102</v>
      </c>
      <c r="DX32" s="1408" t="s">
        <v>2514</v>
      </c>
      <c r="DY32" s="1408" t="s">
        <v>3588</v>
      </c>
      <c r="DZ32" s="1408" t="s">
        <v>2514</v>
      </c>
      <c r="EA32" s="1408" t="s">
        <v>2150</v>
      </c>
      <c r="EB32" s="1408" t="s">
        <v>2514</v>
      </c>
      <c r="EC32" s="1408" t="s">
        <v>3478</v>
      </c>
      <c r="ED32" s="1408" t="s">
        <v>2514</v>
      </c>
      <c r="EE32" s="1408" t="s">
        <v>3660</v>
      </c>
      <c r="EF32" s="1408" t="s">
        <v>2514</v>
      </c>
      <c r="EG32" s="1408" t="s">
        <v>5060</v>
      </c>
      <c r="EH32" s="1408" t="s">
        <v>2514</v>
      </c>
      <c r="EI32" s="1408" t="s">
        <v>1911</v>
      </c>
      <c r="EJ32" s="1408" t="s">
        <v>2514</v>
      </c>
      <c r="EK32" s="1408" t="s">
        <v>683</v>
      </c>
      <c r="EL32" s="1408" t="s">
        <v>2514</v>
      </c>
      <c r="EM32" s="1408" t="s">
        <v>763</v>
      </c>
      <c r="EN32" s="1408" t="s">
        <v>2514</v>
      </c>
      <c r="EO32" s="1408" t="s">
        <v>1021</v>
      </c>
      <c r="EP32" s="1408" t="s">
        <v>2514</v>
      </c>
      <c r="EQ32" s="1408" t="s">
        <v>4997</v>
      </c>
      <c r="ER32" s="1408" t="s">
        <v>2514</v>
      </c>
      <c r="ES32" s="1408" t="s">
        <v>5309</v>
      </c>
      <c r="ET32" s="1408" t="s">
        <v>2514</v>
      </c>
      <c r="EU32" s="1408" t="s">
        <v>5714</v>
      </c>
      <c r="EV32" s="1408" t="s">
        <v>2514</v>
      </c>
      <c r="EW32" s="1408" t="s">
        <v>1025</v>
      </c>
      <c r="EX32" s="1408" t="s">
        <v>2514</v>
      </c>
      <c r="EY32" s="1408" t="s">
        <v>6476</v>
      </c>
      <c r="EZ32" s="1408" t="s">
        <v>2514</v>
      </c>
      <c r="FA32" s="1408" t="s">
        <v>2414</v>
      </c>
      <c r="FB32" s="1408" t="s">
        <v>2514</v>
      </c>
      <c r="FC32" s="1408" t="s">
        <v>5381</v>
      </c>
      <c r="FD32" s="1408" t="s">
        <v>2514</v>
      </c>
      <c r="FE32" s="1408" t="s">
        <v>3317</v>
      </c>
      <c r="FF32" s="1408" t="s">
        <v>2514</v>
      </c>
      <c r="FG32" s="1408" t="s">
        <v>1231</v>
      </c>
      <c r="FH32" s="1408" t="s">
        <v>2514</v>
      </c>
      <c r="FI32" s="1408" t="s">
        <v>6358</v>
      </c>
      <c r="FJ32" s="1408" t="s">
        <v>2514</v>
      </c>
      <c r="FK32" s="1408" t="s">
        <v>5758</v>
      </c>
      <c r="FL32" s="1408" t="s">
        <v>2514</v>
      </c>
      <c r="FM32" s="1408" t="s">
        <v>130</v>
      </c>
      <c r="FN32" s="1408" t="s">
        <v>2514</v>
      </c>
      <c r="FO32" s="1408" t="s">
        <v>428</v>
      </c>
      <c r="FP32" s="1408" t="s">
        <v>2514</v>
      </c>
      <c r="FQ32" s="1408" t="s">
        <v>1427</v>
      </c>
      <c r="FR32" s="1408" t="s">
        <v>2514</v>
      </c>
      <c r="FS32" s="1408" t="s">
        <v>2731</v>
      </c>
      <c r="FT32" s="1408" t="s">
        <v>2514</v>
      </c>
      <c r="FU32" s="1408" t="s">
        <v>4112</v>
      </c>
      <c r="FV32" s="1408" t="s">
        <v>2514</v>
      </c>
      <c r="FW32" s="1408" t="s">
        <v>3609</v>
      </c>
      <c r="FX32" s="1408" t="s">
        <v>2514</v>
      </c>
      <c r="FY32" s="1408" t="s">
        <v>2466</v>
      </c>
      <c r="FZ32" s="1408" t="s">
        <v>2514</v>
      </c>
      <c r="GA32" s="1408" t="s">
        <v>3363</v>
      </c>
      <c r="GB32" s="1408" t="s">
        <v>2514</v>
      </c>
      <c r="GC32" s="1408" t="s">
        <v>1902</v>
      </c>
      <c r="GD32" s="1408" t="s">
        <v>2514</v>
      </c>
      <c r="GE32" s="1408" t="s">
        <v>1915</v>
      </c>
      <c r="GF32" s="1408" t="s">
        <v>2514</v>
      </c>
      <c r="GG32" s="1408" t="s">
        <v>2603</v>
      </c>
      <c r="GH32" s="1408" t="s">
        <v>2514</v>
      </c>
      <c r="GI32" s="1408" t="s">
        <v>3718</v>
      </c>
      <c r="GJ32" s="1408" t="s">
        <v>2514</v>
      </c>
      <c r="GK32" s="1408" t="s">
        <v>3622</v>
      </c>
      <c r="GL32" s="1408" t="s">
        <v>2514</v>
      </c>
      <c r="GM32" s="1408" t="s">
        <v>2104</v>
      </c>
      <c r="GN32" s="1408" t="s">
        <v>2514</v>
      </c>
      <c r="GO32" s="1408" t="s">
        <v>1546</v>
      </c>
      <c r="GP32" s="1408" t="s">
        <v>2514</v>
      </c>
      <c r="GQ32" s="1408" t="s">
        <v>796</v>
      </c>
      <c r="GR32" s="1408" t="s">
        <v>2514</v>
      </c>
      <c r="GS32" s="1408" t="s">
        <v>2210</v>
      </c>
      <c r="GT32" s="1408" t="s">
        <v>2514</v>
      </c>
      <c r="GU32" s="1408" t="s">
        <v>4814</v>
      </c>
      <c r="GV32" s="1408" t="s">
        <v>2514</v>
      </c>
      <c r="GW32" s="1408" t="s">
        <v>4482</v>
      </c>
      <c r="GX32" s="1408" t="s">
        <v>2514</v>
      </c>
      <c r="GY32" s="1408" t="s">
        <v>4827</v>
      </c>
      <c r="GZ32" s="1408" t="s">
        <v>2514</v>
      </c>
      <c r="HA32" s="1408" t="s">
        <v>4026</v>
      </c>
      <c r="HB32" s="1408" t="s">
        <v>2514</v>
      </c>
      <c r="HC32" s="1408" t="s">
        <v>1984</v>
      </c>
      <c r="HD32" s="1408" t="s">
        <v>2514</v>
      </c>
      <c r="HE32" s="1408" t="s">
        <v>1674</v>
      </c>
      <c r="HF32" s="1408" t="s">
        <v>2514</v>
      </c>
      <c r="HG32" s="1408" t="s">
        <v>6181</v>
      </c>
      <c r="HH32" s="1408" t="s">
        <v>2514</v>
      </c>
      <c r="HI32" s="1408" t="s">
        <v>3424</v>
      </c>
      <c r="HJ32" s="1408" t="s">
        <v>2514</v>
      </c>
      <c r="HK32" s="1408" t="s">
        <v>3169</v>
      </c>
      <c r="HL32" s="1408" t="s">
        <v>2514</v>
      </c>
      <c r="HM32" s="1408" t="s">
        <v>5807</v>
      </c>
      <c r="HN32" s="1408" t="s">
        <v>2514</v>
      </c>
      <c r="HO32" s="1408" t="s">
        <v>4550</v>
      </c>
      <c r="HP32" s="1408" t="s">
        <v>2514</v>
      </c>
      <c r="HQ32" s="1408" t="s">
        <v>4431</v>
      </c>
      <c r="HR32" s="1408" t="s">
        <v>2514</v>
      </c>
      <c r="HS32" s="1408" t="s">
        <v>2408</v>
      </c>
      <c r="HT32" s="1408" t="s">
        <v>2514</v>
      </c>
      <c r="HU32" s="1408" t="s">
        <v>5038</v>
      </c>
      <c r="HV32" s="1408" t="s">
        <v>2514</v>
      </c>
      <c r="HW32" s="1408" t="s">
        <v>6500</v>
      </c>
      <c r="HX32" s="1408" t="s">
        <v>2514</v>
      </c>
      <c r="HY32" s="1408" t="s">
        <v>2946</v>
      </c>
      <c r="HZ32" s="1408" t="s">
        <v>2514</v>
      </c>
      <c r="IA32" s="1408" t="s">
        <v>300</v>
      </c>
      <c r="IB32" s="1408" t="s">
        <v>2514</v>
      </c>
      <c r="IC32" s="1408" t="s">
        <v>965</v>
      </c>
      <c r="ID32" s="1408" t="s">
        <v>2514</v>
      </c>
      <c r="IE32" s="1408" t="s">
        <v>6006</v>
      </c>
      <c r="IF32" s="1408" t="s">
        <v>2514</v>
      </c>
      <c r="IG32" s="1408" t="s">
        <v>6600</v>
      </c>
      <c r="IH32" s="1408" t="s">
        <v>2514</v>
      </c>
      <c r="II32" s="1408" t="s">
        <v>645</v>
      </c>
      <c r="IJ32" s="1408" t="s">
        <v>2514</v>
      </c>
      <c r="IK32" s="1408" t="s">
        <v>26</v>
      </c>
      <c r="IL32" s="1408" t="s">
        <v>2514</v>
      </c>
      <c r="IM32" s="1408" t="s">
        <v>4807</v>
      </c>
      <c r="IN32" s="1408" t="s">
        <v>2514</v>
      </c>
      <c r="IO32" s="1408" t="s">
        <v>6847</v>
      </c>
      <c r="IP32" s="1408" t="s">
        <v>2514</v>
      </c>
      <c r="IQ32" s="1408" t="s">
        <v>3224</v>
      </c>
      <c r="IR32" s="1408" t="s">
        <v>2514</v>
      </c>
      <c r="IS32" s="1408" t="s">
        <v>2772</v>
      </c>
      <c r="IT32" s="1408" t="s">
        <v>2514</v>
      </c>
      <c r="IU32" s="1408" t="s">
        <v>232</v>
      </c>
      <c r="IV32" s="1408" t="s">
        <v>2514</v>
      </c>
    </row>
    <row r="33" spans="1:256" s="1408" customFormat="1">
      <c r="A33" s="1408" t="s">
        <v>4505</v>
      </c>
      <c r="B33" s="1408" t="s">
        <v>2514</v>
      </c>
      <c r="C33" s="1408" t="s">
        <v>4181</v>
      </c>
      <c r="D33" s="1408" t="s">
        <v>2514</v>
      </c>
      <c r="E33" s="1408" t="s">
        <v>2035</v>
      </c>
      <c r="F33" s="1408" t="s">
        <v>2514</v>
      </c>
      <c r="G33" s="1408" t="s">
        <v>1398</v>
      </c>
      <c r="H33" s="1408" t="s">
        <v>2514</v>
      </c>
      <c r="I33" s="1408" t="s">
        <v>5021</v>
      </c>
      <c r="J33" s="1408" t="s">
        <v>2514</v>
      </c>
      <c r="K33" s="1408" t="s">
        <v>4886</v>
      </c>
      <c r="L33" s="1408" t="s">
        <v>2514</v>
      </c>
      <c r="M33" s="1408" t="s">
        <v>5602</v>
      </c>
      <c r="N33" s="1408" t="s">
        <v>2514</v>
      </c>
      <c r="O33" s="1408" t="s">
        <v>430</v>
      </c>
      <c r="P33" s="1408" t="s">
        <v>2514</v>
      </c>
      <c r="Q33" s="1408" t="s">
        <v>1234</v>
      </c>
      <c r="R33" s="1408" t="s">
        <v>2514</v>
      </c>
      <c r="S33" s="1408" t="s">
        <v>4651</v>
      </c>
      <c r="T33" s="1408" t="s">
        <v>2514</v>
      </c>
      <c r="U33" s="1408" t="s">
        <v>2828</v>
      </c>
      <c r="V33" s="1408" t="s">
        <v>2514</v>
      </c>
      <c r="W33" s="1408" t="s">
        <v>15</v>
      </c>
      <c r="X33" s="1408" t="s">
        <v>2514</v>
      </c>
      <c r="Y33" s="1408" t="s">
        <v>6171</v>
      </c>
      <c r="Z33" s="1408" t="s">
        <v>2514</v>
      </c>
      <c r="AA33" s="1408" t="s">
        <v>2628</v>
      </c>
      <c r="AB33" s="1408" t="s">
        <v>2514</v>
      </c>
      <c r="AC33" s="1408" t="s">
        <v>3327</v>
      </c>
      <c r="AD33" s="1408" t="s">
        <v>2514</v>
      </c>
      <c r="AE33" s="1408" t="s">
        <v>3116</v>
      </c>
      <c r="AF33" s="1408" t="s">
        <v>2514</v>
      </c>
      <c r="AG33" s="1408" t="s">
        <v>4193</v>
      </c>
      <c r="AH33" s="1408" t="s">
        <v>2514</v>
      </c>
      <c r="AI33" s="1408" t="s">
        <v>2206</v>
      </c>
      <c r="AJ33" s="1408" t="s">
        <v>2514</v>
      </c>
      <c r="AK33" s="1408" t="s">
        <v>6403</v>
      </c>
      <c r="AL33" s="1408" t="s">
        <v>2514</v>
      </c>
      <c r="AM33" s="1408" t="s">
        <v>4111</v>
      </c>
      <c r="AN33" s="1408" t="s">
        <v>2514</v>
      </c>
      <c r="AO33" s="1408" t="s">
        <v>3641</v>
      </c>
      <c r="AP33" s="1408" t="s">
        <v>2514</v>
      </c>
      <c r="AQ33" s="1408" t="s">
        <v>5607</v>
      </c>
      <c r="AR33" s="1408" t="s">
        <v>2514</v>
      </c>
      <c r="AS33" s="1408" t="s">
        <v>5831</v>
      </c>
      <c r="AT33" s="1408" t="s">
        <v>2514</v>
      </c>
      <c r="AU33" s="1408" t="s">
        <v>1966</v>
      </c>
      <c r="AV33" s="1408" t="s">
        <v>2514</v>
      </c>
      <c r="AW33" s="1408" t="s">
        <v>4394</v>
      </c>
      <c r="AX33" s="1408" t="s">
        <v>2514</v>
      </c>
      <c r="AY33" s="1408" t="s">
        <v>5522</v>
      </c>
      <c r="AZ33" s="1408" t="s">
        <v>2514</v>
      </c>
      <c r="BA33" s="1408" t="s">
        <v>673</v>
      </c>
      <c r="BB33" s="1408" t="s">
        <v>2514</v>
      </c>
      <c r="BC33" s="1408" t="s">
        <v>3600</v>
      </c>
      <c r="BD33" s="1408" t="s">
        <v>2514</v>
      </c>
      <c r="BE33" s="1408" t="s">
        <v>3558</v>
      </c>
      <c r="BF33" s="1408" t="s">
        <v>2514</v>
      </c>
      <c r="BG33" s="1408" t="s">
        <v>6471</v>
      </c>
      <c r="BH33" s="1408" t="s">
        <v>2514</v>
      </c>
      <c r="BI33" s="1408" t="s">
        <v>2948</v>
      </c>
      <c r="BJ33" s="1408" t="s">
        <v>2514</v>
      </c>
      <c r="BK33" s="1408" t="s">
        <v>511</v>
      </c>
      <c r="BL33" s="1408" t="s">
        <v>2514</v>
      </c>
      <c r="BM33" s="1408" t="s">
        <v>2045</v>
      </c>
      <c r="BN33" s="1408" t="s">
        <v>2514</v>
      </c>
      <c r="BO33" s="1408" t="s">
        <v>4503</v>
      </c>
      <c r="BP33" s="1408" t="s">
        <v>2514</v>
      </c>
      <c r="BQ33" s="1408" t="s">
        <v>391</v>
      </c>
      <c r="BR33" s="1408" t="s">
        <v>2514</v>
      </c>
      <c r="BS33" s="1408" t="s">
        <v>1020</v>
      </c>
      <c r="BT33" s="1408" t="s">
        <v>2514</v>
      </c>
      <c r="BU33" s="1408" t="s">
        <v>3591</v>
      </c>
      <c r="BV33" s="1408" t="s">
        <v>2514</v>
      </c>
      <c r="BW33" s="1408" t="s">
        <v>3292</v>
      </c>
      <c r="BX33" s="1408" t="s">
        <v>2514</v>
      </c>
      <c r="BY33" s="1408" t="s">
        <v>2786</v>
      </c>
      <c r="BZ33" s="1408" t="s">
        <v>2514</v>
      </c>
      <c r="CA33" s="1408" t="s">
        <v>6396</v>
      </c>
      <c r="CB33" s="1408" t="s">
        <v>2514</v>
      </c>
      <c r="CC33" s="1408" t="s">
        <v>2598</v>
      </c>
      <c r="CD33" s="1408" t="s">
        <v>2514</v>
      </c>
      <c r="CE33" s="1408" t="s">
        <v>4406</v>
      </c>
      <c r="CF33" s="1408" t="s">
        <v>2514</v>
      </c>
      <c r="CG33" s="1408" t="s">
        <v>3882</v>
      </c>
      <c r="CH33" s="1408" t="s">
        <v>2514</v>
      </c>
      <c r="CI33" s="1408" t="s">
        <v>1214</v>
      </c>
      <c r="CJ33" s="1408" t="s">
        <v>2514</v>
      </c>
      <c r="CK33" s="1408" t="s">
        <v>2155</v>
      </c>
      <c r="CL33" s="1408" t="s">
        <v>2514</v>
      </c>
      <c r="CM33" s="1408" t="s">
        <v>5229</v>
      </c>
      <c r="CN33" s="1408" t="s">
        <v>2514</v>
      </c>
      <c r="CO33" s="1408" t="s">
        <v>2777</v>
      </c>
      <c r="CP33" s="1408" t="s">
        <v>2514</v>
      </c>
      <c r="CQ33" s="1408" t="s">
        <v>325</v>
      </c>
      <c r="CR33" s="1408" t="s">
        <v>2514</v>
      </c>
      <c r="CS33" s="1408" t="s">
        <v>2713</v>
      </c>
      <c r="CT33" s="1408" t="s">
        <v>2514</v>
      </c>
      <c r="CU33" s="1408" t="s">
        <v>6641</v>
      </c>
      <c r="CV33" s="1408" t="s">
        <v>2514</v>
      </c>
      <c r="CW33" s="1408" t="s">
        <v>760</v>
      </c>
      <c r="CX33" s="1408" t="s">
        <v>2514</v>
      </c>
      <c r="CY33" s="1408" t="s">
        <v>6484</v>
      </c>
      <c r="CZ33" s="1408" t="s">
        <v>2514</v>
      </c>
      <c r="DA33" s="1408" t="s">
        <v>1747</v>
      </c>
      <c r="DB33" s="1408" t="s">
        <v>2514</v>
      </c>
      <c r="DC33" s="1408" t="s">
        <v>1989</v>
      </c>
      <c r="DD33" s="1408" t="s">
        <v>2514</v>
      </c>
      <c r="DE33" s="1408" t="s">
        <v>1271</v>
      </c>
      <c r="DF33" s="1408" t="s">
        <v>2514</v>
      </c>
      <c r="DG33" s="1408" t="s">
        <v>139</v>
      </c>
      <c r="DH33" s="1408" t="s">
        <v>2514</v>
      </c>
      <c r="DI33" s="1408" t="s">
        <v>2558</v>
      </c>
      <c r="DJ33" s="1408" t="s">
        <v>2514</v>
      </c>
      <c r="DK33" s="1408" t="s">
        <v>2960</v>
      </c>
      <c r="DL33" s="1408" t="s">
        <v>2514</v>
      </c>
      <c r="DM33" s="1408" t="s">
        <v>2008</v>
      </c>
      <c r="DN33" s="1408" t="s">
        <v>2514</v>
      </c>
      <c r="DO33" s="1408" t="s">
        <v>2207</v>
      </c>
      <c r="DP33" s="1408" t="s">
        <v>2514</v>
      </c>
      <c r="DQ33" s="1408" t="s">
        <v>5785</v>
      </c>
      <c r="DR33" s="1408" t="s">
        <v>2514</v>
      </c>
      <c r="DS33" s="1408" t="s">
        <v>1769</v>
      </c>
      <c r="DT33" s="1408" t="s">
        <v>2514</v>
      </c>
      <c r="DU33" s="1408" t="s">
        <v>5854</v>
      </c>
      <c r="DV33" s="1408" t="s">
        <v>2514</v>
      </c>
      <c r="DW33" s="1408" t="s">
        <v>4338</v>
      </c>
      <c r="DX33" s="1408" t="s">
        <v>2514</v>
      </c>
      <c r="DY33" s="1408" t="s">
        <v>4773</v>
      </c>
      <c r="DZ33" s="1408" t="s">
        <v>2514</v>
      </c>
      <c r="EA33" s="1408" t="s">
        <v>171</v>
      </c>
      <c r="EB33" s="1408" t="s">
        <v>2514</v>
      </c>
      <c r="EC33" s="1408" t="s">
        <v>961</v>
      </c>
      <c r="ED33" s="1408" t="s">
        <v>2514</v>
      </c>
      <c r="EE33" s="1408" t="s">
        <v>5780</v>
      </c>
      <c r="EF33" s="1408" t="s">
        <v>2514</v>
      </c>
      <c r="EG33" s="1408" t="s">
        <v>2626</v>
      </c>
      <c r="EH33" s="1408" t="s">
        <v>2514</v>
      </c>
      <c r="EI33" s="1408" t="s">
        <v>2758</v>
      </c>
      <c r="EJ33" s="1408" t="s">
        <v>2514</v>
      </c>
      <c r="EK33" s="1408" t="s">
        <v>5195</v>
      </c>
      <c r="EL33" s="1408" t="s">
        <v>2514</v>
      </c>
      <c r="EM33" s="1408" t="s">
        <v>6112</v>
      </c>
      <c r="EN33" s="1408" t="s">
        <v>2514</v>
      </c>
      <c r="EO33" s="1408" t="s">
        <v>3451</v>
      </c>
      <c r="EP33" s="1408" t="s">
        <v>2514</v>
      </c>
      <c r="EQ33" s="1408" t="s">
        <v>3029</v>
      </c>
      <c r="ER33" s="1408" t="s">
        <v>2514</v>
      </c>
      <c r="ES33" s="1408" t="s">
        <v>3643</v>
      </c>
      <c r="ET33" s="1408" t="s">
        <v>2514</v>
      </c>
      <c r="EU33" s="1408" t="s">
        <v>6655</v>
      </c>
      <c r="EV33" s="1408" t="s">
        <v>2514</v>
      </c>
      <c r="EW33" s="1408" t="s">
        <v>6943</v>
      </c>
      <c r="EX33" s="1408" t="s">
        <v>2514</v>
      </c>
      <c r="EY33" s="1408" t="s">
        <v>3962</v>
      </c>
      <c r="EZ33" s="1408" t="s">
        <v>2514</v>
      </c>
      <c r="FA33" s="1408" t="s">
        <v>3737</v>
      </c>
      <c r="FB33" s="1408" t="s">
        <v>2514</v>
      </c>
      <c r="FC33" s="1408" t="s">
        <v>5022</v>
      </c>
      <c r="FD33" s="1408" t="s">
        <v>2514</v>
      </c>
      <c r="FE33" s="1408" t="s">
        <v>1023</v>
      </c>
      <c r="FF33" s="1408" t="s">
        <v>2514</v>
      </c>
      <c r="FG33" s="1408" t="s">
        <v>1905</v>
      </c>
      <c r="FH33" s="1408" t="s">
        <v>2514</v>
      </c>
      <c r="FI33" s="1408" t="s">
        <v>5395</v>
      </c>
      <c r="FJ33" s="1408" t="s">
        <v>2514</v>
      </c>
      <c r="FK33" s="1408" t="s">
        <v>1061</v>
      </c>
      <c r="FL33" s="1408" t="s">
        <v>2514</v>
      </c>
      <c r="FM33" s="1408" t="s">
        <v>446</v>
      </c>
      <c r="FN33" s="1408" t="s">
        <v>2514</v>
      </c>
      <c r="FO33" s="1408" t="s">
        <v>4614</v>
      </c>
      <c r="FP33" s="1408" t="s">
        <v>2514</v>
      </c>
      <c r="FQ33" s="1408" t="s">
        <v>5306</v>
      </c>
      <c r="FR33" s="1408" t="s">
        <v>2514</v>
      </c>
      <c r="FS33" s="1408" t="s">
        <v>843</v>
      </c>
      <c r="FT33" s="1408" t="s">
        <v>2514</v>
      </c>
      <c r="FU33" s="1408" t="s">
        <v>195</v>
      </c>
      <c r="FV33" s="1408" t="s">
        <v>2514</v>
      </c>
      <c r="FW33" s="1408" t="s">
        <v>6767</v>
      </c>
      <c r="FX33" s="1408" t="s">
        <v>2514</v>
      </c>
      <c r="FY33" s="1408" t="s">
        <v>4720</v>
      </c>
      <c r="FZ33" s="1408" t="s">
        <v>2514</v>
      </c>
      <c r="GA33" s="1408" t="s">
        <v>1499</v>
      </c>
      <c r="GB33" s="1408" t="s">
        <v>2514</v>
      </c>
      <c r="GC33" s="1408" t="s">
        <v>270</v>
      </c>
      <c r="GD33" s="1408" t="s">
        <v>2514</v>
      </c>
      <c r="GE33" s="1408" t="s">
        <v>2877</v>
      </c>
      <c r="GF33" s="1408" t="s">
        <v>2514</v>
      </c>
      <c r="GG33" s="1408" t="s">
        <v>1331</v>
      </c>
      <c r="GH33" s="1408" t="s">
        <v>2514</v>
      </c>
      <c r="GI33" s="1408" t="s">
        <v>4554</v>
      </c>
      <c r="GJ33" s="1408" t="s">
        <v>2514</v>
      </c>
      <c r="GK33" s="1408" t="s">
        <v>5511</v>
      </c>
      <c r="GL33" s="1408" t="s">
        <v>2514</v>
      </c>
      <c r="GM33" s="1408" t="s">
        <v>2681</v>
      </c>
      <c r="GN33" s="1408" t="s">
        <v>2514</v>
      </c>
      <c r="GO33" s="1408" t="s">
        <v>1770</v>
      </c>
      <c r="GP33" s="1408" t="s">
        <v>2514</v>
      </c>
      <c r="GQ33" s="1408" t="s">
        <v>4526</v>
      </c>
      <c r="GR33" s="1408" t="s">
        <v>2514</v>
      </c>
      <c r="GS33" s="1408" t="s">
        <v>186</v>
      </c>
      <c r="GT33" s="1408" t="s">
        <v>2514</v>
      </c>
      <c r="GU33" s="1408" t="s">
        <v>1274</v>
      </c>
      <c r="GV33" s="1408" t="s">
        <v>2514</v>
      </c>
      <c r="GW33" s="1408" t="s">
        <v>1853</v>
      </c>
      <c r="GX33" s="1408" t="s">
        <v>2514</v>
      </c>
      <c r="GY33" s="1408" t="s">
        <v>1426</v>
      </c>
      <c r="GZ33" s="1408" t="s">
        <v>2514</v>
      </c>
      <c r="HA33" s="1408" t="s">
        <v>5366</v>
      </c>
      <c r="HB33" s="1408" t="s">
        <v>2514</v>
      </c>
      <c r="HC33" s="1408" t="s">
        <v>1887</v>
      </c>
      <c r="HD33" s="1408" t="s">
        <v>2514</v>
      </c>
      <c r="HE33" s="1408" t="s">
        <v>5041</v>
      </c>
      <c r="HF33" s="1408" t="s">
        <v>2514</v>
      </c>
      <c r="HG33" s="1408" t="s">
        <v>4923</v>
      </c>
      <c r="HH33" s="1408" t="s">
        <v>2514</v>
      </c>
      <c r="HI33" s="1408" t="s">
        <v>6717</v>
      </c>
      <c r="HJ33" s="1408" t="s">
        <v>2514</v>
      </c>
      <c r="HK33" s="1408" t="s">
        <v>6097</v>
      </c>
      <c r="HL33" s="1408" t="s">
        <v>2514</v>
      </c>
      <c r="HM33" s="1408" t="s">
        <v>2128</v>
      </c>
      <c r="HN33" s="1408" t="s">
        <v>2514</v>
      </c>
      <c r="HO33" s="1408" t="s">
        <v>2065</v>
      </c>
      <c r="HP33" s="1408" t="s">
        <v>2514</v>
      </c>
      <c r="HQ33" s="1408" t="s">
        <v>6412</v>
      </c>
      <c r="HR33" s="1408" t="s">
        <v>2514</v>
      </c>
      <c r="HS33" s="1408" t="s">
        <v>4289</v>
      </c>
      <c r="HT33" s="1408" t="s">
        <v>2514</v>
      </c>
      <c r="HU33" s="1408" t="s">
        <v>2656</v>
      </c>
      <c r="HV33" s="1408" t="s">
        <v>2514</v>
      </c>
      <c r="HW33" s="1408" t="s">
        <v>6388</v>
      </c>
      <c r="HX33" s="1408" t="s">
        <v>2514</v>
      </c>
      <c r="HY33" s="1408" t="s">
        <v>4799</v>
      </c>
      <c r="HZ33" s="1408" t="s">
        <v>2514</v>
      </c>
      <c r="IA33" s="1408" t="s">
        <v>1698</v>
      </c>
      <c r="IB33" s="1408" t="s">
        <v>2514</v>
      </c>
      <c r="IC33" s="1408" t="s">
        <v>1672</v>
      </c>
      <c r="ID33" s="1408" t="s">
        <v>2514</v>
      </c>
      <c r="IE33" s="1408" t="s">
        <v>3760</v>
      </c>
      <c r="IF33" s="1408" t="s">
        <v>2514</v>
      </c>
      <c r="IG33" s="1408" t="s">
        <v>1917</v>
      </c>
      <c r="IH33" s="1408" t="s">
        <v>2514</v>
      </c>
      <c r="II33" s="1408" t="s">
        <v>874</v>
      </c>
      <c r="IJ33" s="1408" t="s">
        <v>2514</v>
      </c>
      <c r="IK33" s="1408" t="s">
        <v>1138</v>
      </c>
      <c r="IL33" s="1408" t="s">
        <v>2514</v>
      </c>
      <c r="IM33" s="1408" t="s">
        <v>5876</v>
      </c>
      <c r="IN33" s="1408" t="s">
        <v>2514</v>
      </c>
      <c r="IO33" s="1408" t="s">
        <v>198</v>
      </c>
      <c r="IP33" s="1408" t="s">
        <v>2514</v>
      </c>
      <c r="IQ33" s="1408" t="s">
        <v>4313</v>
      </c>
      <c r="IR33" s="1408" t="s">
        <v>2514</v>
      </c>
      <c r="IS33" s="1408" t="s">
        <v>2126</v>
      </c>
      <c r="IT33" s="1408" t="s">
        <v>2514</v>
      </c>
      <c r="IU33" s="1408" t="s">
        <v>5808</v>
      </c>
      <c r="IV33" s="1408" t="s">
        <v>2514</v>
      </c>
    </row>
    <row r="34" spans="1:256" s="1408" customFormat="1">
      <c r="A34" s="1408" t="s">
        <v>6657</v>
      </c>
      <c r="B34" s="1408" t="s">
        <v>2514</v>
      </c>
      <c r="C34" s="1408" t="s">
        <v>268</v>
      </c>
      <c r="D34" s="1408" t="s">
        <v>2514</v>
      </c>
      <c r="E34" s="1408" t="s">
        <v>2188</v>
      </c>
      <c r="F34" s="1408" t="s">
        <v>2514</v>
      </c>
      <c r="G34" s="1408" t="s">
        <v>3303</v>
      </c>
      <c r="H34" s="1408" t="s">
        <v>2514</v>
      </c>
      <c r="I34" s="1408" t="s">
        <v>209</v>
      </c>
      <c r="J34" s="1408" t="s">
        <v>2514</v>
      </c>
      <c r="K34" s="1408" t="s">
        <v>5314</v>
      </c>
      <c r="L34" s="1408" t="s">
        <v>2514</v>
      </c>
      <c r="M34" s="1408" t="s">
        <v>4282</v>
      </c>
      <c r="N34" s="1408" t="s">
        <v>2514</v>
      </c>
      <c r="O34" s="1408" t="s">
        <v>2430</v>
      </c>
      <c r="P34" s="1408" t="s">
        <v>2514</v>
      </c>
      <c r="Q34" s="1408" t="s">
        <v>1073</v>
      </c>
      <c r="R34" s="1408" t="s">
        <v>2514</v>
      </c>
      <c r="S34" s="1408" t="s">
        <v>3876</v>
      </c>
      <c r="T34" s="1408" t="s">
        <v>2514</v>
      </c>
      <c r="U34" s="1408" t="s">
        <v>1544</v>
      </c>
      <c r="V34" s="1408" t="s">
        <v>2514</v>
      </c>
      <c r="W34" s="1408" t="s">
        <v>1130</v>
      </c>
      <c r="X34" s="1408" t="s">
        <v>2514</v>
      </c>
      <c r="Y34" s="1408" t="s">
        <v>29</v>
      </c>
      <c r="Z34" s="1408" t="s">
        <v>2514</v>
      </c>
      <c r="AA34" s="1408" t="s">
        <v>2250</v>
      </c>
      <c r="AB34" s="1408" t="s">
        <v>2514</v>
      </c>
      <c r="AC34" s="1408" t="s">
        <v>4402</v>
      </c>
      <c r="AD34" s="1408" t="s">
        <v>2514</v>
      </c>
      <c r="AE34" s="1408" t="s">
        <v>5464</v>
      </c>
      <c r="AF34" s="1408" t="s">
        <v>2514</v>
      </c>
      <c r="AG34" s="1408" t="s">
        <v>6461</v>
      </c>
      <c r="AH34" s="1408" t="s">
        <v>2514</v>
      </c>
      <c r="AI34" s="1408" t="s">
        <v>3630</v>
      </c>
      <c r="AJ34" s="1408" t="s">
        <v>2514</v>
      </c>
      <c r="AK34" s="1408" t="s">
        <v>128</v>
      </c>
      <c r="AL34" s="1408" t="s">
        <v>2514</v>
      </c>
      <c r="AM34" s="1408" t="s">
        <v>292</v>
      </c>
      <c r="AN34" s="1408" t="s">
        <v>2514</v>
      </c>
      <c r="AO34" s="1408" t="s">
        <v>488</v>
      </c>
      <c r="AP34" s="1408" t="s">
        <v>2514</v>
      </c>
      <c r="AQ34" s="1408" t="s">
        <v>5779</v>
      </c>
      <c r="AR34" s="1408" t="s">
        <v>2514</v>
      </c>
      <c r="AS34" s="1408" t="s">
        <v>4495</v>
      </c>
      <c r="AT34" s="1408" t="s">
        <v>2514</v>
      </c>
      <c r="AU34" s="1408" t="s">
        <v>542</v>
      </c>
      <c r="AV34" s="1408" t="s">
        <v>2514</v>
      </c>
      <c r="AW34" s="1408" t="s">
        <v>65</v>
      </c>
      <c r="AX34" s="1408" t="s">
        <v>2514</v>
      </c>
      <c r="AY34" s="1408" t="s">
        <v>2916</v>
      </c>
      <c r="AZ34" s="1408" t="s">
        <v>2514</v>
      </c>
      <c r="BA34" s="1408" t="s">
        <v>3058</v>
      </c>
      <c r="BB34" s="1408" t="s">
        <v>2514</v>
      </c>
      <c r="BC34" s="1408" t="s">
        <v>4995</v>
      </c>
      <c r="BD34" s="1408" t="s">
        <v>2514</v>
      </c>
      <c r="BE34" s="1408" t="s">
        <v>1334</v>
      </c>
      <c r="BF34" s="1408" t="s">
        <v>2514</v>
      </c>
      <c r="BG34" s="1408" t="s">
        <v>6322</v>
      </c>
      <c r="BH34" s="1408" t="s">
        <v>2514</v>
      </c>
      <c r="BI34" s="1408" t="s">
        <v>793</v>
      </c>
      <c r="BJ34" s="1408" t="s">
        <v>2514</v>
      </c>
      <c r="BK34" s="1408" t="s">
        <v>2455</v>
      </c>
      <c r="BL34" s="1408" t="s">
        <v>2514</v>
      </c>
      <c r="BM34" s="1408" t="s">
        <v>779</v>
      </c>
      <c r="BN34" s="1408" t="s">
        <v>2514</v>
      </c>
      <c r="BO34" s="1408" t="s">
        <v>1388</v>
      </c>
      <c r="BP34" s="1408" t="s">
        <v>2514</v>
      </c>
      <c r="BQ34" s="1408" t="s">
        <v>3865</v>
      </c>
      <c r="BR34" s="1408" t="s">
        <v>2514</v>
      </c>
      <c r="BS34" s="1408" t="s">
        <v>3164</v>
      </c>
      <c r="BT34" s="1408" t="s">
        <v>2514</v>
      </c>
      <c r="BU34" s="1408" t="s">
        <v>1661</v>
      </c>
      <c r="BV34" s="1408" t="s">
        <v>2514</v>
      </c>
      <c r="BW34" s="1408" t="s">
        <v>5955</v>
      </c>
      <c r="BX34" s="1408" t="s">
        <v>2514</v>
      </c>
      <c r="BY34" s="1408" t="s">
        <v>3771</v>
      </c>
      <c r="BZ34" s="1408" t="s">
        <v>2514</v>
      </c>
      <c r="CA34" s="1408" t="s">
        <v>6418</v>
      </c>
      <c r="CB34" s="1408" t="s">
        <v>2514</v>
      </c>
      <c r="CC34" s="1408" t="s">
        <v>4105</v>
      </c>
      <c r="CD34" s="1408" t="s">
        <v>2514</v>
      </c>
      <c r="CE34" s="1408" t="s">
        <v>3671</v>
      </c>
      <c r="CF34" s="1408" t="s">
        <v>2514</v>
      </c>
      <c r="CG34" s="1408" t="s">
        <v>3075</v>
      </c>
      <c r="CH34" s="1408" t="s">
        <v>2514</v>
      </c>
      <c r="CI34" s="1408" t="s">
        <v>6848</v>
      </c>
      <c r="CJ34" s="1408" t="s">
        <v>2514</v>
      </c>
      <c r="CK34" s="1408" t="s">
        <v>944</v>
      </c>
      <c r="CL34" s="1408" t="s">
        <v>2514</v>
      </c>
      <c r="CM34" s="1408" t="s">
        <v>2069</v>
      </c>
      <c r="CN34" s="1408" t="s">
        <v>2514</v>
      </c>
      <c r="CO34" s="1408" t="s">
        <v>2953</v>
      </c>
      <c r="CP34" s="1408" t="s">
        <v>2514</v>
      </c>
      <c r="CQ34" s="1408" t="s">
        <v>943</v>
      </c>
      <c r="CR34" s="1408" t="s">
        <v>2514</v>
      </c>
      <c r="CS34" s="1408" t="s">
        <v>5282</v>
      </c>
      <c r="CT34" s="1408" t="s">
        <v>2514</v>
      </c>
      <c r="CU34" s="1408" t="s">
        <v>4098</v>
      </c>
      <c r="CV34" s="1408" t="s">
        <v>2514</v>
      </c>
      <c r="CW34" s="1408" t="s">
        <v>5203</v>
      </c>
      <c r="CX34" s="1408" t="s">
        <v>2514</v>
      </c>
      <c r="CY34" s="1408" t="s">
        <v>4071</v>
      </c>
      <c r="CZ34" s="1408" t="s">
        <v>2514</v>
      </c>
      <c r="DA34" s="1408" t="s">
        <v>6576</v>
      </c>
      <c r="DB34" s="1408" t="s">
        <v>2514</v>
      </c>
      <c r="DC34" s="1408" t="s">
        <v>3735</v>
      </c>
      <c r="DD34" s="1408" t="s">
        <v>2514</v>
      </c>
      <c r="DE34" s="1408" t="s">
        <v>2867</v>
      </c>
      <c r="DF34" s="1408" t="s">
        <v>2514</v>
      </c>
      <c r="DG34" s="1408" t="s">
        <v>2433</v>
      </c>
      <c r="DH34" s="1408" t="s">
        <v>2514</v>
      </c>
      <c r="DI34" s="1408" t="s">
        <v>4117</v>
      </c>
      <c r="DJ34" s="1408" t="s">
        <v>2514</v>
      </c>
      <c r="DK34" s="1408" t="s">
        <v>886</v>
      </c>
      <c r="DL34" s="1408" t="s">
        <v>2514</v>
      </c>
      <c r="DM34" s="1408" t="s">
        <v>3039</v>
      </c>
      <c r="DN34" s="1408" t="s">
        <v>2514</v>
      </c>
      <c r="DO34" s="1408" t="s">
        <v>992</v>
      </c>
      <c r="DP34" s="1408" t="s">
        <v>2514</v>
      </c>
      <c r="DQ34" s="1408" t="s">
        <v>5274</v>
      </c>
      <c r="DR34" s="1408" t="s">
        <v>2514</v>
      </c>
      <c r="DS34" s="1408" t="s">
        <v>3471</v>
      </c>
      <c r="DT34" s="1408" t="s">
        <v>2514</v>
      </c>
      <c r="DU34" s="1408" t="s">
        <v>441</v>
      </c>
      <c r="DV34" s="1408" t="s">
        <v>2514</v>
      </c>
      <c r="DW34" s="1408" t="s">
        <v>2428</v>
      </c>
      <c r="DX34" s="1408" t="s">
        <v>2514</v>
      </c>
      <c r="DY34" s="1408" t="s">
        <v>3667</v>
      </c>
      <c r="DZ34" s="1408" t="s">
        <v>2514</v>
      </c>
      <c r="EA34" s="1408" t="s">
        <v>2450</v>
      </c>
      <c r="EB34" s="1408" t="s">
        <v>2514</v>
      </c>
      <c r="EC34" s="1408" t="s">
        <v>4529</v>
      </c>
      <c r="ED34" s="1408" t="s">
        <v>2514</v>
      </c>
      <c r="EE34" s="1408" t="s">
        <v>5290</v>
      </c>
      <c r="EF34" s="1408" t="s">
        <v>2514</v>
      </c>
      <c r="EG34" s="1408" t="s">
        <v>3206</v>
      </c>
      <c r="EH34" s="1408" t="s">
        <v>2514</v>
      </c>
      <c r="EI34" s="1408" t="s">
        <v>1381</v>
      </c>
      <c r="EJ34" s="1408" t="s">
        <v>2514</v>
      </c>
      <c r="EK34" s="1408" t="s">
        <v>3951</v>
      </c>
      <c r="EL34" s="1408" t="s">
        <v>2514</v>
      </c>
      <c r="EM34" s="1408" t="s">
        <v>3553</v>
      </c>
      <c r="EN34" s="1408" t="s">
        <v>2514</v>
      </c>
      <c r="EO34" s="1408" t="s">
        <v>906</v>
      </c>
      <c r="EP34" s="1408" t="s">
        <v>2514</v>
      </c>
      <c r="EQ34" s="1408" t="s">
        <v>4027</v>
      </c>
      <c r="ER34" s="1408" t="s">
        <v>2514</v>
      </c>
      <c r="ES34" s="1408" t="s">
        <v>2642</v>
      </c>
      <c r="ET34" s="1408" t="s">
        <v>2514</v>
      </c>
      <c r="EU34" s="1408" t="s">
        <v>1416</v>
      </c>
      <c r="EV34" s="1408" t="s">
        <v>2514</v>
      </c>
      <c r="EW34" s="1408" t="s">
        <v>6598</v>
      </c>
      <c r="EX34" s="1408" t="s">
        <v>2514</v>
      </c>
      <c r="EY34" s="1408" t="s">
        <v>900</v>
      </c>
      <c r="EZ34" s="1408" t="s">
        <v>2514</v>
      </c>
      <c r="FA34" s="1408" t="s">
        <v>6346</v>
      </c>
      <c r="FB34" s="1408" t="s">
        <v>2514</v>
      </c>
      <c r="FC34" s="1408" t="s">
        <v>3377</v>
      </c>
      <c r="FD34" s="1408" t="s">
        <v>2514</v>
      </c>
      <c r="FE34" s="1408" t="s">
        <v>4792</v>
      </c>
      <c r="FF34" s="1408" t="s">
        <v>2514</v>
      </c>
      <c r="FG34" s="1408" t="s">
        <v>907</v>
      </c>
      <c r="FH34" s="1408" t="s">
        <v>2514</v>
      </c>
      <c r="FI34" s="1408" t="s">
        <v>3427</v>
      </c>
      <c r="FJ34" s="1408" t="s">
        <v>2514</v>
      </c>
      <c r="FK34" s="1408" t="s">
        <v>1310</v>
      </c>
      <c r="FL34" s="1408" t="s">
        <v>2514</v>
      </c>
      <c r="FM34" s="1408" t="s">
        <v>3261</v>
      </c>
      <c r="FN34" s="1408" t="s">
        <v>2514</v>
      </c>
      <c r="FO34" s="1408" t="s">
        <v>3364</v>
      </c>
      <c r="FP34" s="1408" t="s">
        <v>2514</v>
      </c>
      <c r="FQ34" s="1408" t="s">
        <v>2290</v>
      </c>
      <c r="FR34" s="1408" t="s">
        <v>2514</v>
      </c>
      <c r="FS34" s="1408" t="s">
        <v>5942</v>
      </c>
      <c r="FT34" s="1408" t="s">
        <v>2514</v>
      </c>
      <c r="FU34" s="1408" t="s">
        <v>5717</v>
      </c>
      <c r="FV34" s="1408" t="s">
        <v>2514</v>
      </c>
      <c r="FW34" s="1408" t="s">
        <v>2850</v>
      </c>
      <c r="FX34" s="1408" t="s">
        <v>2514</v>
      </c>
      <c r="FY34" s="1408" t="s">
        <v>2848</v>
      </c>
      <c r="FZ34" s="1408" t="s">
        <v>2514</v>
      </c>
      <c r="GA34" s="1408" t="s">
        <v>5910</v>
      </c>
      <c r="GB34" s="1408" t="s">
        <v>2514</v>
      </c>
      <c r="GC34" s="1408" t="s">
        <v>507</v>
      </c>
      <c r="GD34" s="1408" t="s">
        <v>2514</v>
      </c>
      <c r="GE34" s="1408" t="s">
        <v>501</v>
      </c>
      <c r="GF34" s="1408" t="s">
        <v>2514</v>
      </c>
      <c r="GG34" s="1408" t="s">
        <v>1507</v>
      </c>
      <c r="GH34" s="1408" t="s">
        <v>2514</v>
      </c>
      <c r="GI34" s="1408" t="s">
        <v>4050</v>
      </c>
      <c r="GJ34" s="1408" t="s">
        <v>2514</v>
      </c>
      <c r="GK34" s="1408" t="s">
        <v>5498</v>
      </c>
      <c r="GL34" s="1408" t="s">
        <v>2514</v>
      </c>
      <c r="GM34" s="1408" t="s">
        <v>6852</v>
      </c>
      <c r="GN34" s="1408" t="s">
        <v>2514</v>
      </c>
      <c r="GO34" s="1408" t="s">
        <v>3708</v>
      </c>
      <c r="GP34" s="1408" t="s">
        <v>2514</v>
      </c>
      <c r="GQ34" s="1408" t="s">
        <v>6506</v>
      </c>
      <c r="GR34" s="1408" t="s">
        <v>2514</v>
      </c>
      <c r="GS34" s="1408" t="s">
        <v>6003</v>
      </c>
      <c r="GT34" s="1408" t="s">
        <v>2514</v>
      </c>
      <c r="GU34" s="1408" t="s">
        <v>1885</v>
      </c>
      <c r="GV34" s="1408" t="s">
        <v>2514</v>
      </c>
      <c r="GW34" s="1408" t="s">
        <v>1655</v>
      </c>
      <c r="GX34" s="1408" t="s">
        <v>2514</v>
      </c>
      <c r="GY34" s="1408" t="s">
        <v>6240</v>
      </c>
      <c r="GZ34" s="1408" t="s">
        <v>2514</v>
      </c>
      <c r="HA34" s="1408" t="s">
        <v>6417</v>
      </c>
      <c r="HB34" s="1408" t="s">
        <v>2514</v>
      </c>
      <c r="HC34" s="1408" t="s">
        <v>788</v>
      </c>
      <c r="HD34" s="1408" t="s">
        <v>2514</v>
      </c>
      <c r="HE34" s="1408" t="s">
        <v>5324</v>
      </c>
      <c r="HF34" s="1408" t="s">
        <v>2514</v>
      </c>
      <c r="HG34" s="1408" t="s">
        <v>5446</v>
      </c>
      <c r="HH34" s="1408" t="s">
        <v>2514</v>
      </c>
      <c r="HI34" s="1408" t="s">
        <v>388</v>
      </c>
      <c r="HJ34" s="1408" t="s">
        <v>2514</v>
      </c>
      <c r="HK34" s="1408" t="s">
        <v>1829</v>
      </c>
      <c r="HL34" s="1408" t="s">
        <v>2514</v>
      </c>
      <c r="HM34" s="1408" t="s">
        <v>5429</v>
      </c>
      <c r="HN34" s="1408" t="s">
        <v>2514</v>
      </c>
      <c r="HO34" s="1408" t="s">
        <v>4432</v>
      </c>
      <c r="HP34" s="1408" t="s">
        <v>2514</v>
      </c>
      <c r="HQ34" s="1408" t="s">
        <v>3388</v>
      </c>
      <c r="HR34" s="1408" t="s">
        <v>2514</v>
      </c>
      <c r="HS34" s="1408" t="s">
        <v>1701</v>
      </c>
      <c r="HT34" s="1408" t="s">
        <v>2514</v>
      </c>
      <c r="HU34" s="1408" t="s">
        <v>3090</v>
      </c>
      <c r="HV34" s="1408" t="s">
        <v>2514</v>
      </c>
      <c r="HW34" s="1408" t="s">
        <v>2861</v>
      </c>
      <c r="HX34" s="1408" t="s">
        <v>2514</v>
      </c>
      <c r="HY34" s="1408" t="s">
        <v>5442</v>
      </c>
      <c r="HZ34" s="1408" t="s">
        <v>2514</v>
      </c>
      <c r="IA34" s="1408" t="s">
        <v>3158</v>
      </c>
      <c r="IB34" s="1408" t="s">
        <v>2514</v>
      </c>
      <c r="IC34" s="1408" t="s">
        <v>3986</v>
      </c>
      <c r="ID34" s="1408" t="s">
        <v>2514</v>
      </c>
      <c r="IE34" s="1408" t="s">
        <v>1161</v>
      </c>
      <c r="IF34" s="1408" t="s">
        <v>2514</v>
      </c>
      <c r="IG34" s="1408" t="s">
        <v>1337</v>
      </c>
      <c r="IH34" s="1408" t="s">
        <v>2514</v>
      </c>
      <c r="II34" s="1408" t="s">
        <v>4477</v>
      </c>
      <c r="IJ34" s="1408" t="s">
        <v>2514</v>
      </c>
      <c r="IK34" s="1408" t="s">
        <v>4437</v>
      </c>
      <c r="IL34" s="1408" t="s">
        <v>2514</v>
      </c>
      <c r="IM34" s="1408" t="s">
        <v>2836</v>
      </c>
      <c r="IN34" s="1408" t="s">
        <v>2514</v>
      </c>
      <c r="IO34" s="1408" t="s">
        <v>3767</v>
      </c>
      <c r="IP34" s="1408" t="s">
        <v>2514</v>
      </c>
      <c r="IQ34" s="1408" t="s">
        <v>4051</v>
      </c>
      <c r="IR34" s="1408" t="s">
        <v>2514</v>
      </c>
      <c r="IS34" s="1408" t="s">
        <v>1160</v>
      </c>
      <c r="IT34" s="1408" t="s">
        <v>2514</v>
      </c>
      <c r="IU34" s="1408" t="s">
        <v>3048</v>
      </c>
      <c r="IV34" s="1408" t="s">
        <v>2514</v>
      </c>
    </row>
    <row r="35" spans="1:256" s="1408" customFormat="1">
      <c r="A35" s="1408" t="s">
        <v>1321</v>
      </c>
      <c r="B35" s="1408" t="s">
        <v>2514</v>
      </c>
      <c r="C35" s="1408" t="s">
        <v>1392</v>
      </c>
      <c r="D35" s="1408" t="s">
        <v>2514</v>
      </c>
      <c r="E35" s="1408" t="s">
        <v>5447</v>
      </c>
      <c r="F35" s="1408" t="s">
        <v>2514</v>
      </c>
      <c r="G35" s="1408" t="s">
        <v>672</v>
      </c>
      <c r="H35" s="1408" t="s">
        <v>2514</v>
      </c>
      <c r="I35" s="1408" t="s">
        <v>4323</v>
      </c>
      <c r="J35" s="1408" t="s">
        <v>2514</v>
      </c>
      <c r="K35" s="1408" t="s">
        <v>2550</v>
      </c>
      <c r="L35" s="1408" t="s">
        <v>2514</v>
      </c>
      <c r="M35" s="1408" t="s">
        <v>310</v>
      </c>
      <c r="N35" s="1408" t="s">
        <v>2514</v>
      </c>
      <c r="O35" s="1408" t="s">
        <v>3329</v>
      </c>
      <c r="P35" s="1408" t="s">
        <v>2514</v>
      </c>
      <c r="Q35" s="1408" t="s">
        <v>1891</v>
      </c>
      <c r="R35" s="1408" t="s">
        <v>2514</v>
      </c>
      <c r="S35" s="1408" t="s">
        <v>4319</v>
      </c>
      <c r="T35" s="1408" t="s">
        <v>2514</v>
      </c>
      <c r="U35" s="1408" t="s">
        <v>1834</v>
      </c>
      <c r="V35" s="1408" t="s">
        <v>2514</v>
      </c>
      <c r="W35" s="1408" t="s">
        <v>4053</v>
      </c>
      <c r="X35" s="1408" t="s">
        <v>2514</v>
      </c>
      <c r="Y35" s="1408" t="s">
        <v>5542</v>
      </c>
      <c r="Z35" s="1408" t="s">
        <v>2514</v>
      </c>
      <c r="AA35" s="1408" t="s">
        <v>3460</v>
      </c>
      <c r="AB35" s="1408" t="s">
        <v>2514</v>
      </c>
      <c r="AC35" s="1408" t="s">
        <v>1894</v>
      </c>
      <c r="AD35" s="1408" t="s">
        <v>2514</v>
      </c>
      <c r="AE35" s="1408" t="s">
        <v>6422</v>
      </c>
      <c r="AF35" s="1408" t="s">
        <v>2514</v>
      </c>
      <c r="AG35" s="1408" t="s">
        <v>4356</v>
      </c>
      <c r="AH35" s="1408" t="s">
        <v>2514</v>
      </c>
      <c r="AI35" s="1408" t="s">
        <v>4297</v>
      </c>
      <c r="AJ35" s="1408" t="s">
        <v>2514</v>
      </c>
      <c r="AK35" s="1408" t="s">
        <v>2222</v>
      </c>
      <c r="AL35" s="1408" t="s">
        <v>2514</v>
      </c>
      <c r="AM35" s="1408" t="s">
        <v>242</v>
      </c>
      <c r="AN35" s="1408" t="s">
        <v>2514</v>
      </c>
      <c r="AO35" s="1408" t="s">
        <v>2701</v>
      </c>
      <c r="AP35" s="1408" t="s">
        <v>2514</v>
      </c>
      <c r="AQ35" s="1408" t="s">
        <v>152</v>
      </c>
      <c r="AR35" s="1408" t="s">
        <v>2514</v>
      </c>
      <c r="AS35" s="1408" t="s">
        <v>6482</v>
      </c>
      <c r="AT35" s="1408" t="s">
        <v>2514</v>
      </c>
      <c r="AU35" s="1408" t="s">
        <v>3445</v>
      </c>
      <c r="AV35" s="1408" t="s">
        <v>2514</v>
      </c>
      <c r="AW35" s="1408" t="s">
        <v>3335</v>
      </c>
      <c r="AX35" s="1408" t="s">
        <v>2514</v>
      </c>
      <c r="AY35" s="1408" t="s">
        <v>6654</v>
      </c>
      <c r="AZ35" s="1408" t="s">
        <v>2514</v>
      </c>
      <c r="BA35" s="1408" t="s">
        <v>2039</v>
      </c>
      <c r="BB35" s="1408" t="s">
        <v>2514</v>
      </c>
      <c r="BC35" s="1408" t="s">
        <v>2658</v>
      </c>
      <c r="BD35" s="1408" t="s">
        <v>2514</v>
      </c>
      <c r="BE35" s="1408" t="s">
        <v>101</v>
      </c>
      <c r="BF35" s="1408" t="s">
        <v>2514</v>
      </c>
      <c r="BG35" s="1408" t="s">
        <v>6472</v>
      </c>
      <c r="BH35" s="1408" t="s">
        <v>2514</v>
      </c>
      <c r="BI35" s="1408" t="s">
        <v>3875</v>
      </c>
      <c r="BJ35" s="1408" t="s">
        <v>2514</v>
      </c>
      <c r="BK35" s="1408" t="s">
        <v>5862</v>
      </c>
      <c r="BL35" s="1408" t="s">
        <v>2514</v>
      </c>
      <c r="BM35" s="1408" t="s">
        <v>3695</v>
      </c>
      <c r="BN35" s="1408" t="s">
        <v>2514</v>
      </c>
      <c r="BO35" s="1408" t="s">
        <v>5460</v>
      </c>
      <c r="BP35" s="1408" t="s">
        <v>2514</v>
      </c>
      <c r="BQ35" s="1408" t="s">
        <v>1684</v>
      </c>
      <c r="BR35" s="1408" t="s">
        <v>2514</v>
      </c>
      <c r="BS35" s="1408" t="s">
        <v>2480</v>
      </c>
      <c r="BT35" s="1408" t="s">
        <v>2514</v>
      </c>
      <c r="BU35" s="1408" t="s">
        <v>6106</v>
      </c>
      <c r="BV35" s="1408" t="s">
        <v>2514</v>
      </c>
      <c r="BW35" s="1408" t="s">
        <v>3611</v>
      </c>
      <c r="BX35" s="1408" t="s">
        <v>2514</v>
      </c>
      <c r="BY35" s="1408" t="s">
        <v>1148</v>
      </c>
      <c r="BZ35" s="1408" t="s">
        <v>2514</v>
      </c>
      <c r="CA35" s="1408" t="s">
        <v>1035</v>
      </c>
      <c r="CB35" s="1408" t="s">
        <v>2514</v>
      </c>
      <c r="CC35" s="1408" t="s">
        <v>4102</v>
      </c>
      <c r="CD35" s="1408" t="s">
        <v>2514</v>
      </c>
      <c r="CE35" s="1408" t="s">
        <v>1447</v>
      </c>
      <c r="CF35" s="1408" t="s">
        <v>2514</v>
      </c>
      <c r="CG35" s="1408" t="s">
        <v>6942</v>
      </c>
      <c r="CH35" s="1408" t="s">
        <v>2514</v>
      </c>
      <c r="CI35" s="1408" t="s">
        <v>2308</v>
      </c>
      <c r="CJ35" s="1408" t="s">
        <v>2514</v>
      </c>
      <c r="CK35" s="1408" t="s">
        <v>4605</v>
      </c>
      <c r="CL35" s="1408" t="s">
        <v>2514</v>
      </c>
      <c r="CM35" s="1408" t="s">
        <v>3910</v>
      </c>
      <c r="CN35" s="1408" t="s">
        <v>2514</v>
      </c>
      <c r="CO35" s="1408" t="s">
        <v>465</v>
      </c>
      <c r="CP35" s="1408" t="s">
        <v>2514</v>
      </c>
      <c r="CQ35" s="1408" t="s">
        <v>815</v>
      </c>
      <c r="CR35" s="1408" t="s">
        <v>2514</v>
      </c>
      <c r="CS35" s="1408" t="s">
        <v>3738</v>
      </c>
      <c r="CT35" s="1408" t="s">
        <v>2514</v>
      </c>
      <c r="CU35" s="1408" t="s">
        <v>5068</v>
      </c>
      <c r="CV35" s="1408" t="s">
        <v>2514</v>
      </c>
      <c r="CW35" s="1408" t="s">
        <v>6952</v>
      </c>
      <c r="CX35" s="1408" t="s">
        <v>2514</v>
      </c>
      <c r="CY35" s="1408" t="s">
        <v>3038</v>
      </c>
      <c r="CZ35" s="1408" t="s">
        <v>2514</v>
      </c>
      <c r="DA35" s="1408" t="s">
        <v>6485</v>
      </c>
      <c r="DB35" s="1408" t="s">
        <v>2514</v>
      </c>
      <c r="DC35" s="1408" t="s">
        <v>2898</v>
      </c>
      <c r="DD35" s="1408" t="s">
        <v>2514</v>
      </c>
      <c r="DE35" s="1408" t="s">
        <v>6357</v>
      </c>
      <c r="DF35" s="1408" t="s">
        <v>2514</v>
      </c>
      <c r="DG35" s="1408" t="s">
        <v>5407</v>
      </c>
      <c r="DH35" s="1408" t="s">
        <v>2514</v>
      </c>
      <c r="DI35" s="1408" t="s">
        <v>5738</v>
      </c>
      <c r="DJ35" s="1408" t="s">
        <v>2514</v>
      </c>
      <c r="DK35" s="1408" t="s">
        <v>3770</v>
      </c>
      <c r="DL35" s="1408" t="s">
        <v>2514</v>
      </c>
      <c r="DM35" s="1408" t="s">
        <v>6397</v>
      </c>
      <c r="DN35" s="1408" t="s">
        <v>2514</v>
      </c>
      <c r="DO35" s="1408" t="s">
        <v>3571</v>
      </c>
      <c r="DP35" s="1408" t="s">
        <v>2514</v>
      </c>
      <c r="DQ35" s="1408" t="s">
        <v>436</v>
      </c>
      <c r="DR35" s="1408" t="s">
        <v>2514</v>
      </c>
      <c r="DS35" s="1408" t="s">
        <v>3534</v>
      </c>
      <c r="DT35" s="1408" t="s">
        <v>2514</v>
      </c>
      <c r="DU35" s="1408" t="s">
        <v>222</v>
      </c>
      <c r="DV35" s="1408" t="s">
        <v>2514</v>
      </c>
      <c r="DW35" s="1408" t="s">
        <v>233</v>
      </c>
      <c r="DX35" s="1408" t="s">
        <v>2514</v>
      </c>
      <c r="DY35" s="1408" t="s">
        <v>5904</v>
      </c>
      <c r="DZ35" s="1408" t="s">
        <v>2514</v>
      </c>
      <c r="EA35" s="1408" t="s">
        <v>3449</v>
      </c>
      <c r="EB35" s="1408" t="s">
        <v>2514</v>
      </c>
      <c r="EC35" s="1408" t="s">
        <v>2781</v>
      </c>
      <c r="ED35" s="1408" t="s">
        <v>2514</v>
      </c>
      <c r="EE35" s="1408" t="s">
        <v>206</v>
      </c>
      <c r="EF35" s="1408" t="s">
        <v>2514</v>
      </c>
      <c r="EG35" s="1408" t="s">
        <v>6347</v>
      </c>
      <c r="EH35" s="1408" t="s">
        <v>2514</v>
      </c>
      <c r="EI35" s="1408" t="s">
        <v>2576</v>
      </c>
      <c r="EJ35" s="1408" t="s">
        <v>2514</v>
      </c>
      <c r="EK35" s="1408" t="s">
        <v>4635</v>
      </c>
      <c r="EL35" s="1408" t="s">
        <v>2514</v>
      </c>
      <c r="EM35" s="1408" t="s">
        <v>6672</v>
      </c>
      <c r="EN35" s="1408" t="s">
        <v>2514</v>
      </c>
      <c r="EO35" s="1408" t="s">
        <v>3925</v>
      </c>
      <c r="EP35" s="1408" t="s">
        <v>2514</v>
      </c>
      <c r="EQ35" s="1408" t="s">
        <v>4296</v>
      </c>
      <c r="ER35" s="1408" t="s">
        <v>2514</v>
      </c>
      <c r="ES35" s="1408" t="s">
        <v>1094</v>
      </c>
      <c r="ET35" s="1408" t="s">
        <v>2514</v>
      </c>
      <c r="EU35" s="1408" t="s">
        <v>4037</v>
      </c>
      <c r="EV35" s="1408" t="s">
        <v>2514</v>
      </c>
      <c r="EW35" s="1408" t="s">
        <v>1464</v>
      </c>
      <c r="EX35" s="1408" t="s">
        <v>2514</v>
      </c>
      <c r="EY35" s="1408" t="s">
        <v>6730</v>
      </c>
      <c r="EZ35" s="1408" t="s">
        <v>2514</v>
      </c>
      <c r="FA35" s="1408" t="s">
        <v>5907</v>
      </c>
      <c r="FB35" s="1408" t="s">
        <v>2514</v>
      </c>
      <c r="FC35" s="1408" t="s">
        <v>4789</v>
      </c>
      <c r="FD35" s="1408" t="s">
        <v>2514</v>
      </c>
      <c r="FE35" s="1408" t="s">
        <v>307</v>
      </c>
      <c r="FF35" s="1408" t="s">
        <v>2514</v>
      </c>
      <c r="FG35" s="1408" t="s">
        <v>5922</v>
      </c>
      <c r="FH35" s="1408" t="s">
        <v>2514</v>
      </c>
      <c r="FI35" s="1408" t="s">
        <v>5459</v>
      </c>
      <c r="FJ35" s="1408" t="s">
        <v>2514</v>
      </c>
      <c r="FK35" s="1408" t="s">
        <v>630</v>
      </c>
      <c r="FL35" s="1408" t="s">
        <v>2514</v>
      </c>
      <c r="FM35" s="1408" t="s">
        <v>3484</v>
      </c>
      <c r="FN35" s="1408" t="s">
        <v>2514</v>
      </c>
      <c r="FO35" s="1408" t="s">
        <v>2226</v>
      </c>
      <c r="FP35" s="1408" t="s">
        <v>2514</v>
      </c>
      <c r="FQ35" s="1408" t="s">
        <v>1880</v>
      </c>
      <c r="FR35" s="1408" t="s">
        <v>2514</v>
      </c>
      <c r="FS35" s="1408" t="s">
        <v>5327</v>
      </c>
      <c r="FT35" s="1408" t="s">
        <v>2514</v>
      </c>
      <c r="FU35" s="1408" t="s">
        <v>8</v>
      </c>
      <c r="FV35" s="1408" t="s">
        <v>2514</v>
      </c>
      <c r="FW35" s="1408" t="s">
        <v>4944</v>
      </c>
      <c r="FX35" s="1408" t="s">
        <v>2514</v>
      </c>
      <c r="FY35" s="1408" t="s">
        <v>3062</v>
      </c>
      <c r="FZ35" s="1408" t="s">
        <v>2514</v>
      </c>
      <c r="GA35" s="1408" t="s">
        <v>22</v>
      </c>
      <c r="GB35" s="1408" t="s">
        <v>2514</v>
      </c>
      <c r="GC35" s="1408" t="s">
        <v>5995</v>
      </c>
      <c r="GD35" s="1408" t="s">
        <v>2514</v>
      </c>
      <c r="GE35" s="1408" t="s">
        <v>5469</v>
      </c>
      <c r="GF35" s="1408" t="s">
        <v>2514</v>
      </c>
      <c r="GG35" s="1408" t="s">
        <v>5756</v>
      </c>
      <c r="GH35" s="1408" t="s">
        <v>2514</v>
      </c>
      <c r="GI35" s="1408" t="s">
        <v>1395</v>
      </c>
      <c r="GJ35" s="1408" t="s">
        <v>2514</v>
      </c>
      <c r="GK35" s="1408" t="s">
        <v>160</v>
      </c>
      <c r="GL35" s="1408" t="s">
        <v>2514</v>
      </c>
      <c r="GM35" s="1408" t="s">
        <v>3569</v>
      </c>
      <c r="GN35" s="1408" t="s">
        <v>2514</v>
      </c>
      <c r="GO35" s="1408" t="s">
        <v>3533</v>
      </c>
      <c r="GP35" s="1408" t="s">
        <v>2514</v>
      </c>
      <c r="GQ35" s="1408" t="s">
        <v>1494</v>
      </c>
      <c r="GR35" s="1408" t="s">
        <v>2514</v>
      </c>
      <c r="GS35" s="1408" t="s">
        <v>550</v>
      </c>
      <c r="GT35" s="1408" t="s">
        <v>2514</v>
      </c>
      <c r="GU35" s="1408" t="s">
        <v>5563</v>
      </c>
      <c r="GV35" s="1408" t="s">
        <v>2514</v>
      </c>
      <c r="GW35" s="1408" t="s">
        <v>3842</v>
      </c>
      <c r="GX35" s="1408" t="s">
        <v>2514</v>
      </c>
      <c r="GY35" s="1408" t="s">
        <v>201</v>
      </c>
      <c r="GZ35" s="1408" t="s">
        <v>2514</v>
      </c>
      <c r="HA35" s="1408" t="s">
        <v>2012</v>
      </c>
      <c r="HB35" s="1408" t="s">
        <v>2514</v>
      </c>
      <c r="HC35" s="1408" t="s">
        <v>564</v>
      </c>
      <c r="HD35" s="1408" t="s">
        <v>2514</v>
      </c>
      <c r="HE35" s="1408" t="s">
        <v>3482</v>
      </c>
      <c r="HF35" s="1408" t="s">
        <v>2514</v>
      </c>
      <c r="HG35" s="1408" t="s">
        <v>2059</v>
      </c>
      <c r="HH35" s="1408" t="s">
        <v>2514</v>
      </c>
      <c r="HI35" s="1408" t="s">
        <v>3088</v>
      </c>
      <c r="HJ35" s="1408" t="s">
        <v>2514</v>
      </c>
      <c r="HK35" s="1408" t="s">
        <v>273</v>
      </c>
      <c r="HL35" s="1408" t="s">
        <v>2514</v>
      </c>
      <c r="HM35" s="1408" t="s">
        <v>6077</v>
      </c>
      <c r="HN35" s="1408" t="s">
        <v>2514</v>
      </c>
      <c r="HO35" s="1408" t="s">
        <v>1913</v>
      </c>
      <c r="HP35" s="1408" t="s">
        <v>2514</v>
      </c>
      <c r="HQ35" s="1408" t="s">
        <v>4640</v>
      </c>
      <c r="HR35" s="1408" t="s">
        <v>2514</v>
      </c>
      <c r="HS35" s="1408" t="s">
        <v>3709</v>
      </c>
      <c r="HT35" s="1408" t="s">
        <v>2514</v>
      </c>
      <c r="HU35" s="1408" t="s">
        <v>1410</v>
      </c>
      <c r="HV35" s="1408" t="s">
        <v>2514</v>
      </c>
      <c r="HW35" s="1408" t="s">
        <v>2405</v>
      </c>
      <c r="HX35" s="1408" t="s">
        <v>2514</v>
      </c>
      <c r="HY35" s="1408" t="s">
        <v>6885</v>
      </c>
      <c r="HZ35" s="1408" t="s">
        <v>2514</v>
      </c>
      <c r="IA35" s="1408" t="s">
        <v>4158</v>
      </c>
      <c r="IB35" s="1408" t="s">
        <v>2514</v>
      </c>
      <c r="IC35" s="1408" t="s">
        <v>3300</v>
      </c>
      <c r="ID35" s="1408" t="s">
        <v>2514</v>
      </c>
      <c r="IE35" s="1408" t="s">
        <v>1095</v>
      </c>
      <c r="IF35" s="1408" t="s">
        <v>2514</v>
      </c>
      <c r="IG35" s="1408" t="s">
        <v>1449</v>
      </c>
      <c r="IH35" s="1408" t="s">
        <v>2514</v>
      </c>
      <c r="II35" s="1408" t="s">
        <v>1400</v>
      </c>
      <c r="IJ35" s="1408" t="s">
        <v>2514</v>
      </c>
      <c r="IK35" s="1408" t="s">
        <v>1523</v>
      </c>
      <c r="IL35" s="1408" t="s">
        <v>2514</v>
      </c>
      <c r="IM35" s="1408" t="s">
        <v>976</v>
      </c>
      <c r="IN35" s="1408" t="s">
        <v>2514</v>
      </c>
      <c r="IO35" s="1408" t="s">
        <v>6125</v>
      </c>
      <c r="IP35" s="1408" t="s">
        <v>2514</v>
      </c>
      <c r="IQ35" s="1408" t="s">
        <v>4268</v>
      </c>
      <c r="IR35" s="1408" t="s">
        <v>2514</v>
      </c>
      <c r="IS35" s="1408" t="s">
        <v>237</v>
      </c>
      <c r="IT35" s="1408" t="s">
        <v>2514</v>
      </c>
      <c r="IU35" s="1408" t="s">
        <v>3012</v>
      </c>
      <c r="IV35" s="1408" t="s">
        <v>2514</v>
      </c>
    </row>
    <row r="36" spans="1:256" s="1408" customFormat="1">
      <c r="A36" s="1408" t="s">
        <v>5008</v>
      </c>
      <c r="B36" s="1408" t="s">
        <v>2514</v>
      </c>
      <c r="C36" s="1408" t="s">
        <v>1987</v>
      </c>
      <c r="D36" s="1408" t="s">
        <v>2514</v>
      </c>
      <c r="E36" s="1408" t="s">
        <v>3047</v>
      </c>
      <c r="F36" s="1408" t="s">
        <v>2514</v>
      </c>
      <c r="G36" s="1408" t="s">
        <v>5489</v>
      </c>
      <c r="H36" s="1408" t="s">
        <v>2514</v>
      </c>
      <c r="I36" s="1408" t="s">
        <v>4194</v>
      </c>
      <c r="J36" s="1408" t="s">
        <v>2514</v>
      </c>
      <c r="K36" s="1408" t="s">
        <v>3192</v>
      </c>
      <c r="L36" s="1408" t="s">
        <v>2514</v>
      </c>
      <c r="M36" s="1408" t="s">
        <v>2817</v>
      </c>
      <c r="N36" s="1408" t="s">
        <v>2514</v>
      </c>
      <c r="O36" s="1408" t="s">
        <v>4202</v>
      </c>
      <c r="P36" s="1408" t="s">
        <v>2514</v>
      </c>
      <c r="Q36" s="1408" t="s">
        <v>5465</v>
      </c>
      <c r="R36" s="1408" t="s">
        <v>2514</v>
      </c>
      <c r="S36" s="1408" t="s">
        <v>1396</v>
      </c>
      <c r="T36" s="1408" t="s">
        <v>2514</v>
      </c>
      <c r="U36" s="1408" t="s">
        <v>2220</v>
      </c>
      <c r="V36" s="1408" t="s">
        <v>2514</v>
      </c>
      <c r="W36" s="1408" t="s">
        <v>988</v>
      </c>
      <c r="X36" s="1408" t="s">
        <v>2514</v>
      </c>
      <c r="Y36" s="1408" t="s">
        <v>2870</v>
      </c>
      <c r="Z36" s="1408" t="s">
        <v>2514</v>
      </c>
      <c r="AA36" s="1408" t="s">
        <v>2887</v>
      </c>
      <c r="AB36" s="1408" t="s">
        <v>2514</v>
      </c>
      <c r="AC36" s="1408" t="s">
        <v>5949</v>
      </c>
      <c r="AD36" s="1408" t="s">
        <v>2514</v>
      </c>
      <c r="AE36" s="1408" t="s">
        <v>2986</v>
      </c>
      <c r="AF36" s="1408" t="s">
        <v>2514</v>
      </c>
      <c r="AG36" s="1408" t="s">
        <v>49</v>
      </c>
      <c r="AH36" s="1408" t="s">
        <v>2514</v>
      </c>
      <c r="AI36" s="1408" t="s">
        <v>4719</v>
      </c>
      <c r="AJ36" s="1408" t="s">
        <v>2514</v>
      </c>
      <c r="AK36" s="1408" t="s">
        <v>2115</v>
      </c>
      <c r="AL36" s="1408" t="s">
        <v>2514</v>
      </c>
      <c r="AM36" s="1408" t="s">
        <v>1378</v>
      </c>
      <c r="AN36" s="1408" t="s">
        <v>2514</v>
      </c>
      <c r="AO36" s="1408" t="s">
        <v>5265</v>
      </c>
      <c r="AP36" s="1408" t="s">
        <v>2514</v>
      </c>
      <c r="AQ36" s="1408" t="s">
        <v>2017</v>
      </c>
      <c r="AR36" s="1408" t="s">
        <v>2514</v>
      </c>
      <c r="AS36" s="1408" t="s">
        <v>2831</v>
      </c>
      <c r="AT36" s="1408" t="s">
        <v>2514</v>
      </c>
      <c r="AU36" s="1408" t="s">
        <v>2659</v>
      </c>
      <c r="AV36" s="1408" t="s">
        <v>2514</v>
      </c>
      <c r="AW36" s="1408" t="s">
        <v>3908</v>
      </c>
      <c r="AX36" s="1408" t="s">
        <v>2514</v>
      </c>
      <c r="AY36" s="1408" t="s">
        <v>332</v>
      </c>
      <c r="AZ36" s="1408" t="s">
        <v>2514</v>
      </c>
      <c r="BA36" s="1408" t="s">
        <v>5128</v>
      </c>
      <c r="BB36" s="1408" t="s">
        <v>2514</v>
      </c>
      <c r="BC36" s="1408" t="s">
        <v>4722</v>
      </c>
      <c r="BD36" s="1408" t="s">
        <v>2514</v>
      </c>
      <c r="BE36" s="1408" t="s">
        <v>1316</v>
      </c>
      <c r="BF36" s="1408" t="s">
        <v>2514</v>
      </c>
      <c r="BG36" s="1408" t="s">
        <v>4829</v>
      </c>
      <c r="BH36" s="1408" t="s">
        <v>2514</v>
      </c>
      <c r="BI36" s="1408" t="s">
        <v>2806</v>
      </c>
      <c r="BJ36" s="1408" t="s">
        <v>2514</v>
      </c>
      <c r="BK36" s="1408" t="s">
        <v>4222</v>
      </c>
      <c r="BL36" s="1408" t="s">
        <v>2514</v>
      </c>
      <c r="BM36" s="1408" t="s">
        <v>2476</v>
      </c>
      <c r="BN36" s="1408" t="s">
        <v>2514</v>
      </c>
      <c r="BO36" s="1408" t="s">
        <v>5074</v>
      </c>
      <c r="BP36" s="1408" t="s">
        <v>2514</v>
      </c>
      <c r="BQ36" s="1408" t="s">
        <v>2098</v>
      </c>
      <c r="BR36" s="1408" t="s">
        <v>2514</v>
      </c>
      <c r="BS36" s="1408" t="s">
        <v>730</v>
      </c>
      <c r="BT36" s="1408" t="s">
        <v>2514</v>
      </c>
      <c r="BU36" s="1408" t="s">
        <v>1608</v>
      </c>
      <c r="BV36" s="1408" t="s">
        <v>2514</v>
      </c>
      <c r="BW36" s="1408" t="s">
        <v>548</v>
      </c>
      <c r="BX36" s="1408" t="s">
        <v>2514</v>
      </c>
      <c r="BY36" s="1408" t="s">
        <v>4821</v>
      </c>
      <c r="BZ36" s="1408" t="s">
        <v>2514</v>
      </c>
      <c r="CA36" s="1408" t="s">
        <v>2379</v>
      </c>
      <c r="CB36" s="1408" t="s">
        <v>2514</v>
      </c>
      <c r="CC36" s="1408" t="s">
        <v>879</v>
      </c>
      <c r="CD36" s="1408" t="s">
        <v>2514</v>
      </c>
      <c r="CE36" s="1408" t="s">
        <v>4134</v>
      </c>
      <c r="CF36" s="1408" t="s">
        <v>2514</v>
      </c>
      <c r="CG36" s="1408" t="s">
        <v>3513</v>
      </c>
      <c r="CH36" s="1408" t="s">
        <v>2514</v>
      </c>
      <c r="CI36" s="1408" t="s">
        <v>6781</v>
      </c>
      <c r="CJ36" s="1408" t="s">
        <v>2514</v>
      </c>
      <c r="CK36" s="1408" t="s">
        <v>2756</v>
      </c>
      <c r="CL36" s="1408" t="s">
        <v>2514</v>
      </c>
      <c r="CM36" s="1408" t="s">
        <v>2790</v>
      </c>
      <c r="CN36" s="1408" t="s">
        <v>2514</v>
      </c>
      <c r="CO36" s="1408" t="s">
        <v>6129</v>
      </c>
      <c r="CP36" s="1408" t="s">
        <v>2514</v>
      </c>
      <c r="CQ36" s="1408" t="s">
        <v>1577</v>
      </c>
      <c r="CR36" s="1408" t="s">
        <v>2514</v>
      </c>
      <c r="CS36" s="1408" t="s">
        <v>887</v>
      </c>
      <c r="CT36" s="1408" t="s">
        <v>2514</v>
      </c>
      <c r="CU36" s="1408" t="s">
        <v>5376</v>
      </c>
      <c r="CV36" s="1408" t="s">
        <v>2514</v>
      </c>
      <c r="CW36" s="1408" t="s">
        <v>5385</v>
      </c>
      <c r="CX36" s="1408" t="s">
        <v>2514</v>
      </c>
      <c r="CY36" s="1408" t="s">
        <v>2134</v>
      </c>
      <c r="CZ36" s="1408" t="s">
        <v>2514</v>
      </c>
      <c r="DA36" s="1408" t="s">
        <v>1140</v>
      </c>
      <c r="DB36" s="1408" t="s">
        <v>2514</v>
      </c>
      <c r="DC36" s="1408" t="s">
        <v>432</v>
      </c>
      <c r="DD36" s="1408" t="s">
        <v>2514</v>
      </c>
      <c r="DE36" s="1408" t="s">
        <v>761</v>
      </c>
      <c r="DF36" s="1408" t="s">
        <v>2514</v>
      </c>
      <c r="DG36" s="1408" t="s">
        <v>2198</v>
      </c>
      <c r="DH36" s="1408" t="s">
        <v>2514</v>
      </c>
      <c r="DI36" s="1408" t="s">
        <v>3333</v>
      </c>
      <c r="DJ36" s="1408" t="s">
        <v>2514</v>
      </c>
      <c r="DK36" s="1408" t="s">
        <v>956</v>
      </c>
      <c r="DL36" s="1408" t="s">
        <v>2514</v>
      </c>
      <c r="DM36" s="1408" t="s">
        <v>4650</v>
      </c>
      <c r="DN36" s="1408" t="s">
        <v>2514</v>
      </c>
      <c r="DO36" s="1408" t="s">
        <v>3834</v>
      </c>
      <c r="DP36" s="1408" t="s">
        <v>2514</v>
      </c>
      <c r="DQ36" s="1408" t="s">
        <v>3509</v>
      </c>
      <c r="DR36" s="1408" t="s">
        <v>2514</v>
      </c>
      <c r="DS36" s="1408" t="s">
        <v>73</v>
      </c>
      <c r="DT36" s="1408" t="s">
        <v>2514</v>
      </c>
      <c r="DU36" s="1408" t="s">
        <v>2905</v>
      </c>
      <c r="DV36" s="1408" t="s">
        <v>2514</v>
      </c>
      <c r="DW36" s="1408" t="s">
        <v>6252</v>
      </c>
      <c r="DX36" s="1408" t="s">
        <v>2514</v>
      </c>
      <c r="DY36" s="1408" t="s">
        <v>6679</v>
      </c>
      <c r="DZ36" s="1408" t="s">
        <v>2514</v>
      </c>
      <c r="EA36" s="1408" t="s">
        <v>686</v>
      </c>
      <c r="EB36" s="1408" t="s">
        <v>2514</v>
      </c>
      <c r="EC36" s="1408" t="s">
        <v>6616</v>
      </c>
      <c r="ED36" s="1408" t="s">
        <v>2514</v>
      </c>
      <c r="EE36" s="1408" t="s">
        <v>1947</v>
      </c>
      <c r="EF36" s="1408" t="s">
        <v>2514</v>
      </c>
      <c r="EG36" s="1408" t="s">
        <v>287</v>
      </c>
      <c r="EH36" s="1408" t="s">
        <v>2514</v>
      </c>
      <c r="EI36" s="1408" t="s">
        <v>4397</v>
      </c>
      <c r="EJ36" s="1408" t="s">
        <v>2514</v>
      </c>
      <c r="EK36" s="1408" t="s">
        <v>6846</v>
      </c>
      <c r="EL36" s="1408" t="s">
        <v>2514</v>
      </c>
      <c r="EM36" s="1408" t="s">
        <v>691</v>
      </c>
      <c r="EN36" s="1408" t="s">
        <v>2514</v>
      </c>
      <c r="EO36" s="1408" t="s">
        <v>1510</v>
      </c>
      <c r="EP36" s="1408" t="s">
        <v>2514</v>
      </c>
      <c r="EQ36" s="1408" t="s">
        <v>994</v>
      </c>
      <c r="ER36" s="1408" t="s">
        <v>2514</v>
      </c>
      <c r="ES36" s="1408" t="s">
        <v>4104</v>
      </c>
      <c r="ET36" s="1408" t="s">
        <v>2514</v>
      </c>
      <c r="EU36" s="1408" t="s">
        <v>4124</v>
      </c>
      <c r="EV36" s="1408" t="s">
        <v>2514</v>
      </c>
      <c r="EW36" s="1408" t="s">
        <v>2380</v>
      </c>
      <c r="EX36" s="1408" t="s">
        <v>2514</v>
      </c>
      <c r="EY36" s="1408" t="s">
        <v>3415</v>
      </c>
      <c r="EZ36" s="1408" t="s">
        <v>2514</v>
      </c>
      <c r="FA36" s="1408" t="s">
        <v>3675</v>
      </c>
      <c r="FB36" s="1408" t="s">
        <v>2514</v>
      </c>
      <c r="FC36" s="1408" t="s">
        <v>6735</v>
      </c>
      <c r="FD36" s="1408" t="s">
        <v>2514</v>
      </c>
      <c r="FE36" s="1408" t="s">
        <v>301</v>
      </c>
      <c r="FF36" s="1408" t="s">
        <v>2514</v>
      </c>
      <c r="FG36" s="1408" t="s">
        <v>5499</v>
      </c>
      <c r="FH36" s="1408" t="s">
        <v>2514</v>
      </c>
      <c r="FI36" s="1408" t="s">
        <v>805</v>
      </c>
      <c r="FJ36" s="1408" t="s">
        <v>2514</v>
      </c>
      <c r="FK36" s="1408" t="s">
        <v>5137</v>
      </c>
      <c r="FL36" s="1408" t="s">
        <v>2514</v>
      </c>
      <c r="FM36" s="1408" t="s">
        <v>5026</v>
      </c>
      <c r="FN36" s="1408" t="s">
        <v>2514</v>
      </c>
      <c r="FO36" s="1408" t="s">
        <v>897</v>
      </c>
      <c r="FP36" s="1408" t="s">
        <v>2514</v>
      </c>
      <c r="FQ36" s="1408" t="s">
        <v>3243</v>
      </c>
      <c r="FR36" s="1408" t="s">
        <v>2514</v>
      </c>
      <c r="FS36" s="1408" t="s">
        <v>5677</v>
      </c>
      <c r="FT36" s="1408" t="s">
        <v>2514</v>
      </c>
      <c r="FU36" s="1408" t="s">
        <v>6841</v>
      </c>
      <c r="FV36" s="1408" t="s">
        <v>2514</v>
      </c>
      <c r="FW36" s="1408" t="s">
        <v>3046</v>
      </c>
      <c r="FX36" s="1408" t="s">
        <v>2514</v>
      </c>
      <c r="FY36" s="1408" t="s">
        <v>4781</v>
      </c>
      <c r="FZ36" s="1408" t="s">
        <v>2514</v>
      </c>
      <c r="GA36" s="1408" t="s">
        <v>2549</v>
      </c>
      <c r="GB36" s="1408" t="s">
        <v>2514</v>
      </c>
      <c r="GC36" s="1408" t="s">
        <v>1560</v>
      </c>
      <c r="GD36" s="1408" t="s">
        <v>2514</v>
      </c>
      <c r="GE36" s="1408" t="s">
        <v>4939</v>
      </c>
      <c r="GF36" s="1408" t="s">
        <v>2514</v>
      </c>
      <c r="GG36" s="1408" t="s">
        <v>983</v>
      </c>
      <c r="GH36" s="1408" t="s">
        <v>2514</v>
      </c>
      <c r="GI36" s="1408" t="s">
        <v>4763</v>
      </c>
      <c r="GJ36" s="1408" t="s">
        <v>2514</v>
      </c>
      <c r="GK36" s="1408" t="s">
        <v>4378</v>
      </c>
      <c r="GL36" s="1408" t="s">
        <v>2514</v>
      </c>
      <c r="GM36" s="1408" t="s">
        <v>4082</v>
      </c>
      <c r="GN36" s="1408" t="s">
        <v>2514</v>
      </c>
      <c r="GO36" s="1408" t="s">
        <v>53</v>
      </c>
      <c r="GP36" s="1408" t="s">
        <v>2514</v>
      </c>
      <c r="GQ36" s="1408" t="s">
        <v>3365</v>
      </c>
      <c r="GR36" s="1408" t="s">
        <v>2514</v>
      </c>
      <c r="GS36" s="1408" t="s">
        <v>4416</v>
      </c>
      <c r="GT36" s="1408" t="s">
        <v>2514</v>
      </c>
      <c r="GU36" s="1408" t="s">
        <v>4699</v>
      </c>
      <c r="GV36" s="1408" t="s">
        <v>2514</v>
      </c>
      <c r="GW36" s="1408" t="s">
        <v>3065</v>
      </c>
      <c r="GX36" s="1408" t="s">
        <v>2514</v>
      </c>
      <c r="GY36" s="1408" t="s">
        <v>547</v>
      </c>
      <c r="GZ36" s="1408" t="s">
        <v>2514</v>
      </c>
      <c r="HA36" s="1408" t="s">
        <v>3225</v>
      </c>
      <c r="HB36" s="1408" t="s">
        <v>2514</v>
      </c>
      <c r="HC36" s="1408" t="s">
        <v>1681</v>
      </c>
      <c r="HD36" s="1408" t="s">
        <v>2514</v>
      </c>
      <c r="HE36" s="1408" t="s">
        <v>6225</v>
      </c>
      <c r="HF36" s="1408" t="s">
        <v>2514</v>
      </c>
      <c r="HG36" s="1408" t="s">
        <v>3768</v>
      </c>
      <c r="HH36" s="1408" t="s">
        <v>2514</v>
      </c>
      <c r="HI36" s="1408" t="s">
        <v>5523</v>
      </c>
      <c r="HJ36" s="1408" t="s">
        <v>2514</v>
      </c>
      <c r="HK36" s="1408" t="s">
        <v>2099</v>
      </c>
      <c r="HL36" s="1408" t="s">
        <v>2514</v>
      </c>
      <c r="HM36" s="1408" t="s">
        <v>5959</v>
      </c>
      <c r="HN36" s="1408" t="s">
        <v>2514</v>
      </c>
      <c r="HO36" s="1408" t="s">
        <v>3211</v>
      </c>
      <c r="HP36" s="1408" t="s">
        <v>2514</v>
      </c>
      <c r="HQ36" s="1408" t="s">
        <v>758</v>
      </c>
      <c r="HR36" s="1408" t="s">
        <v>6139</v>
      </c>
      <c r="HS36" s="1408" t="s">
        <v>3730</v>
      </c>
      <c r="HT36" s="1408" t="s">
        <v>2514</v>
      </c>
      <c r="HU36" s="1408" t="s">
        <v>5683</v>
      </c>
      <c r="HV36" s="1408" t="s">
        <v>2514</v>
      </c>
      <c r="HW36" s="1408" t="s">
        <v>5030</v>
      </c>
      <c r="HX36" s="1408" t="s">
        <v>2514</v>
      </c>
      <c r="HY36" s="1408" t="s">
        <v>3961</v>
      </c>
      <c r="HZ36" s="1408" t="s">
        <v>2514</v>
      </c>
      <c r="IA36" s="1408" t="s">
        <v>2902</v>
      </c>
      <c r="IB36" s="1408" t="s">
        <v>2514</v>
      </c>
      <c r="IC36" s="1408" t="s">
        <v>5818</v>
      </c>
      <c r="ID36" s="1408" t="s">
        <v>2514</v>
      </c>
      <c r="IE36" s="1408" t="s">
        <v>4779</v>
      </c>
      <c r="IF36" s="1408" t="s">
        <v>2514</v>
      </c>
      <c r="IG36" s="1408" t="s">
        <v>4182</v>
      </c>
      <c r="IH36" s="1408" t="s">
        <v>2514</v>
      </c>
      <c r="II36" s="1408" t="s">
        <v>6254</v>
      </c>
      <c r="IJ36" s="1408" t="s">
        <v>2514</v>
      </c>
      <c r="IK36" s="1408" t="s">
        <v>3659</v>
      </c>
      <c r="IL36" s="1408" t="s">
        <v>2514</v>
      </c>
      <c r="IM36" s="1408" t="s">
        <v>6609</v>
      </c>
      <c r="IN36" s="1408" t="s">
        <v>2514</v>
      </c>
      <c r="IO36" s="1408" t="s">
        <v>1085</v>
      </c>
      <c r="IP36" s="1408" t="s">
        <v>2514</v>
      </c>
      <c r="IQ36" s="1408" t="s">
        <v>6620</v>
      </c>
      <c r="IR36" s="1408" t="s">
        <v>2514</v>
      </c>
      <c r="IS36" s="1408" t="s">
        <v>6264</v>
      </c>
      <c r="IT36" s="1408" t="s">
        <v>2514</v>
      </c>
      <c r="IU36" s="1408" t="s">
        <v>1522</v>
      </c>
      <c r="IV36" s="1408" t="s">
        <v>2514</v>
      </c>
    </row>
    <row r="37" spans="1:256" s="1408" customFormat="1">
      <c r="A37" s="1408" t="s">
        <v>1746</v>
      </c>
      <c r="B37" s="1408" t="s">
        <v>2514</v>
      </c>
      <c r="C37" s="1408" t="s">
        <v>2156</v>
      </c>
      <c r="D37" s="1408" t="s">
        <v>2514</v>
      </c>
      <c r="E37" s="1408" t="s">
        <v>5697</v>
      </c>
      <c r="F37" s="1408" t="s">
        <v>2514</v>
      </c>
      <c r="G37" s="1408" t="s">
        <v>1492</v>
      </c>
      <c r="H37" s="1408" t="s">
        <v>2514</v>
      </c>
      <c r="I37" s="1408" t="s">
        <v>426</v>
      </c>
      <c r="J37" s="1408" t="s">
        <v>2514</v>
      </c>
      <c r="K37" s="1408" t="s">
        <v>5655</v>
      </c>
      <c r="L37" s="1408" t="s">
        <v>2514</v>
      </c>
      <c r="M37" s="1408" t="s">
        <v>1197</v>
      </c>
      <c r="N37" s="1408" t="s">
        <v>2514</v>
      </c>
      <c r="O37" s="1408" t="s">
        <v>1001</v>
      </c>
      <c r="P37" s="1408" t="s">
        <v>2514</v>
      </c>
      <c r="Q37" s="1408" t="s">
        <v>5295</v>
      </c>
      <c r="R37" s="1408" t="s">
        <v>2514</v>
      </c>
      <c r="S37" s="1408" t="s">
        <v>2050</v>
      </c>
      <c r="T37" s="1408" t="s">
        <v>2514</v>
      </c>
      <c r="U37" s="1408" t="s">
        <v>4706</v>
      </c>
      <c r="V37" s="1408" t="s">
        <v>2514</v>
      </c>
      <c r="W37" s="1408" t="s">
        <v>5215</v>
      </c>
      <c r="X37" s="1408" t="s">
        <v>2514</v>
      </c>
      <c r="Y37" s="1408" t="s">
        <v>6521</v>
      </c>
      <c r="Z37" s="1408" t="s">
        <v>2514</v>
      </c>
      <c r="AA37" s="1408" t="s">
        <v>1554</v>
      </c>
      <c r="AB37" s="1408" t="s">
        <v>2514</v>
      </c>
      <c r="AC37" s="1408" t="s">
        <v>3323</v>
      </c>
      <c r="AD37" s="1408" t="s">
        <v>2514</v>
      </c>
      <c r="AE37" s="1408" t="s">
        <v>4665</v>
      </c>
      <c r="AF37" s="1408" t="s">
        <v>2514</v>
      </c>
      <c r="AG37" s="1408" t="s">
        <v>4455</v>
      </c>
      <c r="AH37" s="1408" t="s">
        <v>2514</v>
      </c>
      <c r="AI37" s="1408" t="s">
        <v>3273</v>
      </c>
      <c r="AJ37" s="1408" t="s">
        <v>2514</v>
      </c>
      <c r="AK37" s="1408" t="s">
        <v>2561</v>
      </c>
      <c r="AL37" s="1408" t="s">
        <v>2514</v>
      </c>
      <c r="AM37" s="1408" t="s">
        <v>5321</v>
      </c>
      <c r="AN37" s="1408" t="s">
        <v>2514</v>
      </c>
      <c r="AO37" s="1408" t="s">
        <v>6549</v>
      </c>
      <c r="AP37" s="1408" t="s">
        <v>2514</v>
      </c>
      <c r="AQ37" s="1408" t="s">
        <v>1551</v>
      </c>
      <c r="AR37" s="1408" t="s">
        <v>2514</v>
      </c>
      <c r="AS37" s="1408" t="s">
        <v>2832</v>
      </c>
      <c r="AT37" s="1408" t="s">
        <v>2514</v>
      </c>
      <c r="AU37" s="1408" t="s">
        <v>5933</v>
      </c>
      <c r="AV37" s="1408" t="s">
        <v>2514</v>
      </c>
      <c r="AW37" s="1408" t="s">
        <v>2639</v>
      </c>
      <c r="AX37" s="1408" t="s">
        <v>2514</v>
      </c>
      <c r="AY37" s="1408" t="s">
        <v>4653</v>
      </c>
      <c r="AZ37" s="1408" t="s">
        <v>2514</v>
      </c>
      <c r="BA37" s="1408" t="s">
        <v>4642</v>
      </c>
      <c r="BB37" s="1408" t="s">
        <v>2514</v>
      </c>
      <c r="BC37" s="1408" t="s">
        <v>884</v>
      </c>
      <c r="BD37" s="1408" t="s">
        <v>2514</v>
      </c>
      <c r="BE37" s="1408" t="s">
        <v>5781</v>
      </c>
      <c r="BF37" s="1408" t="s">
        <v>2514</v>
      </c>
      <c r="BG37" s="1408" t="s">
        <v>5298</v>
      </c>
      <c r="BH37" s="1408" t="s">
        <v>2514</v>
      </c>
      <c r="BI37" s="1408" t="s">
        <v>264</v>
      </c>
      <c r="BJ37" s="1408" t="s">
        <v>2514</v>
      </c>
      <c r="BK37" s="1408" t="s">
        <v>5888</v>
      </c>
      <c r="BL37" s="1408" t="s">
        <v>2514</v>
      </c>
      <c r="BM37" s="1408" t="s">
        <v>3182</v>
      </c>
      <c r="BN37" s="1408" t="s">
        <v>2514</v>
      </c>
      <c r="BO37" s="1408" t="s">
        <v>1305</v>
      </c>
      <c r="BP37" s="1408" t="s">
        <v>2514</v>
      </c>
      <c r="BQ37" s="1408" t="s">
        <v>3975</v>
      </c>
      <c r="BR37" s="1408" t="s">
        <v>2514</v>
      </c>
      <c r="BS37" s="1408" t="s">
        <v>2237</v>
      </c>
      <c r="BT37" s="1408" t="s">
        <v>2514</v>
      </c>
      <c r="BU37" s="1408" t="s">
        <v>4113</v>
      </c>
      <c r="BV37" s="1408" t="s">
        <v>2514</v>
      </c>
      <c r="BW37" s="1408" t="s">
        <v>2345</v>
      </c>
      <c r="BX37" s="1408" t="s">
        <v>2514</v>
      </c>
      <c r="BY37" s="1408" t="s">
        <v>414</v>
      </c>
      <c r="BZ37" s="1408" t="s">
        <v>2514</v>
      </c>
      <c r="CA37" s="1408" t="s">
        <v>4215</v>
      </c>
      <c r="CB37" s="1408" t="s">
        <v>2514</v>
      </c>
      <c r="CC37" s="1408" t="s">
        <v>4442</v>
      </c>
      <c r="CD37" s="1408" t="s">
        <v>2514</v>
      </c>
      <c r="CE37" s="1408" t="s">
        <v>1481</v>
      </c>
      <c r="CF37" s="1408" t="s">
        <v>2514</v>
      </c>
      <c r="CG37" s="1408" t="s">
        <v>3110</v>
      </c>
      <c r="CH37" s="1408" t="s">
        <v>2514</v>
      </c>
      <c r="CI37" s="1408" t="s">
        <v>1252</v>
      </c>
      <c r="CJ37" s="1408" t="s">
        <v>2514</v>
      </c>
      <c r="CK37" s="1408" t="s">
        <v>5737</v>
      </c>
      <c r="CL37" s="1408" t="s">
        <v>2514</v>
      </c>
      <c r="CM37" s="1408" t="s">
        <v>2377</v>
      </c>
      <c r="CN37" s="1408" t="s">
        <v>2514</v>
      </c>
      <c r="CO37" s="1408" t="s">
        <v>1851</v>
      </c>
      <c r="CP37" s="1408" t="s">
        <v>2514</v>
      </c>
      <c r="CQ37" s="1408" t="s">
        <v>4401</v>
      </c>
      <c r="CR37" s="1408" t="s">
        <v>2514</v>
      </c>
      <c r="CS37" s="1408" t="s">
        <v>4224</v>
      </c>
      <c r="CT37" s="1408" t="s">
        <v>2514</v>
      </c>
      <c r="CU37" s="1408" t="s">
        <v>1129</v>
      </c>
      <c r="CV37" s="1408" t="s">
        <v>2514</v>
      </c>
      <c r="CW37" s="1408" t="s">
        <v>2835</v>
      </c>
      <c r="CX37" s="1408" t="s">
        <v>2514</v>
      </c>
      <c r="CY37" s="1408" t="s">
        <v>6626</v>
      </c>
      <c r="CZ37" s="1408" t="s">
        <v>2514</v>
      </c>
      <c r="DA37" s="1408" t="s">
        <v>3115</v>
      </c>
      <c r="DB37" s="1408" t="s">
        <v>2514</v>
      </c>
      <c r="DC37" s="1408" t="s">
        <v>641</v>
      </c>
      <c r="DD37" s="1408" t="s">
        <v>2514</v>
      </c>
      <c r="DE37" s="1408" t="s">
        <v>2309</v>
      </c>
      <c r="DF37" s="1408" t="s">
        <v>2514</v>
      </c>
      <c r="DG37" s="1408" t="s">
        <v>782</v>
      </c>
      <c r="DH37" s="1408" t="s">
        <v>2514</v>
      </c>
      <c r="DI37" s="1408" t="s">
        <v>1967</v>
      </c>
      <c r="DJ37" s="1408" t="s">
        <v>2514</v>
      </c>
      <c r="DK37" s="1408" t="s">
        <v>5855</v>
      </c>
      <c r="DL37" s="1408" t="s">
        <v>2514</v>
      </c>
      <c r="DM37" s="1408" t="s">
        <v>3187</v>
      </c>
      <c r="DN37" s="1408" t="s">
        <v>2514</v>
      </c>
      <c r="DO37" s="1408" t="s">
        <v>1200</v>
      </c>
      <c r="DP37" s="1408" t="s">
        <v>2514</v>
      </c>
      <c r="DQ37" s="1408" t="s">
        <v>3685</v>
      </c>
      <c r="DR37" s="1408" t="s">
        <v>2514</v>
      </c>
      <c r="DS37" s="1408" t="s">
        <v>2149</v>
      </c>
      <c r="DT37" s="1408" t="s">
        <v>2514</v>
      </c>
      <c r="DU37" s="1408" t="s">
        <v>4660</v>
      </c>
      <c r="DV37" s="1408" t="s">
        <v>2514</v>
      </c>
      <c r="DW37" s="1408" t="s">
        <v>1409</v>
      </c>
      <c r="DX37" s="1408" t="s">
        <v>2514</v>
      </c>
      <c r="DY37" s="1408" t="s">
        <v>6238</v>
      </c>
      <c r="DZ37" s="1408" t="s">
        <v>2514</v>
      </c>
      <c r="EA37" s="1408" t="s">
        <v>4783</v>
      </c>
      <c r="EB37" s="1408" t="s">
        <v>2514</v>
      </c>
      <c r="EC37" s="1408" t="s">
        <v>5109</v>
      </c>
      <c r="ED37" s="1408" t="s">
        <v>2514</v>
      </c>
      <c r="EE37" s="1408" t="s">
        <v>6230</v>
      </c>
      <c r="EF37" s="1408" t="s">
        <v>2514</v>
      </c>
      <c r="EG37" s="1408" t="s">
        <v>5900</v>
      </c>
      <c r="EH37" s="1408" t="s">
        <v>2514</v>
      </c>
      <c r="EI37" s="1408" t="s">
        <v>2805</v>
      </c>
      <c r="EJ37" s="1408" t="s">
        <v>2514</v>
      </c>
      <c r="EK37" s="1408" t="s">
        <v>23</v>
      </c>
      <c r="EL37" s="1408" t="s">
        <v>2514</v>
      </c>
      <c r="EM37" s="1408" t="s">
        <v>1327</v>
      </c>
      <c r="EN37" s="1408" t="s">
        <v>2514</v>
      </c>
      <c r="EO37" s="1408" t="s">
        <v>3525</v>
      </c>
      <c r="EP37" s="1408" t="s">
        <v>2514</v>
      </c>
      <c r="EQ37" s="1408" t="s">
        <v>235</v>
      </c>
      <c r="ER37" s="1408" t="s">
        <v>2514</v>
      </c>
      <c r="ES37" s="1408" t="s">
        <v>4186</v>
      </c>
      <c r="ET37" s="1408" t="s">
        <v>2514</v>
      </c>
      <c r="EU37" s="1408" t="s">
        <v>5335</v>
      </c>
      <c r="EV37" s="1408" t="s">
        <v>2514</v>
      </c>
      <c r="EW37" s="1408" t="s">
        <v>2417</v>
      </c>
      <c r="EX37" s="1408" t="s">
        <v>2514</v>
      </c>
      <c r="EY37" s="1408" t="s">
        <v>106</v>
      </c>
      <c r="EZ37" s="1408" t="s">
        <v>2514</v>
      </c>
      <c r="FA37" s="1408" t="s">
        <v>3985</v>
      </c>
      <c r="FB37" s="1408" t="s">
        <v>2514</v>
      </c>
      <c r="FC37" s="1408" t="s">
        <v>6610</v>
      </c>
      <c r="FD37" s="1408" t="s">
        <v>2514</v>
      </c>
      <c r="FE37" s="1408" t="s">
        <v>2431</v>
      </c>
      <c r="FF37" s="1408" t="s">
        <v>2514</v>
      </c>
      <c r="FG37" s="1408" t="s">
        <v>4041</v>
      </c>
      <c r="FH37" s="1408" t="s">
        <v>2514</v>
      </c>
      <c r="FI37" s="1408" t="s">
        <v>1543</v>
      </c>
      <c r="FJ37" s="1408" t="s">
        <v>2514</v>
      </c>
      <c r="FK37" s="1408" t="s">
        <v>2609</v>
      </c>
      <c r="FL37" s="1408" t="s">
        <v>2514</v>
      </c>
      <c r="FM37" s="1408" t="s">
        <v>3266</v>
      </c>
      <c r="FN37" s="1408" t="s">
        <v>2514</v>
      </c>
      <c r="FO37" s="1408" t="s">
        <v>6946</v>
      </c>
      <c r="FP37" s="1408" t="s">
        <v>2514</v>
      </c>
      <c r="FQ37" s="1408" t="s">
        <v>6002</v>
      </c>
      <c r="FR37" s="1408" t="s">
        <v>2514</v>
      </c>
      <c r="FS37" s="1408" t="s">
        <v>573</v>
      </c>
      <c r="FT37" s="1408" t="s">
        <v>2514</v>
      </c>
      <c r="FU37" s="1408" t="s">
        <v>5812</v>
      </c>
      <c r="FV37" s="1408" t="s">
        <v>2514</v>
      </c>
      <c r="FW37" s="1408" t="s">
        <v>1278</v>
      </c>
      <c r="FX37" s="1408" t="s">
        <v>2514</v>
      </c>
      <c r="FY37" s="1408" t="s">
        <v>5509</v>
      </c>
      <c r="FZ37" s="1408" t="s">
        <v>2514</v>
      </c>
      <c r="GA37" s="1408" t="s">
        <v>4380</v>
      </c>
      <c r="GB37" s="1408" t="s">
        <v>2514</v>
      </c>
      <c r="GC37" s="1408" t="s">
        <v>1333</v>
      </c>
      <c r="GD37" s="1408" t="s">
        <v>2514</v>
      </c>
      <c r="GE37" s="1408" t="s">
        <v>3315</v>
      </c>
      <c r="GF37" s="1408" t="s">
        <v>2514</v>
      </c>
      <c r="GG37" s="1408" t="s">
        <v>6272</v>
      </c>
      <c r="GH37" s="1408" t="s">
        <v>2514</v>
      </c>
      <c r="GI37" s="1408" t="s">
        <v>1162</v>
      </c>
      <c r="GJ37" s="1408" t="s">
        <v>2514</v>
      </c>
      <c r="GK37" s="1408" t="s">
        <v>5445</v>
      </c>
      <c r="GL37" s="1408" t="s">
        <v>2514</v>
      </c>
      <c r="GM37" s="1408" t="s">
        <v>3456</v>
      </c>
      <c r="GN37" s="1408" t="s">
        <v>2514</v>
      </c>
      <c r="GO37" s="1408" t="s">
        <v>5744</v>
      </c>
      <c r="GP37" s="1408" t="s">
        <v>2514</v>
      </c>
      <c r="GQ37" s="1408" t="s">
        <v>3369</v>
      </c>
      <c r="GR37" s="1408" t="s">
        <v>2514</v>
      </c>
      <c r="GS37" s="1408" t="s">
        <v>5342</v>
      </c>
      <c r="GT37" s="1408" t="s">
        <v>2514</v>
      </c>
      <c r="GU37" s="1408" t="s">
        <v>6196</v>
      </c>
      <c r="GV37" s="1408" t="s">
        <v>2514</v>
      </c>
      <c r="GW37" s="1408" t="s">
        <v>4259</v>
      </c>
      <c r="GX37" s="1408" t="s">
        <v>2514</v>
      </c>
      <c r="GY37" s="1408" t="s">
        <v>2123</v>
      </c>
      <c r="GZ37" s="1408" t="s">
        <v>2514</v>
      </c>
      <c r="HA37" s="1408" t="s">
        <v>4142</v>
      </c>
      <c r="HB37" s="1408" t="s">
        <v>2514</v>
      </c>
      <c r="HC37" s="1408" t="s">
        <v>4527</v>
      </c>
      <c r="HD37" s="1408" t="s">
        <v>2514</v>
      </c>
      <c r="HE37" s="1408" t="s">
        <v>1782</v>
      </c>
      <c r="HF37" s="1408" t="s">
        <v>2514</v>
      </c>
      <c r="HG37" s="1408" t="s">
        <v>1423</v>
      </c>
      <c r="HH37" s="1408" t="s">
        <v>2514</v>
      </c>
      <c r="HI37" s="1408" t="s">
        <v>5706</v>
      </c>
      <c r="HJ37" s="1408" t="s">
        <v>2514</v>
      </c>
      <c r="HK37" s="1408" t="s">
        <v>77</v>
      </c>
      <c r="HL37" s="1408" t="s">
        <v>2514</v>
      </c>
      <c r="HM37" s="1408" t="s">
        <v>1814</v>
      </c>
      <c r="HN37" s="1408" t="s">
        <v>2514</v>
      </c>
      <c r="HO37" s="1408" t="s">
        <v>5017</v>
      </c>
      <c r="HP37" s="1408" t="s">
        <v>2514</v>
      </c>
      <c r="HQ37" s="1408" t="s">
        <v>4703</v>
      </c>
      <c r="HR37" s="1408" t="s">
        <v>2514</v>
      </c>
      <c r="HS37" s="1408" t="s">
        <v>6570</v>
      </c>
      <c r="HT37" s="1408" t="s">
        <v>2514</v>
      </c>
      <c r="HU37" s="1408" t="s">
        <v>2617</v>
      </c>
      <c r="HV37" s="1408" t="s">
        <v>2514</v>
      </c>
      <c r="HW37" s="1408" t="s">
        <v>2675</v>
      </c>
      <c r="HX37" s="1408" t="s">
        <v>2514</v>
      </c>
      <c r="HY37" s="1408" t="s">
        <v>2344</v>
      </c>
      <c r="HZ37" s="1408" t="s">
        <v>2514</v>
      </c>
      <c r="IA37" s="1408" t="s">
        <v>6937</v>
      </c>
      <c r="IB37" s="1408" t="s">
        <v>2514</v>
      </c>
      <c r="IC37" s="1408" t="s">
        <v>1369</v>
      </c>
      <c r="ID37" s="1408" t="s">
        <v>2514</v>
      </c>
      <c r="IE37" s="1408" t="s">
        <v>5209</v>
      </c>
      <c r="IF37" s="1408" t="s">
        <v>2514</v>
      </c>
      <c r="IG37" s="1408" t="s">
        <v>3474</v>
      </c>
      <c r="IH37" s="1408" t="s">
        <v>2514</v>
      </c>
      <c r="II37" s="1408" t="s">
        <v>1355</v>
      </c>
      <c r="IJ37" s="1408" t="s">
        <v>2514</v>
      </c>
      <c r="IK37" s="1408" t="s">
        <v>5133</v>
      </c>
      <c r="IL37" s="1408" t="s">
        <v>2514</v>
      </c>
      <c r="IM37" s="1408" t="s">
        <v>4009</v>
      </c>
      <c r="IN37" s="1408" t="s">
        <v>2514</v>
      </c>
      <c r="IO37" s="1408" t="s">
        <v>3189</v>
      </c>
      <c r="IP37" s="1408" t="s">
        <v>2514</v>
      </c>
      <c r="IQ37" s="1408" t="s">
        <v>4543</v>
      </c>
      <c r="IR37" s="1408" t="s">
        <v>2514</v>
      </c>
      <c r="IS37" s="1408" t="s">
        <v>2461</v>
      </c>
      <c r="IT37" s="1408" t="s">
        <v>2514</v>
      </c>
      <c r="IU37" s="1408" t="s">
        <v>838</v>
      </c>
      <c r="IV37" s="1408" t="s">
        <v>2514</v>
      </c>
    </row>
    <row r="38" spans="1:256" s="1408" customFormat="1">
      <c r="A38" s="1408" t="s">
        <v>1359</v>
      </c>
      <c r="B38" s="1408" t="s">
        <v>2514</v>
      </c>
      <c r="C38" s="1408" t="s">
        <v>638</v>
      </c>
      <c r="D38" s="1408" t="s">
        <v>2514</v>
      </c>
      <c r="E38" s="1408" t="s">
        <v>5988</v>
      </c>
      <c r="F38" s="1408" t="s">
        <v>2514</v>
      </c>
      <c r="G38" s="1408" t="s">
        <v>5106</v>
      </c>
      <c r="H38" s="1408" t="s">
        <v>2514</v>
      </c>
      <c r="I38" s="1408" t="s">
        <v>5473</v>
      </c>
      <c r="J38" s="1408" t="s">
        <v>2514</v>
      </c>
      <c r="K38" s="1408" t="s">
        <v>447</v>
      </c>
      <c r="L38" s="1408" t="s">
        <v>2514</v>
      </c>
      <c r="M38" s="1408" t="s">
        <v>2101</v>
      </c>
      <c r="N38" s="1408" t="s">
        <v>2514</v>
      </c>
      <c r="O38" s="1408" t="s">
        <v>3270</v>
      </c>
      <c r="P38" s="1408" t="s">
        <v>2514</v>
      </c>
      <c r="Q38" s="1408" t="s">
        <v>4850</v>
      </c>
      <c r="R38" s="1408" t="s">
        <v>2514</v>
      </c>
      <c r="S38" s="1408" t="s">
        <v>571</v>
      </c>
      <c r="T38" s="1408" t="s">
        <v>2514</v>
      </c>
      <c r="U38" s="1408" t="s">
        <v>4127</v>
      </c>
      <c r="V38" s="1408" t="s">
        <v>2514</v>
      </c>
      <c r="W38" s="1408" t="s">
        <v>46</v>
      </c>
      <c r="X38" s="1408" t="s">
        <v>2514</v>
      </c>
      <c r="Y38" s="1408" t="s">
        <v>5597</v>
      </c>
      <c r="Z38" s="1408" t="s">
        <v>2514</v>
      </c>
      <c r="AA38" s="1408" t="s">
        <v>4391</v>
      </c>
      <c r="AB38" s="1408" t="s">
        <v>2514</v>
      </c>
      <c r="AC38" s="1408" t="s">
        <v>3860</v>
      </c>
      <c r="AD38" s="1408" t="s">
        <v>2514</v>
      </c>
      <c r="AE38" s="1408" t="s">
        <v>5893</v>
      </c>
      <c r="AF38" s="1408" t="s">
        <v>2514</v>
      </c>
      <c r="AG38" s="1408" t="s">
        <v>5493</v>
      </c>
      <c r="AH38" s="1408" t="s">
        <v>2514</v>
      </c>
      <c r="AI38" s="1408" t="s">
        <v>435</v>
      </c>
      <c r="AJ38" s="1408" t="s">
        <v>2514</v>
      </c>
      <c r="AK38" s="1408" t="s">
        <v>1668</v>
      </c>
      <c r="AL38" s="1408" t="s">
        <v>2514</v>
      </c>
      <c r="AM38" s="1408" t="s">
        <v>4517</v>
      </c>
      <c r="AN38" s="1408" t="s">
        <v>2514</v>
      </c>
      <c r="AO38" s="1408" t="s">
        <v>1404</v>
      </c>
      <c r="AP38" s="1408" t="s">
        <v>2514</v>
      </c>
      <c r="AQ38" s="1408" t="s">
        <v>929</v>
      </c>
      <c r="AR38" s="1408" t="s">
        <v>2514</v>
      </c>
      <c r="AS38" s="1408" t="s">
        <v>6888</v>
      </c>
      <c r="AT38" s="1408" t="s">
        <v>2514</v>
      </c>
      <c r="AU38" s="1408" t="s">
        <v>756</v>
      </c>
      <c r="AV38" s="1408" t="s">
        <v>6139</v>
      </c>
      <c r="AW38" s="1408" t="s">
        <v>4384</v>
      </c>
      <c r="AX38" s="1408" t="s">
        <v>2514</v>
      </c>
      <c r="AY38" s="1408" t="s">
        <v>903</v>
      </c>
      <c r="AZ38" s="1408" t="s">
        <v>2514</v>
      </c>
      <c r="BA38" s="1408" t="s">
        <v>3374</v>
      </c>
      <c r="BB38" s="1408" t="s">
        <v>2514</v>
      </c>
      <c r="BC38" s="1408" t="s">
        <v>1944</v>
      </c>
      <c r="BD38" s="1408" t="s">
        <v>2514</v>
      </c>
      <c r="BE38" s="1408" t="s">
        <v>4444</v>
      </c>
      <c r="BF38" s="1408" t="s">
        <v>2514</v>
      </c>
      <c r="BG38" s="1408" t="s">
        <v>3984</v>
      </c>
      <c r="BH38" s="1408" t="s">
        <v>2514</v>
      </c>
      <c r="BI38" s="1408" t="s">
        <v>2278</v>
      </c>
      <c r="BJ38" s="1408" t="s">
        <v>2514</v>
      </c>
      <c r="BK38" s="1408" t="s">
        <v>999</v>
      </c>
      <c r="BL38" s="1408" t="s">
        <v>2514</v>
      </c>
      <c r="BM38" s="1408" t="s">
        <v>2957</v>
      </c>
      <c r="BN38" s="1408" t="s">
        <v>2514</v>
      </c>
      <c r="BO38" s="1408" t="s">
        <v>1669</v>
      </c>
      <c r="BP38" s="1408" t="s">
        <v>2514</v>
      </c>
      <c r="BQ38" s="1408" t="s">
        <v>5964</v>
      </c>
      <c r="BR38" s="1408" t="s">
        <v>2514</v>
      </c>
      <c r="BS38" s="1408" t="s">
        <v>4954</v>
      </c>
      <c r="BT38" s="1408" t="s">
        <v>2514</v>
      </c>
      <c r="BU38" s="1408" t="s">
        <v>6492</v>
      </c>
      <c r="BV38" s="1408" t="s">
        <v>2514</v>
      </c>
      <c r="BW38" s="1408" t="s">
        <v>2875</v>
      </c>
      <c r="BX38" s="1408" t="s">
        <v>2514</v>
      </c>
      <c r="BY38" s="1408" t="s">
        <v>1116</v>
      </c>
      <c r="BZ38" s="1408" t="s">
        <v>2514</v>
      </c>
      <c r="CA38" s="1408" t="s">
        <v>1539</v>
      </c>
      <c r="CB38" s="1408" t="s">
        <v>2514</v>
      </c>
      <c r="CC38" s="1408" t="s">
        <v>111</v>
      </c>
      <c r="CD38" s="1408" t="s">
        <v>2514</v>
      </c>
      <c r="CE38" s="1408" t="s">
        <v>1850</v>
      </c>
      <c r="CF38" s="1408" t="s">
        <v>2514</v>
      </c>
      <c r="CG38" s="1408" t="s">
        <v>5875</v>
      </c>
      <c r="CH38" s="1408" t="s">
        <v>2514</v>
      </c>
      <c r="CI38" s="1408" t="s">
        <v>2418</v>
      </c>
      <c r="CJ38" s="1408" t="s">
        <v>2514</v>
      </c>
      <c r="CK38" s="1408" t="s">
        <v>2563</v>
      </c>
      <c r="CL38" s="1408" t="s">
        <v>2514</v>
      </c>
      <c r="CM38" s="1408" t="s">
        <v>1374</v>
      </c>
      <c r="CN38" s="1408" t="s">
        <v>2514</v>
      </c>
      <c r="CO38" s="1408" t="s">
        <v>6842</v>
      </c>
      <c r="CP38" s="1408" t="s">
        <v>2514</v>
      </c>
      <c r="CQ38" s="1408" t="s">
        <v>4174</v>
      </c>
      <c r="CR38" s="1408" t="s">
        <v>2514</v>
      </c>
      <c r="CS38" s="1408" t="s">
        <v>3852</v>
      </c>
      <c r="CT38" s="1408" t="s">
        <v>2514</v>
      </c>
      <c r="CU38" s="1408" t="s">
        <v>4946</v>
      </c>
      <c r="CV38" s="1408" t="s">
        <v>2514</v>
      </c>
      <c r="CW38" s="1408" t="s">
        <v>3647</v>
      </c>
      <c r="CX38" s="1408" t="s">
        <v>2514</v>
      </c>
      <c r="CY38" s="1408" t="s">
        <v>357</v>
      </c>
      <c r="CZ38" s="1408" t="s">
        <v>2514</v>
      </c>
      <c r="DA38" s="1408" t="s">
        <v>2787</v>
      </c>
      <c r="DB38" s="1408" t="s">
        <v>2514</v>
      </c>
      <c r="DC38" s="1408" t="s">
        <v>712</v>
      </c>
      <c r="DD38" s="1408" t="s">
        <v>2514</v>
      </c>
      <c r="DE38" s="1408" t="s">
        <v>6893</v>
      </c>
      <c r="DF38" s="1408" t="s">
        <v>2514</v>
      </c>
      <c r="DG38" s="1408" t="s">
        <v>5198</v>
      </c>
      <c r="DH38" s="1408" t="s">
        <v>2514</v>
      </c>
      <c r="DI38" s="1408" t="s">
        <v>3467</v>
      </c>
      <c r="DJ38" s="1408" t="s">
        <v>2514</v>
      </c>
      <c r="DK38" s="1408" t="s">
        <v>3045</v>
      </c>
      <c r="DL38" s="1408" t="s">
        <v>2514</v>
      </c>
      <c r="DM38" s="1408" t="s">
        <v>1262</v>
      </c>
      <c r="DN38" s="1408" t="s">
        <v>2514</v>
      </c>
      <c r="DO38" s="1408" t="s">
        <v>3853</v>
      </c>
      <c r="DP38" s="1408" t="s">
        <v>2514</v>
      </c>
      <c r="DQ38" s="1408" t="s">
        <v>4155</v>
      </c>
      <c r="DR38" s="1408" t="s">
        <v>2514</v>
      </c>
      <c r="DS38" s="1408" t="s">
        <v>688</v>
      </c>
      <c r="DT38" s="1408" t="s">
        <v>2514</v>
      </c>
      <c r="DU38" s="1408" t="s">
        <v>4511</v>
      </c>
      <c r="DV38" s="1408" t="s">
        <v>2514</v>
      </c>
      <c r="DW38" s="1408" t="s">
        <v>846</v>
      </c>
      <c r="DX38" s="1408" t="s">
        <v>2514</v>
      </c>
      <c r="DY38" s="1408" t="s">
        <v>1188</v>
      </c>
      <c r="DZ38" s="1408" t="s">
        <v>2514</v>
      </c>
      <c r="EA38" s="1408" t="s">
        <v>1812</v>
      </c>
      <c r="EB38" s="1408" t="s">
        <v>2514</v>
      </c>
      <c r="EC38" s="1408" t="s">
        <v>3287</v>
      </c>
      <c r="ED38" s="1408" t="s">
        <v>2514</v>
      </c>
      <c r="EE38" s="1408" t="s">
        <v>5874</v>
      </c>
      <c r="EF38" s="1408" t="s">
        <v>2514</v>
      </c>
      <c r="EG38" s="1408" t="s">
        <v>4382</v>
      </c>
      <c r="EH38" s="1408" t="s">
        <v>2514</v>
      </c>
      <c r="EI38" s="1408" t="s">
        <v>5753</v>
      </c>
      <c r="EJ38" s="1408" t="s">
        <v>2514</v>
      </c>
      <c r="EK38" s="1408" t="s">
        <v>4407</v>
      </c>
      <c r="EL38" s="1408" t="s">
        <v>2514</v>
      </c>
      <c r="EM38" s="1408" t="s">
        <v>2076</v>
      </c>
      <c r="EN38" s="1408" t="s">
        <v>2514</v>
      </c>
      <c r="EO38" s="1408" t="s">
        <v>1364</v>
      </c>
      <c r="EP38" s="1408" t="s">
        <v>2514</v>
      </c>
      <c r="EQ38" s="1408" t="s">
        <v>4787</v>
      </c>
      <c r="ER38" s="1408" t="s">
        <v>2514</v>
      </c>
      <c r="ES38" s="1408" t="s">
        <v>2782</v>
      </c>
      <c r="ET38" s="1408" t="s">
        <v>2514</v>
      </c>
      <c r="EU38" s="1408" t="s">
        <v>2424</v>
      </c>
      <c r="EV38" s="1408" t="s">
        <v>2514</v>
      </c>
      <c r="EW38" s="1408" t="s">
        <v>3153</v>
      </c>
      <c r="EX38" s="1408" t="s">
        <v>2514</v>
      </c>
      <c r="EY38" s="1408" t="s">
        <v>898</v>
      </c>
      <c r="EZ38" s="1408" t="s">
        <v>2514</v>
      </c>
      <c r="FA38" s="1408" t="s">
        <v>3155</v>
      </c>
      <c r="FB38" s="1408" t="s">
        <v>2514</v>
      </c>
      <c r="FC38" s="1408" t="s">
        <v>836</v>
      </c>
      <c r="FD38" s="1408" t="s">
        <v>2514</v>
      </c>
      <c r="FE38" s="1408" t="s">
        <v>2109</v>
      </c>
      <c r="FF38" s="1408" t="s">
        <v>2514</v>
      </c>
      <c r="FG38" s="1408" t="s">
        <v>4555</v>
      </c>
      <c r="FH38" s="1408" t="s">
        <v>2514</v>
      </c>
      <c r="FI38" s="1408" t="s">
        <v>1261</v>
      </c>
      <c r="FJ38" s="1408" t="s">
        <v>2514</v>
      </c>
      <c r="FK38" s="1408" t="s">
        <v>5365</v>
      </c>
      <c r="FL38" s="1408" t="s">
        <v>2514</v>
      </c>
      <c r="FM38" s="1408" t="s">
        <v>4153</v>
      </c>
      <c r="FN38" s="1408" t="s">
        <v>2514</v>
      </c>
      <c r="FO38" s="1408" t="s">
        <v>2153</v>
      </c>
      <c r="FP38" s="1408" t="s">
        <v>2514</v>
      </c>
      <c r="FQ38" s="1408" t="s">
        <v>30</v>
      </c>
      <c r="FR38" s="1408" t="s">
        <v>2514</v>
      </c>
      <c r="FS38" s="1408" t="s">
        <v>2053</v>
      </c>
      <c r="FT38" s="1408" t="s">
        <v>2514</v>
      </c>
      <c r="FU38" s="1408" t="s">
        <v>3549</v>
      </c>
      <c r="FV38" s="1408" t="s">
        <v>2514</v>
      </c>
      <c r="FW38" s="1408" t="s">
        <v>180</v>
      </c>
      <c r="FX38" s="1408" t="s">
        <v>2514</v>
      </c>
      <c r="FY38" s="1408" t="s">
        <v>6787</v>
      </c>
      <c r="FZ38" s="1408" t="s">
        <v>2514</v>
      </c>
      <c r="GA38" s="1408" t="s">
        <v>3697</v>
      </c>
      <c r="GB38" s="1408" t="s">
        <v>2514</v>
      </c>
      <c r="GC38" s="1408" t="s">
        <v>16</v>
      </c>
      <c r="GD38" s="1408" t="s">
        <v>2514</v>
      </c>
      <c r="GE38" s="1408" t="s">
        <v>6087</v>
      </c>
      <c r="GF38" s="1408" t="s">
        <v>2514</v>
      </c>
      <c r="GG38" s="1408" t="s">
        <v>2280</v>
      </c>
      <c r="GH38" s="1408" t="s">
        <v>2514</v>
      </c>
      <c r="GI38" s="1408" t="s">
        <v>6208</v>
      </c>
      <c r="GJ38" s="1408" t="s">
        <v>2514</v>
      </c>
      <c r="GK38" s="1408" t="s">
        <v>6169</v>
      </c>
      <c r="GL38" s="1408" t="s">
        <v>2514</v>
      </c>
      <c r="GM38" s="1408" t="s">
        <v>3146</v>
      </c>
      <c r="GN38" s="1408" t="s">
        <v>2514</v>
      </c>
      <c r="GO38" s="1408" t="s">
        <v>1562</v>
      </c>
      <c r="GP38" s="1408" t="s">
        <v>2514</v>
      </c>
      <c r="GQ38" s="1408" t="s">
        <v>2571</v>
      </c>
      <c r="GR38" s="1408" t="s">
        <v>2514</v>
      </c>
      <c r="GS38" s="1408" t="s">
        <v>812</v>
      </c>
      <c r="GT38" s="1408" t="s">
        <v>2514</v>
      </c>
      <c r="GU38" s="1408" t="s">
        <v>5098</v>
      </c>
      <c r="GV38" s="1408" t="s">
        <v>2514</v>
      </c>
      <c r="GW38" s="1408" t="s">
        <v>2257</v>
      </c>
      <c r="GX38" s="1408" t="s">
        <v>2514</v>
      </c>
      <c r="GY38" s="1408" t="s">
        <v>1312</v>
      </c>
      <c r="GZ38" s="1408" t="s">
        <v>2514</v>
      </c>
      <c r="HA38" s="1408" t="s">
        <v>4208</v>
      </c>
      <c r="HB38" s="1408" t="s">
        <v>2514</v>
      </c>
      <c r="HC38" s="1408" t="s">
        <v>4433</v>
      </c>
      <c r="HD38" s="1408" t="s">
        <v>2514</v>
      </c>
      <c r="HE38" s="1408" t="s">
        <v>3605</v>
      </c>
      <c r="HF38" s="1408" t="s">
        <v>2514</v>
      </c>
      <c r="HG38" s="1408" t="s">
        <v>6831</v>
      </c>
      <c r="HH38" s="1408" t="s">
        <v>2514</v>
      </c>
      <c r="HI38" s="1408" t="s">
        <v>5451</v>
      </c>
      <c r="HJ38" s="1408" t="s">
        <v>2514</v>
      </c>
      <c r="HK38" s="1408" t="s">
        <v>4110</v>
      </c>
      <c r="HL38" s="1408" t="s">
        <v>2514</v>
      </c>
      <c r="HM38" s="1408" t="s">
        <v>173</v>
      </c>
      <c r="HN38" s="1408" t="s">
        <v>2514</v>
      </c>
      <c r="HO38" s="1408" t="s">
        <v>5399</v>
      </c>
      <c r="HP38" s="1408" t="s">
        <v>2514</v>
      </c>
      <c r="HQ38" s="1408" t="s">
        <v>880</v>
      </c>
      <c r="HR38" s="1408" t="s">
        <v>2514</v>
      </c>
      <c r="HS38" s="1408" t="s">
        <v>404</v>
      </c>
      <c r="HT38" s="1408" t="s">
        <v>2514</v>
      </c>
      <c r="HU38" s="1408" t="s">
        <v>5372</v>
      </c>
      <c r="HV38" s="1408" t="s">
        <v>2514</v>
      </c>
      <c r="HW38" s="1408" t="s">
        <v>14</v>
      </c>
      <c r="HX38" s="1408" t="s">
        <v>2514</v>
      </c>
      <c r="HY38" s="1408" t="s">
        <v>4862</v>
      </c>
      <c r="HZ38" s="1408" t="s">
        <v>2514</v>
      </c>
      <c r="IA38" s="1408" t="s">
        <v>4626</v>
      </c>
      <c r="IB38" s="1408" t="s">
        <v>2514</v>
      </c>
      <c r="IC38" s="1408" t="s">
        <v>1724</v>
      </c>
      <c r="ID38" s="1408" t="s">
        <v>2514</v>
      </c>
      <c r="IE38" s="1408" t="s">
        <v>4076</v>
      </c>
      <c r="IF38" s="1408" t="s">
        <v>2514</v>
      </c>
      <c r="IG38" s="1408" t="s">
        <v>5937</v>
      </c>
      <c r="IH38" s="1408" t="s">
        <v>2514</v>
      </c>
      <c r="II38" s="1408" t="s">
        <v>3318</v>
      </c>
      <c r="IJ38" s="1408" t="s">
        <v>2514</v>
      </c>
      <c r="IK38" s="1408" t="s">
        <v>6037</v>
      </c>
      <c r="IL38" s="1408" t="s">
        <v>2514</v>
      </c>
      <c r="IM38" s="1408" t="s">
        <v>6674</v>
      </c>
      <c r="IN38" s="1408" t="s">
        <v>2514</v>
      </c>
      <c r="IO38" s="1408" t="s">
        <v>6785</v>
      </c>
      <c r="IP38" s="1408" t="s">
        <v>2514</v>
      </c>
      <c r="IQ38" s="1408" t="s">
        <v>215</v>
      </c>
      <c r="IR38" s="1408" t="s">
        <v>2514</v>
      </c>
      <c r="IS38" s="1408" t="s">
        <v>6470</v>
      </c>
      <c r="IT38" s="1408" t="s">
        <v>2514</v>
      </c>
      <c r="IU38" s="1408" t="s">
        <v>364</v>
      </c>
      <c r="IV38" s="1408" t="s">
        <v>2514</v>
      </c>
    </row>
    <row r="39" spans="1:256" s="1408" customFormat="1">
      <c r="A39" s="1408" t="s">
        <v>476</v>
      </c>
      <c r="B39" s="1408" t="s">
        <v>2514</v>
      </c>
      <c r="C39" s="1408" t="s">
        <v>942</v>
      </c>
      <c r="D39" s="1408" t="s">
        <v>2514</v>
      </c>
      <c r="E39" s="1408" t="s">
        <v>1435</v>
      </c>
      <c r="F39" s="1408" t="s">
        <v>2514</v>
      </c>
      <c r="G39" s="1408" t="s">
        <v>6613</v>
      </c>
      <c r="H39" s="1408" t="s">
        <v>2514</v>
      </c>
      <c r="I39" s="1408" t="s">
        <v>3324</v>
      </c>
      <c r="J39" s="1408" t="s">
        <v>2514</v>
      </c>
      <c r="K39" s="1408" t="s">
        <v>5789</v>
      </c>
      <c r="L39" s="1408" t="s">
        <v>2514</v>
      </c>
      <c r="M39" s="1408" t="s">
        <v>3638</v>
      </c>
      <c r="N39" s="1408" t="s">
        <v>2514</v>
      </c>
      <c r="O39" s="1408" t="s">
        <v>4154</v>
      </c>
      <c r="P39" s="1408" t="s">
        <v>2514</v>
      </c>
      <c r="Q39" s="1408" t="s">
        <v>4907</v>
      </c>
      <c r="R39" s="1408" t="s">
        <v>2514</v>
      </c>
      <c r="S39" s="1408" t="s">
        <v>3868</v>
      </c>
      <c r="T39" s="1408" t="s">
        <v>2514</v>
      </c>
      <c r="U39" s="1408" t="s">
        <v>4425</v>
      </c>
      <c r="V39" s="1408" t="s">
        <v>2514</v>
      </c>
      <c r="W39" s="1408" t="s">
        <v>5480</v>
      </c>
      <c r="X39" s="1408" t="s">
        <v>2514</v>
      </c>
      <c r="Y39" s="1408" t="s">
        <v>3104</v>
      </c>
      <c r="Z39" s="1408" t="s">
        <v>2514</v>
      </c>
      <c r="AA39" s="1408" t="s">
        <v>6559</v>
      </c>
      <c r="AB39" s="1408" t="s">
        <v>2514</v>
      </c>
      <c r="AC39" s="1408" t="s">
        <v>5406</v>
      </c>
      <c r="AD39" s="1408" t="s">
        <v>2514</v>
      </c>
      <c r="AE39" s="1408" t="s">
        <v>3839</v>
      </c>
      <c r="AF39" s="1408" t="s">
        <v>2514</v>
      </c>
      <c r="AG39" s="1408" t="s">
        <v>5768</v>
      </c>
      <c r="AH39" s="1408" t="s">
        <v>2514</v>
      </c>
      <c r="AI39" s="1408" t="s">
        <v>5457</v>
      </c>
      <c r="AJ39" s="1408" t="s">
        <v>2514</v>
      </c>
      <c r="AK39" s="1408" t="s">
        <v>5287</v>
      </c>
      <c r="AL39" s="1408" t="s">
        <v>2514</v>
      </c>
      <c r="AM39" s="1408" t="s">
        <v>3932</v>
      </c>
      <c r="AN39" s="1408" t="s">
        <v>2514</v>
      </c>
      <c r="AO39" s="1408" t="s">
        <v>6642</v>
      </c>
      <c r="AP39" s="1408" t="s">
        <v>2514</v>
      </c>
      <c r="AQ39" s="1408" t="s">
        <v>2682</v>
      </c>
      <c r="AR39" s="1408" t="s">
        <v>2514</v>
      </c>
      <c r="AS39" s="1408" t="s">
        <v>4075</v>
      </c>
      <c r="AT39" s="1408" t="s">
        <v>2514</v>
      </c>
      <c r="AU39" s="1408" t="s">
        <v>1009</v>
      </c>
      <c r="AV39" s="1408" t="s">
        <v>2514</v>
      </c>
      <c r="AW39" s="1408" t="s">
        <v>2546</v>
      </c>
      <c r="AX39" s="1408" t="s">
        <v>2514</v>
      </c>
      <c r="AY39" s="1408" t="s">
        <v>1380</v>
      </c>
      <c r="AZ39" s="1408" t="s">
        <v>2514</v>
      </c>
      <c r="BA39" s="1408" t="s">
        <v>6010</v>
      </c>
      <c r="BB39" s="1408" t="s">
        <v>2514</v>
      </c>
      <c r="BC39" s="1408" t="s">
        <v>286</v>
      </c>
      <c r="BD39" s="1408" t="s">
        <v>2514</v>
      </c>
      <c r="BE39" s="1408" t="s">
        <v>1606</v>
      </c>
      <c r="BF39" s="1408" t="s">
        <v>2514</v>
      </c>
      <c r="BG39" s="1408" t="s">
        <v>2814</v>
      </c>
      <c r="BH39" s="1408" t="s">
        <v>2514</v>
      </c>
      <c r="BI39" s="1408" t="s">
        <v>145</v>
      </c>
      <c r="BJ39" s="1408" t="s">
        <v>2514</v>
      </c>
      <c r="BK39" s="1408" t="s">
        <v>2607</v>
      </c>
      <c r="BL39" s="1408" t="s">
        <v>2514</v>
      </c>
      <c r="BM39" s="1408" t="s">
        <v>917</v>
      </c>
      <c r="BN39" s="1408" t="s">
        <v>2514</v>
      </c>
      <c r="BO39" s="1408" t="s">
        <v>1566</v>
      </c>
      <c r="BP39" s="1408" t="s">
        <v>2514</v>
      </c>
      <c r="BQ39" s="1408" t="s">
        <v>1904</v>
      </c>
      <c r="BR39" s="1408" t="s">
        <v>2514</v>
      </c>
      <c r="BS39" s="1408" t="s">
        <v>6325</v>
      </c>
      <c r="BT39" s="1408" t="s">
        <v>2514</v>
      </c>
      <c r="BU39" s="1408" t="s">
        <v>3589</v>
      </c>
      <c r="BV39" s="1408" t="s">
        <v>2514</v>
      </c>
      <c r="BW39" s="1408" t="s">
        <v>1137</v>
      </c>
      <c r="BX39" s="1408" t="s">
        <v>2514</v>
      </c>
      <c r="BY39" s="1408" t="s">
        <v>2266</v>
      </c>
      <c r="BZ39" s="1408" t="s">
        <v>2514</v>
      </c>
      <c r="CA39" s="1408" t="s">
        <v>4458</v>
      </c>
      <c r="CB39" s="1408" t="s">
        <v>2514</v>
      </c>
      <c r="CC39" s="1408" t="s">
        <v>6132</v>
      </c>
      <c r="CD39" s="1408" t="s">
        <v>2514</v>
      </c>
      <c r="CE39" s="1408" t="s">
        <v>3539</v>
      </c>
      <c r="CF39" s="1408" t="s">
        <v>2514</v>
      </c>
      <c r="CG39" s="1408" t="s">
        <v>2191</v>
      </c>
      <c r="CH39" s="1408" t="s">
        <v>2514</v>
      </c>
      <c r="CI39" s="1408" t="s">
        <v>2285</v>
      </c>
      <c r="CJ39" s="1408" t="s">
        <v>2514</v>
      </c>
      <c r="CK39" s="1408" t="s">
        <v>791</v>
      </c>
      <c r="CL39" s="1408" t="s">
        <v>2514</v>
      </c>
      <c r="CM39" s="1408" t="s">
        <v>1180</v>
      </c>
      <c r="CN39" s="1408" t="s">
        <v>2514</v>
      </c>
      <c r="CO39" s="1408" t="s">
        <v>1026</v>
      </c>
      <c r="CP39" s="1408" t="s">
        <v>2514</v>
      </c>
      <c r="CQ39" s="1408" t="s">
        <v>6091</v>
      </c>
      <c r="CR39" s="1408" t="s">
        <v>2514</v>
      </c>
      <c r="CS39" s="1408" t="s">
        <v>6377</v>
      </c>
      <c r="CT39" s="1408" t="s">
        <v>2514</v>
      </c>
      <c r="CU39" s="1408" t="s">
        <v>3384</v>
      </c>
      <c r="CV39" s="1408" t="s">
        <v>2514</v>
      </c>
      <c r="CW39" s="1408" t="s">
        <v>3216</v>
      </c>
      <c r="CX39" s="1408" t="s">
        <v>2514</v>
      </c>
      <c r="CY39" s="1408" t="s">
        <v>4218</v>
      </c>
      <c r="CZ39" s="1408" t="s">
        <v>2514</v>
      </c>
      <c r="DA39" s="1408" t="s">
        <v>4700</v>
      </c>
      <c r="DB39" s="1408" t="s">
        <v>2514</v>
      </c>
      <c r="DC39" s="1408" t="s">
        <v>551</v>
      </c>
      <c r="DD39" s="1408" t="s">
        <v>2514</v>
      </c>
      <c r="DE39" s="1408" t="s">
        <v>910</v>
      </c>
      <c r="DF39" s="1408" t="s">
        <v>2514</v>
      </c>
      <c r="DG39" s="1408" t="s">
        <v>6103</v>
      </c>
      <c r="DH39" s="1408" t="s">
        <v>2514</v>
      </c>
      <c r="DI39" s="1408" t="s">
        <v>1919</v>
      </c>
      <c r="DJ39" s="1408" t="s">
        <v>2514</v>
      </c>
      <c r="DK39" s="1408" t="s">
        <v>849</v>
      </c>
      <c r="DL39" s="1408" t="s">
        <v>2514</v>
      </c>
      <c r="DM39" s="1408" t="s">
        <v>4283</v>
      </c>
      <c r="DN39" s="1408" t="s">
        <v>2514</v>
      </c>
      <c r="DO39" s="1408" t="s">
        <v>1036</v>
      </c>
      <c r="DP39" s="1408" t="s">
        <v>2514</v>
      </c>
      <c r="DQ39" s="1408" t="s">
        <v>6760</v>
      </c>
      <c r="DR39" s="1408" t="s">
        <v>2514</v>
      </c>
      <c r="DS39" s="1408" t="s">
        <v>6180</v>
      </c>
      <c r="DT39" s="1408" t="s">
        <v>2514</v>
      </c>
      <c r="DU39" s="1408" t="s">
        <v>4303</v>
      </c>
      <c r="DV39" s="1408" t="s">
        <v>2514</v>
      </c>
      <c r="DW39" s="1408" t="s">
        <v>915</v>
      </c>
      <c r="DX39" s="1408" t="s">
        <v>2514</v>
      </c>
      <c r="DY39" s="1408" t="s">
        <v>5599</v>
      </c>
      <c r="DZ39" s="1408" t="s">
        <v>2514</v>
      </c>
      <c r="EA39" s="1408" t="s">
        <v>6585</v>
      </c>
      <c r="EB39" s="1408" t="s">
        <v>2514</v>
      </c>
      <c r="EC39" s="1408" t="s">
        <v>585</v>
      </c>
      <c r="ED39" s="1408" t="s">
        <v>2514</v>
      </c>
      <c r="EE39" s="1408" t="s">
        <v>3593</v>
      </c>
      <c r="EF39" s="1408" t="s">
        <v>2514</v>
      </c>
      <c r="EG39" s="1408" t="s">
        <v>5715</v>
      </c>
      <c r="EH39" s="1408" t="s">
        <v>2514</v>
      </c>
      <c r="EI39" s="1408" t="s">
        <v>6924</v>
      </c>
      <c r="EJ39" s="1408" t="s">
        <v>2514</v>
      </c>
      <c r="EK39" s="1408" t="s">
        <v>2169</v>
      </c>
      <c r="EL39" s="1408" t="s">
        <v>2514</v>
      </c>
      <c r="EM39" s="1408" t="s">
        <v>4978</v>
      </c>
      <c r="EN39" s="1408" t="s">
        <v>2514</v>
      </c>
      <c r="EO39" s="1408" t="s">
        <v>1307</v>
      </c>
      <c r="EP39" s="1408" t="s">
        <v>2514</v>
      </c>
      <c r="EQ39" s="1408" t="s">
        <v>5286</v>
      </c>
      <c r="ER39" s="1408" t="s">
        <v>2514</v>
      </c>
      <c r="ES39" s="1408" t="s">
        <v>3764</v>
      </c>
      <c r="ET39" s="1408" t="s">
        <v>2514</v>
      </c>
      <c r="EU39" s="1408" t="s">
        <v>1357</v>
      </c>
      <c r="EV39" s="1408" t="s">
        <v>2514</v>
      </c>
      <c r="EW39" s="1408" t="s">
        <v>1610</v>
      </c>
      <c r="EX39" s="1408" t="s">
        <v>2514</v>
      </c>
      <c r="EY39" s="1408" t="s">
        <v>2474</v>
      </c>
      <c r="EZ39" s="1408" t="s">
        <v>2514</v>
      </c>
      <c r="FA39" s="1408" t="s">
        <v>1352</v>
      </c>
      <c r="FB39" s="1408" t="s">
        <v>2514</v>
      </c>
      <c r="FC39" s="1408" t="s">
        <v>1289</v>
      </c>
      <c r="FD39" s="1408" t="s">
        <v>2514</v>
      </c>
      <c r="FE39" s="1408" t="s">
        <v>987</v>
      </c>
      <c r="FF39" s="1408" t="s">
        <v>2514</v>
      </c>
      <c r="FG39" s="1408" t="s">
        <v>631</v>
      </c>
      <c r="FH39" s="1408" t="s">
        <v>2514</v>
      </c>
      <c r="FI39" s="1408" t="s">
        <v>5761</v>
      </c>
      <c r="FJ39" s="1408" t="s">
        <v>2514</v>
      </c>
      <c r="FK39" s="1408" t="s">
        <v>5266</v>
      </c>
      <c r="FL39" s="1408" t="s">
        <v>2514</v>
      </c>
      <c r="FM39" s="1408" t="s">
        <v>4847</v>
      </c>
      <c r="FN39" s="1408" t="s">
        <v>2514</v>
      </c>
      <c r="FO39" s="1408" t="s">
        <v>3179</v>
      </c>
      <c r="FP39" s="1408" t="s">
        <v>2514</v>
      </c>
      <c r="FQ39" s="1408" t="s">
        <v>6369</v>
      </c>
      <c r="FR39" s="1408" t="s">
        <v>2514</v>
      </c>
      <c r="FS39" s="1408" t="s">
        <v>2680</v>
      </c>
      <c r="FT39" s="1408" t="s">
        <v>2514</v>
      </c>
      <c r="FU39" s="1408" t="s">
        <v>6650</v>
      </c>
      <c r="FV39" s="1408" t="s">
        <v>2514</v>
      </c>
      <c r="FW39" s="1408" t="s">
        <v>2704</v>
      </c>
      <c r="FX39" s="1408" t="s">
        <v>2514</v>
      </c>
      <c r="FY39" s="1408" t="s">
        <v>1283</v>
      </c>
      <c r="FZ39" s="1408" t="s">
        <v>2514</v>
      </c>
      <c r="GA39" s="1408" t="s">
        <v>6703</v>
      </c>
      <c r="GB39" s="1408" t="s">
        <v>2514</v>
      </c>
      <c r="GC39" s="1408" t="s">
        <v>3278</v>
      </c>
      <c r="GD39" s="1408" t="s">
        <v>2514</v>
      </c>
      <c r="GE39" s="1408" t="s">
        <v>1264</v>
      </c>
      <c r="GF39" s="1408" t="s">
        <v>2514</v>
      </c>
      <c r="GG39" s="1408" t="s">
        <v>1459</v>
      </c>
      <c r="GH39" s="1408" t="s">
        <v>2514</v>
      </c>
      <c r="GI39" s="1408" t="s">
        <v>5136</v>
      </c>
      <c r="GJ39" s="1408" t="s">
        <v>2514</v>
      </c>
      <c r="GK39" s="1408" t="s">
        <v>123</v>
      </c>
      <c r="GL39" s="1408" t="s">
        <v>2514</v>
      </c>
      <c r="GM39" s="1408" t="s">
        <v>4837</v>
      </c>
      <c r="GN39" s="1408" t="s">
        <v>2514</v>
      </c>
      <c r="GO39" s="1408" t="s">
        <v>2652</v>
      </c>
      <c r="GP39" s="1408" t="s">
        <v>2514</v>
      </c>
      <c r="GQ39" s="1408" t="s">
        <v>4670</v>
      </c>
      <c r="GR39" s="1408" t="s">
        <v>2514</v>
      </c>
      <c r="GS39" s="1408" t="s">
        <v>2313</v>
      </c>
      <c r="GT39" s="1408" t="s">
        <v>2514</v>
      </c>
      <c r="GU39" s="1408" t="s">
        <v>781</v>
      </c>
      <c r="GV39" s="1408" t="s">
        <v>2514</v>
      </c>
      <c r="GW39" s="1408" t="s">
        <v>2755</v>
      </c>
      <c r="GX39" s="1408" t="s">
        <v>2514</v>
      </c>
      <c r="GY39" s="1408" t="s">
        <v>4374</v>
      </c>
      <c r="GZ39" s="1408" t="s">
        <v>2514</v>
      </c>
      <c r="HA39" s="1408" t="s">
        <v>6615</v>
      </c>
      <c r="HB39" s="1408" t="s">
        <v>2514</v>
      </c>
      <c r="HC39" s="1408" t="s">
        <v>2478</v>
      </c>
      <c r="HD39" s="1408" t="s">
        <v>2514</v>
      </c>
      <c r="HE39" s="1408" t="s">
        <v>2904</v>
      </c>
      <c r="HF39" s="1408" t="s">
        <v>2514</v>
      </c>
      <c r="HG39" s="1408" t="s">
        <v>313</v>
      </c>
      <c r="HH39" s="1408" t="s">
        <v>2514</v>
      </c>
      <c r="HI39" s="1408" t="s">
        <v>5686</v>
      </c>
      <c r="HJ39" s="1408" t="s">
        <v>2514</v>
      </c>
      <c r="HK39" s="1408" t="s">
        <v>4532</v>
      </c>
      <c r="HL39" s="1408" t="s">
        <v>2514</v>
      </c>
      <c r="HM39" s="1408" t="s">
        <v>3720</v>
      </c>
      <c r="HN39" s="1408" t="s">
        <v>2514</v>
      </c>
      <c r="HO39" s="1408" t="s">
        <v>1176</v>
      </c>
      <c r="HP39" s="1408" t="s">
        <v>2514</v>
      </c>
      <c r="HQ39" s="1408" t="s">
        <v>1430</v>
      </c>
      <c r="HR39" s="1408" t="s">
        <v>2514</v>
      </c>
      <c r="HS39" s="1408" t="s">
        <v>3920</v>
      </c>
      <c r="HT39" s="1408" t="s">
        <v>2514</v>
      </c>
      <c r="HU39" s="1408" t="s">
        <v>366</v>
      </c>
      <c r="HV39" s="1408" t="s">
        <v>2514</v>
      </c>
      <c r="HW39" s="1408" t="s">
        <v>266</v>
      </c>
      <c r="HX39" s="1408" t="s">
        <v>2514</v>
      </c>
      <c r="HY39" s="1408" t="s">
        <v>4558</v>
      </c>
      <c r="HZ39" s="1408" t="s">
        <v>2514</v>
      </c>
      <c r="IA39" s="1408" t="s">
        <v>6900</v>
      </c>
      <c r="IB39" s="1408" t="s">
        <v>2514</v>
      </c>
      <c r="IC39" s="1408" t="s">
        <v>4647</v>
      </c>
      <c r="ID39" s="1408" t="s">
        <v>2514</v>
      </c>
      <c r="IE39" s="1408" t="s">
        <v>2252</v>
      </c>
      <c r="IF39" s="1408" t="s">
        <v>2514</v>
      </c>
      <c r="IG39" s="1408" t="s">
        <v>5270</v>
      </c>
      <c r="IH39" s="1408" t="s">
        <v>2514</v>
      </c>
      <c r="II39" s="1408" t="s">
        <v>4916</v>
      </c>
      <c r="IJ39" s="1408" t="s">
        <v>2514</v>
      </c>
      <c r="IK39" s="1408" t="s">
        <v>5020</v>
      </c>
      <c r="IL39" s="1408" t="s">
        <v>2514</v>
      </c>
      <c r="IM39" s="1408" t="s">
        <v>6774</v>
      </c>
      <c r="IN39" s="1408" t="s">
        <v>2514</v>
      </c>
      <c r="IO39" s="1408" t="s">
        <v>5065</v>
      </c>
      <c r="IP39" s="1408" t="s">
        <v>2514</v>
      </c>
      <c r="IQ39" s="1408" t="s">
        <v>4136</v>
      </c>
      <c r="IR39" s="1408" t="s">
        <v>2514</v>
      </c>
      <c r="IS39" s="1408" t="s">
        <v>6547</v>
      </c>
      <c r="IT39" s="1408" t="s">
        <v>2514</v>
      </c>
      <c r="IU39" s="1408" t="s">
        <v>4280</v>
      </c>
      <c r="IV39" s="1408" t="s">
        <v>2514</v>
      </c>
    </row>
    <row r="40" spans="1:256" s="1408" customFormat="1">
      <c r="A40" s="1408" t="s">
        <v>2440</v>
      </c>
      <c r="B40" s="1408" t="s">
        <v>2514</v>
      </c>
      <c r="C40" s="1408" t="s">
        <v>4047</v>
      </c>
      <c r="D40" s="1408" t="s">
        <v>2514</v>
      </c>
      <c r="E40" s="1408" t="s">
        <v>5685</v>
      </c>
      <c r="F40" s="1408" t="s">
        <v>2514</v>
      </c>
      <c r="G40" s="1408" t="s">
        <v>2635</v>
      </c>
      <c r="H40" s="1408" t="s">
        <v>2514</v>
      </c>
      <c r="I40" s="1408" t="s">
        <v>4977</v>
      </c>
      <c r="J40" s="1408" t="s">
        <v>2514</v>
      </c>
      <c r="K40" s="1408" t="s">
        <v>1741</v>
      </c>
      <c r="L40" s="1408" t="s">
        <v>2514</v>
      </c>
      <c r="M40" s="1408" t="s">
        <v>2556</v>
      </c>
      <c r="N40" s="1408" t="s">
        <v>2514</v>
      </c>
      <c r="O40" s="1408" t="s">
        <v>1951</v>
      </c>
      <c r="P40" s="1408" t="s">
        <v>2514</v>
      </c>
      <c r="Q40" s="1408" t="s">
        <v>6523</v>
      </c>
      <c r="R40" s="1408" t="s">
        <v>2514</v>
      </c>
      <c r="S40" s="1408" t="s">
        <v>147</v>
      </c>
      <c r="T40" s="1408" t="s">
        <v>2514</v>
      </c>
      <c r="U40" s="1408" t="s">
        <v>1895</v>
      </c>
      <c r="V40" s="1408" t="s">
        <v>2514</v>
      </c>
      <c r="W40" s="1408" t="s">
        <v>5040</v>
      </c>
      <c r="X40" s="1408" t="s">
        <v>2514</v>
      </c>
      <c r="Y40" s="1408" t="s">
        <v>2148</v>
      </c>
      <c r="Z40" s="1408" t="s">
        <v>2514</v>
      </c>
      <c r="AA40" s="1408" t="s">
        <v>3163</v>
      </c>
      <c r="AB40" s="1408" t="s">
        <v>2514</v>
      </c>
      <c r="AC40" s="1408" t="s">
        <v>438</v>
      </c>
      <c r="AD40" s="1408" t="s">
        <v>2514</v>
      </c>
      <c r="AE40" s="1408" t="s">
        <v>1779</v>
      </c>
      <c r="AF40" s="1408" t="s">
        <v>2514</v>
      </c>
      <c r="AG40" s="1408" t="s">
        <v>1920</v>
      </c>
      <c r="AH40" s="1408" t="s">
        <v>2514</v>
      </c>
      <c r="AI40" s="1408" t="s">
        <v>3071</v>
      </c>
      <c r="AJ40" s="1408" t="s">
        <v>2514</v>
      </c>
      <c r="AK40" s="1408" t="s">
        <v>2604</v>
      </c>
      <c r="AL40" s="1408" t="s">
        <v>2514</v>
      </c>
      <c r="AM40" s="1408" t="s">
        <v>2693</v>
      </c>
      <c r="AN40" s="1408" t="s">
        <v>2514</v>
      </c>
      <c r="AO40" s="1408" t="s">
        <v>424</v>
      </c>
      <c r="AP40" s="1408" t="s">
        <v>2514</v>
      </c>
      <c r="AQ40" s="1408" t="s">
        <v>3214</v>
      </c>
      <c r="AR40" s="1408" t="s">
        <v>2514</v>
      </c>
      <c r="AS40" s="1408" t="s">
        <v>2666</v>
      </c>
      <c r="AT40" s="1408" t="s">
        <v>2514</v>
      </c>
      <c r="AU40" s="1408" t="s">
        <v>2463</v>
      </c>
      <c r="AV40" s="1408" t="s">
        <v>2514</v>
      </c>
      <c r="AW40" s="1408" t="s">
        <v>6520</v>
      </c>
      <c r="AX40" s="1408" t="s">
        <v>2514</v>
      </c>
      <c r="AY40" s="1408" t="s">
        <v>4531</v>
      </c>
      <c r="AZ40" s="1408" t="s">
        <v>2514</v>
      </c>
      <c r="BA40" s="1408" t="s">
        <v>2296</v>
      </c>
      <c r="BB40" s="1408" t="s">
        <v>2514</v>
      </c>
      <c r="BC40" s="1408" t="s">
        <v>6118</v>
      </c>
      <c r="BD40" s="1408" t="s">
        <v>2514</v>
      </c>
      <c r="BE40" s="1408" t="s">
        <v>1128</v>
      </c>
      <c r="BF40" s="1408" t="s">
        <v>2514</v>
      </c>
      <c r="BG40" s="1408" t="s">
        <v>6659</v>
      </c>
      <c r="BH40" s="1408" t="s">
        <v>2514</v>
      </c>
      <c r="BI40" s="1408" t="s">
        <v>197</v>
      </c>
      <c r="BJ40" s="1408" t="s">
        <v>2514</v>
      </c>
      <c r="BK40" s="1408" t="s">
        <v>4856</v>
      </c>
      <c r="BL40" s="1408" t="s">
        <v>2514</v>
      </c>
      <c r="BM40" s="1408" t="s">
        <v>5772</v>
      </c>
      <c r="BN40" s="1408" t="s">
        <v>2514</v>
      </c>
      <c r="BO40" s="1408" t="s">
        <v>5103</v>
      </c>
      <c r="BP40" s="1408" t="s">
        <v>2514</v>
      </c>
      <c r="BQ40" s="1408" t="s">
        <v>1648</v>
      </c>
      <c r="BR40" s="1408" t="s">
        <v>2514</v>
      </c>
      <c r="BS40" s="1408" t="s">
        <v>6342</v>
      </c>
      <c r="BT40" s="1408" t="s">
        <v>2514</v>
      </c>
      <c r="BU40" s="1408" t="s">
        <v>4200</v>
      </c>
      <c r="BV40" s="1408" t="s">
        <v>2514</v>
      </c>
      <c r="BW40" s="1408" t="s">
        <v>280</v>
      </c>
      <c r="BX40" s="1408" t="s">
        <v>2514</v>
      </c>
      <c r="BY40" s="1408" t="s">
        <v>1112</v>
      </c>
      <c r="BZ40" s="1408" t="s">
        <v>2514</v>
      </c>
      <c r="CA40" s="1408" t="s">
        <v>2653</v>
      </c>
      <c r="CB40" s="1408" t="s">
        <v>2514</v>
      </c>
      <c r="CC40" s="1408" t="s">
        <v>5518</v>
      </c>
      <c r="CD40" s="1408" t="s">
        <v>2514</v>
      </c>
      <c r="CE40" s="1408" t="s">
        <v>4139</v>
      </c>
      <c r="CF40" s="1408" t="s">
        <v>2514</v>
      </c>
      <c r="CG40" s="1408" t="s">
        <v>6796</v>
      </c>
      <c r="CH40" s="1408" t="s">
        <v>2514</v>
      </c>
      <c r="CI40" s="1408" t="s">
        <v>6906</v>
      </c>
      <c r="CJ40" s="1408" t="s">
        <v>2514</v>
      </c>
      <c r="CK40" s="1408" t="s">
        <v>5037</v>
      </c>
      <c r="CL40" s="1408" t="s">
        <v>2514</v>
      </c>
      <c r="CM40" s="1408" t="s">
        <v>6665</v>
      </c>
      <c r="CN40" s="1408" t="s">
        <v>2514</v>
      </c>
      <c r="CO40" s="1408" t="s">
        <v>2013</v>
      </c>
      <c r="CP40" s="1408" t="s">
        <v>2514</v>
      </c>
      <c r="CQ40" s="1408" t="s">
        <v>1024</v>
      </c>
      <c r="CR40" s="1408" t="s">
        <v>2514</v>
      </c>
      <c r="CS40" s="1408" t="s">
        <v>4213</v>
      </c>
      <c r="CT40" s="1408" t="s">
        <v>2514</v>
      </c>
      <c r="CU40" s="1408" t="s">
        <v>1208</v>
      </c>
      <c r="CV40" s="1408" t="s">
        <v>2514</v>
      </c>
      <c r="CW40" s="1408" t="s">
        <v>1781</v>
      </c>
      <c r="CX40" s="1408" t="s">
        <v>2514</v>
      </c>
      <c r="CY40" s="1408" t="s">
        <v>3634</v>
      </c>
      <c r="CZ40" s="1408" t="s">
        <v>2514</v>
      </c>
      <c r="DA40" s="1408" t="s">
        <v>2714</v>
      </c>
      <c r="DB40" s="1408" t="s">
        <v>2514</v>
      </c>
      <c r="DC40" s="1408" t="s">
        <v>6282</v>
      </c>
      <c r="DD40" s="1408" t="s">
        <v>2514</v>
      </c>
      <c r="DE40" s="1408" t="s">
        <v>4368</v>
      </c>
      <c r="DF40" s="1408" t="s">
        <v>2514</v>
      </c>
      <c r="DG40" s="1408" t="s">
        <v>3579</v>
      </c>
      <c r="DH40" s="1408" t="s">
        <v>2514</v>
      </c>
      <c r="DI40" s="1408" t="s">
        <v>629</v>
      </c>
      <c r="DJ40" s="1408" t="s">
        <v>2514</v>
      </c>
      <c r="DK40" s="1408" t="s">
        <v>3129</v>
      </c>
      <c r="DL40" s="1408" t="s">
        <v>2514</v>
      </c>
      <c r="DM40" s="1408" t="s">
        <v>2570</v>
      </c>
      <c r="DN40" s="1408" t="s">
        <v>2514</v>
      </c>
      <c r="DO40" s="1408" t="s">
        <v>2968</v>
      </c>
      <c r="DP40" s="1408" t="s">
        <v>2514</v>
      </c>
      <c r="DQ40" s="1408" t="s">
        <v>1567</v>
      </c>
      <c r="DR40" s="1408" t="s">
        <v>2514</v>
      </c>
      <c r="DS40" s="1408" t="s">
        <v>245</v>
      </c>
      <c r="DT40" s="1408" t="s">
        <v>2514</v>
      </c>
      <c r="DU40" s="1408" t="s">
        <v>2812</v>
      </c>
      <c r="DV40" s="1408" t="s">
        <v>2514</v>
      </c>
      <c r="DW40" s="1408" t="s">
        <v>2092</v>
      </c>
      <c r="DX40" s="1408" t="s">
        <v>2514</v>
      </c>
      <c r="DY40" s="1408" t="s">
        <v>933</v>
      </c>
      <c r="DZ40" s="1408" t="s">
        <v>2514</v>
      </c>
      <c r="EA40" s="1408" t="s">
        <v>6017</v>
      </c>
      <c r="EB40" s="1408" t="s">
        <v>2514</v>
      </c>
      <c r="EC40" s="1408" t="s">
        <v>698</v>
      </c>
      <c r="ED40" s="1408" t="s">
        <v>2514</v>
      </c>
      <c r="EE40" s="1408" t="s">
        <v>5769</v>
      </c>
      <c r="EF40" s="1408" t="s">
        <v>2514</v>
      </c>
      <c r="EG40" s="1408" t="s">
        <v>6894</v>
      </c>
      <c r="EH40" s="1408" t="s">
        <v>2514</v>
      </c>
      <c r="EI40" s="1408" t="s">
        <v>5938</v>
      </c>
      <c r="EJ40" s="1408" t="s">
        <v>2514</v>
      </c>
      <c r="EK40" s="1408" t="s">
        <v>5194</v>
      </c>
      <c r="EL40" s="1408" t="s">
        <v>2514</v>
      </c>
      <c r="EM40" s="1408" t="s">
        <v>6726</v>
      </c>
      <c r="EN40" s="1408" t="s">
        <v>2514</v>
      </c>
      <c r="EO40" s="1408" t="s">
        <v>570</v>
      </c>
      <c r="EP40" s="1408" t="s">
        <v>2514</v>
      </c>
      <c r="EQ40" s="1408" t="s">
        <v>538</v>
      </c>
      <c r="ER40" s="1408" t="s">
        <v>2514</v>
      </c>
      <c r="ES40" s="1408" t="s">
        <v>5219</v>
      </c>
      <c r="ET40" s="1408" t="s">
        <v>2514</v>
      </c>
      <c r="EU40" s="1408" t="s">
        <v>5067</v>
      </c>
      <c r="EV40" s="1408" t="s">
        <v>2514</v>
      </c>
      <c r="EW40" s="1408" t="s">
        <v>2225</v>
      </c>
      <c r="EX40" s="1408" t="s">
        <v>2514</v>
      </c>
      <c r="EY40" s="1408" t="s">
        <v>2048</v>
      </c>
      <c r="EZ40" s="1408" t="s">
        <v>2514</v>
      </c>
      <c r="FA40" s="1408" t="s">
        <v>2032</v>
      </c>
      <c r="FB40" s="1408" t="s">
        <v>2514</v>
      </c>
      <c r="FC40" s="1408" t="s">
        <v>5967</v>
      </c>
      <c r="FD40" s="1408" t="s">
        <v>2514</v>
      </c>
      <c r="FE40" s="1408" t="s">
        <v>5283</v>
      </c>
      <c r="FF40" s="1408" t="s">
        <v>2514</v>
      </c>
      <c r="FG40" s="1408" t="s">
        <v>806</v>
      </c>
      <c r="FH40" s="1408" t="s">
        <v>2514</v>
      </c>
      <c r="FI40" s="1408" t="s">
        <v>1725</v>
      </c>
      <c r="FJ40" s="1408" t="s">
        <v>2514</v>
      </c>
      <c r="FK40" s="1408" t="s">
        <v>1818</v>
      </c>
      <c r="FL40" s="1408" t="s">
        <v>2514</v>
      </c>
      <c r="FM40" s="1408" t="s">
        <v>3565</v>
      </c>
      <c r="FN40" s="1408" t="s">
        <v>2514</v>
      </c>
      <c r="FO40" s="1408" t="s">
        <v>5673</v>
      </c>
      <c r="FP40" s="1408" t="s">
        <v>2514</v>
      </c>
      <c r="FQ40" s="1408" t="s">
        <v>2923</v>
      </c>
      <c r="FR40" s="1408" t="s">
        <v>2514</v>
      </c>
      <c r="FS40" s="1408" t="s">
        <v>6137</v>
      </c>
      <c r="FT40" s="1408" t="s">
        <v>2514</v>
      </c>
      <c r="FU40" s="1408" t="s">
        <v>3535</v>
      </c>
      <c r="FV40" s="1408" t="s">
        <v>2514</v>
      </c>
      <c r="FW40" s="1408" t="s">
        <v>4217</v>
      </c>
      <c r="FX40" s="1408" t="s">
        <v>2514</v>
      </c>
      <c r="FY40" s="1408" t="s">
        <v>5371</v>
      </c>
      <c r="FZ40" s="1408" t="s">
        <v>2514</v>
      </c>
      <c r="GA40" s="1408" t="s">
        <v>6711</v>
      </c>
      <c r="GB40" s="1408" t="s">
        <v>2514</v>
      </c>
      <c r="GC40" s="1408" t="s">
        <v>3919</v>
      </c>
      <c r="GD40" s="1408" t="s">
        <v>2514</v>
      </c>
      <c r="GE40" s="1408" t="s">
        <v>2444</v>
      </c>
      <c r="GF40" s="1408" t="s">
        <v>2514</v>
      </c>
      <c r="GG40" s="1408" t="s">
        <v>6270</v>
      </c>
      <c r="GH40" s="1408" t="s">
        <v>2514</v>
      </c>
      <c r="GI40" s="1408" t="s">
        <v>45</v>
      </c>
      <c r="GJ40" s="1408" t="s">
        <v>2514</v>
      </c>
      <c r="GK40" s="1408" t="s">
        <v>5870</v>
      </c>
      <c r="GL40" s="1408" t="s">
        <v>2514</v>
      </c>
      <c r="GM40" s="1408" t="s">
        <v>5449</v>
      </c>
      <c r="GN40" s="1408" t="s">
        <v>2514</v>
      </c>
      <c r="GO40" s="1408" t="s">
        <v>1906</v>
      </c>
      <c r="GP40" s="1408" t="s">
        <v>2514</v>
      </c>
      <c r="GQ40" s="1408" t="s">
        <v>6382</v>
      </c>
      <c r="GR40" s="1408" t="s">
        <v>2514</v>
      </c>
      <c r="GS40" s="1408" t="s">
        <v>6772</v>
      </c>
      <c r="GT40" s="1408" t="s">
        <v>2514</v>
      </c>
      <c r="GU40" s="1408" t="s">
        <v>4274</v>
      </c>
      <c r="GV40" s="1408" t="s">
        <v>2514</v>
      </c>
      <c r="GW40" s="1408" t="s">
        <v>4488</v>
      </c>
      <c r="GX40" s="1408" t="s">
        <v>2514</v>
      </c>
      <c r="GY40" s="1408" t="s">
        <v>3850</v>
      </c>
      <c r="GZ40" s="1408" t="s">
        <v>2514</v>
      </c>
      <c r="HA40" s="1408" t="s">
        <v>4128</v>
      </c>
      <c r="HB40" s="1408" t="s">
        <v>2514</v>
      </c>
      <c r="HC40" s="1408" t="s">
        <v>6753</v>
      </c>
      <c r="HD40" s="1408" t="s">
        <v>2514</v>
      </c>
      <c r="HE40" s="1408" t="s">
        <v>4890</v>
      </c>
      <c r="HF40" s="1408" t="s">
        <v>2514</v>
      </c>
      <c r="HG40" s="1408" t="s">
        <v>6313</v>
      </c>
      <c r="HH40" s="1408" t="s">
        <v>2514</v>
      </c>
      <c r="HI40" s="1408" t="s">
        <v>5976</v>
      </c>
      <c r="HJ40" s="1408" t="s">
        <v>2514</v>
      </c>
      <c r="HK40" s="1408" t="s">
        <v>533</v>
      </c>
      <c r="HL40" s="1408" t="s">
        <v>2514</v>
      </c>
      <c r="HM40" s="1408" t="s">
        <v>888</v>
      </c>
      <c r="HN40" s="1408" t="s">
        <v>2514</v>
      </c>
      <c r="HO40" s="1408" t="s">
        <v>492</v>
      </c>
      <c r="HP40" s="1408" t="s">
        <v>2514</v>
      </c>
      <c r="HQ40" s="1408" t="s">
        <v>908</v>
      </c>
      <c r="HR40" s="1408" t="s">
        <v>2514</v>
      </c>
      <c r="HS40" s="1408" t="s">
        <v>4390</v>
      </c>
      <c r="HT40" s="1408" t="s">
        <v>2514</v>
      </c>
      <c r="HU40" s="1408" t="s">
        <v>6788</v>
      </c>
      <c r="HV40" s="1408" t="s">
        <v>2514</v>
      </c>
      <c r="HW40" s="1408" t="s">
        <v>5009</v>
      </c>
      <c r="HX40" s="1408" t="s">
        <v>2514</v>
      </c>
      <c r="HY40" s="1408" t="s">
        <v>6583</v>
      </c>
      <c r="HZ40" s="1408" t="s">
        <v>2514</v>
      </c>
      <c r="IA40" s="1408" t="s">
        <v>6046</v>
      </c>
      <c r="IB40" s="1408" t="s">
        <v>2514</v>
      </c>
      <c r="IC40" s="1408" t="s">
        <v>3780</v>
      </c>
      <c r="ID40" s="1408" t="s">
        <v>2514</v>
      </c>
      <c r="IE40" s="1408" t="s">
        <v>5943</v>
      </c>
      <c r="IF40" s="1408" t="s">
        <v>2514</v>
      </c>
      <c r="IG40" s="1408" t="s">
        <v>6625</v>
      </c>
      <c r="IH40" s="1408" t="s">
        <v>2514</v>
      </c>
      <c r="II40" s="1408" t="s">
        <v>689</v>
      </c>
      <c r="IJ40" s="1408" t="s">
        <v>2514</v>
      </c>
      <c r="IK40" s="1408" t="s">
        <v>2961</v>
      </c>
      <c r="IL40" s="1408" t="s">
        <v>2514</v>
      </c>
      <c r="IM40" s="1408" t="s">
        <v>5414</v>
      </c>
      <c r="IN40" s="1408" t="s">
        <v>2514</v>
      </c>
      <c r="IO40" s="1408" t="s">
        <v>1870</v>
      </c>
      <c r="IP40" s="1408" t="s">
        <v>2514</v>
      </c>
      <c r="IQ40" s="1408" t="s">
        <v>867</v>
      </c>
      <c r="IR40" s="1408" t="s">
        <v>2514</v>
      </c>
      <c r="IS40" s="1408" t="s">
        <v>2970</v>
      </c>
      <c r="IT40" s="1408" t="s">
        <v>2514</v>
      </c>
      <c r="IU40" s="1408" t="s">
        <v>1816</v>
      </c>
      <c r="IV40" s="1408" t="s">
        <v>2514</v>
      </c>
    </row>
    <row r="41" spans="1:256" s="1408" customFormat="1">
      <c r="A41" s="1408" t="s">
        <v>3521</v>
      </c>
      <c r="B41" s="1408" t="s">
        <v>2514</v>
      </c>
      <c r="C41" s="1408" t="s">
        <v>1224</v>
      </c>
      <c r="D41" s="1408" t="s">
        <v>2514</v>
      </c>
      <c r="E41" s="1408" t="s">
        <v>4045</v>
      </c>
      <c r="F41" s="1408" t="s">
        <v>2514</v>
      </c>
      <c r="G41" s="1408" t="s">
        <v>3866</v>
      </c>
      <c r="H41" s="1408" t="s">
        <v>2514</v>
      </c>
      <c r="I41" s="1408" t="s">
        <v>3221</v>
      </c>
      <c r="J41" s="1408" t="s">
        <v>2514</v>
      </c>
      <c r="K41" s="1408" t="s">
        <v>2660</v>
      </c>
      <c r="L41" s="1408" t="s">
        <v>2514</v>
      </c>
      <c r="M41" s="1408" t="s">
        <v>3209</v>
      </c>
      <c r="N41" s="1408" t="s">
        <v>2514</v>
      </c>
      <c r="O41" s="1408" t="s">
        <v>1590</v>
      </c>
      <c r="P41" s="1408" t="s">
        <v>2514</v>
      </c>
      <c r="Q41" s="1408" t="s">
        <v>4838</v>
      </c>
      <c r="R41" s="1408" t="s">
        <v>2514</v>
      </c>
      <c r="S41" s="1408" t="s">
        <v>5794</v>
      </c>
      <c r="T41" s="1408" t="s">
        <v>2514</v>
      </c>
      <c r="U41" s="1408" t="s">
        <v>3831</v>
      </c>
      <c r="V41" s="1408" t="s">
        <v>2514</v>
      </c>
      <c r="W41" s="1408" t="s">
        <v>3378</v>
      </c>
      <c r="X41" s="1408" t="s">
        <v>2514</v>
      </c>
      <c r="Y41" s="1408" t="s">
        <v>6575</v>
      </c>
      <c r="Z41" s="1408" t="s">
        <v>2514</v>
      </c>
      <c r="AA41" s="1408" t="s">
        <v>3193</v>
      </c>
      <c r="AB41" s="1408" t="s">
        <v>2514</v>
      </c>
      <c r="AC41" s="1408" t="s">
        <v>5471</v>
      </c>
      <c r="AD41" s="1408" t="s">
        <v>2514</v>
      </c>
      <c r="AE41" s="1408" t="s">
        <v>4007</v>
      </c>
      <c r="AF41" s="1408" t="s">
        <v>2514</v>
      </c>
      <c r="AG41" s="1408" t="s">
        <v>5201</v>
      </c>
      <c r="AH41" s="1408" t="s">
        <v>2514</v>
      </c>
      <c r="AI41" s="1408" t="s">
        <v>4167</v>
      </c>
      <c r="AJ41" s="1408" t="s">
        <v>2514</v>
      </c>
      <c r="AK41" s="1408" t="s">
        <v>3473</v>
      </c>
      <c r="AL41" s="1408" t="s">
        <v>2514</v>
      </c>
      <c r="AM41" s="1408" t="s">
        <v>2873</v>
      </c>
      <c r="AN41" s="1408" t="s">
        <v>2514</v>
      </c>
      <c r="AO41" s="1408" t="s">
        <v>5422</v>
      </c>
      <c r="AP41" s="1408" t="s">
        <v>2514</v>
      </c>
      <c r="AQ41" s="1408" t="s">
        <v>3993</v>
      </c>
      <c r="AR41" s="1408" t="s">
        <v>2514</v>
      </c>
      <c r="AS41" s="1408" t="s">
        <v>3455</v>
      </c>
      <c r="AT41" s="1408" t="s">
        <v>2514</v>
      </c>
      <c r="AU41" s="1408" t="s">
        <v>4125</v>
      </c>
      <c r="AV41" s="1408" t="s">
        <v>2514</v>
      </c>
      <c r="AW41" s="1408" t="s">
        <v>2028</v>
      </c>
      <c r="AX41" s="1408" t="s">
        <v>2514</v>
      </c>
      <c r="AY41" s="1408" t="s">
        <v>5873</v>
      </c>
      <c r="AZ41" s="1408" t="s">
        <v>2514</v>
      </c>
      <c r="BA41" s="1408" t="s">
        <v>5829</v>
      </c>
      <c r="BB41" s="1408" t="s">
        <v>2514</v>
      </c>
      <c r="BC41" s="1408" t="s">
        <v>5767</v>
      </c>
      <c r="BD41" s="1408" t="s">
        <v>2514</v>
      </c>
      <c r="BE41" s="1408" t="s">
        <v>5880</v>
      </c>
      <c r="BF41" s="1408" t="s">
        <v>2514</v>
      </c>
      <c r="BG41" s="1408" t="s">
        <v>2441</v>
      </c>
      <c r="BH41" s="1408" t="s">
        <v>2514</v>
      </c>
      <c r="BI41" s="1408" t="s">
        <v>1765</v>
      </c>
      <c r="BJ41" s="1408" t="s">
        <v>2514</v>
      </c>
      <c r="BK41" s="1408" t="s">
        <v>871</v>
      </c>
      <c r="BL41" s="1408" t="s">
        <v>2514</v>
      </c>
      <c r="BM41" s="1408" t="s">
        <v>166</v>
      </c>
      <c r="BN41" s="1408" t="s">
        <v>2514</v>
      </c>
      <c r="BO41" s="1408" t="s">
        <v>63</v>
      </c>
      <c r="BP41" s="1408" t="s">
        <v>2514</v>
      </c>
      <c r="BQ41" s="1408" t="s">
        <v>1892</v>
      </c>
      <c r="BR41" s="1408" t="s">
        <v>2514</v>
      </c>
      <c r="BS41" s="1408" t="s">
        <v>5932</v>
      </c>
      <c r="BT41" s="1408" t="s">
        <v>2514</v>
      </c>
      <c r="BU41" s="1408" t="s">
        <v>2200</v>
      </c>
      <c r="BV41" s="1408" t="s">
        <v>2514</v>
      </c>
      <c r="BW41" s="1408" t="s">
        <v>6618</v>
      </c>
      <c r="BX41" s="1408" t="s">
        <v>2514</v>
      </c>
      <c r="BY41" s="1408" t="s">
        <v>862</v>
      </c>
      <c r="BZ41" s="1408" t="s">
        <v>2514</v>
      </c>
      <c r="CA41" s="1408" t="s">
        <v>3923</v>
      </c>
      <c r="CB41" s="1408" t="s">
        <v>2514</v>
      </c>
      <c r="CC41" s="1408" t="s">
        <v>5438</v>
      </c>
      <c r="CD41" s="1408" t="s">
        <v>2514</v>
      </c>
      <c r="CE41" s="1408" t="s">
        <v>4216</v>
      </c>
      <c r="CF41" s="1408" t="s">
        <v>2514</v>
      </c>
      <c r="CG41" s="1408" t="s">
        <v>2894</v>
      </c>
      <c r="CH41" s="1408" t="s">
        <v>2514</v>
      </c>
      <c r="CI41" s="1408" t="s">
        <v>5972</v>
      </c>
      <c r="CJ41" s="1408" t="s">
        <v>2514</v>
      </c>
      <c r="CK41" s="1408" t="s">
        <v>6729</v>
      </c>
      <c r="CL41" s="1408" t="s">
        <v>2514</v>
      </c>
      <c r="CM41" s="1408" t="s">
        <v>1805</v>
      </c>
      <c r="CN41" s="1408" t="s">
        <v>2514</v>
      </c>
      <c r="CO41" s="1408" t="s">
        <v>5330</v>
      </c>
      <c r="CP41" s="1408" t="s">
        <v>2514</v>
      </c>
      <c r="CQ41" s="1408" t="s">
        <v>5839</v>
      </c>
      <c r="CR41" s="1408" t="s">
        <v>2514</v>
      </c>
      <c r="CS41" s="1408" t="s">
        <v>1865</v>
      </c>
      <c r="CT41" s="1408" t="s">
        <v>2514</v>
      </c>
      <c r="CU41" s="1408" t="s">
        <v>2935</v>
      </c>
      <c r="CV41" s="1408" t="s">
        <v>2514</v>
      </c>
      <c r="CW41" s="1408" t="s">
        <v>3402</v>
      </c>
      <c r="CX41" s="1408" t="s">
        <v>2514</v>
      </c>
      <c r="CY41" s="1408" t="s">
        <v>5413</v>
      </c>
      <c r="CZ41" s="1408" t="s">
        <v>2514</v>
      </c>
      <c r="DA41" s="1408" t="s">
        <v>5723</v>
      </c>
      <c r="DB41" s="1408" t="s">
        <v>2514</v>
      </c>
      <c r="DC41" s="1408" t="s">
        <v>2437</v>
      </c>
      <c r="DD41" s="1408" t="s">
        <v>2514</v>
      </c>
      <c r="DE41" s="1408" t="s">
        <v>6124</v>
      </c>
      <c r="DF41" s="1408" t="s">
        <v>2514</v>
      </c>
      <c r="DG41" s="1408" t="s">
        <v>6749</v>
      </c>
      <c r="DH41" s="1408" t="s">
        <v>2514</v>
      </c>
      <c r="DI41" s="1408" t="s">
        <v>112</v>
      </c>
      <c r="DJ41" s="1408" t="s">
        <v>2514</v>
      </c>
      <c r="DK41" s="1408" t="s">
        <v>1405</v>
      </c>
      <c r="DL41" s="1408" t="s">
        <v>2514</v>
      </c>
      <c r="DM41" s="1408" t="s">
        <v>1306</v>
      </c>
      <c r="DN41" s="1408" t="s">
        <v>2514</v>
      </c>
      <c r="DO41" s="1408" t="s">
        <v>3717</v>
      </c>
      <c r="DP41" s="1408" t="s">
        <v>2514</v>
      </c>
      <c r="DQ41" s="1408" t="s">
        <v>3890</v>
      </c>
      <c r="DR41" s="1408" t="s">
        <v>2514</v>
      </c>
      <c r="DS41" s="1408" t="s">
        <v>3250</v>
      </c>
      <c r="DT41" s="1408" t="s">
        <v>2514</v>
      </c>
      <c r="DU41" s="1408" t="s">
        <v>4340</v>
      </c>
      <c r="DV41" s="1408" t="s">
        <v>2514</v>
      </c>
      <c r="DW41" s="1408" t="s">
        <v>4925</v>
      </c>
      <c r="DX41" s="1408" t="s">
        <v>2514</v>
      </c>
      <c r="DY41" s="1408" t="s">
        <v>6161</v>
      </c>
      <c r="DZ41" s="1408" t="s">
        <v>2514</v>
      </c>
      <c r="EA41" s="1408" t="s">
        <v>81</v>
      </c>
      <c r="EB41" s="1408" t="s">
        <v>2514</v>
      </c>
      <c r="EC41" s="1408" t="s">
        <v>1419</v>
      </c>
      <c r="ED41" s="1408" t="s">
        <v>2514</v>
      </c>
      <c r="EE41" s="1408" t="s">
        <v>4903</v>
      </c>
      <c r="EF41" s="1408" t="s">
        <v>2514</v>
      </c>
      <c r="EG41" s="1408" t="s">
        <v>3743</v>
      </c>
      <c r="EH41" s="1408" t="s">
        <v>2514</v>
      </c>
      <c r="EI41" s="1408" t="s">
        <v>1514</v>
      </c>
      <c r="EJ41" s="1408" t="s">
        <v>2514</v>
      </c>
      <c r="EK41" s="1408" t="s">
        <v>896</v>
      </c>
      <c r="EL41" s="1408" t="s">
        <v>2514</v>
      </c>
      <c r="EM41" s="1408" t="s">
        <v>279</v>
      </c>
      <c r="EN41" s="1408" t="s">
        <v>2514</v>
      </c>
      <c r="EO41" s="1408" t="s">
        <v>4776</v>
      </c>
      <c r="EP41" s="1408" t="s">
        <v>2514</v>
      </c>
      <c r="EQ41" s="1408" t="s">
        <v>2342</v>
      </c>
      <c r="ER41" s="1408" t="s">
        <v>2514</v>
      </c>
      <c r="ES41" s="1408" t="s">
        <v>47</v>
      </c>
      <c r="ET41" s="1408" t="s">
        <v>2514</v>
      </c>
      <c r="EU41" s="1408" t="s">
        <v>4958</v>
      </c>
      <c r="EV41" s="1408" t="s">
        <v>2514</v>
      </c>
      <c r="EW41" s="1408" t="s">
        <v>3068</v>
      </c>
      <c r="EX41" s="1408" t="s">
        <v>2514</v>
      </c>
      <c r="EY41" s="1408" t="s">
        <v>6725</v>
      </c>
      <c r="EZ41" s="1408" t="s">
        <v>2514</v>
      </c>
      <c r="FA41" s="1408" t="s">
        <v>2412</v>
      </c>
      <c r="FB41" s="1408" t="s">
        <v>2514</v>
      </c>
      <c r="FC41" s="1408" t="s">
        <v>934</v>
      </c>
      <c r="FD41" s="1408" t="s">
        <v>2514</v>
      </c>
      <c r="FE41" s="1408" t="s">
        <v>4269</v>
      </c>
      <c r="FF41" s="1408" t="s">
        <v>2514</v>
      </c>
      <c r="FG41" s="1408" t="s">
        <v>271</v>
      </c>
      <c r="FH41" s="1408" t="s">
        <v>2514</v>
      </c>
      <c r="FI41" s="1408" t="s">
        <v>1703</v>
      </c>
      <c r="FJ41" s="1408" t="s">
        <v>2514</v>
      </c>
      <c r="FK41" s="1408" t="s">
        <v>4188</v>
      </c>
      <c r="FL41" s="1408" t="s">
        <v>2514</v>
      </c>
      <c r="FM41" s="1408" t="s">
        <v>569</v>
      </c>
      <c r="FN41" s="1408" t="s">
        <v>2514</v>
      </c>
      <c r="FO41" s="1408" t="s">
        <v>4883</v>
      </c>
      <c r="FP41" s="1408" t="s">
        <v>2514</v>
      </c>
      <c r="FQ41" s="1408" t="s">
        <v>2632</v>
      </c>
      <c r="FR41" s="1408" t="s">
        <v>2514</v>
      </c>
      <c r="FS41" s="1408" t="s">
        <v>3844</v>
      </c>
      <c r="FT41" s="1408" t="s">
        <v>2514</v>
      </c>
      <c r="FU41" s="1408" t="s">
        <v>2624</v>
      </c>
      <c r="FV41" s="1408" t="s">
        <v>2514</v>
      </c>
      <c r="FW41" s="1408" t="s">
        <v>6578</v>
      </c>
      <c r="FX41" s="1408" t="s">
        <v>2514</v>
      </c>
      <c r="FY41" s="1408" t="s">
        <v>2991</v>
      </c>
      <c r="FZ41" s="1408" t="s">
        <v>2514</v>
      </c>
      <c r="GA41" s="1408" t="s">
        <v>3680</v>
      </c>
      <c r="GB41" s="1408" t="s">
        <v>2514</v>
      </c>
      <c r="GC41" s="1408" t="s">
        <v>2448</v>
      </c>
      <c r="GD41" s="1408" t="s">
        <v>2514</v>
      </c>
      <c r="GE41" s="1408" t="s">
        <v>3431</v>
      </c>
      <c r="GF41" s="1408" t="s">
        <v>2514</v>
      </c>
      <c r="GG41" s="1408" t="s">
        <v>13</v>
      </c>
      <c r="GH41" s="1408" t="s">
        <v>2514</v>
      </c>
      <c r="GI41" s="1408" t="s">
        <v>5377</v>
      </c>
      <c r="GJ41" s="1408" t="s">
        <v>2514</v>
      </c>
      <c r="GK41" s="1408" t="s">
        <v>505</v>
      </c>
      <c r="GL41" s="1408" t="s">
        <v>2514</v>
      </c>
      <c r="GM41" s="1408" t="s">
        <v>5379</v>
      </c>
      <c r="GN41" s="1408" t="s">
        <v>2514</v>
      </c>
      <c r="GO41" s="1408" t="s">
        <v>6317</v>
      </c>
      <c r="GP41" s="1408" t="s">
        <v>2514</v>
      </c>
      <c r="GQ41" s="1408" t="s">
        <v>1254</v>
      </c>
      <c r="GR41" s="1408" t="s">
        <v>2514</v>
      </c>
      <c r="GS41" s="1408" t="s">
        <v>6279</v>
      </c>
      <c r="GT41" s="1408" t="s">
        <v>2514</v>
      </c>
      <c r="GU41" s="1408" t="s">
        <v>2858</v>
      </c>
      <c r="GV41" s="1408" t="s">
        <v>2514</v>
      </c>
      <c r="GW41" s="1408" t="s">
        <v>1324</v>
      </c>
      <c r="GX41" s="1408" t="s">
        <v>2514</v>
      </c>
      <c r="GY41" s="1408" t="s">
        <v>3021</v>
      </c>
      <c r="GZ41" s="1408" t="s">
        <v>2514</v>
      </c>
      <c r="HA41" s="1408" t="s">
        <v>877</v>
      </c>
      <c r="HB41" s="1408" t="s">
        <v>2514</v>
      </c>
      <c r="HC41" s="1408" t="s">
        <v>4225</v>
      </c>
      <c r="HD41" s="1408" t="s">
        <v>2514</v>
      </c>
      <c r="HE41" s="1408" t="s">
        <v>5837</v>
      </c>
      <c r="HF41" s="1408" t="s">
        <v>2514</v>
      </c>
      <c r="HG41" s="1408" t="s">
        <v>5725</v>
      </c>
      <c r="HH41" s="1408" t="s">
        <v>2514</v>
      </c>
      <c r="HI41" s="1408" t="s">
        <v>3848</v>
      </c>
      <c r="HJ41" s="1408" t="s">
        <v>2514</v>
      </c>
      <c r="HK41" s="1408" t="s">
        <v>6705</v>
      </c>
      <c r="HL41" s="1408" t="s">
        <v>2514</v>
      </c>
      <c r="HM41" s="1408" t="s">
        <v>3938</v>
      </c>
      <c r="HN41" s="1408" t="s">
        <v>2514</v>
      </c>
      <c r="HO41" s="1408" t="s">
        <v>250</v>
      </c>
      <c r="HP41" s="1408" t="s">
        <v>2514</v>
      </c>
      <c r="HQ41" s="1408" t="s">
        <v>383</v>
      </c>
      <c r="HR41" s="1408" t="s">
        <v>2514</v>
      </c>
      <c r="HS41" s="1408" t="s">
        <v>3079</v>
      </c>
      <c r="HT41" s="1408" t="s">
        <v>2514</v>
      </c>
      <c r="HU41" s="1408" t="s">
        <v>5863</v>
      </c>
      <c r="HV41" s="1408" t="s">
        <v>2514</v>
      </c>
      <c r="HW41" s="1408" t="s">
        <v>3728</v>
      </c>
      <c r="HX41" s="1408" t="s">
        <v>2514</v>
      </c>
      <c r="HY41" s="1408" t="s">
        <v>5064</v>
      </c>
      <c r="HZ41" s="1408" t="s">
        <v>2514</v>
      </c>
      <c r="IA41" s="1408" t="s">
        <v>4871</v>
      </c>
      <c r="IB41" s="1408" t="s">
        <v>2514</v>
      </c>
      <c r="IC41" s="1408" t="s">
        <v>5213</v>
      </c>
      <c r="ID41" s="1408" t="s">
        <v>2514</v>
      </c>
      <c r="IE41" s="1408" t="s">
        <v>5389</v>
      </c>
      <c r="IF41" s="1408" t="s">
        <v>2514</v>
      </c>
      <c r="IG41" s="1408" t="s">
        <v>2630</v>
      </c>
      <c r="IH41" s="1408" t="s">
        <v>2514</v>
      </c>
      <c r="II41" s="1408" t="s">
        <v>5918</v>
      </c>
      <c r="IJ41" s="1408" t="s">
        <v>2514</v>
      </c>
      <c r="IK41" s="1408" t="s">
        <v>2695</v>
      </c>
      <c r="IL41" s="1408" t="s">
        <v>2514</v>
      </c>
      <c r="IM41" s="1408" t="s">
        <v>2616</v>
      </c>
      <c r="IN41" s="1408" t="s">
        <v>2514</v>
      </c>
      <c r="IO41" s="1408" t="s">
        <v>4428</v>
      </c>
      <c r="IP41" s="1408" t="s">
        <v>2514</v>
      </c>
      <c r="IQ41" s="1408" t="s">
        <v>1727</v>
      </c>
      <c r="IR41" s="1408" t="s">
        <v>2514</v>
      </c>
      <c r="IS41" s="1408" t="s">
        <v>5532</v>
      </c>
      <c r="IT41" s="1408" t="s">
        <v>2514</v>
      </c>
      <c r="IU41" s="1408" t="s">
        <v>6531</v>
      </c>
      <c r="IV41" s="1408" t="s">
        <v>2514</v>
      </c>
    </row>
    <row r="42" spans="1:256" s="1408" customFormat="1">
      <c r="A42" s="1408" t="s">
        <v>3596</v>
      </c>
      <c r="B42" s="1408" t="s">
        <v>2514</v>
      </c>
      <c r="C42" s="1408" t="s">
        <v>4877</v>
      </c>
      <c r="D42" s="1408" t="s">
        <v>2514</v>
      </c>
      <c r="E42" s="1408" t="s">
        <v>2015</v>
      </c>
      <c r="F42" s="1408" t="s">
        <v>2514</v>
      </c>
      <c r="G42" s="1408" t="s">
        <v>4952</v>
      </c>
      <c r="H42" s="1408" t="s">
        <v>2514</v>
      </c>
      <c r="I42" s="1408" t="s">
        <v>2552</v>
      </c>
      <c r="J42" s="1408" t="s">
        <v>2514</v>
      </c>
      <c r="K42" s="1408" t="s">
        <v>766</v>
      </c>
      <c r="L42" s="1408" t="s">
        <v>2514</v>
      </c>
      <c r="M42" s="1408" t="s">
        <v>2406</v>
      </c>
      <c r="N42" s="1408" t="s">
        <v>2514</v>
      </c>
      <c r="O42" s="1408" t="s">
        <v>3864</v>
      </c>
      <c r="P42" s="1408" t="s">
        <v>2514</v>
      </c>
      <c r="Q42" s="1408" t="s">
        <v>4176</v>
      </c>
      <c r="R42" s="1408" t="s">
        <v>2514</v>
      </c>
      <c r="S42" s="1408" t="s">
        <v>5061</v>
      </c>
      <c r="T42" s="1408" t="s">
        <v>2514</v>
      </c>
      <c r="U42" s="1408" t="s">
        <v>6790</v>
      </c>
      <c r="V42" s="1408" t="s">
        <v>2514</v>
      </c>
      <c r="W42" s="1408" t="s">
        <v>5525</v>
      </c>
      <c r="X42" s="1408" t="s">
        <v>2514</v>
      </c>
      <c r="Y42" s="1408" t="s">
        <v>2934</v>
      </c>
      <c r="Z42" s="1408" t="s">
        <v>2514</v>
      </c>
      <c r="AA42" s="1408" t="s">
        <v>48</v>
      </c>
      <c r="AB42" s="1408" t="s">
        <v>2514</v>
      </c>
      <c r="AC42" s="1408" t="s">
        <v>1604</v>
      </c>
      <c r="AD42" s="1408" t="s">
        <v>2514</v>
      </c>
      <c r="AE42" s="1408" t="s">
        <v>2315</v>
      </c>
      <c r="AF42" s="1408" t="s">
        <v>2514</v>
      </c>
      <c r="AG42" s="1408" t="s">
        <v>4028</v>
      </c>
      <c r="AH42" s="1408" t="s">
        <v>2514</v>
      </c>
      <c r="AI42" s="1408" t="s">
        <v>19</v>
      </c>
      <c r="AJ42" s="1408" t="s">
        <v>2514</v>
      </c>
      <c r="AK42" s="1408" t="s">
        <v>4396</v>
      </c>
      <c r="AL42" s="1408" t="s">
        <v>2514</v>
      </c>
      <c r="AM42" s="1408" t="s">
        <v>6909</v>
      </c>
      <c r="AN42" s="1408" t="s">
        <v>2514</v>
      </c>
      <c r="AO42" s="1408" t="s">
        <v>607</v>
      </c>
      <c r="AP42" s="1408" t="s">
        <v>2514</v>
      </c>
      <c r="AQ42" s="1408" t="s">
        <v>2172</v>
      </c>
      <c r="AR42" s="1408" t="s">
        <v>2514</v>
      </c>
      <c r="AS42" s="1408" t="s">
        <v>263</v>
      </c>
      <c r="AT42" s="1408" t="s">
        <v>2514</v>
      </c>
      <c r="AU42" s="1408" t="s">
        <v>5268</v>
      </c>
      <c r="AV42" s="1408" t="s">
        <v>2514</v>
      </c>
      <c r="AW42" s="1408" t="s">
        <v>5080</v>
      </c>
      <c r="AX42" s="1408" t="s">
        <v>2514</v>
      </c>
      <c r="AY42" s="1408" t="s">
        <v>415</v>
      </c>
      <c r="AZ42" s="1408" t="s">
        <v>2514</v>
      </c>
      <c r="BA42" s="1408" t="s">
        <v>2366</v>
      </c>
      <c r="BB42" s="1408" t="s">
        <v>2514</v>
      </c>
      <c r="BC42" s="1408" t="s">
        <v>6316</v>
      </c>
      <c r="BD42" s="1408" t="s">
        <v>2514</v>
      </c>
      <c r="BE42" s="1408" t="s">
        <v>5159</v>
      </c>
      <c r="BF42" s="1408" t="s">
        <v>2514</v>
      </c>
      <c r="BG42" s="1408" t="s">
        <v>3914</v>
      </c>
      <c r="BH42" s="1408" t="s">
        <v>2514</v>
      </c>
      <c r="BI42" s="1408" t="s">
        <v>351</v>
      </c>
      <c r="BJ42" s="1408" t="s">
        <v>2514</v>
      </c>
      <c r="BK42" s="1408" t="s">
        <v>2691</v>
      </c>
      <c r="BL42" s="1408" t="s">
        <v>2514</v>
      </c>
      <c r="BM42" s="1408" t="s">
        <v>5016</v>
      </c>
      <c r="BN42" s="1408" t="s">
        <v>2514</v>
      </c>
      <c r="BO42" s="1408" t="s">
        <v>5990</v>
      </c>
      <c r="BP42" s="1408" t="s">
        <v>2514</v>
      </c>
      <c r="BQ42" s="1408" t="s">
        <v>2572</v>
      </c>
      <c r="BR42" s="1408" t="s">
        <v>2514</v>
      </c>
      <c r="BS42" s="1408" t="s">
        <v>3580</v>
      </c>
      <c r="BT42" s="1408" t="s">
        <v>2514</v>
      </c>
      <c r="BU42" s="1408" t="s">
        <v>1075</v>
      </c>
      <c r="BV42" s="1408" t="s">
        <v>2514</v>
      </c>
      <c r="BW42" s="1408" t="s">
        <v>726</v>
      </c>
      <c r="BX42" s="1408" t="s">
        <v>2514</v>
      </c>
      <c r="BY42" s="1408" t="s">
        <v>731</v>
      </c>
      <c r="BZ42" s="1408" t="s">
        <v>2514</v>
      </c>
      <c r="CA42" s="1408" t="s">
        <v>2679</v>
      </c>
      <c r="CB42" s="1408" t="s">
        <v>2514</v>
      </c>
      <c r="CC42" s="1408" t="s">
        <v>3969</v>
      </c>
      <c r="CD42" s="1408" t="s">
        <v>2514</v>
      </c>
      <c r="CE42" s="1408" t="s">
        <v>6381</v>
      </c>
      <c r="CF42" s="1408" t="s">
        <v>2514</v>
      </c>
      <c r="CG42" s="1408" t="s">
        <v>3168</v>
      </c>
      <c r="CH42" s="1408" t="s">
        <v>2514</v>
      </c>
      <c r="CI42" s="1408" t="s">
        <v>2110</v>
      </c>
      <c r="CJ42" s="1408" t="s">
        <v>2514</v>
      </c>
      <c r="CK42" s="1408" t="s">
        <v>247</v>
      </c>
      <c r="CL42" s="1408" t="s">
        <v>2514</v>
      </c>
      <c r="CM42" s="1408" t="s">
        <v>755</v>
      </c>
      <c r="CN42" s="1408" t="s">
        <v>6139</v>
      </c>
      <c r="CO42" s="1408" t="s">
        <v>3763</v>
      </c>
      <c r="CP42" s="1408" t="s">
        <v>2514</v>
      </c>
      <c r="CQ42" s="1408" t="s">
        <v>3965</v>
      </c>
      <c r="CR42" s="1408" t="s">
        <v>2514</v>
      </c>
      <c r="CS42" s="1408" t="s">
        <v>1290</v>
      </c>
      <c r="CT42" s="1408" t="s">
        <v>2514</v>
      </c>
      <c r="CU42" s="1408" t="s">
        <v>2798</v>
      </c>
      <c r="CV42" s="1408" t="s">
        <v>2514</v>
      </c>
      <c r="CW42" s="1408" t="s">
        <v>5328</v>
      </c>
      <c r="CX42" s="1408" t="s">
        <v>2514</v>
      </c>
      <c r="CY42" s="1408" t="s">
        <v>6192</v>
      </c>
      <c r="CZ42" s="1408" t="s">
        <v>2514</v>
      </c>
      <c r="DA42" s="1408" t="s">
        <v>1340</v>
      </c>
      <c r="DB42" s="1408" t="s">
        <v>2514</v>
      </c>
      <c r="DC42" s="1408" t="s">
        <v>3093</v>
      </c>
      <c r="DD42" s="1408" t="s">
        <v>2514</v>
      </c>
      <c r="DE42" s="1408" t="s">
        <v>5093</v>
      </c>
      <c r="DF42" s="1408" t="s">
        <v>2514</v>
      </c>
      <c r="DG42" s="1408" t="s">
        <v>5917</v>
      </c>
      <c r="DH42" s="1408" t="s">
        <v>2514</v>
      </c>
      <c r="DI42" s="1408" t="s">
        <v>3118</v>
      </c>
      <c r="DJ42" s="1408" t="s">
        <v>2514</v>
      </c>
      <c r="DK42" s="1408" t="s">
        <v>6919</v>
      </c>
      <c r="DL42" s="1408" t="s">
        <v>2514</v>
      </c>
      <c r="DM42" s="1408" t="s">
        <v>4434</v>
      </c>
      <c r="DN42" s="1408" t="s">
        <v>2514</v>
      </c>
      <c r="DO42" s="1408" t="s">
        <v>598</v>
      </c>
      <c r="DP42" s="1408" t="s">
        <v>2514</v>
      </c>
      <c r="DQ42" s="1408" t="s">
        <v>5670</v>
      </c>
      <c r="DR42" s="1408" t="s">
        <v>2514</v>
      </c>
      <c r="DS42" s="1408" t="s">
        <v>966</v>
      </c>
      <c r="DT42" s="1408" t="s">
        <v>2514</v>
      </c>
      <c r="DU42" s="1408" t="s">
        <v>5210</v>
      </c>
      <c r="DV42" s="1408" t="s">
        <v>2514</v>
      </c>
      <c r="DW42" s="1408" t="s">
        <v>196</v>
      </c>
      <c r="DX42" s="1408" t="s">
        <v>2514</v>
      </c>
      <c r="DY42" s="1408" t="s">
        <v>2131</v>
      </c>
      <c r="DZ42" s="1408" t="s">
        <v>2514</v>
      </c>
      <c r="EA42" s="1408" t="s">
        <v>2608</v>
      </c>
      <c r="EB42" s="1408" t="s">
        <v>2514</v>
      </c>
      <c r="EC42" s="1408" t="s">
        <v>4906</v>
      </c>
      <c r="ED42" s="1408" t="s">
        <v>2514</v>
      </c>
      <c r="EE42" s="1408" t="s">
        <v>3946</v>
      </c>
      <c r="EF42" s="1408" t="s">
        <v>2514</v>
      </c>
      <c r="EG42" s="1408" t="s">
        <v>2771</v>
      </c>
      <c r="EH42" s="1408" t="s">
        <v>2514</v>
      </c>
      <c r="EI42" s="1408" t="s">
        <v>1744</v>
      </c>
      <c r="EJ42" s="1408" t="s">
        <v>2514</v>
      </c>
      <c r="EK42" s="1408" t="s">
        <v>6504</v>
      </c>
      <c r="EL42" s="1408" t="s">
        <v>2514</v>
      </c>
      <c r="EM42" s="1408" t="s">
        <v>261</v>
      </c>
      <c r="EN42" s="1408" t="s">
        <v>2514</v>
      </c>
      <c r="EO42" s="1408" t="s">
        <v>1998</v>
      </c>
      <c r="EP42" s="1408" t="s">
        <v>2514</v>
      </c>
      <c r="EQ42" s="1408" t="s">
        <v>3314</v>
      </c>
      <c r="ER42" s="1408" t="s">
        <v>2514</v>
      </c>
      <c r="ES42" s="1408" t="s">
        <v>3027</v>
      </c>
      <c r="ET42" s="1408" t="s">
        <v>2514</v>
      </c>
      <c r="EU42" s="1408" t="s">
        <v>6190</v>
      </c>
      <c r="EV42" s="1408" t="s">
        <v>2514</v>
      </c>
      <c r="EW42" s="1408" t="s">
        <v>4988</v>
      </c>
      <c r="EX42" s="1408" t="s">
        <v>2514</v>
      </c>
      <c r="EY42" s="1408" t="s">
        <v>2300</v>
      </c>
      <c r="EZ42" s="1408" t="s">
        <v>2514</v>
      </c>
      <c r="FA42" s="1408" t="s">
        <v>5052</v>
      </c>
      <c r="FB42" s="1408" t="s">
        <v>2514</v>
      </c>
      <c r="FC42" s="1408" t="s">
        <v>2554</v>
      </c>
      <c r="FD42" s="1408" t="s">
        <v>2514</v>
      </c>
      <c r="FE42" s="1408" t="s">
        <v>3249</v>
      </c>
      <c r="FF42" s="1408" t="s">
        <v>2514</v>
      </c>
      <c r="FG42" s="1408" t="s">
        <v>6151</v>
      </c>
      <c r="FH42" s="1408" t="s">
        <v>2514</v>
      </c>
      <c r="FI42" s="1408" t="s">
        <v>119</v>
      </c>
      <c r="FJ42" s="1408" t="s">
        <v>2514</v>
      </c>
      <c r="FK42" s="1408" t="s">
        <v>4288</v>
      </c>
      <c r="FL42" s="1408" t="s">
        <v>2514</v>
      </c>
      <c r="FM42" s="1408" t="s">
        <v>3777</v>
      </c>
      <c r="FN42" s="1408" t="s">
        <v>2514</v>
      </c>
      <c r="FO42" s="1408" t="s">
        <v>6188</v>
      </c>
      <c r="FP42" s="1408" t="s">
        <v>2514</v>
      </c>
      <c r="FQ42" s="1408" t="s">
        <v>4143</v>
      </c>
      <c r="FR42" s="1408" t="s">
        <v>2514</v>
      </c>
      <c r="FS42" s="1408" t="s">
        <v>860</v>
      </c>
      <c r="FT42" s="1408" t="s">
        <v>2514</v>
      </c>
      <c r="FU42" s="1408" t="s">
        <v>981</v>
      </c>
      <c r="FV42" s="1408" t="s">
        <v>2514</v>
      </c>
      <c r="FW42" s="1408" t="s">
        <v>6889</v>
      </c>
      <c r="FX42" s="1408" t="s">
        <v>2514</v>
      </c>
      <c r="FY42" s="1408" t="s">
        <v>3590</v>
      </c>
      <c r="FZ42" s="1408" t="s">
        <v>2514</v>
      </c>
      <c r="GA42" s="1408" t="s">
        <v>720</v>
      </c>
      <c r="GB42" s="1408" t="s">
        <v>2514</v>
      </c>
      <c r="GC42" s="1408" t="s">
        <v>1353</v>
      </c>
      <c r="GD42" s="1408" t="s">
        <v>2514</v>
      </c>
      <c r="GE42" s="1408" t="s">
        <v>2532</v>
      </c>
      <c r="GF42" s="1408" t="s">
        <v>2514</v>
      </c>
      <c r="GG42" s="1408" t="s">
        <v>2133</v>
      </c>
      <c r="GH42" s="1408" t="s">
        <v>2514</v>
      </c>
      <c r="GI42" s="1408" t="s">
        <v>4024</v>
      </c>
      <c r="GJ42" s="1408" t="s">
        <v>2514</v>
      </c>
      <c r="GK42" s="1408" t="s">
        <v>1258</v>
      </c>
      <c r="GL42" s="1408" t="s">
        <v>2514</v>
      </c>
      <c r="GM42" s="1408" t="s">
        <v>4287</v>
      </c>
      <c r="GN42" s="1408" t="s">
        <v>2514</v>
      </c>
      <c r="GO42" s="1408" t="s">
        <v>439</v>
      </c>
      <c r="GP42" s="1408" t="s">
        <v>2514</v>
      </c>
      <c r="GQ42" s="1408" t="s">
        <v>6406</v>
      </c>
      <c r="GR42" s="1408" t="s">
        <v>2514</v>
      </c>
      <c r="GS42" s="1408" t="s">
        <v>4448</v>
      </c>
      <c r="GT42" s="1408" t="s">
        <v>2514</v>
      </c>
      <c r="GU42" s="1408" t="s">
        <v>5741</v>
      </c>
      <c r="GV42" s="1408" t="s">
        <v>2514</v>
      </c>
      <c r="GW42" s="1408" t="s">
        <v>4633</v>
      </c>
      <c r="GX42" s="1408" t="s">
        <v>2514</v>
      </c>
      <c r="GY42" s="1408" t="s">
        <v>2400</v>
      </c>
      <c r="GZ42" s="1408" t="s">
        <v>2514</v>
      </c>
      <c r="HA42" s="1408" t="s">
        <v>3902</v>
      </c>
      <c r="HB42" s="1408" t="s">
        <v>2514</v>
      </c>
      <c r="HC42" s="1408" t="s">
        <v>72</v>
      </c>
      <c r="HD42" s="1408" t="s">
        <v>2514</v>
      </c>
      <c r="HE42" s="1408" t="s">
        <v>2803</v>
      </c>
      <c r="HF42" s="1408" t="s">
        <v>2514</v>
      </c>
      <c r="HG42" s="1408" t="s">
        <v>5890</v>
      </c>
      <c r="HH42" s="1408" t="s">
        <v>2514</v>
      </c>
      <c r="HI42" s="1408" t="s">
        <v>685</v>
      </c>
      <c r="HJ42" s="1408" t="s">
        <v>2514</v>
      </c>
      <c r="HK42" s="1408" t="s">
        <v>2710</v>
      </c>
      <c r="HL42" s="1408" t="s">
        <v>2514</v>
      </c>
      <c r="HM42" s="1408" t="s">
        <v>4159</v>
      </c>
      <c r="HN42" s="1408" t="s">
        <v>2514</v>
      </c>
      <c r="HO42" s="1408" t="s">
        <v>1511</v>
      </c>
      <c r="HP42" s="1408" t="s">
        <v>2514</v>
      </c>
      <c r="HQ42" s="1408" t="s">
        <v>6565</v>
      </c>
      <c r="HR42" s="1408" t="s">
        <v>2514</v>
      </c>
      <c r="HS42" s="1408" t="s">
        <v>6098</v>
      </c>
      <c r="HT42" s="1408" t="s">
        <v>2514</v>
      </c>
      <c r="HU42" s="1408" t="s">
        <v>4544</v>
      </c>
      <c r="HV42" s="1408" t="s">
        <v>2514</v>
      </c>
      <c r="HW42" s="1408" t="s">
        <v>4798</v>
      </c>
      <c r="HX42" s="1408" t="s">
        <v>2514</v>
      </c>
      <c r="HY42" s="1408" t="s">
        <v>6908</v>
      </c>
      <c r="HZ42" s="1408" t="s">
        <v>2514</v>
      </c>
      <c r="IA42" s="1408" t="s">
        <v>5803</v>
      </c>
      <c r="IB42" s="1408" t="s">
        <v>2514</v>
      </c>
      <c r="IC42" s="1408" t="s">
        <v>2411</v>
      </c>
      <c r="ID42" s="1408" t="s">
        <v>2514</v>
      </c>
      <c r="IE42" s="1408" t="s">
        <v>6743</v>
      </c>
      <c r="IF42" s="1408" t="s">
        <v>2514</v>
      </c>
      <c r="IG42" s="1408" t="s">
        <v>3398</v>
      </c>
      <c r="IH42" s="1408" t="s">
        <v>2514</v>
      </c>
      <c r="II42" s="1408" t="s">
        <v>4261</v>
      </c>
      <c r="IJ42" s="1408" t="s">
        <v>2514</v>
      </c>
      <c r="IK42" s="1408" t="s">
        <v>1397</v>
      </c>
      <c r="IL42" s="1408" t="s">
        <v>2514</v>
      </c>
      <c r="IM42" s="1408" t="s">
        <v>6560</v>
      </c>
      <c r="IN42" s="1408" t="s">
        <v>2514</v>
      </c>
      <c r="IO42" s="1408" t="s">
        <v>274</v>
      </c>
      <c r="IP42" s="1408" t="s">
        <v>2514</v>
      </c>
      <c r="IQ42" s="1408" t="s">
        <v>6789</v>
      </c>
      <c r="IR42" s="1408" t="s">
        <v>2514</v>
      </c>
      <c r="IS42" s="1408" t="s">
        <v>2794</v>
      </c>
      <c r="IT42" s="1408" t="s">
        <v>2514</v>
      </c>
      <c r="IU42" s="1408" t="s">
        <v>1238</v>
      </c>
      <c r="IV42" s="1408" t="s">
        <v>2514</v>
      </c>
    </row>
    <row r="43" spans="1:256" s="1408" customFormat="1">
      <c r="A43" s="1408" t="s">
        <v>1297</v>
      </c>
      <c r="B43" s="1408" t="s">
        <v>2514</v>
      </c>
      <c r="C43" s="1408" t="s">
        <v>98</v>
      </c>
      <c r="D43" s="1408" t="s">
        <v>2514</v>
      </c>
      <c r="E43" s="1408" t="s">
        <v>2657</v>
      </c>
      <c r="F43" s="1408" t="s">
        <v>2514</v>
      </c>
      <c r="G43" s="1408" t="s">
        <v>593</v>
      </c>
      <c r="H43" s="1408" t="s">
        <v>2514</v>
      </c>
      <c r="I43" s="1408" t="s">
        <v>6577</v>
      </c>
      <c r="J43" s="1408" t="s">
        <v>2514</v>
      </c>
      <c r="K43" s="1408" t="s">
        <v>1970</v>
      </c>
      <c r="L43" s="1408" t="s">
        <v>2514</v>
      </c>
      <c r="M43" s="1408" t="s">
        <v>6074</v>
      </c>
      <c r="N43" s="1408" t="s">
        <v>2514</v>
      </c>
      <c r="O43" s="1408" t="s">
        <v>5070</v>
      </c>
      <c r="P43" s="1408" t="s">
        <v>2514</v>
      </c>
      <c r="Q43" s="1408" t="s">
        <v>3891</v>
      </c>
      <c r="R43" s="1408" t="s">
        <v>2514</v>
      </c>
      <c r="S43" s="1408" t="s">
        <v>6827</v>
      </c>
      <c r="T43" s="1408" t="s">
        <v>2514</v>
      </c>
      <c r="U43" s="1408" t="s">
        <v>5467</v>
      </c>
      <c r="V43" s="1408" t="s">
        <v>2514</v>
      </c>
      <c r="W43" s="1408" t="s">
        <v>6246</v>
      </c>
      <c r="X43" s="1408" t="s">
        <v>2514</v>
      </c>
      <c r="Y43" s="1408" t="s">
        <v>3212</v>
      </c>
      <c r="Z43" s="1408" t="s">
        <v>2514</v>
      </c>
      <c r="AA43" s="1408" t="s">
        <v>143</v>
      </c>
      <c r="AB43" s="1408" t="s">
        <v>2514</v>
      </c>
      <c r="AC43" s="1408" t="s">
        <v>627</v>
      </c>
      <c r="AD43" s="1408" t="s">
        <v>2514</v>
      </c>
      <c r="AE43" s="1408" t="s">
        <v>5220</v>
      </c>
      <c r="AF43" s="1408" t="s">
        <v>2514</v>
      </c>
      <c r="AG43" s="1408" t="s">
        <v>2176</v>
      </c>
      <c r="AH43" s="1408" t="s">
        <v>2514</v>
      </c>
      <c r="AI43" s="1408" t="s">
        <v>3332</v>
      </c>
      <c r="AJ43" s="1408" t="s">
        <v>2514</v>
      </c>
      <c r="AK43" s="1408" t="s">
        <v>1587</v>
      </c>
      <c r="AL43" s="1408" t="s">
        <v>2514</v>
      </c>
      <c r="AM43" s="1408" t="s">
        <v>4467</v>
      </c>
      <c r="AN43" s="1408" t="s">
        <v>2514</v>
      </c>
      <c r="AO43" s="1408" t="s">
        <v>4204</v>
      </c>
      <c r="AP43" s="1408" t="s">
        <v>2514</v>
      </c>
      <c r="AQ43" s="1408" t="s">
        <v>6660</v>
      </c>
      <c r="AR43" s="1408" t="s">
        <v>2514</v>
      </c>
      <c r="AS43" s="1408" t="s">
        <v>5204</v>
      </c>
      <c r="AT43" s="1408" t="s">
        <v>2514</v>
      </c>
      <c r="AU43" s="1408" t="s">
        <v>1890</v>
      </c>
      <c r="AV43" s="1408" t="s">
        <v>2514</v>
      </c>
      <c r="AW43" s="1408" t="s">
        <v>6596</v>
      </c>
      <c r="AX43" s="1408" t="s">
        <v>2514</v>
      </c>
      <c r="AY43" s="1408" t="s">
        <v>1098</v>
      </c>
      <c r="AZ43" s="1408" t="s">
        <v>2514</v>
      </c>
      <c r="BA43" s="1408" t="s">
        <v>421</v>
      </c>
      <c r="BB43" s="1408" t="s">
        <v>2514</v>
      </c>
      <c r="BC43" s="1408" t="s">
        <v>1653</v>
      </c>
      <c r="BD43" s="1408" t="s">
        <v>2514</v>
      </c>
      <c r="BE43" s="1408" t="s">
        <v>4305</v>
      </c>
      <c r="BF43" s="1408" t="s">
        <v>2514</v>
      </c>
      <c r="BG43" s="1408" t="s">
        <v>442</v>
      </c>
      <c r="BH43" s="1408" t="s">
        <v>2514</v>
      </c>
      <c r="BI43" s="1408" t="s">
        <v>4436</v>
      </c>
      <c r="BJ43" s="1408" t="s">
        <v>2514</v>
      </c>
      <c r="BK43" s="1408" t="s">
        <v>3275</v>
      </c>
      <c r="BL43" s="1408" t="s">
        <v>2514</v>
      </c>
      <c r="BM43" s="1408" t="s">
        <v>6836</v>
      </c>
      <c r="BN43" s="1408" t="s">
        <v>2514</v>
      </c>
      <c r="BO43" s="1408" t="s">
        <v>3887</v>
      </c>
      <c r="BP43" s="1408" t="s">
        <v>2514</v>
      </c>
      <c r="BQ43" s="1408" t="s">
        <v>5653</v>
      </c>
      <c r="BR43" s="1408" t="s">
        <v>2514</v>
      </c>
      <c r="BS43" s="1408" t="s">
        <v>3602</v>
      </c>
      <c r="BT43" s="1408" t="s">
        <v>2514</v>
      </c>
      <c r="BU43" s="1408" t="s">
        <v>134</v>
      </c>
      <c r="BV43" s="1408" t="s">
        <v>2514</v>
      </c>
      <c r="BW43" s="1408" t="s">
        <v>2056</v>
      </c>
      <c r="BX43" s="1408" t="s">
        <v>2514</v>
      </c>
      <c r="BY43" s="1408" t="s">
        <v>1415</v>
      </c>
      <c r="BZ43" s="1408" t="s">
        <v>2514</v>
      </c>
      <c r="CA43" s="1408" t="s">
        <v>2230</v>
      </c>
      <c r="CB43" s="1408" t="s">
        <v>2514</v>
      </c>
      <c r="CC43" s="1408" t="s">
        <v>6680</v>
      </c>
      <c r="CD43" s="1408" t="s">
        <v>2514</v>
      </c>
      <c r="CE43" s="1408" t="s">
        <v>6019</v>
      </c>
      <c r="CF43" s="1408" t="s">
        <v>2514</v>
      </c>
      <c r="CG43" s="1408" t="s">
        <v>1921</v>
      </c>
      <c r="CH43" s="1408" t="s">
        <v>2514</v>
      </c>
      <c r="CI43" s="1408" t="s">
        <v>2423</v>
      </c>
      <c r="CJ43" s="1408" t="s">
        <v>2514</v>
      </c>
      <c r="CK43" s="1408" t="s">
        <v>3512</v>
      </c>
      <c r="CL43" s="1408" t="s">
        <v>2514</v>
      </c>
      <c r="CM43" s="1408" t="s">
        <v>872</v>
      </c>
      <c r="CN43" s="1408" t="s">
        <v>2514</v>
      </c>
      <c r="CO43" s="1408" t="s">
        <v>3017</v>
      </c>
      <c r="CP43" s="1408" t="s">
        <v>2514</v>
      </c>
      <c r="CQ43" s="1408" t="s">
        <v>4089</v>
      </c>
      <c r="CR43" s="1408" t="s">
        <v>2514</v>
      </c>
      <c r="CS43" s="1408" t="s">
        <v>1079</v>
      </c>
      <c r="CT43" s="1408" t="s">
        <v>2514</v>
      </c>
      <c r="CU43" s="1408" t="s">
        <v>2584</v>
      </c>
      <c r="CV43" s="1408" t="s">
        <v>2514</v>
      </c>
      <c r="CW43" s="1408" t="s">
        <v>1156</v>
      </c>
      <c r="CX43" s="1408" t="s">
        <v>2514</v>
      </c>
      <c r="CY43" s="1408" t="s">
        <v>3185</v>
      </c>
      <c r="CZ43" s="1408" t="s">
        <v>2514</v>
      </c>
      <c r="DA43" s="1408" t="s">
        <v>1284</v>
      </c>
      <c r="DB43" s="1408" t="s">
        <v>2514</v>
      </c>
      <c r="DC43" s="1408" t="s">
        <v>6200</v>
      </c>
      <c r="DD43" s="1408" t="s">
        <v>2514</v>
      </c>
      <c r="DE43" s="1408" t="s">
        <v>834</v>
      </c>
      <c r="DF43" s="1408" t="s">
        <v>2514</v>
      </c>
      <c r="DG43" s="1408" t="s">
        <v>5435</v>
      </c>
      <c r="DH43" s="1408" t="s">
        <v>2514</v>
      </c>
      <c r="DI43" s="1408" t="s">
        <v>2057</v>
      </c>
      <c r="DJ43" s="1408" t="s">
        <v>2514</v>
      </c>
      <c r="DK43" s="1408" t="s">
        <v>5228</v>
      </c>
      <c r="DL43" s="1408" t="s">
        <v>2514</v>
      </c>
      <c r="DM43" s="1408" t="s">
        <v>6364</v>
      </c>
      <c r="DN43" s="1408" t="s">
        <v>2514</v>
      </c>
      <c r="DO43" s="1408" t="s">
        <v>5504</v>
      </c>
      <c r="DP43" s="1408" t="s">
        <v>2514</v>
      </c>
      <c r="DQ43" s="1408" t="s">
        <v>2885</v>
      </c>
      <c r="DR43" s="1408" t="s">
        <v>2514</v>
      </c>
      <c r="DS43" s="1408" t="s">
        <v>4564</v>
      </c>
      <c r="DT43" s="1408" t="s">
        <v>2514</v>
      </c>
      <c r="DU43" s="1408" t="s">
        <v>954</v>
      </c>
      <c r="DV43" s="1408" t="s">
        <v>2514</v>
      </c>
      <c r="DW43" s="1408" t="s">
        <v>6045</v>
      </c>
      <c r="DX43" s="1408" t="s">
        <v>2514</v>
      </c>
      <c r="DY43" s="1408" t="s">
        <v>1867</v>
      </c>
      <c r="DZ43" s="1408" t="s">
        <v>2514</v>
      </c>
      <c r="EA43" s="1408" t="s">
        <v>1032</v>
      </c>
      <c r="EB43" s="1408" t="s">
        <v>2514</v>
      </c>
      <c r="EC43" s="1408" t="s">
        <v>3672</v>
      </c>
      <c r="ED43" s="1408" t="s">
        <v>2514</v>
      </c>
      <c r="EE43" s="1408" t="s">
        <v>2977</v>
      </c>
      <c r="EF43" s="1408" t="s">
        <v>2514</v>
      </c>
      <c r="EG43" s="1408" t="s">
        <v>6647</v>
      </c>
      <c r="EH43" s="1408" t="s">
        <v>2514</v>
      </c>
      <c r="EI43" s="1408" t="s">
        <v>2025</v>
      </c>
      <c r="EJ43" s="1408" t="s">
        <v>2514</v>
      </c>
      <c r="EK43" s="1408" t="s">
        <v>59</v>
      </c>
      <c r="EL43" s="1408" t="s">
        <v>2514</v>
      </c>
      <c r="EM43" s="1408" t="s">
        <v>2301</v>
      </c>
      <c r="EN43" s="1408" t="s">
        <v>2514</v>
      </c>
      <c r="EO43" s="1408" t="s">
        <v>3758</v>
      </c>
      <c r="EP43" s="1408" t="s">
        <v>2514</v>
      </c>
      <c r="EQ43" s="1408" t="s">
        <v>6555</v>
      </c>
      <c r="ER43" s="1408" t="s">
        <v>2514</v>
      </c>
      <c r="ES43" s="1408" t="s">
        <v>3002</v>
      </c>
      <c r="ET43" s="1408" t="s">
        <v>2514</v>
      </c>
      <c r="EU43" s="1408" t="s">
        <v>5529</v>
      </c>
      <c r="EV43" s="1408" t="s">
        <v>2514</v>
      </c>
      <c r="EW43" s="1408" t="s">
        <v>2317</v>
      </c>
      <c r="EX43" s="1408" t="s">
        <v>2514</v>
      </c>
      <c r="EY43" s="1408" t="s">
        <v>936</v>
      </c>
      <c r="EZ43" s="1408" t="s">
        <v>2514</v>
      </c>
      <c r="FA43" s="1408" t="s">
        <v>2112</v>
      </c>
      <c r="FB43" s="1408" t="s">
        <v>2514</v>
      </c>
      <c r="FC43" s="1408" t="s">
        <v>3237</v>
      </c>
      <c r="FD43" s="1408" t="s">
        <v>2514</v>
      </c>
      <c r="FE43" s="1408" t="s">
        <v>4809</v>
      </c>
      <c r="FF43" s="1408" t="s">
        <v>2514</v>
      </c>
      <c r="FG43" s="1408" t="s">
        <v>4227</v>
      </c>
      <c r="FH43" s="1408" t="s">
        <v>2514</v>
      </c>
      <c r="FI43" s="1408" t="s">
        <v>912</v>
      </c>
      <c r="FJ43" s="1408" t="s">
        <v>2514</v>
      </c>
      <c r="FK43" s="1408" t="s">
        <v>2585</v>
      </c>
      <c r="FL43" s="1408" t="s">
        <v>2514</v>
      </c>
      <c r="FM43" s="1408" t="s">
        <v>1345</v>
      </c>
      <c r="FN43" s="1408" t="s">
        <v>2514</v>
      </c>
      <c r="FO43" s="1408" t="s">
        <v>4389</v>
      </c>
      <c r="FP43" s="1408" t="s">
        <v>2514</v>
      </c>
      <c r="FQ43" s="1408" t="s">
        <v>1971</v>
      </c>
      <c r="FR43" s="1408" t="s">
        <v>2514</v>
      </c>
      <c r="FS43" s="1408" t="s">
        <v>1977</v>
      </c>
      <c r="FT43" s="1408" t="s">
        <v>2514</v>
      </c>
      <c r="FU43" s="1408" t="s">
        <v>2776</v>
      </c>
      <c r="FV43" s="1408" t="s">
        <v>2514</v>
      </c>
      <c r="FW43" s="1408" t="s">
        <v>4498</v>
      </c>
      <c r="FX43" s="1408" t="s">
        <v>2514</v>
      </c>
      <c r="FY43" s="1408" t="s">
        <v>1498</v>
      </c>
      <c r="FZ43" s="1408" t="s">
        <v>2514</v>
      </c>
      <c r="GA43" s="1408" t="s">
        <v>1478</v>
      </c>
      <c r="GB43" s="1408" t="s">
        <v>2514</v>
      </c>
      <c r="GC43" s="1408" t="s">
        <v>4317</v>
      </c>
      <c r="GD43" s="1408" t="s">
        <v>2514</v>
      </c>
      <c r="GE43" s="1408" t="s">
        <v>3640</v>
      </c>
      <c r="GF43" s="1408" t="s">
        <v>2514</v>
      </c>
      <c r="GG43" s="1408" t="s">
        <v>5817</v>
      </c>
      <c r="GH43" s="1408" t="s">
        <v>2514</v>
      </c>
      <c r="GI43" s="1408" t="s">
        <v>3328</v>
      </c>
      <c r="GJ43" s="1408" t="s">
        <v>2514</v>
      </c>
      <c r="GK43" s="1408" t="s">
        <v>6122</v>
      </c>
      <c r="GL43" s="1408" t="s">
        <v>2514</v>
      </c>
      <c r="GM43" s="1408" t="s">
        <v>4068</v>
      </c>
      <c r="GN43" s="1408" t="s">
        <v>2514</v>
      </c>
      <c r="GO43" s="1408" t="s">
        <v>4185</v>
      </c>
      <c r="GP43" s="1408" t="s">
        <v>2514</v>
      </c>
      <c r="GQ43" s="1408" t="s">
        <v>628</v>
      </c>
      <c r="GR43" s="1408" t="s">
        <v>2514</v>
      </c>
      <c r="GS43" s="1408" t="s">
        <v>1074</v>
      </c>
      <c r="GT43" s="1408" t="s">
        <v>2514</v>
      </c>
      <c r="GU43" s="1408" t="s">
        <v>2759</v>
      </c>
      <c r="GV43" s="1408" t="s">
        <v>2514</v>
      </c>
      <c r="GW43" s="1408" t="s">
        <v>239</v>
      </c>
      <c r="GX43" s="1408" t="s">
        <v>2514</v>
      </c>
      <c r="GY43" s="1408" t="s">
        <v>1505</v>
      </c>
      <c r="GZ43" s="1408" t="s">
        <v>2514</v>
      </c>
      <c r="HA43" s="1408" t="s">
        <v>5736</v>
      </c>
      <c r="HB43" s="1408" t="s">
        <v>2514</v>
      </c>
      <c r="HC43" s="1408" t="s">
        <v>2577</v>
      </c>
      <c r="HD43" s="1408" t="s">
        <v>2514</v>
      </c>
      <c r="HE43" s="1408" t="s">
        <v>576</v>
      </c>
      <c r="HF43" s="1408" t="s">
        <v>2514</v>
      </c>
      <c r="HG43" s="1408" t="s">
        <v>1347</v>
      </c>
      <c r="HH43" s="1408" t="s">
        <v>2514</v>
      </c>
      <c r="HI43" s="1408" t="s">
        <v>2897</v>
      </c>
      <c r="HJ43" s="1408" t="s">
        <v>2514</v>
      </c>
      <c r="HK43" s="1408" t="s">
        <v>3870</v>
      </c>
      <c r="HL43" s="1408" t="s">
        <v>2514</v>
      </c>
      <c r="HM43" s="1408" t="s">
        <v>1715</v>
      </c>
      <c r="HN43" s="1408" t="s">
        <v>2514</v>
      </c>
      <c r="HO43" s="1408" t="s">
        <v>318</v>
      </c>
      <c r="HP43" s="1408" t="s">
        <v>2514</v>
      </c>
      <c r="HQ43" s="1408" t="s">
        <v>6395</v>
      </c>
      <c r="HR43" s="1408" t="s">
        <v>2514</v>
      </c>
      <c r="HS43" s="1408" t="s">
        <v>6496</v>
      </c>
      <c r="HT43" s="1408" t="s">
        <v>2514</v>
      </c>
      <c r="HU43" s="1408" t="s">
        <v>1526</v>
      </c>
      <c r="HV43" s="1408" t="s">
        <v>2514</v>
      </c>
      <c r="HW43" s="1408" t="s">
        <v>764</v>
      </c>
      <c r="HX43" s="1408" t="s">
        <v>2514</v>
      </c>
      <c r="HY43" s="1408" t="s">
        <v>3360</v>
      </c>
      <c r="HZ43" s="1408" t="s">
        <v>2514</v>
      </c>
      <c r="IA43" s="1408" t="s">
        <v>225</v>
      </c>
      <c r="IB43" s="1408" t="s">
        <v>2514</v>
      </c>
      <c r="IC43" s="1408" t="s">
        <v>1163</v>
      </c>
      <c r="ID43" s="1408" t="s">
        <v>2514</v>
      </c>
      <c r="IE43" s="1408" t="s">
        <v>2687</v>
      </c>
      <c r="IF43" s="1408" t="s">
        <v>2514</v>
      </c>
      <c r="IG43" s="1408" t="s">
        <v>5699</v>
      </c>
      <c r="IH43" s="1408" t="s">
        <v>2514</v>
      </c>
      <c r="II43" s="1408" t="s">
        <v>1676</v>
      </c>
      <c r="IJ43" s="1408" t="s">
        <v>2514</v>
      </c>
      <c r="IK43" s="1408" t="s">
        <v>5935</v>
      </c>
      <c r="IL43" s="1408" t="s">
        <v>2514</v>
      </c>
      <c r="IM43" s="1408" t="s">
        <v>5945</v>
      </c>
      <c r="IN43" s="1408" t="s">
        <v>2514</v>
      </c>
      <c r="IO43" s="1408" t="s">
        <v>508</v>
      </c>
      <c r="IP43" s="1408" t="s">
        <v>2514</v>
      </c>
      <c r="IQ43" s="1408" t="s">
        <v>2954</v>
      </c>
      <c r="IR43" s="1408" t="s">
        <v>2514</v>
      </c>
      <c r="IS43" s="1408" t="s">
        <v>1203</v>
      </c>
      <c r="IT43" s="1408" t="s">
        <v>2514</v>
      </c>
      <c r="IU43" s="1408" t="s">
        <v>4115</v>
      </c>
      <c r="IV43" s="1408" t="s">
        <v>2514</v>
      </c>
    </row>
    <row r="44" spans="1:256" s="1408" customFormat="1">
      <c r="A44" s="1408" t="s">
        <v>5711</v>
      </c>
      <c r="B44" s="1408" t="s">
        <v>2514</v>
      </c>
      <c r="C44" s="1408" t="s">
        <v>899</v>
      </c>
      <c r="D44" s="1408" t="s">
        <v>2514</v>
      </c>
      <c r="E44" s="1408" t="s">
        <v>2748</v>
      </c>
      <c r="F44" s="1408" t="s">
        <v>2514</v>
      </c>
      <c r="G44" s="1408" t="s">
        <v>2319</v>
      </c>
      <c r="H44" s="1408" t="s">
        <v>2514</v>
      </c>
      <c r="I44" s="1408" t="s">
        <v>2488</v>
      </c>
      <c r="J44" s="1408" t="s">
        <v>2514</v>
      </c>
      <c r="K44" s="1408" t="s">
        <v>6731</v>
      </c>
      <c r="L44" s="1408" t="s">
        <v>2514</v>
      </c>
      <c r="M44" s="1408" t="s">
        <v>5718</v>
      </c>
      <c r="N44" s="1408" t="s">
        <v>2514</v>
      </c>
      <c r="O44" s="1408" t="s">
        <v>1382</v>
      </c>
      <c r="P44" s="1408" t="s">
        <v>2514</v>
      </c>
      <c r="Q44" s="1408" t="s">
        <v>1973</v>
      </c>
      <c r="R44" s="1408" t="s">
        <v>2514</v>
      </c>
      <c r="S44" s="1408" t="s">
        <v>5678</v>
      </c>
      <c r="T44" s="1408" t="s">
        <v>2514</v>
      </c>
      <c r="U44" s="1408" t="s">
        <v>1469</v>
      </c>
      <c r="V44" s="1408" t="s">
        <v>2514</v>
      </c>
      <c r="W44" s="1408" t="s">
        <v>1338</v>
      </c>
      <c r="X44" s="1408" t="s">
        <v>2514</v>
      </c>
      <c r="Y44" s="1408" t="s">
        <v>6519</v>
      </c>
      <c r="Z44" s="1408" t="s">
        <v>2514</v>
      </c>
      <c r="AA44" s="1408" t="s">
        <v>3702</v>
      </c>
      <c r="AB44" s="1408" t="s">
        <v>2514</v>
      </c>
      <c r="AC44" s="1408" t="s">
        <v>6216</v>
      </c>
      <c r="AD44" s="1408" t="s">
        <v>2514</v>
      </c>
      <c r="AE44" s="1408" t="s">
        <v>3673</v>
      </c>
      <c r="AF44" s="1408" t="s">
        <v>2514</v>
      </c>
      <c r="AG44" s="1408" t="s">
        <v>5474</v>
      </c>
      <c r="AH44" s="1408" t="s">
        <v>2514</v>
      </c>
      <c r="AI44" s="1408" t="s">
        <v>4617</v>
      </c>
      <c r="AJ44" s="1408" t="s">
        <v>2514</v>
      </c>
      <c r="AK44" s="1408" t="s">
        <v>3432</v>
      </c>
      <c r="AL44" s="1408" t="s">
        <v>2514</v>
      </c>
      <c r="AM44" s="1408" t="s">
        <v>6414</v>
      </c>
      <c r="AN44" s="1408" t="s">
        <v>2514</v>
      </c>
      <c r="AO44" s="1408" t="s">
        <v>2592</v>
      </c>
      <c r="AP44" s="1408" t="s">
        <v>2514</v>
      </c>
      <c r="AQ44" s="1408" t="s">
        <v>1101</v>
      </c>
      <c r="AR44" s="1408" t="s">
        <v>2514</v>
      </c>
      <c r="AS44" s="1408" t="s">
        <v>178</v>
      </c>
      <c r="AT44" s="1408" t="s">
        <v>2514</v>
      </c>
      <c r="AU44" s="1408" t="s">
        <v>3747</v>
      </c>
      <c r="AV44" s="1408" t="s">
        <v>2514</v>
      </c>
      <c r="AW44" s="1408" t="s">
        <v>3664</v>
      </c>
      <c r="AX44" s="1408" t="s">
        <v>2514</v>
      </c>
      <c r="AY44" s="1408" t="s">
        <v>3438</v>
      </c>
      <c r="AZ44" s="1408" t="s">
        <v>2514</v>
      </c>
      <c r="BA44" s="1408" t="s">
        <v>3096</v>
      </c>
      <c r="BB44" s="1408" t="s">
        <v>2514</v>
      </c>
      <c r="BC44" s="1408" t="s">
        <v>1784</v>
      </c>
      <c r="BD44" s="1408" t="s">
        <v>2514</v>
      </c>
      <c r="BE44" s="1408" t="s">
        <v>4063</v>
      </c>
      <c r="BF44" s="1408" t="s">
        <v>2514</v>
      </c>
      <c r="BG44" s="1408" t="s">
        <v>39</v>
      </c>
      <c r="BH44" s="1408" t="s">
        <v>2514</v>
      </c>
      <c r="BI44" s="1408" t="s">
        <v>2523</v>
      </c>
      <c r="BJ44" s="1408" t="s">
        <v>2514</v>
      </c>
      <c r="BK44" s="1408" t="s">
        <v>5411</v>
      </c>
      <c r="BL44" s="1408" t="s">
        <v>2514</v>
      </c>
      <c r="BM44" s="1408" t="s">
        <v>5929</v>
      </c>
      <c r="BN44" s="1408" t="s">
        <v>2514</v>
      </c>
      <c r="BO44" s="1408" t="s">
        <v>4299</v>
      </c>
      <c r="BP44" s="1408" t="s">
        <v>2514</v>
      </c>
      <c r="BQ44" s="1408" t="s">
        <v>3050</v>
      </c>
      <c r="BR44" s="1408" t="s">
        <v>2514</v>
      </c>
      <c r="BS44" s="1408" t="s">
        <v>869</v>
      </c>
      <c r="BT44" s="1408" t="s">
        <v>2514</v>
      </c>
      <c r="BU44" s="1408" t="s">
        <v>2852</v>
      </c>
      <c r="BV44" s="1408" t="s">
        <v>2514</v>
      </c>
      <c r="BW44" s="1408" t="s">
        <v>3625</v>
      </c>
      <c r="BX44" s="1408" t="s">
        <v>2514</v>
      </c>
      <c r="BY44" s="1408" t="s">
        <v>1575</v>
      </c>
      <c r="BZ44" s="1408" t="s">
        <v>2514</v>
      </c>
      <c r="CA44" s="1408" t="s">
        <v>4801</v>
      </c>
      <c r="CB44" s="1408" t="s">
        <v>2514</v>
      </c>
      <c r="CC44" s="1408" t="s">
        <v>5804</v>
      </c>
      <c r="CD44" s="1408" t="s">
        <v>2514</v>
      </c>
      <c r="CE44" s="1408" t="s">
        <v>5722</v>
      </c>
      <c r="CF44" s="1408" t="s">
        <v>2514</v>
      </c>
      <c r="CG44" s="1408" t="s">
        <v>6572</v>
      </c>
      <c r="CH44" s="1408" t="s">
        <v>2514</v>
      </c>
      <c r="CI44" s="1408" t="s">
        <v>348</v>
      </c>
      <c r="CJ44" s="1408" t="s">
        <v>2514</v>
      </c>
      <c r="CK44" s="1408" t="s">
        <v>2876</v>
      </c>
      <c r="CL44" s="1408" t="s">
        <v>2514</v>
      </c>
      <c r="CM44" s="1408" t="s">
        <v>2736</v>
      </c>
      <c r="CN44" s="1408" t="s">
        <v>2514</v>
      </c>
      <c r="CO44" s="1408" t="s">
        <v>1819</v>
      </c>
      <c r="CP44" s="1408" t="s">
        <v>2514</v>
      </c>
      <c r="CQ44" s="1408" t="s">
        <v>881</v>
      </c>
      <c r="CR44" s="1408" t="s">
        <v>2514</v>
      </c>
      <c r="CS44" s="1408" t="s">
        <v>3191</v>
      </c>
      <c r="CT44" s="1408" t="s">
        <v>2514</v>
      </c>
      <c r="CU44" s="1408" t="s">
        <v>2121</v>
      </c>
      <c r="CV44" s="1408" t="s">
        <v>2514</v>
      </c>
      <c r="CW44" s="1408" t="s">
        <v>2141</v>
      </c>
      <c r="CX44" s="1408" t="s">
        <v>2514</v>
      </c>
      <c r="CY44" s="1408" t="s">
        <v>4969</v>
      </c>
      <c r="CZ44" s="1408" t="s">
        <v>2514</v>
      </c>
      <c r="DA44" s="1408" t="s">
        <v>6101</v>
      </c>
      <c r="DB44" s="1408" t="s">
        <v>2514</v>
      </c>
      <c r="DC44" s="1408" t="s">
        <v>2857</v>
      </c>
      <c r="DD44" s="1408" t="s">
        <v>2514</v>
      </c>
      <c r="DE44" s="1408" t="s">
        <v>6752</v>
      </c>
      <c r="DF44" s="1408" t="s">
        <v>2514</v>
      </c>
      <c r="DG44" s="1408" t="s">
        <v>2284</v>
      </c>
      <c r="DH44" s="1408" t="s">
        <v>2514</v>
      </c>
      <c r="DI44" s="1408" t="s">
        <v>3566</v>
      </c>
      <c r="DJ44" s="1408" t="s">
        <v>2514</v>
      </c>
      <c r="DK44" s="1408" t="s">
        <v>6386</v>
      </c>
      <c r="DL44" s="1408" t="s">
        <v>2514</v>
      </c>
      <c r="DM44" s="1408" t="s">
        <v>5962</v>
      </c>
      <c r="DN44" s="1408" t="s">
        <v>2514</v>
      </c>
      <c r="DO44" s="1408" t="s">
        <v>773</v>
      </c>
      <c r="DP44" s="1408" t="s">
        <v>2514</v>
      </c>
      <c r="DQ44" s="1408" t="s">
        <v>151</v>
      </c>
      <c r="DR44" s="1408" t="s">
        <v>2514</v>
      </c>
      <c r="DS44" s="1408" t="s">
        <v>3059</v>
      </c>
      <c r="DT44" s="1408" t="s">
        <v>2514</v>
      </c>
      <c r="DU44" s="1408" t="s">
        <v>1448</v>
      </c>
      <c r="DV44" s="1408" t="s">
        <v>2514</v>
      </c>
      <c r="DW44" s="1408" t="s">
        <v>5202</v>
      </c>
      <c r="DX44" s="1408" t="s">
        <v>2514</v>
      </c>
      <c r="DY44" s="1408" t="s">
        <v>3464</v>
      </c>
      <c r="DZ44" s="1408" t="s">
        <v>2514</v>
      </c>
      <c r="EA44" s="1408" t="s">
        <v>5208</v>
      </c>
      <c r="EB44" s="1408" t="s">
        <v>2514</v>
      </c>
      <c r="EC44" s="1408" t="s">
        <v>3103</v>
      </c>
      <c r="ED44" s="1408" t="s">
        <v>2514</v>
      </c>
      <c r="EE44" s="1408" t="s">
        <v>6627</v>
      </c>
      <c r="EF44" s="1408" t="s">
        <v>2514</v>
      </c>
      <c r="EG44" s="1408" t="s">
        <v>960</v>
      </c>
      <c r="EH44" s="1408" t="s">
        <v>2514</v>
      </c>
      <c r="EI44" s="1408" t="s">
        <v>6897</v>
      </c>
      <c r="EJ44" s="1408" t="s">
        <v>2514</v>
      </c>
      <c r="EK44" s="1408" t="s">
        <v>4811</v>
      </c>
      <c r="EL44" s="1408" t="s">
        <v>2514</v>
      </c>
      <c r="EM44" s="1408" t="s">
        <v>1067</v>
      </c>
      <c r="EN44" s="1408" t="s">
        <v>2514</v>
      </c>
      <c r="EO44" s="1408" t="s">
        <v>4795</v>
      </c>
      <c r="EP44" s="1408" t="s">
        <v>2514</v>
      </c>
      <c r="EQ44" s="1408" t="s">
        <v>1692</v>
      </c>
      <c r="ER44" s="1408" t="s">
        <v>2514</v>
      </c>
      <c r="ES44" s="1408" t="s">
        <v>6175</v>
      </c>
      <c r="ET44" s="1408" t="s">
        <v>2514</v>
      </c>
      <c r="EU44" s="1408" t="s">
        <v>6607</v>
      </c>
      <c r="EV44" s="1408" t="s">
        <v>2514</v>
      </c>
      <c r="EW44" s="1408" t="s">
        <v>2640</v>
      </c>
      <c r="EX44" s="1408" t="s">
        <v>2514</v>
      </c>
      <c r="EY44" s="1408" t="s">
        <v>1607</v>
      </c>
      <c r="EZ44" s="1408" t="s">
        <v>2514</v>
      </c>
      <c r="FA44" s="1408" t="s">
        <v>4207</v>
      </c>
      <c r="FB44" s="1408" t="s">
        <v>2514</v>
      </c>
      <c r="FC44" s="1408" t="s">
        <v>3001</v>
      </c>
      <c r="FD44" s="1408" t="s">
        <v>2514</v>
      </c>
      <c r="FE44" s="1408" t="s">
        <v>5541</v>
      </c>
      <c r="FF44" s="1408" t="s">
        <v>2514</v>
      </c>
      <c r="FG44" s="1408" t="s">
        <v>1700</v>
      </c>
      <c r="FH44" s="1408" t="s">
        <v>2514</v>
      </c>
      <c r="FI44" s="1408" t="s">
        <v>6918</v>
      </c>
      <c r="FJ44" s="1408" t="s">
        <v>2514</v>
      </c>
      <c r="FK44" s="1408" t="s">
        <v>1682</v>
      </c>
      <c r="FL44" s="1408" t="s">
        <v>2514</v>
      </c>
      <c r="FM44" s="1408" t="s">
        <v>3759</v>
      </c>
      <c r="FN44" s="1408" t="s">
        <v>2514</v>
      </c>
      <c r="FO44" s="1408" t="s">
        <v>1524</v>
      </c>
      <c r="FP44" s="1408" t="s">
        <v>2514</v>
      </c>
      <c r="FQ44" s="1408" t="s">
        <v>4715</v>
      </c>
      <c r="FR44" s="1408" t="s">
        <v>2514</v>
      </c>
      <c r="FS44" s="1408" t="s">
        <v>4311</v>
      </c>
      <c r="FT44" s="1408" t="s">
        <v>2514</v>
      </c>
      <c r="FU44" s="1408" t="s">
        <v>2939</v>
      </c>
      <c r="FV44" s="1408" t="s">
        <v>2514</v>
      </c>
      <c r="FW44" s="1408" t="s">
        <v>516</v>
      </c>
      <c r="FX44" s="1408" t="s">
        <v>2514</v>
      </c>
      <c r="FY44" s="1408" t="s">
        <v>2595</v>
      </c>
      <c r="FZ44" s="1408" t="s">
        <v>2514</v>
      </c>
      <c r="GA44" s="1408" t="s">
        <v>4293</v>
      </c>
      <c r="GB44" s="1408" t="s">
        <v>2514</v>
      </c>
      <c r="GC44" s="1408" t="s">
        <v>1473</v>
      </c>
      <c r="GD44" s="1408" t="s">
        <v>2514</v>
      </c>
      <c r="GE44" s="1408" t="s">
        <v>4697</v>
      </c>
      <c r="GF44" s="1408" t="s">
        <v>2514</v>
      </c>
      <c r="GG44" s="1408" t="s">
        <v>6093</v>
      </c>
      <c r="GH44" s="1408" t="s">
        <v>2514</v>
      </c>
      <c r="GI44" s="1408" t="s">
        <v>4929</v>
      </c>
      <c r="GJ44" s="1408" t="s">
        <v>2514</v>
      </c>
      <c r="GK44" s="1408" t="s">
        <v>600</v>
      </c>
      <c r="GL44" s="1408" t="s">
        <v>2514</v>
      </c>
      <c r="GM44" s="1408" t="s">
        <v>5003</v>
      </c>
      <c r="GN44" s="1408" t="s">
        <v>2514</v>
      </c>
      <c r="GO44" s="1408" t="s">
        <v>3086</v>
      </c>
      <c r="GP44" s="1408" t="s">
        <v>2514</v>
      </c>
      <c r="GQ44" s="1408" t="s">
        <v>1225</v>
      </c>
      <c r="GR44" s="1408" t="s">
        <v>2514</v>
      </c>
      <c r="GS44" s="1408" t="s">
        <v>5954</v>
      </c>
      <c r="GT44" s="1408" t="s">
        <v>2514</v>
      </c>
      <c r="GU44" s="1408" t="s">
        <v>1809</v>
      </c>
      <c r="GV44" s="1408" t="s">
        <v>2514</v>
      </c>
      <c r="GW44" s="1408" t="s">
        <v>4502</v>
      </c>
      <c r="GX44" s="1408" t="s">
        <v>2514</v>
      </c>
      <c r="GY44" s="1408" t="s">
        <v>4895</v>
      </c>
      <c r="GZ44" s="1408" t="s">
        <v>2514</v>
      </c>
      <c r="HA44" s="1408" t="s">
        <v>5560</v>
      </c>
      <c r="HB44" s="1408" t="s">
        <v>2514</v>
      </c>
      <c r="HC44" s="1408" t="s">
        <v>1218</v>
      </c>
      <c r="HD44" s="1408" t="s">
        <v>2514</v>
      </c>
      <c r="HE44" s="1408" t="s">
        <v>4262</v>
      </c>
      <c r="HF44" s="1408" t="s">
        <v>2514</v>
      </c>
      <c r="HG44" s="1408" t="s">
        <v>5374</v>
      </c>
      <c r="HH44" s="1408" t="s">
        <v>2514</v>
      </c>
      <c r="HI44" s="1408" t="s">
        <v>2398</v>
      </c>
      <c r="HJ44" s="1408" t="s">
        <v>2514</v>
      </c>
      <c r="HK44" s="1408" t="s">
        <v>5999</v>
      </c>
      <c r="HL44" s="1408" t="s">
        <v>2514</v>
      </c>
      <c r="HM44" s="1408" t="s">
        <v>2484</v>
      </c>
      <c r="HN44" s="1408" t="s">
        <v>2514</v>
      </c>
      <c r="HO44" s="1408" t="s">
        <v>2312</v>
      </c>
      <c r="HP44" s="1408" t="s">
        <v>2514</v>
      </c>
      <c r="HQ44" s="1408" t="s">
        <v>3263</v>
      </c>
      <c r="HR44" s="1408" t="s">
        <v>2514</v>
      </c>
      <c r="HS44" s="1408" t="s">
        <v>2818</v>
      </c>
      <c r="HT44" s="1408" t="s">
        <v>2514</v>
      </c>
      <c r="HU44" s="1408" t="s">
        <v>6542</v>
      </c>
      <c r="HV44" s="1408" t="s">
        <v>2514</v>
      </c>
      <c r="HW44" s="1408" t="s">
        <v>4514</v>
      </c>
      <c r="HX44" s="1408" t="s">
        <v>2514</v>
      </c>
      <c r="HY44" s="1408" t="s">
        <v>6387</v>
      </c>
      <c r="HZ44" s="1408" t="s">
        <v>2514</v>
      </c>
      <c r="IA44" s="1408" t="s">
        <v>2531</v>
      </c>
      <c r="IB44" s="1408" t="s">
        <v>2514</v>
      </c>
      <c r="IC44" s="1408" t="s">
        <v>6458</v>
      </c>
      <c r="ID44" s="1408" t="s">
        <v>2514</v>
      </c>
      <c r="IE44" s="1408" t="s">
        <v>6420</v>
      </c>
      <c r="IF44" s="1408" t="s">
        <v>2514</v>
      </c>
      <c r="IG44" s="1408" t="s">
        <v>4960</v>
      </c>
      <c r="IH44" s="1408" t="s">
        <v>2514</v>
      </c>
      <c r="II44" s="1408" t="s">
        <v>3252</v>
      </c>
      <c r="IJ44" s="1408" t="s">
        <v>2514</v>
      </c>
      <c r="IK44" s="1408" t="s">
        <v>6638</v>
      </c>
      <c r="IL44" s="1408" t="s">
        <v>2514</v>
      </c>
      <c r="IM44" s="1408" t="s">
        <v>6901</v>
      </c>
      <c r="IN44" s="1408" t="s">
        <v>2514</v>
      </c>
      <c r="IO44" s="1408" t="s">
        <v>3195</v>
      </c>
      <c r="IP44" s="1408" t="s">
        <v>2514</v>
      </c>
      <c r="IQ44" s="1408" t="s">
        <v>1752</v>
      </c>
      <c r="IR44" s="1408" t="s">
        <v>2514</v>
      </c>
      <c r="IS44" s="1408" t="s">
        <v>4081</v>
      </c>
      <c r="IT44" s="1408" t="s">
        <v>2514</v>
      </c>
      <c r="IU44" s="1408" t="s">
        <v>4109</v>
      </c>
      <c r="IV44" s="1408" t="s">
        <v>2514</v>
      </c>
    </row>
    <row r="45" spans="1:256" s="1408" customFormat="1">
      <c r="A45" s="1408" t="s">
        <v>544</v>
      </c>
      <c r="B45" s="1408" t="s">
        <v>2514</v>
      </c>
      <c r="C45" s="1408" t="s">
        <v>4438</v>
      </c>
      <c r="D45" s="1408" t="s">
        <v>2514</v>
      </c>
      <c r="E45" s="1408" t="s">
        <v>1272</v>
      </c>
      <c r="F45" s="1408" t="s">
        <v>2514</v>
      </c>
      <c r="G45" s="1408" t="s">
        <v>3251</v>
      </c>
      <c r="H45" s="1408" t="s">
        <v>2514</v>
      </c>
      <c r="I45" s="1408" t="s">
        <v>4972</v>
      </c>
      <c r="J45" s="1408" t="s">
        <v>2514</v>
      </c>
      <c r="K45" s="1408" t="s">
        <v>417</v>
      </c>
      <c r="L45" s="1408" t="s">
        <v>2514</v>
      </c>
      <c r="M45" s="1408" t="s">
        <v>4627</v>
      </c>
      <c r="N45" s="1408" t="s">
        <v>2514</v>
      </c>
      <c r="O45" s="1408" t="s">
        <v>6925</v>
      </c>
      <c r="P45" s="1408" t="s">
        <v>2514</v>
      </c>
      <c r="Q45" s="1408" t="s">
        <v>3461</v>
      </c>
      <c r="R45" s="1408" t="s">
        <v>2514</v>
      </c>
      <c r="S45" s="1408" t="s">
        <v>5879</v>
      </c>
      <c r="T45" s="1408" t="s">
        <v>2514</v>
      </c>
      <c r="U45" s="1408" t="s">
        <v>2734</v>
      </c>
      <c r="V45" s="1408" t="s">
        <v>2514</v>
      </c>
      <c r="W45" s="1408" t="s">
        <v>1843</v>
      </c>
      <c r="X45" s="1408" t="s">
        <v>2514</v>
      </c>
      <c r="Y45" s="1408" t="s">
        <v>6389</v>
      </c>
      <c r="Z45" s="1408" t="s">
        <v>2514</v>
      </c>
      <c r="AA45" s="1408" t="s">
        <v>4479</v>
      </c>
      <c r="AB45" s="1408" t="s">
        <v>2514</v>
      </c>
      <c r="AC45" s="1408" t="s">
        <v>3483</v>
      </c>
      <c r="AD45" s="1408" t="s">
        <v>2514</v>
      </c>
      <c r="AE45" s="1408" t="s">
        <v>4822</v>
      </c>
      <c r="AF45" s="1408" t="s">
        <v>2514</v>
      </c>
      <c r="AG45" s="1408" t="s">
        <v>3413</v>
      </c>
      <c r="AH45" s="1408" t="s">
        <v>2514</v>
      </c>
      <c r="AI45" s="1408" t="s">
        <v>2052</v>
      </c>
      <c r="AJ45" s="1408" t="s">
        <v>2514</v>
      </c>
      <c r="AK45" s="1408" t="s">
        <v>231</v>
      </c>
      <c r="AL45" s="1408" t="s">
        <v>2514</v>
      </c>
      <c r="AM45" s="1408" t="s">
        <v>5122</v>
      </c>
      <c r="AN45" s="1408" t="s">
        <v>2514</v>
      </c>
      <c r="AO45" s="1408" t="s">
        <v>5716</v>
      </c>
      <c r="AP45" s="1408" t="s">
        <v>2514</v>
      </c>
      <c r="AQ45" s="1408" t="s">
        <v>3524</v>
      </c>
      <c r="AR45" s="1408" t="s">
        <v>2514</v>
      </c>
      <c r="AS45" s="1408" t="s">
        <v>4195</v>
      </c>
      <c r="AT45" s="1408" t="s">
        <v>2514</v>
      </c>
      <c r="AU45" s="1408" t="s">
        <v>4823</v>
      </c>
      <c r="AV45" s="1408" t="s">
        <v>2514</v>
      </c>
      <c r="AW45" s="1408" t="s">
        <v>1771</v>
      </c>
      <c r="AX45" s="1408" t="s">
        <v>2514</v>
      </c>
      <c r="AY45" s="1408" t="s">
        <v>3960</v>
      </c>
      <c r="AZ45" s="1408" t="s">
        <v>2514</v>
      </c>
      <c r="BA45" s="1408" t="s">
        <v>594</v>
      </c>
      <c r="BB45" s="1408" t="s">
        <v>2514</v>
      </c>
      <c r="BC45" s="1408" t="s">
        <v>4339</v>
      </c>
      <c r="BD45" s="1408" t="s">
        <v>2514</v>
      </c>
      <c r="BE45" s="1408" t="s">
        <v>1822</v>
      </c>
      <c r="BF45" s="1408" t="s">
        <v>2514</v>
      </c>
      <c r="BG45" s="1408" t="s">
        <v>2132</v>
      </c>
      <c r="BH45" s="1408" t="s">
        <v>2514</v>
      </c>
      <c r="BI45" s="1408" t="s">
        <v>4806</v>
      </c>
      <c r="BJ45" s="1408" t="s">
        <v>2514</v>
      </c>
      <c r="BK45" s="1408" t="s">
        <v>6336</v>
      </c>
      <c r="BL45" s="1408" t="s">
        <v>2514</v>
      </c>
      <c r="BM45" s="1408" t="s">
        <v>6923</v>
      </c>
      <c r="BN45" s="1408" t="s">
        <v>2514</v>
      </c>
      <c r="BO45" s="1408" t="s">
        <v>6128</v>
      </c>
      <c r="BP45" s="1408" t="s">
        <v>2514</v>
      </c>
      <c r="BQ45" s="1408" t="s">
        <v>2557</v>
      </c>
      <c r="BR45" s="1408" t="s">
        <v>2514</v>
      </c>
      <c r="BS45" s="1408" t="s">
        <v>4523</v>
      </c>
      <c r="BT45" s="1408" t="s">
        <v>2514</v>
      </c>
      <c r="BU45" s="1408" t="s">
        <v>4924</v>
      </c>
      <c r="BV45" s="1408" t="s">
        <v>2514</v>
      </c>
      <c r="BW45" s="1408" t="s">
        <v>1230</v>
      </c>
      <c r="BX45" s="1408" t="s">
        <v>2514</v>
      </c>
      <c r="BY45" s="1408" t="s">
        <v>2096</v>
      </c>
      <c r="BZ45" s="1408" t="s">
        <v>2514</v>
      </c>
      <c r="CA45" s="1408" t="s">
        <v>5302</v>
      </c>
      <c r="CB45" s="1408" t="s">
        <v>2514</v>
      </c>
      <c r="CC45" s="1408" t="s">
        <v>3971</v>
      </c>
      <c r="CD45" s="1408" t="s">
        <v>2514</v>
      </c>
      <c r="CE45" s="1408" t="s">
        <v>5032</v>
      </c>
      <c r="CF45" s="1408" t="s">
        <v>2514</v>
      </c>
      <c r="CG45" s="1408" t="s">
        <v>3792</v>
      </c>
      <c r="CH45" s="1408" t="s">
        <v>2514</v>
      </c>
      <c r="CI45" s="1408" t="s">
        <v>2204</v>
      </c>
      <c r="CJ45" s="1408" t="s">
        <v>2514</v>
      </c>
      <c r="CK45" s="1408" t="s">
        <v>3648</v>
      </c>
      <c r="CL45" s="1408" t="s">
        <v>2514</v>
      </c>
      <c r="CM45" s="1408" t="s">
        <v>5953</v>
      </c>
      <c r="CN45" s="1408" t="s">
        <v>2514</v>
      </c>
      <c r="CO45" s="1408" t="s">
        <v>6661</v>
      </c>
      <c r="CP45" s="1408" t="s">
        <v>2514</v>
      </c>
      <c r="CQ45" s="1408" t="s">
        <v>1332</v>
      </c>
      <c r="CR45" s="1408" t="s">
        <v>2514</v>
      </c>
      <c r="CS45" s="1408" t="s">
        <v>3765</v>
      </c>
      <c r="CT45" s="1408" t="s">
        <v>2514</v>
      </c>
      <c r="CU45" s="1408" t="s">
        <v>5821</v>
      </c>
      <c r="CV45" s="1408" t="s">
        <v>2514</v>
      </c>
      <c r="CW45" s="1408" t="s">
        <v>5311</v>
      </c>
      <c r="CX45" s="1408" t="s">
        <v>2514</v>
      </c>
      <c r="CY45" s="1408" t="s">
        <v>5719</v>
      </c>
      <c r="CZ45" s="1408" t="s">
        <v>2514</v>
      </c>
      <c r="DA45" s="1408" t="s">
        <v>3654</v>
      </c>
      <c r="DB45" s="1408" t="s">
        <v>2514</v>
      </c>
      <c r="DC45" s="1408" t="s">
        <v>4088</v>
      </c>
      <c r="DD45" s="1408" t="s">
        <v>2514</v>
      </c>
      <c r="DE45" s="1408" t="s">
        <v>1591</v>
      </c>
      <c r="DF45" s="1408" t="s">
        <v>2514</v>
      </c>
      <c r="DG45" s="1408" t="s">
        <v>5687</v>
      </c>
      <c r="DH45" s="1408" t="s">
        <v>2514</v>
      </c>
      <c r="DI45" s="1408" t="s">
        <v>647</v>
      </c>
      <c r="DJ45" s="1408" t="s">
        <v>2514</v>
      </c>
      <c r="DK45" s="1408" t="s">
        <v>2881</v>
      </c>
      <c r="DL45" s="1408" t="s">
        <v>2514</v>
      </c>
      <c r="DM45" s="1408" t="s">
        <v>4709</v>
      </c>
      <c r="DN45" s="1408" t="s">
        <v>2514</v>
      </c>
      <c r="DO45" s="1408" t="s">
        <v>5375</v>
      </c>
      <c r="DP45" s="1408" t="s">
        <v>2514</v>
      </c>
      <c r="DQ45" s="1408" t="s">
        <v>5075</v>
      </c>
      <c r="DR45" s="1408" t="s">
        <v>2514</v>
      </c>
      <c r="DS45" s="1408" t="s">
        <v>1992</v>
      </c>
      <c r="DT45" s="1408" t="s">
        <v>2514</v>
      </c>
      <c r="DU45" s="1408" t="s">
        <v>6281</v>
      </c>
      <c r="DV45" s="1408" t="s">
        <v>2514</v>
      </c>
      <c r="DW45" s="1408" t="s">
        <v>4424</v>
      </c>
      <c r="DX45" s="1408" t="s">
        <v>2514</v>
      </c>
      <c r="DY45" s="1408" t="s">
        <v>4492</v>
      </c>
      <c r="DZ45" s="1408" t="s">
        <v>2514</v>
      </c>
      <c r="EA45" s="1408" t="s">
        <v>2464</v>
      </c>
      <c r="EB45" s="1408" t="s">
        <v>2514</v>
      </c>
      <c r="EC45" s="1408" t="s">
        <v>3607</v>
      </c>
      <c r="ED45" s="1408" t="s">
        <v>2514</v>
      </c>
      <c r="EE45" s="1408" t="s">
        <v>385</v>
      </c>
      <c r="EF45" s="1408" t="s">
        <v>2514</v>
      </c>
      <c r="EG45" s="1408" t="s">
        <v>6207</v>
      </c>
      <c r="EH45" s="1408" t="s">
        <v>2514</v>
      </c>
      <c r="EI45" s="1408" t="s">
        <v>2211</v>
      </c>
      <c r="EJ45" s="1408" t="s">
        <v>2514</v>
      </c>
      <c r="EK45" s="1408" t="s">
        <v>964</v>
      </c>
      <c r="EL45" s="1408" t="s">
        <v>2514</v>
      </c>
      <c r="EM45" s="1408" t="s">
        <v>1749</v>
      </c>
      <c r="EN45" s="1408" t="s">
        <v>2514</v>
      </c>
      <c r="EO45" s="1408" t="s">
        <v>4162</v>
      </c>
      <c r="EP45" s="1408" t="s">
        <v>2514</v>
      </c>
      <c r="EQ45" s="1408" t="s">
        <v>1031</v>
      </c>
      <c r="ER45" s="1408" t="s">
        <v>2514</v>
      </c>
      <c r="ES45" s="1408" t="s">
        <v>3439</v>
      </c>
      <c r="ET45" s="1408" t="s">
        <v>2514</v>
      </c>
      <c r="EU45" s="1408" t="s">
        <v>5456</v>
      </c>
      <c r="EV45" s="1408" t="s">
        <v>2514</v>
      </c>
      <c r="EW45" s="1408" t="s">
        <v>2911</v>
      </c>
      <c r="EX45" s="1408" t="s">
        <v>2514</v>
      </c>
      <c r="EY45" s="1408" t="s">
        <v>2087</v>
      </c>
      <c r="EZ45" s="1408" t="s">
        <v>2514</v>
      </c>
      <c r="FA45" s="1408" t="s">
        <v>845</v>
      </c>
      <c r="FB45" s="1408" t="s">
        <v>2514</v>
      </c>
      <c r="FC45" s="1408" t="s">
        <v>6677</v>
      </c>
      <c r="FD45" s="1408" t="s">
        <v>2514</v>
      </c>
      <c r="FE45" s="1408" t="s">
        <v>4090</v>
      </c>
      <c r="FF45" s="1408" t="s">
        <v>2514</v>
      </c>
      <c r="FG45" s="1408" t="s">
        <v>1443</v>
      </c>
      <c r="FH45" s="1408" t="s">
        <v>2514</v>
      </c>
      <c r="FI45" s="1408" t="s">
        <v>5592</v>
      </c>
      <c r="FJ45" s="1408" t="s">
        <v>2514</v>
      </c>
      <c r="FK45" s="1408" t="s">
        <v>2698</v>
      </c>
      <c r="FL45" s="1408" t="s">
        <v>2514</v>
      </c>
      <c r="FM45" s="1408" t="s">
        <v>1124</v>
      </c>
      <c r="FN45" s="1408" t="s">
        <v>2514</v>
      </c>
      <c r="FO45" s="1408" t="s">
        <v>2409</v>
      </c>
      <c r="FP45" s="1408" t="s">
        <v>2514</v>
      </c>
      <c r="FQ45" s="1408" t="s">
        <v>5272</v>
      </c>
      <c r="FR45" s="1408" t="s">
        <v>2514</v>
      </c>
      <c r="FS45" s="1408" t="s">
        <v>2165</v>
      </c>
      <c r="FT45" s="1408" t="s">
        <v>2514</v>
      </c>
      <c r="FU45" s="1408" t="s">
        <v>3642</v>
      </c>
      <c r="FV45" s="1408" t="s">
        <v>2514</v>
      </c>
      <c r="FW45" s="1408" t="s">
        <v>3953</v>
      </c>
      <c r="FX45" s="1408" t="s">
        <v>2514</v>
      </c>
      <c r="FY45" s="1408" t="s">
        <v>3762</v>
      </c>
      <c r="FZ45" s="1408" t="s">
        <v>2514</v>
      </c>
      <c r="GA45" s="1408" t="s">
        <v>4324</v>
      </c>
      <c r="GB45" s="1408" t="s">
        <v>2514</v>
      </c>
      <c r="GC45" s="1408" t="s">
        <v>1490</v>
      </c>
      <c r="GD45" s="1408" t="s">
        <v>2514</v>
      </c>
      <c r="GE45" s="1408" t="s">
        <v>6341</v>
      </c>
      <c r="GF45" s="1408" t="s">
        <v>2514</v>
      </c>
      <c r="GG45" s="1408" t="s">
        <v>4478</v>
      </c>
      <c r="GH45" s="1408" t="s">
        <v>2514</v>
      </c>
      <c r="GI45" s="1408" t="s">
        <v>6792</v>
      </c>
      <c r="GJ45" s="1408" t="s">
        <v>2514</v>
      </c>
      <c r="GK45" s="1408" t="s">
        <v>6223</v>
      </c>
      <c r="GL45" s="1408" t="s">
        <v>2514</v>
      </c>
      <c r="GM45" s="1408" t="s">
        <v>596</v>
      </c>
      <c r="GN45" s="1408" t="s">
        <v>2514</v>
      </c>
      <c r="GO45" s="1408" t="s">
        <v>6166</v>
      </c>
      <c r="GP45" s="1408" t="s">
        <v>2514</v>
      </c>
      <c r="GQ45" s="1408" t="s">
        <v>4016</v>
      </c>
      <c r="GR45" s="1408" t="s">
        <v>2514</v>
      </c>
      <c r="GS45" s="1408" t="s">
        <v>5526</v>
      </c>
      <c r="GT45" s="1408" t="s">
        <v>2514</v>
      </c>
      <c r="GU45" s="1408" t="s">
        <v>5688</v>
      </c>
      <c r="GV45" s="1408" t="s">
        <v>2514</v>
      </c>
      <c r="GW45" s="1408" t="s">
        <v>619</v>
      </c>
      <c r="GX45" s="1408" t="s">
        <v>2514</v>
      </c>
      <c r="GY45" s="1408" t="s">
        <v>3285</v>
      </c>
      <c r="GZ45" s="1408" t="s">
        <v>2514</v>
      </c>
      <c r="HA45" s="1408" t="s">
        <v>2724</v>
      </c>
      <c r="HB45" s="1408" t="s">
        <v>2514</v>
      </c>
      <c r="HC45" s="1408" t="s">
        <v>3309</v>
      </c>
      <c r="HD45" s="1408" t="s">
        <v>2514</v>
      </c>
      <c r="HE45" s="1408" t="s">
        <v>75</v>
      </c>
      <c r="HF45" s="1408" t="s">
        <v>2514</v>
      </c>
      <c r="HG45" s="1408" t="s">
        <v>5019</v>
      </c>
      <c r="HH45" s="1408" t="s">
        <v>2514</v>
      </c>
      <c r="HI45" s="1408" t="s">
        <v>1282</v>
      </c>
      <c r="HJ45" s="1408" t="s">
        <v>2514</v>
      </c>
      <c r="HK45" s="1408" t="s">
        <v>5226</v>
      </c>
      <c r="HL45" s="1408" t="s">
        <v>2514</v>
      </c>
      <c r="HM45" s="1408" t="s">
        <v>6713</v>
      </c>
      <c r="HN45" s="1408" t="s">
        <v>2514</v>
      </c>
      <c r="HO45" s="1408" t="s">
        <v>6453</v>
      </c>
      <c r="HP45" s="1408" t="s">
        <v>2514</v>
      </c>
      <c r="HQ45" s="1408" t="s">
        <v>5355</v>
      </c>
      <c r="HR45" s="1408" t="s">
        <v>2514</v>
      </c>
      <c r="HS45" s="1408" t="s">
        <v>5013</v>
      </c>
      <c r="HT45" s="1408" t="s">
        <v>2514</v>
      </c>
      <c r="HU45" s="1408" t="s">
        <v>2314</v>
      </c>
      <c r="HV45" s="1408" t="s">
        <v>2514</v>
      </c>
      <c r="HW45" s="1408" t="s">
        <v>2289</v>
      </c>
      <c r="HX45" s="1408" t="s">
        <v>2514</v>
      </c>
      <c r="HY45" s="1408" t="s">
        <v>875</v>
      </c>
      <c r="HZ45" s="1408" t="s">
        <v>2514</v>
      </c>
      <c r="IA45" s="1408" t="s">
        <v>1670</v>
      </c>
      <c r="IB45" s="1408" t="s">
        <v>2514</v>
      </c>
      <c r="IC45" s="1408" t="s">
        <v>4316</v>
      </c>
      <c r="ID45" s="1408" t="s">
        <v>2514</v>
      </c>
      <c r="IE45" s="1408" t="s">
        <v>2072</v>
      </c>
      <c r="IF45" s="1408" t="s">
        <v>2514</v>
      </c>
      <c r="IG45" s="1408" t="s">
        <v>3665</v>
      </c>
      <c r="IH45" s="1408" t="s">
        <v>2514</v>
      </c>
      <c r="II45" s="1408" t="s">
        <v>770</v>
      </c>
      <c r="IJ45" s="1408" t="s">
        <v>2514</v>
      </c>
      <c r="IK45" s="1408" t="s">
        <v>2925</v>
      </c>
      <c r="IL45" s="1408" t="s">
        <v>2514</v>
      </c>
      <c r="IM45" s="1408" t="s">
        <v>3150</v>
      </c>
      <c r="IN45" s="1408" t="s">
        <v>2514</v>
      </c>
      <c r="IO45" s="1408" t="s">
        <v>6855</v>
      </c>
      <c r="IP45" s="1408" t="s">
        <v>2514</v>
      </c>
      <c r="IQ45" s="1408" t="s">
        <v>234</v>
      </c>
      <c r="IR45" s="1408" t="s">
        <v>2514</v>
      </c>
      <c r="IS45" s="1408" t="s">
        <v>3981</v>
      </c>
      <c r="IT45" s="1408" t="s">
        <v>2514</v>
      </c>
      <c r="IU45" s="1408" t="s">
        <v>5078</v>
      </c>
      <c r="IV45" s="1408" t="s">
        <v>2514</v>
      </c>
    </row>
    <row r="46" spans="1:256" s="1408" customFormat="1">
      <c r="A46" s="1408" t="s">
        <v>4911</v>
      </c>
      <c r="B46" s="1408" t="s">
        <v>2514</v>
      </c>
      <c r="C46" s="1408" t="s">
        <v>2926</v>
      </c>
      <c r="D46" s="1408" t="s">
        <v>2514</v>
      </c>
      <c r="E46" s="1408" t="s">
        <v>864</v>
      </c>
      <c r="F46" s="1408" t="s">
        <v>2514</v>
      </c>
      <c r="G46" s="1408" t="s">
        <v>3280</v>
      </c>
      <c r="H46" s="1408" t="s">
        <v>2514</v>
      </c>
      <c r="I46" s="1408" t="s">
        <v>5708</v>
      </c>
      <c r="J46" s="1408" t="s">
        <v>2514</v>
      </c>
      <c r="K46" s="1408" t="s">
        <v>6340</v>
      </c>
      <c r="L46" s="1408" t="s">
        <v>2514</v>
      </c>
      <c r="M46" s="1408" t="s">
        <v>6257</v>
      </c>
      <c r="N46" s="1408" t="s">
        <v>2514</v>
      </c>
      <c r="O46" s="1408" t="s">
        <v>4049</v>
      </c>
      <c r="P46" s="1408" t="s">
        <v>2514</v>
      </c>
      <c r="Q46" s="1408" t="s">
        <v>1076</v>
      </c>
      <c r="R46" s="1408" t="s">
        <v>2514</v>
      </c>
      <c r="S46" s="1408" t="s">
        <v>3208</v>
      </c>
      <c r="T46" s="1408" t="s">
        <v>2514</v>
      </c>
      <c r="U46" s="1408" t="s">
        <v>4497</v>
      </c>
      <c r="V46" s="1408" t="s">
        <v>2514</v>
      </c>
      <c r="W46" s="1408" t="s">
        <v>5669</v>
      </c>
      <c r="X46" s="1408" t="s">
        <v>2514</v>
      </c>
      <c r="Y46" s="1408" t="s">
        <v>1244</v>
      </c>
      <c r="Z46" s="1408" t="s">
        <v>2514</v>
      </c>
      <c r="AA46" s="1408" t="s">
        <v>3889</v>
      </c>
      <c r="AB46" s="1408" t="s">
        <v>2514</v>
      </c>
      <c r="AC46" s="1408" t="s">
        <v>5002</v>
      </c>
      <c r="AD46" s="1408" t="s">
        <v>2514</v>
      </c>
      <c r="AE46" s="1408" t="s">
        <v>5517</v>
      </c>
      <c r="AF46" s="1408" t="s">
        <v>2514</v>
      </c>
      <c r="AG46" s="1408" t="s">
        <v>901</v>
      </c>
      <c r="AH46" s="1408" t="s">
        <v>2514</v>
      </c>
      <c r="AI46" s="1408" t="s">
        <v>6916</v>
      </c>
      <c r="AJ46" s="1408" t="s">
        <v>2514</v>
      </c>
      <c r="AK46" s="1408" t="s">
        <v>52</v>
      </c>
      <c r="AL46" s="1408" t="s">
        <v>2514</v>
      </c>
      <c r="AM46" s="1408" t="s">
        <v>6829</v>
      </c>
      <c r="AN46" s="1408" t="s">
        <v>2514</v>
      </c>
      <c r="AO46" s="1408" t="s">
        <v>2137</v>
      </c>
      <c r="AP46" s="1408" t="s">
        <v>2514</v>
      </c>
      <c r="AQ46" s="1408" t="s">
        <v>6599</v>
      </c>
      <c r="AR46" s="1408" t="s">
        <v>2514</v>
      </c>
      <c r="AS46" s="1408" t="s">
        <v>2917</v>
      </c>
      <c r="AT46" s="1408" t="s">
        <v>2514</v>
      </c>
      <c r="AU46" s="1408" t="s">
        <v>3537</v>
      </c>
      <c r="AV46" s="1408" t="s">
        <v>2514</v>
      </c>
      <c r="AW46" s="1408" t="s">
        <v>3755</v>
      </c>
      <c r="AX46" s="1408" t="s">
        <v>2514</v>
      </c>
      <c r="AY46" s="1408" t="s">
        <v>6233</v>
      </c>
      <c r="AZ46" s="1408" t="s">
        <v>2514</v>
      </c>
      <c r="BA46" s="1408" t="s">
        <v>4836</v>
      </c>
      <c r="BB46" s="1408" t="s">
        <v>2514</v>
      </c>
      <c r="BC46" s="1408" t="s">
        <v>6394</v>
      </c>
      <c r="BD46" s="1408" t="s">
        <v>2514</v>
      </c>
      <c r="BE46" s="1408" t="s">
        <v>2985</v>
      </c>
      <c r="BF46" s="1408" t="s">
        <v>2514</v>
      </c>
      <c r="BG46" s="1408" t="s">
        <v>4546</v>
      </c>
      <c r="BH46" s="1408" t="s">
        <v>2514</v>
      </c>
      <c r="BI46" s="1408" t="s">
        <v>1923</v>
      </c>
      <c r="BJ46" s="1408" t="s">
        <v>2514</v>
      </c>
      <c r="BK46" s="1408" t="s">
        <v>2967</v>
      </c>
      <c r="BL46" s="1408" t="s">
        <v>2514</v>
      </c>
      <c r="BM46" s="1408" t="s">
        <v>5912</v>
      </c>
      <c r="BN46" s="1408" t="s">
        <v>2514</v>
      </c>
      <c r="BO46" s="1408" t="s">
        <v>4692</v>
      </c>
      <c r="BP46" s="1408" t="s">
        <v>2514</v>
      </c>
      <c r="BQ46" s="1408" t="s">
        <v>724</v>
      </c>
      <c r="BR46" s="1408" t="s">
        <v>2514</v>
      </c>
      <c r="BS46" s="1408" t="s">
        <v>4899</v>
      </c>
      <c r="BT46" s="1408" t="s">
        <v>2514</v>
      </c>
      <c r="BU46" s="1408" t="s">
        <v>1082</v>
      </c>
      <c r="BV46" s="1408" t="s">
        <v>2514</v>
      </c>
      <c r="BW46" s="1408" t="s">
        <v>6368</v>
      </c>
      <c r="BX46" s="1408" t="s">
        <v>2514</v>
      </c>
      <c r="BY46" s="1408" t="s">
        <v>741</v>
      </c>
      <c r="BZ46" s="1408" t="s">
        <v>2514</v>
      </c>
      <c r="CA46" s="1408" t="s">
        <v>457</v>
      </c>
      <c r="CB46" s="1408" t="s">
        <v>2514</v>
      </c>
      <c r="CC46" s="1408" t="s">
        <v>2490</v>
      </c>
      <c r="CD46" s="1408" t="s">
        <v>2514</v>
      </c>
      <c r="CE46" s="1408" t="s">
        <v>6755</v>
      </c>
      <c r="CF46" s="1408" t="s">
        <v>2514</v>
      </c>
      <c r="CG46" s="1408" t="s">
        <v>4069</v>
      </c>
      <c r="CH46" s="1408" t="s">
        <v>2514</v>
      </c>
      <c r="CI46" s="1408" t="s">
        <v>3462</v>
      </c>
      <c r="CJ46" s="1408" t="s">
        <v>2514</v>
      </c>
      <c r="CK46" s="1408" t="s">
        <v>2827</v>
      </c>
      <c r="CL46" s="1408" t="s">
        <v>2514</v>
      </c>
      <c r="CM46" s="1408" t="s">
        <v>2715</v>
      </c>
      <c r="CN46" s="1408" t="s">
        <v>2514</v>
      </c>
      <c r="CO46" s="1408" t="s">
        <v>43</v>
      </c>
      <c r="CP46" s="1408" t="s">
        <v>2514</v>
      </c>
      <c r="CQ46" s="1408" t="s">
        <v>6480</v>
      </c>
      <c r="CR46" s="1408" t="s">
        <v>2514</v>
      </c>
      <c r="CS46" s="1408" t="s">
        <v>5059</v>
      </c>
      <c r="CT46" s="1408" t="s">
        <v>2514</v>
      </c>
      <c r="CU46" s="1408" t="s">
        <v>413</v>
      </c>
      <c r="CV46" s="1408" t="s">
        <v>2514</v>
      </c>
      <c r="CW46" s="1408" t="s">
        <v>1219</v>
      </c>
      <c r="CX46" s="1408" t="s">
        <v>2514</v>
      </c>
      <c r="CY46" s="1408" t="s">
        <v>829</v>
      </c>
      <c r="CZ46" s="1408" t="s">
        <v>2514</v>
      </c>
      <c r="DA46" s="1408" t="s">
        <v>2186</v>
      </c>
      <c r="DB46" s="1408" t="s">
        <v>2514</v>
      </c>
      <c r="DC46" s="1408" t="s">
        <v>3836</v>
      </c>
      <c r="DD46" s="1408" t="s">
        <v>2514</v>
      </c>
      <c r="DE46" s="1408" t="s">
        <v>5696</v>
      </c>
      <c r="DF46" s="1408" t="s">
        <v>2514</v>
      </c>
      <c r="DG46" s="1408" t="s">
        <v>5745</v>
      </c>
      <c r="DH46" s="1408" t="s">
        <v>2514</v>
      </c>
      <c r="DI46" s="1408" t="s">
        <v>3872</v>
      </c>
      <c r="DJ46" s="1408" t="s">
        <v>2514</v>
      </c>
      <c r="DK46" s="1408" t="s">
        <v>6563</v>
      </c>
      <c r="DL46" s="1408" t="s">
        <v>2514</v>
      </c>
      <c r="DM46" s="1408" t="s">
        <v>5294</v>
      </c>
      <c r="DN46" s="1408" t="s">
        <v>2514</v>
      </c>
      <c r="DO46" s="1408" t="s">
        <v>2374</v>
      </c>
      <c r="DP46" s="1408" t="s">
        <v>2514</v>
      </c>
      <c r="DQ46" s="1408" t="s">
        <v>4347</v>
      </c>
      <c r="DR46" s="1408" t="s">
        <v>2514</v>
      </c>
      <c r="DS46" s="1408" t="s">
        <v>2163</v>
      </c>
      <c r="DT46" s="1408" t="s">
        <v>2514</v>
      </c>
      <c r="DU46" s="1408" t="s">
        <v>2085</v>
      </c>
      <c r="DV46" s="1408" t="s">
        <v>2514</v>
      </c>
      <c r="DW46" s="1408" t="s">
        <v>6126</v>
      </c>
      <c r="DX46" s="1408" t="s">
        <v>2514</v>
      </c>
      <c r="DY46" s="1408" t="s">
        <v>1952</v>
      </c>
      <c r="DZ46" s="1408" t="s">
        <v>2514</v>
      </c>
      <c r="EA46" s="1408" t="s">
        <v>458</v>
      </c>
      <c r="EB46" s="1408" t="s">
        <v>2514</v>
      </c>
      <c r="EC46" s="1408" t="s">
        <v>5419</v>
      </c>
      <c r="ED46" s="1408" t="s">
        <v>2514</v>
      </c>
      <c r="EE46" s="1408" t="s">
        <v>6048</v>
      </c>
      <c r="EF46" s="1408" t="s">
        <v>2514</v>
      </c>
      <c r="EG46" s="1408" t="s">
        <v>20</v>
      </c>
      <c r="EH46" s="1408" t="s">
        <v>2514</v>
      </c>
      <c r="EI46" s="1408" t="s">
        <v>1391</v>
      </c>
      <c r="EJ46" s="1408" t="s">
        <v>2514</v>
      </c>
      <c r="EK46" s="1408" t="s">
        <v>213</v>
      </c>
      <c r="EL46" s="1408" t="s">
        <v>2514</v>
      </c>
      <c r="EM46" s="1408" t="s">
        <v>500</v>
      </c>
      <c r="EN46" s="1408" t="s">
        <v>2514</v>
      </c>
      <c r="EO46" s="1408" t="s">
        <v>4196</v>
      </c>
      <c r="EP46" s="1408" t="s">
        <v>2514</v>
      </c>
      <c r="EQ46" s="1408" t="s">
        <v>3857</v>
      </c>
      <c r="ER46" s="1408" t="s">
        <v>2514</v>
      </c>
      <c r="ES46" s="1408" t="s">
        <v>6083</v>
      </c>
      <c r="ET46" s="1408" t="s">
        <v>2514</v>
      </c>
      <c r="EU46" s="1408" t="s">
        <v>3570</v>
      </c>
      <c r="EV46" s="1408" t="s">
        <v>2514</v>
      </c>
      <c r="EW46" s="1408" t="s">
        <v>4917</v>
      </c>
      <c r="EX46" s="1408" t="s">
        <v>2514</v>
      </c>
      <c r="EY46" s="1408" t="s">
        <v>554</v>
      </c>
      <c r="EZ46" s="1408" t="s">
        <v>2514</v>
      </c>
      <c r="FA46" s="1408" t="s">
        <v>4310</v>
      </c>
      <c r="FB46" s="1408" t="s">
        <v>2514</v>
      </c>
      <c r="FC46" s="1408" t="s">
        <v>4281</v>
      </c>
      <c r="FD46" s="1408" t="s">
        <v>2514</v>
      </c>
      <c r="FE46" s="1408" t="s">
        <v>6145</v>
      </c>
      <c r="FF46" s="1408" t="s">
        <v>2514</v>
      </c>
      <c r="FG46" s="1408" t="s">
        <v>2297</v>
      </c>
      <c r="FH46" s="1408" t="s">
        <v>2514</v>
      </c>
      <c r="FI46" s="1408" t="s">
        <v>1320</v>
      </c>
      <c r="FJ46" s="1408" t="s">
        <v>2514</v>
      </c>
      <c r="FK46" s="1408" t="s">
        <v>3734</v>
      </c>
      <c r="FL46" s="1408" t="s">
        <v>2514</v>
      </c>
      <c r="FM46" s="1408" t="s">
        <v>707</v>
      </c>
      <c r="FN46" s="1408" t="s">
        <v>2514</v>
      </c>
      <c r="FO46" s="1408" t="s">
        <v>5776</v>
      </c>
      <c r="FP46" s="1408" t="s">
        <v>2514</v>
      </c>
      <c r="FQ46" s="1408" t="s">
        <v>6648</v>
      </c>
      <c r="FR46" s="1408" t="s">
        <v>2514</v>
      </c>
      <c r="FS46" s="1408" t="s">
        <v>1709</v>
      </c>
      <c r="FT46" s="1408" t="s">
        <v>2514</v>
      </c>
      <c r="FU46" s="1408" t="s">
        <v>5965</v>
      </c>
      <c r="FV46" s="1408" t="s">
        <v>2514</v>
      </c>
      <c r="FW46" s="1408" t="s">
        <v>2872</v>
      </c>
      <c r="FX46" s="1408" t="s">
        <v>2514</v>
      </c>
      <c r="FY46" s="1408" t="s">
        <v>1519</v>
      </c>
      <c r="FZ46" s="1408" t="s">
        <v>2514</v>
      </c>
      <c r="GA46" s="1408" t="s">
        <v>6013</v>
      </c>
      <c r="GB46" s="1408" t="s">
        <v>2514</v>
      </c>
      <c r="GC46" s="1408" t="s">
        <v>4144</v>
      </c>
      <c r="GD46" s="1408" t="s">
        <v>2514</v>
      </c>
      <c r="GE46" s="1408" t="s">
        <v>4528</v>
      </c>
      <c r="GF46" s="1408" t="s">
        <v>2514</v>
      </c>
      <c r="GG46" s="1408" t="s">
        <v>3097</v>
      </c>
      <c r="GH46" s="1408" t="s">
        <v>2514</v>
      </c>
      <c r="GI46" s="1408" t="s">
        <v>3954</v>
      </c>
      <c r="GJ46" s="1408" t="s">
        <v>2514</v>
      </c>
      <c r="GK46" s="1408" t="s">
        <v>1515</v>
      </c>
      <c r="GL46" s="1408" t="s">
        <v>2514</v>
      </c>
      <c r="GM46" s="1408" t="s">
        <v>2298</v>
      </c>
      <c r="GN46" s="1408" t="s">
        <v>2514</v>
      </c>
      <c r="GO46" s="1408" t="s">
        <v>6694</v>
      </c>
      <c r="GP46" s="1408" t="s">
        <v>2514</v>
      </c>
      <c r="GQ46" s="1408" t="s">
        <v>3854</v>
      </c>
      <c r="GR46" s="1408" t="s">
        <v>2514</v>
      </c>
      <c r="GS46" s="1408" t="s">
        <v>1458</v>
      </c>
      <c r="GT46" s="1408" t="s">
        <v>2514</v>
      </c>
      <c r="GU46" s="1408" t="s">
        <v>3733</v>
      </c>
      <c r="GV46" s="1408" t="s">
        <v>2514</v>
      </c>
      <c r="GW46" s="1408" t="s">
        <v>1373</v>
      </c>
      <c r="GX46" s="1408" t="s">
        <v>2514</v>
      </c>
      <c r="GY46" s="1408" t="s">
        <v>4880</v>
      </c>
      <c r="GZ46" s="1408" t="s">
        <v>2514</v>
      </c>
      <c r="HA46" s="1408" t="s">
        <v>6907</v>
      </c>
      <c r="HB46" s="1408" t="s">
        <v>2514</v>
      </c>
      <c r="HC46" s="1408" t="s">
        <v>3679</v>
      </c>
      <c r="HD46" s="1408" t="s">
        <v>2514</v>
      </c>
      <c r="HE46" s="1408" t="s">
        <v>1277</v>
      </c>
      <c r="HF46" s="1408" t="s">
        <v>2514</v>
      </c>
      <c r="HG46" s="1408" t="s">
        <v>6312</v>
      </c>
      <c r="HH46" s="1408" t="s">
        <v>2514</v>
      </c>
      <c r="HI46" s="1408" t="s">
        <v>6853</v>
      </c>
      <c r="HJ46" s="1408" t="s">
        <v>2514</v>
      </c>
      <c r="HK46" s="1408" t="s">
        <v>3357</v>
      </c>
      <c r="HL46" s="1408" t="s">
        <v>2514</v>
      </c>
      <c r="HM46" s="1408" t="s">
        <v>6155</v>
      </c>
      <c r="HN46" s="1408" t="s">
        <v>2514</v>
      </c>
      <c r="HO46" s="1408" t="s">
        <v>2173</v>
      </c>
      <c r="HP46" s="1408" t="s">
        <v>2514</v>
      </c>
      <c r="HQ46" s="1408" t="s">
        <v>807</v>
      </c>
      <c r="HR46" s="1408" t="s">
        <v>2514</v>
      </c>
      <c r="HS46" s="1408" t="s">
        <v>6078</v>
      </c>
      <c r="HT46" s="1408" t="s">
        <v>2514</v>
      </c>
      <c r="HU46" s="1408" t="s">
        <v>642</v>
      </c>
      <c r="HV46" s="1408" t="s">
        <v>2514</v>
      </c>
      <c r="HW46" s="1408" t="s">
        <v>3781</v>
      </c>
      <c r="HX46" s="1408" t="s">
        <v>2514</v>
      </c>
      <c r="HY46" s="1408" t="s">
        <v>1823</v>
      </c>
      <c r="HZ46" s="1408" t="s">
        <v>2514</v>
      </c>
      <c r="IA46" s="1408" t="s">
        <v>6344</v>
      </c>
      <c r="IB46" s="1408" t="s">
        <v>2514</v>
      </c>
      <c r="IC46" s="1408" t="s">
        <v>4309</v>
      </c>
      <c r="ID46" s="1408" t="s">
        <v>2514</v>
      </c>
      <c r="IE46" s="1408" t="s">
        <v>2144</v>
      </c>
      <c r="IF46" s="1408" t="s">
        <v>2514</v>
      </c>
      <c r="IG46" s="1408" t="s">
        <v>4762</v>
      </c>
      <c r="IH46" s="1408" t="s">
        <v>2514</v>
      </c>
      <c r="II46" s="1408" t="s">
        <v>5802</v>
      </c>
      <c r="IJ46" s="1408" t="s">
        <v>2514</v>
      </c>
      <c r="IK46" s="1408" t="s">
        <v>635</v>
      </c>
      <c r="IL46" s="1408" t="s">
        <v>2514</v>
      </c>
      <c r="IM46" s="1408" t="s">
        <v>4667</v>
      </c>
      <c r="IN46" s="1408" t="s">
        <v>2514</v>
      </c>
      <c r="IO46" s="1408" t="s">
        <v>5267</v>
      </c>
      <c r="IP46" s="1408" t="s">
        <v>2514</v>
      </c>
      <c r="IQ46" s="1408" t="s">
        <v>6535</v>
      </c>
      <c r="IR46" s="1408" t="s">
        <v>2514</v>
      </c>
      <c r="IS46" s="1408" t="s">
        <v>1301</v>
      </c>
      <c r="IT46" s="1408" t="s">
        <v>2514</v>
      </c>
      <c r="IU46" s="1408" t="s">
        <v>93</v>
      </c>
      <c r="IV46" s="1408" t="s">
        <v>2514</v>
      </c>
    </row>
    <row r="47" spans="1:256" s="1408" customFormat="1">
      <c r="A47" s="1408" t="s">
        <v>2232</v>
      </c>
      <c r="B47" s="1408" t="s">
        <v>2514</v>
      </c>
      <c r="C47" s="1408" t="s">
        <v>3626</v>
      </c>
      <c r="D47" s="1408" t="s">
        <v>2514</v>
      </c>
      <c r="E47" s="1408" t="s">
        <v>684</v>
      </c>
      <c r="F47" s="1408" t="s">
        <v>2514</v>
      </c>
      <c r="G47" s="1408" t="s">
        <v>3152</v>
      </c>
      <c r="H47" s="1408" t="s">
        <v>2514</v>
      </c>
      <c r="I47" s="1408" t="s">
        <v>4777</v>
      </c>
      <c r="J47" s="1408" t="s">
        <v>2514</v>
      </c>
      <c r="K47" s="1408" t="s">
        <v>1617</v>
      </c>
      <c r="L47" s="1408" t="s">
        <v>2514</v>
      </c>
      <c r="M47" s="1408" t="s">
        <v>221</v>
      </c>
      <c r="N47" s="1408" t="s">
        <v>2514</v>
      </c>
      <c r="O47" s="1408" t="s">
        <v>3656</v>
      </c>
      <c r="P47" s="1408" t="s">
        <v>2514</v>
      </c>
      <c r="Q47" s="1408" t="s">
        <v>3652</v>
      </c>
      <c r="R47" s="1408" t="s">
        <v>2514</v>
      </c>
      <c r="S47" s="1408" t="s">
        <v>3376</v>
      </c>
      <c r="T47" s="1408" t="s">
        <v>2514</v>
      </c>
      <c r="U47" s="1408" t="s">
        <v>2661</v>
      </c>
      <c r="V47" s="1408" t="s">
        <v>2514</v>
      </c>
      <c r="W47" s="1408" t="s">
        <v>157</v>
      </c>
      <c r="X47" s="1408" t="s">
        <v>2514</v>
      </c>
      <c r="Y47" s="1408" t="s">
        <v>6178</v>
      </c>
      <c r="Z47" s="1408" t="s">
        <v>2514</v>
      </c>
      <c r="AA47" s="1408" t="s">
        <v>5713</v>
      </c>
      <c r="AB47" s="1408" t="s">
        <v>2514</v>
      </c>
      <c r="AC47" s="1408" t="s">
        <v>789</v>
      </c>
      <c r="AD47" s="1408" t="s">
        <v>2514</v>
      </c>
      <c r="AE47" s="1408" t="s">
        <v>5663</v>
      </c>
      <c r="AF47" s="1408" t="s">
        <v>2514</v>
      </c>
      <c r="AG47" s="1408" t="s">
        <v>5974</v>
      </c>
      <c r="AH47" s="1408" t="s">
        <v>2514</v>
      </c>
      <c r="AI47" s="1408" t="s">
        <v>5693</v>
      </c>
      <c r="AJ47" s="1408" t="s">
        <v>2514</v>
      </c>
      <c r="AK47" s="1408" t="s">
        <v>2893</v>
      </c>
      <c r="AL47" s="1408" t="s">
        <v>2514</v>
      </c>
      <c r="AM47" s="1408" t="s">
        <v>6794</v>
      </c>
      <c r="AN47" s="1408" t="s">
        <v>2514</v>
      </c>
      <c r="AO47" s="1408" t="s">
        <v>2184</v>
      </c>
      <c r="AP47" s="1408" t="s">
        <v>2514</v>
      </c>
      <c r="AQ47" s="1408" t="s">
        <v>2195</v>
      </c>
      <c r="AR47" s="1408" t="s">
        <v>2514</v>
      </c>
      <c r="AS47" s="1408" t="s">
        <v>4802</v>
      </c>
      <c r="AT47" s="1408" t="s">
        <v>2514</v>
      </c>
      <c r="AU47" s="1408" t="s">
        <v>4365</v>
      </c>
      <c r="AV47" s="1408" t="s">
        <v>2514</v>
      </c>
      <c r="AW47" s="1408" t="s">
        <v>5297</v>
      </c>
      <c r="AX47" s="1408" t="s">
        <v>2514</v>
      </c>
      <c r="AY47" s="1408" t="s">
        <v>5404</v>
      </c>
      <c r="AZ47" s="1408" t="s">
        <v>2514</v>
      </c>
      <c r="BA47" s="1408" t="s">
        <v>2566</v>
      </c>
      <c r="BB47" s="1408" t="s">
        <v>2514</v>
      </c>
      <c r="BC47" s="1408" t="s">
        <v>3523</v>
      </c>
      <c r="BD47" s="1408" t="s">
        <v>2514</v>
      </c>
      <c r="BE47" s="1408" t="s">
        <v>3440</v>
      </c>
      <c r="BF47" s="1408" t="s">
        <v>2514</v>
      </c>
      <c r="BG47" s="1408" t="s">
        <v>1121</v>
      </c>
      <c r="BH47" s="1408" t="s">
        <v>2514</v>
      </c>
      <c r="BI47" s="1408" t="s">
        <v>5047</v>
      </c>
      <c r="BJ47" s="1408" t="s">
        <v>2514</v>
      </c>
      <c r="BK47" s="1408" t="s">
        <v>1556</v>
      </c>
      <c r="BL47" s="1408" t="s">
        <v>2514</v>
      </c>
      <c r="BM47" s="1408" t="s">
        <v>4020</v>
      </c>
      <c r="BN47" s="1408" t="s">
        <v>2514</v>
      </c>
      <c r="BO47" s="1408" t="s">
        <v>6525</v>
      </c>
      <c r="BP47" s="1408" t="s">
        <v>2514</v>
      </c>
      <c r="BQ47" s="1408" t="s">
        <v>3133</v>
      </c>
      <c r="BR47" s="1408" t="s">
        <v>2514</v>
      </c>
      <c r="BS47" s="1408" t="s">
        <v>1611</v>
      </c>
      <c r="BT47" s="1408" t="s">
        <v>2514</v>
      </c>
      <c r="BU47" s="1408" t="s">
        <v>3506</v>
      </c>
      <c r="BV47" s="1408" t="s">
        <v>2514</v>
      </c>
      <c r="BW47" s="1408" t="s">
        <v>4724</v>
      </c>
      <c r="BX47" s="1408" t="s">
        <v>2514</v>
      </c>
      <c r="BY47" s="1408" t="s">
        <v>184</v>
      </c>
      <c r="BZ47" s="1408" t="s">
        <v>2514</v>
      </c>
      <c r="CA47" s="1408" t="s">
        <v>6194</v>
      </c>
      <c r="CB47" s="1408" t="s">
        <v>2514</v>
      </c>
      <c r="CC47" s="1408" t="s">
        <v>3688</v>
      </c>
      <c r="CD47" s="1408" t="s">
        <v>2514</v>
      </c>
      <c r="CE47" s="1408" t="s">
        <v>4979</v>
      </c>
      <c r="CF47" s="1408" t="s">
        <v>2514</v>
      </c>
      <c r="CG47" s="1408" t="s">
        <v>3880</v>
      </c>
      <c r="CH47" s="1408" t="s">
        <v>2514</v>
      </c>
      <c r="CI47" s="1408" t="s">
        <v>2543</v>
      </c>
      <c r="CJ47" s="1408" t="s">
        <v>2514</v>
      </c>
      <c r="CK47" s="1408" t="s">
        <v>852</v>
      </c>
      <c r="CL47" s="1408" t="s">
        <v>2514</v>
      </c>
      <c r="CM47" s="1408" t="s">
        <v>5667</v>
      </c>
      <c r="CN47" s="1408" t="s">
        <v>2514</v>
      </c>
      <c r="CO47" s="1408" t="s">
        <v>5476</v>
      </c>
      <c r="CP47" s="1408" t="s">
        <v>2514</v>
      </c>
      <c r="CQ47" s="1408" t="s">
        <v>5363</v>
      </c>
      <c r="CR47" s="1408" t="s">
        <v>2514</v>
      </c>
      <c r="CS47" s="1408" t="s">
        <v>2544</v>
      </c>
      <c r="CT47" s="1408" t="s">
        <v>2514</v>
      </c>
      <c r="CU47" s="1408" t="s">
        <v>3186</v>
      </c>
      <c r="CV47" s="1408" t="s">
        <v>2514</v>
      </c>
      <c r="CW47" s="1408" t="s">
        <v>4784</v>
      </c>
      <c r="CX47" s="1408" t="s">
        <v>2514</v>
      </c>
      <c r="CY47" s="1408" t="s">
        <v>1743</v>
      </c>
      <c r="CZ47" s="1408" t="s">
        <v>2514</v>
      </c>
      <c r="DA47" s="1408" t="s">
        <v>4603</v>
      </c>
      <c r="DB47" s="1408" t="s">
        <v>2514</v>
      </c>
      <c r="DC47" s="1408" t="s">
        <v>1379</v>
      </c>
      <c r="DD47" s="1408" t="s">
        <v>2514</v>
      </c>
      <c r="DE47" s="1408" t="s">
        <v>837</v>
      </c>
      <c r="DF47" s="1408" t="s">
        <v>2514</v>
      </c>
      <c r="DG47" s="1408" t="s">
        <v>3551</v>
      </c>
      <c r="DH47" s="1408" t="s">
        <v>2514</v>
      </c>
      <c r="DI47" s="1408" t="s">
        <v>5681</v>
      </c>
      <c r="DJ47" s="1408" t="s">
        <v>2514</v>
      </c>
      <c r="DK47" s="1408" t="s">
        <v>6130</v>
      </c>
      <c r="DL47" s="1408" t="s">
        <v>2514</v>
      </c>
      <c r="DM47" s="1408" t="s">
        <v>2569</v>
      </c>
      <c r="DN47" s="1408" t="s">
        <v>2514</v>
      </c>
      <c r="DO47" s="1408" t="s">
        <v>294</v>
      </c>
      <c r="DP47" s="1408" t="s">
        <v>2514</v>
      </c>
      <c r="DQ47" s="1408" t="s">
        <v>6462</v>
      </c>
      <c r="DR47" s="1408" t="s">
        <v>2514</v>
      </c>
      <c r="DS47" s="1408" t="s">
        <v>6828</v>
      </c>
      <c r="DT47" s="1408" t="s">
        <v>2514</v>
      </c>
      <c r="DU47" s="1408" t="s">
        <v>1068</v>
      </c>
      <c r="DV47" s="1408" t="s">
        <v>2514</v>
      </c>
      <c r="DW47" s="1408" t="s">
        <v>3447</v>
      </c>
      <c r="DX47" s="1408" t="s">
        <v>2514</v>
      </c>
      <c r="DY47" s="1408" t="s">
        <v>4307</v>
      </c>
      <c r="DZ47" s="1408" t="s">
        <v>2514</v>
      </c>
      <c r="EA47" s="1408" t="s">
        <v>1848</v>
      </c>
      <c r="EB47" s="1408" t="s">
        <v>2514</v>
      </c>
      <c r="EC47" s="1408" t="s">
        <v>918</v>
      </c>
      <c r="ED47" s="1408" t="s">
        <v>2514</v>
      </c>
      <c r="EE47" s="1408" t="s">
        <v>873</v>
      </c>
      <c r="EF47" s="1408" t="s">
        <v>2514</v>
      </c>
      <c r="EG47" s="1408" t="s">
        <v>4320</v>
      </c>
      <c r="EH47" s="1408" t="s">
        <v>2514</v>
      </c>
      <c r="EI47" s="1408" t="s">
        <v>4649</v>
      </c>
      <c r="EJ47" s="1408" t="s">
        <v>2514</v>
      </c>
      <c r="EK47" s="1408" t="s">
        <v>5661</v>
      </c>
      <c r="EL47" s="1408" t="s">
        <v>2514</v>
      </c>
      <c r="EM47" s="1408" t="s">
        <v>626</v>
      </c>
      <c r="EN47" s="1408" t="s">
        <v>2514</v>
      </c>
      <c r="EO47" s="1408" t="s">
        <v>974</v>
      </c>
      <c r="EP47" s="1408" t="s">
        <v>2514</v>
      </c>
      <c r="EQ47" s="1408" t="s">
        <v>6416</v>
      </c>
      <c r="ER47" s="1408" t="s">
        <v>2514</v>
      </c>
      <c r="ES47" s="1408" t="s">
        <v>1259</v>
      </c>
      <c r="ET47" s="1408" t="s">
        <v>2514</v>
      </c>
      <c r="EU47" s="1408" t="s">
        <v>2402</v>
      </c>
      <c r="EV47" s="1408" t="s">
        <v>2514</v>
      </c>
      <c r="EW47" s="1408" t="s">
        <v>6913</v>
      </c>
      <c r="EX47" s="1408" t="s">
        <v>2514</v>
      </c>
      <c r="EY47" s="1408" t="s">
        <v>798</v>
      </c>
      <c r="EZ47" s="1408" t="s">
        <v>2514</v>
      </c>
      <c r="FA47" s="1408" t="s">
        <v>5132</v>
      </c>
      <c r="FB47" s="1408" t="s">
        <v>2514</v>
      </c>
      <c r="FC47" s="1408" t="s">
        <v>6834</v>
      </c>
      <c r="FD47" s="1408" t="s">
        <v>2514</v>
      </c>
      <c r="FE47" s="1408" t="s">
        <v>6371</v>
      </c>
      <c r="FF47" s="1408" t="s">
        <v>2514</v>
      </c>
      <c r="FG47" s="1408" t="s">
        <v>5840</v>
      </c>
      <c r="FH47" s="1408" t="s">
        <v>2514</v>
      </c>
      <c r="FI47" s="1408" t="s">
        <v>735</v>
      </c>
      <c r="FJ47" s="1408" t="s">
        <v>2514</v>
      </c>
      <c r="FK47" s="1408" t="s">
        <v>4411</v>
      </c>
      <c r="FL47" s="1408" t="s">
        <v>2514</v>
      </c>
      <c r="FM47" s="1408" t="s">
        <v>4474</v>
      </c>
      <c r="FN47" s="1408" t="s">
        <v>2514</v>
      </c>
      <c r="FO47" s="1408" t="s">
        <v>6404</v>
      </c>
      <c r="FP47" s="1408" t="s">
        <v>2514</v>
      </c>
      <c r="FQ47" s="1408" t="s">
        <v>4325</v>
      </c>
      <c r="FR47" s="1408" t="s">
        <v>2514</v>
      </c>
      <c r="FS47" s="1408" t="s">
        <v>1493</v>
      </c>
      <c r="FT47" s="1408" t="s">
        <v>2514</v>
      </c>
      <c r="FU47" s="1408" t="s">
        <v>4601</v>
      </c>
      <c r="FV47" s="1408" t="s">
        <v>2514</v>
      </c>
      <c r="FW47" s="1408" t="s">
        <v>4150</v>
      </c>
      <c r="FX47" s="1408" t="s">
        <v>2514</v>
      </c>
      <c r="FY47" s="1408" t="s">
        <v>5333</v>
      </c>
      <c r="FZ47" s="1408" t="s">
        <v>2514</v>
      </c>
      <c r="GA47" s="1408" t="s">
        <v>1538</v>
      </c>
      <c r="GB47" s="1408" t="s">
        <v>2514</v>
      </c>
      <c r="GC47" s="1408" t="s">
        <v>1354</v>
      </c>
      <c r="GD47" s="1408" t="s">
        <v>2514</v>
      </c>
      <c r="GE47" s="1408" t="s">
        <v>3881</v>
      </c>
      <c r="GF47" s="1408" t="s">
        <v>2514</v>
      </c>
      <c r="GG47" s="1408" t="s">
        <v>2214</v>
      </c>
      <c r="GH47" s="1408" t="s">
        <v>2514</v>
      </c>
      <c r="GI47" s="1408" t="s">
        <v>312</v>
      </c>
      <c r="GJ47" s="1408" t="s">
        <v>2514</v>
      </c>
      <c r="GK47" s="1408" t="s">
        <v>3190</v>
      </c>
      <c r="GL47" s="1408" t="s">
        <v>2514</v>
      </c>
      <c r="GM47" s="1408" t="s">
        <v>1618</v>
      </c>
      <c r="GN47" s="1408" t="s">
        <v>2514</v>
      </c>
      <c r="GO47" s="1408" t="s">
        <v>2167</v>
      </c>
      <c r="GP47" s="1408" t="s">
        <v>2514</v>
      </c>
      <c r="GQ47" s="1408" t="s">
        <v>6656</v>
      </c>
      <c r="GR47" s="1408" t="s">
        <v>2514</v>
      </c>
      <c r="GS47" s="1408" t="s">
        <v>5082</v>
      </c>
      <c r="GT47" s="1408" t="s">
        <v>2514</v>
      </c>
      <c r="GU47" s="1408" t="s">
        <v>577</v>
      </c>
      <c r="GV47" s="1408" t="s">
        <v>2514</v>
      </c>
      <c r="GW47" s="1408" t="s">
        <v>1772</v>
      </c>
      <c r="GX47" s="1408" t="s">
        <v>2514</v>
      </c>
      <c r="GY47" s="1408" t="s">
        <v>555</v>
      </c>
      <c r="GZ47" s="1408" t="s">
        <v>2514</v>
      </c>
      <c r="HA47" s="1408" t="s">
        <v>6518</v>
      </c>
      <c r="HB47" s="1408" t="s">
        <v>2514</v>
      </c>
      <c r="HC47" s="1408" t="s">
        <v>3694</v>
      </c>
      <c r="HD47" s="1408" t="s">
        <v>2514</v>
      </c>
      <c r="HE47" s="1408" t="s">
        <v>3100</v>
      </c>
      <c r="HF47" s="1408" t="s">
        <v>2514</v>
      </c>
      <c r="HG47" s="1408" t="s">
        <v>1827</v>
      </c>
      <c r="HH47" s="1408" t="s">
        <v>2514</v>
      </c>
      <c r="HI47" s="1408" t="s">
        <v>6361</v>
      </c>
      <c r="HJ47" s="1408" t="s">
        <v>2514</v>
      </c>
      <c r="HK47" s="1408" t="s">
        <v>4279</v>
      </c>
      <c r="HL47" s="1408" t="s">
        <v>2514</v>
      </c>
      <c r="HM47" s="1408" t="s">
        <v>6662</v>
      </c>
      <c r="HN47" s="1408" t="s">
        <v>2514</v>
      </c>
      <c r="HO47" s="1408" t="s">
        <v>3732</v>
      </c>
      <c r="HP47" s="1408" t="s">
        <v>2514</v>
      </c>
      <c r="HQ47" s="1408" t="s">
        <v>3837</v>
      </c>
      <c r="HR47" s="1408" t="s">
        <v>2514</v>
      </c>
      <c r="HS47" s="1408" t="s">
        <v>1328</v>
      </c>
      <c r="HT47" s="1408" t="s">
        <v>2514</v>
      </c>
      <c r="HU47" s="1408" t="s">
        <v>6362</v>
      </c>
      <c r="HV47" s="1408" t="s">
        <v>2514</v>
      </c>
      <c r="HW47" s="1408" t="s">
        <v>1976</v>
      </c>
      <c r="HX47" s="1408" t="s">
        <v>2514</v>
      </c>
      <c r="HY47" s="1408" t="s">
        <v>1916</v>
      </c>
      <c r="HZ47" s="1408" t="s">
        <v>2514</v>
      </c>
      <c r="IA47" s="1408" t="s">
        <v>2888</v>
      </c>
      <c r="IB47" s="1408" t="s">
        <v>2514</v>
      </c>
      <c r="IC47" s="1408" t="s">
        <v>5401</v>
      </c>
      <c r="ID47" s="1408" t="s">
        <v>2514</v>
      </c>
      <c r="IE47" s="1408" t="s">
        <v>74</v>
      </c>
      <c r="IF47" s="1408" t="s">
        <v>2514</v>
      </c>
      <c r="IG47" s="1408" t="s">
        <v>519</v>
      </c>
      <c r="IH47" s="1408" t="s">
        <v>2514</v>
      </c>
      <c r="II47" s="1408" t="s">
        <v>5360</v>
      </c>
      <c r="IJ47" s="1408" t="s">
        <v>2514</v>
      </c>
      <c r="IK47" s="1408" t="s">
        <v>5724</v>
      </c>
      <c r="IL47" s="1408" t="s">
        <v>2514</v>
      </c>
      <c r="IM47" s="1408" t="s">
        <v>3084</v>
      </c>
      <c r="IN47" s="1408" t="s">
        <v>2514</v>
      </c>
      <c r="IO47" s="1408" t="s">
        <v>3736</v>
      </c>
      <c r="IP47" s="1408" t="s">
        <v>2514</v>
      </c>
      <c r="IQ47" s="1408" t="s">
        <v>4876</v>
      </c>
      <c r="IR47" s="1408" t="s">
        <v>2514</v>
      </c>
      <c r="IS47" s="1408" t="s">
        <v>4298</v>
      </c>
      <c r="IT47" s="1408" t="s">
        <v>2514</v>
      </c>
      <c r="IU47" s="1408" t="s">
        <v>2920</v>
      </c>
      <c r="IV47" s="1408" t="s">
        <v>2514</v>
      </c>
    </row>
    <row r="48" spans="1:256" s="1408" customFormat="1">
      <c r="A48" s="1408" t="s">
        <v>6832</v>
      </c>
      <c r="B48" s="1408" t="s">
        <v>2514</v>
      </c>
      <c r="C48" s="1408" t="s">
        <v>6495</v>
      </c>
      <c r="D48" s="1408" t="s">
        <v>2514</v>
      </c>
      <c r="E48" s="1408" t="s">
        <v>2863</v>
      </c>
      <c r="F48" s="1408" t="s">
        <v>2514</v>
      </c>
      <c r="G48" s="1408" t="s">
        <v>528</v>
      </c>
      <c r="H48" s="1408" t="s">
        <v>2514</v>
      </c>
      <c r="I48" s="1408" t="s">
        <v>1842</v>
      </c>
      <c r="J48" s="1408" t="s">
        <v>2514</v>
      </c>
      <c r="K48" s="1408" t="s">
        <v>6839</v>
      </c>
      <c r="L48" s="1408" t="s">
        <v>2514</v>
      </c>
      <c r="M48" s="1408" t="s">
        <v>390</v>
      </c>
      <c r="N48" s="1408" t="s">
        <v>2514</v>
      </c>
      <c r="O48" s="1408" t="s">
        <v>5944</v>
      </c>
      <c r="P48" s="1408" t="s">
        <v>2514</v>
      </c>
      <c r="Q48" s="1408" t="s">
        <v>6177</v>
      </c>
      <c r="R48" s="1408" t="s">
        <v>2514</v>
      </c>
      <c r="S48" s="1408" t="s">
        <v>329</v>
      </c>
      <c r="T48" s="1408" t="s">
        <v>2514</v>
      </c>
      <c r="U48" s="1408" t="s">
        <v>1451</v>
      </c>
      <c r="V48" s="1408" t="s">
        <v>2514</v>
      </c>
      <c r="W48" s="1408" t="s">
        <v>4712</v>
      </c>
      <c r="X48" s="1408" t="s">
        <v>2514</v>
      </c>
      <c r="Y48" s="1408" t="s">
        <v>6528</v>
      </c>
      <c r="Z48" s="1408" t="s">
        <v>2514</v>
      </c>
      <c r="AA48" s="1408" t="s">
        <v>2611</v>
      </c>
      <c r="AB48" s="1408" t="s">
        <v>2514</v>
      </c>
      <c r="AC48" s="1408" t="s">
        <v>4701</v>
      </c>
      <c r="AD48" s="1408" t="s">
        <v>2514</v>
      </c>
      <c r="AE48" s="1408" t="s">
        <v>5386</v>
      </c>
      <c r="AF48" s="1408" t="s">
        <v>2514</v>
      </c>
      <c r="AG48" s="1408" t="s">
        <v>2038</v>
      </c>
      <c r="AH48" s="1408" t="s">
        <v>2514</v>
      </c>
      <c r="AI48" s="1408" t="s">
        <v>265</v>
      </c>
      <c r="AJ48" s="1408" t="s">
        <v>2514</v>
      </c>
      <c r="AK48" s="1408" t="s">
        <v>2891</v>
      </c>
      <c r="AL48" s="1408" t="s">
        <v>2514</v>
      </c>
      <c r="AM48" s="1408" t="s">
        <v>1673</v>
      </c>
      <c r="AN48" s="1408" t="s">
        <v>2514</v>
      </c>
      <c r="AO48" s="1408" t="s">
        <v>5806</v>
      </c>
      <c r="AP48" s="1408" t="s">
        <v>2514</v>
      </c>
      <c r="AQ48" s="1408" t="s">
        <v>230</v>
      </c>
      <c r="AR48" s="1408" t="s">
        <v>2514</v>
      </c>
      <c r="AS48" s="1408" t="s">
        <v>399</v>
      </c>
      <c r="AT48" s="1408" t="s">
        <v>2514</v>
      </c>
      <c r="AU48" s="1408" t="s">
        <v>4549</v>
      </c>
      <c r="AV48" s="1408" t="s">
        <v>2514</v>
      </c>
      <c r="AW48" s="1408" t="s">
        <v>5087</v>
      </c>
      <c r="AX48" s="1408" t="s">
        <v>2514</v>
      </c>
      <c r="AY48" s="1408" t="s">
        <v>536</v>
      </c>
      <c r="AZ48" s="1408" t="s">
        <v>2514</v>
      </c>
      <c r="BA48" s="1408" t="s">
        <v>6645</v>
      </c>
      <c r="BB48" s="1408" t="s">
        <v>2514</v>
      </c>
      <c r="BC48" s="1408" t="s">
        <v>5073</v>
      </c>
      <c r="BD48" s="1408" t="s">
        <v>2514</v>
      </c>
      <c r="BE48" s="1408" t="s">
        <v>473</v>
      </c>
      <c r="BF48" s="1408" t="s">
        <v>2514</v>
      </c>
      <c r="BG48" s="1408" t="s">
        <v>6149</v>
      </c>
      <c r="BH48" s="1408" t="s">
        <v>2514</v>
      </c>
      <c r="BI48" s="1408" t="s">
        <v>4666</v>
      </c>
      <c r="BJ48" s="1408" t="s">
        <v>2514</v>
      </c>
      <c r="BK48" s="1408" t="s">
        <v>6239</v>
      </c>
      <c r="BL48" s="1408" t="s">
        <v>2514</v>
      </c>
      <c r="BM48" s="1408" t="s">
        <v>153</v>
      </c>
      <c r="BN48" s="1408" t="s">
        <v>2514</v>
      </c>
      <c r="BO48" s="1408" t="s">
        <v>3010</v>
      </c>
      <c r="BP48" s="1408" t="s">
        <v>2514</v>
      </c>
      <c r="BQ48" s="1408" t="s">
        <v>556</v>
      </c>
      <c r="BR48" s="1408" t="s">
        <v>2514</v>
      </c>
      <c r="BS48" s="1408" t="s">
        <v>3274</v>
      </c>
      <c r="BT48" s="1408" t="s">
        <v>2514</v>
      </c>
      <c r="BU48" s="1408" t="s">
        <v>2435</v>
      </c>
      <c r="BV48" s="1408" t="s">
        <v>2514</v>
      </c>
      <c r="BW48" s="1408" t="s">
        <v>6076</v>
      </c>
      <c r="BX48" s="1408" t="s">
        <v>2514</v>
      </c>
      <c r="BY48" s="1408" t="s">
        <v>2111</v>
      </c>
      <c r="BZ48" s="1408" t="s">
        <v>2514</v>
      </c>
      <c r="CA48" s="1408" t="s">
        <v>3948</v>
      </c>
      <c r="CB48" s="1408" t="s">
        <v>2514</v>
      </c>
      <c r="CC48" s="1408" t="s">
        <v>5786</v>
      </c>
      <c r="CD48" s="1408" t="s">
        <v>2514</v>
      </c>
      <c r="CE48" s="1408" t="s">
        <v>5440</v>
      </c>
      <c r="CF48" s="1408" t="s">
        <v>2514</v>
      </c>
      <c r="CG48" s="1408" t="s">
        <v>4132</v>
      </c>
      <c r="CH48" s="1408" t="s">
        <v>2514</v>
      </c>
      <c r="CI48" s="1408" t="s">
        <v>5793</v>
      </c>
      <c r="CJ48" s="1408" t="s">
        <v>2514</v>
      </c>
      <c r="CK48" s="1408" t="s">
        <v>6170</v>
      </c>
      <c r="CL48" s="1408" t="s">
        <v>2514</v>
      </c>
      <c r="CM48" s="1408" t="s">
        <v>1501</v>
      </c>
      <c r="CN48" s="1408" t="s">
        <v>2514</v>
      </c>
      <c r="CO48" s="1408" t="s">
        <v>5740</v>
      </c>
      <c r="CP48" s="1408" t="s">
        <v>2514</v>
      </c>
      <c r="CQ48" s="1408" t="s">
        <v>1033</v>
      </c>
      <c r="CR48" s="1408" t="s">
        <v>2514</v>
      </c>
      <c r="CS48" s="1408" t="s">
        <v>5992</v>
      </c>
      <c r="CT48" s="1408" t="s">
        <v>2514</v>
      </c>
      <c r="CU48" s="1408" t="s">
        <v>1751</v>
      </c>
      <c r="CV48" s="1408" t="s">
        <v>2514</v>
      </c>
      <c r="CW48" s="1408" t="s">
        <v>400</v>
      </c>
      <c r="CX48" s="1408" t="s">
        <v>2514</v>
      </c>
      <c r="CY48" s="1408" t="s">
        <v>3871</v>
      </c>
      <c r="CZ48" s="1408" t="s">
        <v>2514</v>
      </c>
      <c r="DA48" s="1408" t="s">
        <v>1206</v>
      </c>
      <c r="DB48" s="1408" t="s">
        <v>2514</v>
      </c>
      <c r="DC48" s="1408" t="s">
        <v>80</v>
      </c>
      <c r="DD48" s="1408" t="s">
        <v>2514</v>
      </c>
      <c r="DE48" s="1408" t="s">
        <v>5996</v>
      </c>
      <c r="DF48" s="1408" t="s">
        <v>2514</v>
      </c>
      <c r="DG48" s="1408" t="s">
        <v>2299</v>
      </c>
      <c r="DH48" s="1408" t="s">
        <v>2514</v>
      </c>
      <c r="DI48" s="1408" t="s">
        <v>6273</v>
      </c>
      <c r="DJ48" s="1408" t="s">
        <v>2514</v>
      </c>
      <c r="DK48" s="1408" t="s">
        <v>4131</v>
      </c>
      <c r="DL48" s="1408" t="s">
        <v>2514</v>
      </c>
      <c r="DM48" s="1408" t="s">
        <v>25</v>
      </c>
      <c r="DN48" s="1408" t="s">
        <v>2514</v>
      </c>
      <c r="DO48" s="1408" t="s">
        <v>1953</v>
      </c>
      <c r="DP48" s="1408" t="s">
        <v>2514</v>
      </c>
      <c r="DQ48" s="1408" t="s">
        <v>3725</v>
      </c>
      <c r="DR48" s="1408" t="s">
        <v>2514</v>
      </c>
      <c r="DS48" s="1408" t="s">
        <v>124</v>
      </c>
      <c r="DT48" s="1408" t="s">
        <v>2514</v>
      </c>
      <c r="DU48" s="1408" t="s">
        <v>3219</v>
      </c>
      <c r="DV48" s="1408" t="s">
        <v>2514</v>
      </c>
      <c r="DW48" s="1408" t="s">
        <v>680</v>
      </c>
      <c r="DX48" s="1408" t="s">
        <v>2514</v>
      </c>
      <c r="DY48" s="1408" t="s">
        <v>4408</v>
      </c>
      <c r="DZ48" s="1408" t="s">
        <v>2514</v>
      </c>
      <c r="EA48" s="1408" t="s">
        <v>6935</v>
      </c>
      <c r="EB48" s="1408" t="s">
        <v>2514</v>
      </c>
      <c r="EC48" s="1408" t="s">
        <v>3154</v>
      </c>
      <c r="ED48" s="1408" t="s">
        <v>2514</v>
      </c>
      <c r="EE48" s="1408" t="s">
        <v>5326</v>
      </c>
      <c r="EF48" s="1408" t="s">
        <v>2514</v>
      </c>
      <c r="EG48" s="1408" t="s">
        <v>1173</v>
      </c>
      <c r="EH48" s="1408" t="s">
        <v>2514</v>
      </c>
      <c r="EI48" s="1408" t="s">
        <v>2737</v>
      </c>
      <c r="EJ48" s="1408" t="s">
        <v>2514</v>
      </c>
      <c r="EK48" s="1408" t="s">
        <v>3016</v>
      </c>
      <c r="EL48" s="1408" t="s">
        <v>2514</v>
      </c>
      <c r="EM48" s="1408" t="s">
        <v>5336</v>
      </c>
      <c r="EN48" s="1408" t="s">
        <v>2514</v>
      </c>
      <c r="EO48" s="1408" t="s">
        <v>6503</v>
      </c>
      <c r="EP48" s="1408" t="s">
        <v>2514</v>
      </c>
      <c r="EQ48" s="1408" t="s">
        <v>423</v>
      </c>
      <c r="ER48" s="1408" t="s">
        <v>2514</v>
      </c>
      <c r="ES48" s="1408" t="s">
        <v>1886</v>
      </c>
      <c r="ET48" s="1408" t="s">
        <v>2514</v>
      </c>
      <c r="EU48" s="1408" t="s">
        <v>6236</v>
      </c>
      <c r="EV48" s="1408" t="s">
        <v>2514</v>
      </c>
      <c r="EW48" s="1408" t="s">
        <v>2949</v>
      </c>
      <c r="EX48" s="1408" t="s">
        <v>2514</v>
      </c>
      <c r="EY48" s="1408" t="s">
        <v>1265</v>
      </c>
      <c r="EZ48" s="1408" t="s">
        <v>2514</v>
      </c>
      <c r="FA48" s="1408" t="s">
        <v>4902</v>
      </c>
      <c r="FB48" s="1408" t="s">
        <v>2514</v>
      </c>
      <c r="FC48" s="1408" t="s">
        <v>2175</v>
      </c>
      <c r="FD48" s="1408" t="s">
        <v>2514</v>
      </c>
      <c r="FE48" s="1408" t="s">
        <v>2367</v>
      </c>
      <c r="FF48" s="1408" t="s">
        <v>2514</v>
      </c>
      <c r="FG48" s="1408" t="s">
        <v>6628</v>
      </c>
      <c r="FH48" s="1408" t="s">
        <v>2514</v>
      </c>
      <c r="FI48" s="1408" t="s">
        <v>4530</v>
      </c>
      <c r="FJ48" s="1408" t="s">
        <v>2514</v>
      </c>
      <c r="FK48" s="1408" t="s">
        <v>3074</v>
      </c>
      <c r="FL48" s="1408" t="s">
        <v>2514</v>
      </c>
      <c r="FM48" s="1408" t="s">
        <v>3719</v>
      </c>
      <c r="FN48" s="1408" t="s">
        <v>2514</v>
      </c>
      <c r="FO48" s="1408" t="s">
        <v>2774</v>
      </c>
      <c r="FP48" s="1408" t="s">
        <v>2514</v>
      </c>
      <c r="FQ48" s="1408" t="s">
        <v>3026</v>
      </c>
      <c r="FR48" s="1408" t="s">
        <v>2514</v>
      </c>
      <c r="FS48" s="1408" t="s">
        <v>2721</v>
      </c>
      <c r="FT48" s="1408" t="s">
        <v>2514</v>
      </c>
      <c r="FU48" s="1408" t="s">
        <v>3472</v>
      </c>
      <c r="FV48" s="1408" t="s">
        <v>2514</v>
      </c>
      <c r="FW48" s="1408" t="s">
        <v>6604</v>
      </c>
      <c r="FX48" s="1408" t="s">
        <v>2514</v>
      </c>
      <c r="FY48" s="1408" t="s">
        <v>3701</v>
      </c>
      <c r="FZ48" s="1408" t="s">
        <v>2514</v>
      </c>
      <c r="GA48" s="1408" t="s">
        <v>6921</v>
      </c>
      <c r="GB48" s="1408" t="s">
        <v>2514</v>
      </c>
      <c r="GC48" s="1408" t="s">
        <v>4481</v>
      </c>
      <c r="GD48" s="1408" t="s">
        <v>2514</v>
      </c>
      <c r="GE48" s="1408" t="s">
        <v>3139</v>
      </c>
      <c r="GF48" s="1408" t="s">
        <v>2514</v>
      </c>
      <c r="GG48" s="1408" t="s">
        <v>4957</v>
      </c>
      <c r="GH48" s="1408" t="s">
        <v>2514</v>
      </c>
      <c r="GI48" s="1408" t="s">
        <v>561</v>
      </c>
      <c r="GJ48" s="1408" t="s">
        <v>2514</v>
      </c>
      <c r="GK48" s="1408" t="s">
        <v>6174</v>
      </c>
      <c r="GL48" s="1408" t="s">
        <v>2514</v>
      </c>
      <c r="GM48" s="1408" t="s">
        <v>194</v>
      </c>
      <c r="GN48" s="1408" t="s">
        <v>2514</v>
      </c>
      <c r="GO48" s="1408" t="s">
        <v>6605</v>
      </c>
      <c r="GP48" s="1408" t="s">
        <v>2514</v>
      </c>
      <c r="GQ48" s="1408" t="s">
        <v>6653</v>
      </c>
      <c r="GR48" s="1408" t="s">
        <v>2514</v>
      </c>
      <c r="GS48" s="1408" t="s">
        <v>968</v>
      </c>
      <c r="GT48" s="1408" t="s">
        <v>2514</v>
      </c>
      <c r="GU48" s="1408" t="s">
        <v>3927</v>
      </c>
      <c r="GV48" s="1408" t="s">
        <v>2514</v>
      </c>
      <c r="GW48" s="1408" t="s">
        <v>2564</v>
      </c>
      <c r="GX48" s="1408" t="s">
        <v>2514</v>
      </c>
      <c r="GY48" s="1408" t="s">
        <v>1897</v>
      </c>
      <c r="GZ48" s="1408" t="s">
        <v>2514</v>
      </c>
      <c r="HA48" s="1408" t="s">
        <v>6415</v>
      </c>
      <c r="HB48" s="1408" t="s">
        <v>2514</v>
      </c>
      <c r="HC48" s="1408" t="s">
        <v>6740</v>
      </c>
      <c r="HD48" s="1408" t="s">
        <v>2514</v>
      </c>
      <c r="HE48" s="1408" t="s">
        <v>4206</v>
      </c>
      <c r="HF48" s="1408" t="s">
        <v>2514</v>
      </c>
      <c r="HG48" s="1408" t="s">
        <v>4029</v>
      </c>
      <c r="HH48" s="1408" t="s">
        <v>2514</v>
      </c>
      <c r="HI48" s="1408" t="s">
        <v>602</v>
      </c>
      <c r="HJ48" s="1408" t="s">
        <v>2514</v>
      </c>
      <c r="HK48" s="1408" t="s">
        <v>5222</v>
      </c>
      <c r="HL48" s="1408" t="s">
        <v>2514</v>
      </c>
      <c r="HM48" s="1408" t="s">
        <v>1720</v>
      </c>
      <c r="HN48" s="1408" t="s">
        <v>2514</v>
      </c>
      <c r="HO48" s="1408" t="s">
        <v>6581</v>
      </c>
      <c r="HP48" s="1408" t="s">
        <v>2514</v>
      </c>
      <c r="HQ48" s="1408" t="s">
        <v>2071</v>
      </c>
      <c r="HR48" s="1408" t="s">
        <v>2514</v>
      </c>
      <c r="HS48" s="1408" t="s">
        <v>6953</v>
      </c>
      <c r="HT48" s="1408" t="s">
        <v>2514</v>
      </c>
      <c r="HU48" s="1408" t="s">
        <v>5199</v>
      </c>
      <c r="HV48" s="1408" t="s">
        <v>2514</v>
      </c>
      <c r="HW48" s="1408" t="s">
        <v>6202</v>
      </c>
      <c r="HX48" s="1408" t="s">
        <v>2514</v>
      </c>
      <c r="HY48" s="1408" t="s">
        <v>3196</v>
      </c>
      <c r="HZ48" s="1408" t="s">
        <v>2514</v>
      </c>
      <c r="IA48" s="1408" t="s">
        <v>6421</v>
      </c>
      <c r="IB48" s="1408" t="s">
        <v>2514</v>
      </c>
      <c r="IC48" s="1408" t="s">
        <v>1329</v>
      </c>
      <c r="ID48" s="1408" t="s">
        <v>2514</v>
      </c>
      <c r="IE48" s="1408" t="s">
        <v>3947</v>
      </c>
      <c r="IF48" s="1408" t="s">
        <v>2514</v>
      </c>
      <c r="IG48" s="1408" t="s">
        <v>1185</v>
      </c>
      <c r="IH48" s="1408" t="s">
        <v>2514</v>
      </c>
      <c r="II48" s="1408" t="s">
        <v>774</v>
      </c>
      <c r="IJ48" s="1408" t="s">
        <v>2514</v>
      </c>
      <c r="IK48" s="1408" t="s">
        <v>6758</v>
      </c>
      <c r="IL48" s="1408" t="s">
        <v>2514</v>
      </c>
      <c r="IM48" s="1408" t="s">
        <v>4828</v>
      </c>
      <c r="IN48" s="1408" t="s">
        <v>2514</v>
      </c>
      <c r="IO48" s="1408" t="s">
        <v>6700</v>
      </c>
      <c r="IP48" s="1408" t="s">
        <v>2514</v>
      </c>
      <c r="IQ48" s="1408" t="s">
        <v>451</v>
      </c>
      <c r="IR48" s="1408" t="s">
        <v>2514</v>
      </c>
      <c r="IS48" s="1408" t="s">
        <v>4337</v>
      </c>
      <c r="IT48" s="1408" t="s">
        <v>2514</v>
      </c>
      <c r="IU48" s="1408" t="s">
        <v>891</v>
      </c>
      <c r="IV48" s="1408" t="s">
        <v>2514</v>
      </c>
    </row>
    <row r="49" spans="1:30" s="1408" customFormat="1">
      <c r="A49" s="1408" t="s">
        <v>3362</v>
      </c>
      <c r="B49" s="1408" t="s">
        <v>2514</v>
      </c>
      <c r="C49" s="1408" t="s">
        <v>616</v>
      </c>
      <c r="D49" s="1408" t="s">
        <v>2514</v>
      </c>
      <c r="E49" s="1408" t="s">
        <v>6850</v>
      </c>
      <c r="F49" s="1408" t="s">
        <v>2514</v>
      </c>
      <c r="G49" s="1408" t="s">
        <v>102</v>
      </c>
      <c r="H49" s="1408" t="s">
        <v>2514</v>
      </c>
      <c r="I49" s="1408" t="s">
        <v>2815</v>
      </c>
      <c r="J49" s="1408" t="s">
        <v>2514</v>
      </c>
      <c r="K49" s="1408" t="s">
        <v>3170</v>
      </c>
      <c r="L49" s="1408" t="s">
        <v>2514</v>
      </c>
      <c r="M49" s="1408" t="s">
        <v>2404</v>
      </c>
      <c r="N49" s="1408" t="s">
        <v>2514</v>
      </c>
      <c r="O49" s="1408" t="s">
        <v>1881</v>
      </c>
      <c r="P49" s="1408" t="s">
        <v>2514</v>
      </c>
      <c r="Q49" s="1408" t="s">
        <v>3412</v>
      </c>
      <c r="R49" s="1408" t="s">
        <v>2514</v>
      </c>
      <c r="S49" s="1408" t="s">
        <v>6102</v>
      </c>
      <c r="T49" s="1408" t="s">
        <v>2514</v>
      </c>
      <c r="U49" s="1408" t="s">
        <v>2259</v>
      </c>
      <c r="V49" s="1408" t="s">
        <v>2514</v>
      </c>
      <c r="W49" s="1408" t="s">
        <v>3024</v>
      </c>
      <c r="X49" s="1408" t="s">
        <v>2514</v>
      </c>
      <c r="Y49" s="1408" t="s">
        <v>931</v>
      </c>
      <c r="Z49" s="1408" t="s">
        <v>2514</v>
      </c>
      <c r="AA49" s="1408" t="s">
        <v>6117</v>
      </c>
      <c r="AB49" s="1408" t="s">
        <v>2514</v>
      </c>
      <c r="AC49" s="1408" t="s">
        <v>5662</v>
      </c>
      <c r="AD49" s="1408" t="s">
        <v>2514</v>
      </c>
    </row>
  </sheetData>
  <phoneticPr fontId="3" type="noConversion"/>
  <pageMargins left="0.75" right="0.75" top="1" bottom="1" header="0.5" footer="0.5"/>
  <pageSetup orientation="portrait" horizontalDpi="1200" verticalDpi="1200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395f172d-1073-4ec3-b02f-bbbc1338d6a1</GUID>
    <SOURCE_ALTADDRESS>$EF$728:$EJ$733</SOURCE_ALTADDRESS>
    <SOURCETYPE>Table</SOURCETYPE>
    <SOURCE_OBJECTNAME>Linking_Range_55</SOURCE_OBJECTNAME>
    <OBJECTTYPE>Native</OBJECTTYPE>
    <SOURCE_SHEETCODE>Sheet8</SOURCE_SHEETCODE>
    <SOURCE_SHEETNAME>Metrics</SOURCE_SHEETNAME>
    <SOURCEAPPLICATION>EXCEL_SOURCE</SOURCEAPPLICATION>
    <UPDATEDAT>2/2/2015 1:47:32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/MSResearch/Content/ExternalAssets/2015-02/Images/DeqbhvC1_mNzJmcZ7TgjA--.png</TARGET_BINARYFULLNAME>
    <TARGET_STORYFULLNAME>/MSResearch/Content/ExternalAssets/2015-02/Sections/20150202_024729_Linking_Range_55.xml</TARGET_STORYFULLNAME>
    <TARGET_UUID>52036414-ab14-11e4-946e-d93333148876</TARGET_UUID>
  </Link>
  <Link>
    <GUID>21d5a0c6-7697-4648-aa40-d907ed84bb82</GUID>
    <SOURCE_ALTADDRESS>$AJ$19:$AM$29</SOURCE_ALTADDRESS>
    <SOURCETYPE>Table</SOURCETYPE>
    <SOURCE_OBJECTNAME>Linking_Range_81</SOURCE_OBJECTNAME>
    <OBJECTTYPE>Native</OBJECTTYPE>
    <SOURCE_SHEETCODE>Sheet11</SOURCE_SHEETCODE>
    <SOURCE_SHEETNAME>Biz Transition Scenarios</SOURCE_SHEETNAME>
    <SOURCEAPPLICATION>EXCEL_SOURCE</SOURCEAPPLICATION>
    <UPDATEDAT>2/27/2015 3:09:27 AM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/MSResearch/Content/ExternalAssets/2015-02/Images/IKqvCvihjU2oR1wM5M1z6w--.png</TARGET_BINARYFULLNAME>
    <TARGET_STORYFULLNAME>/MSResearch/Content/ExternalAssets/2015-02/Sections/20150227_030924_Linking_Range_81.xml</TARGET_STORYFULLNAME>
    <TARGET_UUID>f13a4ce0-be57-11e4-a5e9-e3b3f180109b</TARGET_UUID>
  </Link>
  <Link>
    <GUID>14abdc51-a9a8-4ecb-bd9b-549d98c2d861</GUID>
    <SOURCE_ALTADDRESS>$A$4:$DJ$259</SOURCE_ALTADDRESS>
    <SOURCETYPE>Table</SOURCETYPE>
    <SOURCE_OBJECTNAME>Linking_Range_64</SOURCE_OBJECTNAME>
    <OBJECTTYPE>Native</OBJECTTYPE>
    <SOURCE_SHEETCODE>Sheet8</SOURCE_SHEETCODE>
    <SOURCE_SHEETNAME>Metrics</SOURCE_SHEETNAME>
    <SOURCEAPPLICATION>EXCEL_SOURCE</SOURCEAPPLICATION>
    <UPDATEDAT>2/27/2015 3:10:42 AM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/MSResearch/Content/ExternalAssets/2015-02/Images/JcoM9p8CqkaP8u_upq2q-g--.png</TARGET_BINARYFULLNAME>
    <TARGET_STORYFULLNAME>/MSResearch/Content/ExternalAssets/2015-02/Sections/20150227_031038_Linking_Range_64.xml</TARGET_STORYFULLNAME>
    <TARGET_UUID>1cfbce3a-be58-11e4-a5e9-e3b3f180109b</TARGET_UUID>
  </Link>
  <Link>
    <GUID>9293bc65-f841-4ba8-b665-3a5e6e2bcd72</GUID>
    <SOURCETYPE>Chart</SOURCETYPE>
    <SOURCE_OBJECTNAME>Chart 43</SOURCE_OBJECTNAME>
    <SOURCE_SHEETCODE>Sheet26</SOURCE_SHEETCODE>
    <SOURCE_SHEETNAME>Charts</SOURCE_SHEETNAME>
    <OBJECTTYPE>Native</OBJECTTYPE>
    <SOURCEAPPLICATION>EXCEL_SOURCE</SOURCEAPPLICATION>
    <UPDATEDAT>2/27/2015 3:17:06 AM</UPDATEDAT>
    <SOURCE_ISOUTOFDATE>False</SOURCE_ISOUTOFDATE>
    <SOURCE_WORKBOOKNAME>ADSK.xlsm</SOURCE_WORKBOOKNAME>
    <SOURCE_WORKBOOKPATH>\\MSAD\ROOT\NA\NY\LIB\ER\ER43\ESWModels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/MSResearch/Content/ExternalAssets/2015-02/Images/RmDsQGBmEU2ksBYf4Jqkxg--.png</TARGET_BINARYFULLNAME>
    <TARGET_STORYFULLNAME>/MSResearch/Content/ExternalAssets/2015-02/Sections/20150227_031703_Chart43.xml</TARGET_STORYFULLNAME>
    <TARGET_UUID>02fb685a-be59-11e4-a5e9-e3b3f180109b</TARGET_UUID>
  </Link>
  <Link>
    <GUID>0cb0c162-d140-4caf-9f71-69990b91c9b1</GUID>
    <SOURCETYPE>Chart</SOURCETYPE>
    <SOURCE_OBJECTNAME>Chart 47</SOURCE_OBJECTNAME>
    <SOURCE_SHEETCODE>Sheet26</SOURCE_SHEETCODE>
    <SOURCE_SHEETNAME>Charts</SOURCE_SHEETNAME>
    <OBJECTTYPE>Native</OBJECTTYPE>
    <SOURCEAPPLICATION>EXCEL_SOURCE</SOURCEAPPLICATION>
    <UPDATEDAT>2/27/2015 3:22:57 AM</UPDATEDAT>
    <SOURCE_ISOUTOFDATE>False</SOURCE_ISOUTOFDATE>
    <SOURCE_WORKBOOKNAME>ADSK.xlsm</SOURCE_WORKBOOKNAME>
    <SOURCE_WORKBOOKPATH>\\MSAD\ROOT\NA\NY\LIB\ER\ER43\ESWModels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/MSResearch/Content/ExternalAssets/2015-02/Images/akT754lJ-E_ue3wua67Dcw--.png</TARGET_BINARYFULLNAME>
    <TARGET_STORYFULLNAME>/MSResearch/Content/ExternalAssets/2015-02/Sections/20150227_032255_Chart47.xml</TARGET_STORYFULLNAME>
    <TARGET_UUID>d4511fee-be59-11e4-a5e9-e3b3f180109b</TARGET_UUID>
  </Link>
  <Link>
    <GUID>19b5c121-4191-459d-8c17-c195a0bdf603</GUID>
    <SOURCETYPE>Chart</SOURCETYPE>
    <SOURCE_OBJECTNAME>Chart 56</SOURCE_OBJECTNAME>
    <SOURCE_SHEETCODE>Sheet26</SOURCE_SHEETCODE>
    <SOURCE_SHEETNAME>Charts</SOURCE_SHEETNAME>
    <OBJECTTYPE>Native</OBJECTTYPE>
    <SOURCEAPPLICATION>EXCEL_SOURCE</SOURCEAPPLICATION>
    <UPDATEDAT>2/27/2015 3:26:02 AM</UPDATEDAT>
    <SOURCE_ISOUTOFDATE>False</SOURCE_ISOUTOFDATE>
    <SOURCE_WORKBOOKNAME>ADSK.xlsm</SOURCE_WORKBOOKNAME>
    <SOURCE_WORKBOOKPATH>\\MSAD\ROOT\NA\NY\LIB\ER\ER43\ESWModels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/MSResearch/Content/ExternalAssets/2015-02/Images/l8TvLi7YDUOw9XTuaa85EQ--.png</TARGET_BINARYFULLNAME>
    <TARGET_STORYFULLNAME>/MSResearch/Content/ExternalAssets/2015-02/Sections/20150227_032556_Chart56.xml</TARGET_STORYFULLNAME>
    <TARGET_UUID>408d4e6c-be5a-11e4-a5e9-e3b3f180109b</TARGET_UUID>
  </Link>
  <Link>
    <GUID>9f15b45d-5686-4f27-b099-2c229f0fe107</GUID>
    <SOURCE_ALTADDRESS>$A$262:$DJ$270</SOURCE_ALTADDRESS>
    <SOURCETYPE>Table</SOURCETYPE>
    <SOURCE_OBJECTNAME>Linking_Range_82</SOURCE_OBJECTNAME>
    <OBJECTTYPE>Native</OBJECTTYPE>
    <SOURCE_SHEETCODE>Sheet8</SOURCE_SHEETCODE>
    <SOURCE_SHEETNAME>Metrics</SOURCE_SHEETNAME>
    <SOURCEAPPLICATION>EXCEL_SOURCE</SOURCEAPPLICATION>
    <UPDATEDAT>2/27/2015 3:33:54 AM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/MSResearch/Content/ExternalAssets/2015-02/Images/jkpZOmNCvaml17ADnqRg--.png</TARGET_BINARYFULLNAME>
    <TARGET_STORYFULLNAME>/MSResearch/Content/ExternalAssets/2015-02/Sections/20150227_033351_Linking_Range_82.xml</TARGET_STORYFULLNAME>
    <TARGET_UUID>5bc76e5a-be5b-11e4-a5e9-e3b3f180109b</TARGET_UUID>
  </Link>
  <Link>
    <GUID>a3c15fbc-8363-4c21-ab42-9ba03dac2a17</GUID>
    <SOURCE_ALTADDRESS>$A$4:$EC$88</SOURCE_ALTADDRESS>
    <SOURCETYPE>Table</SOURCETYPE>
    <SOURCE_OBJECTNAME>Linking_Range_83</SOURCE_OBJECTNAME>
    <OBJECTTYPE>Native</OBJECTTYPE>
    <SOURCE_SHEETCODE>Sheet3</SOURCE_SHEETCODE>
    <SOURCE_SHEETNAME>Model</SOURCE_SHEETNAME>
    <SOURCEAPPLICATION>EXCEL_SOURCE</SOURCEAPPLICATION>
    <UPDATEDAT>2/27/2015 3:36:43 AM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/MSResearch/Content/ExternalAssets/2015-02/Images/IuNpxQLcoUWMuExK5fLqvA--.png</TARGET_BINARYFULLNAME>
    <TARGET_STORYFULLNAME>/MSResearch/Content/ExternalAssets/2015-02/Sections/20150227_033640_Linking_Range_83.xml</TARGET_STORYFULLNAME>
    <TARGET_UUID>c00c4f98-be5b-11e4-a5e9-e3b3f180109b</TARGET_UUID>
  </Link>
  <Link>
    <GUID>9ce958fd-a898-4e5d-b92e-29fea6412b6c</GUID>
    <SOURCE_ALTADDRESS>$A$79:$EC$145</SOURCE_ALTADDRESS>
    <SOURCETYPE>Table</SOURCETYPE>
    <SOURCE_OBJECTNAME>Linking_Range_85</SOURCE_OBJECTNAME>
    <OBJECTTYPE>Native</OBJECTTYPE>
    <SOURCE_SHEETCODE>Sheet7</SOURCE_SHEETCODE>
    <SOURCE_SHEETNAME>CF</SOURCE_SHEETNAME>
    <SOURCEAPPLICATION>EXCEL_SOURCE</SOURCEAPPLICATION>
    <UPDATEDAT>2/27/2015 3:39:25 AM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/MSResearch/Content/ExternalAssets/2015-02/Images/w8ubE8_JfEyvfDHdp_LtFA--.png</TARGET_BINARYFULLNAME>
    <TARGET_STORYFULLNAME>/MSResearch/Content/ExternalAssets/2015-02/Sections/20150227_033921_Linking_Range_85.xml</TARGET_STORYFULLNAME>
    <TARGET_UUID>201d3672-be5c-11e4-a5e9-e3b3f180109b</TARGET_UUID>
  </Link>
  <Link>
    <GUID>36257642-98b5-440a-9c52-0fa80ad0e292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2/27/2015 3:40:38 AM</UPDATEDAT>
    <SOURCE_ISOUTOFDATE>False</SOURCE_ISOUTOFDATE>
    <SOURCE_WORKBOOKNAME>ADSK.xlsm</SOURCE_WORKBOOKNAME>
    <SOURCE_WORKBOOKPATH>\\MSAD\ROOT\NA\NY\LIB\ER\ER43\ESWModels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/MSResearch/Content/ExternalAssets/2015-02/Images/jmmXvWDHDkW_BTkVhf1yOA--.png</TARGET_BINARYFULLNAME>
    <TARGET_STORYFULLNAME>/MSResearch/Content/ExternalAssets/2015-02/Sections/20150227_034035_MWA_Risk_Reward.xml</TARGET_STORYFULLNAME>
    <TARGET_UUID>4c562352-be5c-11e4-a5e9-e3b3f180109b</TARGET_UUID>
  </Link>
  <Link>
    <GUID>d26b1dfe-b7e3-4adb-98b6-a7307857894c</GUID>
    <SOURCE_ALTADDRESS>$A$34:$AK$52</SOURCE_ALTADDRESS>
    <SOURCETYPE>Table</SOURCETYPE>
    <SOURCE_OBJECTNAME>Linking_Range_77</SOURCE_OBJECTNAME>
    <OBJECTTYPE>Native</OBJECTTYPE>
    <SOURCE_SHEETCODE>Sheet15</SOURCE_SHEETCODE>
    <SOURCE_SHEETNAME>Model Changes Table</SOURCE_SHEETNAME>
    <SOURCEAPPLICATION>EXCEL_SOURCE</SOURCEAPPLICATION>
    <UPDATEDAT>5/8/2015 2:18:56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/MSResearch/Content/ExternalAssets/2015-02/Images/9rNMNOvPEebUk9pl3hnw--.png</TARGET_BINARYFULLNAME>
    <TARGET_STORYFULLNAME>/MSResearch/Content/ExternalAssets/2015-02/Sections/20150202_124804_Linking_Range_77.xml</TARGET_STORYFULLNAME>
    <TARGET_UUID>a3c20244-ab03-11e4-946e-d93333148876</TARGET_UUID>
    <LINKSTATUS>Unknown</LINKSTATUS>
  </Link>
  <Link>
    <GUID>38155664-386e-4507-b11e-2ef5eb2cb2c7</GUID>
    <SOURCE_ALTADDRESS>$A$5:$AW$31</SOURCE_ALTADDRESS>
    <SOURCETYPE>Table</SOURCETYPE>
    <SOURCE_OBJECTNAME>Linking_Range_80</SOURCE_OBJECTNAME>
    <OBJECTTYPE>Native</OBJECTTYPE>
    <SOURCE_SHEETCODE>Sheet15</SOURCE_SHEETCODE>
    <SOURCE_SHEETNAME>Model Changes Table</SOURCE_SHEETNAME>
    <SOURCEAPPLICATION>EXCEL_SOURCE</SOURCEAPPLICATION>
    <UPDATEDAT>5/8/2015 2:18:57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/MSResearch/Content/ExternalAssets/2015-02/Images/r62pT9foOkWzElXvWQTsQ--.png</TARGET_BINARYFULLNAME>
    <TARGET_STORYFULLNAME>/MSResearch/Content/ExternalAssets/2015-02/Sections/20150202_121931_Linking_Range_8.xml</TARGET_STORYFULLNAME>
    <TARGET_UUID>11475c6a-aa9b-11e4-946e-d93333148876</TARGET_UUID>
    <TRANSPARENTBACKGROUND>False</TRANSPARENTBACKGROUND>
    <TRANSPARENTPLOTAREA>False</TRANSPARENTPLOTAREA>
    <EXTRACTSOURCEMODE>CopyToClipboard</EXTRACTSOURCEMODE>
    <LINKSTATUS>Unknown</LINKSTATUS>
  </Link>
  <Link>
    <GUID>2035608a-2fed-44f8-978e-72f57cd104ae</GUID>
    <SOURCE_ALTADDRESS>$A$2:$AW$31</SOURCE_ALTADDRESS>
    <SOURCETYPE>Table</SOURCETYPE>
    <SOURCE_OBJECTNAME>Linking_Range_86</SOURCE_OBJECTNAME>
    <OBJECTTYPE>Native</OBJECTTYPE>
    <SOURCE_SHEETCODE>Sheet15</SOURCE_SHEETCODE>
    <SOURCE_SHEETNAME>Model Changes Table</SOURCE_SHEETNAME>
    <SOURCEAPPLICATION>EXCEL_SOURCE</SOURCEAPPLICATION>
    <UPDATEDAT>5/11/2015 9:52:29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/MSResearch/Content/ExternalAssets/2015-05/Images/vrnNOkN7CE2n-eatLW-1hA--.png</TARGET_BINARYFULLNAME>
    <TARGET_STORYFULLNAME>/MSResearch/Content/ExternalAssets/2015-05/Sections/20150508_041247_Linking_Range_86.xml</TARGET_STORYFULLNAME>
    <TARGET_UUID>9822c864-f5be-11e4-96ae-7c07ebc02301</TARGET_UUID>
    <TRANSPARENTBACKGROUND>False</TRANSPARENTBACKGROUND>
    <TRANSPARENTPLOTAREA>False</TRANSPARENTPLOTAREA>
    <LINKSTATUS>Unknown</LINKSTATUS>
  </Link>
  <Link>
    <GUID>f0cc9018-c830-49e3-aea5-bc4f05e105d4</GUID>
    <SOURCE_ALTADDRESS>$AZ$56:$BD$90</SOURCE_ALTADDRESS>
    <SOURCETYPE>Table</SOURCETYPE>
    <SOURCE_OBJECTNAME>Linking_Range_78</SOURCE_OBJECTNAME>
    <OBJECTTYPE>Native</OBJECTTYPE>
    <SOURCE_SHEETCODE>Sheet15</SOURCE_SHEETCODE>
    <SOURCE_SHEETNAME>Model Changes Table</SOURCE_SHEETNAME>
    <SOURCEAPPLICATION>EXCEL_SOURCE</SOURCEAPPLICATION>
    <UPDATEDAT>5/11/2015 10:57:54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/MSResearch/Content/ExternalAssets/2015-02/Images/IOXJCm3bRUKOUkrsC5w3MA--.png</TARGET_BINARYFULLNAME>
    <TARGET_STORYFULLNAME>/MSResearch/Content/ExternalAssets/2015-02/Sections/20150202_122039_Linking_Range_78.xml</TARGET_STORYFULLNAME>
    <TARGET_UUID>39aa2a3e-aa9b-11e4-946e-d93333148876</TARGET_UUID>
    <TRANSPARENTBACKGROUND>False</TRANSPARENTBACKGROUND>
    <TRANSPARENTPLOTAREA>False</TRANSPARENTPLOTAREA>
    <EXTRACTSOURCEMODE>CopyToClipboard</EXTRACTSOURCEMODE>
    <LINKSTATUS>Unknown</LINKSTATUS>
  </Link>
  <Link>
    <GUID>31d70880-3ec1-40b6-b901-280b0406755a</GUID>
    <SOURCE_ALTADDRESS>$AJ$19:$AM$30</SOURCE_ALTADDRESS>
    <SOURCETYPE>Table</SOURCETYPE>
    <SOURCE_OBJECTNAME>Linking_Range_72</SOURCE_OBJECTNAME>
    <OBJECTTYPE>Native</OBJECTTYPE>
    <SOURCE_SHEETCODE>Sheet11</SOURCE_SHEETCODE>
    <SOURCE_SHEETNAME>Biz Transition Scenarios</SOURCE_SHEETNAME>
    <SOURCEAPPLICATION>EXCEL_SOURCE</SOURCEAPPLICATION>
    <UPDATEDAT>5/11/2015 11:00:01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/MSResearch/Content/ExternalAssets/2015-02/Images/mFNbhqfFkiHkAP7ChUQJg--.png</TARGET_BINARYFULLNAME>
    <TARGET_STORYFULLNAME>/MSResearch/Content/ExternalAssets/2015-02/Sections/20150202_122126_Linking_Range_72.xml</TARGET_STORYFULLNAME>
    <TARGET_UUID>55e6953e-aa9b-11e4-946e-d93333148876</TARGET_UUID>
    <TRANSPARENTBACKGROUND>False</TRANSPARENTBACKGROUND>
    <TRANSPARENTPLOTAREA>False</TRANSPARENTPLOTAREA>
    <EXTRACTSOURCEMODE>CopyToClipboard</EXTRACTSOURCEMODE>
  </Link>
  <Link>
    <GUID>e44976dc-ac21-4b2f-8fd8-11c1af18525b</GUID>
    <SOURCETYPE>Chart</SOURCETYPE>
    <SOURCE_OBJECTNAME>Chart 3</SOURCE_OBJECTNAME>
    <SOURCE_SHEETCODE>Sheet12</SOURCE_SHEETCODE>
    <SOURCE_SHEETNAME>Seasonality</SOURCE_SHEETNAME>
    <OBJECTTYPE>Native</OBJECTTYPE>
    <SOURCEAPPLICATION>EXCEL_SOURCE</SOURCEAPPLICATION>
    <UPDATEDAT>5/11/2015 11:01:09 PM</UPDATEDAT>
    <SOURCE_ISOUTOFDATE>False</SOURCE_ISOUTOFDATE>
    <SOURCE_WORKBOOKNAME>ADSK.xlsm</SOURCE_WORKBOOKNAME>
    <SOURCE_WORKBOOKPATH>\\MSAD\ROOT\NA\NY\LIB\ER\ER43\ESWModels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/MSResearch/Content/ExternalAssets/2015-02/Images/DB3YeTxP3USCT_IGnEYTNQ--.png</TARGET_BINARYFULLNAME>
    <TARGET_STORYFULLNAME>/MSResearch/Content/ExternalAssets/2015-02/Sections/20150202_125440_Chart3.xml</TARGET_STORYFULLNAME>
    <TARGET_UUID>8fa72aea-ab04-11e4-946e-d93333148876</TARGET_UUID>
    <HIDEGRIDLINES>False</HIDEGRIDLINES>
    <LINKSTATUS>Unknown</LINKSTATUS>
    <EXTRACTSOURCEMODE>CopyToClipboard</EXTRACTSOURCEMODE>
  </Link>
  <Link>
    <GUID>57764af6-9e8e-49ff-a55d-99f66ecec603</GUID>
    <SOURCETYPE>Chart</SOURCETYPE>
    <SOURCE_OBJECTNAME>Chart 2</SOURCE_OBJECTNAME>
    <SOURCE_SHEETCODE>Sheet12</SOURCE_SHEETCODE>
    <SOURCE_SHEETNAME>Seasonality</SOURCE_SHEETNAME>
    <OBJECTTYPE>Native</OBJECTTYPE>
    <SOURCEAPPLICATION>EXCEL_SOURCE</SOURCEAPPLICATION>
    <UPDATEDAT>5/11/2015 11:01:52 PM</UPDATEDAT>
    <SOURCE_ISOUTOFDATE>False</SOURCE_ISOUTOFDATE>
    <SOURCE_WORKBOOKNAME>ADSK.xlsm</SOURCE_WORKBOOKNAME>
    <SOURCE_WORKBOOKPATH>\\MSAD\ROOT\NA\NY\LIB\ER\ER43\ESWModels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/MSResearch/Content/ExternalAssets/2015-02/Images/tAyGJnhDDEyN-Dc5z3kTiw--.png</TARGET_BINARYFULLNAME>
    <TARGET_STORYFULLNAME>/MSResearch/Content/ExternalAssets/2015-02/Sections/20150202_125708_Chart2.xml</TARGET_STORYFULLNAME>
    <TARGET_UUID>e7f12bce-ab04-11e4-946e-d93333148876</TARGET_UUID>
    <LINKSTATUS>Unknown</LINKSTATUS>
    <HIDEGRIDLINES>False</HIDEGRIDLINES>
    <EXTRACTSOURCEMODE>CopyToClipboard</EXTRACTSOURCEMODE>
  </Link>
  <Link>
    <GUID>413c3f2f-d969-442a-96ba-3cbde1deb1df</GUID>
    <SOURCE_ALTADDRESS>$Y$74:$AC$79</SOURCE_ALTADDRESS>
    <SOURCETYPE>Table</SOURCETYPE>
    <SOURCE_OBJECTNAME>Linking_Range_55</SOURCE_OBJECTNAME>
    <OBJECTTYPE>Native</OBJECTTYPE>
    <SOURCE_SHEETCODE>Sheet12</SOURCE_SHEETCODE>
    <SOURCE_SHEETNAME>Seasonality</SOURCE_SHEETNAME>
    <SOURCEAPPLICATION>EXCEL_SOURCE</SOURCEAPPLICATION>
    <UPDATEDAT>5/11/2015 11:02:16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/MSResearch/Content/ExternalAssets/2015-02/Images/U6J3FfFZLkWXVg5jEgLOdw--.png</TARGET_BINARYFULLNAME>
    <TARGET_STORYFULLNAME>/MSResearch/Content/ExternalAssets/2015-02/Sections/20150204_123937_Linking_Range_55.xml</TARGET_STORYFULLNAME>
    <TARGET_UUID>34d26f4e-ac30-11e4-946e-d93333148876</TARGET_UUID>
    <LINKSTATUS>Unknown</LINKSTATUS>
  </Link>
  <Link>
    <GUID>697e75f7-4941-4391-8c67-e930fd26249a</GUID>
    <SOURCE_ALTADDRESS>$G$13:$Z$93</SOURCE_ALTADDRESS>
    <SOURCETYPE>Table</SOURCETYPE>
    <SOURCE_OBJECTNAME>Linking_Range_73</SOURCE_OBJECTNAME>
    <OBJECTTYPE>Native</OBJECTTYPE>
    <SOURCE_SHEETCODE>Sheet11</SOURCE_SHEETCODE>
    <SOURCE_SHEETNAME>Biz Transition Scenarios</SOURCE_SHEETNAME>
    <SOURCEAPPLICATION>EXCEL_SOURCE</SOURCEAPPLICATION>
    <UPDATEDAT>5/11/2015 11:05:12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/MSResearch/Content/ExternalAssets/2015-05/Images/IsUKGQUis0GXnInB_JeOpg--.png</TARGET_BINARYFULLNAME>
    <TARGET_STORYFULLNAME>/MSResearch/Content/ExternalAssets/2015-05/Sections/20150511_110509_Linking_Range_73.xml</TARGET_STORYFULLNAME>
    <TARGET_UUID>b2cbe8de-f853-11e4-b06e-39cc228b6d15</TARGET_UUID>
  </Link>
  <Link>
    <GUID>e03e5530-ff88-4137-853d-b2c8d8254fbb</GUID>
    <SOURCE_ALTADDRESS>$G$96:$Z$120</SOURCE_ALTADDRESS>
    <SOURCETYPE>Table</SOURCETYPE>
    <SOURCE_OBJECTNAME>Linking_Range_88</SOURCE_OBJECTNAME>
    <OBJECTTYPE>Native</OBJECTTYPE>
    <SOURCE_SHEETCODE>Sheet11</SOURCE_SHEETCODE>
    <SOURCE_SHEETNAME>Biz Transition Scenarios</SOURCE_SHEETNAME>
    <SOURCEAPPLICATION>EXCEL_SOURCE</SOURCEAPPLICATION>
    <UPDATEDAT>5/11/2015 11:05:46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/MSResearch/Content/ExternalAssets/2015-05/Images/lsgC3DS1bECPFJDXjP-v1g--.png</TARGET_BINARYFULLNAME>
    <TARGET_STORYFULLNAME>/MSResearch/Content/ExternalAssets/2015-05/Sections/20150511_110544_Linking_Range_88.xml</TARGET_STORYFULLNAME>
    <TARGET_UUID>c7ce1f9a-f853-11e4-b06e-39cc228b6d15</TARGET_UUID>
  </Link>
  <Link>
    <GUID>7c312301-c411-45b8-9ab4-8aa0ccfee415</GUID>
    <SOURCE_ALTADDRESS>$G$126:$Z$176</SOURCE_ALTADDRESS>
    <SOURCETYPE>Table</SOURCETYPE>
    <SOURCE_OBJECTNAME>Linking_Range_75</SOURCE_OBJECTNAME>
    <OBJECTTYPE>Native</OBJECTTYPE>
    <SOURCE_SHEETCODE>Sheet11</SOURCE_SHEETCODE>
    <SOURCE_SHEETNAME>Biz Transition Scenarios</SOURCE_SHEETNAME>
    <SOURCEAPPLICATION>EXCEL_SOURCE</SOURCEAPPLICATION>
    <UPDATEDAT>5/11/2015 11:06:26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/MSResearch/Content/ExternalAssets/2015-05/Images/H70wP1d_PEC6dUXKQQiL3w--.png</TARGET_BINARYFULLNAME>
    <TARGET_STORYFULLNAME>/MSResearch/Content/ExternalAssets/2015-05/Sections/20150511_110624_Linking_Range_75.xml</TARGET_STORYFULLNAME>
    <TARGET_UUID>dfb31462-f853-11e4-b06e-39cc228b6d15</TARGET_UUID>
  </Link>
  <Link>
    <GUID>70bc9c7d-6199-463d-a630-05e992ddc766</GUID>
    <SOURCE_ALTADDRESS>$G$194:$R$213</SOURCE_ALTADDRESS>
    <SOURCETYPE>Table</SOURCETYPE>
    <SOURCE_OBJECTNAME>Linking_Range_76</SOURCE_OBJECTNAME>
    <OBJECTTYPE>Native</OBJECTTYPE>
    <SOURCE_SHEETCODE>Sheet11</SOURCE_SHEETCODE>
    <SOURCE_SHEETNAME>Biz Transition Scenarios</SOURCE_SHEETNAME>
    <SOURCEAPPLICATION>EXCEL_SOURCE</SOURCEAPPLICATION>
    <UPDATEDAT>5/11/2015 11:07:03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/MSResearch/Content/ExternalAssets/2015-05/Images/3RouYGRRm0_fbGMkTrR0Ww--.png</TARGET_BINARYFULLNAME>
    <TARGET_STORYFULLNAME>/MSResearch/Content/ExternalAssets/2015-05/Sections/20150511_110701_Linking_Range_76.xml</TARGET_STORYFULLNAME>
    <TARGET_UUID>f5b3ad3a-f853-11e4-b06e-39cc228b6d15</TARGET_UUID>
  </Link>
  <Link>
    <GUID>d8c61caf-84ab-4663-b525-015a42a4000f</GUID>
    <SOURCE_ALTADDRESS>$A$4:$EC$89</SOURCE_ALTADDRESS>
    <SOURCETYPE>Table</SOURCETYPE>
    <SOURCE_OBJECTNAME>Linking_Range_89</SOURCE_OBJECTNAME>
    <OBJECTTYPE>Native</OBJECTTYPE>
    <SOURCE_SHEETCODE>Sheet3</SOURCE_SHEETCODE>
    <SOURCE_SHEETNAME>Model</SOURCE_SHEETNAME>
    <SOURCEAPPLICATION>EXCEL_SOURCE</SOURCEAPPLICATION>
    <UPDATEDAT>5/11/2015 11:08:22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/MSResearch/Content/ExternalAssets/2015-05/Images/rn9eDTOOvEGtDpR35LHHxg--.png</TARGET_BINARYFULLNAME>
    <TARGET_STORYFULLNAME>/MSResearch/Content/ExternalAssets/2015-05/Sections/20150511_110820_Linking_Range_89.xml</TARGET_STORYFULLNAME>
    <TARGET_UUID>247f77c0-f854-11e4-b06e-39cc228b6d15</TARGET_UUID>
  </Link>
  <Link>
    <GUID>622ee2e3-72e0-4f02-980c-f4164311fc42</GUID>
    <SOURCE_ALTADDRESS>$A$4:$DP$271</SOURCE_ALTADDRESS>
    <SOURCETYPE>Table</SOURCETYPE>
    <SOURCE_OBJECTNAME>Linking_Range_90</SOURCE_OBJECTNAME>
    <OBJECTTYPE>Native</OBJECTTYPE>
    <SOURCE_SHEETCODE>Sheet8</SOURCE_SHEETCODE>
    <SOURCE_SHEETNAME>Metrics</SOURCE_SHEETNAME>
    <SOURCEAPPLICATION>EXCEL_SOURCE</SOURCEAPPLICATION>
    <UPDATEDAT>5/11/2015 11:09:58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/MSResearch/Content/ExternalAssets/2015-05/Images/5BCPfEVKAU65kdo3VLXTSA--.png</TARGET_BINARYFULLNAME>
    <TARGET_STORYFULLNAME>/MSResearch/Content/ExternalAssets/2015-05/Sections/20150511_110957_Linking_Range_90.xml</TARGET_STORYFULLNAME>
    <TARGET_UUID>5e52df6e-f854-11e4-b06e-39cc228b6d15</TARGET_UUID>
  </Link>
  <Link>
    <GUID>076a76c1-cecb-45e0-a8e4-11027f5c5600</GUID>
    <SOURCE_ALTADDRESS>$A$3:$EC$48</SOURCE_ALTADDRESS>
    <SOURCETYPE>Table</SOURCETYPE>
    <SOURCE_OBJECTNAME>Linking_Range_84</SOURCE_OBJECTNAME>
    <OBJECTTYPE>Native</OBJECTTYPE>
    <SOURCE_SHEETCODE>Sheet4</SOURCE_SHEETCODE>
    <SOURCE_SHEETNAME>BS</SOURCE_SHEETNAME>
    <SOURCEAPPLICATION>EXCEL_SOURCE</SOURCEAPPLICATION>
    <UPDATEDAT>5/11/2015 11:10:45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/MSResearch/Content/ExternalAssets/2015-02/Images/aF4Fukq2PEOu9p6asVgyyQ--.png</TARGET_BINARYFULLNAME>
    <TARGET_STORYFULLNAME>/MSResearch/Content/ExternalAssets/2015-02/Sections/20150227_033813_Linking_Range_84.xml</TARGET_STORYFULLNAME>
    <TARGET_UUID>f7c76e18-be5b-11e4-a5e9-e3b3f180109b</TARGET_UUID>
    <TRANSPARENTBACKGROUND>False</TRANSPARENTBACKGROUND>
    <TRANSPARENTPLOTAREA>False</TRANSPARENTPLOTAREA>
  </Link>
  <Link>
    <GUID>183aac3c-4b4c-4cb8-9c54-52a0f30fb424</GUID>
    <SOURCE_ALTADDRESS>$A$79:$EC$144</SOURCE_ALTADDRESS>
    <SOURCETYPE>Table</SOURCETYPE>
    <SOURCE_OBJECTNAME>Linking_Range_91</SOURCE_OBJECTNAME>
    <OBJECTTYPE>Native</OBJECTTYPE>
    <SOURCE_SHEETCODE>Sheet7</SOURCE_SHEETCODE>
    <SOURCE_SHEETNAME>CF</SOURCE_SHEETNAME>
    <SOURCEAPPLICATION>EXCEL_SOURCE</SOURCEAPPLICATION>
    <UPDATEDAT>5/11/2015 11:11:48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/MSResearch/Content/ExternalAssets/2015-05/Images/Dohz-zbAf0GUEVF6nP1jFg--.png</TARGET_BINARYFULLNAME>
    <TARGET_STORYFULLNAME>/MSResearch/Content/ExternalAssets/2015-05/Sections/20150511_111146_Linking_Range_91.xml</TARGET_STORYFULLNAME>
    <TARGET_UUID>9f7d0000-f854-11e4-b06e-39cc228b6d15</TARGET_UUID>
  </Link>
  <Link>
    <GUID>df83c8df-426b-4697-b0e4-dc159da936b8</GUID>
    <SOURCE_ALTADDRESS>$A$34:$AW$52</SOURCE_ALTADDRESS>
    <SOURCETYPE>Table</SOURCETYPE>
    <SOURCE_OBJECTNAME>Linking_Range_87</SOURCE_OBJECTNAME>
    <OBJECTTYPE>Native</OBJECTTYPE>
    <SOURCE_SHEETCODE>Sheet15</SOURCE_SHEETCODE>
    <SOURCE_SHEETNAME>Model Changes Table</SOURCE_SHEETNAME>
    <SOURCEAPPLICATION>EXCEL_SOURCE</SOURCEAPPLICATION>
    <UPDATEDAT>5/11/2015 11:33:39 PM</UPDATEDAT>
    <SOURCE_ISOUTOFDATE>False</SOURCE_ISOUTOFDATE>
    <SOURCE_WORKBOOKNAME>ADSK.xlsm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/MSResearch/Content/ExternalAssets/2015-05/Images/iioQn0SuYkqQBnhFrixQqA--.png</TARGET_BINARYFULLNAME>
    <TARGET_STORYFULLNAME>/MSResearch/Content/ExternalAssets/2015-05/Sections/20150508_041643_Linking_Range_87.xml</TARGET_STORYFULLNAME>
    <TARGET_UUID>251eb994-f5bf-11e4-96ae-7c07ebc02301</TARGET_UUID>
    <LINKSTATUS>Unknown</LINKSTATUS>
    <TRANSPARENTBACKGROUND>False</TRANSPARENTBACKGROUND>
    <TRANSPARENTPLOTAREA>False</TRANSPARENTPLOTAREA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8CE3F04A-FA5C-46E0-B529-EB2F3721AE73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512C59A0-2468-4DD8-8AA0-44886154FDDE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332</vt:i4>
      </vt:variant>
    </vt:vector>
  </HeadingPairs>
  <TitlesOfParts>
    <vt:vector size="340" baseType="lpstr">
      <vt:lpstr>ImportantDisclosures</vt:lpstr>
      <vt:lpstr>Biz Transition Scenarios</vt:lpstr>
      <vt:lpstr>Metrics</vt:lpstr>
      <vt:lpstr>Model</vt:lpstr>
      <vt:lpstr>BS</vt:lpstr>
      <vt:lpstr>CF</vt:lpstr>
      <vt:lpstr>IndexInformation</vt:lpstr>
      <vt:lpstr>ModPubIndex</vt:lpstr>
      <vt:lpstr>_1c00</vt:lpstr>
      <vt:lpstr>_1c01</vt:lpstr>
      <vt:lpstr>_1c02</vt:lpstr>
      <vt:lpstr>_1c03</vt:lpstr>
      <vt:lpstr>_1c04</vt:lpstr>
      <vt:lpstr>_1c05</vt:lpstr>
      <vt:lpstr>_1c06</vt:lpstr>
      <vt:lpstr>_1c07</vt:lpstr>
      <vt:lpstr>_1c08</vt:lpstr>
      <vt:lpstr>_1c09</vt:lpstr>
      <vt:lpstr>_1c10</vt:lpstr>
      <vt:lpstr>_1c11</vt:lpstr>
      <vt:lpstr>_1c96</vt:lpstr>
      <vt:lpstr>_1c97</vt:lpstr>
      <vt:lpstr>_1c98</vt:lpstr>
      <vt:lpstr>_1c99</vt:lpstr>
      <vt:lpstr>_2c00</vt:lpstr>
      <vt:lpstr>_2c01</vt:lpstr>
      <vt:lpstr>_2c02</vt:lpstr>
      <vt:lpstr>_2c03</vt:lpstr>
      <vt:lpstr>_2c04</vt:lpstr>
      <vt:lpstr>_2c05</vt:lpstr>
      <vt:lpstr>_2c06</vt:lpstr>
      <vt:lpstr>_2c07</vt:lpstr>
      <vt:lpstr>_2c08</vt:lpstr>
      <vt:lpstr>_2c09</vt:lpstr>
      <vt:lpstr>_2c10</vt:lpstr>
      <vt:lpstr>_2c11</vt:lpstr>
      <vt:lpstr>_2c96</vt:lpstr>
      <vt:lpstr>_2c97</vt:lpstr>
      <vt:lpstr>_2c98</vt:lpstr>
      <vt:lpstr>_2c99</vt:lpstr>
      <vt:lpstr>_3c00</vt:lpstr>
      <vt:lpstr>_3c01</vt:lpstr>
      <vt:lpstr>_3c02</vt:lpstr>
      <vt:lpstr>_3c03</vt:lpstr>
      <vt:lpstr>_3c04</vt:lpstr>
      <vt:lpstr>_3c05</vt:lpstr>
      <vt:lpstr>_3c06</vt:lpstr>
      <vt:lpstr>_3c07</vt:lpstr>
      <vt:lpstr>_3c08</vt:lpstr>
      <vt:lpstr>_3c09</vt:lpstr>
      <vt:lpstr>_3c10</vt:lpstr>
      <vt:lpstr>_3c11</vt:lpstr>
      <vt:lpstr>_3c96</vt:lpstr>
      <vt:lpstr>_3c97</vt:lpstr>
      <vt:lpstr>_3c98</vt:lpstr>
      <vt:lpstr>_3c99</vt:lpstr>
      <vt:lpstr>_4c00</vt:lpstr>
      <vt:lpstr>_4c01</vt:lpstr>
      <vt:lpstr>_4c02</vt:lpstr>
      <vt:lpstr>_4c03</vt:lpstr>
      <vt:lpstr>_4c04</vt:lpstr>
      <vt:lpstr>_4c05</vt:lpstr>
      <vt:lpstr>_4c06</vt:lpstr>
      <vt:lpstr>_4c07</vt:lpstr>
      <vt:lpstr>_4c08</vt:lpstr>
      <vt:lpstr>_4c09</vt:lpstr>
      <vt:lpstr>_4c10</vt:lpstr>
      <vt:lpstr>_4c11</vt:lpstr>
      <vt:lpstr>_4c96</vt:lpstr>
      <vt:lpstr>_4c97</vt:lpstr>
      <vt:lpstr>_4c98</vt:lpstr>
      <vt:lpstr>_4c99</vt:lpstr>
      <vt:lpstr>_BS</vt:lpstr>
      <vt:lpstr>_CF</vt:lpstr>
      <vt:lpstr>_fy00</vt:lpstr>
      <vt:lpstr>_fy01</vt:lpstr>
      <vt:lpstr>_fy02</vt:lpstr>
      <vt:lpstr>_fy03</vt:lpstr>
      <vt:lpstr>_fy04</vt:lpstr>
      <vt:lpstr>_fy05</vt:lpstr>
      <vt:lpstr>_fy06</vt:lpstr>
      <vt:lpstr>_fy07</vt:lpstr>
      <vt:lpstr>_fy08</vt:lpstr>
      <vt:lpstr>_fy09</vt:lpstr>
      <vt:lpstr>_fy10</vt:lpstr>
      <vt:lpstr>_fy11</vt:lpstr>
      <vt:lpstr>_fy12</vt:lpstr>
      <vt:lpstr>_fy97</vt:lpstr>
      <vt:lpstr>_fy98</vt:lpstr>
      <vt:lpstr>_fy99</vt:lpstr>
      <vt:lpstr>_IS</vt:lpstr>
      <vt:lpstr>_ISA</vt:lpstr>
      <vt:lpstr>_orgcc</vt:lpstr>
      <vt:lpstr>acadrev</vt:lpstr>
      <vt:lpstr>AdditionalInstructions</vt:lpstr>
      <vt:lpstr>ImportantDisclosures!Address</vt:lpstr>
      <vt:lpstr>ModPubIndex!ANA</vt:lpstr>
      <vt:lpstr>apac</vt:lpstr>
      <vt:lpstr>ImportantDisclosures!Authors</vt:lpstr>
      <vt:lpstr>IndexInformation!Authors</vt:lpstr>
      <vt:lpstr>ModPubIndex!BRO</vt:lpstr>
      <vt:lpstr>capex</vt:lpstr>
      <vt:lpstr>cash</vt:lpstr>
      <vt:lpstr>ccrevgr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dcfdna</vt:lpstr>
      <vt:lpstr>debt</vt:lpstr>
      <vt:lpstr>defrev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div</vt:lpstr>
      <vt:lpstr>ModPubIndex!DOCDAT</vt:lpstr>
      <vt:lpstr>ModPubIndex!DOCTIME</vt:lpstr>
      <vt:lpstr>IndexInformation!DocType</vt:lpstr>
      <vt:lpstr>dom</vt:lpstr>
      <vt:lpstr>dso</vt:lpstr>
      <vt:lpstr>dvds</vt:lpstr>
      <vt:lpstr>ModPubIndex!EMAIL_ALERT</vt:lpstr>
      <vt:lpstr>IndexInformation!EmailAlert</vt:lpstr>
      <vt:lpstr>emea</vt:lpstr>
      <vt:lpstr>eps</vt:lpstr>
      <vt:lpstr>fcf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gna</vt:lpstr>
      <vt:lpstr>grinc</vt:lpstr>
      <vt:lpstr>grmgn</vt:lpstr>
      <vt:lpstr>grp</vt:lpstr>
      <vt:lpstr>hc</vt:lpstr>
      <vt:lpstr>ModPubIndex!HL</vt:lpstr>
      <vt:lpstr>ib_acad</vt:lpstr>
      <vt:lpstr>ib_acad_new</vt:lpstr>
      <vt:lpstr>ib_acad_sa</vt:lpstr>
      <vt:lpstr>ib_archdesk</vt:lpstr>
      <vt:lpstr>ib_inven</vt:lpstr>
      <vt:lpstr>ib_inven_new</vt:lpstr>
      <vt:lpstr>ib_landdesk</vt:lpstr>
      <vt:lpstr>ib_lt</vt:lpstr>
      <vt:lpstr>ib_map</vt:lpstr>
      <vt:lpstr>ib_mechdesk</vt:lpstr>
      <vt:lpstr>ModPubIndex!IND</vt:lpstr>
      <vt:lpstr>ImportantDisclosures!Industry</vt:lpstr>
      <vt:lpstr>IndustryId</vt:lpstr>
      <vt:lpstr>ImportantDisclosures!IndustryRating</vt:lpstr>
      <vt:lpstr>intl</vt:lpstr>
      <vt:lpstr>IndexInformation!KeepVersions</vt:lpstr>
      <vt:lpstr>LanguageCode</vt:lpstr>
      <vt:lpstr>ImportantDisclosures!LastCell</vt:lpstr>
      <vt:lpstr>liccost</vt:lpstr>
      <vt:lpstr>Linking_11</vt:lpstr>
      <vt:lpstr>Linking_12</vt:lpstr>
      <vt:lpstr>Linking_14</vt:lpstr>
      <vt:lpstr>Linking_17</vt:lpstr>
      <vt:lpstr>Linking_18</vt:lpstr>
      <vt:lpstr>Linking_19</vt:lpstr>
      <vt:lpstr>Linking_20</vt:lpstr>
      <vt:lpstr>Linking_21</vt:lpstr>
      <vt:lpstr>Linking_22</vt:lpstr>
      <vt:lpstr>Linking_23</vt:lpstr>
      <vt:lpstr>Linking_24</vt:lpstr>
      <vt:lpstr>Linking_25</vt:lpstr>
      <vt:lpstr>Linking_26</vt:lpstr>
      <vt:lpstr>Linking_27</vt:lpstr>
      <vt:lpstr>Linking_29</vt:lpstr>
      <vt:lpstr>Linking_30</vt:lpstr>
      <vt:lpstr>Linking_31</vt:lpstr>
      <vt:lpstr>Linking_33</vt:lpstr>
      <vt:lpstr>Linking_34</vt:lpstr>
      <vt:lpstr>Linking_35</vt:lpstr>
      <vt:lpstr>Linking_36</vt:lpstr>
      <vt:lpstr>Linking_37</vt:lpstr>
      <vt:lpstr>Linking_38</vt:lpstr>
      <vt:lpstr>Linking_39</vt:lpstr>
      <vt:lpstr>Linking_40</vt:lpstr>
      <vt:lpstr>Linking_41</vt:lpstr>
      <vt:lpstr>Linking_42</vt:lpstr>
      <vt:lpstr>Linking_45</vt:lpstr>
      <vt:lpstr>Linking_46</vt:lpstr>
      <vt:lpstr>Linking_47</vt:lpstr>
      <vt:lpstr>Linking_48</vt:lpstr>
      <vt:lpstr>Linking_49</vt:lpstr>
      <vt:lpstr>Linking_50</vt:lpstr>
      <vt:lpstr>Linking_51</vt:lpstr>
      <vt:lpstr>Linking_52</vt:lpstr>
      <vt:lpstr>Linking_61</vt:lpstr>
      <vt:lpstr>Linking_62</vt:lpstr>
      <vt:lpstr>Linking_63</vt:lpstr>
      <vt:lpstr>Linking_65</vt:lpstr>
      <vt:lpstr>Linking_66</vt:lpstr>
      <vt:lpstr>Linking_67</vt:lpstr>
      <vt:lpstr>Linking_69</vt:lpstr>
      <vt:lpstr>Linking_71</vt:lpstr>
      <vt:lpstr>Linking_72</vt:lpstr>
      <vt:lpstr>Linking_8</vt:lpstr>
      <vt:lpstr>Linking_9</vt:lpstr>
      <vt:lpstr>Linking_Range_11</vt:lpstr>
      <vt:lpstr>Linking_Range_12</vt:lpstr>
      <vt:lpstr>Linking_Range_13</vt:lpstr>
      <vt:lpstr>Linking_Range_14</vt:lpstr>
      <vt:lpstr>Linking_Range_15</vt:lpstr>
      <vt:lpstr>Linking_Range_16</vt:lpstr>
      <vt:lpstr>Linking_Range_17</vt:lpstr>
      <vt:lpstr>Linking_Range_18</vt:lpstr>
      <vt:lpstr>Linking_Range_19</vt:lpstr>
      <vt:lpstr>Linking_Range_2</vt:lpstr>
      <vt:lpstr>Linking_Range_20</vt:lpstr>
      <vt:lpstr>Linking_Range_21</vt:lpstr>
      <vt:lpstr>Linking_Range_22</vt:lpstr>
      <vt:lpstr>Linking_Range_23</vt:lpstr>
      <vt:lpstr>Linking_Range_26</vt:lpstr>
      <vt:lpstr>Linking_Range_29</vt:lpstr>
      <vt:lpstr>Linking_Range_3</vt:lpstr>
      <vt:lpstr>Linking_Range_30</vt:lpstr>
      <vt:lpstr>Linking_Range_31</vt:lpstr>
      <vt:lpstr>Linking_Range_35</vt:lpstr>
      <vt:lpstr>Linking_Range_36</vt:lpstr>
      <vt:lpstr>Linking_Range_38</vt:lpstr>
      <vt:lpstr>Linking_Range_39</vt:lpstr>
      <vt:lpstr>Linking_Range_40</vt:lpstr>
      <vt:lpstr>Linking_Range_41</vt:lpstr>
      <vt:lpstr>Linking_Range_42</vt:lpstr>
      <vt:lpstr>Linking_Range_43</vt:lpstr>
      <vt:lpstr>Linking_Range_44</vt:lpstr>
      <vt:lpstr>Linking_Range_46</vt:lpstr>
      <vt:lpstr>Linking_Range_47</vt:lpstr>
      <vt:lpstr>Linking_Range_48</vt:lpstr>
      <vt:lpstr>Linking_Range_49</vt:lpstr>
      <vt:lpstr>Linking_Range_5</vt:lpstr>
      <vt:lpstr>Linking_Range_50</vt:lpstr>
      <vt:lpstr>Linking_Range_51</vt:lpstr>
      <vt:lpstr>Linking_Range_52</vt:lpstr>
      <vt:lpstr>Linking_Range_53</vt:lpstr>
      <vt:lpstr>Linking_Range_54</vt:lpstr>
      <vt:lpstr>Linking_Range_56</vt:lpstr>
      <vt:lpstr>Linking_Range_57</vt:lpstr>
      <vt:lpstr>Linking_Range_59</vt:lpstr>
      <vt:lpstr>Linking_Range_6</vt:lpstr>
      <vt:lpstr>Linking_Range_60</vt:lpstr>
      <vt:lpstr>Linking_Range_62</vt:lpstr>
      <vt:lpstr>Linking_Range_63</vt:lpstr>
      <vt:lpstr>Linking_Range_64</vt:lpstr>
      <vt:lpstr>Linking_Range_65</vt:lpstr>
      <vt:lpstr>Linking_Range_66</vt:lpstr>
      <vt:lpstr>Linking_Range_67</vt:lpstr>
      <vt:lpstr>Linking_Range_7</vt:lpstr>
      <vt:lpstr>Linking_Range_79</vt:lpstr>
      <vt:lpstr>Linking_Range_8</vt:lpstr>
      <vt:lpstr>Linking_Range_82</vt:lpstr>
      <vt:lpstr>Linking_Range_83</vt:lpstr>
      <vt:lpstr>Linking_Range_84</vt:lpstr>
      <vt:lpstr>Linking_Range_85</vt:lpstr>
      <vt:lpstr>Linking_Range_89</vt:lpstr>
      <vt:lpstr>Linking_Range_90</vt:lpstr>
      <vt:lpstr>Linking_Range_91</vt:lpstr>
      <vt:lpstr>Linking_Text_1</vt:lpstr>
      <vt:lpstr>lrev</vt:lpstr>
      <vt:lpstr>lrevemp</vt:lpstr>
      <vt:lpstr>ltmeps</vt:lpstr>
      <vt:lpstr>ltmexp</vt:lpstr>
      <vt:lpstr>ltmfcf</vt:lpstr>
      <vt:lpstr>ltmfcfextb</vt:lpstr>
      <vt:lpstr>ltmlrev</vt:lpstr>
      <vt:lpstr>ltmopcash</vt:lpstr>
      <vt:lpstr>LTMopinc</vt:lpstr>
      <vt:lpstr>ltmopmgn</vt:lpstr>
      <vt:lpstr>ltmrev</vt:lpstr>
      <vt:lpstr>ltmrnd</vt:lpstr>
      <vt:lpstr>ltmtb</vt:lpstr>
      <vt:lpstr>IndexInformation!MacroVersion</vt:lpstr>
      <vt:lpstr>ImportantDisclosures!ModelPrice</vt:lpstr>
      <vt:lpstr>mrev</vt:lpstr>
      <vt:lpstr>IndexInformation!Multiplier</vt:lpstr>
      <vt:lpstr>IndexInformation!NextYearEPS</vt:lpstr>
      <vt:lpstr>IndexInformation!NextYearTotalRevenue</vt:lpstr>
      <vt:lpstr>IndexInformation!NextYearTotalRevenueActual</vt:lpstr>
      <vt:lpstr>ni</vt:lpstr>
      <vt:lpstr>nirep</vt:lpstr>
      <vt:lpstr>nopat</vt:lpstr>
      <vt:lpstr>ObjectType</vt:lpstr>
      <vt:lpstr>op</vt:lpstr>
      <vt:lpstr>opcash</vt:lpstr>
      <vt:lpstr>opmgn</vt:lpstr>
      <vt:lpstr>othinc</vt:lpstr>
      <vt:lpstr>ModPubIndex!PANA</vt:lpstr>
      <vt:lpstr>IndexInformation!PathName</vt:lpstr>
      <vt:lpstr>BS!Print_Area</vt:lpstr>
      <vt:lpstr>CF!Print_Area</vt:lpstr>
      <vt:lpstr>Metrics!Print_Area</vt:lpstr>
      <vt:lpstr>Model!Print_Area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repurch</vt:lpstr>
      <vt:lpstr>IndexInformation!ResearchTopic</vt:lpstr>
      <vt:lpstr>rev</vt:lpstr>
      <vt:lpstr>revemp</vt:lpstr>
      <vt:lpstr>IndexInformation!RIC</vt:lpstr>
      <vt:lpstr>rnd</vt:lpstr>
      <vt:lpstr>IndexInformation!SEDOL</vt:lpstr>
      <vt:lpstr>servicecost</vt:lpstr>
      <vt:lpstr>shs</vt:lpstr>
      <vt:lpstr>snm</vt:lpstr>
      <vt:lpstr>ImportantDisclosures!SourceDefined</vt:lpstr>
      <vt:lpstr>srev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taxbeni</vt:lpstr>
      <vt:lpstr>taxes</vt:lpstr>
      <vt:lpstr>taxrate</vt:lpstr>
      <vt:lpstr>TemplateRegion</vt:lpstr>
      <vt:lpstr>ImportantDisclosures!Ticker</vt:lpstr>
      <vt:lpstr>TickerRegion</vt:lpstr>
      <vt:lpstr>IndexInformation!Tickers</vt:lpstr>
      <vt:lpstr>toteq</vt:lpstr>
      <vt:lpstr>totexp</vt:lpstr>
      <vt:lpstr>totrec</vt:lpstr>
      <vt:lpstr>IndexInformation!UpdateReason</vt:lpstr>
      <vt:lpstr>urev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2003-09-09T19:39:21Z</dcterms:created>
  <dc:creator>kweiss</dc:creator>
  <cp:lastModifiedBy>Fodderwala, Hamza (Research)</cp:lastModifiedBy>
  <cp:lastPrinted>2018-03-07T08:29:14Z</cp:lastPrinted>
  <dcterms:modified xsi:type="dcterms:W3CDTF">2018-03-07T17:12:30Z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1</vt:lpwstr>
  </property>
  <property fmtid="{D5CDD505-2E9C-101B-9397-08002B2CF9AE}" name="LinkingAutoNameNumberLinking_Range_" pid="3">
    <vt:lpwstr>91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754818</vt:lpwstr>
  </property>
  <property fmtid="{D5CDD505-2E9C-101B-9397-08002B2CF9AE}" name="ERModPubCompanyName" pid="7">
    <vt:lpwstr>Autodesk</vt:lpwstr>
  </property>
  <property fmtid="{D5CDD505-2E9C-101B-9397-08002B2CF9AE}" name="MSDH34TAG" pid="8">
    <vt:lpwstr>.TEZUF76X5TAHATHESADREYAK-00-INB160+*94600-06=bd3b59ae/-222a/-11e8/-9b95/-96f032c946f3,MD=20180307123323/-0500,ZZ=000Z-b631.</vt:lpwstr>
  </property>
</Properties>
</file>